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Rules" sheetId="2" r:id="rId5"/>
    <sheet state="visible" name="Draft Board" sheetId="3" r:id="rId6"/>
    <sheet state="visible" name="Standings" sheetId="4" r:id="rId7"/>
    <sheet state="visible" name="Teams" sheetId="5" r:id="rId8"/>
    <sheet state="visible" name="Leaderboard" sheetId="6" r:id="rId9"/>
    <sheet state="visible" name="Schedule" sheetId="7" r:id="rId10"/>
    <sheet state="visible" name="Stats" sheetId="8" r:id="rId11"/>
    <sheet state="visible" name="Playoff Leaderboard" sheetId="9" r:id="rId12"/>
    <sheet state="visible" name="Playoff Stats" sheetId="10" r:id="rId13"/>
    <sheet state="visible" name="Playoff Schedule" sheetId="11" r:id="rId14"/>
    <sheet state="visible" name="Source" sheetId="12" r:id="rId15"/>
    <sheet state="visible" name="Data" sheetId="13" r:id="rId16"/>
    <sheet state="visible" name="Pokedex" sheetId="14" r:id="rId17"/>
    <sheet state="visible" name="Type Chart" sheetId="15" r:id="rId18"/>
    <sheet state="visible" name="Patrick secret sheet" sheetId="16" r:id="rId19"/>
    <sheet state="hidden" name="Playoffs" sheetId="17" r:id="rId20"/>
    <sheet state="hidden" name="Drought" sheetId="18" r:id="rId21"/>
    <sheet state="hidden" name="Drought Stats" sheetId="19" r:id="rId22"/>
  </sheets>
  <definedNames>
    <definedName hidden="1" localSheetId="11" name="_xlnm._FilterDatabase">Source!$B$1:$C$1285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7">
      <text>
        <t xml:space="preserve">Aura Break only</t>
      </text>
    </comment>
    <comment authorId="0" ref="B425">
      <text>
        <t xml:space="preserve">Only Chest Forme</t>
      </text>
    </comment>
    <comment authorId="0" ref="B473">
      <text>
        <t xml:space="preserve">Blaze only</t>
      </text>
    </comment>
    <comment authorId="0" ref="B681">
      <text>
        <t xml:space="preserve">All 3 Formes</t>
      </text>
    </comment>
    <comment authorId="0" ref="B679">
      <text>
        <t xml:space="preserve">Temporary (Depends if similar to Melmetal)</t>
      </text>
    </comment>
    <comment authorId="0" ref="B182">
      <text>
        <t xml:space="preserve">Torrent only</t>
      </text>
    </comment>
    <comment authorId="0" ref="B163">
      <text>
        <t xml:space="preserve">Seismic Toss Banned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Pokédex Number.</t>
      </text>
    </comment>
    <comment authorId="0" ref="G1">
      <text>
        <t xml:space="preserve">Points Cost.</t>
      </text>
    </comment>
    <comment authorId="0" ref="H1">
      <text>
        <t xml:space="preserve">Sprite.</t>
      </text>
    </comment>
    <comment authorId="0" ref="L1">
      <text>
        <t xml:space="preserve">Hitpoints.</t>
      </text>
    </comment>
    <comment authorId="0" ref="M1">
      <text>
        <t xml:space="preserve">Attack.</t>
      </text>
    </comment>
    <comment authorId="0" ref="N1">
      <text>
        <t xml:space="preserve">Defence.</t>
      </text>
    </comment>
    <comment authorId="0" ref="O1">
      <text>
        <t xml:space="preserve">Special Attack.</t>
      </text>
    </comment>
    <comment authorId="0" ref="P1">
      <text>
        <t xml:space="preserve">Special Defence.</t>
      </text>
    </comment>
    <comment authorId="0" ref="Q1">
      <text>
        <t xml:space="preserve">Speed.</t>
      </text>
    </comment>
    <comment authorId="0" ref="R1">
      <text>
        <t xml:space="preserve">0 Speed EVs.</t>
      </text>
    </comment>
    <comment authorId="0" ref="S1">
      <text>
        <t xml:space="preserve">252 Speed EVs.</t>
      </text>
    </comment>
    <comment authorId="0" ref="T1">
      <text>
        <t xml:space="preserve">252 Speed EVs and Speed Boosting Nature.</t>
      </text>
    </comment>
  </commentList>
</comments>
</file>

<file path=xl/sharedStrings.xml><?xml version="1.0" encoding="utf-8"?>
<sst xmlns="http://schemas.openxmlformats.org/spreadsheetml/2006/main" count="33338" uniqueCount="5617">
  <si>
    <t>vvvvvvvvvvvvvv</t>
  </si>
  <si>
    <t>zazzz</t>
  </si>
  <si>
    <t>x</t>
  </si>
  <si>
    <t>Drizzle Standings</t>
  </si>
  <si>
    <t>Scarlet Violet Singles Pokemon Draft League</t>
  </si>
  <si>
    <t>WPF Weather Division Rules</t>
  </si>
  <si>
    <t>Year 2</t>
  </si>
  <si>
    <t>Banned</t>
  </si>
  <si>
    <t>League Rules</t>
  </si>
  <si>
    <t>19 Points</t>
  </si>
  <si>
    <t>18 Points</t>
  </si>
  <si>
    <t># 1</t>
  </si>
  <si>
    <t>🟍 The season will be 7 weeks. You will play everyone once.</t>
  </si>
  <si>
    <t>17 Points</t>
  </si>
  <si>
    <t># 2</t>
  </si>
  <si>
    <t>🟍 All matches must be played in the "Anything Goes" on https://play.pokemonshowdown.com/</t>
  </si>
  <si>
    <t>16 Points</t>
  </si>
  <si>
    <t># 3</t>
  </si>
  <si>
    <t>15 Points</t>
  </si>
  <si>
    <t>🟍 Any additional questions may be asked in the Pokemon League Discord. Please @authorzed.</t>
  </si>
  <si>
    <t>14 Points</t>
  </si>
  <si>
    <t>13 Points</t>
  </si>
  <si>
    <t>12 Points</t>
  </si>
  <si>
    <t>11 Points</t>
  </si>
  <si>
    <t>Drafting Rules</t>
  </si>
  <si>
    <t>T</t>
  </si>
  <si>
    <t>10 Points</t>
  </si>
  <si>
    <t>🟍 Drafting will be the standard snake style, from 1-8 then again from 8 back to 1.</t>
  </si>
  <si>
    <t>9 Points</t>
  </si>
  <si>
    <t xml:space="preserve">🟍 Coaches have 125 points to draft 10-12 pokemon on their team. </t>
  </si>
  <si>
    <t>8 Points</t>
  </si>
  <si>
    <t>🟍 Species clause is in effect: You may not draft 2 pokemon of the same species (Ex: two Rotoms, Aegislash &amp; Doublade)</t>
  </si>
  <si>
    <t>7 Points</t>
  </si>
  <si>
    <t>🟍 There will be a 24 hour grace period that starts immediately after the draft concludes.</t>
  </si>
  <si>
    <t>6 Points</t>
  </si>
  <si>
    <t>5 Points</t>
  </si>
  <si>
    <t>#5</t>
  </si>
  <si>
    <t>4 Points</t>
  </si>
  <si>
    <t>🟍 The move last respects is banned. Revival blessing may only be used once per battle.</t>
  </si>
  <si>
    <t>#6</t>
  </si>
  <si>
    <t>3 Points</t>
  </si>
  <si>
    <t>🟍 Each team is allowed to have 2-3 tera captains. Tera captains can have 3 tera types (1 of their normal types and any 2 other types)</t>
  </si>
  <si>
    <t>2 Points</t>
  </si>
  <si>
    <t>1 Points</t>
  </si>
  <si>
    <t>Season Rules</t>
  </si>
  <si>
    <t>🟍 Coaches are allowed 8 FA transactions throughout the season once the grace period has concluded. Coach to coach trades are infinite.</t>
  </si>
  <si>
    <t>🟍 Coaches are no longer able to use FA transactions after week 7 has concluded. Rosters become frozen before playoffs.</t>
  </si>
  <si>
    <t>🟍 The top 8 teams at the end of the regular season will progress to playoffs.</t>
  </si>
  <si>
    <t># 4</t>
  </si>
  <si>
    <t>🟍 When determining playoff seeding, the following measure will be used: Series Wins&gt;Game Wins&gt;Differential&gt;
Head-to-Head&gt;Strength of Schedule.</t>
  </si>
  <si>
    <t>vvvvvvvvvvvvvvvvvvvvvvv</t>
  </si>
  <si>
    <t>Battle Rules</t>
  </si>
  <si>
    <t>🟍 Battles are to be done every other week. Please coordinate with you opponet for the week through text or discord.</t>
  </si>
  <si>
    <t>🟍 Evasion boosting and intentionally lowering your opponent's accuracy is not allowed. This includes snow cloak/sand veil.</t>
  </si>
  <si>
    <t>🟍 All pokemon will be set to level 100.</t>
  </si>
  <si>
    <t>🟍 Item clause is in effect for all battles. Berserk Gene, non-normal gems, mega stones, and Z-Crystals are banned.</t>
  </si>
  <si>
    <t># 5</t>
  </si>
  <si>
    <t>🟍 Battle timer may be turned on by either coach for any reason. That coach is under no obligation to turn off timer unless their opponent disconnects unexpectantly. If this should happen, contact an online mod who will make the timer decision on your behalf.</t>
  </si>
  <si>
    <t>vv</t>
  </si>
  <si>
    <t># 6</t>
  </si>
  <si>
    <t>🟍 All other Smogon clauses are in effect.</t>
  </si>
  <si>
    <t># 7</t>
  </si>
  <si>
    <t xml:space="preserve">🟍 Dry baton pass is allowed. Positive stats or substitues may not be passed. You may use baton pass with wish. </t>
  </si>
  <si>
    <t># 8</t>
  </si>
  <si>
    <t>🟍 Mega Stones, Z-Moves, and Dynamaxing are not allowed.</t>
  </si>
  <si>
    <t># 9</t>
  </si>
  <si>
    <t>🟍 All unreleased items, such as type gems and berries, are not allowed. (Normal Gem is allowed)</t>
  </si>
  <si>
    <t># 10</t>
  </si>
  <si>
    <t>🟍 Moody is banned</t>
  </si>
  <si>
    <t>Arceus</t>
  </si>
  <si>
    <t>Unsorted Total</t>
  </si>
  <si>
    <t>#</t>
  </si>
  <si>
    <t>Team</t>
  </si>
  <si>
    <t>Pokemon</t>
  </si>
  <si>
    <t>Tera</t>
  </si>
  <si>
    <t>G.P.</t>
  </si>
  <si>
    <t>K</t>
  </si>
  <si>
    <t>D</t>
  </si>
  <si>
    <t>Diff</t>
  </si>
  <si>
    <t>Mamoswine (T)</t>
  </si>
  <si>
    <t>Ground</t>
  </si>
  <si>
    <t>Water</t>
  </si>
  <si>
    <t>Steel</t>
  </si>
  <si>
    <t>Chien-Pao</t>
  </si>
  <si>
    <t>RE</t>
  </si>
  <si>
    <t>Dragonite</t>
  </si>
  <si>
    <t>Dragapult</t>
  </si>
  <si>
    <t>RT</t>
  </si>
  <si>
    <t>Iron Hands</t>
  </si>
  <si>
    <t>JM</t>
  </si>
  <si>
    <t>Regieleki</t>
  </si>
  <si>
    <t>Shaymin (T)</t>
  </si>
  <si>
    <t>grass</t>
  </si>
  <si>
    <t>ground</t>
  </si>
  <si>
    <t>cobalion</t>
  </si>
  <si>
    <t>RIP</t>
  </si>
  <si>
    <t>Enamorus-Incarnate</t>
  </si>
  <si>
    <t>Heatran</t>
  </si>
  <si>
    <t>krookodile</t>
  </si>
  <si>
    <t>Palafin</t>
  </si>
  <si>
    <t>zweilous</t>
  </si>
  <si>
    <t>PM</t>
  </si>
  <si>
    <t>Keldeo</t>
  </si>
  <si>
    <t>dragapult</t>
  </si>
  <si>
    <t>Kyurem-Black</t>
  </si>
  <si>
    <t>meowscarada</t>
  </si>
  <si>
    <t>ZV</t>
  </si>
  <si>
    <t>raging bolt</t>
  </si>
  <si>
    <t>jirachi</t>
  </si>
  <si>
    <t>Landorus-Incarnate</t>
  </si>
  <si>
    <t>keldeo</t>
  </si>
  <si>
    <t>TG</t>
  </si>
  <si>
    <t>Zapdos</t>
  </si>
  <si>
    <t>Blaziken</t>
  </si>
  <si>
    <t>Sandy Shocks</t>
  </si>
  <si>
    <t>Annihilape</t>
  </si>
  <si>
    <t>grimmsnarl</t>
  </si>
  <si>
    <t>cinderace</t>
  </si>
  <si>
    <t>Urshifu-Single-Strike</t>
  </si>
  <si>
    <t>clefable</t>
  </si>
  <si>
    <t>dusclops</t>
  </si>
  <si>
    <t>Hisuian Samurott</t>
  </si>
  <si>
    <t>annihilape</t>
  </si>
  <si>
    <t>Meowscarada</t>
  </si>
  <si>
    <t>Walking Wake</t>
  </si>
  <si>
    <t>palafin</t>
  </si>
  <si>
    <t>Kingdra (T)</t>
  </si>
  <si>
    <t>Fairy</t>
  </si>
  <si>
    <t>Flying</t>
  </si>
  <si>
    <t>ogerpon-hearthflame</t>
  </si>
  <si>
    <t>Chansey</t>
  </si>
  <si>
    <t>Cinccino</t>
  </si>
  <si>
    <t>Hisuian Zoroark</t>
  </si>
  <si>
    <t>Azelf</t>
  </si>
  <si>
    <t>scizor</t>
  </si>
  <si>
    <t>Ribombee (T)</t>
  </si>
  <si>
    <t>Normal</t>
  </si>
  <si>
    <t>Great Tusk</t>
  </si>
  <si>
    <t>Venusaur (T)</t>
  </si>
  <si>
    <t>fire</t>
  </si>
  <si>
    <t>flying</t>
  </si>
  <si>
    <t>darkrai</t>
  </si>
  <si>
    <t>iron boulder</t>
  </si>
  <si>
    <t>tornadus-therian</t>
  </si>
  <si>
    <t>Galarian Slowking</t>
  </si>
  <si>
    <t>blaziken</t>
  </si>
  <si>
    <t>Cobalion</t>
  </si>
  <si>
    <t>Darkrai</t>
  </si>
  <si>
    <t>DH</t>
  </si>
  <si>
    <t>Noivern (T)</t>
  </si>
  <si>
    <t>Fire</t>
  </si>
  <si>
    <t>Coach 1</t>
  </si>
  <si>
    <t>chansey</t>
  </si>
  <si>
    <t>Pelipper</t>
  </si>
  <si>
    <t>Coach 2</t>
  </si>
  <si>
    <t>Kyurem</t>
  </si>
  <si>
    <t>Jirachi</t>
  </si>
  <si>
    <t>dragonite</t>
  </si>
  <si>
    <t>Week 1</t>
  </si>
  <si>
    <t>Scizor</t>
  </si>
  <si>
    <t>corviknight</t>
  </si>
  <si>
    <t>Kleavor (T)</t>
  </si>
  <si>
    <t>rock</t>
  </si>
  <si>
    <t>water</t>
  </si>
  <si>
    <t>bug</t>
  </si>
  <si>
    <t>Spectrier</t>
  </si>
  <si>
    <t>ogerpon-wellspring</t>
  </si>
  <si>
    <t>zapdos</t>
  </si>
  <si>
    <t>Sneasler</t>
  </si>
  <si>
    <t>latias</t>
  </si>
  <si>
    <t>Sylveon (T)</t>
  </si>
  <si>
    <t>fairy</t>
  </si>
  <si>
    <t>normal</t>
  </si>
  <si>
    <t>steel</t>
  </si>
  <si>
    <t>gliscor</t>
  </si>
  <si>
    <t>Latias</t>
  </si>
  <si>
    <t>ursaluna-bloodmoon</t>
  </si>
  <si>
    <t>Dragalge (T)</t>
  </si>
  <si>
    <t>Poison</t>
  </si>
  <si>
    <t>pelipper</t>
  </si>
  <si>
    <t>Hoopa-Unbound (T)</t>
  </si>
  <si>
    <t>dark</t>
  </si>
  <si>
    <t>poison</t>
  </si>
  <si>
    <t>spectrier</t>
  </si>
  <si>
    <t>Marcus</t>
  </si>
  <si>
    <t>Grimmsnarl</t>
  </si>
  <si>
    <t>Iron Valiant</t>
  </si>
  <si>
    <t>Dick Hansen</t>
  </si>
  <si>
    <t>gouging fire</t>
  </si>
  <si>
    <t>cinccino</t>
  </si>
  <si>
    <t>Ian Heslin</t>
  </si>
  <si>
    <t>Skeledirge (T)</t>
  </si>
  <si>
    <t>ghost</t>
  </si>
  <si>
    <t>Dark</t>
  </si>
  <si>
    <t>Jackson McLoughlin</t>
  </si>
  <si>
    <t>Corviknight</t>
  </si>
  <si>
    <t>Ryan Evans</t>
  </si>
  <si>
    <t>Krookodile</t>
  </si>
  <si>
    <t>Zach VanSickle</t>
  </si>
  <si>
    <t>Zweilous</t>
  </si>
  <si>
    <t>Week 2</t>
  </si>
  <si>
    <t>Alolan Vulpix</t>
  </si>
  <si>
    <t>Ninetales (T)</t>
  </si>
  <si>
    <t>Electric</t>
  </si>
  <si>
    <t>Tyler Gottfredsen</t>
  </si>
  <si>
    <t>Archaludon (T)</t>
  </si>
  <si>
    <t>Alomomola (T)</t>
  </si>
  <si>
    <t>Week 3</t>
  </si>
  <si>
    <t>Arcanine (T)</t>
  </si>
  <si>
    <t>Grass</t>
  </si>
  <si>
    <t>Froslass</t>
  </si>
  <si>
    <t>Tornadus-Incarnate (T)</t>
  </si>
  <si>
    <t>Calyrex-Ice</t>
  </si>
  <si>
    <t>X</t>
  </si>
  <si>
    <t>Bisharp (T)</t>
  </si>
  <si>
    <t>Ghost</t>
  </si>
  <si>
    <t>-</t>
  </si>
  <si>
    <t>Coalossal (T)</t>
  </si>
  <si>
    <t>Magikarp (T)</t>
  </si>
  <si>
    <t>stellar</t>
  </si>
  <si>
    <t>Week 4</t>
  </si>
  <si>
    <t>Magikarp</t>
  </si>
  <si>
    <t>Basculegion (T)</t>
  </si>
  <si>
    <t>fighting</t>
  </si>
  <si>
    <t>Cinderace</t>
  </si>
  <si>
    <t>Torkoal (T)</t>
  </si>
  <si>
    <t>Calyrex-Shadow</t>
  </si>
  <si>
    <t>dragon</t>
  </si>
  <si>
    <t>v</t>
  </si>
  <si>
    <t>Dusclops</t>
  </si>
  <si>
    <t/>
  </si>
  <si>
    <t>8 FAs</t>
  </si>
  <si>
    <t>Dialga</t>
  </si>
  <si>
    <t>Week 5</t>
  </si>
  <si>
    <t>4 FAs</t>
  </si>
  <si>
    <t>Sinistcha (T)</t>
  </si>
  <si>
    <t>7 FAs</t>
  </si>
  <si>
    <t>Hisuian Arcanine</t>
  </si>
  <si>
    <t>Rotom-Wash</t>
  </si>
  <si>
    <t>Iron Jugulis</t>
  </si>
  <si>
    <t>Eternatus</t>
  </si>
  <si>
    <t>Raikou</t>
  </si>
  <si>
    <t>vvvvvv</t>
  </si>
  <si>
    <t>Deoxys-Speed</t>
  </si>
  <si>
    <t>Gliscor</t>
  </si>
  <si>
    <t>Thundurus-Incarnate</t>
  </si>
  <si>
    <t>Garchomp</t>
  </si>
  <si>
    <t>Giratina</t>
  </si>
  <si>
    <t>Week 6</t>
  </si>
  <si>
    <t>Giratina-Origin</t>
  </si>
  <si>
    <t>Groudon</t>
  </si>
  <si>
    <t>Week 7</t>
  </si>
  <si>
    <t>Groudon-Primal</t>
  </si>
  <si>
    <t>Ho-Oh</t>
  </si>
  <si>
    <t>Kyogre</t>
  </si>
  <si>
    <t>Kyogre-Primal</t>
  </si>
  <si>
    <t>p</t>
  </si>
  <si>
    <t>Kyurem-White</t>
  </si>
  <si>
    <t>Lugia</t>
  </si>
  <si>
    <t>Lunala</t>
  </si>
  <si>
    <t>Magearna</t>
  </si>
  <si>
    <t>Mewtwo</t>
  </si>
  <si>
    <t>Mewtwo-Mega X</t>
  </si>
  <si>
    <t>Mewtwo-Mega Y</t>
  </si>
  <si>
    <t>Necrozma-Dawn</t>
  </si>
  <si>
    <t>archaludon</t>
  </si>
  <si>
    <t>Necrozma-Dusk</t>
  </si>
  <si>
    <t>Basculegion</t>
  </si>
  <si>
    <t>Zamazenta-Crowned</t>
  </si>
  <si>
    <t>Necrozma-Ultra</t>
  </si>
  <si>
    <t>Differential</t>
  </si>
  <si>
    <t>Palkia</t>
  </si>
  <si>
    <t>Rayquaza</t>
  </si>
  <si>
    <t>6 FAs</t>
  </si>
  <si>
    <t>Replay</t>
  </si>
  <si>
    <t>3 FAs</t>
  </si>
  <si>
    <t>https://replay.pokemonshowdown.com/gen9anythinggoes-2074522293</t>
  </si>
  <si>
    <t>Reshiram</t>
  </si>
  <si>
    <t>2 FAs</t>
  </si>
  <si>
    <t>https://replay.pokemonshowdown.com/gen9anythinggoes-2091455239</t>
  </si>
  <si>
    <t>Solgaleo</t>
  </si>
  <si>
    <t>https://replay.pokemonshowdown.com/gen9anythinggoes-2092066015-i1ndlo5lbi1aq3w9mvrh2f77uvlppidpw</t>
  </si>
  <si>
    <t>vvvvvvv</t>
  </si>
  <si>
    <t>Xerneas</t>
  </si>
  <si>
    <t>Winner</t>
  </si>
  <si>
    <t>Yveltal</t>
  </si>
  <si>
    <t>Zacian</t>
  </si>
  <si>
    <t>Zacian-C</t>
  </si>
  <si>
    <t>vvv</t>
  </si>
  <si>
    <t>Zamazenta</t>
  </si>
  <si>
    <t>Winner's Round 1</t>
  </si>
  <si>
    <t>Winner's Round 2</t>
  </si>
  <si>
    <t>Zekrom</t>
  </si>
  <si>
    <t>Loser's Round 1</t>
  </si>
  <si>
    <t>Winner's Round 3</t>
  </si>
  <si>
    <t>Loser's Round 2</t>
  </si>
  <si>
    <t>Loser's Round 3</t>
  </si>
  <si>
    <t>Loser's Final</t>
  </si>
  <si>
    <t>Winner's Final</t>
  </si>
  <si>
    <t>Zygarde-C</t>
  </si>
  <si>
    <t>Torkoal</t>
  </si>
  <si>
    <t>Alolan Sandslash (T)</t>
  </si>
  <si>
    <t>Clefable</t>
  </si>
  <si>
    <t>Enamorus-Therian</t>
  </si>
  <si>
    <t>Latios</t>
  </si>
  <si>
    <t>Maushold</t>
  </si>
  <si>
    <t>Kingdra</t>
  </si>
  <si>
    <t>Palafin-Hero</t>
  </si>
  <si>
    <t>https://replay.pokemonshowdown.com/gen9anythinggoes-2084091812</t>
  </si>
  <si>
    <t>Simmed</t>
  </si>
  <si>
    <t>https://replay.pokemonshowdown.com/gen9anythinggoes-2108542346</t>
  </si>
  <si>
    <t>Ribombee</t>
  </si>
  <si>
    <t>Venusaur</t>
  </si>
  <si>
    <t>Ryan Tidey</t>
  </si>
  <si>
    <t>Vikavolt</t>
  </si>
  <si>
    <t>https://replay.pokemonshowdown.com/gen9anythinggoes-2154201559</t>
  </si>
  <si>
    <t>https://replay.pokemonshowdown.com/gen9anythinggoes-2164929342</t>
  </si>
  <si>
    <t>Iron Moth</t>
  </si>
  <si>
    <t>https://replay.pokemonshowdown.com/gen9anythinggoes-2173658171</t>
  </si>
  <si>
    <t>Arcanine</t>
  </si>
  <si>
    <t>Greninja</t>
  </si>
  <si>
    <t>Loser's Finals</t>
  </si>
  <si>
    <t>https://replay.pokemonshowdown.com/gen9anythinggoes-2233752744</t>
  </si>
  <si>
    <t>Torterra</t>
  </si>
  <si>
    <t>https://replay.pokemonshowdown.com/gen9anythinggoes-2296682245</t>
  </si>
  <si>
    <t>Kleavor</t>
  </si>
  <si>
    <t>Winner's Finals</t>
  </si>
  <si>
    <t>Iron Boulder</t>
  </si>
  <si>
    <t>Noivern</t>
  </si>
  <si>
    <t>Tornadus-Incarnate</t>
  </si>
  <si>
    <t xml:space="preserve"> </t>
  </si>
  <si>
    <t>Coach Name</t>
  </si>
  <si>
    <t>Team Name</t>
  </si>
  <si>
    <t>Abv</t>
  </si>
  <si>
    <t>TZ</t>
  </si>
  <si>
    <t>Logo</t>
  </si>
  <si>
    <t>Record</t>
  </si>
  <si>
    <t>Drizzle Schedule</t>
  </si>
  <si>
    <t>Player Name</t>
  </si>
  <si>
    <t>Speed</t>
  </si>
  <si>
    <t>https://replay.pokemonshowdown.com/gen9anythinggoes-2070812717</t>
  </si>
  <si>
    <t>Fighting</t>
  </si>
  <si>
    <t>Rock</t>
  </si>
  <si>
    <t>Bug</t>
  </si>
  <si>
    <t>Psychic</t>
  </si>
  <si>
    <t>Ice</t>
  </si>
  <si>
    <t>Dragon</t>
  </si>
  <si>
    <t>https://replay.pokemonshowdown.com/gen9anythinggoes-2094719104</t>
  </si>
  <si>
    <t>https://replay.pokemonshowdown.com/gen9anythinggoes-2113742636</t>
  </si>
  <si>
    <t>Drizzle</t>
  </si>
  <si>
    <t>T1</t>
  </si>
  <si>
    <t>T2</t>
  </si>
  <si>
    <t>Week</t>
  </si>
  <si>
    <t>Player 1</t>
  </si>
  <si>
    <t>Player 2</t>
  </si>
  <si>
    <t>Tornadus-Therian</t>
  </si>
  <si>
    <t>Shaymin</t>
  </si>
  <si>
    <t>Gouging Fire</t>
  </si>
  <si>
    <t>Raging Bolt</t>
  </si>
  <si>
    <t>Azelf (T)</t>
  </si>
  <si>
    <t>Pelipper (T)</t>
  </si>
  <si>
    <t>Ryan T.'s Team</t>
  </si>
  <si>
    <t>EST</t>
  </si>
  <si>
    <t>vs</t>
  </si>
  <si>
    <t>https://replay.pokemonshowdown.com/gen9anythinggoes-2155190534</t>
  </si>
  <si>
    <t>Marcus' Team</t>
  </si>
  <si>
    <t>https://replay.pokemonshowdown.com/gen9anythinggoes-2072810967</t>
  </si>
  <si>
    <t>https://replay.pokemonshowdown.com/gen9anythinggoes-2164537549</t>
  </si>
  <si>
    <t>RIP Zamazentas</t>
  </si>
  <si>
    <t>CST</t>
  </si>
  <si>
    <t>https://replay.pokemonshowdown.com/gen9anythinggoes-2084880814</t>
  </si>
  <si>
    <t>https://replay.pokemonshowdown.com/gen9anythinggoes-2164916284</t>
  </si>
  <si>
    <t>file:///D:/Pokemon%20saves/Gen9AnythingGoes-2024-04-17-weewo-hans27.html</t>
  </si>
  <si>
    <t>Sweepers</t>
  </si>
  <si>
    <t>https://replay.pokemonshowdown.com/gen9anythinggoes-2152905435</t>
  </si>
  <si>
    <t>https://replay.pokemonshowdown.com/gen9anythinggoes-2173614457</t>
  </si>
  <si>
    <t>Tyler's Team</t>
  </si>
  <si>
    <t>https://replay.pokemonshowdown.com/gen9anythinggoes-2152939833</t>
  </si>
  <si>
    <t>Dick's Team</t>
  </si>
  <si>
    <t>Jackson's Team</t>
  </si>
  <si>
    <t>Chi-Yu</t>
  </si>
  <si>
    <t>Zach's Team</t>
  </si>
  <si>
    <t>Final Standings</t>
  </si>
  <si>
    <t>1st</t>
  </si>
  <si>
    <t>Alomomola</t>
  </si>
  <si>
    <t>2nd</t>
  </si>
  <si>
    <t>Ursaluna-Bloodmoon</t>
  </si>
  <si>
    <t>Hoopa-Unbound</t>
  </si>
  <si>
    <t>3rd</t>
  </si>
  <si>
    <t>Baxcalibur</t>
  </si>
  <si>
    <t>Violet</t>
  </si>
  <si>
    <t>Standings</t>
  </si>
  <si>
    <t>4th</t>
  </si>
  <si>
    <t>Games</t>
  </si>
  <si>
    <t>Gholdengo</t>
  </si>
  <si>
    <t>Sorted</t>
  </si>
  <si>
    <t>Coach Info</t>
  </si>
  <si>
    <t>Skeledirge</t>
  </si>
  <si>
    <t>Iron Bundle</t>
  </si>
  <si>
    <t>5th</t>
  </si>
  <si>
    <t>Coach</t>
  </si>
  <si>
    <t>W</t>
  </si>
  <si>
    <t>L</t>
  </si>
  <si>
    <t>Iron Treads</t>
  </si>
  <si>
    <t>Quaquaval</t>
  </si>
  <si>
    <t>https://replay.pokemonshowdown.com/gen9anythinggoes-2158172563</t>
  </si>
  <si>
    <t>Ting-Lu</t>
  </si>
  <si>
    <t>7th</t>
  </si>
  <si>
    <t>Weavile</t>
  </si>
  <si>
    <t>Ogerpon-Wellspring</t>
  </si>
  <si>
    <t>Manaphy</t>
  </si>
  <si>
    <t>Necrozma</t>
  </si>
  <si>
    <t>Grimmsnarl (T)</t>
  </si>
  <si>
    <t>Kingambit</t>
  </si>
  <si>
    <t>Landorus-Therian</t>
  </si>
  <si>
    <t>Mew</t>
  </si>
  <si>
    <t>Roaring Moon</t>
  </si>
  <si>
    <t>Urshifu-Rapid-Strike</t>
  </si>
  <si>
    <t>https://replay.pokemonshowdown.com/gen9anythinggoes-2159952350</t>
  </si>
  <si>
    <t>Ogerpon</t>
  </si>
  <si>
    <t>Ogerpon-Cornerstone</t>
  </si>
  <si>
    <t>Excadrill</t>
  </si>
  <si>
    <t>Azumarill</t>
  </si>
  <si>
    <t>Glimmora</t>
  </si>
  <si>
    <t>Salamence</t>
  </si>
  <si>
    <t>Drizzle Playoffs</t>
  </si>
  <si>
    <t>Scream Tail</t>
  </si>
  <si>
    <t>WR1</t>
  </si>
  <si>
    <t>Slowking</t>
  </si>
  <si>
    <t>Thundurus-Therian</t>
  </si>
  <si>
    <t>Ursaluna</t>
  </si>
  <si>
    <t>Volcarona</t>
  </si>
  <si>
    <t>WR2</t>
  </si>
  <si>
    <t>Galarian Zapdos</t>
  </si>
  <si>
    <t>Zarude</t>
  </si>
  <si>
    <t>LR1</t>
  </si>
  <si>
    <t>Ogerpon-Hearthflame</t>
  </si>
  <si>
    <t>Terapagos</t>
  </si>
  <si>
    <t>WR3</t>
  </si>
  <si>
    <t>Infernape</t>
  </si>
  <si>
    <t>LR2</t>
  </si>
  <si>
    <t>Kommo-o</t>
  </si>
  <si>
    <t>Skarmory</t>
  </si>
  <si>
    <t>LR3</t>
  </si>
  <si>
    <t>Playoff Standings</t>
  </si>
  <si>
    <t>Metagross</t>
  </si>
  <si>
    <t>LF</t>
  </si>
  <si>
    <t>WF</t>
  </si>
  <si>
    <t>P.#</t>
  </si>
  <si>
    <t>GitHub Name</t>
  </si>
  <si>
    <t>Smogon Name</t>
  </si>
  <si>
    <t>PokémonDB Name</t>
  </si>
  <si>
    <t>Pts.</t>
  </si>
  <si>
    <t>Spr.</t>
  </si>
  <si>
    <t>Pokémon</t>
  </si>
  <si>
    <t>Types</t>
  </si>
  <si>
    <t>HP</t>
  </si>
  <si>
    <t>Atk</t>
  </si>
  <si>
    <t>Def</t>
  </si>
  <si>
    <t>RST</t>
  </si>
  <si>
    <t>SpA</t>
  </si>
  <si>
    <t>SpD</t>
  </si>
  <si>
    <t>Spe</t>
  </si>
  <si>
    <t>252+</t>
  </si>
  <si>
    <t>Ability 1</t>
  </si>
  <si>
    <t>Ability 2</t>
  </si>
  <si>
    <t>Hidden Ability</t>
  </si>
  <si>
    <t>BW Sprite</t>
  </si>
  <si>
    <t>Home Sprite</t>
  </si>
  <si>
    <t>Cyclizar</t>
  </si>
  <si>
    <t>Swampert</t>
  </si>
  <si>
    <t>001</t>
  </si>
  <si>
    <t>bulbasaur</t>
  </si>
  <si>
    <t>Ceruledge</t>
  </si>
  <si>
    <t>Bulbasaur</t>
  </si>
  <si>
    <t>Gengar</t>
  </si>
  <si>
    <t>Hisuian Goodra</t>
  </si>
  <si>
    <t>Hydreigon</t>
  </si>
  <si>
    <t>Hisuian Lilligant</t>
  </si>
  <si>
    <t>Lycanroc-Dusk</t>
  </si>
  <si>
    <t>Galarian Moltres</t>
  </si>
  <si>
    <t>Slither Wing</t>
  </si>
  <si>
    <t>Tyranitar</t>
  </si>
  <si>
    <t>Uxie</t>
  </si>
  <si>
    <t>Hydrapple</t>
  </si>
  <si>
    <t>Mienshao</t>
  </si>
  <si>
    <t>Deoxys-Defense</t>
  </si>
  <si>
    <t>Serperior</t>
  </si>
  <si>
    <t>Alolan Ninetales</t>
  </si>
  <si>
    <t>Donphan</t>
  </si>
  <si>
    <t>Gardevoir</t>
  </si>
  <si>
    <t>Gothitelle</t>
  </si>
  <si>
    <t>Hatterene</t>
  </si>
  <si>
    <t>Hawlucha</t>
  </si>
  <si>
    <t>Haxorus</t>
  </si>
  <si>
    <t>Klefki</t>
  </si>
  <si>
    <t>Rillaboom</t>
  </si>
  <si>
    <t>Archaludon</t>
  </si>
  <si>
    <t>Iron Crown</t>
  </si>
  <si>
    <t>Mamoswine</t>
  </si>
  <si>
    <t>Blastoise</t>
  </si>
  <si>
    <t>Reuniclus</t>
  </si>
  <si>
    <t>Terrakion</t>
  </si>
  <si>
    <t>Primarina</t>
  </si>
  <si>
    <t>Pawmot</t>
  </si>
  <si>
    <t>Okidogi</t>
  </si>
  <si>
    <t>Munkidori</t>
  </si>
  <si>
    <t>Decidueye</t>
  </si>
  <si>
    <t>Hippowdon</t>
  </si>
  <si>
    <t>Alolan Muk</t>
  </si>
  <si>
    <t>Overqwil</t>
  </si>
  <si>
    <t>Slowbro</t>
  </si>
  <si>
    <t>Talonflame</t>
  </si>
  <si>
    <t>Paldean Tauros-Water</t>
  </si>
  <si>
    <t>Tinkaton</t>
  </si>
  <si>
    <t>Toxapex</t>
  </si>
  <si>
    <t>Volcanion</t>
  </si>
  <si>
    <t>Snorlax</t>
  </si>
  <si>
    <t>Empoleon</t>
  </si>
  <si>
    <t>Rotom-Heat</t>
  </si>
  <si>
    <t>Tsareena</t>
  </si>
  <si>
    <t>Fezandipiti</t>
  </si>
  <si>
    <t>Overgrow</t>
  </si>
  <si>
    <t>Amoonguss</t>
  </si>
  <si>
    <t>Chlorophyll</t>
  </si>
  <si>
    <t>002</t>
  </si>
  <si>
    <t>ivysaur</t>
  </si>
  <si>
    <t>Breloom</t>
  </si>
  <si>
    <t>Ivysaur</t>
  </si>
  <si>
    <t>Bronzong</t>
  </si>
  <si>
    <t>Clodsire</t>
  </si>
  <si>
    <t>Cresselia</t>
  </si>
  <si>
    <t>Diancie</t>
  </si>
  <si>
    <t>Dondozo</t>
  </si>
  <si>
    <t>Dragalge</t>
  </si>
  <si>
    <t>Hisuian Electrode</t>
  </si>
  <si>
    <t>Espathra</t>
  </si>
  <si>
    <t>Florges</t>
  </si>
  <si>
    <t>Gallade</t>
  </si>
  <si>
    <t>Heracross</t>
  </si>
  <si>
    <t>Lokix</t>
  </si>
  <si>
    <t>Meloetta</t>
  </si>
  <si>
    <t>Mesprit</t>
  </si>
  <si>
    <t>Combined</t>
  </si>
  <si>
    <t>Mimikyu</t>
  </si>
  <si>
    <t>Moltres</t>
  </si>
  <si>
    <t>Revavroom</t>
  </si>
  <si>
    <t>Galarian Slowbro</t>
  </si>
  <si>
    <t>Paldean Tauros-Fire</t>
  </si>
  <si>
    <t>Conkeldurr</t>
  </si>
  <si>
    <t>Mandibuzz</t>
  </si>
  <si>
    <t>Entei</t>
  </si>
  <si>
    <t>Suicune</t>
  </si>
  <si>
    <t>Porygon-Z</t>
  </si>
  <si>
    <t>Tera Types</t>
  </si>
  <si>
    <t>Armarouge</t>
  </si>
  <si>
    <t>Braviary</t>
  </si>
  <si>
    <t>Hisuian Braviary</t>
  </si>
  <si>
    <t>Cetitan</t>
  </si>
  <si>
    <t>Chesnaught</t>
  </si>
  <si>
    <t>Copperajah</t>
  </si>
  <si>
    <t>Delphox</t>
  </si>
  <si>
    <t>Dudunsparce</t>
  </si>
  <si>
    <t>Dugtrio</t>
  </si>
  <si>
    <t>Garganacl</t>
  </si>
  <si>
    <t>Goodra</t>
  </si>
  <si>
    <t>Gyarados</t>
  </si>
  <si>
    <t>Inteleon</t>
  </si>
  <si>
    <t>Iron Leaves</t>
  </si>
  <si>
    <t>Quagsire</t>
  </si>
  <si>
    <t>Rotom-Mow</t>
  </si>
  <si>
    <t>Salazzle</t>
  </si>
  <si>
    <t>Sylveon</t>
  </si>
  <si>
    <t>Toxtricity</t>
  </si>
  <si>
    <t>Galarian Weezing</t>
  </si>
  <si>
    <t>Crawdaunt</t>
  </si>
  <si>
    <t>Milotic</t>
  </si>
  <si>
    <t>Registeel</t>
  </si>
  <si>
    <t>Comfey</t>
  </si>
  <si>
    <t>Tentacruel</t>
  </si>
  <si>
    <t>Abomasnow</t>
  </si>
  <si>
    <t>Bisharp</t>
  </si>
  <si>
    <t>Blissey</t>
  </si>
  <si>
    <t>Farigiraf</t>
  </si>
  <si>
    <t>Flamigo</t>
  </si>
  <si>
    <t>Forretress</t>
  </si>
  <si>
    <t>Gastrodon</t>
  </si>
  <si>
    <t>Glastrier</t>
  </si>
  <si>
    <t>Hariyama</t>
  </si>
  <si>
    <t>Kilowattrel</t>
  </si>
  <si>
    <t>Lucario</t>
  </si>
  <si>
    <t>Magnezone</t>
  </si>
  <si>
    <t>Mismagius</t>
  </si>
  <si>
    <t>Mudsdale</t>
  </si>
  <si>
    <t>Oricorio</t>
  </si>
  <si>
    <t>Orthworm</t>
  </si>
  <si>
    <t>Qwilfish</t>
  </si>
  <si>
    <t>Hisuian Qwilfish</t>
  </si>
  <si>
    <t>Regidrago</t>
  </si>
  <si>
    <t>Umbreon</t>
  </si>
  <si>
    <t>Vaporeon</t>
  </si>
  <si>
    <t>Wo-Chien</t>
  </si>
  <si>
    <t>Zoroark</t>
  </si>
  <si>
    <t>Ninetales</t>
  </si>
  <si>
    <t>Politoed</t>
  </si>
  <si>
    <t>Chandelure</t>
  </si>
  <si>
    <t>Feraligatr</t>
  </si>
  <si>
    <t>Porygon2</t>
  </si>
  <si>
    <t>Emboar</t>
  </si>
  <si>
    <t>Whimsicott</t>
  </si>
  <si>
    <t>003</t>
  </si>
  <si>
    <t>venusaur</t>
  </si>
  <si>
    <t>Scrafty</t>
  </si>
  <si>
    <t>Incineroar</t>
  </si>
  <si>
    <t>Araquanid</t>
  </si>
  <si>
    <t>Toedscruel</t>
  </si>
  <si>
    <t>Brambleghast</t>
  </si>
  <si>
    <t>Barraskewda</t>
  </si>
  <si>
    <t>Bellibolt</t>
  </si>
  <si>
    <t>Cloyster</t>
  </si>
  <si>
    <t>Drifblim</t>
  </si>
  <si>
    <t>Eelektross</t>
  </si>
  <si>
    <t>Espeon</t>
  </si>
  <si>
    <t>Floatzel</t>
  </si>
  <si>
    <t>Grafaiai</t>
  </si>
  <si>
    <t>Houndstone</t>
  </si>
  <si>
    <t>Indeedee-Female</t>
  </si>
  <si>
    <t>Medicham</t>
  </si>
  <si>
    <t>Passimian</t>
  </si>
  <si>
    <t>Rotom-Frost</t>
  </si>
  <si>
    <t>Sableye</t>
  </si>
  <si>
    <t>Staraptor</t>
  </si>
  <si>
    <t>Tauros</t>
  </si>
  <si>
    <t>Paldean Tauros</t>
  </si>
  <si>
    <t>Hisuian Typhlosion</t>
  </si>
  <si>
    <t>Ursaring</t>
  </si>
  <si>
    <t>Venomoth</t>
  </si>
  <si>
    <t>Weezing</t>
  </si>
  <si>
    <t>Piloswine</t>
  </si>
  <si>
    <t>Hitmonlee</t>
  </si>
  <si>
    <t>Flygon</t>
  </si>
  <si>
    <t>Rhyperior</t>
  </si>
  <si>
    <t>Galvantula</t>
  </si>
  <si>
    <t>Virizion</t>
  </si>
  <si>
    <t>Arboliva</t>
  </si>
  <si>
    <t>Galarian Articuno</t>
  </si>
  <si>
    <t>Bombirdier</t>
  </si>
  <si>
    <t>Brute Bonnet</t>
  </si>
  <si>
    <t>Hisuian Decidueye</t>
  </si>
  <si>
    <t>Drednaw</t>
  </si>
  <si>
    <t>Gothorita</t>
  </si>
  <si>
    <t>Hoopa</t>
  </si>
  <si>
    <t>Iron Thorns</t>
  </si>
  <si>
    <t>Jolteon</t>
  </si>
  <si>
    <t>Lycanroc-Midday</t>
  </si>
  <si>
    <t>Magneton</t>
  </si>
  <si>
    <t>Muk</t>
  </si>
  <si>
    <t>Palossand</t>
  </si>
  <si>
    <t>Alolan Persian</t>
  </si>
  <si>
    <t>Polteageist</t>
  </si>
  <si>
    <t>Primeape</t>
  </si>
  <si>
    <t>Alolan Raichu</t>
  </si>
  <si>
    <t>Rotom</t>
  </si>
  <si>
    <t>Rotom-Fan</t>
  </si>
  <si>
    <t>Sinistcha</t>
  </si>
  <si>
    <t>Sceptile</t>
  </si>
  <si>
    <t>Golurk</t>
  </si>
  <si>
    <t>Smeargle</t>
  </si>
  <si>
    <t>Rabsca</t>
  </si>
  <si>
    <t>Regigigas</t>
  </si>
  <si>
    <t>Altaria</t>
  </si>
  <si>
    <t>Appletun</t>
  </si>
  <si>
    <t>Stellar</t>
  </si>
  <si>
    <t>Charizard</t>
  </si>
  <si>
    <t>Coalossal</t>
  </si>
  <si>
    <t>Cryogonal</t>
  </si>
  <si>
    <t>Dunsparce</t>
  </si>
  <si>
    <t>Mabosstiff</t>
  </si>
  <si>
    <t>Quilladin</t>
  </si>
  <si>
    <t>Raichu</t>
  </si>
  <si>
    <t>Scovillain</t>
  </si>
  <si>
    <t>Scyther</t>
  </si>
  <si>
    <t>Skuntank</t>
  </si>
  <si>
    <t>003-m</t>
  </si>
  <si>
    <t>venusaur-mega</t>
  </si>
  <si>
    <t>Sneasel</t>
  </si>
  <si>
    <t>Mega Venusaur</t>
  </si>
  <si>
    <t>Spiritomb</t>
  </si>
  <si>
    <t>Tatsugiri</t>
  </si>
  <si>
    <t>Toxicroak</t>
  </si>
  <si>
    <t>Typhlosion</t>
  </si>
  <si>
    <t>Zangoose</t>
  </si>
  <si>
    <t>Poliwrath</t>
  </si>
  <si>
    <t>Shiftry</t>
  </si>
  <si>
    <t>Yanmega</t>
  </si>
  <si>
    <t>Vileplume</t>
  </si>
  <si>
    <t>Hitmonchan</t>
  </si>
  <si>
    <t>Rhydon</t>
  </si>
  <si>
    <t>Lanturn</t>
  </si>
  <si>
    <t>Granbull</t>
  </si>
  <si>
    <t>Hitmontop</t>
  </si>
  <si>
    <t>Regirock</t>
  </si>
  <si>
    <t>Electivire</t>
  </si>
  <si>
    <t>Duraludon</t>
  </si>
  <si>
    <t>Articuno</t>
  </si>
  <si>
    <t>Avalugg</t>
  </si>
  <si>
    <t>Bruxish</t>
  </si>
  <si>
    <t>Clawitzer</t>
  </si>
  <si>
    <t>Dachsbun</t>
  </si>
  <si>
    <t>Ditto</t>
  </si>
  <si>
    <t>Electrode</t>
  </si>
  <si>
    <t>Flapple</t>
  </si>
  <si>
    <t>Frosmoth</t>
  </si>
  <si>
    <t>Greedent</t>
  </si>
  <si>
    <t>Honchkrow</t>
  </si>
  <si>
    <t>Leafeon</t>
  </si>
  <si>
    <t>Lurantis</t>
  </si>
  <si>
    <t>Misdreavus</t>
  </si>
  <si>
    <t>Perrserker</t>
  </si>
  <si>
    <t>Pincurchin</t>
  </si>
  <si>
    <t>Pyroar</t>
  </si>
  <si>
    <t>Samurott</t>
  </si>
  <si>
    <t>Sandaconda</t>
  </si>
  <si>
    <t>Swalot</t>
  </si>
  <si>
    <t>Thwackey</t>
  </si>
  <si>
    <t>Wyrdeer</t>
  </si>
  <si>
    <t>Alolan Sandslash</t>
  </si>
  <si>
    <t>Clefairy</t>
  </si>
  <si>
    <t>Victreebel</t>
  </si>
  <si>
    <t>Ludicolo</t>
  </si>
  <si>
    <t>Dusknoir</t>
  </si>
  <si>
    <t>Gurdurr</t>
  </si>
  <si>
    <t>Morpeko</t>
  </si>
  <si>
    <t>Alolan Exeggutor</t>
  </si>
  <si>
    <t>Lapras</t>
  </si>
  <si>
    <t>Meganium</t>
  </si>
  <si>
    <t>Magmortar</t>
  </si>
  <si>
    <t>Minior</t>
  </si>
  <si>
    <t>Klawf</t>
  </si>
  <si>
    <t>Squawkabilly</t>
  </si>
  <si>
    <t>Leavanny</t>
  </si>
  <si>
    <t>Ampharos</t>
  </si>
  <si>
    <t>Hisuian Avalugg</t>
  </si>
  <si>
    <t>Basculin</t>
  </si>
  <si>
    <t>Beartic</t>
  </si>
  <si>
    <t>Camerupt</t>
  </si>
  <si>
    <t>Carbink</t>
  </si>
  <si>
    <t>Crabominable</t>
  </si>
  <si>
    <t>Alolan Dugtrio</t>
  </si>
  <si>
    <t>Eiscue</t>
  </si>
  <si>
    <t>Falinks</t>
  </si>
  <si>
    <t>Flareon</t>
  </si>
  <si>
    <t>Frogadier</t>
  </si>
  <si>
    <t>Glaceon</t>
  </si>
  <si>
    <t>Gogoat</t>
  </si>
  <si>
    <t>Golduck</t>
  </si>
  <si>
    <t>Gumshoos</t>
  </si>
  <si>
    <t>Houndoom</t>
  </si>
  <si>
    <t>Komala</t>
  </si>
  <si>
    <t>Lilligant</t>
  </si>
  <si>
    <t>Thick Fat</t>
  </si>
  <si>
    <t>Luxray</t>
  </si>
  <si>
    <t>004</t>
  </si>
  <si>
    <t>charmander</t>
  </si>
  <si>
    <t>Charmander</t>
  </si>
  <si>
    <t>Lycanroc-Midnight</t>
  </si>
  <si>
    <t>Masquerain</t>
  </si>
  <si>
    <t>Morgrem</t>
  </si>
  <si>
    <t>Naclstack</t>
  </si>
  <si>
    <t>Oinkologne</t>
  </si>
  <si>
    <t>Oranguru</t>
  </si>
  <si>
    <t>Raboot</t>
  </si>
  <si>
    <t>Sawsbuck</t>
  </si>
  <si>
    <t>Slaking</t>
  </si>
  <si>
    <t>Spidops</t>
  </si>
  <si>
    <t>Stonjourner</t>
  </si>
  <si>
    <t>Veluza</t>
  </si>
  <si>
    <t>Vivillon</t>
  </si>
  <si>
    <t>Whiscash</t>
  </si>
  <si>
    <t>Wigglytuff</t>
  </si>
  <si>
    <t>Arbok</t>
  </si>
  <si>
    <t>Sandslash</t>
  </si>
  <si>
    <t>Golem</t>
  </si>
  <si>
    <t>Alolan Golem</t>
  </si>
  <si>
    <t>Gligar</t>
  </si>
  <si>
    <t>Volbeat</t>
  </si>
  <si>
    <t>Illumise</t>
  </si>
  <si>
    <t>Grotle</t>
  </si>
  <si>
    <t>Monferno</t>
  </si>
  <si>
    <t>Prinplup</t>
  </si>
  <si>
    <t>Ambipom</t>
  </si>
  <si>
    <t>Munchlax</t>
  </si>
  <si>
    <t>Phione</t>
  </si>
  <si>
    <t>Trevenant</t>
  </si>
  <si>
    <t>Cramorant</t>
  </si>
  <si>
    <t>Dodrio</t>
  </si>
  <si>
    <t>Dewgong</t>
  </si>
  <si>
    <t>Exeggutor</t>
  </si>
  <si>
    <t>Electabuzz</t>
  </si>
  <si>
    <t>Bellossom</t>
  </si>
  <si>
    <t>Regice</t>
  </si>
  <si>
    <t>Rampardos</t>
  </si>
  <si>
    <t>Servine</t>
  </si>
  <si>
    <t>Zebstrika</t>
  </si>
  <si>
    <t>Duosion</t>
  </si>
  <si>
    <t>Meowstic-female</t>
  </si>
  <si>
    <t>Malamar</t>
  </si>
  <si>
    <t>Toucannon</t>
  </si>
  <si>
    <t>Alcremie</t>
  </si>
  <si>
    <t>Crocalor</t>
  </si>
  <si>
    <t>Floragato</t>
  </si>
  <si>
    <t>Quaxwell</t>
  </si>
  <si>
    <t>Banette</t>
  </si>
  <si>
    <t>Cacnea</t>
  </si>
  <si>
    <t>Cacturne</t>
  </si>
  <si>
    <t>Calyrex</t>
  </si>
  <si>
    <t>Carkol</t>
  </si>
  <si>
    <t>Dedenne</t>
  </si>
  <si>
    <t>Delibird</t>
  </si>
  <si>
    <t>Diglett</t>
  </si>
  <si>
    <t>Dragonair</t>
  </si>
  <si>
    <t>Drakloak</t>
  </si>
  <si>
    <t>Eelektrik</t>
  </si>
  <si>
    <t>Finneon</t>
  </si>
  <si>
    <t>Flaaffy</t>
  </si>
  <si>
    <t>Fletchinder</t>
  </si>
  <si>
    <t>Fraxure</t>
  </si>
  <si>
    <t>Gabite</t>
  </si>
  <si>
    <t>Girafarig</t>
  </si>
  <si>
    <t>Glalie</t>
  </si>
  <si>
    <t>Blaze</t>
  </si>
  <si>
    <t>Solar Power</t>
  </si>
  <si>
    <t>Glimmet</t>
  </si>
  <si>
    <t>005</t>
  </si>
  <si>
    <t>charmeleon</t>
  </si>
  <si>
    <t>Charmeleon</t>
  </si>
  <si>
    <t>Alolan Grimer</t>
  </si>
  <si>
    <t>Grumpig</t>
  </si>
  <si>
    <t>Haunter</t>
  </si>
  <si>
    <t>Hippopotas</t>
  </si>
  <si>
    <t>Hypno</t>
  </si>
  <si>
    <t>Impidimp</t>
  </si>
  <si>
    <t>Jumpluff</t>
  </si>
  <si>
    <t>Kricketune</t>
  </si>
  <si>
    <t>Krokorok</t>
  </si>
  <si>
    <t>Lumineon</t>
  </si>
  <si>
    <t>Mareanie</t>
  </si>
  <si>
    <t>Meditite</t>
  </si>
  <si>
    <t>Alolan Meowth</t>
  </si>
  <si>
    <t>Mudbray</t>
  </si>
  <si>
    <t>Murkrow</t>
  </si>
  <si>
    <t>Pachirisu</t>
  </si>
  <si>
    <t>Pawniard</t>
  </si>
  <si>
    <t>Persian</t>
  </si>
  <si>
    <t>Pikachu</t>
  </si>
  <si>
    <t>Pineco</t>
  </si>
  <si>
    <t>Quilava</t>
  </si>
  <si>
    <t>Riolu</t>
  </si>
  <si>
    <t>Rufflet</t>
  </si>
  <si>
    <t>Seviper</t>
  </si>
  <si>
    <t>Shelgon</t>
  </si>
  <si>
    <t>Sliggoo</t>
  </si>
  <si>
    <t>Hisuian Sliggoo</t>
  </si>
  <si>
    <t>Slowpoke</t>
  </si>
  <si>
    <t>Hisuian Sneasel</t>
  </si>
  <si>
    <t>Snover</t>
  </si>
  <si>
    <t>Stantler</t>
  </si>
  <si>
    <t>Staravia</t>
  </si>
  <si>
    <t>Sudowoodo</t>
  </si>
  <si>
    <t>Sunflora</t>
  </si>
  <si>
    <t>Tinkatuff</t>
  </si>
  <si>
    <t>Tropius</t>
  </si>
  <si>
    <t>Vespiquen</t>
  </si>
  <si>
    <t>Vigoroth</t>
  </si>
  <si>
    <t>Wugtrio</t>
  </si>
  <si>
    <t>Dipplin</t>
  </si>
  <si>
    <t>Poltchageist</t>
  </si>
  <si>
    <t>Koffing</t>
  </si>
  <si>
    <t>Furret</t>
  </si>
  <si>
    <t>Ariados</t>
  </si>
  <si>
    <t>Noctowl</t>
  </si>
  <si>
    <t>Magcargo</t>
  </si>
  <si>
    <t>Mightyena</t>
  </si>
  <si>
    <t>Chimecho</t>
  </si>
  <si>
    <t>Probopass</t>
  </si>
  <si>
    <t>Swanna</t>
  </si>
  <si>
    <t>Vullaby</t>
  </si>
  <si>
    <t>Hakamo-o</t>
  </si>
  <si>
    <t>Magmar</t>
  </si>
  <si>
    <t>Porygon</t>
  </si>
  <si>
    <t>Bayleef</t>
  </si>
  <si>
    <t>Croconaw</t>
  </si>
  <si>
    <t>006</t>
  </si>
  <si>
    <t>charizard</t>
  </si>
  <si>
    <t>Plusle</t>
  </si>
  <si>
    <t>Minun</t>
  </si>
  <si>
    <t>Trapinch</t>
  </si>
  <si>
    <t>Metang</t>
  </si>
  <si>
    <t>Bastiodon</t>
  </si>
  <si>
    <t>Pignite</t>
  </si>
  <si>
    <t>Torracat</t>
  </si>
  <si>
    <t>Brionne</t>
  </si>
  <si>
    <t>Cosmoem</t>
  </si>
  <si>
    <t>Vulpix</t>
  </si>
  <si>
    <t>Charjabug</t>
  </si>
  <si>
    <t>Hattrem</t>
  </si>
  <si>
    <t>Marill</t>
  </si>
  <si>
    <t>Hisuian Zorua</t>
  </si>
  <si>
    <t>006-mx</t>
  </si>
  <si>
    <t>charizard-mega-x</t>
  </si>
  <si>
    <t>charizard-megax</t>
  </si>
  <si>
    <t>Mega Charizard X</t>
  </si>
  <si>
    <t>Defending Type</t>
  </si>
  <si>
    <t>NORMAL</t>
  </si>
  <si>
    <t>FIGHTING</t>
  </si>
  <si>
    <t>FLYING</t>
  </si>
  <si>
    <t>POISON</t>
  </si>
  <si>
    <t>GROUND</t>
  </si>
  <si>
    <t>ROCK</t>
  </si>
  <si>
    <t>BUG</t>
  </si>
  <si>
    <t>GHOST</t>
  </si>
  <si>
    <t>STEEL</t>
  </si>
  <si>
    <t>FIRE</t>
  </si>
  <si>
    <t>WATER</t>
  </si>
  <si>
    <t>GRASS</t>
  </si>
  <si>
    <t>ELECTRIC</t>
  </si>
  <si>
    <t>PSYCHIC</t>
  </si>
  <si>
    <t>ICE</t>
  </si>
  <si>
    <t>DRAGON</t>
  </si>
  <si>
    <t>DARK</t>
  </si>
  <si>
    <t>FAIRY</t>
  </si>
  <si>
    <t>Attacking Type</t>
  </si>
  <si>
    <t>Tough Claws</t>
  </si>
  <si>
    <t>006-my</t>
  </si>
  <si>
    <t>charizard-mega-y</t>
  </si>
  <si>
    <t>charizard-megay</t>
  </si>
  <si>
    <t>Mega Charizard Y</t>
  </si>
  <si>
    <t>ro</t>
  </si>
  <si>
    <t>no zard y only torkoal</t>
  </si>
  <si>
    <t>WPF Season 12 Playoffs: Drizzle</t>
  </si>
  <si>
    <t>WPF Season 12 Playoffs: Drought</t>
  </si>
  <si>
    <t>Quarterfinals</t>
  </si>
  <si>
    <t>Seed 1</t>
  </si>
  <si>
    <t>Vs</t>
  </si>
  <si>
    <t>Seed 8</t>
  </si>
  <si>
    <t>Seed 4</t>
  </si>
  <si>
    <t>Seed 5</t>
  </si>
  <si>
    <t>Seed 2</t>
  </si>
  <si>
    <t>Seed 7</t>
  </si>
  <si>
    <t>Seed 3</t>
  </si>
  <si>
    <t>Seed 6</t>
  </si>
  <si>
    <t>W/L</t>
  </si>
  <si>
    <t>Drought</t>
  </si>
  <si>
    <t>007</t>
  </si>
  <si>
    <t>squirtle</t>
  </si>
  <si>
    <t>Squirtle</t>
  </si>
  <si>
    <t>5 FAs</t>
  </si>
  <si>
    <t>1 FAs</t>
  </si>
  <si>
    <t>Semifinals</t>
  </si>
  <si>
    <t>Torrent</t>
  </si>
  <si>
    <t>Rain Dish</t>
  </si>
  <si>
    <t>008</t>
  </si>
  <si>
    <t>wartortle</t>
  </si>
  <si>
    <t>Wartortle</t>
  </si>
  <si>
    <t>Skips</t>
  </si>
  <si>
    <t>Timer</t>
  </si>
  <si>
    <t>Finals</t>
  </si>
  <si>
    <t>Champion:</t>
  </si>
  <si>
    <t>Scribls</t>
  </si>
  <si>
    <t>Team Name:</t>
  </si>
  <si>
    <t>Colorado Cobalions</t>
  </si>
  <si>
    <t>Flap</t>
  </si>
  <si>
    <t>Bedtime Bidoofs</t>
  </si>
  <si>
    <t>009</t>
  </si>
  <si>
    <t>blastoise</t>
  </si>
  <si>
    <t>Week 8</t>
  </si>
  <si>
    <t>Week 9</t>
  </si>
  <si>
    <t>009-m</t>
  </si>
  <si>
    <t>blastoise-mega</t>
  </si>
  <si>
    <t>Mega Blastoise</t>
  </si>
  <si>
    <t>Games Won</t>
  </si>
  <si>
    <t>Replays</t>
  </si>
  <si>
    <t>Series Outcome</t>
  </si>
  <si>
    <t>Mega Launcher</t>
  </si>
  <si>
    <t>010</t>
  </si>
  <si>
    <t>caterpie</t>
  </si>
  <si>
    <t>Caterpie</t>
  </si>
  <si>
    <t>Shield Dust</t>
  </si>
  <si>
    <t>Run Away</t>
  </si>
  <si>
    <t>011</t>
  </si>
  <si>
    <t>metapod</t>
  </si>
  <si>
    <t>Metapod</t>
  </si>
  <si>
    <t>Nidoqueen</t>
  </si>
  <si>
    <t>Nidoking</t>
  </si>
  <si>
    <t>Dwebble</t>
  </si>
  <si>
    <t>Crustle</t>
  </si>
  <si>
    <t>Fennekin</t>
  </si>
  <si>
    <t>Wishiwashi</t>
  </si>
  <si>
    <t>Shed Skin</t>
  </si>
  <si>
    <t>012</t>
  </si>
  <si>
    <t>butterfree</t>
  </si>
  <si>
    <t>Butterfree</t>
  </si>
  <si>
    <t>Compound Eyes</t>
  </si>
  <si>
    <t>Tinted Lens</t>
  </si>
  <si>
    <t>013</t>
  </si>
  <si>
    <t>weedle</t>
  </si>
  <si>
    <t>Weedle</t>
  </si>
  <si>
    <t>014</t>
  </si>
  <si>
    <t>kakuna</t>
  </si>
  <si>
    <t>Kakuna</t>
  </si>
  <si>
    <t>015</t>
  </si>
  <si>
    <t>beedrill</t>
  </si>
  <si>
    <t>Beedrill</t>
  </si>
  <si>
    <t>Swarm</t>
  </si>
  <si>
    <t>Sniper</t>
  </si>
  <si>
    <t>015-m</t>
  </si>
  <si>
    <t>beedrill-mega</t>
  </si>
  <si>
    <t>Mega Beedrill</t>
  </si>
  <si>
    <t>Adaptability</t>
  </si>
  <si>
    <t>016</t>
  </si>
  <si>
    <t>pidgey</t>
  </si>
  <si>
    <t>Pidgey</t>
  </si>
  <si>
    <t>Keen Eye</t>
  </si>
  <si>
    <t>Tangled Feet</t>
  </si>
  <si>
    <t>Big Pecks</t>
  </si>
  <si>
    <t>017</t>
  </si>
  <si>
    <t>pidgeotto</t>
  </si>
  <si>
    <t>Pidgeotto</t>
  </si>
  <si>
    <t>018</t>
  </si>
  <si>
    <t>pidgeot</t>
  </si>
  <si>
    <t>Pidgeot</t>
  </si>
  <si>
    <t>018-m</t>
  </si>
  <si>
    <t>pidgeot-mega</t>
  </si>
  <si>
    <t>Mega Pidgeot</t>
  </si>
  <si>
    <t>No Guard</t>
  </si>
  <si>
    <t>019</t>
  </si>
  <si>
    <t>rattata</t>
  </si>
  <si>
    <t>Rattata</t>
  </si>
  <si>
    <t>Guts</t>
  </si>
  <si>
    <t>Hustle</t>
  </si>
  <si>
    <t>019-a</t>
  </si>
  <si>
    <t>rattata-alola</t>
  </si>
  <si>
    <t>rattata-alolan</t>
  </si>
  <si>
    <t>Alolan Rattata</t>
  </si>
  <si>
    <t>Gluttony</t>
  </si>
  <si>
    <t>020</t>
  </si>
  <si>
    <t>raticate</t>
  </si>
  <si>
    <t>Raticate</t>
  </si>
  <si>
    <t>020-a</t>
  </si>
  <si>
    <t>raticate-alola</t>
  </si>
  <si>
    <t>raticate-alolan</t>
  </si>
  <si>
    <t>Alolan Raticate</t>
  </si>
  <si>
    <t>021</t>
  </si>
  <si>
    <t>spearow</t>
  </si>
  <si>
    <t>Spearow</t>
  </si>
  <si>
    <t>022</t>
  </si>
  <si>
    <t>fearow</t>
  </si>
  <si>
    <t>Fearow</t>
  </si>
  <si>
    <t>023</t>
  </si>
  <si>
    <t>ekans</t>
  </si>
  <si>
    <t>Ekans</t>
  </si>
  <si>
    <t>Intimidate</t>
  </si>
  <si>
    <t>Unnerve</t>
  </si>
  <si>
    <t>024</t>
  </si>
  <si>
    <t>arbok</t>
  </si>
  <si>
    <t>025</t>
  </si>
  <si>
    <t>pikachu</t>
  </si>
  <si>
    <t>Static</t>
  </si>
  <si>
    <t>Lightning Rod</t>
  </si>
  <si>
    <t>025-c</t>
  </si>
  <si>
    <t>pikachu-cosplay</t>
  </si>
  <si>
    <t>Pikachu-Cosplay</t>
  </si>
  <si>
    <t>025-r</t>
  </si>
  <si>
    <t>pikachu-rock-star</t>
  </si>
  <si>
    <t>pikachu-rockstar</t>
  </si>
  <si>
    <t>Pikachu-Rock-Star</t>
  </si>
  <si>
    <t>025-b</t>
  </si>
  <si>
    <t>pikachu-belle</t>
  </si>
  <si>
    <t>Pikachu-Belle</t>
  </si>
  <si>
    <t>025-ps</t>
  </si>
  <si>
    <t>pikachu-pop-star</t>
  </si>
  <si>
    <t>pikachu-popstar</t>
  </si>
  <si>
    <t>Pikachu-Pop-Star</t>
  </si>
  <si>
    <t>025-phd</t>
  </si>
  <si>
    <t>pikachu-phd</t>
  </si>
  <si>
    <t>Pikachu-PhD</t>
  </si>
  <si>
    <t>025-l</t>
  </si>
  <si>
    <t>pikachu-libre</t>
  </si>
  <si>
    <t>Pikachu-Libre</t>
  </si>
  <si>
    <t>025-o</t>
  </si>
  <si>
    <t>pikachu-original-cap</t>
  </si>
  <si>
    <t>pikachu-original</t>
  </si>
  <si>
    <t>Pikachu-Original</t>
  </si>
  <si>
    <t>025-h</t>
  </si>
  <si>
    <t>pikachu-hoenn-cap</t>
  </si>
  <si>
    <t>pikachu-hoenn</t>
  </si>
  <si>
    <t>Pikachu-Hoenn</t>
  </si>
  <si>
    <t>025-s</t>
  </si>
  <si>
    <t>pikachu-sinnoh-cap</t>
  </si>
  <si>
    <t>pikachu-sinnoh</t>
  </si>
  <si>
    <t>Pikachu-Sinnoh</t>
  </si>
  <si>
    <t>025-u</t>
  </si>
  <si>
    <t>pikachu-unova-cap</t>
  </si>
  <si>
    <t>pikachu-unova</t>
  </si>
  <si>
    <t>Pikachu-Unova</t>
  </si>
  <si>
    <t>025-k</t>
  </si>
  <si>
    <t>pikachu-kalos-cap</t>
  </si>
  <si>
    <t>pikachu-kalos</t>
  </si>
  <si>
    <t>Pikachu-Kalos</t>
  </si>
  <si>
    <t>025-a</t>
  </si>
  <si>
    <t>pikachu-alola-cap</t>
  </si>
  <si>
    <t>pikachu-alola</t>
  </si>
  <si>
    <t>Pikachu-Alola</t>
  </si>
  <si>
    <t>025-p</t>
  </si>
  <si>
    <t>pikachu-partner-cap</t>
  </si>
  <si>
    <t>pikachu-partner</t>
  </si>
  <si>
    <t>Pikachu-Partner</t>
  </si>
  <si>
    <t>025-pa</t>
  </si>
  <si>
    <t>pikachu-starter</t>
  </si>
  <si>
    <t>Pikachu-Starter</t>
  </si>
  <si>
    <t>026</t>
  </si>
  <si>
    <t>raichu</t>
  </si>
  <si>
    <t>026-a</t>
  </si>
  <si>
    <t>raichu-alola</t>
  </si>
  <si>
    <t>raichu-alolan</t>
  </si>
  <si>
    <t>Surge Surfer</t>
  </si>
  <si>
    <t>027</t>
  </si>
  <si>
    <t>sandshrew</t>
  </si>
  <si>
    <t>Sandshrew</t>
  </si>
  <si>
    <t>Sand Veil</t>
  </si>
  <si>
    <t>Sand Rush</t>
  </si>
  <si>
    <t>027-a</t>
  </si>
  <si>
    <t>sandshrew-alola</t>
  </si>
  <si>
    <t>sandshrew-alolan</t>
  </si>
  <si>
    <t>Alolan Sandshrew</t>
  </si>
  <si>
    <t>Snow Cloak</t>
  </si>
  <si>
    <t>Slush Rush</t>
  </si>
  <si>
    <t>028</t>
  </si>
  <si>
    <t>sandslash</t>
  </si>
  <si>
    <t>028-a</t>
  </si>
  <si>
    <t>sandslash-alola</t>
  </si>
  <si>
    <t>sandslash-alolan</t>
  </si>
  <si>
    <t>029</t>
  </si>
  <si>
    <t>nidoran-f</t>
  </si>
  <si>
    <t>nidoranf</t>
  </si>
  <si>
    <t>Nidoran-Female</t>
  </si>
  <si>
    <t>Poison Point</t>
  </si>
  <si>
    <t>Rivalry</t>
  </si>
  <si>
    <t>030</t>
  </si>
  <si>
    <t>nidorina</t>
  </si>
  <si>
    <t>Nidorina</t>
  </si>
  <si>
    <t>031</t>
  </si>
  <si>
    <t>nidoqueen</t>
  </si>
  <si>
    <t>Sheer Force</t>
  </si>
  <si>
    <t>032</t>
  </si>
  <si>
    <t>nidoran-m</t>
  </si>
  <si>
    <t>nidoranm</t>
  </si>
  <si>
    <t>Nidoran-Male</t>
  </si>
  <si>
    <t>033</t>
  </si>
  <si>
    <t>nidorino</t>
  </si>
  <si>
    <t>Nidorino</t>
  </si>
  <si>
    <t>034</t>
  </si>
  <si>
    <t>nidoking</t>
  </si>
  <si>
    <t>035</t>
  </si>
  <si>
    <t>clefairy</t>
  </si>
  <si>
    <t>Cute Charm</t>
  </si>
  <si>
    <t>Magic Guard</t>
  </si>
  <si>
    <t>Friend Guard</t>
  </si>
  <si>
    <t>036</t>
  </si>
  <si>
    <t>Unaware</t>
  </si>
  <si>
    <t>037</t>
  </si>
  <si>
    <t>vulpix</t>
  </si>
  <si>
    <t>Flash Fire</t>
  </si>
  <si>
    <t>037-a</t>
  </si>
  <si>
    <t>vulpix-alola</t>
  </si>
  <si>
    <t>vulpix-alolan</t>
  </si>
  <si>
    <t>Snow Warning</t>
  </si>
  <si>
    <t>038</t>
  </si>
  <si>
    <t>ninetales</t>
  </si>
  <si>
    <t>038-a</t>
  </si>
  <si>
    <t>ninetales-alola</t>
  </si>
  <si>
    <t>ninetales-alolan</t>
  </si>
  <si>
    <t>039</t>
  </si>
  <si>
    <t>jigglypuff</t>
  </si>
  <si>
    <t>Jigglypuff</t>
  </si>
  <si>
    <t>Competitive</t>
  </si>
  <si>
    <t>040</t>
  </si>
  <si>
    <t>wigglytuff</t>
  </si>
  <si>
    <t>Frisk</t>
  </si>
  <si>
    <t>041</t>
  </si>
  <si>
    <t>zubat</t>
  </si>
  <si>
    <t>Zubat</t>
  </si>
  <si>
    <t>Inner Focus</t>
  </si>
  <si>
    <t>Infiltrator</t>
  </si>
  <si>
    <t>042</t>
  </si>
  <si>
    <t>golbat</t>
  </si>
  <si>
    <t>Golbat</t>
  </si>
  <si>
    <t>043</t>
  </si>
  <si>
    <t>oddish</t>
  </si>
  <si>
    <t>Oddish</t>
  </si>
  <si>
    <t>044</t>
  </si>
  <si>
    <t>gloom</t>
  </si>
  <si>
    <t>Gloom</t>
  </si>
  <si>
    <t>Stench</t>
  </si>
  <si>
    <t>045</t>
  </si>
  <si>
    <t>vileplume</t>
  </si>
  <si>
    <t>Effect Spore</t>
  </si>
  <si>
    <t>046</t>
  </si>
  <si>
    <t>paras</t>
  </si>
  <si>
    <t>Paras</t>
  </si>
  <si>
    <t>Dry Skin</t>
  </si>
  <si>
    <t>Damp</t>
  </si>
  <si>
    <t>047</t>
  </si>
  <si>
    <t>parasect</t>
  </si>
  <si>
    <t>Parasect</t>
  </si>
  <si>
    <t>048</t>
  </si>
  <si>
    <t>venonat</t>
  </si>
  <si>
    <t>Venonat</t>
  </si>
  <si>
    <t>049</t>
  </si>
  <si>
    <t>venomoth</t>
  </si>
  <si>
    <t>Wonder Skin</t>
  </si>
  <si>
    <t>050</t>
  </si>
  <si>
    <t>diglett</t>
  </si>
  <si>
    <t>Arena Trap</t>
  </si>
  <si>
    <t>Sand Force</t>
  </si>
  <si>
    <t>050-a</t>
  </si>
  <si>
    <t>diglett-alola</t>
  </si>
  <si>
    <t>diglett-alolan</t>
  </si>
  <si>
    <t>Alolan Diglett</t>
  </si>
  <si>
    <t>Tangling Hair</t>
  </si>
  <si>
    <t>051</t>
  </si>
  <si>
    <t>dugtrio</t>
  </si>
  <si>
    <t>051-a</t>
  </si>
  <si>
    <t>dugtrio-alola</t>
  </si>
  <si>
    <t>dugtrio-alolan</t>
  </si>
  <si>
    <t>052</t>
  </si>
  <si>
    <t>meowth</t>
  </si>
  <si>
    <t>Meowth</t>
  </si>
  <si>
    <t>Pickup</t>
  </si>
  <si>
    <t>Technician</t>
  </si>
  <si>
    <t>052-a</t>
  </si>
  <si>
    <t>meowth-alola</t>
  </si>
  <si>
    <t>meowth-alolan</t>
  </si>
  <si>
    <t>Rattled</t>
  </si>
  <si>
    <t>052-g</t>
  </si>
  <si>
    <t>meowth-galar</t>
  </si>
  <si>
    <t>meowth-galarian</t>
  </si>
  <si>
    <t>Galarian Meowth</t>
  </si>
  <si>
    <t>053</t>
  </si>
  <si>
    <t>persian</t>
  </si>
  <si>
    <t>Limber</t>
  </si>
  <si>
    <t>053-a</t>
  </si>
  <si>
    <t>persian-alola</t>
  </si>
  <si>
    <t>persian-alolan</t>
  </si>
  <si>
    <t>Fur Coat</t>
  </si>
  <si>
    <t>054</t>
  </si>
  <si>
    <t>psyduck</t>
  </si>
  <si>
    <t>Psyduck</t>
  </si>
  <si>
    <t>Cloud Nine</t>
  </si>
  <si>
    <t>Swift Swim</t>
  </si>
  <si>
    <t>055</t>
  </si>
  <si>
    <t>golduck</t>
  </si>
  <si>
    <t>056</t>
  </si>
  <si>
    <t>mankey</t>
  </si>
  <si>
    <t>Mankey</t>
  </si>
  <si>
    <t>Vital Spirit</t>
  </si>
  <si>
    <t>Anger Point</t>
  </si>
  <si>
    <t>Defiant</t>
  </si>
  <si>
    <t>057</t>
  </si>
  <si>
    <t>primeape</t>
  </si>
  <si>
    <t>058</t>
  </si>
  <si>
    <t>growlithe</t>
  </si>
  <si>
    <t>Growlithe</t>
  </si>
  <si>
    <t>Justified</t>
  </si>
  <si>
    <t>058-h</t>
  </si>
  <si>
    <t>Hisuian Growlithe</t>
  </si>
  <si>
    <t>Rock Head</t>
  </si>
  <si>
    <t>059</t>
  </si>
  <si>
    <t>arcanine</t>
  </si>
  <si>
    <t>059-h</t>
  </si>
  <si>
    <t>060</t>
  </si>
  <si>
    <t>poliwag</t>
  </si>
  <si>
    <t>Poliwag</t>
  </si>
  <si>
    <t>Water Absorb</t>
  </si>
  <si>
    <t>061</t>
  </si>
  <si>
    <t>poliwhirl</t>
  </si>
  <si>
    <t>Poliwhirl</t>
  </si>
  <si>
    <t>062</t>
  </si>
  <si>
    <t>poliwrath</t>
  </si>
  <si>
    <t>063</t>
  </si>
  <si>
    <t>abra</t>
  </si>
  <si>
    <t>Abra</t>
  </si>
  <si>
    <t>Synchronize</t>
  </si>
  <si>
    <t>064</t>
  </si>
  <si>
    <t>kadabra</t>
  </si>
  <si>
    <t>Kadabra</t>
  </si>
  <si>
    <t>065</t>
  </si>
  <si>
    <t>alakazam</t>
  </si>
  <si>
    <t>Alakazam</t>
  </si>
  <si>
    <t>065-m</t>
  </si>
  <si>
    <t>alakazam-mega</t>
  </si>
  <si>
    <t>Mega Alakazam</t>
  </si>
  <si>
    <t>Trace</t>
  </si>
  <si>
    <t>066</t>
  </si>
  <si>
    <t>machop</t>
  </si>
  <si>
    <t>Machop</t>
  </si>
  <si>
    <t>Steadfast</t>
  </si>
  <si>
    <t>067</t>
  </si>
  <si>
    <t>machoke</t>
  </si>
  <si>
    <t>Machoke</t>
  </si>
  <si>
    <t>068</t>
  </si>
  <si>
    <t>machamp</t>
  </si>
  <si>
    <t>Machamp</t>
  </si>
  <si>
    <t>069</t>
  </si>
  <si>
    <t>bellsprout</t>
  </si>
  <si>
    <t>Bellsprout</t>
  </si>
  <si>
    <t>070</t>
  </si>
  <si>
    <t>weepinbell</t>
  </si>
  <si>
    <t>Weepinbell</t>
  </si>
  <si>
    <t>071</t>
  </si>
  <si>
    <t>victreebel</t>
  </si>
  <si>
    <t>072</t>
  </si>
  <si>
    <t>tentacool</t>
  </si>
  <si>
    <t>Tentacool</t>
  </si>
  <si>
    <t>Clear Body</t>
  </si>
  <si>
    <t>Liquid Ooze</t>
  </si>
  <si>
    <t>073</t>
  </si>
  <si>
    <t>tentacruel</t>
  </si>
  <si>
    <t>074</t>
  </si>
  <si>
    <t>geodude</t>
  </si>
  <si>
    <t>Geodude</t>
  </si>
  <si>
    <t>Sturdy</t>
  </si>
  <si>
    <t>074-a</t>
  </si>
  <si>
    <t>geodude-alola</t>
  </si>
  <si>
    <t>geodude-alolan</t>
  </si>
  <si>
    <t>Alolan Geodude</t>
  </si>
  <si>
    <t>Magnet Pull</t>
  </si>
  <si>
    <t>Galvanize</t>
  </si>
  <si>
    <t>075</t>
  </si>
  <si>
    <t>graveler</t>
  </si>
  <si>
    <t>Graveler</t>
  </si>
  <si>
    <t>075-a</t>
  </si>
  <si>
    <t>graveler-alola</t>
  </si>
  <si>
    <t>graveler-alolan</t>
  </si>
  <si>
    <t>Alolan Graveler</t>
  </si>
  <si>
    <t>076</t>
  </si>
  <si>
    <t>golem</t>
  </si>
  <si>
    <t>076-a</t>
  </si>
  <si>
    <t>golem-alola</t>
  </si>
  <si>
    <t>golem-alolan</t>
  </si>
  <si>
    <t>077</t>
  </si>
  <si>
    <t>ponyta</t>
  </si>
  <si>
    <t>Ponyta</t>
  </si>
  <si>
    <t>Flame Body</t>
  </si>
  <si>
    <t>077-g</t>
  </si>
  <si>
    <t>ponyta-galar</t>
  </si>
  <si>
    <t>ponyta-galarian</t>
  </si>
  <si>
    <t>Galarian Ponyta</t>
  </si>
  <si>
    <t>Pastel Veil</t>
  </si>
  <si>
    <t>Anticipation</t>
  </si>
  <si>
    <t>078</t>
  </si>
  <si>
    <t>rapidash</t>
  </si>
  <si>
    <t>Rapidash</t>
  </si>
  <si>
    <t>078-g</t>
  </si>
  <si>
    <t>rapidash-galar</t>
  </si>
  <si>
    <t>rapidash-galarian</t>
  </si>
  <si>
    <t>Galarian Rapidash</t>
  </si>
  <si>
    <t>079</t>
  </si>
  <si>
    <t>slowpoke</t>
  </si>
  <si>
    <t>Oblivious</t>
  </si>
  <si>
    <t>Own Tempo</t>
  </si>
  <si>
    <t>Regenerator</t>
  </si>
  <si>
    <t>079-g</t>
  </si>
  <si>
    <t>slowpoke-galar</t>
  </si>
  <si>
    <t>slowpoke-galarian</t>
  </si>
  <si>
    <t>Galarian Slowpoke</t>
  </si>
  <si>
    <t>080</t>
  </si>
  <si>
    <t>slowbro</t>
  </si>
  <si>
    <t>080-g</t>
  </si>
  <si>
    <t>slowbro-galar</t>
  </si>
  <si>
    <t>slowbro-galarian</t>
  </si>
  <si>
    <t>Quick Draw</t>
  </si>
  <si>
    <t>080-m</t>
  </si>
  <si>
    <t>slowbro-mega</t>
  </si>
  <si>
    <t>Mega Slowbro</t>
  </si>
  <si>
    <t>Shell Armor</t>
  </si>
  <si>
    <t>081</t>
  </si>
  <si>
    <t>magnemite</t>
  </si>
  <si>
    <t>Magnemite</t>
  </si>
  <si>
    <t>Analytic</t>
  </si>
  <si>
    <t>082</t>
  </si>
  <si>
    <t>magneton</t>
  </si>
  <si>
    <t>083</t>
  </si>
  <si>
    <t>farfetchd</t>
  </si>
  <si>
    <t>Farfetch'd</t>
  </si>
  <si>
    <t>083-g</t>
  </si>
  <si>
    <t>farfetchd-galar</t>
  </si>
  <si>
    <t>farfetchd-galarian</t>
  </si>
  <si>
    <t>Galarian Farfetch'd</t>
  </si>
  <si>
    <t>Scrappy</t>
  </si>
  <si>
    <t>084</t>
  </si>
  <si>
    <t>doduo</t>
  </si>
  <si>
    <t>Doduo</t>
  </si>
  <si>
    <t>Early Bird</t>
  </si>
  <si>
    <t>085</t>
  </si>
  <si>
    <t>dodrio</t>
  </si>
  <si>
    <t>086</t>
  </si>
  <si>
    <t>seel</t>
  </si>
  <si>
    <t>Seel</t>
  </si>
  <si>
    <t>Hydration</t>
  </si>
  <si>
    <t>Ice Body</t>
  </si>
  <si>
    <t>087</t>
  </si>
  <si>
    <t>dewgong</t>
  </si>
  <si>
    <t>088</t>
  </si>
  <si>
    <t>grimer</t>
  </si>
  <si>
    <t>Grimer</t>
  </si>
  <si>
    <t>Sticky Hold</t>
  </si>
  <si>
    <t>Poison Touch</t>
  </si>
  <si>
    <t>088-a</t>
  </si>
  <si>
    <t>grimer-alola</t>
  </si>
  <si>
    <t>grimer-alolan</t>
  </si>
  <si>
    <t>Power of Alchemy</t>
  </si>
  <si>
    <t>089</t>
  </si>
  <si>
    <t>muk</t>
  </si>
  <si>
    <t>089-a</t>
  </si>
  <si>
    <t>muk-alola</t>
  </si>
  <si>
    <t>muk-alolan</t>
  </si>
  <si>
    <t>090</t>
  </si>
  <si>
    <t>shellder</t>
  </si>
  <si>
    <t>Shellder</t>
  </si>
  <si>
    <t>Skill Link</t>
  </si>
  <si>
    <t>Overcoat</t>
  </si>
  <si>
    <t>091</t>
  </si>
  <si>
    <t>cloyster</t>
  </si>
  <si>
    <t>092</t>
  </si>
  <si>
    <t>gastly</t>
  </si>
  <si>
    <t>Gastly</t>
  </si>
  <si>
    <t>Levitate</t>
  </si>
  <si>
    <t>093</t>
  </si>
  <si>
    <t>haunter</t>
  </si>
  <si>
    <t>094</t>
  </si>
  <si>
    <t>gengar</t>
  </si>
  <si>
    <t>Cursed Body</t>
  </si>
  <si>
    <t>094-m</t>
  </si>
  <si>
    <t>gengar-mega</t>
  </si>
  <si>
    <t>Mega Gengar</t>
  </si>
  <si>
    <t>Shadow Tag</t>
  </si>
  <si>
    <t>095</t>
  </si>
  <si>
    <t>onix</t>
  </si>
  <si>
    <t>Onix</t>
  </si>
  <si>
    <t>Weak Armor</t>
  </si>
  <si>
    <t>096</t>
  </si>
  <si>
    <t>drowzee</t>
  </si>
  <si>
    <t>Drowzee</t>
  </si>
  <si>
    <t>Insomnia</t>
  </si>
  <si>
    <t>Forewarn</t>
  </si>
  <si>
    <t>097</t>
  </si>
  <si>
    <t>hypno</t>
  </si>
  <si>
    <t>098</t>
  </si>
  <si>
    <t>krabby</t>
  </si>
  <si>
    <t>Krabby</t>
  </si>
  <si>
    <t>Hyper Cutter</t>
  </si>
  <si>
    <t>099</t>
  </si>
  <si>
    <t>kingler</t>
  </si>
  <si>
    <t>Kingler</t>
  </si>
  <si>
    <t>100</t>
  </si>
  <si>
    <t>voltorb</t>
  </si>
  <si>
    <t>Voltorb</t>
  </si>
  <si>
    <t>Soundproof</t>
  </si>
  <si>
    <t>Aftermath</t>
  </si>
  <si>
    <t>100-h</t>
  </si>
  <si>
    <t>Hisuian Voltorb</t>
  </si>
  <si>
    <t>101</t>
  </si>
  <si>
    <t>electrode</t>
  </si>
  <si>
    <t>101-h</t>
  </si>
  <si>
    <t>102</t>
  </si>
  <si>
    <t>exeggcute</t>
  </si>
  <si>
    <t>Exeggcute</t>
  </si>
  <si>
    <t>Harvest</t>
  </si>
  <si>
    <t>103</t>
  </si>
  <si>
    <t>exeggutor</t>
  </si>
  <si>
    <t>103-a</t>
  </si>
  <si>
    <t>exeggutor-alola</t>
  </si>
  <si>
    <t>exeggutor-alolan</t>
  </si>
  <si>
    <t>104</t>
  </si>
  <si>
    <t>cubone</t>
  </si>
  <si>
    <t>Cubone</t>
  </si>
  <si>
    <t>Battle Armor</t>
  </si>
  <si>
    <t>105</t>
  </si>
  <si>
    <t>marowak</t>
  </si>
  <si>
    <t>Marowak</t>
  </si>
  <si>
    <t>105-a</t>
  </si>
  <si>
    <t>marowak-alola</t>
  </si>
  <si>
    <t>marowak-alolan</t>
  </si>
  <si>
    <t>Alolan Marowak</t>
  </si>
  <si>
    <t>106</t>
  </si>
  <si>
    <t>hitmonlee</t>
  </si>
  <si>
    <t>Reckless</t>
  </si>
  <si>
    <t>Unburden</t>
  </si>
  <si>
    <t>107</t>
  </si>
  <si>
    <t>hitmonchan</t>
  </si>
  <si>
    <t>Iron Fist</t>
  </si>
  <si>
    <t>108</t>
  </si>
  <si>
    <t>lickitung</t>
  </si>
  <si>
    <t>Lickitung</t>
  </si>
  <si>
    <t>109</t>
  </si>
  <si>
    <t>koffing</t>
  </si>
  <si>
    <t>Neutralizing Gas</t>
  </si>
  <si>
    <t>110</t>
  </si>
  <si>
    <t>weezing</t>
  </si>
  <si>
    <t>110-g</t>
  </si>
  <si>
    <t>weezing-galar</t>
  </si>
  <si>
    <t>weezing-galarian</t>
  </si>
  <si>
    <t>Misty Surge</t>
  </si>
  <si>
    <t>111</t>
  </si>
  <si>
    <t>rhyhorn</t>
  </si>
  <si>
    <t>Rhyhorn</t>
  </si>
  <si>
    <t>112</t>
  </si>
  <si>
    <t>rhydon</t>
  </si>
  <si>
    <t>113</t>
  </si>
  <si>
    <t>Natural Cure</t>
  </si>
  <si>
    <t>Serene Grace</t>
  </si>
  <si>
    <t>Healer</t>
  </si>
  <si>
    <t>114</t>
  </si>
  <si>
    <t>tangela</t>
  </si>
  <si>
    <t>Tangela</t>
  </si>
  <si>
    <t>Leaf Guard</t>
  </si>
  <si>
    <t>115</t>
  </si>
  <si>
    <t>kangaskhan</t>
  </si>
  <si>
    <t>Kangaskhan</t>
  </si>
  <si>
    <t>115-m</t>
  </si>
  <si>
    <t>kangaskhan-mega</t>
  </si>
  <si>
    <t>Mega Kangaskhan</t>
  </si>
  <si>
    <t>116</t>
  </si>
  <si>
    <t>horsea</t>
  </si>
  <si>
    <t>Horsea</t>
  </si>
  <si>
    <t>117</t>
  </si>
  <si>
    <t>seadra</t>
  </si>
  <si>
    <t>Seadra</t>
  </si>
  <si>
    <t>118</t>
  </si>
  <si>
    <t>goldeen</t>
  </si>
  <si>
    <t>Goldeen</t>
  </si>
  <si>
    <t>Water Veil</t>
  </si>
  <si>
    <t>119</t>
  </si>
  <si>
    <t>seaking</t>
  </si>
  <si>
    <t>Seaking</t>
  </si>
  <si>
    <t>120</t>
  </si>
  <si>
    <t>staryu</t>
  </si>
  <si>
    <t>Staryu</t>
  </si>
  <si>
    <t>Illuminate</t>
  </si>
  <si>
    <t>121</t>
  </si>
  <si>
    <t>starmie</t>
  </si>
  <si>
    <t>Starmie</t>
  </si>
  <si>
    <t>122</t>
  </si>
  <si>
    <t>mr-mime</t>
  </si>
  <si>
    <t>mrmime</t>
  </si>
  <si>
    <t>Mr. Mime</t>
  </si>
  <si>
    <t>Filter</t>
  </si>
  <si>
    <t>122-g</t>
  </si>
  <si>
    <t>mr-mime-galar</t>
  </si>
  <si>
    <t>mrmime-galar</t>
  </si>
  <si>
    <t>mr-mime-galarian</t>
  </si>
  <si>
    <t>Galarian Mr. Mime</t>
  </si>
  <si>
    <t>Screen Cleaner</t>
  </si>
  <si>
    <t>123</t>
  </si>
  <si>
    <t>scyther</t>
  </si>
  <si>
    <t>124</t>
  </si>
  <si>
    <t>jynx</t>
  </si>
  <si>
    <t>Jynx</t>
  </si>
  <si>
    <t>125</t>
  </si>
  <si>
    <t>electabuzz</t>
  </si>
  <si>
    <t>126</t>
  </si>
  <si>
    <t>magmar</t>
  </si>
  <si>
    <t>127</t>
  </si>
  <si>
    <t>pinsir</t>
  </si>
  <si>
    <t>Pinsir</t>
  </si>
  <si>
    <t>Mold Breaker</t>
  </si>
  <si>
    <t>Moxie</t>
  </si>
  <si>
    <t>127-m</t>
  </si>
  <si>
    <t>pinsir-mega</t>
  </si>
  <si>
    <t>Mega Pinsir</t>
  </si>
  <si>
    <t>Aerilate</t>
  </si>
  <si>
    <t>128</t>
  </si>
  <si>
    <t>tauros</t>
  </si>
  <si>
    <t>128-p</t>
  </si>
  <si>
    <t>tauros-paldea</t>
  </si>
  <si>
    <t>128-1</t>
  </si>
  <si>
    <t>tauros-paldea-fire</t>
  </si>
  <si>
    <t>tauros-paldeafire</t>
  </si>
  <si>
    <t>128-2</t>
  </si>
  <si>
    <t>tauros-paldea-water</t>
  </si>
  <si>
    <t>tauros-paldeawater</t>
  </si>
  <si>
    <t>129</t>
  </si>
  <si>
    <t>magikarp</t>
  </si>
  <si>
    <t>130</t>
  </si>
  <si>
    <t>gyarados</t>
  </si>
  <si>
    <t>130-m</t>
  </si>
  <si>
    <t>gyarados-mega</t>
  </si>
  <si>
    <t>Mega Gyarados</t>
  </si>
  <si>
    <t>131</t>
  </si>
  <si>
    <t>lapras</t>
  </si>
  <si>
    <t>132</t>
  </si>
  <si>
    <t>ditto</t>
  </si>
  <si>
    <t>Imposter</t>
  </si>
  <si>
    <t>133</t>
  </si>
  <si>
    <t>eevee</t>
  </si>
  <si>
    <t>Eevee</t>
  </si>
  <si>
    <t>133-pa</t>
  </si>
  <si>
    <t>eevee-starter</t>
  </si>
  <si>
    <t>Eevee-Starter</t>
  </si>
  <si>
    <t>134</t>
  </si>
  <si>
    <t>vaporeon</t>
  </si>
  <si>
    <t>135</t>
  </si>
  <si>
    <t>jolteon</t>
  </si>
  <si>
    <t>Volt Absorb</t>
  </si>
  <si>
    <t>Quick Feet</t>
  </si>
  <si>
    <t>136</t>
  </si>
  <si>
    <t>flareon</t>
  </si>
  <si>
    <t>137</t>
  </si>
  <si>
    <t>porygon</t>
  </si>
  <si>
    <t>Download</t>
  </si>
  <si>
    <t>138</t>
  </si>
  <si>
    <t>omanyte</t>
  </si>
  <si>
    <t>Omanyte</t>
  </si>
  <si>
    <t>139</t>
  </si>
  <si>
    <t>omastar</t>
  </si>
  <si>
    <t>Omastar</t>
  </si>
  <si>
    <t>140</t>
  </si>
  <si>
    <t>kabuto</t>
  </si>
  <si>
    <t>Kabuto</t>
  </si>
  <si>
    <t>141</t>
  </si>
  <si>
    <t>kabutops</t>
  </si>
  <si>
    <t>Kabutops</t>
  </si>
  <si>
    <t>142</t>
  </si>
  <si>
    <t>aerodactyl</t>
  </si>
  <si>
    <t>Aerodactyl</t>
  </si>
  <si>
    <t>Pressure</t>
  </si>
  <si>
    <t>142-m</t>
  </si>
  <si>
    <t>aerodactyl-mega</t>
  </si>
  <si>
    <t>Mega Aerodactyl</t>
  </si>
  <si>
    <t>143</t>
  </si>
  <si>
    <t>snorlax</t>
  </si>
  <si>
    <t>Immunity</t>
  </si>
  <si>
    <t>144</t>
  </si>
  <si>
    <t>articuno</t>
  </si>
  <si>
    <t>144-g</t>
  </si>
  <si>
    <t>articuno-galar</t>
  </si>
  <si>
    <t>articuno-galarian</t>
  </si>
  <si>
    <t>145</t>
  </si>
  <si>
    <t>145-g</t>
  </si>
  <si>
    <t>zapdos-galar</t>
  </si>
  <si>
    <t>zapdos-galarian</t>
  </si>
  <si>
    <t>146</t>
  </si>
  <si>
    <t>moltres</t>
  </si>
  <si>
    <t>146-g</t>
  </si>
  <si>
    <t>moltres-galar</t>
  </si>
  <si>
    <t>moltres-galarian</t>
  </si>
  <si>
    <t>Berserk</t>
  </si>
  <si>
    <t>147</t>
  </si>
  <si>
    <t>dratini</t>
  </si>
  <si>
    <t>Dratini</t>
  </si>
  <si>
    <t>Marvel Scale</t>
  </si>
  <si>
    <t>148</t>
  </si>
  <si>
    <t>dragonair</t>
  </si>
  <si>
    <t>149</t>
  </si>
  <si>
    <t>Multiscale</t>
  </si>
  <si>
    <t>150</t>
  </si>
  <si>
    <t>mewtwo</t>
  </si>
  <si>
    <t>150-mx</t>
  </si>
  <si>
    <t>mewtwo-mega-x</t>
  </si>
  <si>
    <t>mewtwo-megax</t>
  </si>
  <si>
    <t>Mewtwo-Mega x</t>
  </si>
  <si>
    <t>150-my</t>
  </si>
  <si>
    <t>mewtwo-mega-y</t>
  </si>
  <si>
    <t>mewtwo-megay</t>
  </si>
  <si>
    <t>Mewtwo-Mega y</t>
  </si>
  <si>
    <t>151</t>
  </si>
  <si>
    <t>mew</t>
  </si>
  <si>
    <t>152</t>
  </si>
  <si>
    <t>chikorita</t>
  </si>
  <si>
    <t>Chikorita</t>
  </si>
  <si>
    <t>153</t>
  </si>
  <si>
    <t>bayleef</t>
  </si>
  <si>
    <t>154</t>
  </si>
  <si>
    <t>meganium</t>
  </si>
  <si>
    <t>155</t>
  </si>
  <si>
    <t>cyndaquil</t>
  </si>
  <si>
    <t>Cyndaquil</t>
  </si>
  <si>
    <t>156</t>
  </si>
  <si>
    <t>quilava</t>
  </si>
  <si>
    <t>157</t>
  </si>
  <si>
    <t>typhlosion</t>
  </si>
  <si>
    <t>157-h</t>
  </si>
  <si>
    <t>158</t>
  </si>
  <si>
    <t>totodile</t>
  </si>
  <si>
    <t>Totodile</t>
  </si>
  <si>
    <t>159</t>
  </si>
  <si>
    <t>croconaw</t>
  </si>
  <si>
    <t>160</t>
  </si>
  <si>
    <t>feraligatr</t>
  </si>
  <si>
    <t>161</t>
  </si>
  <si>
    <t>sentret</t>
  </si>
  <si>
    <t>Sentret</t>
  </si>
  <si>
    <t>162</t>
  </si>
  <si>
    <t>furret</t>
  </si>
  <si>
    <t>163</t>
  </si>
  <si>
    <t>hoothoot</t>
  </si>
  <si>
    <t>Hoothoot</t>
  </si>
  <si>
    <t>164</t>
  </si>
  <si>
    <t>noctowl</t>
  </si>
  <si>
    <t>165</t>
  </si>
  <si>
    <t>ledyba</t>
  </si>
  <si>
    <t>Ledyba</t>
  </si>
  <si>
    <t>166</t>
  </si>
  <si>
    <t>ledian</t>
  </si>
  <si>
    <t>Ledian</t>
  </si>
  <si>
    <t>167</t>
  </si>
  <si>
    <t>spinarak</t>
  </si>
  <si>
    <t>Spinarak</t>
  </si>
  <si>
    <t>168</t>
  </si>
  <si>
    <t>ariados</t>
  </si>
  <si>
    <t>169</t>
  </si>
  <si>
    <t>crobat</t>
  </si>
  <si>
    <t>Crobat</t>
  </si>
  <si>
    <t>170</t>
  </si>
  <si>
    <t>chinchou</t>
  </si>
  <si>
    <t>Chinchou</t>
  </si>
  <si>
    <t>171</t>
  </si>
  <si>
    <t>lanturn</t>
  </si>
  <si>
    <t>172</t>
  </si>
  <si>
    <t>pichu</t>
  </si>
  <si>
    <t>Pichu</t>
  </si>
  <si>
    <t>172-se</t>
  </si>
  <si>
    <t>pichu-spiky-eared</t>
  </si>
  <si>
    <t>pichu-spikyeared</t>
  </si>
  <si>
    <t>Pichu-Spiky-Eared</t>
  </si>
  <si>
    <t>173</t>
  </si>
  <si>
    <t>cleffa</t>
  </si>
  <si>
    <t>Cleffa</t>
  </si>
  <si>
    <t>174</t>
  </si>
  <si>
    <t>igglybuff</t>
  </si>
  <si>
    <t>Igglybuff</t>
  </si>
  <si>
    <t>175</t>
  </si>
  <si>
    <t>togepi</t>
  </si>
  <si>
    <t>Togepi</t>
  </si>
  <si>
    <t>Super Luck</t>
  </si>
  <si>
    <t>176</t>
  </si>
  <si>
    <t>togetic</t>
  </si>
  <si>
    <t>Togetic</t>
  </si>
  <si>
    <t>177</t>
  </si>
  <si>
    <t>natu</t>
  </si>
  <si>
    <t>Natu</t>
  </si>
  <si>
    <t>Magic Bounce</t>
  </si>
  <si>
    <t>178</t>
  </si>
  <si>
    <t>xatu</t>
  </si>
  <si>
    <t>Xatu</t>
  </si>
  <si>
    <t>179</t>
  </si>
  <si>
    <t>mareep</t>
  </si>
  <si>
    <t>Mareep</t>
  </si>
  <si>
    <t>Plus</t>
  </si>
  <si>
    <t>180</t>
  </si>
  <si>
    <t>flaaffy</t>
  </si>
  <si>
    <t>181</t>
  </si>
  <si>
    <t>ampharos</t>
  </si>
  <si>
    <t>181-m</t>
  </si>
  <si>
    <t>ampharos-mega</t>
  </si>
  <si>
    <t>Mega Ampharos</t>
  </si>
  <si>
    <t>182</t>
  </si>
  <si>
    <t>bellossom</t>
  </si>
  <si>
    <t>183</t>
  </si>
  <si>
    <t>marill</t>
  </si>
  <si>
    <t>Huge Power</t>
  </si>
  <si>
    <t>Sap Sipper</t>
  </si>
  <si>
    <t>184</t>
  </si>
  <si>
    <t>azumarill</t>
  </si>
  <si>
    <t>185</t>
  </si>
  <si>
    <t>sudowoodo</t>
  </si>
  <si>
    <t>186</t>
  </si>
  <si>
    <t>politoed</t>
  </si>
  <si>
    <t>187</t>
  </si>
  <si>
    <t>hoppip</t>
  </si>
  <si>
    <t>Hoppip</t>
  </si>
  <si>
    <t>188</t>
  </si>
  <si>
    <t>skiploom</t>
  </si>
  <si>
    <t>Skiploom</t>
  </si>
  <si>
    <t>189</t>
  </si>
  <si>
    <t>jumpluff</t>
  </si>
  <si>
    <t>190</t>
  </si>
  <si>
    <t>aipom</t>
  </si>
  <si>
    <t>Aipom</t>
  </si>
  <si>
    <t>191</t>
  </si>
  <si>
    <t>sunkern</t>
  </si>
  <si>
    <t>Sunkern</t>
  </si>
  <si>
    <t>192</t>
  </si>
  <si>
    <t>sunflora</t>
  </si>
  <si>
    <t>193</t>
  </si>
  <si>
    <t>yanma</t>
  </si>
  <si>
    <t>Yanma</t>
  </si>
  <si>
    <t>Speed Boost</t>
  </si>
  <si>
    <t>194</t>
  </si>
  <si>
    <t>wooper</t>
  </si>
  <si>
    <t>Wooper</t>
  </si>
  <si>
    <t>194-p</t>
  </si>
  <si>
    <t>wooper-paldea</t>
  </si>
  <si>
    <t>Paldean Wooper</t>
  </si>
  <si>
    <t>195</t>
  </si>
  <si>
    <t>quagsire</t>
  </si>
  <si>
    <t>196</t>
  </si>
  <si>
    <t>espeon</t>
  </si>
  <si>
    <t>197</t>
  </si>
  <si>
    <t>umbreon</t>
  </si>
  <si>
    <t>198</t>
  </si>
  <si>
    <t>murkrow</t>
  </si>
  <si>
    <t>Prankster</t>
  </si>
  <si>
    <t>199</t>
  </si>
  <si>
    <t>slowking</t>
  </si>
  <si>
    <t>199-g</t>
  </si>
  <si>
    <t>slowking-galar</t>
  </si>
  <si>
    <t>slowking-galarian</t>
  </si>
  <si>
    <t>Curious Medicine</t>
  </si>
  <si>
    <t>200</t>
  </si>
  <si>
    <t>misdreavus</t>
  </si>
  <si>
    <t>201</t>
  </si>
  <si>
    <t>unown</t>
  </si>
  <si>
    <t>Unown</t>
  </si>
  <si>
    <t>202</t>
  </si>
  <si>
    <t>wobbuffet</t>
  </si>
  <si>
    <t>Wobbuffet</t>
  </si>
  <si>
    <t>Telepathy</t>
  </si>
  <si>
    <t>203</t>
  </si>
  <si>
    <t>girafarig</t>
  </si>
  <si>
    <t>204</t>
  </si>
  <si>
    <t>pineco</t>
  </si>
  <si>
    <t>205</t>
  </si>
  <si>
    <t>forretress</t>
  </si>
  <si>
    <t>206</t>
  </si>
  <si>
    <t>dunsparce</t>
  </si>
  <si>
    <t>207</t>
  </si>
  <si>
    <t>gligar</t>
  </si>
  <si>
    <t>208</t>
  </si>
  <si>
    <t>steelix</t>
  </si>
  <si>
    <t>Steelix</t>
  </si>
  <si>
    <t>208-m</t>
  </si>
  <si>
    <t>steelix-mega</t>
  </si>
  <si>
    <t>Mega Steelix</t>
  </si>
  <si>
    <t>209</t>
  </si>
  <si>
    <t>snubbull</t>
  </si>
  <si>
    <t>Snubbull</t>
  </si>
  <si>
    <t>210</t>
  </si>
  <si>
    <t>granbull</t>
  </si>
  <si>
    <t>211</t>
  </si>
  <si>
    <t>qwilfish</t>
  </si>
  <si>
    <t>211-h</t>
  </si>
  <si>
    <t>212</t>
  </si>
  <si>
    <t>Light Metal</t>
  </si>
  <si>
    <t>212-m</t>
  </si>
  <si>
    <t>scizor-mega</t>
  </si>
  <si>
    <t>Mega Scizor</t>
  </si>
  <si>
    <t>213</t>
  </si>
  <si>
    <t>shuckle</t>
  </si>
  <si>
    <t>Shuckle</t>
  </si>
  <si>
    <t>Contrary</t>
  </si>
  <si>
    <t>214</t>
  </si>
  <si>
    <t>heracross</t>
  </si>
  <si>
    <t>214-m</t>
  </si>
  <si>
    <t>heracross-mega</t>
  </si>
  <si>
    <t>Mega Heracross</t>
  </si>
  <si>
    <t>215</t>
  </si>
  <si>
    <t>sneasel</t>
  </si>
  <si>
    <t>Pickpocket</t>
  </si>
  <si>
    <t>215-H</t>
  </si>
  <si>
    <t>216</t>
  </si>
  <si>
    <t>teddiursa</t>
  </si>
  <si>
    <t>Teddiursa</t>
  </si>
  <si>
    <t>Honey Gather</t>
  </si>
  <si>
    <t>217</t>
  </si>
  <si>
    <t>ursaring</t>
  </si>
  <si>
    <t>218</t>
  </si>
  <si>
    <t>slugma</t>
  </si>
  <si>
    <t>Slugma</t>
  </si>
  <si>
    <t>Magma Armor</t>
  </si>
  <si>
    <t>219</t>
  </si>
  <si>
    <t>magcargo</t>
  </si>
  <si>
    <t>220</t>
  </si>
  <si>
    <t>swinub</t>
  </si>
  <si>
    <t>Swinub</t>
  </si>
  <si>
    <t>221</t>
  </si>
  <si>
    <t>piloswine</t>
  </si>
  <si>
    <t>222</t>
  </si>
  <si>
    <t>corsola</t>
  </si>
  <si>
    <t>Corsola</t>
  </si>
  <si>
    <t>222-g</t>
  </si>
  <si>
    <t>corsola-galar</t>
  </si>
  <si>
    <t>corsola-galarian</t>
  </si>
  <si>
    <t>Galarian Corsola</t>
  </si>
  <si>
    <t>223</t>
  </si>
  <si>
    <t>remoraid</t>
  </si>
  <si>
    <t>Remoraid</t>
  </si>
  <si>
    <t>Moody</t>
  </si>
  <si>
    <t>224</t>
  </si>
  <si>
    <t>octillery</t>
  </si>
  <si>
    <t>Octillery</t>
  </si>
  <si>
    <t>Suction Cups</t>
  </si>
  <si>
    <t>225</t>
  </si>
  <si>
    <t>delibird</t>
  </si>
  <si>
    <t>226</t>
  </si>
  <si>
    <t>mantine</t>
  </si>
  <si>
    <t>Mantine</t>
  </si>
  <si>
    <t>227</t>
  </si>
  <si>
    <t>skarmory</t>
  </si>
  <si>
    <t>228</t>
  </si>
  <si>
    <t>houndour</t>
  </si>
  <si>
    <t>Houndour</t>
  </si>
  <si>
    <t>229</t>
  </si>
  <si>
    <t>houndoom</t>
  </si>
  <si>
    <t>229-m</t>
  </si>
  <si>
    <t>houndoom-mega</t>
  </si>
  <si>
    <t>Mega Houndoom</t>
  </si>
  <si>
    <t>230</t>
  </si>
  <si>
    <t>kingdra</t>
  </si>
  <si>
    <t>231</t>
  </si>
  <si>
    <t>phanpy</t>
  </si>
  <si>
    <t>Phanpy</t>
  </si>
  <si>
    <t>232</t>
  </si>
  <si>
    <t>donphan</t>
  </si>
  <si>
    <t>233</t>
  </si>
  <si>
    <t>porygon2</t>
  </si>
  <si>
    <t>234</t>
  </si>
  <si>
    <t>stantler</t>
  </si>
  <si>
    <t>235</t>
  </si>
  <si>
    <t>smeargle</t>
  </si>
  <si>
    <t>236</t>
  </si>
  <si>
    <t>tyrogue</t>
  </si>
  <si>
    <t>Tyrogue</t>
  </si>
  <si>
    <t>237</t>
  </si>
  <si>
    <t>hitmontop</t>
  </si>
  <si>
    <t>238</t>
  </si>
  <si>
    <t>smoochum</t>
  </si>
  <si>
    <t>Smoochum</t>
  </si>
  <si>
    <t>239</t>
  </si>
  <si>
    <t>elekid</t>
  </si>
  <si>
    <t>Elekid</t>
  </si>
  <si>
    <t>240</t>
  </si>
  <si>
    <t>magby</t>
  </si>
  <si>
    <t>Magby</t>
  </si>
  <si>
    <t>241</t>
  </si>
  <si>
    <t>miltank</t>
  </si>
  <si>
    <t>Miltank</t>
  </si>
  <si>
    <t>242</t>
  </si>
  <si>
    <t>blissey</t>
  </si>
  <si>
    <t>243</t>
  </si>
  <si>
    <t>raikou</t>
  </si>
  <si>
    <t>244</t>
  </si>
  <si>
    <t>entei</t>
  </si>
  <si>
    <t>245</t>
  </si>
  <si>
    <t>suicune</t>
  </si>
  <si>
    <t>246</t>
  </si>
  <si>
    <t>larvitar</t>
  </si>
  <si>
    <t>Larvitar</t>
  </si>
  <si>
    <t>247</t>
  </si>
  <si>
    <t>pupitar</t>
  </si>
  <si>
    <t>Pupitar</t>
  </si>
  <si>
    <t>248</t>
  </si>
  <si>
    <t>tyranitar</t>
  </si>
  <si>
    <t>Sand Stream</t>
  </si>
  <si>
    <t>248-m</t>
  </si>
  <si>
    <t>tyranitar-mega</t>
  </si>
  <si>
    <t>Mega Tyranitar</t>
  </si>
  <si>
    <t>249</t>
  </si>
  <si>
    <t>lugia</t>
  </si>
  <si>
    <t>250</t>
  </si>
  <si>
    <t>ho-oh</t>
  </si>
  <si>
    <t>hooh</t>
  </si>
  <si>
    <t>251</t>
  </si>
  <si>
    <t>celebi</t>
  </si>
  <si>
    <t>Celebi</t>
  </si>
  <si>
    <t>252</t>
  </si>
  <si>
    <t>treecko</t>
  </si>
  <si>
    <t>Treecko</t>
  </si>
  <si>
    <t>253</t>
  </si>
  <si>
    <t>grovyle</t>
  </si>
  <si>
    <t>Grovyle</t>
  </si>
  <si>
    <t>254</t>
  </si>
  <si>
    <t>sceptile</t>
  </si>
  <si>
    <t>254-m</t>
  </si>
  <si>
    <t>sceptile-mega</t>
  </si>
  <si>
    <t>Mega Sceptile</t>
  </si>
  <si>
    <t>255</t>
  </si>
  <si>
    <t>torchic</t>
  </si>
  <si>
    <t>Torchic</t>
  </si>
  <si>
    <t>256</t>
  </si>
  <si>
    <t>combusken</t>
  </si>
  <si>
    <t>Combusken</t>
  </si>
  <si>
    <t>257</t>
  </si>
  <si>
    <t>257-m</t>
  </si>
  <si>
    <t>blaziken-mega</t>
  </si>
  <si>
    <t>Mega Blaziken</t>
  </si>
  <si>
    <t>258</t>
  </si>
  <si>
    <t>mudkip</t>
  </si>
  <si>
    <t>Mudkip</t>
  </si>
  <si>
    <t>259</t>
  </si>
  <si>
    <t>marshtomp</t>
  </si>
  <si>
    <t>Marshtomp</t>
  </si>
  <si>
    <t>260</t>
  </si>
  <si>
    <t>swampert</t>
  </si>
  <si>
    <t>260-m</t>
  </si>
  <si>
    <t>swampert-mega</t>
  </si>
  <si>
    <t>Mega Swampert</t>
  </si>
  <si>
    <t>261</t>
  </si>
  <si>
    <t>poochyena</t>
  </si>
  <si>
    <t>Poochyena</t>
  </si>
  <si>
    <t>262</t>
  </si>
  <si>
    <t>mightyena</t>
  </si>
  <si>
    <t>263</t>
  </si>
  <si>
    <t>zigzagoon</t>
  </si>
  <si>
    <t>Zigzagoon</t>
  </si>
  <si>
    <t>263-g</t>
  </si>
  <si>
    <t>zigzagoon-galar</t>
  </si>
  <si>
    <t>zigzagoon-galarian</t>
  </si>
  <si>
    <t>Galarian Zigzagoon</t>
  </si>
  <si>
    <t>264</t>
  </si>
  <si>
    <t>linoone</t>
  </si>
  <si>
    <t>Linoone</t>
  </si>
  <si>
    <t>264-g</t>
  </si>
  <si>
    <t>linoone-galar</t>
  </si>
  <si>
    <t>linoone-galarian</t>
  </si>
  <si>
    <t>Galarian Linoone</t>
  </si>
  <si>
    <t>265</t>
  </si>
  <si>
    <t>wurmple</t>
  </si>
  <si>
    <t>Wurmple</t>
  </si>
  <si>
    <t>266</t>
  </si>
  <si>
    <t>silcoon</t>
  </si>
  <si>
    <t>Silcoon</t>
  </si>
  <si>
    <t>267</t>
  </si>
  <si>
    <t>beautifly</t>
  </si>
  <si>
    <t>Beautifly</t>
  </si>
  <si>
    <t>268</t>
  </si>
  <si>
    <t>cascoon</t>
  </si>
  <si>
    <t>Cascoon</t>
  </si>
  <si>
    <t>269</t>
  </si>
  <si>
    <t>dustox</t>
  </si>
  <si>
    <t>Dustox</t>
  </si>
  <si>
    <t>270</t>
  </si>
  <si>
    <t>lotad</t>
  </si>
  <si>
    <t>Lotad</t>
  </si>
  <si>
    <t>271</t>
  </si>
  <si>
    <t>lombre</t>
  </si>
  <si>
    <t>Lombre</t>
  </si>
  <si>
    <t>272</t>
  </si>
  <si>
    <t>ludicolo</t>
  </si>
  <si>
    <t>273</t>
  </si>
  <si>
    <t>seedot</t>
  </si>
  <si>
    <t>Seedot</t>
  </si>
  <si>
    <t>274</t>
  </si>
  <si>
    <t>nuzleaf</t>
  </si>
  <si>
    <t>Nuzleaf</t>
  </si>
  <si>
    <t>275</t>
  </si>
  <si>
    <t>shiftry</t>
  </si>
  <si>
    <t>276</t>
  </si>
  <si>
    <t>taillow</t>
  </si>
  <si>
    <t>Taillow</t>
  </si>
  <si>
    <t>277</t>
  </si>
  <si>
    <t>swellow</t>
  </si>
  <si>
    <t>Swellow</t>
  </si>
  <si>
    <t>278</t>
  </si>
  <si>
    <t>wingull</t>
  </si>
  <si>
    <t>Wingull</t>
  </si>
  <si>
    <t>279</t>
  </si>
  <si>
    <t>280</t>
  </si>
  <si>
    <t>ralts</t>
  </si>
  <si>
    <t>Ralts</t>
  </si>
  <si>
    <t>281</t>
  </si>
  <si>
    <t>kirlia</t>
  </si>
  <si>
    <t>Kirlia</t>
  </si>
  <si>
    <t>282</t>
  </si>
  <si>
    <t>gardevoir</t>
  </si>
  <si>
    <t>282-m</t>
  </si>
  <si>
    <t>gardevoir-mega</t>
  </si>
  <si>
    <t>Mega Gardevoir</t>
  </si>
  <si>
    <t>Pixilate</t>
  </si>
  <si>
    <t>283</t>
  </si>
  <si>
    <t>surskit</t>
  </si>
  <si>
    <t>Surskit</t>
  </si>
  <si>
    <t>284</t>
  </si>
  <si>
    <t>masquerain</t>
  </si>
  <si>
    <t>285</t>
  </si>
  <si>
    <t>shroomish</t>
  </si>
  <si>
    <t>Shroomish</t>
  </si>
  <si>
    <t>Poison Heal</t>
  </si>
  <si>
    <t>286</t>
  </si>
  <si>
    <t>breloom</t>
  </si>
  <si>
    <t>287</t>
  </si>
  <si>
    <t>slakoth</t>
  </si>
  <si>
    <t>Slakoth</t>
  </si>
  <si>
    <t>Truant</t>
  </si>
  <si>
    <t>288</t>
  </si>
  <si>
    <t>vigoroth</t>
  </si>
  <si>
    <t>289</t>
  </si>
  <si>
    <t>slaking</t>
  </si>
  <si>
    <t>290</t>
  </si>
  <si>
    <t>nincada</t>
  </si>
  <si>
    <t>Nincada</t>
  </si>
  <si>
    <t>291</t>
  </si>
  <si>
    <t>ninjask</t>
  </si>
  <si>
    <t>Ninjask</t>
  </si>
  <si>
    <t>292</t>
  </si>
  <si>
    <t>shedinja</t>
  </si>
  <si>
    <t>Shedinja</t>
  </si>
  <si>
    <t>Wonder Guard</t>
  </si>
  <si>
    <t>293</t>
  </si>
  <si>
    <t>whismur</t>
  </si>
  <si>
    <t>Whismur</t>
  </si>
  <si>
    <t>294</t>
  </si>
  <si>
    <t>loudred</t>
  </si>
  <si>
    <t>Loudred</t>
  </si>
  <si>
    <t>295</t>
  </si>
  <si>
    <t>exploud</t>
  </si>
  <si>
    <t>Exploud</t>
  </si>
  <si>
    <t>296</t>
  </si>
  <si>
    <t>makuhita</t>
  </si>
  <si>
    <t>Makuhita</t>
  </si>
  <si>
    <t>297</t>
  </si>
  <si>
    <t>hariyama</t>
  </si>
  <si>
    <t>298</t>
  </si>
  <si>
    <t>azurill</t>
  </si>
  <si>
    <t>Azurill</t>
  </si>
  <si>
    <t>299</t>
  </si>
  <si>
    <t>nosepass</t>
  </si>
  <si>
    <t>Nosepass</t>
  </si>
  <si>
    <t>300</t>
  </si>
  <si>
    <t>skitty</t>
  </si>
  <si>
    <t>Skitty</t>
  </si>
  <si>
    <t>Normalize</t>
  </si>
  <si>
    <t>301</t>
  </si>
  <si>
    <t>delcatty</t>
  </si>
  <si>
    <t>Delcatty</t>
  </si>
  <si>
    <t>302</t>
  </si>
  <si>
    <t>sableye</t>
  </si>
  <si>
    <t>Stall</t>
  </si>
  <si>
    <t>302-m</t>
  </si>
  <si>
    <t>sableye-mega</t>
  </si>
  <si>
    <t>Mega Sableye</t>
  </si>
  <si>
    <t>303</t>
  </si>
  <si>
    <t>mawile</t>
  </si>
  <si>
    <t>Mawile</t>
  </si>
  <si>
    <t>303-m</t>
  </si>
  <si>
    <t>mawile-mega</t>
  </si>
  <si>
    <t>Mega Mawile</t>
  </si>
  <si>
    <t>304</t>
  </si>
  <si>
    <t>aron</t>
  </si>
  <si>
    <t>Aron</t>
  </si>
  <si>
    <t>Heavy Metal</t>
  </si>
  <si>
    <t>305</t>
  </si>
  <si>
    <t>lairon</t>
  </si>
  <si>
    <t>Lairon</t>
  </si>
  <si>
    <t>306</t>
  </si>
  <si>
    <t>aggron</t>
  </si>
  <si>
    <t>Aggron</t>
  </si>
  <si>
    <t>306-m</t>
  </si>
  <si>
    <t>aggron-mega</t>
  </si>
  <si>
    <t>Mega Aggron</t>
  </si>
  <si>
    <t>307</t>
  </si>
  <si>
    <t>meditite</t>
  </si>
  <si>
    <t>Pure Power</t>
  </si>
  <si>
    <t>308</t>
  </si>
  <si>
    <t>medicham</t>
  </si>
  <si>
    <t>308-m</t>
  </si>
  <si>
    <t>medicham-mega</t>
  </si>
  <si>
    <t>Mega Medicham</t>
  </si>
  <si>
    <t>309</t>
  </si>
  <si>
    <t>electrike</t>
  </si>
  <si>
    <t>Electrike</t>
  </si>
  <si>
    <t>Minus</t>
  </si>
  <si>
    <t>310</t>
  </si>
  <si>
    <t>manectric</t>
  </si>
  <si>
    <t>Manectric</t>
  </si>
  <si>
    <t>310-m</t>
  </si>
  <si>
    <t>manectric-mega</t>
  </si>
  <si>
    <t>Mega Manectric</t>
  </si>
  <si>
    <t>311</t>
  </si>
  <si>
    <t>plusle</t>
  </si>
  <si>
    <t>312</t>
  </si>
  <si>
    <t>minun</t>
  </si>
  <si>
    <t>313</t>
  </si>
  <si>
    <t>volbeat</t>
  </si>
  <si>
    <t>314</t>
  </si>
  <si>
    <t>illumise</t>
  </si>
  <si>
    <t>315</t>
  </si>
  <si>
    <t>roselia</t>
  </si>
  <si>
    <t>Roselia</t>
  </si>
  <si>
    <t>316</t>
  </si>
  <si>
    <t>gulpin</t>
  </si>
  <si>
    <t>Gulpin</t>
  </si>
  <si>
    <t>317</t>
  </si>
  <si>
    <t>swalot</t>
  </si>
  <si>
    <t>318</t>
  </si>
  <si>
    <t>carvanha</t>
  </si>
  <si>
    <t>Carvanha</t>
  </si>
  <si>
    <t>Rough Skin</t>
  </si>
  <si>
    <t>319</t>
  </si>
  <si>
    <t>sharpedo</t>
  </si>
  <si>
    <t>Sharpedo</t>
  </si>
  <si>
    <t>319-m</t>
  </si>
  <si>
    <t>sharpedo-mega</t>
  </si>
  <si>
    <t>Mega Sharpedo</t>
  </si>
  <si>
    <t>Strong Jaw</t>
  </si>
  <si>
    <t>320</t>
  </si>
  <si>
    <t>wailmer</t>
  </si>
  <si>
    <t>Wailmer</t>
  </si>
  <si>
    <t>321</t>
  </si>
  <si>
    <t>wailord</t>
  </si>
  <si>
    <t>Wailord</t>
  </si>
  <si>
    <t>322</t>
  </si>
  <si>
    <t>numel</t>
  </si>
  <si>
    <t>Numel</t>
  </si>
  <si>
    <t>Simple</t>
  </si>
  <si>
    <t>323</t>
  </si>
  <si>
    <t>camerupt</t>
  </si>
  <si>
    <t>Solid Rock</t>
  </si>
  <si>
    <t>323-m</t>
  </si>
  <si>
    <t>camerupt-mega</t>
  </si>
  <si>
    <t>Mega Camerupt</t>
  </si>
  <si>
    <t>324</t>
  </si>
  <si>
    <t>torkoal</t>
  </si>
  <si>
    <t>White Smoke</t>
  </si>
  <si>
    <t>325</t>
  </si>
  <si>
    <t>spoink</t>
  </si>
  <si>
    <t>Spoink</t>
  </si>
  <si>
    <t>326</t>
  </si>
  <si>
    <t>grumpig</t>
  </si>
  <si>
    <t>327</t>
  </si>
  <si>
    <t>spinda</t>
  </si>
  <si>
    <t>Spinda</t>
  </si>
  <si>
    <t>328</t>
  </si>
  <si>
    <t>trapinch</t>
  </si>
  <si>
    <t>329</t>
  </si>
  <si>
    <t>vibrava</t>
  </si>
  <si>
    <t>Vibrava</t>
  </si>
  <si>
    <t>330</t>
  </si>
  <si>
    <t>flygon</t>
  </si>
  <si>
    <t>331</t>
  </si>
  <si>
    <t>cacnea</t>
  </si>
  <si>
    <t>332</t>
  </si>
  <si>
    <t>cacturne</t>
  </si>
  <si>
    <t>333</t>
  </si>
  <si>
    <t>swablu</t>
  </si>
  <si>
    <t>Swablu</t>
  </si>
  <si>
    <t>334</t>
  </si>
  <si>
    <t>altaria</t>
  </si>
  <si>
    <t>334-m</t>
  </si>
  <si>
    <t>altaria-mega</t>
  </si>
  <si>
    <t>Mega Altaria</t>
  </si>
  <si>
    <t>335</t>
  </si>
  <si>
    <t>zangoose</t>
  </si>
  <si>
    <t>Toxic Boost</t>
  </si>
  <si>
    <t>336</t>
  </si>
  <si>
    <t>seviper</t>
  </si>
  <si>
    <t>337</t>
  </si>
  <si>
    <t>lunatone</t>
  </si>
  <si>
    <t>Lunatone</t>
  </si>
  <si>
    <t>338</t>
  </si>
  <si>
    <t>solrock</t>
  </si>
  <si>
    <t>Solrock</t>
  </si>
  <si>
    <t>339</t>
  </si>
  <si>
    <t>barboach</t>
  </si>
  <si>
    <t>Barboach</t>
  </si>
  <si>
    <t>340</t>
  </si>
  <si>
    <t>whiscash</t>
  </si>
  <si>
    <t>341</t>
  </si>
  <si>
    <t>corphish</t>
  </si>
  <si>
    <t>Corphish</t>
  </si>
  <si>
    <t>342</t>
  </si>
  <si>
    <t>crawdaunt</t>
  </si>
  <si>
    <t>343</t>
  </si>
  <si>
    <t>baltoy</t>
  </si>
  <si>
    <t>Baltoy</t>
  </si>
  <si>
    <t>344</t>
  </si>
  <si>
    <t>claydol</t>
  </si>
  <si>
    <t>Claydol</t>
  </si>
  <si>
    <t>345</t>
  </si>
  <si>
    <t>lileep</t>
  </si>
  <si>
    <t>Lileep</t>
  </si>
  <si>
    <t>Storm Drain</t>
  </si>
  <si>
    <t>346</t>
  </si>
  <si>
    <t>cradily</t>
  </si>
  <si>
    <t>Cradily</t>
  </si>
  <si>
    <t>347</t>
  </si>
  <si>
    <t>anorith</t>
  </si>
  <si>
    <t>Anorith</t>
  </si>
  <si>
    <t>348</t>
  </si>
  <si>
    <t>armaldo</t>
  </si>
  <si>
    <t>Armaldo</t>
  </si>
  <si>
    <t>349</t>
  </si>
  <si>
    <t>feebas</t>
  </si>
  <si>
    <t>Feebas</t>
  </si>
  <si>
    <t>350</t>
  </si>
  <si>
    <t>milotic</t>
  </si>
  <si>
    <t>351</t>
  </si>
  <si>
    <t>castform</t>
  </si>
  <si>
    <t>Castform</t>
  </si>
  <si>
    <t>Forecast</t>
  </si>
  <si>
    <t>351-s</t>
  </si>
  <si>
    <t>castform-sunny</t>
  </si>
  <si>
    <t>Castform-Sunny</t>
  </si>
  <si>
    <t>351-r</t>
  </si>
  <si>
    <t>castform-rainy</t>
  </si>
  <si>
    <t>Castform-Rainy</t>
  </si>
  <si>
    <t>351-i</t>
  </si>
  <si>
    <t>castform-snowy</t>
  </si>
  <si>
    <t>Castform-Snowy</t>
  </si>
  <si>
    <t>352</t>
  </si>
  <si>
    <t>kecleon</t>
  </si>
  <si>
    <t>Kecleon</t>
  </si>
  <si>
    <t>Color Change</t>
  </si>
  <si>
    <t>Protean</t>
  </si>
  <si>
    <t>353</t>
  </si>
  <si>
    <t>shuppet</t>
  </si>
  <si>
    <t>Shuppet</t>
  </si>
  <si>
    <t>354</t>
  </si>
  <si>
    <t>banette</t>
  </si>
  <si>
    <t>354-m</t>
  </si>
  <si>
    <t>banette-mega</t>
  </si>
  <si>
    <t>Mega Banette</t>
  </si>
  <si>
    <t>355</t>
  </si>
  <si>
    <t>duskull</t>
  </si>
  <si>
    <t>Duskull</t>
  </si>
  <si>
    <t>356</t>
  </si>
  <si>
    <t>357</t>
  </si>
  <si>
    <t>tropius</t>
  </si>
  <si>
    <t>358</t>
  </si>
  <si>
    <t>chimecho</t>
  </si>
  <si>
    <t>359</t>
  </si>
  <si>
    <t>absol</t>
  </si>
  <si>
    <t>Absol</t>
  </si>
  <si>
    <t>359-m</t>
  </si>
  <si>
    <t>absol-mega</t>
  </si>
  <si>
    <t>Mega Absol</t>
  </si>
  <si>
    <t>360</t>
  </si>
  <si>
    <t>wynaut</t>
  </si>
  <si>
    <t>Wynaut</t>
  </si>
  <si>
    <t>361</t>
  </si>
  <si>
    <t>snorunt</t>
  </si>
  <si>
    <t>Snorunt</t>
  </si>
  <si>
    <t>362</t>
  </si>
  <si>
    <t>glalie</t>
  </si>
  <si>
    <t>362-m</t>
  </si>
  <si>
    <t>glalie-mega</t>
  </si>
  <si>
    <t>Mega Glalie</t>
  </si>
  <si>
    <t>Refrigerate</t>
  </si>
  <si>
    <t>363</t>
  </si>
  <si>
    <t>spheal</t>
  </si>
  <si>
    <t>Spheal</t>
  </si>
  <si>
    <t>364</t>
  </si>
  <si>
    <t>sealeo</t>
  </si>
  <si>
    <t>Sealeo</t>
  </si>
  <si>
    <t>365</t>
  </si>
  <si>
    <t>walrein</t>
  </si>
  <si>
    <t>Walrein</t>
  </si>
  <si>
    <t>366</t>
  </si>
  <si>
    <t>clamperl</t>
  </si>
  <si>
    <t>Clamperl</t>
  </si>
  <si>
    <t>367</t>
  </si>
  <si>
    <t>huntail</t>
  </si>
  <si>
    <t>Huntail</t>
  </si>
  <si>
    <t>368</t>
  </si>
  <si>
    <t>gorebyss</t>
  </si>
  <si>
    <t>Gorebyss</t>
  </si>
  <si>
    <t>369</t>
  </si>
  <si>
    <t>relicanth</t>
  </si>
  <si>
    <t>Relicanth</t>
  </si>
  <si>
    <t>370</t>
  </si>
  <si>
    <t>luvdisc</t>
  </si>
  <si>
    <t>Luvdisc</t>
  </si>
  <si>
    <t>371</t>
  </si>
  <si>
    <t>bagon</t>
  </si>
  <si>
    <t>Bagon</t>
  </si>
  <si>
    <t>372</t>
  </si>
  <si>
    <t>shelgon</t>
  </si>
  <si>
    <t>373</t>
  </si>
  <si>
    <t>salamence</t>
  </si>
  <si>
    <t>373-m</t>
  </si>
  <si>
    <t>salamence-mega</t>
  </si>
  <si>
    <t>Mega Salamence</t>
  </si>
  <si>
    <t>374</t>
  </si>
  <si>
    <t>beldum</t>
  </si>
  <si>
    <t>Beldum</t>
  </si>
  <si>
    <t>375</t>
  </si>
  <si>
    <t>metang</t>
  </si>
  <si>
    <t>376</t>
  </si>
  <si>
    <t>metagross</t>
  </si>
  <si>
    <t>376-m</t>
  </si>
  <si>
    <t>metagross-mega</t>
  </si>
  <si>
    <t>Mega Metagross</t>
  </si>
  <si>
    <t>377</t>
  </si>
  <si>
    <t>regirock</t>
  </si>
  <si>
    <t>378</t>
  </si>
  <si>
    <t>regice</t>
  </si>
  <si>
    <t>379</t>
  </si>
  <si>
    <t>registeel</t>
  </si>
  <si>
    <t>380</t>
  </si>
  <si>
    <t>380-m</t>
  </si>
  <si>
    <t>latias-mega</t>
  </si>
  <si>
    <t>Mega Latias</t>
  </si>
  <si>
    <t>381</t>
  </si>
  <si>
    <t>latios</t>
  </si>
  <si>
    <t>381-m</t>
  </si>
  <si>
    <t>latios-mega</t>
  </si>
  <si>
    <t>Mega Latios</t>
  </si>
  <si>
    <t>382</t>
  </si>
  <si>
    <t>kyogre</t>
  </si>
  <si>
    <t>382-p</t>
  </si>
  <si>
    <t>kyogre-primal</t>
  </si>
  <si>
    <t>Primordial Sea</t>
  </si>
  <si>
    <t>383</t>
  </si>
  <si>
    <t>groudon</t>
  </si>
  <si>
    <t>383-p</t>
  </si>
  <si>
    <t>groudon-primal</t>
  </si>
  <si>
    <t>Desolate Land</t>
  </si>
  <si>
    <t>384</t>
  </si>
  <si>
    <t>rayquaza</t>
  </si>
  <si>
    <t>Air Lock</t>
  </si>
  <si>
    <t>384-m</t>
  </si>
  <si>
    <t>rayquaza-mega</t>
  </si>
  <si>
    <t>Mega Rayquaza</t>
  </si>
  <si>
    <t>Delta Stream</t>
  </si>
  <si>
    <t>385</t>
  </si>
  <si>
    <t>386</t>
  </si>
  <si>
    <t>deoxys</t>
  </si>
  <si>
    <t>Deoxys</t>
  </si>
  <si>
    <t>386-a</t>
  </si>
  <si>
    <t>deoxys-attack</t>
  </si>
  <si>
    <t>Deoxys-Attack</t>
  </si>
  <si>
    <t>386-d</t>
  </si>
  <si>
    <t>deoxys-defense</t>
  </si>
  <si>
    <t>386-s</t>
  </si>
  <si>
    <t>deoxys-speed</t>
  </si>
  <si>
    <t>387</t>
  </si>
  <si>
    <t>turtwig</t>
  </si>
  <si>
    <t>Turtwig</t>
  </si>
  <si>
    <t>388</t>
  </si>
  <si>
    <t>grotle</t>
  </si>
  <si>
    <t>389</t>
  </si>
  <si>
    <t>torterra</t>
  </si>
  <si>
    <t>390</t>
  </si>
  <si>
    <t>chimchar</t>
  </si>
  <si>
    <t>Chimchar</t>
  </si>
  <si>
    <t>391</t>
  </si>
  <si>
    <t>monferno</t>
  </si>
  <si>
    <t>392</t>
  </si>
  <si>
    <t>infernape</t>
  </si>
  <si>
    <t>393</t>
  </si>
  <si>
    <t>piplup</t>
  </si>
  <si>
    <t>Piplup</t>
  </si>
  <si>
    <t>394</t>
  </si>
  <si>
    <t>prinplup</t>
  </si>
  <si>
    <t>395</t>
  </si>
  <si>
    <t>empoleon</t>
  </si>
  <si>
    <t>396</t>
  </si>
  <si>
    <t>starly</t>
  </si>
  <si>
    <t>Starly</t>
  </si>
  <si>
    <t>397</t>
  </si>
  <si>
    <t>staravia</t>
  </si>
  <si>
    <t>398</t>
  </si>
  <si>
    <t>staraptor</t>
  </si>
  <si>
    <t>399</t>
  </si>
  <si>
    <t>bidoof</t>
  </si>
  <si>
    <t>Bidoof</t>
  </si>
  <si>
    <t>400</t>
  </si>
  <si>
    <t>bibarel</t>
  </si>
  <si>
    <t>Bibarel</t>
  </si>
  <si>
    <t>401</t>
  </si>
  <si>
    <t>kricketot</t>
  </si>
  <si>
    <t>Kricketot</t>
  </si>
  <si>
    <t>402</t>
  </si>
  <si>
    <t>kricketune</t>
  </si>
  <si>
    <t>403</t>
  </si>
  <si>
    <t>shinx</t>
  </si>
  <si>
    <t>Shinx</t>
  </si>
  <si>
    <t>404</t>
  </si>
  <si>
    <t>luxio</t>
  </si>
  <si>
    <t>Luxio</t>
  </si>
  <si>
    <t>405</t>
  </si>
  <si>
    <t>luxray</t>
  </si>
  <si>
    <t>406</t>
  </si>
  <si>
    <t>budew</t>
  </si>
  <si>
    <t>Budew</t>
  </si>
  <si>
    <t>407</t>
  </si>
  <si>
    <t>roserade</t>
  </si>
  <si>
    <t>Roserade</t>
  </si>
  <si>
    <t>408</t>
  </si>
  <si>
    <t>cranidos</t>
  </si>
  <si>
    <t>Cranidos</t>
  </si>
  <si>
    <t>409</t>
  </si>
  <si>
    <t>rampardos</t>
  </si>
  <si>
    <t>410</t>
  </si>
  <si>
    <t>shieldon</t>
  </si>
  <si>
    <t>Shieldon</t>
  </si>
  <si>
    <t>411</t>
  </si>
  <si>
    <t>bastiodon</t>
  </si>
  <si>
    <t>412</t>
  </si>
  <si>
    <t>burmy</t>
  </si>
  <si>
    <t>Burmy</t>
  </si>
  <si>
    <t>413</t>
  </si>
  <si>
    <t>wormadam</t>
  </si>
  <si>
    <t>Wormadam-Plant</t>
  </si>
  <si>
    <t>413-s</t>
  </si>
  <si>
    <t>wormadam-sandy</t>
  </si>
  <si>
    <t>Wormadam-Sandy</t>
  </si>
  <si>
    <t>413-t</t>
  </si>
  <si>
    <t>wormadam-trash</t>
  </si>
  <si>
    <t>Wormadam-Trash</t>
  </si>
  <si>
    <t>414</t>
  </si>
  <si>
    <t>mothim</t>
  </si>
  <si>
    <t>Mothim</t>
  </si>
  <si>
    <t>415</t>
  </si>
  <si>
    <t>combee</t>
  </si>
  <si>
    <t>Combee</t>
  </si>
  <si>
    <t>416</t>
  </si>
  <si>
    <t>vespiquen</t>
  </si>
  <si>
    <t>417</t>
  </si>
  <si>
    <t>pachirisu</t>
  </si>
  <si>
    <t>418</t>
  </si>
  <si>
    <t>buizel</t>
  </si>
  <si>
    <t>Buizel</t>
  </si>
  <si>
    <t>419</t>
  </si>
  <si>
    <t>floatzel</t>
  </si>
  <si>
    <t>420</t>
  </si>
  <si>
    <t>cherubi</t>
  </si>
  <si>
    <t>Cherubi</t>
  </si>
  <si>
    <t>421</t>
  </si>
  <si>
    <t>cherrim</t>
  </si>
  <si>
    <t>Cherrim</t>
  </si>
  <si>
    <t>Flower Gift</t>
  </si>
  <si>
    <t>421-s</t>
  </si>
  <si>
    <t>cherrim-sunshine</t>
  </si>
  <si>
    <t>Cherrim-Sunshine</t>
  </si>
  <si>
    <t>422</t>
  </si>
  <si>
    <t>shellos</t>
  </si>
  <si>
    <t>Shellos</t>
  </si>
  <si>
    <t>423</t>
  </si>
  <si>
    <t>gastrodon</t>
  </si>
  <si>
    <t>424</t>
  </si>
  <si>
    <t>ambipom</t>
  </si>
  <si>
    <t>425</t>
  </si>
  <si>
    <t>drifloon</t>
  </si>
  <si>
    <t>Drifloon</t>
  </si>
  <si>
    <t>Flare Boost</t>
  </si>
  <si>
    <t>426</t>
  </si>
  <si>
    <t>drifblim</t>
  </si>
  <si>
    <t>427</t>
  </si>
  <si>
    <t>buneary</t>
  </si>
  <si>
    <t>Buneary</t>
  </si>
  <si>
    <t>Klutz</t>
  </si>
  <si>
    <t>428</t>
  </si>
  <si>
    <t>lopunny</t>
  </si>
  <si>
    <t>Lopunny</t>
  </si>
  <si>
    <t>428-m</t>
  </si>
  <si>
    <t>lopunny-mega</t>
  </si>
  <si>
    <t>Mega Lopunny</t>
  </si>
  <si>
    <t>429</t>
  </si>
  <si>
    <t>mismagius</t>
  </si>
  <si>
    <t>430</t>
  </si>
  <si>
    <t>honchkrow</t>
  </si>
  <si>
    <t>431</t>
  </si>
  <si>
    <t>glameow</t>
  </si>
  <si>
    <t>Glameow</t>
  </si>
  <si>
    <t>432</t>
  </si>
  <si>
    <t>purugly</t>
  </si>
  <si>
    <t>Purugly</t>
  </si>
  <si>
    <t>433</t>
  </si>
  <si>
    <t>chingling</t>
  </si>
  <si>
    <t>Chingling</t>
  </si>
  <si>
    <t>434</t>
  </si>
  <si>
    <t>stunky</t>
  </si>
  <si>
    <t>Stunky</t>
  </si>
  <si>
    <t>435</t>
  </si>
  <si>
    <t>skuntank</t>
  </si>
  <si>
    <t>436</t>
  </si>
  <si>
    <t>bronzor</t>
  </si>
  <si>
    <t>Bronzor</t>
  </si>
  <si>
    <t>Heatproof</t>
  </si>
  <si>
    <t>437</t>
  </si>
  <si>
    <t>bronzong</t>
  </si>
  <si>
    <t>438</t>
  </si>
  <si>
    <t>bonsly</t>
  </si>
  <si>
    <t>Bonsly</t>
  </si>
  <si>
    <t>439</t>
  </si>
  <si>
    <t>mime-jr</t>
  </si>
  <si>
    <t>mimejr</t>
  </si>
  <si>
    <t>Mime Jr.</t>
  </si>
  <si>
    <t>440</t>
  </si>
  <si>
    <t>happiny</t>
  </si>
  <si>
    <t>Happiny</t>
  </si>
  <si>
    <t>441</t>
  </si>
  <si>
    <t>chatot</t>
  </si>
  <si>
    <t>Chatot</t>
  </si>
  <si>
    <t>442</t>
  </si>
  <si>
    <t>spiritomb</t>
  </si>
  <si>
    <t>443</t>
  </si>
  <si>
    <t>gible</t>
  </si>
  <si>
    <t>Gible</t>
  </si>
  <si>
    <t>444</t>
  </si>
  <si>
    <t>gabite</t>
  </si>
  <si>
    <t>445</t>
  </si>
  <si>
    <t>garchomp</t>
  </si>
  <si>
    <t>445-m</t>
  </si>
  <si>
    <t>garchomp-mega</t>
  </si>
  <si>
    <t>Mega Garchomp</t>
  </si>
  <si>
    <t>446</t>
  </si>
  <si>
    <t>munchlax</t>
  </si>
  <si>
    <t>447</t>
  </si>
  <si>
    <t>riolu</t>
  </si>
  <si>
    <t>448</t>
  </si>
  <si>
    <t>lucario</t>
  </si>
  <si>
    <t>448-m</t>
  </si>
  <si>
    <t>lucario-mega</t>
  </si>
  <si>
    <t>Mega Lucario</t>
  </si>
  <si>
    <t>449</t>
  </si>
  <si>
    <t>hippopotas</t>
  </si>
  <si>
    <t>450</t>
  </si>
  <si>
    <t>hippowdon</t>
  </si>
  <si>
    <t>451</t>
  </si>
  <si>
    <t>skorupi</t>
  </si>
  <si>
    <t>Skorupi</t>
  </si>
  <si>
    <t>452</t>
  </si>
  <si>
    <t>drapion</t>
  </si>
  <si>
    <t>Drapion</t>
  </si>
  <si>
    <t>453</t>
  </si>
  <si>
    <t>croagunk</t>
  </si>
  <si>
    <t>Croagunk</t>
  </si>
  <si>
    <t>454</t>
  </si>
  <si>
    <t>toxicroak</t>
  </si>
  <si>
    <t>455</t>
  </si>
  <si>
    <t>carnivine</t>
  </si>
  <si>
    <t>Carnivine</t>
  </si>
  <si>
    <t>456</t>
  </si>
  <si>
    <t>finneon</t>
  </si>
  <si>
    <t>457</t>
  </si>
  <si>
    <t>lumineon</t>
  </si>
  <si>
    <t>458</t>
  </si>
  <si>
    <t>mantyke</t>
  </si>
  <si>
    <t>Mantyke</t>
  </si>
  <si>
    <t>459</t>
  </si>
  <si>
    <t>snover</t>
  </si>
  <si>
    <t>460</t>
  </si>
  <si>
    <t>abomasnow</t>
  </si>
  <si>
    <t>460-m</t>
  </si>
  <si>
    <t>abomasnow-mega</t>
  </si>
  <si>
    <t>Mega Abomasnow</t>
  </si>
  <si>
    <t>461</t>
  </si>
  <si>
    <t>weavile</t>
  </si>
  <si>
    <t>462</t>
  </si>
  <si>
    <t>magnezone</t>
  </si>
  <si>
    <t>463</t>
  </si>
  <si>
    <t>lickilicky</t>
  </si>
  <si>
    <t>Lickilicky</t>
  </si>
  <si>
    <t>464</t>
  </si>
  <si>
    <t>rhyperior</t>
  </si>
  <si>
    <t>465</t>
  </si>
  <si>
    <t>tangrowth</t>
  </si>
  <si>
    <t>Tangrowth</t>
  </si>
  <si>
    <t>466</t>
  </si>
  <si>
    <t>electivire</t>
  </si>
  <si>
    <t>Motor Drive</t>
  </si>
  <si>
    <t>467</t>
  </si>
  <si>
    <t>magmortar</t>
  </si>
  <si>
    <t>468</t>
  </si>
  <si>
    <t>togekiss</t>
  </si>
  <si>
    <t>Togekiss</t>
  </si>
  <si>
    <t>469</t>
  </si>
  <si>
    <t>yanmega</t>
  </si>
  <si>
    <t>470</t>
  </si>
  <si>
    <t>leafeon</t>
  </si>
  <si>
    <t>471</t>
  </si>
  <si>
    <t>glaceon</t>
  </si>
  <si>
    <t>472</t>
  </si>
  <si>
    <t>473</t>
  </si>
  <si>
    <t>mamoswine</t>
  </si>
  <si>
    <t>474</t>
  </si>
  <si>
    <t>porygon-z</t>
  </si>
  <si>
    <t>porygonz</t>
  </si>
  <si>
    <t>475</t>
  </si>
  <si>
    <t>gallade</t>
  </si>
  <si>
    <t>475-m</t>
  </si>
  <si>
    <t>gallade-mega</t>
  </si>
  <si>
    <t>Mega Gallade</t>
  </si>
  <si>
    <t>476</t>
  </si>
  <si>
    <t>probopass</t>
  </si>
  <si>
    <t>477</t>
  </si>
  <si>
    <t>dusknoir</t>
  </si>
  <si>
    <t>478</t>
  </si>
  <si>
    <t>froslass</t>
  </si>
  <si>
    <t>479</t>
  </si>
  <si>
    <t>rotom</t>
  </si>
  <si>
    <t>479-h</t>
  </si>
  <si>
    <t>rotom-heat</t>
  </si>
  <si>
    <t>479-w</t>
  </si>
  <si>
    <t>rotom-wash</t>
  </si>
  <si>
    <t>479-f</t>
  </si>
  <si>
    <t>rotom-frost</t>
  </si>
  <si>
    <t>479-s</t>
  </si>
  <si>
    <t>rotom-fan</t>
  </si>
  <si>
    <t>479-m</t>
  </si>
  <si>
    <t>rotom-mow</t>
  </si>
  <si>
    <t>480</t>
  </si>
  <si>
    <t>uxie</t>
  </si>
  <si>
    <t>481</t>
  </si>
  <si>
    <t>mesprit</t>
  </si>
  <si>
    <t>482</t>
  </si>
  <si>
    <t>azelf</t>
  </si>
  <si>
    <t>483</t>
  </si>
  <si>
    <t>dialga</t>
  </si>
  <si>
    <t>483-o</t>
  </si>
  <si>
    <t>Dialga-Origin</t>
  </si>
  <si>
    <t>484</t>
  </si>
  <si>
    <t>palkia</t>
  </si>
  <si>
    <t>484-o</t>
  </si>
  <si>
    <t>Palkia-Origin</t>
  </si>
  <si>
    <t>485</t>
  </si>
  <si>
    <t>heatran</t>
  </si>
  <si>
    <t>486</t>
  </si>
  <si>
    <t>regigigas</t>
  </si>
  <si>
    <t>Slow Start</t>
  </si>
  <si>
    <t>487</t>
  </si>
  <si>
    <t>giratina</t>
  </si>
  <si>
    <t>487o</t>
  </si>
  <si>
    <t>giratina-origin</t>
  </si>
  <si>
    <t>488</t>
  </si>
  <si>
    <t>cresselia</t>
  </si>
  <si>
    <t>489</t>
  </si>
  <si>
    <t>phione</t>
  </si>
  <si>
    <t>490</t>
  </si>
  <si>
    <t>manaphy</t>
  </si>
  <si>
    <t>491</t>
  </si>
  <si>
    <t>Bad Dreams</t>
  </si>
  <si>
    <t>492</t>
  </si>
  <si>
    <t>shaymin</t>
  </si>
  <si>
    <t>492-s</t>
  </si>
  <si>
    <t>shaymin-sky</t>
  </si>
  <si>
    <t>Shaymin-Sky</t>
  </si>
  <si>
    <t>493</t>
  </si>
  <si>
    <t>arceus</t>
  </si>
  <si>
    <t>Multitype</t>
  </si>
  <si>
    <t>arceus-bug</t>
  </si>
  <si>
    <t>Arceus-Bug</t>
  </si>
  <si>
    <t>arceus-dark</t>
  </si>
  <si>
    <t>Arceus-Dark</t>
  </si>
  <si>
    <t>arceus-dragon</t>
  </si>
  <si>
    <t>Arceus-Dragon</t>
  </si>
  <si>
    <t>arceus-electric</t>
  </si>
  <si>
    <t>Arceus-Electric</t>
  </si>
  <si>
    <t>arceus-fairy</t>
  </si>
  <si>
    <t>Arceus-Fairy</t>
  </si>
  <si>
    <t>arceus-fighting</t>
  </si>
  <si>
    <t>Arceus-Fighting</t>
  </si>
  <si>
    <t>arceus-fire</t>
  </si>
  <si>
    <t>Arceus-Fire</t>
  </si>
  <si>
    <t>arceus-flying</t>
  </si>
  <si>
    <t>Arceus-Flying</t>
  </si>
  <si>
    <t>arceus-ghost</t>
  </si>
  <si>
    <t>Arceus-Ghost</t>
  </si>
  <si>
    <t>arceus-grass</t>
  </si>
  <si>
    <t>Arceus-Grass</t>
  </si>
  <si>
    <t>arceus-ground</t>
  </si>
  <si>
    <t>Arceus-Ground</t>
  </si>
  <si>
    <t>arceus-ice</t>
  </si>
  <si>
    <t>Arceus-Ice</t>
  </si>
  <si>
    <t>arceus-poison</t>
  </si>
  <si>
    <t>Arceus-Poison</t>
  </si>
  <si>
    <t>arceus-psychic</t>
  </si>
  <si>
    <t>Arceus-Psychic</t>
  </si>
  <si>
    <t>arceus-rock</t>
  </si>
  <si>
    <t>Arceus-Rock</t>
  </si>
  <si>
    <t>arceus-steel</t>
  </si>
  <si>
    <t>Arceus-Steel</t>
  </si>
  <si>
    <t>arceus-water</t>
  </si>
  <si>
    <t>Arceus-Water</t>
  </si>
  <si>
    <t>494</t>
  </si>
  <si>
    <t>victini</t>
  </si>
  <si>
    <t>Victini</t>
  </si>
  <si>
    <t>Victory Star</t>
  </si>
  <si>
    <t>495</t>
  </si>
  <si>
    <t>snivy</t>
  </si>
  <si>
    <t>Snivy</t>
  </si>
  <si>
    <t>496</t>
  </si>
  <si>
    <t>servine</t>
  </si>
  <si>
    <t>497</t>
  </si>
  <si>
    <t>serperior</t>
  </si>
  <si>
    <t>498</t>
  </si>
  <si>
    <t>tepig</t>
  </si>
  <si>
    <t>Tepig</t>
  </si>
  <si>
    <t>499</t>
  </si>
  <si>
    <t>pignite</t>
  </si>
  <si>
    <t>500</t>
  </si>
  <si>
    <t>emboar</t>
  </si>
  <si>
    <t>501</t>
  </si>
  <si>
    <t>oshawott</t>
  </si>
  <si>
    <t>Oshawott</t>
  </si>
  <si>
    <t>502</t>
  </si>
  <si>
    <t>dewott</t>
  </si>
  <si>
    <t>Dewott</t>
  </si>
  <si>
    <t>503</t>
  </si>
  <si>
    <t>samurott</t>
  </si>
  <si>
    <t>503-h</t>
  </si>
  <si>
    <t>Sharpmess</t>
  </si>
  <si>
    <t>504</t>
  </si>
  <si>
    <t>patrat</t>
  </si>
  <si>
    <t>Patrat</t>
  </si>
  <si>
    <t>505</t>
  </si>
  <si>
    <t>watchog</t>
  </si>
  <si>
    <t>Watchog</t>
  </si>
  <si>
    <t>506</t>
  </si>
  <si>
    <t>lillipup</t>
  </si>
  <si>
    <t>Lillipup</t>
  </si>
  <si>
    <t>507</t>
  </si>
  <si>
    <t>herdier</t>
  </si>
  <si>
    <t>Herdier</t>
  </si>
  <si>
    <t>508</t>
  </si>
  <si>
    <t>stoutland</t>
  </si>
  <si>
    <t>Stoutland</t>
  </si>
  <si>
    <t>509</t>
  </si>
  <si>
    <t>purrloin</t>
  </si>
  <si>
    <t>Purrloin</t>
  </si>
  <si>
    <t>510</t>
  </si>
  <si>
    <t>liepard</t>
  </si>
  <si>
    <t>Liepard</t>
  </si>
  <si>
    <t>511</t>
  </si>
  <si>
    <t>pansage</t>
  </si>
  <si>
    <t>Pansage</t>
  </si>
  <si>
    <t>512</t>
  </si>
  <si>
    <t>simisage</t>
  </si>
  <si>
    <t>Simisage</t>
  </si>
  <si>
    <t>513</t>
  </si>
  <si>
    <t>pansear</t>
  </si>
  <si>
    <t>Pansear</t>
  </si>
  <si>
    <t>514</t>
  </si>
  <si>
    <t>simisear</t>
  </si>
  <si>
    <t>Simisear</t>
  </si>
  <si>
    <t>515</t>
  </si>
  <si>
    <t>panpour</t>
  </si>
  <si>
    <t>Panpour</t>
  </si>
  <si>
    <t>516</t>
  </si>
  <si>
    <t>simipour</t>
  </si>
  <si>
    <t>Simipour</t>
  </si>
  <si>
    <t>517</t>
  </si>
  <si>
    <t>munna</t>
  </si>
  <si>
    <t>Munna</t>
  </si>
  <si>
    <t>518</t>
  </si>
  <si>
    <t>musharna</t>
  </si>
  <si>
    <t>Musharna</t>
  </si>
  <si>
    <t>519</t>
  </si>
  <si>
    <t>pidove</t>
  </si>
  <si>
    <t>Pidove</t>
  </si>
  <si>
    <t>520</t>
  </si>
  <si>
    <t>tranquill</t>
  </si>
  <si>
    <t>Tranquill</t>
  </si>
  <si>
    <t>521</t>
  </si>
  <si>
    <t>unfezant</t>
  </si>
  <si>
    <t>Unfezant</t>
  </si>
  <si>
    <t>522</t>
  </si>
  <si>
    <t>blitzle</t>
  </si>
  <si>
    <t>Blitzle</t>
  </si>
  <si>
    <t>523</t>
  </si>
  <si>
    <t>zebstrika</t>
  </si>
  <si>
    <t>524</t>
  </si>
  <si>
    <t>roggenrola</t>
  </si>
  <si>
    <t>Roggenrola</t>
  </si>
  <si>
    <t>525</t>
  </si>
  <si>
    <t>boldore</t>
  </si>
  <si>
    <t>Boldore</t>
  </si>
  <si>
    <t>526</t>
  </si>
  <si>
    <t>gigalith</t>
  </si>
  <si>
    <t>Gigalith</t>
  </si>
  <si>
    <t>527</t>
  </si>
  <si>
    <t>woobat</t>
  </si>
  <si>
    <t>Woobat</t>
  </si>
  <si>
    <t>528</t>
  </si>
  <si>
    <t>swoobat</t>
  </si>
  <si>
    <t>Swoobat</t>
  </si>
  <si>
    <t>529</t>
  </si>
  <si>
    <t>drilbur</t>
  </si>
  <si>
    <t>Drilbur</t>
  </si>
  <si>
    <t>530</t>
  </si>
  <si>
    <t>excadrill</t>
  </si>
  <si>
    <t>531</t>
  </si>
  <si>
    <t>audino</t>
  </si>
  <si>
    <t>Audino</t>
  </si>
  <si>
    <t>531-m</t>
  </si>
  <si>
    <t>audino-mega</t>
  </si>
  <si>
    <t>Mega Audino</t>
  </si>
  <si>
    <t>532</t>
  </si>
  <si>
    <t>timburr</t>
  </si>
  <si>
    <t>Timburr</t>
  </si>
  <si>
    <t>533</t>
  </si>
  <si>
    <t>gurdurr</t>
  </si>
  <si>
    <t>534</t>
  </si>
  <si>
    <t>conkeldurr</t>
  </si>
  <si>
    <t>535</t>
  </si>
  <si>
    <t>tympole</t>
  </si>
  <si>
    <t>Tympole</t>
  </si>
  <si>
    <t>536</t>
  </si>
  <si>
    <t>palpitoad</t>
  </si>
  <si>
    <t>Palpitoad</t>
  </si>
  <si>
    <t>537</t>
  </si>
  <si>
    <t>seismitoad</t>
  </si>
  <si>
    <t>Seismitoad</t>
  </si>
  <si>
    <t>538</t>
  </si>
  <si>
    <t>throh</t>
  </si>
  <si>
    <t>Throh</t>
  </si>
  <si>
    <t>539</t>
  </si>
  <si>
    <t>sawk</t>
  </si>
  <si>
    <t>Sawk</t>
  </si>
  <si>
    <t>540</t>
  </si>
  <si>
    <t>sewaddle</t>
  </si>
  <si>
    <t>Sewaddle</t>
  </si>
  <si>
    <t>541</t>
  </si>
  <si>
    <t>swadloon</t>
  </si>
  <si>
    <t>Swadloon</t>
  </si>
  <si>
    <t>542</t>
  </si>
  <si>
    <t>leavanny</t>
  </si>
  <si>
    <t>543</t>
  </si>
  <si>
    <t>venipede</t>
  </si>
  <si>
    <t>Venipede</t>
  </si>
  <si>
    <t>544</t>
  </si>
  <si>
    <t>whirlipede</t>
  </si>
  <si>
    <t>Whirlipede</t>
  </si>
  <si>
    <t>545</t>
  </si>
  <si>
    <t>scolipede</t>
  </si>
  <si>
    <t>Scolipede</t>
  </si>
  <si>
    <t>546</t>
  </si>
  <si>
    <t>cottonee</t>
  </si>
  <si>
    <t>Cottonee</t>
  </si>
  <si>
    <t>547</t>
  </si>
  <si>
    <t>whimsicott</t>
  </si>
  <si>
    <t>548</t>
  </si>
  <si>
    <t>petilil</t>
  </si>
  <si>
    <t>Petilil</t>
  </si>
  <si>
    <t>549</t>
  </si>
  <si>
    <t>lilligant</t>
  </si>
  <si>
    <t>549-h</t>
  </si>
  <si>
    <t>lilligant-hisui</t>
  </si>
  <si>
    <t>liligant-hisui</t>
  </si>
  <si>
    <t>550</t>
  </si>
  <si>
    <t>basculin</t>
  </si>
  <si>
    <t>550-b</t>
  </si>
  <si>
    <t>basculin-blue-striped</t>
  </si>
  <si>
    <t>basculin-bluestriped</t>
  </si>
  <si>
    <t>Basculin-Blue-Striped</t>
  </si>
  <si>
    <t>551</t>
  </si>
  <si>
    <t>sandile</t>
  </si>
  <si>
    <t>Sandile</t>
  </si>
  <si>
    <t>552</t>
  </si>
  <si>
    <t>krokorok</t>
  </si>
  <si>
    <t>553</t>
  </si>
  <si>
    <t>554</t>
  </si>
  <si>
    <t>darumaka</t>
  </si>
  <si>
    <t>Darumaka</t>
  </si>
  <si>
    <t>554-g</t>
  </si>
  <si>
    <t>darumaka-galar</t>
  </si>
  <si>
    <t>darumaka-galarian</t>
  </si>
  <si>
    <t>Galarian Darumaka</t>
  </si>
  <si>
    <t>555</t>
  </si>
  <si>
    <t>darmanitan</t>
  </si>
  <si>
    <t>darmanitan-standard</t>
  </si>
  <si>
    <t>Darmanitan</t>
  </si>
  <si>
    <t>Zen Mode</t>
  </si>
  <si>
    <t>555-z</t>
  </si>
  <si>
    <t>darmanitan-zen</t>
  </si>
  <si>
    <t>Darmanitan-Zen</t>
  </si>
  <si>
    <t>555-g</t>
  </si>
  <si>
    <t>darmanitan-galar</t>
  </si>
  <si>
    <t>darmanitan-galarian-standard</t>
  </si>
  <si>
    <t>Galarian Darmanitan</t>
  </si>
  <si>
    <t>Gorilla Tactics</t>
  </si>
  <si>
    <t>555-gz</t>
  </si>
  <si>
    <t>darmanitan-galar-zen</t>
  </si>
  <si>
    <t>darmanitan-galarzen</t>
  </si>
  <si>
    <t>darmanitan-galarian-zen</t>
  </si>
  <si>
    <t>Galarian Darmanitan-Zen</t>
  </si>
  <si>
    <t>556</t>
  </si>
  <si>
    <t>maractus</t>
  </si>
  <si>
    <t>Maractus</t>
  </si>
  <si>
    <t>557</t>
  </si>
  <si>
    <t>dwebble</t>
  </si>
  <si>
    <t>558</t>
  </si>
  <si>
    <t>crustle</t>
  </si>
  <si>
    <t>559</t>
  </si>
  <si>
    <t>scraggy</t>
  </si>
  <si>
    <t>Scraggy</t>
  </si>
  <si>
    <t>560</t>
  </si>
  <si>
    <t>scrafty</t>
  </si>
  <si>
    <t>561</t>
  </si>
  <si>
    <t>sigilyph</t>
  </si>
  <si>
    <t>Sigilyph</t>
  </si>
  <si>
    <t>562</t>
  </si>
  <si>
    <t>yamask</t>
  </si>
  <si>
    <t>Yamask</t>
  </si>
  <si>
    <t>Mummy</t>
  </si>
  <si>
    <t>562-g</t>
  </si>
  <si>
    <t>yamask-galar</t>
  </si>
  <si>
    <t>yamask-galarian</t>
  </si>
  <si>
    <t>Galarian Yamask</t>
  </si>
  <si>
    <t>Wandering Spirit</t>
  </si>
  <si>
    <t>563</t>
  </si>
  <si>
    <t>cofagrigus</t>
  </si>
  <si>
    <t>Cofagrigus</t>
  </si>
  <si>
    <t>564</t>
  </si>
  <si>
    <t>tirtouga</t>
  </si>
  <si>
    <t>Tirtouga</t>
  </si>
  <si>
    <t>565</t>
  </si>
  <si>
    <t>carracosta</t>
  </si>
  <si>
    <t>Carracosta</t>
  </si>
  <si>
    <t>566</t>
  </si>
  <si>
    <t>archen</t>
  </si>
  <si>
    <t>Archen</t>
  </si>
  <si>
    <t>Defeatist</t>
  </si>
  <si>
    <t>567</t>
  </si>
  <si>
    <t>archeops</t>
  </si>
  <si>
    <t>Archeops</t>
  </si>
  <si>
    <t>568</t>
  </si>
  <si>
    <t>trubbish</t>
  </si>
  <si>
    <t>Trubbish</t>
  </si>
  <si>
    <t>569</t>
  </si>
  <si>
    <t>garbodor</t>
  </si>
  <si>
    <t>Garbodor</t>
  </si>
  <si>
    <t>570</t>
  </si>
  <si>
    <t>zorua</t>
  </si>
  <si>
    <t>Zorua</t>
  </si>
  <si>
    <t>Illusion</t>
  </si>
  <si>
    <t>570-h</t>
  </si>
  <si>
    <t>571</t>
  </si>
  <si>
    <t>zoroark</t>
  </si>
  <si>
    <t>571-h</t>
  </si>
  <si>
    <t>572</t>
  </si>
  <si>
    <t>minccino</t>
  </si>
  <si>
    <t>Minccino</t>
  </si>
  <si>
    <t>573</t>
  </si>
  <si>
    <t>574</t>
  </si>
  <si>
    <t>gothita</t>
  </si>
  <si>
    <t>Gothita</t>
  </si>
  <si>
    <t>575</t>
  </si>
  <si>
    <t>gothorita</t>
  </si>
  <si>
    <t>576</t>
  </si>
  <si>
    <t>gothitelle</t>
  </si>
  <si>
    <t>577</t>
  </si>
  <si>
    <t>solosis</t>
  </si>
  <si>
    <t>Solosis</t>
  </si>
  <si>
    <t>578</t>
  </si>
  <si>
    <t>duosion</t>
  </si>
  <si>
    <t>579</t>
  </si>
  <si>
    <t>reuniclus</t>
  </si>
  <si>
    <t>580</t>
  </si>
  <si>
    <t>ducklett</t>
  </si>
  <si>
    <t>Ducklett</t>
  </si>
  <si>
    <t>581</t>
  </si>
  <si>
    <t>swanna</t>
  </si>
  <si>
    <t>582</t>
  </si>
  <si>
    <t>vanillite</t>
  </si>
  <si>
    <t>Vanillite</t>
  </si>
  <si>
    <t>583</t>
  </si>
  <si>
    <t>vanillish</t>
  </si>
  <si>
    <t>Vanillish</t>
  </si>
  <si>
    <t>584</t>
  </si>
  <si>
    <t>vanilluxe</t>
  </si>
  <si>
    <t>Vanilluxe</t>
  </si>
  <si>
    <t>585</t>
  </si>
  <si>
    <t>deerling</t>
  </si>
  <si>
    <t>Deerling</t>
  </si>
  <si>
    <t>586</t>
  </si>
  <si>
    <t>sawsbuck</t>
  </si>
  <si>
    <t>587</t>
  </si>
  <si>
    <t>emolga</t>
  </si>
  <si>
    <t>Emolga</t>
  </si>
  <si>
    <t>588</t>
  </si>
  <si>
    <t>karrablast</t>
  </si>
  <si>
    <t>Karrablast</t>
  </si>
  <si>
    <t>589</t>
  </si>
  <si>
    <t>escavalier</t>
  </si>
  <si>
    <t>Escavalier</t>
  </si>
  <si>
    <t>590</t>
  </si>
  <si>
    <t>foongus</t>
  </si>
  <si>
    <t>Foongus</t>
  </si>
  <si>
    <t>591</t>
  </si>
  <si>
    <t>amoonguss</t>
  </si>
  <si>
    <t>592</t>
  </si>
  <si>
    <t>frillish</t>
  </si>
  <si>
    <t>Frillish</t>
  </si>
  <si>
    <t>593</t>
  </si>
  <si>
    <t>jellicent</t>
  </si>
  <si>
    <t>Jellicent</t>
  </si>
  <si>
    <t>594</t>
  </si>
  <si>
    <t>alomomola</t>
  </si>
  <si>
    <t>595</t>
  </si>
  <si>
    <t>joltik</t>
  </si>
  <si>
    <t>Joltik</t>
  </si>
  <si>
    <t>596</t>
  </si>
  <si>
    <t>galvantula</t>
  </si>
  <si>
    <t>597</t>
  </si>
  <si>
    <t>ferroseed</t>
  </si>
  <si>
    <t>Ferroseed</t>
  </si>
  <si>
    <t>Iron Barbs</t>
  </si>
  <si>
    <t>598</t>
  </si>
  <si>
    <t>ferrothorn</t>
  </si>
  <si>
    <t>Ferrothorn</t>
  </si>
  <si>
    <t>599</t>
  </si>
  <si>
    <t>klink</t>
  </si>
  <si>
    <t>Klink</t>
  </si>
  <si>
    <t>600</t>
  </si>
  <si>
    <t>klang</t>
  </si>
  <si>
    <t>Klang</t>
  </si>
  <si>
    <t>601</t>
  </si>
  <si>
    <t>klinklang</t>
  </si>
  <si>
    <t>Klinklang</t>
  </si>
  <si>
    <t>602</t>
  </si>
  <si>
    <t>tynamo</t>
  </si>
  <si>
    <t>Tynamo</t>
  </si>
  <si>
    <t>603</t>
  </si>
  <si>
    <t>eelektrik</t>
  </si>
  <si>
    <t>604</t>
  </si>
  <si>
    <t>eelektross</t>
  </si>
  <si>
    <t>605</t>
  </si>
  <si>
    <t>elgyem</t>
  </si>
  <si>
    <t>Elgyem</t>
  </si>
  <si>
    <t>606</t>
  </si>
  <si>
    <t>beheeyem</t>
  </si>
  <si>
    <t>Beheeyem</t>
  </si>
  <si>
    <t>607</t>
  </si>
  <si>
    <t>litwick</t>
  </si>
  <si>
    <t>Litwick</t>
  </si>
  <si>
    <t>608</t>
  </si>
  <si>
    <t>lampent</t>
  </si>
  <si>
    <t>Lampent</t>
  </si>
  <si>
    <t>609</t>
  </si>
  <si>
    <t>chandelure</t>
  </si>
  <si>
    <t>610</t>
  </si>
  <si>
    <t>axew</t>
  </si>
  <si>
    <t>Axew</t>
  </si>
  <si>
    <t>611</t>
  </si>
  <si>
    <t>fraxure</t>
  </si>
  <si>
    <t>612</t>
  </si>
  <si>
    <t>haxorus</t>
  </si>
  <si>
    <t>613</t>
  </si>
  <si>
    <t>cubchoo</t>
  </si>
  <si>
    <t>Cubchoo</t>
  </si>
  <si>
    <t>614</t>
  </si>
  <si>
    <t>beartic</t>
  </si>
  <si>
    <t>615</t>
  </si>
  <si>
    <t>cryogonal</t>
  </si>
  <si>
    <t>616</t>
  </si>
  <si>
    <t>shelmet</t>
  </si>
  <si>
    <t>Shelmet</t>
  </si>
  <si>
    <t>617</t>
  </si>
  <si>
    <t>accelgor</t>
  </si>
  <si>
    <t>Accelgor</t>
  </si>
  <si>
    <t>618</t>
  </si>
  <si>
    <t>stunfisk</t>
  </si>
  <si>
    <t>Stunfisk</t>
  </si>
  <si>
    <t>618-g</t>
  </si>
  <si>
    <t>stunfisk-galar</t>
  </si>
  <si>
    <t>stunfisk-galarian</t>
  </si>
  <si>
    <t>Galarian Stunfisk</t>
  </si>
  <si>
    <t>Mimicry</t>
  </si>
  <si>
    <t>619</t>
  </si>
  <si>
    <t>mienfoo</t>
  </si>
  <si>
    <t>Mienfoo</t>
  </si>
  <si>
    <t>620</t>
  </si>
  <si>
    <t>mienshao</t>
  </si>
  <si>
    <t>621</t>
  </si>
  <si>
    <t>druddigon</t>
  </si>
  <si>
    <t>Druddigon</t>
  </si>
  <si>
    <t>622</t>
  </si>
  <si>
    <t>golett</t>
  </si>
  <si>
    <t>Golett</t>
  </si>
  <si>
    <t>623</t>
  </si>
  <si>
    <t>golurk</t>
  </si>
  <si>
    <t>624</t>
  </si>
  <si>
    <t>pawniard</t>
  </si>
  <si>
    <t>625</t>
  </si>
  <si>
    <t>bisharp</t>
  </si>
  <si>
    <t>626</t>
  </si>
  <si>
    <t>bouffalant</t>
  </si>
  <si>
    <t>Bouffalant</t>
  </si>
  <si>
    <t>627</t>
  </si>
  <si>
    <t>rufflet</t>
  </si>
  <si>
    <t>628</t>
  </si>
  <si>
    <t>braviary</t>
  </si>
  <si>
    <t>628-h</t>
  </si>
  <si>
    <t>629</t>
  </si>
  <si>
    <t>vullaby</t>
  </si>
  <si>
    <t>630</t>
  </si>
  <si>
    <t>mandibuzz</t>
  </si>
  <si>
    <t>631</t>
  </si>
  <si>
    <t>heatmor</t>
  </si>
  <si>
    <t>Heatmor</t>
  </si>
  <si>
    <t>632</t>
  </si>
  <si>
    <t>durant</t>
  </si>
  <si>
    <t>Durant</t>
  </si>
  <si>
    <t>633</t>
  </si>
  <si>
    <t>deino</t>
  </si>
  <si>
    <t>Deino</t>
  </si>
  <si>
    <t>634</t>
  </si>
  <si>
    <t>635</t>
  </si>
  <si>
    <t>hydreigon</t>
  </si>
  <si>
    <t>636</t>
  </si>
  <si>
    <t>larvesta</t>
  </si>
  <si>
    <t>Larvesta</t>
  </si>
  <si>
    <t>637</t>
  </si>
  <si>
    <t>volcarona</t>
  </si>
  <si>
    <t>638</t>
  </si>
  <si>
    <t>639</t>
  </si>
  <si>
    <t>terrakion</t>
  </si>
  <si>
    <t>640</t>
  </si>
  <si>
    <t>virizion</t>
  </si>
  <si>
    <t>641</t>
  </si>
  <si>
    <t>tornadus</t>
  </si>
  <si>
    <t>641-s</t>
  </si>
  <si>
    <t>642</t>
  </si>
  <si>
    <t>thundurus</t>
  </si>
  <si>
    <t>642-s</t>
  </si>
  <si>
    <t>thundurus-therian</t>
  </si>
  <si>
    <t>643</t>
  </si>
  <si>
    <t>reshiram</t>
  </si>
  <si>
    <t>Turboblaze</t>
  </si>
  <si>
    <t>644</t>
  </si>
  <si>
    <t>zekrom</t>
  </si>
  <si>
    <t>Teravolt</t>
  </si>
  <si>
    <t>645</t>
  </si>
  <si>
    <t>landorus</t>
  </si>
  <si>
    <t>645-s</t>
  </si>
  <si>
    <t>landorus-therian</t>
  </si>
  <si>
    <t>646</t>
  </si>
  <si>
    <t>kyurem</t>
  </si>
  <si>
    <t>646-b</t>
  </si>
  <si>
    <t>kyurem-black</t>
  </si>
  <si>
    <t>646-w</t>
  </si>
  <si>
    <t>kyurem-white</t>
  </si>
  <si>
    <t>647</t>
  </si>
  <si>
    <t>647-r</t>
  </si>
  <si>
    <t>keldeo-resolute</t>
  </si>
  <si>
    <t>Keldeo-Resolute</t>
  </si>
  <si>
    <t>648</t>
  </si>
  <si>
    <t>meloetta</t>
  </si>
  <si>
    <t>648-p</t>
  </si>
  <si>
    <t>meloetta-pirouette</t>
  </si>
  <si>
    <t>Meloetta-Pirouette</t>
  </si>
  <si>
    <t>649</t>
  </si>
  <si>
    <t>genesect</t>
  </si>
  <si>
    <t>Genesect</t>
  </si>
  <si>
    <t>genesect-douse</t>
  </si>
  <si>
    <t>Genesect-Douse</t>
  </si>
  <si>
    <t>genesect-shock</t>
  </si>
  <si>
    <t>Genesect-Shock</t>
  </si>
  <si>
    <t>genesect-burn</t>
  </si>
  <si>
    <t>Genesect-Burn</t>
  </si>
  <si>
    <t>genesect-chill</t>
  </si>
  <si>
    <t>Genesect-Chill</t>
  </si>
  <si>
    <t>650</t>
  </si>
  <si>
    <t>chespin</t>
  </si>
  <si>
    <t>Chespin</t>
  </si>
  <si>
    <t>Bulletproof</t>
  </si>
  <si>
    <t>651</t>
  </si>
  <si>
    <t>quilladin</t>
  </si>
  <si>
    <t>652</t>
  </si>
  <si>
    <t>chesnaught</t>
  </si>
  <si>
    <t>653</t>
  </si>
  <si>
    <t>fennekin</t>
  </si>
  <si>
    <t>Magician</t>
  </si>
  <si>
    <t>654</t>
  </si>
  <si>
    <t>braixen</t>
  </si>
  <si>
    <t>Braixen</t>
  </si>
  <si>
    <t>655</t>
  </si>
  <si>
    <t>delphox</t>
  </si>
  <si>
    <t>656</t>
  </si>
  <si>
    <t>froakie</t>
  </si>
  <si>
    <t>Froakie</t>
  </si>
  <si>
    <t>657</t>
  </si>
  <si>
    <t>frogadier</t>
  </si>
  <si>
    <t>658</t>
  </si>
  <si>
    <t>greninja</t>
  </si>
  <si>
    <t>658-a</t>
  </si>
  <si>
    <t>greninja-ash</t>
  </si>
  <si>
    <t>Greninja-Ash</t>
  </si>
  <si>
    <t>Battle Bond</t>
  </si>
  <si>
    <t>659</t>
  </si>
  <si>
    <t>bunnelby</t>
  </si>
  <si>
    <t>Bunnelby</t>
  </si>
  <si>
    <t>Cheek Pouch</t>
  </si>
  <si>
    <t>660</t>
  </si>
  <si>
    <t>diggersby</t>
  </si>
  <si>
    <t>Diggersby</t>
  </si>
  <si>
    <t>661</t>
  </si>
  <si>
    <t>fletchling</t>
  </si>
  <si>
    <t>Fletchling</t>
  </si>
  <si>
    <t>Gale Wings</t>
  </si>
  <si>
    <t>662</t>
  </si>
  <si>
    <t>fletchinder</t>
  </si>
  <si>
    <t>663</t>
  </si>
  <si>
    <t>talonflame</t>
  </si>
  <si>
    <t>664</t>
  </si>
  <si>
    <t>scatterbug</t>
  </si>
  <si>
    <t>Scatterbug</t>
  </si>
  <si>
    <t>665</t>
  </si>
  <si>
    <t>spewpa</t>
  </si>
  <si>
    <t>Spewpa</t>
  </si>
  <si>
    <t>666</t>
  </si>
  <si>
    <t>vivillon</t>
  </si>
  <si>
    <t>666-f</t>
  </si>
  <si>
    <t>vivillon-fancy</t>
  </si>
  <si>
    <t>Vivillon-Fancy</t>
  </si>
  <si>
    <t>666-p</t>
  </si>
  <si>
    <t>vivillon-poke-ball</t>
  </si>
  <si>
    <t>vivillon-pokeball</t>
  </si>
  <si>
    <t>Vivillon-Pokéball</t>
  </si>
  <si>
    <t>667</t>
  </si>
  <si>
    <t>litleo</t>
  </si>
  <si>
    <t>Litleo</t>
  </si>
  <si>
    <t>668</t>
  </si>
  <si>
    <t>pyroar</t>
  </si>
  <si>
    <t>669</t>
  </si>
  <si>
    <t>flabebe</t>
  </si>
  <si>
    <t>Flabébé</t>
  </si>
  <si>
    <t>Flower Veil</t>
  </si>
  <si>
    <t>Symbiosis</t>
  </si>
  <si>
    <t>670</t>
  </si>
  <si>
    <t>floette</t>
  </si>
  <si>
    <t>Floette</t>
  </si>
  <si>
    <t>670-e</t>
  </si>
  <si>
    <t>floette-eternal</t>
  </si>
  <si>
    <t>Floette-Eternal</t>
  </si>
  <si>
    <t>671</t>
  </si>
  <si>
    <t>florges</t>
  </si>
  <si>
    <t>672</t>
  </si>
  <si>
    <t>skiddo</t>
  </si>
  <si>
    <t>Skiddo</t>
  </si>
  <si>
    <t>Grass Pelt</t>
  </si>
  <si>
    <t>673</t>
  </si>
  <si>
    <t>gogoat</t>
  </si>
  <si>
    <t>674</t>
  </si>
  <si>
    <t>pancham</t>
  </si>
  <si>
    <t>Pancham</t>
  </si>
  <si>
    <t>675</t>
  </si>
  <si>
    <t>pangoro</t>
  </si>
  <si>
    <t>Pangoro</t>
  </si>
  <si>
    <t>676</t>
  </si>
  <si>
    <t>furfrou</t>
  </si>
  <si>
    <t>Furfrou</t>
  </si>
  <si>
    <t>677</t>
  </si>
  <si>
    <t>espurr</t>
  </si>
  <si>
    <t>Espurr</t>
  </si>
  <si>
    <t>678</t>
  </si>
  <si>
    <t>meowstic</t>
  </si>
  <si>
    <t>meowstic-male</t>
  </si>
  <si>
    <t>Meowstic-Male</t>
  </si>
  <si>
    <t>678-f</t>
  </si>
  <si>
    <t>meowstic-f</t>
  </si>
  <si>
    <t>meowstic-female</t>
  </si>
  <si>
    <t>Meowstic-Female</t>
  </si>
  <si>
    <t>679</t>
  </si>
  <si>
    <t>honedge</t>
  </si>
  <si>
    <t>Honedge</t>
  </si>
  <si>
    <t>680</t>
  </si>
  <si>
    <t>doublade</t>
  </si>
  <si>
    <t>Doublade</t>
  </si>
  <si>
    <t>681</t>
  </si>
  <si>
    <t>aegislash</t>
  </si>
  <si>
    <t>Aegislash</t>
  </si>
  <si>
    <t>Stance Change</t>
  </si>
  <si>
    <t>681-b</t>
  </si>
  <si>
    <t>aegislash-blade</t>
  </si>
  <si>
    <t>Aegislash-Blade</t>
  </si>
  <si>
    <t>682</t>
  </si>
  <si>
    <t>spritzee</t>
  </si>
  <si>
    <t>Spritzee</t>
  </si>
  <si>
    <t>Aroma Veil</t>
  </si>
  <si>
    <t>683</t>
  </si>
  <si>
    <t>aromatisse</t>
  </si>
  <si>
    <t>Aromatisse</t>
  </si>
  <si>
    <t>684</t>
  </si>
  <si>
    <t>swirlix</t>
  </si>
  <si>
    <t>Swirlix</t>
  </si>
  <si>
    <t>Sweet Veil</t>
  </si>
  <si>
    <t>685</t>
  </si>
  <si>
    <t>slurpuff</t>
  </si>
  <si>
    <t>Slurpuff</t>
  </si>
  <si>
    <t>686</t>
  </si>
  <si>
    <t>inkay</t>
  </si>
  <si>
    <t>Inkay</t>
  </si>
  <si>
    <t>687</t>
  </si>
  <si>
    <t>malamar</t>
  </si>
  <si>
    <t>688</t>
  </si>
  <si>
    <t>binacle</t>
  </si>
  <si>
    <t>Binacle</t>
  </si>
  <si>
    <t>689</t>
  </si>
  <si>
    <t>barbaracle</t>
  </si>
  <si>
    <t>Barbaracle</t>
  </si>
  <si>
    <t>690</t>
  </si>
  <si>
    <t>skrelp</t>
  </si>
  <si>
    <t>Skrelp</t>
  </si>
  <si>
    <t>691</t>
  </si>
  <si>
    <t>dragalge</t>
  </si>
  <si>
    <t>692</t>
  </si>
  <si>
    <t>clauncher</t>
  </si>
  <si>
    <t>Clauncher</t>
  </si>
  <si>
    <t>693</t>
  </si>
  <si>
    <t>clawitzer</t>
  </si>
  <si>
    <t>694</t>
  </si>
  <si>
    <t>helioptile</t>
  </si>
  <si>
    <t>Helioptile</t>
  </si>
  <si>
    <t>695</t>
  </si>
  <si>
    <t>heliolisk</t>
  </si>
  <si>
    <t>Heliolisk</t>
  </si>
  <si>
    <t>696</t>
  </si>
  <si>
    <t>tyrunt</t>
  </si>
  <si>
    <t>Tyrunt</t>
  </si>
  <si>
    <t>697</t>
  </si>
  <si>
    <t>tyrantrum</t>
  </si>
  <si>
    <t>Tyrantrum</t>
  </si>
  <si>
    <t>698</t>
  </si>
  <si>
    <t>amaura</t>
  </si>
  <si>
    <t>Amaura</t>
  </si>
  <si>
    <t>699</t>
  </si>
  <si>
    <t>aurorus</t>
  </si>
  <si>
    <t>Aurorus</t>
  </si>
  <si>
    <t>700</t>
  </si>
  <si>
    <t>sylveon</t>
  </si>
  <si>
    <t>701</t>
  </si>
  <si>
    <t>hawlucha</t>
  </si>
  <si>
    <t>702</t>
  </si>
  <si>
    <t>dedenne</t>
  </si>
  <si>
    <t>703</t>
  </si>
  <si>
    <t>carbink</t>
  </si>
  <si>
    <t>704</t>
  </si>
  <si>
    <t>goomy</t>
  </si>
  <si>
    <t>Goomy</t>
  </si>
  <si>
    <t>Gooey</t>
  </si>
  <si>
    <t>705</t>
  </si>
  <si>
    <t>sliggoo</t>
  </si>
  <si>
    <t>705-h</t>
  </si>
  <si>
    <t>706</t>
  </si>
  <si>
    <t>goodra</t>
  </si>
  <si>
    <t>706-h</t>
  </si>
  <si>
    <t>707</t>
  </si>
  <si>
    <t>klefki</t>
  </si>
  <si>
    <t>708</t>
  </si>
  <si>
    <t>phantump</t>
  </si>
  <si>
    <t>Phantump</t>
  </si>
  <si>
    <t>709</t>
  </si>
  <si>
    <t>trevenant</t>
  </si>
  <si>
    <t>710</t>
  </si>
  <si>
    <t>pumpkaboo</t>
  </si>
  <si>
    <t>Pumpkaboo</t>
  </si>
  <si>
    <t>710-s</t>
  </si>
  <si>
    <t>pumpkaboo-small</t>
  </si>
  <si>
    <t>Pumpkaboo-Small</t>
  </si>
  <si>
    <t>710-l</t>
  </si>
  <si>
    <t>pumpkaboo-large</t>
  </si>
  <si>
    <t>Pumpkaboo-Large</t>
  </si>
  <si>
    <t>710-h</t>
  </si>
  <si>
    <t>pumpkaboo-super</t>
  </si>
  <si>
    <t>Pumpkaboo-Super</t>
  </si>
  <si>
    <t>711</t>
  </si>
  <si>
    <t>gourgeist</t>
  </si>
  <si>
    <t>Gourgeist</t>
  </si>
  <si>
    <t>711-s</t>
  </si>
  <si>
    <t>gourgeist-small</t>
  </si>
  <si>
    <t>Gourgeist-Small</t>
  </si>
  <si>
    <t>711-l</t>
  </si>
  <si>
    <t>gourgeist-large</t>
  </si>
  <si>
    <t>Gourgeist-Large</t>
  </si>
  <si>
    <t>711-h</t>
  </si>
  <si>
    <t>gourgeist-super</t>
  </si>
  <si>
    <t>Gourgeist-Super</t>
  </si>
  <si>
    <t>712</t>
  </si>
  <si>
    <t>bergmite</t>
  </si>
  <si>
    <t>Bergmite</t>
  </si>
  <si>
    <t>713</t>
  </si>
  <si>
    <t>avalugg</t>
  </si>
  <si>
    <t>713-h</t>
  </si>
  <si>
    <t>avalugg-hisui</t>
  </si>
  <si>
    <t>714</t>
  </si>
  <si>
    <t>noibat</t>
  </si>
  <si>
    <t>Noibat</t>
  </si>
  <si>
    <t>715</t>
  </si>
  <si>
    <t>noivern</t>
  </si>
  <si>
    <t>716</t>
  </si>
  <si>
    <t>xerneas</t>
  </si>
  <si>
    <t>Fairy Aura</t>
  </si>
  <si>
    <t>717</t>
  </si>
  <si>
    <t>yveltal</t>
  </si>
  <si>
    <t>Dark Aura</t>
  </si>
  <si>
    <t>718</t>
  </si>
  <si>
    <t>zygarde</t>
  </si>
  <si>
    <t>Zygarde-50%</t>
  </si>
  <si>
    <t>Aura Break</t>
  </si>
  <si>
    <t>Power Construct</t>
  </si>
  <si>
    <t>718-10</t>
  </si>
  <si>
    <t>zygarde-10</t>
  </si>
  <si>
    <t>Zygarde-10%</t>
  </si>
  <si>
    <t>718-c</t>
  </si>
  <si>
    <t>zygarde-complete</t>
  </si>
  <si>
    <t>719</t>
  </si>
  <si>
    <t>diancie</t>
  </si>
  <si>
    <t>719-m</t>
  </si>
  <si>
    <t>diancie-mega</t>
  </si>
  <si>
    <t>Mega Diancie</t>
  </si>
  <si>
    <t>720</t>
  </si>
  <si>
    <t>hoopa</t>
  </si>
  <si>
    <t>720-u</t>
  </si>
  <si>
    <t>hoopa-unbound</t>
  </si>
  <si>
    <t>721</t>
  </si>
  <si>
    <t>volcanion</t>
  </si>
  <si>
    <t>722</t>
  </si>
  <si>
    <t>rowlet</t>
  </si>
  <si>
    <t>Rowlet</t>
  </si>
  <si>
    <t>Long Reach</t>
  </si>
  <si>
    <t>723</t>
  </si>
  <si>
    <t>dartrix</t>
  </si>
  <si>
    <t>Dartrix</t>
  </si>
  <si>
    <t>724</t>
  </si>
  <si>
    <t>decidueye</t>
  </si>
  <si>
    <t>724-h</t>
  </si>
  <si>
    <t>decidueye-hisui</t>
  </si>
  <si>
    <t>725</t>
  </si>
  <si>
    <t>litten</t>
  </si>
  <si>
    <t>Litten</t>
  </si>
  <si>
    <t>726</t>
  </si>
  <si>
    <t>torracat</t>
  </si>
  <si>
    <t>727</t>
  </si>
  <si>
    <t>incineroar</t>
  </si>
  <si>
    <t>728</t>
  </si>
  <si>
    <t>popplio</t>
  </si>
  <si>
    <t>Popplio</t>
  </si>
  <si>
    <t>Liquid Voice</t>
  </si>
  <si>
    <t>729</t>
  </si>
  <si>
    <t>brionne</t>
  </si>
  <si>
    <t>730</t>
  </si>
  <si>
    <t>primarina</t>
  </si>
  <si>
    <t>731</t>
  </si>
  <si>
    <t>pikipek</t>
  </si>
  <si>
    <t>Pikipek</t>
  </si>
  <si>
    <t>732</t>
  </si>
  <si>
    <t>trumbeak</t>
  </si>
  <si>
    <t>Trumbeak</t>
  </si>
  <si>
    <t>733</t>
  </si>
  <si>
    <t>toucannon</t>
  </si>
  <si>
    <t>734</t>
  </si>
  <si>
    <t>yungoos</t>
  </si>
  <si>
    <t>Yungoos</t>
  </si>
  <si>
    <t>Stakeout</t>
  </si>
  <si>
    <t>735</t>
  </si>
  <si>
    <t>gumshoos</t>
  </si>
  <si>
    <t>736</t>
  </si>
  <si>
    <t>grubbin</t>
  </si>
  <si>
    <t>Grubbin</t>
  </si>
  <si>
    <t>737</t>
  </si>
  <si>
    <t>charjabug</t>
  </si>
  <si>
    <t>Battery</t>
  </si>
  <si>
    <t>738</t>
  </si>
  <si>
    <t>vikavolt</t>
  </si>
  <si>
    <t>739</t>
  </si>
  <si>
    <t>crabrawler</t>
  </si>
  <si>
    <t>Crabrawler</t>
  </si>
  <si>
    <t>740</t>
  </si>
  <si>
    <t>crabominable</t>
  </si>
  <si>
    <t>741</t>
  </si>
  <si>
    <t>oricorio</t>
  </si>
  <si>
    <t>Dancer</t>
  </si>
  <si>
    <t>741-p</t>
  </si>
  <si>
    <t>oricorio-pom-pom</t>
  </si>
  <si>
    <t>oricorio-pompom</t>
  </si>
  <si>
    <t>Oricorio-Pom-Pom</t>
  </si>
  <si>
    <t>741-pau</t>
  </si>
  <si>
    <t>oricorio-pau</t>
  </si>
  <si>
    <t>Oricorio-Pa'u</t>
  </si>
  <si>
    <t>741-s</t>
  </si>
  <si>
    <t>oricorio-sensu</t>
  </si>
  <si>
    <t>Oricorio-Sensu</t>
  </si>
  <si>
    <t>742</t>
  </si>
  <si>
    <t>cutiefly</t>
  </si>
  <si>
    <t>Cutiefly</t>
  </si>
  <si>
    <t>743</t>
  </si>
  <si>
    <t>ribombee</t>
  </si>
  <si>
    <t>744</t>
  </si>
  <si>
    <t>rockruff</t>
  </si>
  <si>
    <t>Rockruff</t>
  </si>
  <si>
    <t>745</t>
  </si>
  <si>
    <t>lycanroc</t>
  </si>
  <si>
    <t>745-m</t>
  </si>
  <si>
    <t>lycanroc-midnight</t>
  </si>
  <si>
    <t>745-d</t>
  </si>
  <si>
    <t>lycanroc-dusk</t>
  </si>
  <si>
    <t>746</t>
  </si>
  <si>
    <t>wishiwashi</t>
  </si>
  <si>
    <t>Schooling</t>
  </si>
  <si>
    <t>746-s</t>
  </si>
  <si>
    <t>wishiwashi-school</t>
  </si>
  <si>
    <t>Wishiwashi-School</t>
  </si>
  <si>
    <t>747</t>
  </si>
  <si>
    <t>mareanie</t>
  </si>
  <si>
    <t>Merciless</t>
  </si>
  <si>
    <t>748</t>
  </si>
  <si>
    <t>toxapex</t>
  </si>
  <si>
    <t>749</t>
  </si>
  <si>
    <t>mudbray</t>
  </si>
  <si>
    <t>Stamina</t>
  </si>
  <si>
    <t>750</t>
  </si>
  <si>
    <t>mudsdale</t>
  </si>
  <si>
    <t>751</t>
  </si>
  <si>
    <t>dewpider</t>
  </si>
  <si>
    <t>Dewpider</t>
  </si>
  <si>
    <t>Water Bubble</t>
  </si>
  <si>
    <t>752</t>
  </si>
  <si>
    <t>araquanid</t>
  </si>
  <si>
    <t>753</t>
  </si>
  <si>
    <t>fomantis</t>
  </si>
  <si>
    <t>Fomantis</t>
  </si>
  <si>
    <t>754</t>
  </si>
  <si>
    <t>lurantis</t>
  </si>
  <si>
    <t>755</t>
  </si>
  <si>
    <t>morelull</t>
  </si>
  <si>
    <t>Morelull</t>
  </si>
  <si>
    <t>756</t>
  </si>
  <si>
    <t>shiinotic</t>
  </si>
  <si>
    <t>Shiinotic</t>
  </si>
  <si>
    <t>757</t>
  </si>
  <si>
    <t>salandit</t>
  </si>
  <si>
    <t>Salandit</t>
  </si>
  <si>
    <t>Corrosion</t>
  </si>
  <si>
    <t>758</t>
  </si>
  <si>
    <t>salazzle</t>
  </si>
  <si>
    <t>759</t>
  </si>
  <si>
    <t>stufful</t>
  </si>
  <si>
    <t>Stufful</t>
  </si>
  <si>
    <t>Fluffy</t>
  </si>
  <si>
    <t>760</t>
  </si>
  <si>
    <t>bewear</t>
  </si>
  <si>
    <t>Bewear</t>
  </si>
  <si>
    <t>761</t>
  </si>
  <si>
    <t>bounsweet</t>
  </si>
  <si>
    <t>Bounsweet</t>
  </si>
  <si>
    <t>762</t>
  </si>
  <si>
    <t>steenee</t>
  </si>
  <si>
    <t>Steenee</t>
  </si>
  <si>
    <t>763</t>
  </si>
  <si>
    <t>tsareena</t>
  </si>
  <si>
    <t>Queenly Majesty</t>
  </si>
  <si>
    <t>764</t>
  </si>
  <si>
    <t>comfey</t>
  </si>
  <si>
    <t>Triage</t>
  </si>
  <si>
    <t>765</t>
  </si>
  <si>
    <t>oranguru</t>
  </si>
  <si>
    <t>766</t>
  </si>
  <si>
    <t>passimian</t>
  </si>
  <si>
    <t>Receiver</t>
  </si>
  <si>
    <t>767</t>
  </si>
  <si>
    <t>wimpod</t>
  </si>
  <si>
    <t>Wimpod</t>
  </si>
  <si>
    <t>Wimp Out</t>
  </si>
  <si>
    <t>768</t>
  </si>
  <si>
    <t>golisopod</t>
  </si>
  <si>
    <t>Golisopod</t>
  </si>
  <si>
    <t>Emergency Exit</t>
  </si>
  <si>
    <t>769</t>
  </si>
  <si>
    <t>sandygast</t>
  </si>
  <si>
    <t>Sandygast</t>
  </si>
  <si>
    <t>Water Compaction</t>
  </si>
  <si>
    <t>770</t>
  </si>
  <si>
    <t>palossand</t>
  </si>
  <si>
    <t>771</t>
  </si>
  <si>
    <t>pyukumuku</t>
  </si>
  <si>
    <t>Pyukumuku</t>
  </si>
  <si>
    <t>Innards Out</t>
  </si>
  <si>
    <t>772</t>
  </si>
  <si>
    <t>type-null</t>
  </si>
  <si>
    <t>typenull</t>
  </si>
  <si>
    <t>Type: Null</t>
  </si>
  <si>
    <t>773</t>
  </si>
  <si>
    <t>silvally</t>
  </si>
  <si>
    <t>Silvally</t>
  </si>
  <si>
    <t>RKS System</t>
  </si>
  <si>
    <t>silvally-bug</t>
  </si>
  <si>
    <t>Silvally-Bug</t>
  </si>
  <si>
    <t>silvally-dark</t>
  </si>
  <si>
    <t>Silvally-Dark</t>
  </si>
  <si>
    <t>silvally-dragon</t>
  </si>
  <si>
    <t>Silvally-Dragon</t>
  </si>
  <si>
    <t>silvally-electric</t>
  </si>
  <si>
    <t>Silvally-Electric</t>
  </si>
  <si>
    <t>silvally-fairy</t>
  </si>
  <si>
    <t>Silvally-Fairy</t>
  </si>
  <si>
    <t>silvally-fighting</t>
  </si>
  <si>
    <t>Silvally-Fighting</t>
  </si>
  <si>
    <t>silvally-fire</t>
  </si>
  <si>
    <t>Silvally-Fire</t>
  </si>
  <si>
    <t>silvally-flying</t>
  </si>
  <si>
    <t>Silvally-Flying</t>
  </si>
  <si>
    <t>silvally-ghost</t>
  </si>
  <si>
    <t>Silvally-Ghost</t>
  </si>
  <si>
    <t>silvally-grass</t>
  </si>
  <si>
    <t>Silvally-Grass</t>
  </si>
  <si>
    <t>silvally-ground</t>
  </si>
  <si>
    <t>Silvally-Ground</t>
  </si>
  <si>
    <t>silvally-ice</t>
  </si>
  <si>
    <t>Silvally-Ice</t>
  </si>
  <si>
    <t>silvally-poison</t>
  </si>
  <si>
    <t>Silvally-Poison</t>
  </si>
  <si>
    <t>silvally-psychic</t>
  </si>
  <si>
    <t>Silvally-Psychic</t>
  </si>
  <si>
    <t>silvally-rock</t>
  </si>
  <si>
    <t>Silvally-Rock</t>
  </si>
  <si>
    <t>silvally-steel</t>
  </si>
  <si>
    <t>Silvally-Steel</t>
  </si>
  <si>
    <t>silvally-water</t>
  </si>
  <si>
    <t>Silvally-Water</t>
  </si>
  <si>
    <t>774-r</t>
  </si>
  <si>
    <t>minior-red</t>
  </si>
  <si>
    <t>minior-red-core</t>
  </si>
  <si>
    <t>Shields Down</t>
  </si>
  <si>
    <t>774</t>
  </si>
  <si>
    <t>minior</t>
  </si>
  <si>
    <t>minior-meteor</t>
  </si>
  <si>
    <t>Minior-Meteor</t>
  </si>
  <si>
    <t>775</t>
  </si>
  <si>
    <t>komala</t>
  </si>
  <si>
    <t>Comatose</t>
  </si>
  <si>
    <t>776</t>
  </si>
  <si>
    <t>turtonator</t>
  </si>
  <si>
    <t>Turtonator</t>
  </si>
  <si>
    <t>777</t>
  </si>
  <si>
    <t>togedemaru</t>
  </si>
  <si>
    <t>Togedemaru</t>
  </si>
  <si>
    <t>778</t>
  </si>
  <si>
    <t>mimikyu</t>
  </si>
  <si>
    <t>Disguise</t>
  </si>
  <si>
    <t>779</t>
  </si>
  <si>
    <t>bruxish</t>
  </si>
  <si>
    <t>Dazzling</t>
  </si>
  <si>
    <t>780</t>
  </si>
  <si>
    <t>drampa</t>
  </si>
  <si>
    <t>Drampa</t>
  </si>
  <si>
    <t>781</t>
  </si>
  <si>
    <t>dhelmise</t>
  </si>
  <si>
    <t>Dhelmise</t>
  </si>
  <si>
    <t>Steelworker</t>
  </si>
  <si>
    <t>782</t>
  </si>
  <si>
    <t>jangmo-o</t>
  </si>
  <si>
    <t>jangmoo</t>
  </si>
  <si>
    <t>Jangmo-o</t>
  </si>
  <si>
    <t>783</t>
  </si>
  <si>
    <t>hakamo-o</t>
  </si>
  <si>
    <t>hakamoo</t>
  </si>
  <si>
    <t>784</t>
  </si>
  <si>
    <t>kommo-o</t>
  </si>
  <si>
    <t>kommoo</t>
  </si>
  <si>
    <t>785</t>
  </si>
  <si>
    <t>tapu-koko</t>
  </si>
  <si>
    <t>tapukoko</t>
  </si>
  <si>
    <t>Tapu Koko</t>
  </si>
  <si>
    <t>Electric Surge</t>
  </si>
  <si>
    <t>786</t>
  </si>
  <si>
    <t>tapu-lele</t>
  </si>
  <si>
    <t>tapulele</t>
  </si>
  <si>
    <t>Tapu Lele</t>
  </si>
  <si>
    <t>Psychic Surge</t>
  </si>
  <si>
    <t>787</t>
  </si>
  <si>
    <t>tapu-bulu</t>
  </si>
  <si>
    <t>tapubulu</t>
  </si>
  <si>
    <t>Tapu Bulu</t>
  </si>
  <si>
    <t>Grassy Surge</t>
  </si>
  <si>
    <t>788</t>
  </si>
  <si>
    <t>tapu-fini</t>
  </si>
  <si>
    <t>tapufini</t>
  </si>
  <si>
    <t>Tapu Fini</t>
  </si>
  <si>
    <t>789</t>
  </si>
  <si>
    <t>cosmog</t>
  </si>
  <si>
    <t>Cosmog</t>
  </si>
  <si>
    <t>790</t>
  </si>
  <si>
    <t>cosmoem</t>
  </si>
  <si>
    <t>791</t>
  </si>
  <si>
    <t>solgaleo</t>
  </si>
  <si>
    <t>Full Metal Body</t>
  </si>
  <si>
    <t>792</t>
  </si>
  <si>
    <t>lunala</t>
  </si>
  <si>
    <t>Shadow Shield</t>
  </si>
  <si>
    <t>793</t>
  </si>
  <si>
    <t>nihilego</t>
  </si>
  <si>
    <t>Nihilego</t>
  </si>
  <si>
    <t>Beast Boost</t>
  </si>
  <si>
    <t>794</t>
  </si>
  <si>
    <t>buzzwole</t>
  </si>
  <si>
    <t>Buzzwole</t>
  </si>
  <si>
    <t>795</t>
  </si>
  <si>
    <t>pheromosa</t>
  </si>
  <si>
    <t>Pheromosa</t>
  </si>
  <si>
    <t>796</t>
  </si>
  <si>
    <t>xurkitree</t>
  </si>
  <si>
    <t>Xurkitree</t>
  </si>
  <si>
    <t>797</t>
  </si>
  <si>
    <t>celesteela</t>
  </si>
  <si>
    <t>Celesteela</t>
  </si>
  <si>
    <t>798</t>
  </si>
  <si>
    <t>kartana</t>
  </si>
  <si>
    <t>Kartana</t>
  </si>
  <si>
    <t>799</t>
  </si>
  <si>
    <t>guzzlord</t>
  </si>
  <si>
    <t>Guzzlord</t>
  </si>
  <si>
    <t>800</t>
  </si>
  <si>
    <t>necrozma</t>
  </si>
  <si>
    <t>Prism Armor</t>
  </si>
  <si>
    <t>800-dm</t>
  </si>
  <si>
    <t>necrozma-dusk</t>
  </si>
  <si>
    <t>necrozma-duskmane</t>
  </si>
  <si>
    <t>necrozma-dusk-mane</t>
  </si>
  <si>
    <t>800-dw</t>
  </si>
  <si>
    <t>necrozma-dawn</t>
  </si>
  <si>
    <t>necrozma-dawnwings</t>
  </si>
  <si>
    <t>necrozma-dawn-wings</t>
  </si>
  <si>
    <t>800-u</t>
  </si>
  <si>
    <t>necrozma-ultra</t>
  </si>
  <si>
    <t>Neuroforce</t>
  </si>
  <si>
    <t>801</t>
  </si>
  <si>
    <t>magearna</t>
  </si>
  <si>
    <t>Soul-Heart</t>
  </si>
  <si>
    <t>801-o</t>
  </si>
  <si>
    <t>magearna-original</t>
  </si>
  <si>
    <t>Magearna-Original</t>
  </si>
  <si>
    <t>802</t>
  </si>
  <si>
    <t>marshadow</t>
  </si>
  <si>
    <t>Marshadow</t>
  </si>
  <si>
    <t>803</t>
  </si>
  <si>
    <t>poipole</t>
  </si>
  <si>
    <t>Poipole</t>
  </si>
  <si>
    <t>804</t>
  </si>
  <si>
    <t>naganadel</t>
  </si>
  <si>
    <t>Naganadel</t>
  </si>
  <si>
    <t>805</t>
  </si>
  <si>
    <t>stakataka</t>
  </si>
  <si>
    <t>Stakataka</t>
  </si>
  <si>
    <t>806</t>
  </si>
  <si>
    <t>blacephalon</t>
  </si>
  <si>
    <t>Blacephalon</t>
  </si>
  <si>
    <t>807</t>
  </si>
  <si>
    <t>zeraora</t>
  </si>
  <si>
    <t>Zeraora</t>
  </si>
  <si>
    <t>808</t>
  </si>
  <si>
    <t>meltan</t>
  </si>
  <si>
    <t>Meltan</t>
  </si>
  <si>
    <t>809</t>
  </si>
  <si>
    <t>melmetal</t>
  </si>
  <si>
    <t>Melmetal</t>
  </si>
  <si>
    <t>810</t>
  </si>
  <si>
    <t>grookey</t>
  </si>
  <si>
    <t>Grookey</t>
  </si>
  <si>
    <t>811</t>
  </si>
  <si>
    <t>thwackey</t>
  </si>
  <si>
    <t>812</t>
  </si>
  <si>
    <t>rillaboom</t>
  </si>
  <si>
    <t>813</t>
  </si>
  <si>
    <t>scorbunny</t>
  </si>
  <si>
    <t>Scorbunny</t>
  </si>
  <si>
    <t>Libero</t>
  </si>
  <si>
    <t>814</t>
  </si>
  <si>
    <t>raboot</t>
  </si>
  <si>
    <t>815</t>
  </si>
  <si>
    <t>816</t>
  </si>
  <si>
    <t>sobble</t>
  </si>
  <si>
    <t>Sobble</t>
  </si>
  <si>
    <t>817</t>
  </si>
  <si>
    <t>drizzile</t>
  </si>
  <si>
    <t>Drizzile</t>
  </si>
  <si>
    <t>818</t>
  </si>
  <si>
    <t>inteleon</t>
  </si>
  <si>
    <t>819</t>
  </si>
  <si>
    <t>skwovet</t>
  </si>
  <si>
    <t>Skwovet</t>
  </si>
  <si>
    <t>820</t>
  </si>
  <si>
    <t>greedent</t>
  </si>
  <si>
    <t>821</t>
  </si>
  <si>
    <t>rookidee</t>
  </si>
  <si>
    <t>Rookidee</t>
  </si>
  <si>
    <t>822</t>
  </si>
  <si>
    <t>corvisquire</t>
  </si>
  <si>
    <t>Corvisquire</t>
  </si>
  <si>
    <t>823</t>
  </si>
  <si>
    <t>Mirror Armor</t>
  </si>
  <si>
    <t>824</t>
  </si>
  <si>
    <t>blipbug</t>
  </si>
  <si>
    <t>Blipbug</t>
  </si>
  <si>
    <t>825</t>
  </si>
  <si>
    <t>dottler</t>
  </si>
  <si>
    <t>Dottler</t>
  </si>
  <si>
    <t>826</t>
  </si>
  <si>
    <t>orbeetle</t>
  </si>
  <si>
    <t>Orbeetle</t>
  </si>
  <si>
    <t>827</t>
  </si>
  <si>
    <t>nickit</t>
  </si>
  <si>
    <t>Nickit</t>
  </si>
  <si>
    <t>828</t>
  </si>
  <si>
    <t>thievul</t>
  </si>
  <si>
    <t>Thievul</t>
  </si>
  <si>
    <t>829</t>
  </si>
  <si>
    <t>gossifleur</t>
  </si>
  <si>
    <t>Gossifleur</t>
  </si>
  <si>
    <t>Cotton Down</t>
  </si>
  <si>
    <t>830</t>
  </si>
  <si>
    <t>eldegoss</t>
  </si>
  <si>
    <t>Eldegoss</t>
  </si>
  <si>
    <t>831</t>
  </si>
  <si>
    <t>wooloo</t>
  </si>
  <si>
    <t>Wooloo</t>
  </si>
  <si>
    <t>832</t>
  </si>
  <si>
    <t>dubwool</t>
  </si>
  <si>
    <t>Dubwool</t>
  </si>
  <si>
    <t>833</t>
  </si>
  <si>
    <t>chewtle</t>
  </si>
  <si>
    <t>Chewtle</t>
  </si>
  <si>
    <t>834</t>
  </si>
  <si>
    <t>drednaw</t>
  </si>
  <si>
    <t>835</t>
  </si>
  <si>
    <t>yamper</t>
  </si>
  <si>
    <t>Yamper</t>
  </si>
  <si>
    <t>Ball Fetch</t>
  </si>
  <si>
    <t>836</t>
  </si>
  <si>
    <t>boltund</t>
  </si>
  <si>
    <t>Boltund</t>
  </si>
  <si>
    <t>837</t>
  </si>
  <si>
    <t>rolycoly</t>
  </si>
  <si>
    <t>Rolycoly</t>
  </si>
  <si>
    <t>Steam Engine</t>
  </si>
  <si>
    <t>838</t>
  </si>
  <si>
    <t>carkol</t>
  </si>
  <si>
    <t>839</t>
  </si>
  <si>
    <t>coalossal</t>
  </si>
  <si>
    <t>840</t>
  </si>
  <si>
    <t>applin</t>
  </si>
  <si>
    <t>Applin</t>
  </si>
  <si>
    <t>Ripen</t>
  </si>
  <si>
    <t>841</t>
  </si>
  <si>
    <t>flapple</t>
  </si>
  <si>
    <t>841-gi</t>
  </si>
  <si>
    <t>flapple-gmax</t>
  </si>
  <si>
    <t>flapple-gigantamax</t>
  </si>
  <si>
    <t>Gigantamax Flapple</t>
  </si>
  <si>
    <t>842</t>
  </si>
  <si>
    <t>appletun</t>
  </si>
  <si>
    <t>843</t>
  </si>
  <si>
    <t>silicobra</t>
  </si>
  <si>
    <t>Silicobra</t>
  </si>
  <si>
    <t>Sand Spit</t>
  </si>
  <si>
    <t>844</t>
  </si>
  <si>
    <t>sandaconda</t>
  </si>
  <si>
    <t>845</t>
  </si>
  <si>
    <t>cramorant</t>
  </si>
  <si>
    <t>Gulp Missile</t>
  </si>
  <si>
    <t>846</t>
  </si>
  <si>
    <t>arrokuda</t>
  </si>
  <si>
    <t>Arrokuda</t>
  </si>
  <si>
    <t>Propeller Tail</t>
  </si>
  <si>
    <t>847</t>
  </si>
  <si>
    <t>barraskewda</t>
  </si>
  <si>
    <t>848</t>
  </si>
  <si>
    <t>toxel</t>
  </si>
  <si>
    <t>Toxel</t>
  </si>
  <si>
    <t>849</t>
  </si>
  <si>
    <t>toxtricity</t>
  </si>
  <si>
    <t>toxtricity-amped</t>
  </si>
  <si>
    <t>Punk Rock</t>
  </si>
  <si>
    <t>849-l</t>
  </si>
  <si>
    <t>toxtricity-lowkey</t>
  </si>
  <si>
    <t>toxtricity-low-key</t>
  </si>
  <si>
    <t>Toxtricity-Low-Key</t>
  </si>
  <si>
    <t>850</t>
  </si>
  <si>
    <t>sizzlipede</t>
  </si>
  <si>
    <t>Sizzlipede</t>
  </si>
  <si>
    <t>851</t>
  </si>
  <si>
    <t>centiskorch</t>
  </si>
  <si>
    <t>Centiskorch</t>
  </si>
  <si>
    <t>852</t>
  </si>
  <si>
    <t>clobbopus</t>
  </si>
  <si>
    <t>Clobbopus</t>
  </si>
  <si>
    <t>853</t>
  </si>
  <si>
    <t>grapploct</t>
  </si>
  <si>
    <t>Grapploct</t>
  </si>
  <si>
    <t>854</t>
  </si>
  <si>
    <t>sinistea</t>
  </si>
  <si>
    <t>Sinistea</t>
  </si>
  <si>
    <t>855</t>
  </si>
  <si>
    <t>polteageist</t>
  </si>
  <si>
    <t>856</t>
  </si>
  <si>
    <t>hatenna</t>
  </si>
  <si>
    <t>Hatenna</t>
  </si>
  <si>
    <t>857</t>
  </si>
  <si>
    <t>hattrem</t>
  </si>
  <si>
    <t>858</t>
  </si>
  <si>
    <t>hatterene</t>
  </si>
  <si>
    <t>859</t>
  </si>
  <si>
    <t>impidimp</t>
  </si>
  <si>
    <t>860</t>
  </si>
  <si>
    <t>morgrem</t>
  </si>
  <si>
    <t>861</t>
  </si>
  <si>
    <t>862</t>
  </si>
  <si>
    <t>obstagoon</t>
  </si>
  <si>
    <t>Obstagoon</t>
  </si>
  <si>
    <t>863</t>
  </si>
  <si>
    <t>perrserker</t>
  </si>
  <si>
    <t>Steely Spirit</t>
  </si>
  <si>
    <t>864</t>
  </si>
  <si>
    <t>cursola</t>
  </si>
  <si>
    <t>Cursola</t>
  </si>
  <si>
    <t>Perish Body</t>
  </si>
  <si>
    <t>865</t>
  </si>
  <si>
    <t>sirfetchd</t>
  </si>
  <si>
    <t>Sirfetch'd</t>
  </si>
  <si>
    <t>866</t>
  </si>
  <si>
    <t>mr-rime</t>
  </si>
  <si>
    <t>mrrime</t>
  </si>
  <si>
    <t>Mr. Rime</t>
  </si>
  <si>
    <t>867</t>
  </si>
  <si>
    <t>runerigus</t>
  </si>
  <si>
    <t>Runerigus</t>
  </si>
  <si>
    <t>868</t>
  </si>
  <si>
    <t>milcery</t>
  </si>
  <si>
    <t>Milcery</t>
  </si>
  <si>
    <t>869</t>
  </si>
  <si>
    <t>alcremie</t>
  </si>
  <si>
    <t>870</t>
  </si>
  <si>
    <t>falinks</t>
  </si>
  <si>
    <t>871</t>
  </si>
  <si>
    <t>pincurchin</t>
  </si>
  <si>
    <t>Lightningrod</t>
  </si>
  <si>
    <t>872</t>
  </si>
  <si>
    <t>snom</t>
  </si>
  <si>
    <t>Snom</t>
  </si>
  <si>
    <t>Ice Scales</t>
  </si>
  <si>
    <t>873</t>
  </si>
  <si>
    <t>frosmoth</t>
  </si>
  <si>
    <t>874</t>
  </si>
  <si>
    <t>stonjourner</t>
  </si>
  <si>
    <t>Power Spot</t>
  </si>
  <si>
    <t>875</t>
  </si>
  <si>
    <t>eiscue</t>
  </si>
  <si>
    <t>Ice Face</t>
  </si>
  <si>
    <t>875-n</t>
  </si>
  <si>
    <t>eiscue-noice</t>
  </si>
  <si>
    <t>Eiscue-No-Ice</t>
  </si>
  <si>
    <t>876</t>
  </si>
  <si>
    <t>indeedee</t>
  </si>
  <si>
    <t>indeedee-male</t>
  </si>
  <si>
    <t>Indeedee-Male</t>
  </si>
  <si>
    <t>876-f</t>
  </si>
  <si>
    <t>indeedee-f</t>
  </si>
  <si>
    <t>indeedee-female</t>
  </si>
  <si>
    <t>877</t>
  </si>
  <si>
    <t>morpeko</t>
  </si>
  <si>
    <t>Hunger Switch</t>
  </si>
  <si>
    <t>877-h</t>
  </si>
  <si>
    <t>morpeko-hangry</t>
  </si>
  <si>
    <t>Morpeko-Hangry</t>
  </si>
  <si>
    <t>878</t>
  </si>
  <si>
    <t>cufant</t>
  </si>
  <si>
    <t>Cufant</t>
  </si>
  <si>
    <t>879</t>
  </si>
  <si>
    <t>copperajah</t>
  </si>
  <si>
    <t>880</t>
  </si>
  <si>
    <t>dracozolt</t>
  </si>
  <si>
    <t>Dracozolt</t>
  </si>
  <si>
    <t>881</t>
  </si>
  <si>
    <t>arctozolt</t>
  </si>
  <si>
    <t>Arctozolt</t>
  </si>
  <si>
    <t>882</t>
  </si>
  <si>
    <t>dracovish</t>
  </si>
  <si>
    <t>Dracovish</t>
  </si>
  <si>
    <t>883</t>
  </si>
  <si>
    <t>arctovish</t>
  </si>
  <si>
    <t>Arctovish</t>
  </si>
  <si>
    <t>884</t>
  </si>
  <si>
    <t>duraludon</t>
  </si>
  <si>
    <t>Stalwart</t>
  </si>
  <si>
    <t>885</t>
  </si>
  <si>
    <t>dreepy</t>
  </si>
  <si>
    <t>Dreepy</t>
  </si>
  <si>
    <t>886</t>
  </si>
  <si>
    <t>drakloak</t>
  </si>
  <si>
    <t>887</t>
  </si>
  <si>
    <t>888</t>
  </si>
  <si>
    <t>zacian</t>
  </si>
  <si>
    <t>Intrepid Sword</t>
  </si>
  <si>
    <t>888-c</t>
  </si>
  <si>
    <t>zacian-crowned</t>
  </si>
  <si>
    <t>889</t>
  </si>
  <si>
    <t>zamazenta</t>
  </si>
  <si>
    <t>Dauntless Shield</t>
  </si>
  <si>
    <t>889-c</t>
  </si>
  <si>
    <t>zamazenta-crowned</t>
  </si>
  <si>
    <t>890</t>
  </si>
  <si>
    <t>eternatus</t>
  </si>
  <si>
    <t>890-e</t>
  </si>
  <si>
    <t>eternatus-eternamax</t>
  </si>
  <si>
    <t>Eternamax Eternatus</t>
  </si>
  <si>
    <t>891</t>
  </si>
  <si>
    <t>kubfu</t>
  </si>
  <si>
    <t>Kubfu</t>
  </si>
  <si>
    <t>892</t>
  </si>
  <si>
    <t>urshifu</t>
  </si>
  <si>
    <t>urshifu-single-strike</t>
  </si>
  <si>
    <t>Unseen Fist</t>
  </si>
  <si>
    <t>892-r</t>
  </si>
  <si>
    <t>urshifu-rapid-strike</t>
  </si>
  <si>
    <t>urshifu-rapidstrike</t>
  </si>
  <si>
    <t>893</t>
  </si>
  <si>
    <t>zarude</t>
  </si>
  <si>
    <t>893-d</t>
  </si>
  <si>
    <t>zarude-dada</t>
  </si>
  <si>
    <t>Zarude-Dada</t>
  </si>
  <si>
    <t>894</t>
  </si>
  <si>
    <t>regieleki</t>
  </si>
  <si>
    <t>Transistor</t>
  </si>
  <si>
    <t>895</t>
  </si>
  <si>
    <t>regidrago</t>
  </si>
  <si>
    <t>Dragon's Maw</t>
  </si>
  <si>
    <t>896</t>
  </si>
  <si>
    <t>glastrier</t>
  </si>
  <si>
    <t>Chilling Neigh</t>
  </si>
  <si>
    <t>897</t>
  </si>
  <si>
    <t>Grim Neigh</t>
  </si>
  <si>
    <t>898</t>
  </si>
  <si>
    <t>calyrex</t>
  </si>
  <si>
    <t>898-i</t>
  </si>
  <si>
    <t>calyrex-ice</t>
  </si>
  <si>
    <t>calyrex-ice-rider</t>
  </si>
  <si>
    <t>As One</t>
  </si>
  <si>
    <t>898-s</t>
  </si>
  <si>
    <t>calyrex-shadow</t>
  </si>
  <si>
    <t>calyrex-shadow-rider</t>
  </si>
  <si>
    <t>899</t>
  </si>
  <si>
    <t>wyrdeer</t>
  </si>
  <si>
    <t>kleavor</t>
  </si>
  <si>
    <t>ursaluna</t>
  </si>
  <si>
    <t>basculegion</t>
  </si>
  <si>
    <t>902-f</t>
  </si>
  <si>
    <t>basculegion-female</t>
  </si>
  <si>
    <t>basculegion-f</t>
  </si>
  <si>
    <t>Basculegion-Female</t>
  </si>
  <si>
    <t>903</t>
  </si>
  <si>
    <t>sneasler</t>
  </si>
  <si>
    <t>904</t>
  </si>
  <si>
    <t>overqwil</t>
  </si>
  <si>
    <t>905</t>
  </si>
  <si>
    <t>enamorus</t>
  </si>
  <si>
    <t>905-t</t>
  </si>
  <si>
    <t>enamorus-therian</t>
  </si>
  <si>
    <t>906</t>
  </si>
  <si>
    <t>sprigatito</t>
  </si>
  <si>
    <t>Sprigatito</t>
  </si>
  <si>
    <t>floragato</t>
  </si>
  <si>
    <t>fuecoco</t>
  </si>
  <si>
    <t>Fuecoco</t>
  </si>
  <si>
    <t>crocalor</t>
  </si>
  <si>
    <t>skeledirge</t>
  </si>
  <si>
    <t>quaxly</t>
  </si>
  <si>
    <t>Quaxly</t>
  </si>
  <si>
    <t>quaxwell</t>
  </si>
  <si>
    <t>quaquaval</t>
  </si>
  <si>
    <t>lechonk</t>
  </si>
  <si>
    <t>Lechonk</t>
  </si>
  <si>
    <t>oinkologne</t>
  </si>
  <si>
    <t>Lingering Aroma</t>
  </si>
  <si>
    <t>916-f</t>
  </si>
  <si>
    <t>oinkologne-female</t>
  </si>
  <si>
    <t>oinkologne-f</t>
  </si>
  <si>
    <t>Oinkologne-Female</t>
  </si>
  <si>
    <t>917</t>
  </si>
  <si>
    <t>dudunsparce</t>
  </si>
  <si>
    <t>tarountula</t>
  </si>
  <si>
    <t>Tarountula</t>
  </si>
  <si>
    <t>spidops</t>
  </si>
  <si>
    <t>nymble</t>
  </si>
  <si>
    <t>Nymble</t>
  </si>
  <si>
    <t>lokix</t>
  </si>
  <si>
    <t>rellor</t>
  </si>
  <si>
    <t>Rellor</t>
  </si>
  <si>
    <t>Compoundeyes</t>
  </si>
  <si>
    <t>rabsca</t>
  </si>
  <si>
    <t>greavard</t>
  </si>
  <si>
    <t>Greavard</t>
  </si>
  <si>
    <t>houndstone</t>
  </si>
  <si>
    <t>flittle</t>
  </si>
  <si>
    <t>Flittle</t>
  </si>
  <si>
    <t>espathra</t>
  </si>
  <si>
    <t>Opportunist</t>
  </si>
  <si>
    <t>farigiraf</t>
  </si>
  <si>
    <t>Cud Chew</t>
  </si>
  <si>
    <t>Armor Tail</t>
  </si>
  <si>
    <t>wiglett</t>
  </si>
  <si>
    <t>Wiglett</t>
  </si>
  <si>
    <t>wugtrio</t>
  </si>
  <si>
    <t>dondozo</t>
  </si>
  <si>
    <t>veluza</t>
  </si>
  <si>
    <t>Sharpness</t>
  </si>
  <si>
    <t>finizen</t>
  </si>
  <si>
    <t>Finizen</t>
  </si>
  <si>
    <t>Zero to Hero</t>
  </si>
  <si>
    <t>934-h</t>
  </si>
  <si>
    <t>palafin-hero</t>
  </si>
  <si>
    <t>935</t>
  </si>
  <si>
    <t>smoliv</t>
  </si>
  <si>
    <t>Smoliv</t>
  </si>
  <si>
    <t>dolliv</t>
  </si>
  <si>
    <t>Dolliv</t>
  </si>
  <si>
    <t>arboliva</t>
  </si>
  <si>
    <t>Seed Sower</t>
  </si>
  <si>
    <t>capsakid</t>
  </si>
  <si>
    <t>Capsakid</t>
  </si>
  <si>
    <t>scovillain</t>
  </si>
  <si>
    <t>tadbulb</t>
  </si>
  <si>
    <t>Tadbulb</t>
  </si>
  <si>
    <t>bellibolt</t>
  </si>
  <si>
    <t>Electromorphosis</t>
  </si>
  <si>
    <t>varoom</t>
  </si>
  <si>
    <t>Varoom</t>
  </si>
  <si>
    <t>revavroom</t>
  </si>
  <si>
    <t>orthworm</t>
  </si>
  <si>
    <t>Earth Eater</t>
  </si>
  <si>
    <t>tandemaus</t>
  </si>
  <si>
    <t>Tandemaus</t>
  </si>
  <si>
    <t>maushold</t>
  </si>
  <si>
    <t>cetoddle</t>
  </si>
  <si>
    <t>Cetoddle</t>
  </si>
  <si>
    <t>cetitan</t>
  </si>
  <si>
    <t>frigibax</t>
  </si>
  <si>
    <t>Frigibax</t>
  </si>
  <si>
    <t>Thermal Exchange</t>
  </si>
  <si>
    <t>arctibax</t>
  </si>
  <si>
    <t>Arctibax</t>
  </si>
  <si>
    <t>baxcalibur</t>
  </si>
  <si>
    <t>tatsugiri</t>
  </si>
  <si>
    <t>Commander</t>
  </si>
  <si>
    <t>cyclizar</t>
  </si>
  <si>
    <t>pawmi</t>
  </si>
  <si>
    <t>Pawmi</t>
  </si>
  <si>
    <t>pawmo</t>
  </si>
  <si>
    <t>Pawmo</t>
  </si>
  <si>
    <t>pawmot</t>
  </si>
  <si>
    <t>wattrel</t>
  </si>
  <si>
    <t>Wattrel</t>
  </si>
  <si>
    <t>Wind Power</t>
  </si>
  <si>
    <t>kilowattrel</t>
  </si>
  <si>
    <t>bombirdier</t>
  </si>
  <si>
    <t>Rocky Payload</t>
  </si>
  <si>
    <t>squawkabilly</t>
  </si>
  <si>
    <t>flamigo</t>
  </si>
  <si>
    <t>Costar</t>
  </si>
  <si>
    <t>klawf</t>
  </si>
  <si>
    <t>Anger Shell</t>
  </si>
  <si>
    <t>nacli</t>
  </si>
  <si>
    <t>Nacli</t>
  </si>
  <si>
    <t>Purifying Salt</t>
  </si>
  <si>
    <t>naclstack</t>
  </si>
  <si>
    <t>garganacl</t>
  </si>
  <si>
    <t>glimmet</t>
  </si>
  <si>
    <t>Toxic Debris</t>
  </si>
  <si>
    <t>glimmora</t>
  </si>
  <si>
    <t>shroodle</t>
  </si>
  <si>
    <t>Shroodle</t>
  </si>
  <si>
    <t>grafaiai</t>
  </si>
  <si>
    <t>fidough</t>
  </si>
  <si>
    <t>Fidough</t>
  </si>
  <si>
    <t>dachsbun</t>
  </si>
  <si>
    <t>Well-Baked Body</t>
  </si>
  <si>
    <t>maschiff</t>
  </si>
  <si>
    <t>Maschiff</t>
  </si>
  <si>
    <t>mabosstiff</t>
  </si>
  <si>
    <t>Guard Dog</t>
  </si>
  <si>
    <t>bramblin</t>
  </si>
  <si>
    <t>Bramblin</t>
  </si>
  <si>
    <t>Wind Rider</t>
  </si>
  <si>
    <t>brambleghast</t>
  </si>
  <si>
    <t>gimmighoul</t>
  </si>
  <si>
    <t>Gimmighoul</t>
  </si>
  <si>
    <t>gholdengo</t>
  </si>
  <si>
    <t>Good as Gold</t>
  </si>
  <si>
    <t>great-tusk</t>
  </si>
  <si>
    <t>greattusk</t>
  </si>
  <si>
    <t>Protosynthesis</t>
  </si>
  <si>
    <t>brute-bonnet</t>
  </si>
  <si>
    <t>brutebonnet</t>
  </si>
  <si>
    <t>walking-wake</t>
  </si>
  <si>
    <t>walkingwake</t>
  </si>
  <si>
    <t>sandy-shocks</t>
  </si>
  <si>
    <t>sandyshocks</t>
  </si>
  <si>
    <t>scream-tail</t>
  </si>
  <si>
    <t>screamtail</t>
  </si>
  <si>
    <t>flutter-mane</t>
  </si>
  <si>
    <t>fluttermane</t>
  </si>
  <si>
    <t>Flutter Mane</t>
  </si>
  <si>
    <t>slither-wing</t>
  </si>
  <si>
    <t>slitherwing</t>
  </si>
  <si>
    <t>roaring-moon</t>
  </si>
  <si>
    <t>roaringmoon</t>
  </si>
  <si>
    <t>iron-treads</t>
  </si>
  <si>
    <t>irontreads</t>
  </si>
  <si>
    <t>Quark Drive</t>
  </si>
  <si>
    <t>iron-leaves</t>
  </si>
  <si>
    <t>ironleaves</t>
  </si>
  <si>
    <t>iron-moth</t>
  </si>
  <si>
    <t>ironmoth</t>
  </si>
  <si>
    <t>iron-hands</t>
  </si>
  <si>
    <t>ironhands</t>
  </si>
  <si>
    <t>iron-jugulis</t>
  </si>
  <si>
    <t>ironjugulis</t>
  </si>
  <si>
    <t>iron-thorns</t>
  </si>
  <si>
    <t>ironthorns</t>
  </si>
  <si>
    <t>iron-bundle</t>
  </si>
  <si>
    <t>ironbundle</t>
  </si>
  <si>
    <t>iron-valiant</t>
  </si>
  <si>
    <t>ironvaliant</t>
  </si>
  <si>
    <t>ting-lu</t>
  </si>
  <si>
    <t>tinglu</t>
  </si>
  <si>
    <t>Vessel of Ruin</t>
  </si>
  <si>
    <t>chien-pao</t>
  </si>
  <si>
    <t>chienpao</t>
  </si>
  <si>
    <t>Sword of Ruin</t>
  </si>
  <si>
    <t>wo-chien</t>
  </si>
  <si>
    <t>wochien</t>
  </si>
  <si>
    <t>Tablets of Ruin</t>
  </si>
  <si>
    <t>chi-yu</t>
  </si>
  <si>
    <t>chiyu</t>
  </si>
  <si>
    <t>Beads of Ruin</t>
  </si>
  <si>
    <t>koraidon</t>
  </si>
  <si>
    <t>Koraidon</t>
  </si>
  <si>
    <t>Orichalcum Pulse</t>
  </si>
  <si>
    <t>miraidon</t>
  </si>
  <si>
    <t>Miraidon</t>
  </si>
  <si>
    <t>Hadron Engine</t>
  </si>
  <si>
    <t>tinkatink</t>
  </si>
  <si>
    <t>Tinkatink</t>
  </si>
  <si>
    <t>tinkatuff</t>
  </si>
  <si>
    <t>tinkaton</t>
  </si>
  <si>
    <t>charcadet</t>
  </si>
  <si>
    <t>Charcadet</t>
  </si>
  <si>
    <t>armarouge</t>
  </si>
  <si>
    <t>ceruledge</t>
  </si>
  <si>
    <t>toedscool</t>
  </si>
  <si>
    <t>Toedscool</t>
  </si>
  <si>
    <t>Mycelium Might</t>
  </si>
  <si>
    <t>toedscruel</t>
  </si>
  <si>
    <t>kingambit</t>
  </si>
  <si>
    <t>Supreme Overlord</t>
  </si>
  <si>
    <t>clodsire</t>
  </si>
  <si>
    <t>dipplin</t>
  </si>
  <si>
    <t>poltchageist</t>
  </si>
  <si>
    <t>sinistcha</t>
  </si>
  <si>
    <t>okidogi</t>
  </si>
  <si>
    <t>munkidori</t>
  </si>
  <si>
    <t>fezandipiti</t>
  </si>
  <si>
    <t>ogerpon</t>
  </si>
  <si>
    <t>ogerpon-cornerstone</t>
  </si>
  <si>
    <t>hydrapple</t>
  </si>
  <si>
    <t>gouging-fire</t>
  </si>
  <si>
    <t>raging-bolt</t>
  </si>
  <si>
    <t>iron-boulder</t>
  </si>
  <si>
    <t>iron-crown</t>
  </si>
  <si>
    <t>iron crown</t>
  </si>
  <si>
    <t>terapagos</t>
  </si>
  <si>
    <t>terapagos-terastal</t>
  </si>
  <si>
    <t>terapagos-stellar</t>
  </si>
  <si>
    <t>pecharunt</t>
  </si>
  <si>
    <t>Ivysaur (T)</t>
  </si>
  <si>
    <t>Mega Venusaur (T)</t>
  </si>
  <si>
    <t>Charmander (T)</t>
  </si>
  <si>
    <t>Charmeleon (T)</t>
  </si>
  <si>
    <t>Charizard (T)</t>
  </si>
  <si>
    <t>Mega Charizard X (T)</t>
  </si>
  <si>
    <t>Mega Charizard Y (T)</t>
  </si>
  <si>
    <t>Squirtle (T)</t>
  </si>
  <si>
    <t>Wartortle (T)</t>
  </si>
  <si>
    <t>Blastoise (T)</t>
  </si>
  <si>
    <t>Mega Blastoise (T)</t>
  </si>
  <si>
    <t>Caterpie (T)</t>
  </si>
  <si>
    <t>Metapod (T)</t>
  </si>
  <si>
    <t>Butterfree (T)</t>
  </si>
  <si>
    <t>Weedle (T)</t>
  </si>
  <si>
    <t>Kakuna (T)</t>
  </si>
  <si>
    <t>Beedrill (T)</t>
  </si>
  <si>
    <t>Mega Beedrill (T)</t>
  </si>
  <si>
    <t>Pidgey (T)</t>
  </si>
  <si>
    <t>Pidgeotto (T)</t>
  </si>
  <si>
    <t>Pidgeot (T)</t>
  </si>
  <si>
    <t>Mega Pidgeot (T)</t>
  </si>
  <si>
    <t>Rattata (T)</t>
  </si>
  <si>
    <t>Alolan Rattata (T)</t>
  </si>
  <si>
    <t>Raticate (T)</t>
  </si>
  <si>
    <t>Alolan Raticate (T)</t>
  </si>
  <si>
    <t>Spearow (T)</t>
  </si>
  <si>
    <t>Fearow (T)</t>
  </si>
  <si>
    <t>Ekans (T)</t>
  </si>
  <si>
    <t>Arbok (T)</t>
  </si>
  <si>
    <t>Pikachu (T)</t>
  </si>
  <si>
    <t>Pikachu-Cosplay (T)</t>
  </si>
  <si>
    <t>Pikachu-Rock-Star (T)</t>
  </si>
  <si>
    <t>Pikachu-Belle (T)</t>
  </si>
  <si>
    <t>Pikachu-Pop-Star (T)</t>
  </si>
  <si>
    <t>Pikachu-PhD (T)</t>
  </si>
  <si>
    <t>Pikachu-Libre (T)</t>
  </si>
  <si>
    <t>Pikachu-Original (T)</t>
  </si>
  <si>
    <t>Pikachu-Hoenn (T)</t>
  </si>
  <si>
    <t>Pikachu-Sinnoh (T)</t>
  </si>
  <si>
    <t>Pikachu-Unova (T)</t>
  </si>
  <si>
    <t>Pikachu-Kalos (T)</t>
  </si>
  <si>
    <t>Pikachu-Alola (T)</t>
  </si>
  <si>
    <t>Pikachu-Partner (T)</t>
  </si>
  <si>
    <t>Pikachu-Starter (T)</t>
  </si>
  <si>
    <t>Raichu (T)</t>
  </si>
  <si>
    <t>Alolan Raichu (T)</t>
  </si>
  <si>
    <t>Sandshrew (T)</t>
  </si>
  <si>
    <t>Alolan Sandshrew (T)</t>
  </si>
  <si>
    <t>Sandslash (T)</t>
  </si>
  <si>
    <t>Nidoran-Female (T)</t>
  </si>
  <si>
    <t>Nidorina (T)</t>
  </si>
  <si>
    <t>Nidoqueen (T)</t>
  </si>
  <si>
    <t>Nidoran-Male (T)</t>
  </si>
  <si>
    <t>Nidorino (T)</t>
  </si>
  <si>
    <t>Nidoking (T)</t>
  </si>
  <si>
    <t>Clefairy (T)</t>
  </si>
  <si>
    <t>Clefable (T)</t>
  </si>
  <si>
    <t>Vulpix (T)</t>
  </si>
  <si>
    <t>Alolan Vulpix (T)</t>
  </si>
  <si>
    <t>Alolan Ninetales (T)</t>
  </si>
  <si>
    <t>Jigglypuff (T)</t>
  </si>
  <si>
    <t>Wigglytuff (T)</t>
  </si>
  <si>
    <t>Zubat (T)</t>
  </si>
  <si>
    <t>Golbat (T)</t>
  </si>
  <si>
    <t>Oddish (T)</t>
  </si>
  <si>
    <t>Gloom (T)</t>
  </si>
  <si>
    <t>Vileplume (T)</t>
  </si>
  <si>
    <t>Paras (T)</t>
  </si>
  <si>
    <t>Parasect (T)</t>
  </si>
  <si>
    <t>Venonat (T)</t>
  </si>
  <si>
    <t>Venomoth (T)</t>
  </si>
  <si>
    <t>Diglett (T)</t>
  </si>
  <si>
    <t>Alolan Diglett (T)</t>
  </si>
  <si>
    <t>Dugtrio (T)</t>
  </si>
  <si>
    <t>Alolan Dugtrio (T)</t>
  </si>
  <si>
    <t>Meowth (T)</t>
  </si>
  <si>
    <t>Alolan Meowth (T)</t>
  </si>
  <si>
    <t>Galarian Meowth (T)</t>
  </si>
  <si>
    <t>Persian (T)</t>
  </si>
  <si>
    <t>Alolan Persian (T)</t>
  </si>
  <si>
    <t>Psyduck (T)</t>
  </si>
  <si>
    <t>Golduck (T)</t>
  </si>
  <si>
    <t>Mankey (T)</t>
  </si>
  <si>
    <t>Primeape (T)</t>
  </si>
  <si>
    <t>Growlithe (T)</t>
  </si>
  <si>
    <t>growlithe-hisui</t>
  </si>
  <si>
    <t>Hisuian Growlithe (T)</t>
  </si>
  <si>
    <t>arcanine-hisui</t>
  </si>
  <si>
    <t>Hisuian Arcanine (T)</t>
  </si>
  <si>
    <t>Poliwag (T)</t>
  </si>
  <si>
    <t>Poliwhirl (T)</t>
  </si>
  <si>
    <t>Poliwrath (T)</t>
  </si>
  <si>
    <t>Abra (T)</t>
  </si>
  <si>
    <t>Kadabra (T)</t>
  </si>
  <si>
    <t>Alakazam (T)</t>
  </si>
  <si>
    <t>Mega Alakazam (T)</t>
  </si>
  <si>
    <t>Machop (T)</t>
  </si>
  <si>
    <t>Machoke (T)</t>
  </si>
  <si>
    <t>Machamp (T)</t>
  </si>
  <si>
    <t>Bellsprout (T)</t>
  </si>
  <si>
    <t>Weepinbell (T)</t>
  </si>
  <si>
    <t>Victreebel (T)</t>
  </si>
  <si>
    <t>Tentacool (T)</t>
  </si>
  <si>
    <t>Tentacruel (T)</t>
  </si>
  <si>
    <t>Geodude (T)</t>
  </si>
  <si>
    <t>Alolan Geodude (T)</t>
  </si>
  <si>
    <t>Graveler (T)</t>
  </si>
  <si>
    <t>Alolan Graveler (T)</t>
  </si>
  <si>
    <t>Golem (T)</t>
  </si>
  <si>
    <t>Alolan Golem (T)</t>
  </si>
  <si>
    <t>Ponyta (T)</t>
  </si>
  <si>
    <t>Galarian Ponyta (T)</t>
  </si>
  <si>
    <t>Rapidash (T)</t>
  </si>
  <si>
    <t>Galarian Rapidash (T)</t>
  </si>
  <si>
    <t>Slowpoke (T)</t>
  </si>
  <si>
    <t>Galarian Slowpoke (T)</t>
  </si>
  <si>
    <t>Slowbro (T)</t>
  </si>
  <si>
    <t>Galarian Slowbro (T)</t>
  </si>
  <si>
    <t>Mega Slowbro (T)</t>
  </si>
  <si>
    <t>Magnemite (T)</t>
  </si>
  <si>
    <t>Magneton (T)</t>
  </si>
  <si>
    <t>Farfetch'd (T)</t>
  </si>
  <si>
    <t>Galarian Farfetch'd (T)</t>
  </si>
  <si>
    <t>Doduo (T)</t>
  </si>
  <si>
    <t>Dodrio (T)</t>
  </si>
  <si>
    <t>Seel (T)</t>
  </si>
  <si>
    <t>Dewgong (T)</t>
  </si>
  <si>
    <t>Grimer (T)</t>
  </si>
  <si>
    <t>Alolan Grimer (T)</t>
  </si>
  <si>
    <t>Muk (T)</t>
  </si>
  <si>
    <t>Alolan Muk (T)</t>
  </si>
  <si>
    <t>Shellder (T)</t>
  </si>
  <si>
    <t>Cloyster (T)</t>
  </si>
  <si>
    <t>Gastly (T)</t>
  </si>
  <si>
    <t>Haunter (T)</t>
  </si>
  <si>
    <t>Gengar (T)</t>
  </si>
  <si>
    <t>Mega Gengar (T)</t>
  </si>
  <si>
    <t>Onix (T)</t>
  </si>
  <si>
    <t>Drowzee (T)</t>
  </si>
  <si>
    <t>Hypno (T)</t>
  </si>
  <si>
    <t>Krabby (T)</t>
  </si>
  <si>
    <t>Kingler (T)</t>
  </si>
  <si>
    <t>Voltorb (T)</t>
  </si>
  <si>
    <t>voltorb-hisui</t>
  </si>
  <si>
    <t>Hisuian Voltorb (T)</t>
  </si>
  <si>
    <t>Electrode (T)</t>
  </si>
  <si>
    <t>electrode-hisui</t>
  </si>
  <si>
    <t>Hisuian Electrode (T)</t>
  </si>
  <si>
    <t>Exeggcute (T)</t>
  </si>
  <si>
    <t>Exeggutor (T)</t>
  </si>
  <si>
    <t>Alolan Exeggutor (T)</t>
  </si>
  <si>
    <t>Cubone (T)</t>
  </si>
  <si>
    <t>Marowak (T)</t>
  </si>
  <si>
    <t>Alolan Marowak (T)</t>
  </si>
  <si>
    <t>Hitmonlee (T)</t>
  </si>
  <si>
    <t>Hitmonchan (T)</t>
  </si>
  <si>
    <t>Lickitung (T)</t>
  </si>
  <si>
    <t>Koffing (T)</t>
  </si>
  <si>
    <t>Weezing (T)</t>
  </si>
  <si>
    <t>Galarian Weezing (T)</t>
  </si>
  <si>
    <t>Rhyhorn (T)</t>
  </si>
  <si>
    <t>Rhydon (T)</t>
  </si>
  <si>
    <t>Chansey (T)</t>
  </si>
  <si>
    <t>Tangela (T)</t>
  </si>
  <si>
    <t>Kangaskhan (T)</t>
  </si>
  <si>
    <t>Mega Kangaskhan (T)</t>
  </si>
  <si>
    <t>Horsea (T)</t>
  </si>
  <si>
    <t>Seadra (T)</t>
  </si>
  <si>
    <t>Goldeen (T)</t>
  </si>
  <si>
    <t>Seaking (T)</t>
  </si>
  <si>
    <t>Staryu (T)</t>
  </si>
  <si>
    <t>Starmie (T)</t>
  </si>
  <si>
    <t>Mr. Mime (T)</t>
  </si>
  <si>
    <t>Galarian Mr. Mime (T)</t>
  </si>
  <si>
    <t>Scyther (T)</t>
  </si>
  <si>
    <t>Jynx (T)</t>
  </si>
  <si>
    <t>Electabuzz (T)</t>
  </si>
  <si>
    <t>Magmar (T)</t>
  </si>
  <si>
    <t>Pinsir (T)</t>
  </si>
  <si>
    <t>Mega Pinsir (T)</t>
  </si>
  <si>
    <t>Tauros (T)</t>
  </si>
  <si>
    <t>Paldean Tauros (T)</t>
  </si>
  <si>
    <t>Paldean Tauros-Fire (T)</t>
  </si>
  <si>
    <t>Paldean Tauros-Water (T)</t>
  </si>
  <si>
    <t>Gyarados (T)</t>
  </si>
  <si>
    <t>Mega Gyarados (T)</t>
  </si>
  <si>
    <t>Lapras (T)</t>
  </si>
  <si>
    <t>Ditto (T)</t>
  </si>
  <si>
    <t>Eevee (T)</t>
  </si>
  <si>
    <t>Eevee-Starter (T)</t>
  </si>
  <si>
    <t>Vaporeon (T)</t>
  </si>
  <si>
    <t>Jolteon (T)</t>
  </si>
  <si>
    <t>Flareon (T)</t>
  </si>
  <si>
    <t>Porygon (T)</t>
  </si>
  <si>
    <t>Omanyte (T)</t>
  </si>
  <si>
    <t>Omastar (T)</t>
  </si>
  <si>
    <t>Kabuto (T)</t>
  </si>
  <si>
    <t>Kabutops (T)</t>
  </si>
  <si>
    <t>Aerodactyl (T)</t>
  </si>
  <si>
    <t>Mega Aerodactyl (T)</t>
  </si>
  <si>
    <t>Snorlax (T)</t>
  </si>
  <si>
    <t>Articuno (T)</t>
  </si>
  <si>
    <t>Galarian Articuno (T)</t>
  </si>
  <si>
    <t>Zapdos (T)</t>
  </si>
  <si>
    <t>Galarian Zapdos (T)</t>
  </si>
  <si>
    <t>Moltres (T)</t>
  </si>
  <si>
    <t>Galarian Moltres (T)</t>
  </si>
  <si>
    <t>Dratini (T)</t>
  </si>
  <si>
    <t>Dragonair (T)</t>
  </si>
  <si>
    <t>Dragonite (T)</t>
  </si>
  <si>
    <t>mewtwo (T)</t>
  </si>
  <si>
    <t>Mewtwo-Mega x (T)</t>
  </si>
  <si>
    <t>Mewtwo-Mega y (T)</t>
  </si>
  <si>
    <t>Mew (T)</t>
  </si>
  <si>
    <t>Chikorita (T)</t>
  </si>
  <si>
    <t>Bayleef (T)</t>
  </si>
  <si>
    <t>Meganium (T)</t>
  </si>
  <si>
    <t>Cyndaquil (T)</t>
  </si>
  <si>
    <t>Quilava (T)</t>
  </si>
  <si>
    <t>Typhlosion (T)</t>
  </si>
  <si>
    <t>typhlosion-hisui</t>
  </si>
  <si>
    <t>Hisuian Typhlosion (T)</t>
  </si>
  <si>
    <t>Totodile (T)</t>
  </si>
  <si>
    <t>Croconaw (T)</t>
  </si>
  <si>
    <t>Feraligatr (T)</t>
  </si>
  <si>
    <t>Sentret (T)</t>
  </si>
  <si>
    <t>Furret (T)</t>
  </si>
  <si>
    <t>Hoothoot (T)</t>
  </si>
  <si>
    <t>Noctowl (T)</t>
  </si>
  <si>
    <t>Ledyba (T)</t>
  </si>
  <si>
    <t>Ledian (T)</t>
  </si>
  <si>
    <t>Spinarak (T)</t>
  </si>
  <si>
    <t>Ariados (T)</t>
  </si>
  <si>
    <t>Crobat (T)</t>
  </si>
  <si>
    <t>Chinchou (T)</t>
  </si>
  <si>
    <t>Lanturn (T)</t>
  </si>
  <si>
    <t>Pichu (T)</t>
  </si>
  <si>
    <t>Pichu-Spiky-Eared (T)</t>
  </si>
  <si>
    <t>Cleffa (T)</t>
  </si>
  <si>
    <t>Igglybuff (T)</t>
  </si>
  <si>
    <t>Togepi (T)</t>
  </si>
  <si>
    <t>Togetic (T)</t>
  </si>
  <si>
    <t>Natu (T)</t>
  </si>
  <si>
    <t>Xatu (T)</t>
  </si>
  <si>
    <t>Mareep (T)</t>
  </si>
  <si>
    <t>Flaaffy (T)</t>
  </si>
  <si>
    <t>Ampharos (T)</t>
  </si>
  <si>
    <t>Mega Ampharos (T)</t>
  </si>
  <si>
    <t>Bellossom (T)</t>
  </si>
  <si>
    <t>Marill (T)</t>
  </si>
  <si>
    <t>Azumarill (T)</t>
  </si>
  <si>
    <t>Sudowoodo (T)</t>
  </si>
  <si>
    <t>Politoed (T)</t>
  </si>
  <si>
    <t>Hoppip (T)</t>
  </si>
  <si>
    <t>Skiploom (T)</t>
  </si>
  <si>
    <t>Jumpluff (T)</t>
  </si>
  <si>
    <t>Aipom (T)</t>
  </si>
  <si>
    <t>Sunkern (T)</t>
  </si>
  <si>
    <t>Sunflora (T)</t>
  </si>
  <si>
    <t>Yanma (T)</t>
  </si>
  <si>
    <t>Wooper (T)</t>
  </si>
  <si>
    <t>Paldean Wooper (T)</t>
  </si>
  <si>
    <t>Quagsire (T)</t>
  </si>
  <si>
    <t>Espeon (T)</t>
  </si>
  <si>
    <t>Umbreon (T)</t>
  </si>
  <si>
    <t>Murkrow (T)</t>
  </si>
  <si>
    <t>Slowking (T)</t>
  </si>
  <si>
    <t>Galarian Slowking (T)</t>
  </si>
  <si>
    <t>Misdreavus (T)</t>
  </si>
  <si>
    <t>Unown (T)</t>
  </si>
  <si>
    <t>Wobbuffet (T)</t>
  </si>
  <si>
    <t>Girafarig (T)</t>
  </si>
  <si>
    <t>Pineco (T)</t>
  </si>
  <si>
    <t>Forretress (T)</t>
  </si>
  <si>
    <t>Dunsparce (T)</t>
  </si>
  <si>
    <t>Gligar (T)</t>
  </si>
  <si>
    <t>Steelix (T)</t>
  </si>
  <si>
    <t>Mega Steelix (T)</t>
  </si>
  <si>
    <t>Snubbull (T)</t>
  </si>
  <si>
    <t>Granbull (T)</t>
  </si>
  <si>
    <t>Qwilfish (T)</t>
  </si>
  <si>
    <t>qwilfish-hisui</t>
  </si>
  <si>
    <t>Hisuian Qwilfish (T)</t>
  </si>
  <si>
    <t>Scizor (T)</t>
  </si>
  <si>
    <t>Mega Scizor (T)</t>
  </si>
  <si>
    <t>Shuckle (T)</t>
  </si>
  <si>
    <t>Heracross (T)</t>
  </si>
  <si>
    <t>Mega Heracross (T)</t>
  </si>
  <si>
    <t>Sneasel (T)</t>
  </si>
  <si>
    <t>sneasel-hisui</t>
  </si>
  <si>
    <t>Hisuian Sneasel (T)</t>
  </si>
  <si>
    <t>Teddiursa (T)</t>
  </si>
  <si>
    <t>Ursaring (T)</t>
  </si>
  <si>
    <t>Slugma (T)</t>
  </si>
  <si>
    <t>Magcargo (T)</t>
  </si>
  <si>
    <t>Swinub (T)</t>
  </si>
  <si>
    <t>Piloswine (T)</t>
  </si>
  <si>
    <t>Corsola (T)</t>
  </si>
  <si>
    <t>Galarian Corsola (T)</t>
  </si>
  <si>
    <t>Remoraid (T)</t>
  </si>
  <si>
    <t>Octillery (T)</t>
  </si>
  <si>
    <t>Delibird (T)</t>
  </si>
  <si>
    <t>Mantine (T)</t>
  </si>
  <si>
    <t>Skarmory (T)</t>
  </si>
  <si>
    <t>Houndour (T)</t>
  </si>
  <si>
    <t>Houndoom (T)</t>
  </si>
  <si>
    <t>Mega Houndoom (T)</t>
  </si>
  <si>
    <t>Phanpy (T)</t>
  </si>
  <si>
    <t>Donphan (T)</t>
  </si>
  <si>
    <t>Porygon2 (T)</t>
  </si>
  <si>
    <t>Stantler (T)</t>
  </si>
  <si>
    <t>Smeargle (T)</t>
  </si>
  <si>
    <t>Tyrogue (T)</t>
  </si>
  <si>
    <t>Hitmontop (T)</t>
  </si>
  <si>
    <t>Smoochum (T)</t>
  </si>
  <si>
    <t>Elekid (T)</t>
  </si>
  <si>
    <t>Magby (T)</t>
  </si>
  <si>
    <t>Miltank (T)</t>
  </si>
  <si>
    <t>Blissey (T)</t>
  </si>
  <si>
    <t>Raikou (T)</t>
  </si>
  <si>
    <t>Entei (T)</t>
  </si>
  <si>
    <t>Suicune (T)</t>
  </si>
  <si>
    <t>Larvitar (T)</t>
  </si>
  <si>
    <t>Pupitar (T)</t>
  </si>
  <si>
    <t>Tyranitar (T)</t>
  </si>
  <si>
    <t>Mega Tyranitar (T)</t>
  </si>
  <si>
    <t>Lugia (T)</t>
  </si>
  <si>
    <t>Ho-Oh (T)</t>
  </si>
  <si>
    <t>Celebi (T)</t>
  </si>
  <si>
    <t>Treecko (T)</t>
  </si>
  <si>
    <t>Grovyle (T)</t>
  </si>
  <si>
    <t>Sceptile (T)</t>
  </si>
  <si>
    <t>Mega Sceptile (T)</t>
  </si>
  <si>
    <t>Torchic (T)</t>
  </si>
  <si>
    <t>Combusken (T)</t>
  </si>
  <si>
    <t>Blaziken (T)</t>
  </si>
  <si>
    <t>Mega Blaziken (T)</t>
  </si>
  <si>
    <t>Mudkip (T)</t>
  </si>
  <si>
    <t>Marshtomp (T)</t>
  </si>
  <si>
    <t>Swampert (T)</t>
  </si>
  <si>
    <t>Mega Swampert (T)</t>
  </si>
  <si>
    <t>Poochyena (T)</t>
  </si>
  <si>
    <t>Mightyena (T)</t>
  </si>
  <si>
    <t>Zigzagoon (T)</t>
  </si>
  <si>
    <t>Galarian Zigzagoon (T)</t>
  </si>
  <si>
    <t>Linoone (T)</t>
  </si>
  <si>
    <t>Galarian Linoone (T)</t>
  </si>
  <si>
    <t>Wurmple (T)</t>
  </si>
  <si>
    <t>Silcoon (T)</t>
  </si>
  <si>
    <t>Beautifly (T)</t>
  </si>
  <si>
    <t>Cascoon (T)</t>
  </si>
  <si>
    <t>Dustox (T)</t>
  </si>
  <si>
    <t>Lotad (T)</t>
  </si>
  <si>
    <t>Lombre (T)</t>
  </si>
  <si>
    <t>Ludicolo (T)</t>
  </si>
  <si>
    <t>Seedot (T)</t>
  </si>
  <si>
    <t>Nuzleaf (T)</t>
  </si>
  <si>
    <t>Shiftry (T)</t>
  </si>
  <si>
    <t>Taillow (T)</t>
  </si>
  <si>
    <t>Swellow (T)</t>
  </si>
  <si>
    <t>Wingull (T)</t>
  </si>
  <si>
    <t>Ralts (T)</t>
  </si>
  <si>
    <t>Kirlia (T)</t>
  </si>
  <si>
    <t>Gardevoir (T)</t>
  </si>
  <si>
    <t>Mega Gardevoir (T)</t>
  </si>
  <si>
    <t>Surskit (T)</t>
  </si>
  <si>
    <t>Masquerain (T)</t>
  </si>
  <si>
    <t>Shroomish (T)</t>
  </si>
  <si>
    <t>Breloom (T)</t>
  </si>
  <si>
    <t>Slakoth (T)</t>
  </si>
  <si>
    <t>Vigoroth (T)</t>
  </si>
  <si>
    <t>Slaking (T)</t>
  </si>
  <si>
    <t>Nincada (T)</t>
  </si>
  <si>
    <t>Ninjask (T)</t>
  </si>
  <si>
    <t>Shedinja (T)</t>
  </si>
  <si>
    <t>Whismur (T)</t>
  </si>
  <si>
    <t>Loudred (T)</t>
  </si>
  <si>
    <t>Exploud (T)</t>
  </si>
  <si>
    <t>Makuhita (T)</t>
  </si>
  <si>
    <t>Hariyama (T)</t>
  </si>
  <si>
    <t>Azurill (T)</t>
  </si>
  <si>
    <t>Nosepass (T)</t>
  </si>
  <si>
    <t>Skitty (T)</t>
  </si>
  <si>
    <t>Delcatty (T)</t>
  </si>
  <si>
    <t>Sableye (T)</t>
  </si>
  <si>
    <t>Mega Sableye (T)</t>
  </si>
  <si>
    <t>Mawile (T)</t>
  </si>
  <si>
    <t>Mega Mawile (T)</t>
  </si>
  <si>
    <t>Aron (T)</t>
  </si>
  <si>
    <t>Lairon (T)</t>
  </si>
  <si>
    <t>Aggron (T)</t>
  </si>
  <si>
    <t>Mega Aggron (T)</t>
  </si>
  <si>
    <t>Meditite (T)</t>
  </si>
  <si>
    <t>Medicham (T)</t>
  </si>
  <si>
    <t>Mega Medicham (T)</t>
  </si>
  <si>
    <t>Electrike (T)</t>
  </si>
  <si>
    <t>Manectric (T)</t>
  </si>
  <si>
    <t>Mega Manectric (T)</t>
  </si>
  <si>
    <t>Plusle (T)</t>
  </si>
  <si>
    <t>Minun (T)</t>
  </si>
  <si>
    <t>Volbeat (T)</t>
  </si>
  <si>
    <t>Illumise (T)</t>
  </si>
  <si>
    <t>Roselia (T)</t>
  </si>
  <si>
    <t>Gulpin (T)</t>
  </si>
  <si>
    <t>Swalot (T)</t>
  </si>
  <si>
    <t>Carvanha (T)</t>
  </si>
  <si>
    <t>Sharpedo (T)</t>
  </si>
  <si>
    <t>Mega Sharpedo (T)</t>
  </si>
  <si>
    <t>Wailmer (T)</t>
  </si>
  <si>
    <t>Wailord (T)</t>
  </si>
  <si>
    <t>Numel (T)</t>
  </si>
  <si>
    <t>Camerupt (T)</t>
  </si>
  <si>
    <t>Mega Camerupt (T)</t>
  </si>
  <si>
    <t>Spoink (T)</t>
  </si>
  <si>
    <t>Grumpig (T)</t>
  </si>
  <si>
    <t>Spinda (T)</t>
  </si>
  <si>
    <t>Trapinch (T)</t>
  </si>
  <si>
    <t>Vibrava (T)</t>
  </si>
  <si>
    <t>Flygon (T)</t>
  </si>
  <si>
    <t>Cacnea (T)</t>
  </si>
  <si>
    <t>Cacturne (T)</t>
  </si>
  <si>
    <t>Swablu (T)</t>
  </si>
  <si>
    <t>Altaria (T)</t>
  </si>
  <si>
    <t>Mega Altaria (T)</t>
  </si>
  <si>
    <t>Zangoose (T)</t>
  </si>
  <si>
    <t>Seviper (T)</t>
  </si>
  <si>
    <t>Lunatone (T)</t>
  </si>
  <si>
    <t>Solrock (T)</t>
  </si>
  <si>
    <t>Barboach (T)</t>
  </si>
  <si>
    <t>Whiscash (T)</t>
  </si>
  <si>
    <t>Corphish (T)</t>
  </si>
  <si>
    <t>Crawdaunt (T)</t>
  </si>
  <si>
    <t>Baltoy (T)</t>
  </si>
  <si>
    <t>Claydol (T)</t>
  </si>
  <si>
    <t>Lileep (T)</t>
  </si>
  <si>
    <t>Cradily (T)</t>
  </si>
  <si>
    <t>Anorith (T)</t>
  </si>
  <si>
    <t>Armaldo (T)</t>
  </si>
  <si>
    <t>Feebas (T)</t>
  </si>
  <si>
    <t>Milotic (T)</t>
  </si>
  <si>
    <t>Castform (T)</t>
  </si>
  <si>
    <t>Castform-Sunny (T)</t>
  </si>
  <si>
    <t>Castform-Rainy (T)</t>
  </si>
  <si>
    <t>Castform-Snowy (T)</t>
  </si>
  <si>
    <t>Kecleon (T)</t>
  </si>
  <si>
    <t>Shuppet (T)</t>
  </si>
  <si>
    <t>Banette (T)</t>
  </si>
  <si>
    <t>Mega Banette (T)</t>
  </si>
  <si>
    <t>Duskull (T)</t>
  </si>
  <si>
    <t>Dusclops (T)</t>
  </si>
  <si>
    <t>Tropius (T)</t>
  </si>
  <si>
    <t>Chimecho (T)</t>
  </si>
  <si>
    <t>Absol (T)</t>
  </si>
  <si>
    <t>Mega Absol (T)</t>
  </si>
  <si>
    <t>Wynaut (T)</t>
  </si>
  <si>
    <t>Snorunt (T)</t>
  </si>
  <si>
    <t>Glalie (T)</t>
  </si>
  <si>
    <t>Mega Glalie (T)</t>
  </si>
  <si>
    <t>Spheal (T)</t>
  </si>
  <si>
    <t>Sealeo (T)</t>
  </si>
  <si>
    <t>Walrein (T)</t>
  </si>
  <si>
    <t>Clamperl (T)</t>
  </si>
  <si>
    <t>Huntail (T)</t>
  </si>
  <si>
    <t>Gorebyss (T)</t>
  </si>
  <si>
    <t>Relicanth (T)</t>
  </si>
  <si>
    <t>Luvdisc (T)</t>
  </si>
  <si>
    <t>Bagon (T)</t>
  </si>
  <si>
    <t>Shelgon (T)</t>
  </si>
  <si>
    <t>Salamence (T)</t>
  </si>
  <si>
    <t>Mega Salamence (T)</t>
  </si>
  <si>
    <t>Beldum (T)</t>
  </si>
  <si>
    <t>Metang (T)</t>
  </si>
  <si>
    <t>Metagross (T)</t>
  </si>
  <si>
    <t>Mega Metagross (T)</t>
  </si>
  <si>
    <t>Regirock (T)</t>
  </si>
  <si>
    <t>Regice (T)</t>
  </si>
  <si>
    <t>Registeel (T)</t>
  </si>
  <si>
    <t>Latias (T)</t>
  </si>
  <si>
    <t>Mega Latias (T)</t>
  </si>
  <si>
    <t>Latios (T)</t>
  </si>
  <si>
    <t>Mega Latios (T)</t>
  </si>
  <si>
    <t>Kyogre (T)</t>
  </si>
  <si>
    <t>kyogre-primal (T)</t>
  </si>
  <si>
    <t>Groudon (T)</t>
  </si>
  <si>
    <t>groudon-primal (T)</t>
  </si>
  <si>
    <t>Rayquaza (T)</t>
  </si>
  <si>
    <t>Mega Rayquaza (T)</t>
  </si>
  <si>
    <t>Jirachi (T)</t>
  </si>
  <si>
    <t>Deoxys (T)</t>
  </si>
  <si>
    <t>Deoxys-Attack (T)</t>
  </si>
  <si>
    <t>Deoxys-Defense (T)</t>
  </si>
  <si>
    <t>Deoxys-Speed (T)</t>
  </si>
  <si>
    <t>Turtwig (T)</t>
  </si>
  <si>
    <t>Grotle (T)</t>
  </si>
  <si>
    <t>Torterra (T)</t>
  </si>
  <si>
    <t>Chimchar (T)</t>
  </si>
  <si>
    <t>Monferno (T)</t>
  </si>
  <si>
    <t>Infernape (T)</t>
  </si>
  <si>
    <t>Piplup (T)</t>
  </si>
  <si>
    <t>Prinplup (T)</t>
  </si>
  <si>
    <t>Empoleon (T)</t>
  </si>
  <si>
    <t>Starly (T)</t>
  </si>
  <si>
    <t>Staravia (T)</t>
  </si>
  <si>
    <t>Staraptor (T)</t>
  </si>
  <si>
    <t>Bidoof (T)</t>
  </si>
  <si>
    <t>Bibarel (T)</t>
  </si>
  <si>
    <t>Kricketot (T)</t>
  </si>
  <si>
    <t>Kricketune (T)</t>
  </si>
  <si>
    <t>Shinx (T)</t>
  </si>
  <si>
    <t>Luxio (T)</t>
  </si>
  <si>
    <t>Luxray (T)</t>
  </si>
  <si>
    <t>Budew (T)</t>
  </si>
  <si>
    <t>Roserade (T)</t>
  </si>
  <si>
    <t>Cranidos (T)</t>
  </si>
  <si>
    <t>Rampardos (T)</t>
  </si>
  <si>
    <t>Shieldon (T)</t>
  </si>
  <si>
    <t>Bastiodon (T)</t>
  </si>
  <si>
    <t>Burmy (T)</t>
  </si>
  <si>
    <t>Wormadam-Plant (T)</t>
  </si>
  <si>
    <t>Wormadam-Sandy (T)</t>
  </si>
  <si>
    <t>Wormadam-Trash (T)</t>
  </si>
  <si>
    <t>Mothim (T)</t>
  </si>
  <si>
    <t>Combee (T)</t>
  </si>
  <si>
    <t>Vespiquen (T)</t>
  </si>
  <si>
    <t>Pachirisu (T)</t>
  </si>
  <si>
    <t>Buizel (T)</t>
  </si>
  <si>
    <t>Floatzel (T)</t>
  </si>
  <si>
    <t>Cherubi (T)</t>
  </si>
  <si>
    <t>Cherrim (T)</t>
  </si>
  <si>
    <t>Cherrim-Sunshine (T)</t>
  </si>
  <si>
    <t>Shellos (T)</t>
  </si>
  <si>
    <t>Gastrodon (T)</t>
  </si>
  <si>
    <t>Ambipom (T)</t>
  </si>
  <si>
    <t>Drifloon (T)</t>
  </si>
  <si>
    <t>Drifblim (T)</t>
  </si>
  <si>
    <t>Buneary (T)</t>
  </si>
  <si>
    <t>Lopunny (T)</t>
  </si>
  <si>
    <t>Mega Lopunny (T)</t>
  </si>
  <si>
    <t>Mismagius (T)</t>
  </si>
  <si>
    <t>Honchkrow (T)</t>
  </si>
  <si>
    <t>Glameow (T)</t>
  </si>
  <si>
    <t>Purugly (T)</t>
  </si>
  <si>
    <t>Chingling (T)</t>
  </si>
  <si>
    <t>Stunky (T)</t>
  </si>
  <si>
    <t>Skuntank (T)</t>
  </si>
  <si>
    <t>Bronzor (T)</t>
  </si>
  <si>
    <t>Bronzong (T)</t>
  </si>
  <si>
    <t>Bonsly (T)</t>
  </si>
  <si>
    <t>Mime Jr. (T)</t>
  </si>
  <si>
    <t>Happiny (T)</t>
  </si>
  <si>
    <t>Chatot (T)</t>
  </si>
  <si>
    <t>Spiritomb (T)</t>
  </si>
  <si>
    <t>Gible (T)</t>
  </si>
  <si>
    <t>Gabite (T)</t>
  </si>
  <si>
    <t>Garchomp (T)</t>
  </si>
  <si>
    <t>Mega Garchomp (T)</t>
  </si>
  <si>
    <t>Munchlax (T)</t>
  </si>
  <si>
    <t>Riolu (T)</t>
  </si>
  <si>
    <t>Lucario (T)</t>
  </si>
  <si>
    <t>Mega Lucario (T)</t>
  </si>
  <si>
    <t>Hippopotas (T)</t>
  </si>
  <si>
    <t>Hippowdon (T)</t>
  </si>
  <si>
    <t>Skorupi (T)</t>
  </si>
  <si>
    <t>Drapion (T)</t>
  </si>
  <si>
    <t>Croagunk (T)</t>
  </si>
  <si>
    <t>Toxicroak (T)</t>
  </si>
  <si>
    <t>Carnivine (T)</t>
  </si>
  <si>
    <t>Finneon (T)</t>
  </si>
  <si>
    <t>Lumineon (T)</t>
  </si>
  <si>
    <t>Mantyke (T)</t>
  </si>
  <si>
    <t>Snover (T)</t>
  </si>
  <si>
    <t>Abomasnow (T)</t>
  </si>
  <si>
    <t>Mega Abomasnow (T)</t>
  </si>
  <si>
    <t>Weavile (T)</t>
  </si>
  <si>
    <t>Magnezone (T)</t>
  </si>
  <si>
    <t>Lickilicky (T)</t>
  </si>
  <si>
    <t>Rhyperior (T)</t>
  </si>
  <si>
    <t>Tangrowth (T)</t>
  </si>
  <si>
    <t>Electivire (T)</t>
  </si>
  <si>
    <t>Magmortar (T)</t>
  </si>
  <si>
    <t>Togekiss (T)</t>
  </si>
  <si>
    <t>Yanmega (T)</t>
  </si>
  <si>
    <t>Leafeon (T)</t>
  </si>
  <si>
    <t>Glaceon (T)</t>
  </si>
  <si>
    <t>Gliscor (T)</t>
  </si>
  <si>
    <t>Porygon-Z (T)</t>
  </si>
  <si>
    <t>Gallade (T)</t>
  </si>
  <si>
    <t>Mega Gallade (T)</t>
  </si>
  <si>
    <t>Probopass (T)</t>
  </si>
  <si>
    <t>Dusknoir (T)</t>
  </si>
  <si>
    <t>Froslass (T)</t>
  </si>
  <si>
    <t>Rotom (T)</t>
  </si>
  <si>
    <t>Rotom-Heat (T)</t>
  </si>
  <si>
    <t>Rotom-Wash (T)</t>
  </si>
  <si>
    <t>Rotom-Frost (T)</t>
  </si>
  <si>
    <t>Rotom-Fan (T)</t>
  </si>
  <si>
    <t>Rotom-Mow (T)</t>
  </si>
  <si>
    <t>Uxie (T)</t>
  </si>
  <si>
    <t>Mesprit (T)</t>
  </si>
  <si>
    <t>Dialga (T)</t>
  </si>
  <si>
    <t>dialga-origin</t>
  </si>
  <si>
    <t>Dialga-Origin (T)</t>
  </si>
  <si>
    <t>Palkia (T)</t>
  </si>
  <si>
    <t>palkia-origin</t>
  </si>
  <si>
    <t>Palkia-Origin (T)</t>
  </si>
  <si>
    <t>Heatran (T)</t>
  </si>
  <si>
    <t>Regigigas (T)</t>
  </si>
  <si>
    <t>giratina (T)</t>
  </si>
  <si>
    <t>Giratina-Origin (T)</t>
  </si>
  <si>
    <t>Cresselia (T)</t>
  </si>
  <si>
    <t>Phione (T)</t>
  </si>
  <si>
    <t>Manaphy (T)</t>
  </si>
  <si>
    <t>Darkrai (T)</t>
  </si>
  <si>
    <t>Shaymin-Sky (T)</t>
  </si>
  <si>
    <t>Arceus (T)</t>
  </si>
  <si>
    <t>Arceus-Bug (T)</t>
  </si>
  <si>
    <t>Arceus-Dark (T)</t>
  </si>
  <si>
    <t>Arceus-Dragon (T)</t>
  </si>
  <si>
    <t>Arceus-Electric (T)</t>
  </si>
  <si>
    <t>Arceus-Fairy (T)</t>
  </si>
  <si>
    <t>Arceus-Fighting (T)</t>
  </si>
  <si>
    <t>Arceus-Fire (T)</t>
  </si>
  <si>
    <t>Arceus-Flying (T)</t>
  </si>
  <si>
    <t>Arceus-Ghost (T)</t>
  </si>
  <si>
    <t>Arceus-Grass (T)</t>
  </si>
  <si>
    <t>Arceus-Ground (T)</t>
  </si>
  <si>
    <t>Arceus-Ice (T)</t>
  </si>
  <si>
    <t>Arceus-Poison (T)</t>
  </si>
  <si>
    <t>Arceus-Psychic (T)</t>
  </si>
  <si>
    <t>Arceus-Rock (T)</t>
  </si>
  <si>
    <t>Arceus-Steel (T)</t>
  </si>
  <si>
    <t>Arceus-Water (T)</t>
  </si>
  <si>
    <t>Victini (T)</t>
  </si>
  <si>
    <t>Snivy (T)</t>
  </si>
  <si>
    <t>Servine (T)</t>
  </si>
  <si>
    <t>Serperior (T)</t>
  </si>
  <si>
    <t>Tepig (T)</t>
  </si>
  <si>
    <t>Pignite (T)</t>
  </si>
  <si>
    <t>Emboar (T)</t>
  </si>
  <si>
    <t>Oshawott (T)</t>
  </si>
  <si>
    <t>Dewott (T)</t>
  </si>
  <si>
    <t>Samurott (T)</t>
  </si>
  <si>
    <t>samurott-hisui</t>
  </si>
  <si>
    <t>Hisuian Samurott (T)</t>
  </si>
  <si>
    <t>Patrat (T)</t>
  </si>
  <si>
    <t>Watchog (T)</t>
  </si>
  <si>
    <t>Lillipup (T)</t>
  </si>
  <si>
    <t>Herdier (T)</t>
  </si>
  <si>
    <t>Stoutland (T)</t>
  </si>
  <si>
    <t>Purrloin (T)</t>
  </si>
  <si>
    <t>Liepard (T)</t>
  </si>
  <si>
    <t>Pansage (T)</t>
  </si>
  <si>
    <t>Simisage (T)</t>
  </si>
  <si>
    <t>Pansear (T)</t>
  </si>
  <si>
    <t>Simisear (T)</t>
  </si>
  <si>
    <t>Panpour (T)</t>
  </si>
  <si>
    <t>Simipour (T)</t>
  </si>
  <si>
    <t>Munna (T)</t>
  </si>
  <si>
    <t>Musharna (T)</t>
  </si>
  <si>
    <t>Pidove (T)</t>
  </si>
  <si>
    <t>Tranquill (T)</t>
  </si>
  <si>
    <t>Unfezant (T)</t>
  </si>
  <si>
    <t>Blitzle (T)</t>
  </si>
  <si>
    <t>Zebstrika (T)</t>
  </si>
  <si>
    <t>Roggenrola (T)</t>
  </si>
  <si>
    <t>Boldore (T)</t>
  </si>
  <si>
    <t>Gigalith (T)</t>
  </si>
  <si>
    <t>Woobat (T)</t>
  </si>
  <si>
    <t>Swoobat (T)</t>
  </si>
  <si>
    <t>Drilbur (T)</t>
  </si>
  <si>
    <t>Excadrill (T)</t>
  </si>
  <si>
    <t>Audino (T)</t>
  </si>
  <si>
    <t>Mega Audino (T)</t>
  </si>
  <si>
    <t>Timburr (T)</t>
  </si>
  <si>
    <t>Gurdurr (T)</t>
  </si>
  <si>
    <t>Conkeldurr (T)</t>
  </si>
  <si>
    <t>Tympole (T)</t>
  </si>
  <si>
    <t>Palpitoad (T)</t>
  </si>
  <si>
    <t>Seismitoad (T)</t>
  </si>
  <si>
    <t>Throh (T)</t>
  </si>
  <si>
    <t>Sawk (T)</t>
  </si>
  <si>
    <t>Sewaddle (T)</t>
  </si>
  <si>
    <t>Swadloon (T)</t>
  </si>
  <si>
    <t>Leavanny (T)</t>
  </si>
  <si>
    <t>Venipede (T)</t>
  </si>
  <si>
    <t>Whirlipede (T)</t>
  </si>
  <si>
    <t>Scolipede (T)</t>
  </si>
  <si>
    <t>Cottonee (T)</t>
  </si>
  <si>
    <t>Whimsicott (T)</t>
  </si>
  <si>
    <t>Petilil (T)</t>
  </si>
  <si>
    <t>Lilligant (T)</t>
  </si>
  <si>
    <t>Hisuian Lilligant (T)</t>
  </si>
  <si>
    <t>Basculin (T)</t>
  </si>
  <si>
    <t>Basculin-Blue-Striped (T)</t>
  </si>
  <si>
    <t>Sandile (T)</t>
  </si>
  <si>
    <t>Krokorok (T)</t>
  </si>
  <si>
    <t>Krookodile (T)</t>
  </si>
  <si>
    <t>Darumaka (T)</t>
  </si>
  <si>
    <t>Galarian Darumaka (T)</t>
  </si>
  <si>
    <t>Darmanitan (T)</t>
  </si>
  <si>
    <t>Darmanitan-Zen (T)</t>
  </si>
  <si>
    <t>Galarian Darmanitan (T)</t>
  </si>
  <si>
    <t>Galarian Darmanitan-Zen (T)</t>
  </si>
  <si>
    <t>Maractus (T)</t>
  </si>
  <si>
    <t>Dwebble (T)</t>
  </si>
  <si>
    <t>Crustle (T)</t>
  </si>
  <si>
    <t>Scraggy (T)</t>
  </si>
  <si>
    <t>Scrafty (T)</t>
  </si>
  <si>
    <t>Sigilyph (T)</t>
  </si>
  <si>
    <t>Yamask (T)</t>
  </si>
  <si>
    <t>Galarian Yamask (T)</t>
  </si>
  <si>
    <t>Cofagrigus (T)</t>
  </si>
  <si>
    <t>Tirtouga (T)</t>
  </si>
  <si>
    <t>Carracosta (T)</t>
  </si>
  <si>
    <t>Archen (T)</t>
  </si>
  <si>
    <t>Archeops (T)</t>
  </si>
  <si>
    <t>Trubbish (T)</t>
  </si>
  <si>
    <t>Garbodor (T)</t>
  </si>
  <si>
    <t>Zorua (T)</t>
  </si>
  <si>
    <t>zorua-hisui</t>
  </si>
  <si>
    <t>Hisuian Zorua (T)</t>
  </si>
  <si>
    <t>Zoroark (T)</t>
  </si>
  <si>
    <t>zoroark-hisui</t>
  </si>
  <si>
    <t>Hisuian Zoroark (T)</t>
  </si>
  <si>
    <t>Minccino (T)</t>
  </si>
  <si>
    <t>Cinccino (T)</t>
  </si>
  <si>
    <t>Gothita (T)</t>
  </si>
  <si>
    <t>Gothorita (T)</t>
  </si>
  <si>
    <t>Gothitelle (T)</t>
  </si>
  <si>
    <t>Solosis (T)</t>
  </si>
  <si>
    <t>Duosion (T)</t>
  </si>
  <si>
    <t>Reuniclus (T)</t>
  </si>
  <si>
    <t>Ducklett (T)</t>
  </si>
  <si>
    <t>Swanna (T)</t>
  </si>
  <si>
    <t>Vanillite (T)</t>
  </si>
  <si>
    <t>Vanillish (T)</t>
  </si>
  <si>
    <t>Vanilluxe (T)</t>
  </si>
  <si>
    <t>Deerling (T)</t>
  </si>
  <si>
    <t>Sawsbuck (T)</t>
  </si>
  <si>
    <t>Emolga (T)</t>
  </si>
  <si>
    <t>Karrablast (T)</t>
  </si>
  <si>
    <t>Escavalier (T)</t>
  </si>
  <si>
    <t>Foongus (T)</t>
  </si>
  <si>
    <t>Amoonguss (T)</t>
  </si>
  <si>
    <t>Frillish (T)</t>
  </si>
  <si>
    <t>Jellicent (T)</t>
  </si>
  <si>
    <t>Joltik (T)</t>
  </si>
  <si>
    <t>Galvantula (T)</t>
  </si>
  <si>
    <t>Ferroseed (T)</t>
  </si>
  <si>
    <t>Ferrothorn (T)</t>
  </si>
  <si>
    <t>Klink (T)</t>
  </si>
  <si>
    <t>Klang (T)</t>
  </si>
  <si>
    <t>Klinklang (T)</t>
  </si>
  <si>
    <t>Tynamo (T)</t>
  </si>
  <si>
    <t>Eelektrik (T)</t>
  </si>
  <si>
    <t>Eelektross (T)</t>
  </si>
  <si>
    <t>Elgyem (T)</t>
  </si>
  <si>
    <t>Beheeyem (T)</t>
  </si>
  <si>
    <t>Litwick (T)</t>
  </si>
  <si>
    <t>Lampent (T)</t>
  </si>
  <si>
    <t>Chandelure (T)</t>
  </si>
  <si>
    <t>Axew (T)</t>
  </si>
  <si>
    <t>Fraxure (T)</t>
  </si>
  <si>
    <t>Haxorus (T)</t>
  </si>
  <si>
    <t>Cubchoo (T)</t>
  </si>
  <si>
    <t>Beartic (T)</t>
  </si>
  <si>
    <t>Cryogonal (T)</t>
  </si>
  <si>
    <t>Shelmet (T)</t>
  </si>
  <si>
    <t>Accelgor (T)</t>
  </si>
  <si>
    <t>Stunfisk (T)</t>
  </si>
  <si>
    <t>Galarian Stunfisk (T)</t>
  </si>
  <si>
    <t>Mienfoo (T)</t>
  </si>
  <si>
    <t>Mienshao (T)</t>
  </si>
  <si>
    <t>Druddigon (T)</t>
  </si>
  <si>
    <t>Golett (T)</t>
  </si>
  <si>
    <t>Golurk (T)</t>
  </si>
  <si>
    <t>Pawniard (T)</t>
  </si>
  <si>
    <t>Bouffalant (T)</t>
  </si>
  <si>
    <t>Rufflet (T)</t>
  </si>
  <si>
    <t>Braviary (T)</t>
  </si>
  <si>
    <t>braviary-hisui</t>
  </si>
  <si>
    <t>Hisuian Braviary (T)</t>
  </si>
  <si>
    <t>Vullaby (T)</t>
  </si>
  <si>
    <t>Mandibuzz (T)</t>
  </si>
  <si>
    <t>Heatmor (T)</t>
  </si>
  <si>
    <t>Durant (T)</t>
  </si>
  <si>
    <t>Deino (T)</t>
  </si>
  <si>
    <t>Zweilous (T)</t>
  </si>
  <si>
    <t>Hydreigon (T)</t>
  </si>
  <si>
    <t>Larvesta (T)</t>
  </si>
  <si>
    <t>Volcarona (T)</t>
  </si>
  <si>
    <t>Cobalion (T)</t>
  </si>
  <si>
    <t>Terrakion (T)</t>
  </si>
  <si>
    <t>Virizion (T)</t>
  </si>
  <si>
    <t>Tornadus-Therian (T)</t>
  </si>
  <si>
    <t>Thundurus-Incarnate (T)</t>
  </si>
  <si>
    <t>Thundurus-Therian (T)</t>
  </si>
  <si>
    <t>Reshiram (T)</t>
  </si>
  <si>
    <t>Zekrom (T)</t>
  </si>
  <si>
    <t>Landorus-Incarnate (T)</t>
  </si>
  <si>
    <t>Landorus-Therian (T)</t>
  </si>
  <si>
    <t>Kyurem (T)</t>
  </si>
  <si>
    <t>Kyurem-Black (T)</t>
  </si>
  <si>
    <t>Kyurem-White (T)</t>
  </si>
  <si>
    <t>Keldeo (T)</t>
  </si>
  <si>
    <t>Keldeo-Resolute (T)</t>
  </si>
  <si>
    <t>Meloetta (T)</t>
  </si>
  <si>
    <t>Meloetta-Pirouette (T)</t>
  </si>
  <si>
    <t>Genesect (T)</t>
  </si>
  <si>
    <t>Genesect-Douse (T)</t>
  </si>
  <si>
    <t>Genesect-Shock (T)</t>
  </si>
  <si>
    <t>Genesect-Burn (T)</t>
  </si>
  <si>
    <t>Genesect-Chill (T)</t>
  </si>
  <si>
    <t>Chespin (T)</t>
  </si>
  <si>
    <t>Quilladin (T)</t>
  </si>
  <si>
    <t>Chesnaught (T)</t>
  </si>
  <si>
    <t>Fennekin (T)</t>
  </si>
  <si>
    <t>Braixen (T)</t>
  </si>
  <si>
    <t>Delphox (T)</t>
  </si>
  <si>
    <t>Froakie (T)</t>
  </si>
  <si>
    <t>Frogadier (T)</t>
  </si>
  <si>
    <t>Greninja (T)</t>
  </si>
  <si>
    <t>Greninja-Ash (T)</t>
  </si>
  <si>
    <t>Bunnelby (T)</t>
  </si>
  <si>
    <t>Diggersby (T)</t>
  </si>
  <si>
    <t>Fletchling (T)</t>
  </si>
  <si>
    <t>Fletchinder (T)</t>
  </si>
  <si>
    <t>Talonflame (T)</t>
  </si>
  <si>
    <t>Scatterbug (T)</t>
  </si>
  <si>
    <t>Spewpa (T)</t>
  </si>
  <si>
    <t>Vivillon (T)</t>
  </si>
  <si>
    <t>Vivillon-Fancy (T)</t>
  </si>
  <si>
    <t>Vivillon-Pokéball (T)</t>
  </si>
  <si>
    <t>Litleo (T)</t>
  </si>
  <si>
    <t>Pyroar (T)</t>
  </si>
  <si>
    <t>Flabébé (T)</t>
  </si>
  <si>
    <t>Floette (T)</t>
  </si>
  <si>
    <t>Floette-Eternal (T)</t>
  </si>
  <si>
    <t>Florges (T)</t>
  </si>
  <si>
    <t>Skiddo (T)</t>
  </si>
  <si>
    <t>Gogoat (T)</t>
  </si>
  <si>
    <t>Pancham (T)</t>
  </si>
  <si>
    <t>Pangoro (T)</t>
  </si>
  <si>
    <t>Furfrou (T)</t>
  </si>
  <si>
    <t>Espurr (T)</t>
  </si>
  <si>
    <t>Meowstic-Male (T)</t>
  </si>
  <si>
    <t>Meowstic-Female (T)</t>
  </si>
  <si>
    <t>Honedge (T)</t>
  </si>
  <si>
    <t>Doublade (T)</t>
  </si>
  <si>
    <t>Aegislash (T)</t>
  </si>
  <si>
    <t>Aegislash-Blade (T)</t>
  </si>
  <si>
    <t>Spritzee (T)</t>
  </si>
  <si>
    <t>Aromatisse (T)</t>
  </si>
  <si>
    <t>Swirlix (T)</t>
  </si>
  <si>
    <t>Slurpuff (T)</t>
  </si>
  <si>
    <t>Inkay (T)</t>
  </si>
  <si>
    <t>Malamar (T)</t>
  </si>
  <si>
    <t>Binacle (T)</t>
  </si>
  <si>
    <t>Barbaracle (T)</t>
  </si>
  <si>
    <t>Skrelp (T)</t>
  </si>
  <si>
    <t>Clauncher (T)</t>
  </si>
  <si>
    <t>Clawitzer (T)</t>
  </si>
  <si>
    <t>Helioptile (T)</t>
  </si>
  <si>
    <t>Heliolisk (T)</t>
  </si>
  <si>
    <t>Tyrunt (T)</t>
  </si>
  <si>
    <t>Tyrantrum (T)</t>
  </si>
  <si>
    <t>Amaura (T)</t>
  </si>
  <si>
    <t>Aurorus (T)</t>
  </si>
  <si>
    <t>Hawlucha (T)</t>
  </si>
  <si>
    <t>Dedenne (T)</t>
  </si>
  <si>
    <t>Carbink (T)</t>
  </si>
  <si>
    <t>Goomy (T)</t>
  </si>
  <si>
    <t>Sliggoo (T)</t>
  </si>
  <si>
    <t>sliggoo-hisui</t>
  </si>
  <si>
    <t>Hisuian Sliggoo (T)</t>
  </si>
  <si>
    <t>Goodra (T)</t>
  </si>
  <si>
    <t>goodra-hisui</t>
  </si>
  <si>
    <t>Hisuian Goodra (T)</t>
  </si>
  <si>
    <t>Klefki (T)</t>
  </si>
  <si>
    <t>Phantump (T)</t>
  </si>
  <si>
    <t>Trevenant (T)</t>
  </si>
  <si>
    <t>Pumpkaboo (T)</t>
  </si>
  <si>
    <t>Pumpkaboo-Small (T)</t>
  </si>
  <si>
    <t>Pumpkaboo-Large (T)</t>
  </si>
  <si>
    <t>Pumpkaboo-Super (T)</t>
  </si>
  <si>
    <t>Gourgeist (T)</t>
  </si>
  <si>
    <t>Gourgeist-Small (T)</t>
  </si>
  <si>
    <t>Gourgeist-Large (T)</t>
  </si>
  <si>
    <t>Gourgeist-Super (T)</t>
  </si>
  <si>
    <t>Bergmite (T)</t>
  </si>
  <si>
    <t>Avalugg (T)</t>
  </si>
  <si>
    <t>Hisuian Avalugg (T)</t>
  </si>
  <si>
    <t>Noibat (T)</t>
  </si>
  <si>
    <t>Xerneas (T)</t>
  </si>
  <si>
    <t>Yveltal (T)</t>
  </si>
  <si>
    <t>Zygarde-50% (T)</t>
  </si>
  <si>
    <t>Zygarde-10% (T)</t>
  </si>
  <si>
    <t>Zygarde-C (T)</t>
  </si>
  <si>
    <t>Diancie (T)</t>
  </si>
  <si>
    <t>Mega Diancie (T)</t>
  </si>
  <si>
    <t>Hoopa (T)</t>
  </si>
  <si>
    <t>Volcanion (T)</t>
  </si>
  <si>
    <t>Rowlet (T)</t>
  </si>
  <si>
    <t>Dartrix (T)</t>
  </si>
  <si>
    <t>Decidueye (T)</t>
  </si>
  <si>
    <t>Hisuian Decidueye (T)</t>
  </si>
  <si>
    <t>Litten (T)</t>
  </si>
  <si>
    <t>Torracat (T)</t>
  </si>
  <si>
    <t>Incineroar (T)</t>
  </si>
  <si>
    <t>Popplio (T)</t>
  </si>
  <si>
    <t>Brionne (T)</t>
  </si>
  <si>
    <t>Primarina (T)</t>
  </si>
  <si>
    <t>Pikipek (T)</t>
  </si>
  <si>
    <t>Trumbeak (T)</t>
  </si>
  <si>
    <t>Toucannon (T)</t>
  </si>
  <si>
    <t>Yungoos (T)</t>
  </si>
  <si>
    <t>Gumshoos (T)</t>
  </si>
  <si>
    <t>Grubbin (T)</t>
  </si>
  <si>
    <t>Charjabug (T)</t>
  </si>
  <si>
    <t>Vikavolt (T)</t>
  </si>
  <si>
    <t>Crabrawler (T)</t>
  </si>
  <si>
    <t>Crabominable (T)</t>
  </si>
  <si>
    <t>Oricorio (T)</t>
  </si>
  <si>
    <t>Oricorio-Pom-Pom (T)</t>
  </si>
  <si>
    <t>Oricorio-Pa'u (T)</t>
  </si>
  <si>
    <t>Oricorio-Sensu (T)</t>
  </si>
  <si>
    <t>Cutiefly (T)</t>
  </si>
  <si>
    <t>Rockruff (T)</t>
  </si>
  <si>
    <t>Lycanroc-Midday (T)</t>
  </si>
  <si>
    <t>Lycanroc-Midnight (T)</t>
  </si>
  <si>
    <t>Lycanroc-Dusk (T)</t>
  </si>
  <si>
    <t>Wishiwashi (T)</t>
  </si>
  <si>
    <t>Wishiwashi-School (T)</t>
  </si>
  <si>
    <t>Mareanie (T)</t>
  </si>
  <si>
    <t>Toxapex (T)</t>
  </si>
  <si>
    <t>Mudbray (T)</t>
  </si>
  <si>
    <t>Mudsdale (T)</t>
  </si>
  <si>
    <t>Dewpider (T)</t>
  </si>
  <si>
    <t>Araquanid (T)</t>
  </si>
  <si>
    <t>Fomantis (T)</t>
  </si>
  <si>
    <t>Lurantis (T)</t>
  </si>
  <si>
    <t>Morelull (T)</t>
  </si>
  <si>
    <t>Shiinotic (T)</t>
  </si>
  <si>
    <t>Salandit (T)</t>
  </si>
  <si>
    <t>Salazzle (T)</t>
  </si>
  <si>
    <t>Stufful (T)</t>
  </si>
  <si>
    <t>Bewear (T)</t>
  </si>
  <si>
    <t>Bounsweet (T)</t>
  </si>
  <si>
    <t>Steenee (T)</t>
  </si>
  <si>
    <t>Tsareena (T)</t>
  </si>
  <si>
    <t>Comfey (T)</t>
  </si>
  <si>
    <t>Oranguru (T)</t>
  </si>
  <si>
    <t>Passimian (T)</t>
  </si>
  <si>
    <t>Wimpod (T)</t>
  </si>
  <si>
    <t>Golisopod (T)</t>
  </si>
  <si>
    <t>Sandygast (T)</t>
  </si>
  <si>
    <t>Palossand (T)</t>
  </si>
  <si>
    <t>Pyukumuku (T)</t>
  </si>
  <si>
    <t>Type: Null (T)</t>
  </si>
  <si>
    <t>Silvally (T)</t>
  </si>
  <si>
    <t>Silvally-Bug (T)</t>
  </si>
  <si>
    <t>Silvally-Dark (T)</t>
  </si>
  <si>
    <t>Silvally-Dragon (T)</t>
  </si>
  <si>
    <t>Silvally-Electric (T)</t>
  </si>
  <si>
    <t>Silvally-Fairy (T)</t>
  </si>
  <si>
    <t>Silvally-Fighting (T)</t>
  </si>
  <si>
    <t>Silvally-Fire (T)</t>
  </si>
  <si>
    <t>Silvally-Flying (T)</t>
  </si>
  <si>
    <t>Silvally-Ghost (T)</t>
  </si>
  <si>
    <t>Silvally-Grass (T)</t>
  </si>
  <si>
    <t>Silvally-Ground (T)</t>
  </si>
  <si>
    <t>Silvally-Ice (T)</t>
  </si>
  <si>
    <t>Silvally-Poison (T)</t>
  </si>
  <si>
    <t>Silvally-Psychic (T)</t>
  </si>
  <si>
    <t>Silvally-Rock (T)</t>
  </si>
  <si>
    <t>Silvally-Steel (T)</t>
  </si>
  <si>
    <t>Silvally-Water (T)</t>
  </si>
  <si>
    <t>Minior (T)</t>
  </si>
  <si>
    <t>Minior-Meteor (T)</t>
  </si>
  <si>
    <t>Komala (T)</t>
  </si>
  <si>
    <t>Turtonator (T)</t>
  </si>
  <si>
    <t>Togedemaru (T)</t>
  </si>
  <si>
    <t>Mimikyu (T)</t>
  </si>
  <si>
    <t>Bruxish (T)</t>
  </si>
  <si>
    <t>Drampa (T)</t>
  </si>
  <si>
    <t>Dhelmise (T)</t>
  </si>
  <si>
    <t>Jangmo-o (T)</t>
  </si>
  <si>
    <t>Hakamo-o (T)</t>
  </si>
  <si>
    <t>Kommo-o (T)</t>
  </si>
  <si>
    <t>Tapu Koko (T)</t>
  </si>
  <si>
    <t>Tapu Lele (T)</t>
  </si>
  <si>
    <t>Tapu Bulu (T)</t>
  </si>
  <si>
    <t>Tapu Fini (T)</t>
  </si>
  <si>
    <t>Cosmog (T)</t>
  </si>
  <si>
    <t>Cosmoem (T)</t>
  </si>
  <si>
    <t>Solgaleo (T)</t>
  </si>
  <si>
    <t>Lunala (T)</t>
  </si>
  <si>
    <t>Nihilego (T)</t>
  </si>
  <si>
    <t>Buzzwole (T)</t>
  </si>
  <si>
    <t>Pheromosa (T)</t>
  </si>
  <si>
    <t>Xurkitree (T)</t>
  </si>
  <si>
    <t>Celesteela (T)</t>
  </si>
  <si>
    <t>Kartana (T)</t>
  </si>
  <si>
    <t>Guzzlord (T)</t>
  </si>
  <si>
    <t>Necrozma (T)</t>
  </si>
  <si>
    <t>Necrozma-Dusk (T)</t>
  </si>
  <si>
    <t>Necrozma-Dawn (T)</t>
  </si>
  <si>
    <t>Necrozma-Ultra (T)</t>
  </si>
  <si>
    <t>Magearna (T)</t>
  </si>
  <si>
    <t>Magearna-Original (T)</t>
  </si>
  <si>
    <t>Marshadow (T)</t>
  </si>
  <si>
    <t>Poipole (T)</t>
  </si>
  <si>
    <t>Naganadel (T)</t>
  </si>
  <si>
    <t>Stakataka (T)</t>
  </si>
  <si>
    <t>Blacephalon (T)</t>
  </si>
  <si>
    <t>Zeraora (T)</t>
  </si>
  <si>
    <t>Meltan (T)</t>
  </si>
  <si>
    <t>Melmetal (T)</t>
  </si>
  <si>
    <t>Grookey (T)</t>
  </si>
  <si>
    <t>Thwackey (T)</t>
  </si>
  <si>
    <t>Rillaboom (T)</t>
  </si>
  <si>
    <t>Scorbunny (T)</t>
  </si>
  <si>
    <t>Raboot (T)</t>
  </si>
  <si>
    <t>Cinderace (T)</t>
  </si>
  <si>
    <t>Sobble (T)</t>
  </si>
  <si>
    <t>Drizzile (T)</t>
  </si>
  <si>
    <t>Inteleon (T)</t>
  </si>
  <si>
    <t>Skwovet (T)</t>
  </si>
  <si>
    <t>Greedent (T)</t>
  </si>
  <si>
    <t>Rookidee (T)</t>
  </si>
  <si>
    <t>Corvisquire (T)</t>
  </si>
  <si>
    <t>Corviknight (T)</t>
  </si>
  <si>
    <t>Blipbug (T)</t>
  </si>
  <si>
    <t>Dottler (T)</t>
  </si>
  <si>
    <t>Orbeetle (T)</t>
  </si>
  <si>
    <t>Nickit (T)</t>
  </si>
  <si>
    <t>Thievul (T)</t>
  </si>
  <si>
    <t>Gossifleur (T)</t>
  </si>
  <si>
    <t>Eldegoss (T)</t>
  </si>
  <si>
    <t>Wooloo (T)</t>
  </si>
  <si>
    <t>Dubwool (T)</t>
  </si>
  <si>
    <t>Chewtle (T)</t>
  </si>
  <si>
    <t>Drednaw (T)</t>
  </si>
  <si>
    <t>Yamper (T)</t>
  </si>
  <si>
    <t>Boltund (T)</t>
  </si>
  <si>
    <t>Rolycoly (T)</t>
  </si>
  <si>
    <t>Carkol (T)</t>
  </si>
  <si>
    <t>Applin (T)</t>
  </si>
  <si>
    <t>Flapple (T)</t>
  </si>
  <si>
    <t>Gigantamax Flapple (T)</t>
  </si>
  <si>
    <t>Appletun (T)</t>
  </si>
  <si>
    <t>Silicobra (T)</t>
  </si>
  <si>
    <t>Sandaconda (T)</t>
  </si>
  <si>
    <t>Cramorant (T)</t>
  </si>
  <si>
    <t>Arrokuda (T)</t>
  </si>
  <si>
    <t>Barraskewda (T)</t>
  </si>
  <si>
    <t>Toxel (T)</t>
  </si>
  <si>
    <t>Toxtricity (T)</t>
  </si>
  <si>
    <t>Toxtricity-Low-Key (T)</t>
  </si>
  <si>
    <t>Sizzlipede (T)</t>
  </si>
  <si>
    <t>Centiskorch (T)</t>
  </si>
  <si>
    <t>Clobbopus (T)</t>
  </si>
  <si>
    <t>Grapploct (T)</t>
  </si>
  <si>
    <t>Sinistea (T)</t>
  </si>
  <si>
    <t>Polteageist (T)</t>
  </si>
  <si>
    <t>Hatenna (T)</t>
  </si>
  <si>
    <t>Hattrem (T)</t>
  </si>
  <si>
    <t>Hatterene (T)</t>
  </si>
  <si>
    <t>Impidimp (T)</t>
  </si>
  <si>
    <t>Morgrem (T)</t>
  </si>
  <si>
    <t>Obstagoon (T)</t>
  </si>
  <si>
    <t>Perrserker (T)</t>
  </si>
  <si>
    <t>Cursola (T)</t>
  </si>
  <si>
    <t>Sirfetch'd (T)</t>
  </si>
  <si>
    <t>Mr. Rime (T)</t>
  </si>
  <si>
    <t>Runerigus (T)</t>
  </si>
  <si>
    <t>Milcery (T)</t>
  </si>
  <si>
    <t>Alcremie (T)</t>
  </si>
  <si>
    <t>Falinks (T)</t>
  </si>
  <si>
    <t>Pincurchin (T)</t>
  </si>
  <si>
    <t>Snom (T)</t>
  </si>
  <si>
    <t>Frosmoth (T)</t>
  </si>
  <si>
    <t>Stonjourner (T)</t>
  </si>
  <si>
    <t>Eiscue (T)</t>
  </si>
  <si>
    <t>Eiscue-No-Ice (T)</t>
  </si>
  <si>
    <t>Indeedee-Male (T)</t>
  </si>
  <si>
    <t>Indeedee-Female (T)</t>
  </si>
  <si>
    <t>Morpeko (T)</t>
  </si>
  <si>
    <t>Morpeko-Hangry (T)</t>
  </si>
  <si>
    <t>Cufant (T)</t>
  </si>
  <si>
    <t>Copperajah (T)</t>
  </si>
  <si>
    <t>Dracozolt (T)</t>
  </si>
  <si>
    <t>Arctozolt (T)</t>
  </si>
  <si>
    <t>Dracovish (T)</t>
  </si>
  <si>
    <t>Arctovish (T)</t>
  </si>
  <si>
    <t>Duraludon (T)</t>
  </si>
  <si>
    <t>Dreepy (T)</t>
  </si>
  <si>
    <t>Drakloak (T)</t>
  </si>
  <si>
    <t>Dragapult (T)</t>
  </si>
  <si>
    <t>Zacian (T)</t>
  </si>
  <si>
    <t>Zacian-C (T)</t>
  </si>
  <si>
    <t>Zamazenta (T)</t>
  </si>
  <si>
    <t>Zamazenta-Crowned (T)</t>
  </si>
  <si>
    <t>Eternatus (T)</t>
  </si>
  <si>
    <t>Eternamax Eternatus (T)</t>
  </si>
  <si>
    <t>Kubfu (T)</t>
  </si>
  <si>
    <t>Urshifu-Single-Strike (T)</t>
  </si>
  <si>
    <t>Urshifu-Rapid-Strike (T)</t>
  </si>
  <si>
    <t>Zarude (T)</t>
  </si>
  <si>
    <t>Zarude-Dada (T)</t>
  </si>
  <si>
    <t>Regieleki (T)</t>
  </si>
  <si>
    <t>Regidrago (T)</t>
  </si>
  <si>
    <t>Glastrier (T)</t>
  </si>
  <si>
    <t>Spectrier (T)</t>
  </si>
  <si>
    <t>Calyrex (T)</t>
  </si>
  <si>
    <t>Calyrex-Ice (T)</t>
  </si>
  <si>
    <t>Calyrex-Shadow (T)</t>
  </si>
  <si>
    <t>Wyrdeer (T)</t>
  </si>
  <si>
    <t>Ursaluna (T)</t>
  </si>
  <si>
    <t>Basculegion-Female (T)</t>
  </si>
  <si>
    <t>Sneasler (T)</t>
  </si>
  <si>
    <t>Overqwil (T)</t>
  </si>
  <si>
    <t>Enamorus-Incarnate (T)</t>
  </si>
  <si>
    <t>Enamorus-Therian (T)</t>
  </si>
  <si>
    <t>Sprigatito (T)</t>
  </si>
  <si>
    <t>Floragato (T)</t>
  </si>
  <si>
    <t>Meowscarada (T)</t>
  </si>
  <si>
    <t>Fuecoco (T)</t>
  </si>
  <si>
    <t>Crocalor (T)</t>
  </si>
  <si>
    <t>Quaxly (T)</t>
  </si>
  <si>
    <t>Quaxwell (T)</t>
  </si>
  <si>
    <t>Quaquaval (T)</t>
  </si>
  <si>
    <t>Lechonk (T)</t>
  </si>
  <si>
    <t>Oinkologne (T)</t>
  </si>
  <si>
    <t>Oinkologne-Female (T)</t>
  </si>
  <si>
    <t>Dudunsparce (T)</t>
  </si>
  <si>
    <t>Tarountula (T)</t>
  </si>
  <si>
    <t>Spidops (T)</t>
  </si>
  <si>
    <t>Nymble (T)</t>
  </si>
  <si>
    <t>Lokix (T)</t>
  </si>
  <si>
    <t>Rellor (T)</t>
  </si>
  <si>
    <t>Rabsca (T)</t>
  </si>
  <si>
    <t>Greavard (T)</t>
  </si>
  <si>
    <t>Houndstone (T)</t>
  </si>
  <si>
    <t>Flittle (T)</t>
  </si>
  <si>
    <t>Espathra (T)</t>
  </si>
  <si>
    <t>Farigiraf (T)</t>
  </si>
  <si>
    <t>Wiglett (T)</t>
  </si>
  <si>
    <t>Wugtrio (T)</t>
  </si>
  <si>
    <t>Dondozo (T)</t>
  </si>
  <si>
    <t>Veluza (T)</t>
  </si>
  <si>
    <t>Finizen (T)</t>
  </si>
  <si>
    <t>Palafin (T)</t>
  </si>
  <si>
    <t>Palafin-Hero (T)</t>
  </si>
  <si>
    <t>Smoliv (T)</t>
  </si>
  <si>
    <t>Dolliv (T)</t>
  </si>
  <si>
    <t>Arboliva (T)</t>
  </si>
  <si>
    <t>Capsakid (T)</t>
  </si>
  <si>
    <t>Scovillain (T)</t>
  </si>
  <si>
    <t>Tadbulb (T)</t>
  </si>
  <si>
    <t>Bellibolt (T)</t>
  </si>
  <si>
    <t>Varoom (T)</t>
  </si>
  <si>
    <t>Revavroom (T)</t>
  </si>
  <si>
    <t>Orthworm (T)</t>
  </si>
  <si>
    <t>Tandemaus (T)</t>
  </si>
  <si>
    <t>Maushold (T)</t>
  </si>
  <si>
    <t>Cetoddle (T)</t>
  </si>
  <si>
    <t>Cetitan (T)</t>
  </si>
  <si>
    <t>Frigibax (T)</t>
  </si>
  <si>
    <t>Arctibax (T)</t>
  </si>
  <si>
    <t>Baxcalibur (T)</t>
  </si>
  <si>
    <t>Tatsugiri (T)</t>
  </si>
  <si>
    <t>Cyclizar (T)</t>
  </si>
  <si>
    <t>Pawmi (T)</t>
  </si>
  <si>
    <t>Pawmo (T)</t>
  </si>
  <si>
    <t>Pawmot (T)</t>
  </si>
  <si>
    <t>Wattrel (T)</t>
  </si>
  <si>
    <t>Kilowattrel (T)</t>
  </si>
  <si>
    <t>Bombirdier (T)</t>
  </si>
  <si>
    <t>Squawkabilly (T)</t>
  </si>
  <si>
    <t>Flamigo (T)</t>
  </si>
  <si>
    <t>Klawf (T)</t>
  </si>
  <si>
    <t>Nacli (T)</t>
  </si>
  <si>
    <t>Naclstack (T)</t>
  </si>
  <si>
    <t>Garganacl (T)</t>
  </si>
  <si>
    <t>Glimmet (T)</t>
  </si>
  <si>
    <t>Glimmora (T)</t>
  </si>
  <si>
    <t>Shroodle (T)</t>
  </si>
  <si>
    <t>Grafaiai (T)</t>
  </si>
  <si>
    <t>Fidough (T)</t>
  </si>
  <si>
    <t>Dachsbun (T)</t>
  </si>
  <si>
    <t>Maschiff (T)</t>
  </si>
  <si>
    <t>Mabosstiff (T)</t>
  </si>
  <si>
    <t>Bramblin (T)</t>
  </si>
  <si>
    <t>Brambleghast (T)</t>
  </si>
  <si>
    <t>Gimmighoul (T)</t>
  </si>
  <si>
    <t>Gholdengo (T)</t>
  </si>
  <si>
    <t>Great Tusk (T)</t>
  </si>
  <si>
    <t>Brute Bonnet (T)</t>
  </si>
  <si>
    <t>Walking Wake (T)</t>
  </si>
  <si>
    <t>Sandy Shocks (T)</t>
  </si>
  <si>
    <t>Scream Tail (T)</t>
  </si>
  <si>
    <t>Flutter Mane (T)</t>
  </si>
  <si>
    <t>Slither Wing (T)</t>
  </si>
  <si>
    <t>Roaring Moon (T)</t>
  </si>
  <si>
    <t>Iron Treads (T)</t>
  </si>
  <si>
    <t>Iron Leaves (T)</t>
  </si>
  <si>
    <t>Iron Moth (T)</t>
  </si>
  <si>
    <t>Iron Hands (T)</t>
  </si>
  <si>
    <t>Iron Jugulis (T)</t>
  </si>
  <si>
    <t>Iron Thorns (T)</t>
  </si>
  <si>
    <t>Iron Bundle (T)</t>
  </si>
  <si>
    <t>Iron Valiant (T)</t>
  </si>
  <si>
    <t>Ting-Lu (T)</t>
  </si>
  <si>
    <t>Chien-Pao (T)</t>
  </si>
  <si>
    <t>Wo-Chien (T)</t>
  </si>
  <si>
    <t>Chi-Yu (T)</t>
  </si>
  <si>
    <t>Koraidon (T)</t>
  </si>
  <si>
    <t>Miraidon (T)</t>
  </si>
  <si>
    <t>Tinkatink (T)</t>
  </si>
  <si>
    <t>Tinkatuff (T)</t>
  </si>
  <si>
    <t>Tinkaton (T)</t>
  </si>
  <si>
    <t>Charcadet (T)</t>
  </si>
  <si>
    <t>Armarouge (T)</t>
  </si>
  <si>
    <t>Ceruledge (T)</t>
  </si>
  <si>
    <t>Toedscool (T)</t>
  </si>
  <si>
    <t>Toedscruel (T)</t>
  </si>
  <si>
    <t>Kingambit (T)</t>
  </si>
  <si>
    <t>Clodsire (T)</t>
  </si>
  <si>
    <t>Annihilape (T)</t>
  </si>
  <si>
    <t>Ursaluna-Bloodmoon (T)</t>
  </si>
  <si>
    <t>Dipplin (T)</t>
  </si>
  <si>
    <t>Poltchageist (T)</t>
  </si>
  <si>
    <t>Okidogi (T)</t>
  </si>
  <si>
    <t>Munkidori (T)</t>
  </si>
  <si>
    <t>Fezandipiti (T)</t>
  </si>
  <si>
    <t>Ogerpon (T)</t>
  </si>
  <si>
    <t>Ogerpon-Hearthflame (T)</t>
  </si>
  <si>
    <t>Ogerpon-Wellspring (T)</t>
  </si>
  <si>
    <t>Ogerpon-Cornerstone (T)</t>
  </si>
  <si>
    <t>Hydrapple (T)</t>
  </si>
  <si>
    <t>Gouging Fire (T)</t>
  </si>
  <si>
    <t>Raging Bolt (T)</t>
  </si>
  <si>
    <t>Iron Boulder (T)</t>
  </si>
  <si>
    <t>Iron Crown (T)</t>
  </si>
  <si>
    <t>Terapagos (T)</t>
  </si>
  <si>
    <t>Terapagos-Terastal (T)</t>
  </si>
  <si>
    <t>Terapagos-Stellar (T)</t>
  </si>
  <si>
    <t>Pecharunt (T)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</si>
</sst>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
    <numFmt numFmtId="165" formatCode="&quot;$&quot;#,##0.00"/>
  </numFmts>
  <fonts count="100">
    <font>
      <sz val="10.0"/>
      <color rgb="FF000000"/>
      <name val="Arial"/>
    </font>
    <font>
      <name val="Trebuchet MS"/>
    </font>
    <font>
      <name val="Patua One"/>
    </font>
    <font>
      <sz val="12.0"/>
      <color rgb="FF000000"/>
      <name val="Trebuchet MS"/>
    </font>
    <font>
      <sz val="12.0"/>
      <color rgb="FF000000"/>
      <name val="Patua One"/>
    </font>
    <font>
      <b/>
      <name val="Trebuchet MS"/>
    </font>
    <font>
      <color rgb="FF000000"/>
      <name val="Patua One"/>
    </font>
    <font>
      <sz val="10.0"/>
      <color rgb="FFFFFFFF"/>
      <name val="Patua One"/>
    </font>
    <font>
      <b/>
      <sz val="14.0"/>
      <name val="Trebuchet MS"/>
    </font>
    <font/>
    <font>
      <name val="Arial"/>
    </font>
    <font>
      <sz val="18.0"/>
      <color rgb="FFEFEFEF"/>
      <name val="Patua One"/>
    </font>
    <font>
      <sz val="18.0"/>
      <color rgb="FF000000"/>
      <name val="Arial"/>
    </font>
    <font>
      <sz val="24.0"/>
      <color rgb="FFFFFFFF"/>
      <name val="Bree Serif"/>
    </font>
    <font>
      <sz val="10.0"/>
      <name val="Trebuchet MS"/>
    </font>
    <font>
      <b/>
      <sz val="12.0"/>
      <name val="Trebuchet MS"/>
    </font>
    <font>
      <sz val="10.0"/>
      <color rgb="FF000000"/>
      <name val="Trebuchet MS"/>
    </font>
    <font>
      <sz val="14.0"/>
      <color rgb="FF000000"/>
      <name val="Patua One"/>
    </font>
    <font>
      <sz val="12.0"/>
      <color rgb="FFEFEFEF"/>
      <name val="Patua One"/>
    </font>
    <font>
      <b/>
      <sz val="11.0"/>
      <name val="Trebuchet MS"/>
    </font>
    <font>
      <sz val="12.0"/>
      <color rgb="FF000000"/>
      <name val="Bree Serif"/>
    </font>
    <font>
      <sz val="14.0"/>
      <name val="Patua One"/>
    </font>
    <font>
      <b/>
      <sz val="10.0"/>
      <color rgb="FF000000"/>
      <name val="Merriweather Sans"/>
    </font>
    <font>
      <sz val="10.0"/>
      <color rgb="FFFFFFFF"/>
      <name val="Trebuchet MS"/>
    </font>
    <font>
      <sz val="14.0"/>
      <color rgb="FFEFEFEF"/>
      <name val="Patua One"/>
    </font>
    <font>
      <color rgb="FFFFFFFF"/>
      <name val="Trebuchet MS"/>
    </font>
    <font>
      <b/>
      <i/>
      <sz val="10.0"/>
      <name val="Trebuchet MS"/>
    </font>
    <font>
      <sz val="12.0"/>
      <name val="Trebuchet MS"/>
    </font>
    <font>
      <sz val="17.0"/>
      <color rgb="FF000000"/>
      <name val="Patua One"/>
    </font>
    <font>
      <b/>
      <sz val="12.0"/>
      <color rgb="FF000000"/>
      <name val="Trebuchet MS"/>
    </font>
    <font>
      <color rgb="FFEFEFEF"/>
      <name val="Trebuchet MS"/>
    </font>
    <font>
      <sz val="10.0"/>
      <color rgb="FF000000"/>
      <name val="Patua One"/>
    </font>
    <font>
      <b/>
      <sz val="10.0"/>
      <name val="Trebuchet MS"/>
    </font>
    <font>
      <sz val="11.0"/>
      <name val="Patua One"/>
    </font>
    <font>
      <b/>
      <sz val="11.0"/>
      <name val="Arial"/>
    </font>
    <font>
      <color rgb="FFEFEFEF"/>
      <name val="Patua One"/>
    </font>
    <font>
      <sz val="9.0"/>
      <color rgb="FF000000"/>
      <name val="&quot;Google Sans Mono&quot;"/>
    </font>
    <font>
      <color rgb="FF000000"/>
      <name val="Trebuchet MS"/>
    </font>
    <font>
      <b/>
      <sz val="14.0"/>
      <color rgb="FF000000"/>
      <name val="Trebuchet MS"/>
    </font>
    <font>
      <b/>
      <sz val="11.0"/>
      <color rgb="FF000000"/>
      <name val="Trebuchet MS"/>
    </font>
    <font>
      <sz val="14.0"/>
      <color rgb="FF000000"/>
      <name val="Trebuchet MS"/>
    </font>
    <font>
      <b/>
      <color rgb="FF000000"/>
      <name val="Trebuchet MS"/>
    </font>
    <font>
      <b/>
      <sz val="10.0"/>
      <color rgb="FF000000"/>
      <name val="Trebuchet MS"/>
    </font>
    <font>
      <b/>
    </font>
    <font>
      <color rgb="FF222241"/>
      <name val="Patua One"/>
    </font>
    <font>
      <sz val="10.0"/>
      <color rgb="FF222241"/>
      <name val="Patua One"/>
    </font>
    <font>
      <b/>
      <name val="&quot;Trebuchet MS&quot;"/>
    </font>
    <font>
      <color rgb="FFFFFFFF"/>
      <name val="Patua One"/>
    </font>
    <font>
      <b/>
      <u/>
      <color rgb="FF0000FF"/>
      <name val="Trebuchet MS"/>
    </font>
    <font>
      <sz val="10.0"/>
      <name val="Patua One"/>
    </font>
    <font>
      <sz val="9.0"/>
      <color rgb="FF000000"/>
      <name val="Trebuchet MS"/>
    </font>
    <font>
      <sz val="9.0"/>
      <color rgb="FF222241"/>
      <name val="Trebuchet MS"/>
    </font>
    <font>
      <b/>
      <u/>
      <color rgb="FF0000FF"/>
      <name val="Trebuchet MS"/>
    </font>
    <font>
      <sz val="10.0"/>
      <name val="&quot;Trebuchet MS&quot;"/>
    </font>
    <font>
      <b/>
      <sz val="10.0"/>
      <name val="Ubuntu"/>
    </font>
    <font>
      <color rgb="FF000000"/>
      <name val="&quot;Bree Serif&quot;"/>
    </font>
    <font>
      <sz val="10.0"/>
      <color rgb="FF000000"/>
      <name val="Inconsolata"/>
    </font>
    <font>
      <color rgb="FFF1C232"/>
      <name val="Trebuchet MS"/>
    </font>
    <font>
      <color rgb="FFCCCCCC"/>
      <name val="Trebuchet MS"/>
    </font>
    <font>
      <color rgb="FFE2811C"/>
      <name val="Trebuchet MS"/>
    </font>
    <font>
      <color rgb="FF93C47D"/>
      <name val="Trebuchet MS"/>
    </font>
    <font>
      <color rgb="FFE06666"/>
      <name val="Trebuchet MS"/>
    </font>
    <font>
      <color rgb="FF00FF00"/>
      <name val="Trebuchet MS"/>
    </font>
    <font>
      <b/>
      <color rgb="FF00FF00"/>
      <name val="Trebuchet MS"/>
    </font>
    <font>
      <name val="&quot;Bree Serif&quot;"/>
    </font>
    <font>
      <color rgb="FFA6BFF8"/>
      <name val="Trebuchet MS"/>
    </font>
    <font>
      <sz val="9.0"/>
      <color rgb="FFF7981D"/>
      <name val="Trebuchet MS"/>
    </font>
    <font>
      <color rgb="FFF7981D"/>
      <name val="Trebuchet MS"/>
    </font>
    <font>
      <sz val="11.0"/>
      <color rgb="FF000000"/>
      <name val="Arial"/>
    </font>
    <font>
      <b/>
      <sz val="24.0"/>
      <color rgb="FFFFFFFF"/>
      <name val="Trebuchet MS"/>
    </font>
    <font>
      <sz val="10.0"/>
      <color rgb="FFF1C232"/>
      <name val="Trebuchet MS"/>
    </font>
    <font>
      <sz val="10.0"/>
      <color rgb="FFCCCCCC"/>
      <name val="Trebuchet MS"/>
    </font>
    <font>
      <sz val="10.0"/>
      <color rgb="FFE2811C"/>
      <name val="Trebuchet MS"/>
    </font>
    <font>
      <sz val="10.0"/>
      <color rgb="FF93C47D"/>
      <name val="Trebuchet MS"/>
    </font>
    <font>
      <sz val="10.0"/>
      <color rgb="FFE06666"/>
      <name val="Trebuchet MS"/>
    </font>
    <font>
      <sz val="11.0"/>
      <color rgb="FF000000"/>
      <name val="Inconsolata"/>
    </font>
    <font>
      <b/>
      <u/>
      <color rgb="FF0000FF"/>
      <name val="Trebuchet MS"/>
    </font>
    <font>
      <sz val="10.0"/>
      <color rgb="FF00FF00"/>
      <name val="Trebuchet MS"/>
    </font>
    <font>
      <b/>
      <sz val="10.0"/>
      <color rgb="FF00FF00"/>
      <name val="Trebuchet MS"/>
    </font>
    <font>
      <sz val="9.0"/>
      <color rgb="FFFFFFFF"/>
      <name val="Trebuchet MS"/>
    </font>
    <font>
      <color rgb="FFFFFFFF"/>
    </font>
    <font>
      <b/>
      <name val="Ubuntu"/>
    </font>
    <font>
      <name val="&quot;Trebuchet MS&quot;"/>
    </font>
    <font>
      <sz val="12.0"/>
      <name val="&quot;Bree Serif&quot;"/>
    </font>
    <font>
      <sz val="9.0"/>
      <name val="Hind"/>
    </font>
    <font>
      <color rgb="FFFFFFFF"/>
      <name val="&quot;Trebuchet MS&quot;"/>
    </font>
    <font>
      <sz val="9.0"/>
      <name val="Patua One"/>
    </font>
    <font>
      <b/>
      <color rgb="FFFFFFFF"/>
    </font>
    <font>
      <b/>
      <sz val="6.0"/>
    </font>
    <font>
      <color rgb="FF000000"/>
    </font>
    <font>
      <b/>
      <sz val="8.0"/>
      <name val="Trebuchet MS"/>
    </font>
    <font>
      <sz val="24.0"/>
      <color rgb="FF000000"/>
      <name val="Patua One"/>
    </font>
    <font>
      <sz val="18.0"/>
      <color rgb="FFFFDB43"/>
      <name val="Patua One"/>
    </font>
    <font>
      <sz val="14.0"/>
      <color rgb="FFFFDB43"/>
      <name val="Patua One"/>
    </font>
    <font>
      <b/>
      <u/>
      <sz val="10.0"/>
      <color rgb="FF0000FF"/>
      <name val="Trebuchet MS"/>
    </font>
    <font>
      <b/>
      <u/>
      <sz val="10.0"/>
      <color rgb="FF0000FF"/>
      <name val="Trebuchet MS"/>
    </font>
    <font>
      <b/>
      <sz val="12.0"/>
      <name val="Patua One"/>
    </font>
    <font>
      <b/>
      <sz val="14.0"/>
      <name val="Patua One"/>
    </font>
    <font>
      <u/>
      <color rgb="FF1155CC"/>
      <name val="Trebuchet MS"/>
    </font>
    <font>
      <color rgb="FF000000"/>
      <name val="&quot;Trebuchet MS&quot;"/>
    </font>
  </fonts>
  <fills count="109">
    <fill>
      <patternFill patternType="none"/>
    </fill>
    <fill>
      <patternFill patternType="lightGray"/>
    </fill>
    <fill>
      <patternFill patternType="solid">
        <fgColor rgb="FF121221"/>
        <bgColor rgb="FF121221"/>
      </patternFill>
    </fill>
    <fill>
      <patternFill patternType="solid">
        <fgColor rgb="FF222241"/>
        <bgColor rgb="FF222241"/>
      </patternFill>
    </fill>
    <fill>
      <patternFill patternType="solid">
        <fgColor rgb="FF759EFF"/>
        <bgColor rgb="FF759EFF"/>
      </patternFill>
    </fill>
    <fill>
      <patternFill patternType="solid">
        <fgColor rgb="FFA6BFF8"/>
        <bgColor rgb="FFA6BFF8"/>
      </patternFill>
    </fill>
    <fill>
      <patternFill patternType="solid">
        <fgColor rgb="FF97D67A"/>
        <bgColor rgb="FF97D67A"/>
      </patternFill>
    </fill>
    <fill>
      <patternFill patternType="solid">
        <fgColor rgb="FFEB3A16"/>
        <bgColor rgb="FFEB3A16"/>
      </patternFill>
    </fill>
    <fill>
      <patternFill patternType="solid">
        <fgColor rgb="FF3D85C6"/>
        <bgColor rgb="FF3D85C6"/>
      </patternFill>
    </fill>
    <fill>
      <patternFill patternType="solid">
        <fgColor rgb="FFE06FFF"/>
        <bgColor rgb="FFE06FFF"/>
      </patternFill>
    </fill>
    <fill>
      <patternFill patternType="solid">
        <fgColor rgb="FF6FA8DC"/>
        <bgColor rgb="FF6FA8DC"/>
      </patternFill>
    </fill>
    <fill>
      <patternFill patternType="solid">
        <fgColor rgb="FF8E7CC3"/>
        <bgColor rgb="FF8E7CC3"/>
      </patternFill>
    </fill>
    <fill>
      <patternFill patternType="solid">
        <fgColor rgb="FF674EA7"/>
        <bgColor rgb="FF674EA7"/>
      </patternFill>
    </fill>
    <fill>
      <patternFill patternType="solid">
        <fgColor rgb="FF351C75"/>
        <bgColor rgb="FF351C75"/>
      </patternFill>
    </fill>
    <fill>
      <patternFill patternType="solid">
        <fgColor rgb="FF4C1130"/>
        <bgColor rgb="FF4C1130"/>
      </patternFill>
    </fill>
    <fill>
      <patternFill patternType="solid">
        <fgColor rgb="FF741B47"/>
        <bgColor rgb="FF741B47"/>
      </patternFill>
    </fill>
    <fill>
      <patternFill patternType="solid">
        <fgColor rgb="FFA64D79"/>
        <bgColor rgb="FFA64D79"/>
      </patternFill>
    </fill>
    <fill>
      <patternFill patternType="solid">
        <fgColor rgb="FFC93C3C"/>
        <bgColor rgb="FFC93C3C"/>
      </patternFill>
    </fill>
    <fill>
      <patternFill patternType="solid">
        <fgColor rgb="FFFF693C"/>
        <bgColor rgb="FFFF693C"/>
      </patternFill>
    </fill>
    <fill>
      <patternFill patternType="solid">
        <fgColor rgb="FFE06666"/>
        <bgColor rgb="FFE06666"/>
      </patternFill>
    </fill>
    <fill>
      <patternFill patternType="solid">
        <fgColor rgb="FFFF4732"/>
        <bgColor rgb="FFFF4732"/>
      </patternFill>
    </fill>
    <fill>
      <patternFill patternType="solid">
        <fgColor rgb="FFF77D37"/>
        <bgColor rgb="FFF77D37"/>
      </patternFill>
    </fill>
    <fill>
      <patternFill patternType="solid">
        <fgColor rgb="FFE2811C"/>
        <bgColor rgb="FFE2811C"/>
      </patternFill>
    </fill>
    <fill>
      <patternFill patternType="solid">
        <fgColor rgb="FFE9BD24"/>
        <bgColor rgb="FFE9BD24"/>
      </patternFill>
    </fill>
    <fill>
      <patternFill patternType="solid">
        <fgColor rgb="FFE9DE24"/>
        <bgColor rgb="FFE9DE24"/>
      </patternFill>
    </fill>
    <fill>
      <patternFill patternType="solid">
        <fgColor rgb="FFC6E924"/>
        <bgColor rgb="FFC6E924"/>
      </patternFill>
    </fill>
    <fill>
      <patternFill patternType="solid">
        <fgColor rgb="FF8AE924"/>
        <bgColor rgb="FF8AE924"/>
      </patternFill>
    </fill>
    <fill>
      <patternFill patternType="solid">
        <fgColor rgb="FF24E94A"/>
        <bgColor rgb="FF24E94A"/>
      </patternFill>
    </fill>
    <fill>
      <patternFill patternType="solid">
        <fgColor rgb="FFFAD53E"/>
        <bgColor rgb="FFFAD53E"/>
      </patternFill>
    </fill>
    <fill>
      <patternFill patternType="solid">
        <fgColor rgb="FFB4E69D"/>
        <bgColor rgb="FFB4E69D"/>
      </patternFill>
    </fill>
    <fill>
      <patternFill patternType="solid">
        <fgColor rgb="FF39DD8A"/>
        <bgColor rgb="FF39DD8A"/>
      </patternFill>
    </fill>
    <fill>
      <patternFill patternType="solid">
        <fgColor rgb="FFF1AB9D"/>
        <bgColor rgb="FFF1AB9D"/>
      </patternFill>
    </fill>
    <fill>
      <patternFill patternType="solid">
        <fgColor rgb="FFFFD966"/>
        <bgColor rgb="FFFFD966"/>
      </patternFill>
    </fill>
    <fill>
      <patternFill patternType="solid">
        <fgColor rgb="FF60DFE7"/>
        <bgColor rgb="FF60DFE7"/>
      </patternFill>
    </fill>
    <fill>
      <patternFill patternType="solid">
        <fgColor rgb="FF9FC5E8"/>
        <bgColor rgb="FF9FC5E8"/>
      </patternFill>
    </fill>
    <fill>
      <patternFill patternType="solid">
        <fgColor rgb="FFF1C232"/>
        <bgColor rgb="FFF1C232"/>
      </patternFill>
    </fill>
    <fill>
      <patternFill patternType="solid">
        <fgColor rgb="FFD9D2E9"/>
        <bgColor rgb="FFD9D2E9"/>
      </patternFill>
    </fill>
    <fill>
      <patternFill patternType="solid">
        <fgColor rgb="FFFFE599"/>
        <bgColor rgb="FFFFE599"/>
      </patternFill>
    </fill>
    <fill>
      <patternFill patternType="solid">
        <fgColor rgb="FF4E7CE9"/>
        <bgColor rgb="FF4E7CE9"/>
      </patternFill>
    </fill>
    <fill>
      <patternFill patternType="solid">
        <fgColor rgb="FFD5A6BD"/>
        <bgColor rgb="FFD5A6BD"/>
      </patternFill>
    </fill>
    <fill>
      <patternFill patternType="solid">
        <fgColor rgb="FFB4A7D6"/>
        <bgColor rgb="FFB4A7D6"/>
      </patternFill>
    </fill>
    <fill>
      <patternFill patternType="solid">
        <fgColor rgb="FFDA8585"/>
        <bgColor rgb="FFDA8585"/>
      </patternFill>
    </fill>
    <fill>
      <patternFill patternType="solid">
        <fgColor rgb="FFCCCCCC"/>
        <bgColor rgb="FFCCCCCC"/>
      </patternFill>
    </fill>
    <fill>
      <patternFill patternType="solid">
        <fgColor rgb="FFF58C8C"/>
        <bgColor rgb="FFF58C8C"/>
      </patternFill>
    </fill>
    <fill>
      <patternFill patternType="solid">
        <fgColor rgb="FFE47070"/>
        <bgColor rgb="FFE47070"/>
      </patternFill>
    </fill>
    <fill>
      <patternFill patternType="solid">
        <fgColor rgb="FFB45F06"/>
        <bgColor rgb="FFB45F06"/>
      </patternFill>
    </fill>
    <fill>
      <patternFill patternType="solid">
        <fgColor rgb="FFF5B690"/>
        <bgColor rgb="FFF5B690"/>
      </patternFill>
    </fill>
    <fill>
      <patternFill patternType="solid">
        <fgColor rgb="FF9BF1F7"/>
        <bgColor rgb="FF9BF1F7"/>
      </patternFill>
    </fill>
    <fill>
      <patternFill patternType="solid">
        <fgColor rgb="FFEE9B9B"/>
        <bgColor rgb="FFEE9B9B"/>
      </patternFill>
    </fill>
    <fill>
      <patternFill patternType="solid">
        <fgColor rgb="FFEEB478"/>
        <bgColor rgb="FFEEB478"/>
      </patternFill>
    </fill>
    <fill>
      <patternFill patternType="solid">
        <fgColor rgb="FFF5DD89"/>
        <bgColor rgb="FFF5DD89"/>
      </patternFill>
    </fill>
    <fill>
      <patternFill patternType="solid">
        <fgColor rgb="FFF5F09F"/>
        <bgColor rgb="FFF5F09F"/>
      </patternFill>
    </fill>
    <fill>
      <patternFill patternType="solid">
        <fgColor rgb="FFDFF188"/>
        <bgColor rgb="FFDFF188"/>
      </patternFill>
    </fill>
    <fill>
      <patternFill patternType="solid">
        <fgColor rgb="FFC1EE91"/>
        <bgColor rgb="FFC1EE91"/>
      </patternFill>
    </fill>
    <fill>
      <patternFill patternType="solid">
        <fgColor rgb="FF9CF1AC"/>
        <bgColor rgb="FF9CF1AC"/>
      </patternFill>
    </fill>
    <fill>
      <patternFill patternType="solid">
        <fgColor rgb="FF24DCE9"/>
        <bgColor rgb="FF24DCE9"/>
      </patternFill>
    </fill>
    <fill>
      <patternFill patternType="solid">
        <fgColor rgb="FF95E5EB"/>
        <bgColor rgb="FF95E5EB"/>
      </patternFill>
    </fill>
    <fill>
      <patternFill patternType="solid">
        <fgColor rgb="FF24C1E9"/>
        <bgColor rgb="FF24C1E9"/>
      </patternFill>
    </fill>
    <fill>
      <patternFill patternType="solid">
        <fgColor rgb="FF2499E9"/>
        <bgColor rgb="FF2499E9"/>
      </patternFill>
    </fill>
    <fill>
      <patternFill patternType="solid">
        <fgColor rgb="FF88C3EB"/>
        <bgColor rgb="FF88C3EB"/>
      </patternFill>
    </fill>
    <fill>
      <patternFill patternType="solid">
        <fgColor rgb="FFA424E9"/>
        <bgColor rgb="FFA424E9"/>
      </patternFill>
    </fill>
    <fill>
      <patternFill patternType="solid">
        <fgColor rgb="FFCB89EE"/>
        <bgColor rgb="FFCB89EE"/>
      </patternFill>
    </fill>
    <fill>
      <patternFill patternType="solid">
        <fgColor rgb="FFDA24E9"/>
        <bgColor rgb="FFDA24E9"/>
      </patternFill>
    </fill>
    <fill>
      <patternFill patternType="solid">
        <fgColor rgb="FFEC92F3"/>
        <bgColor rgb="FFEC92F3"/>
      </patternFill>
    </fill>
    <fill>
      <patternFill patternType="solid">
        <fgColor rgb="FFE924A9"/>
        <bgColor rgb="FFE924A9"/>
      </patternFill>
    </fill>
    <fill>
      <patternFill patternType="solid">
        <fgColor rgb="FFF0A7D8"/>
        <bgColor rgb="FFF0A7D8"/>
      </patternFill>
    </fill>
    <fill>
      <patternFill patternType="solid">
        <fgColor rgb="FF8ED9EC"/>
        <bgColor rgb="FF8ED9EC"/>
      </patternFill>
    </fill>
    <fill>
      <patternFill patternType="solid">
        <fgColor rgb="FFFF3535"/>
        <bgColor rgb="FFFF3535"/>
      </patternFill>
    </fill>
    <fill>
      <patternFill patternType="solid">
        <fgColor rgb="FF609EFF"/>
        <bgColor rgb="FF609EFF"/>
      </patternFill>
    </fill>
    <fill>
      <patternFill patternType="solid">
        <fgColor rgb="FFFF978B"/>
        <bgColor rgb="FFFF978B"/>
      </patternFill>
    </fill>
    <fill>
      <patternFill patternType="solid">
        <fgColor rgb="FF8FECE3"/>
        <bgColor rgb="FF8FECE3"/>
      </patternFill>
    </fill>
    <fill>
      <patternFill patternType="solid">
        <fgColor rgb="FFFF9900"/>
        <bgColor rgb="FFFF9900"/>
      </patternFill>
    </fill>
    <fill>
      <patternFill patternType="solid">
        <fgColor rgb="FFFFFF00"/>
        <bgColor rgb="FFFFFF00"/>
      </patternFill>
    </fill>
    <fill>
      <patternFill patternType="solid">
        <fgColor rgb="FF5A73F8"/>
        <bgColor rgb="FF5A73F8"/>
      </patternFill>
    </fill>
    <fill>
      <patternFill patternType="solid">
        <fgColor rgb="FFE89AFD"/>
        <bgColor rgb="FFE89AFD"/>
      </patternFill>
    </fill>
    <fill>
      <patternFill patternType="solid">
        <fgColor rgb="FFFF997B"/>
        <bgColor rgb="FFFF997B"/>
      </patternFill>
    </fill>
    <fill>
      <patternFill patternType="solid">
        <fgColor rgb="FF9AA6EB"/>
        <bgColor rgb="FF9AA6EB"/>
      </patternFill>
    </fill>
    <fill>
      <patternFill patternType="solid">
        <fgColor rgb="FF434343"/>
        <bgColor rgb="FF434343"/>
      </patternFill>
    </fill>
    <fill>
      <patternFill patternType="solid">
        <fgColor rgb="FFFFFFFF"/>
        <bgColor rgb="FFFFFFFF"/>
      </patternFill>
    </fill>
    <fill>
      <patternFill patternType="solid">
        <fgColor rgb="FFA0EBD1"/>
        <bgColor rgb="FFA0EBD1"/>
      </patternFill>
    </fill>
    <fill>
      <patternFill patternType="solid">
        <fgColor rgb="FFFF0000"/>
        <bgColor rgb="FFFF0000"/>
      </patternFill>
    </fill>
    <fill>
      <patternFill patternType="solid">
        <fgColor rgb="FF00FF00"/>
        <bgColor rgb="FF00FF00"/>
      </patternFill>
    </fill>
    <fill>
      <patternFill patternType="solid">
        <fgColor rgb="FF00FFFF"/>
        <bgColor rgb="FF00FFFF"/>
      </patternFill>
    </fill>
    <fill>
      <patternFill patternType="solid">
        <fgColor rgb="FFEFEFEF"/>
        <bgColor rgb="FFEFEFEF"/>
      </patternFill>
    </fill>
    <fill>
      <patternFill patternType="solid">
        <fgColor rgb="FF88D668"/>
        <bgColor rgb="FF88D668"/>
      </patternFill>
    </fill>
    <fill>
      <patternFill patternType="solid">
        <fgColor rgb="FFA2549A"/>
        <bgColor rgb="FFA2549A"/>
      </patternFill>
    </fill>
    <fill>
      <patternFill patternType="solid">
        <fgColor rgb="FFC6482F"/>
        <bgColor rgb="FFC6482F"/>
      </patternFill>
    </fill>
    <fill>
      <patternFill patternType="solid">
        <fgColor rgb="FFF7D4D1"/>
        <bgColor rgb="FFF7D4D1"/>
      </patternFill>
    </fill>
    <fill>
      <patternFill patternType="solid">
        <fgColor rgb="FF87B1F0"/>
        <bgColor rgb="FF87B1F0"/>
      </patternFill>
    </fill>
    <fill>
      <patternFill patternType="solid">
        <fgColor rgb="FF5843AD"/>
        <bgColor rgb="FF5843AD"/>
      </patternFill>
    </fill>
    <fill>
      <patternFill patternType="solid">
        <fgColor rgb="FF1C4587"/>
        <bgColor rgb="FF1C4587"/>
      </patternFill>
    </fill>
    <fill>
      <patternFill patternType="solid">
        <fgColor rgb="FF660000"/>
        <bgColor rgb="FF660000"/>
      </patternFill>
    </fill>
    <fill>
      <patternFill patternType="solid">
        <fgColor rgb="FF61F5FF"/>
        <bgColor rgb="FF61F5FF"/>
      </patternFill>
    </fill>
    <fill>
      <patternFill patternType="solid">
        <fgColor rgb="FFF55151"/>
        <bgColor rgb="FFF55151"/>
      </patternFill>
    </fill>
    <fill>
      <patternFill patternType="solid">
        <fgColor rgb="FF657BFF"/>
        <bgColor rgb="FF657BFF"/>
      </patternFill>
    </fill>
    <fill>
      <patternFill patternType="solid">
        <fgColor rgb="FFEB4343"/>
        <bgColor rgb="FFEB4343"/>
      </patternFill>
    </fill>
    <fill>
      <patternFill patternType="solid">
        <fgColor rgb="FF48A4F4"/>
        <bgColor rgb="FF48A4F4"/>
      </patternFill>
    </fill>
    <fill>
      <patternFill patternType="solid">
        <fgColor rgb="FFB7CF51"/>
        <bgColor rgb="FFB7CF51"/>
      </patternFill>
    </fill>
    <fill>
      <patternFill patternType="solid">
        <fgColor rgb="FFB6B4A8"/>
        <bgColor rgb="FFB6B4A8"/>
      </patternFill>
    </fill>
    <fill>
      <patternFill patternType="solid">
        <fgColor rgb="FF908888"/>
        <bgColor rgb="FF908888"/>
      </patternFill>
    </fill>
    <fill>
      <patternFill patternType="solid">
        <fgColor rgb="FFF6D867"/>
        <bgColor rgb="FFF6D867"/>
      </patternFill>
    </fill>
    <fill>
      <patternFill patternType="solid">
        <fgColor rgb="FFE550A3"/>
        <bgColor rgb="FFE550A3"/>
      </patternFill>
    </fill>
    <fill>
      <patternFill patternType="solid">
        <fgColor rgb="FFD8C16A"/>
        <bgColor rgb="FFD8C16A"/>
      </patternFill>
    </fill>
    <fill>
      <patternFill patternType="solid">
        <fgColor rgb="FF7BDCF2"/>
        <bgColor rgb="FF7BDCF2"/>
      </patternFill>
    </fill>
    <fill>
      <patternFill patternType="solid">
        <fgColor rgb="FFB7B6C5"/>
        <bgColor rgb="FFB7B6C5"/>
      </patternFill>
    </fill>
    <fill>
      <patternFill patternType="solid">
        <fgColor rgb="FFDA9CDD"/>
        <bgColor rgb="FFDA9CDD"/>
      </patternFill>
    </fill>
    <fill>
      <patternFill patternType="solid">
        <fgColor rgb="FF87403B"/>
        <bgColor rgb="FF87403B"/>
      </patternFill>
    </fill>
    <fill>
      <patternFill patternType="solid">
        <fgColor rgb="FFBFB378"/>
        <bgColor rgb="FFBFB378"/>
      </patternFill>
    </fill>
    <fill>
      <patternFill patternType="solid">
        <fgColor rgb="FF7771BF"/>
        <bgColor rgb="FF7771BF"/>
      </patternFill>
    </fill>
  </fills>
  <borders count="128">
    <border/>
    <border>
      <left style="medium">
        <color rgb="FF363663"/>
      </left>
      <top style="medium">
        <color rgb="FF363663"/>
      </top>
    </border>
    <border>
      <left style="medium">
        <color rgb="FFC27BA0"/>
      </left>
      <top style="medium">
        <color rgb="FFC27BA0"/>
      </top>
    </border>
    <border>
      <top style="medium">
        <color rgb="FFC27BA0"/>
      </top>
    </border>
    <border>
      <top style="medium">
        <color rgb="FF363663"/>
      </top>
    </border>
    <border>
      <left style="medium">
        <color rgb="FFC27BA0"/>
      </left>
    </border>
    <border>
      <right style="medium">
        <color rgb="FF363663"/>
      </right>
      <top style="medium">
        <color rgb="FF363663"/>
      </top>
    </border>
    <border>
      <left style="medium">
        <color rgb="FF363663"/>
      </lef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363663"/>
      </right>
    </border>
    <border>
      <left style="medium">
        <color rgb="FF000000"/>
      </left>
      <right style="medium">
        <color rgb="FF000000"/>
      </right>
      <top style="medium">
        <color rgb="FF000000"/>
      </top>
    </border>
    <border>
      <left style="medium">
        <color rgb="FF363663"/>
      </left>
      <right style="medium">
        <color rgb="FF363663"/>
      </right>
      <top style="medium">
        <color rgb="FF363663"/>
      </top>
      <bottom style="medium">
        <color rgb="FF363663"/>
      </bottom>
    </border>
    <border>
      <left style="medium">
        <color rgb="FF363663"/>
      </left>
      <top style="medium">
        <color rgb="FF363663"/>
      </top>
      <bottom style="medium">
        <color rgb="FF363663"/>
      </bottom>
    </border>
    <border>
      <top style="medium">
        <color rgb="FF363663"/>
      </top>
      <bottom style="medium">
        <color rgb="FF363663"/>
      </bottom>
    </border>
    <border>
      <left style="medium">
        <color rgb="FF363663"/>
      </left>
      <right style="medium">
        <color rgb="FF363663"/>
      </right>
    </border>
    <border>
      <left style="medium">
        <color rgb="FF000000"/>
      </left>
      <right style="medium">
        <color rgb="FF000000"/>
      </right>
    </border>
    <border>
      <left style="medium">
        <color rgb="FF000000"/>
      </left>
      <top style="medium">
        <color rgb="FF000000"/>
      </top>
    </border>
    <border>
      <left style="medium">
        <color rgb="FF363663"/>
      </left>
      <right style="medium">
        <color rgb="FF000000"/>
      </right>
      <top style="medium">
        <color rgb="FF000000"/>
      </top>
    </border>
    <border>
      <left style="medium">
        <color rgb="FF000000"/>
      </left>
      <top style="thin">
        <color rgb="FF363663"/>
      </top>
      <bottom style="thin">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style="thin">
        <color rgb="FF000000"/>
      </left>
      <top style="thin">
        <color rgb="FF363663"/>
      </top>
      <bottom style="thin">
        <color rgb="FF000000"/>
      </bottom>
    </border>
    <border>
      <left style="medium">
        <color rgb="FF363663"/>
      </left>
      <right style="medium">
        <color rgb="FF000000"/>
      </right>
      <top style="thin">
        <color rgb="FF000000"/>
      </top>
    </border>
    <border>
      <left style="medium">
        <color rgb="FF363663"/>
      </left>
      <bottom style="medium">
        <color rgb="FF363663"/>
      </bottom>
    </border>
    <border>
      <left style="medium">
        <color rgb="FF363663"/>
      </left>
      <right style="medium">
        <color rgb="FF363663"/>
      </right>
      <top style="medium">
        <color rgb="FF363663"/>
      </top>
    </border>
    <border>
      <top style="medium">
        <color rgb="FF000000"/>
      </top>
    </border>
    <border>
      <bottom style="medium">
        <color rgb="FF363663"/>
      </bottom>
    </border>
    <border>
      <left style="medium">
        <color rgb="FF000000"/>
      </left>
      <right style="medium">
        <color rgb="FF000000"/>
      </right>
      <top style="thin">
        <color rgb="FF000000"/>
      </top>
    </border>
    <border>
      <right style="medium">
        <color rgb="FF363663"/>
      </right>
      <bottom style="medium">
        <color rgb="FF363663"/>
      </bottom>
    </border>
    <border>
      <left style="medium">
        <color rgb="FF000000"/>
      </left>
      <top style="thin">
        <color rgb="FF000000"/>
      </top>
    </border>
    <border>
      <right style="medium">
        <color rgb="FF000000"/>
      </right>
      <top style="medium">
        <color rgb="FF000000"/>
      </top>
    </border>
    <border>
      <left style="medium">
        <color rgb="FF000000"/>
      </left>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363663"/>
      </left>
      <right style="medium">
        <color rgb="FF363663"/>
      </right>
      <bottom style="medium">
        <color rgb="FF363663"/>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medium">
        <color rgb="FF000000"/>
      </right>
      <top style="thin">
        <color rgb="FF000000"/>
      </top>
      <bottom style="thin">
        <color rgb="FF000000"/>
      </bottom>
    </border>
    <border>
      <top style="thin">
        <color rgb="FF000000"/>
      </top>
    </border>
    <border>
      <right style="medium">
        <color rgb="FF000000"/>
      </right>
      <top style="thin">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style="medium">
        <color rgb="FF000000"/>
      </top>
    </border>
    <border>
      <right style="thin">
        <color rgb="FF000000"/>
      </right>
      <top style="thin">
        <color rgb="FF000000"/>
      </top>
      <bottom style="medium">
        <color rgb="FF000000"/>
      </bottom>
    </border>
    <border>
      <top style="thin">
        <color rgb="FF000000"/>
      </top>
      <bottom style="medium">
        <color rgb="FF000000"/>
      </bottom>
    </border>
    <border>
      <left style="thin">
        <color rgb="FF000000"/>
      </left>
      <right style="thin">
        <color rgb="FF000000"/>
      </right>
      <top style="medium">
        <color rgb="FF000000"/>
      </top>
    </border>
    <border>
      <left style="thin">
        <color rgb="FF000000"/>
      </left>
      <right style="medium">
        <color rgb="FF000000"/>
      </right>
      <top style="thin">
        <color rgb="FF000000"/>
      </top>
      <bottom style="medium">
        <color rgb="FF000000"/>
      </bottom>
    </border>
    <border>
      <left style="thin">
        <color rgb="FF000000"/>
      </left>
      <top style="thin">
        <color rgb="FF000000"/>
      </top>
    </border>
    <border>
      <right style="thin">
        <color rgb="FF000000"/>
      </right>
      <top style="thin">
        <color rgb="FF000000"/>
      </top>
    </border>
    <border>
      <right style="thin">
        <color rgb="FF000000"/>
      </right>
      <top style="medium">
        <color rgb="FF000000"/>
      </top>
    </border>
    <border>
      <left style="thin">
        <color rgb="FF000000"/>
      </left>
      <right style="medium">
        <color rgb="FF000000"/>
      </right>
      <top style="medium">
        <color rgb="FF000000"/>
      </top>
    </border>
    <border>
      <left style="thin">
        <color rgb="FF000000"/>
      </left>
      <top style="medium">
        <color rgb="FF000000"/>
      </top>
    </border>
    <border>
      <left style="medium">
        <color rgb="FF000000"/>
      </left>
      <right style="thin">
        <color rgb="FF000000"/>
      </right>
    </border>
    <border>
      <left style="thin">
        <color rgb="FF000000"/>
      </left>
      <right style="thin">
        <color rgb="FF000000"/>
      </right>
    </border>
    <border>
      <left style="thin">
        <color rgb="FF000000"/>
      </left>
    </border>
    <border>
      <right style="thin">
        <color rgb="FF000000"/>
      </right>
    </border>
    <border>
      <left style="thin">
        <color rgb="FF000000"/>
      </left>
      <right style="medium">
        <color rgb="FF000000"/>
      </right>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121221"/>
      </right>
    </border>
    <border>
      <left style="medium">
        <color rgb="FF000000"/>
      </left>
      <right style="thin">
        <color rgb="FF000000"/>
      </right>
      <top style="medium">
        <color rgb="FF000000"/>
      </top>
      <bottom style="medium">
        <color rgb="FF000000"/>
      </bottom>
    </border>
    <border>
      <right style="thin">
        <color rgb="FF222241"/>
      </right>
    </border>
    <border>
      <left style="thin">
        <color rgb="FF000000"/>
      </left>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n">
        <color rgb="FF000000"/>
      </right>
      <top style="medium">
        <color rgb="FF000000"/>
      </top>
      <bottom style="thin">
        <color rgb="FF000000"/>
      </bottom>
    </border>
    <border>
      <right style="medium">
        <color rgb="FF222241"/>
      </right>
    </border>
    <border>
      <left style="medium">
        <color rgb="FF000000"/>
      </left>
      <right style="thin">
        <color rgb="FF000000"/>
      </right>
      <top style="medium">
        <color rgb="FF000000"/>
      </top>
      <bottom style="thin">
        <color rgb="FF000000"/>
      </bottom>
    </border>
    <border>
      <left style="thin">
        <color rgb="FF000000"/>
      </left>
      <top style="thin">
        <color rgb="FF000000"/>
      </top>
      <bottom style="medium">
        <color rgb="FF000000"/>
      </bottom>
    </border>
    <border>
      <right style="medium">
        <color rgb="FF222241"/>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medium">
        <color rgb="FF000000"/>
      </right>
      <top style="medium">
        <color rgb="FF000000"/>
      </top>
      <bottom style="thin">
        <color rgb="FF000000"/>
      </bottom>
    </border>
    <border>
      <left style="medium">
        <color rgb="FF000000"/>
      </left>
      <right style="medium">
        <color rgb="FF000000"/>
      </right>
      <bottom style="medium">
        <color rgb="FF000000"/>
      </bottom>
    </border>
    <border>
      <left style="thin">
        <color rgb="FF000000"/>
      </left>
      <right style="medium">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bottom style="thin">
        <color rgb="FF000000"/>
      </bottom>
    </border>
    <border>
      <right style="medium">
        <color rgb="FFE06666"/>
      </right>
      <top style="medium">
        <color rgb="FFE06666"/>
      </top>
    </border>
    <border>
      <top style="medium">
        <color rgb="FFF1C232"/>
      </top>
    </border>
    <border>
      <right style="medium">
        <color rgb="FFF1C232"/>
      </right>
      <top style="medium">
        <color rgb="FFF1C232"/>
      </top>
    </border>
    <border>
      <bottom style="medium">
        <color rgb="FFF1C232"/>
      </bottom>
    </border>
    <border>
      <right style="medium">
        <color rgb="FFE06666"/>
      </right>
    </border>
    <border>
      <right style="medium">
        <color rgb="FFF1C232"/>
      </right>
    </border>
    <border>
      <top style="medium">
        <color rgb="FFE06666"/>
      </top>
    </border>
    <border>
      <left style="medium">
        <color rgb="FFE06666"/>
      </left>
    </border>
    <border>
      <top style="medium">
        <color rgb="FFE9BD24"/>
      </top>
    </border>
    <border>
      <right style="medium">
        <color rgb="FFF1C232"/>
      </right>
      <top style="medium">
        <color rgb="FFE06666"/>
      </top>
    </border>
    <border>
      <left style="medium">
        <color rgb="FFE06666"/>
      </left>
      <top style="medium">
        <color rgb="FFE06666"/>
      </top>
    </border>
    <border>
      <right style="medium">
        <color rgb="FFF1C232"/>
      </right>
      <bottom style="medium">
        <color rgb="FFF1C232"/>
      </bottom>
    </border>
    <border>
      <left style="medium">
        <color rgb="FFE06666"/>
      </left>
      <bottom style="medium">
        <color rgb="FFE06666"/>
      </bottom>
    </border>
    <border>
      <right style="medium">
        <color rgb="FFF1C232"/>
      </right>
      <bottom style="medium">
        <color rgb="FFE06666"/>
      </bottom>
    </border>
    <border>
      <bottom style="medium">
        <color rgb="FFE06666"/>
      </bottom>
    </border>
    <border>
      <right style="medium">
        <color rgb="FFE06666"/>
      </right>
      <bottom style="medium">
        <color rgb="FFE06666"/>
      </bottom>
    </border>
    <border>
      <top style="medium">
        <color rgb="FFE2811C"/>
      </top>
    </border>
    <border>
      <left style="thin">
        <color rgb="FF000000"/>
      </left>
      <top style="medium">
        <color rgb="FF000000"/>
      </top>
      <bottom style="thin">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medium">
        <color rgb="FF222241"/>
      </left>
      <top style="medium">
        <color rgb="FF222241"/>
      </top>
      <bottom style="medium">
        <color rgb="FF222241"/>
      </bottom>
    </border>
    <border>
      <top style="medium">
        <color rgb="FF222241"/>
      </top>
      <bottom style="medium">
        <color rgb="FF222241"/>
      </bottom>
    </border>
    <border>
      <right style="medium">
        <color rgb="FF222241"/>
      </right>
      <top style="medium">
        <color rgb="FF222241"/>
      </top>
      <bottom style="medium">
        <color rgb="FF222241"/>
      </bottom>
    </border>
    <border>
      <left style="medium">
        <color rgb="FF222241"/>
      </left>
      <top style="medium">
        <color rgb="FF222241"/>
      </top>
    </border>
    <border>
      <top style="medium">
        <color rgb="FF222241"/>
      </top>
    </border>
    <border>
      <right style="medium">
        <color rgb="FF222241"/>
      </right>
      <top style="medium">
        <color rgb="FF222241"/>
      </top>
    </border>
    <border>
      <left style="medium">
        <color rgb="FF222241"/>
      </left>
    </border>
    <border>
      <left style="medium">
        <color rgb="FF222241"/>
      </left>
      <bottom style="medium">
        <color rgb="FF222241"/>
      </bottom>
    </border>
    <border>
      <bottom style="medium">
        <color rgb="FF222241"/>
      </bottom>
    </border>
    <border>
      <right style="medium">
        <color rgb="FF222241"/>
      </right>
      <bottom style="medium">
        <color rgb="FF222241"/>
      </bottom>
    </border>
  </borders>
  <cellStyleXfs count="1">
    <xf borderId="0" fillId="0" fontId="0" numFmtId="0" applyAlignment="1" applyFont="1"/>
  </cellStyleXfs>
  <cellXfs count="125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1" numFmtId="0" xfId="0" applyAlignment="1" applyFill="1" applyFont="1">
      <alignment horizontal="center" shrinkToFit="0" vertical="center" wrapText="0"/>
    </xf>
    <xf borderId="0" fillId="2" fontId="2" numFmtId="0" xfId="0" applyAlignment="1" applyFill="1" applyFont="1">
      <alignment horizontal="center" shrinkToFit="0" vertical="center" wrapText="0"/>
    </xf>
    <xf borderId="1" fillId="3" fontId="3" numFmtId="0" xfId="0" applyAlignment="1" applyBorder="1" applyFill="1" applyFont="1">
      <alignment horizontal="center" vertical="center"/>
    </xf>
    <xf borderId="0" fillId="2" fontId="4" numFmtId="0" xfId="0" applyAlignment="1" applyFill="1" applyFont="1">
      <alignment horizontal="center" readingOrder="0" vertical="center"/>
    </xf>
    <xf borderId="2" fillId="2" fontId="0" numFmtId="0" xfId="0" applyAlignment="1" applyBorder="1" applyFill="1" applyFont="1">
      <alignment horizontal="center" readingOrder="0" shrinkToFit="0" vertical="center" wrapText="0"/>
    </xf>
    <xf borderId="0" fillId="2" fontId="5" numFmtId="0" xfId="0" applyAlignment="1" applyFill="1" applyFont="1">
      <alignment horizontal="center" readingOrder="0" shrinkToFit="0" vertical="center" wrapText="0"/>
    </xf>
    <xf borderId="3" fillId="2" fontId="0" numFmtId="0" xfId="0" applyAlignment="1" applyBorder="1" applyFill="1" applyFont="1">
      <alignment horizontal="center" readingOrder="0" shrinkToFit="0" vertical="center" wrapText="0"/>
    </xf>
    <xf borderId="0" fillId="2" fontId="4" numFmtId="0" xfId="0" applyAlignment="1" applyFill="1" applyFont="1">
      <alignment horizontal="left" readingOrder="0" vertical="center"/>
    </xf>
    <xf borderId="0" fillId="2" fontId="5" numFmtId="0" xfId="0" applyAlignment="1" applyFill="1" applyFont="1">
      <alignment horizontal="center" shrinkToFit="0" vertical="center" wrapText="0"/>
    </xf>
    <xf borderId="3" fillId="2" fontId="0" numFmtId="0" xfId="0" applyAlignment="1" applyBorder="1" applyFill="1" applyFont="1">
      <alignment horizontal="center" readingOrder="0" shrinkToFit="0" vertical="center" wrapText="1"/>
    </xf>
    <xf borderId="1" fillId="3" fontId="5" numFmtId="0" xfId="0" applyAlignment="1" applyBorder="1" applyFill="1" applyFont="1">
      <alignment horizontal="center" shrinkToFit="0" vertical="center" wrapText="0"/>
    </xf>
    <xf borderId="0" fillId="2" fontId="0" numFmtId="0" xfId="0" applyAlignment="1" applyFill="1" applyFont="1">
      <alignment horizontal="center" readingOrder="0" shrinkToFit="0" vertical="center" wrapText="0"/>
    </xf>
    <xf borderId="4" fillId="3" fontId="5" numFmtId="0" xfId="0" applyAlignment="1" applyBorder="1" applyFill="1" applyFont="1">
      <alignment horizontal="center" shrinkToFit="0" vertical="center" wrapText="0"/>
    </xf>
    <xf borderId="5" fillId="2" fontId="0" numFmtId="0" xfId="0" applyAlignment="1" applyBorder="1" applyFill="1" applyFont="1">
      <alignment horizontal="center" readingOrder="0" shrinkToFit="0" vertical="center" wrapText="0"/>
    </xf>
    <xf borderId="0" fillId="2" fontId="2" numFmtId="0" xfId="0" applyAlignment="1" applyFill="1" applyFont="1">
      <alignment horizontal="center" vertical="center"/>
    </xf>
    <xf borderId="0" fillId="2" fontId="6" numFmtId="0" xfId="0" applyAlignment="1" applyFill="1" applyFont="1">
      <alignment horizontal="center" vertical="center"/>
    </xf>
    <xf borderId="6" fillId="3" fontId="5" numFmtId="0" xfId="0" applyAlignment="1" applyBorder="1" applyFill="1" applyFont="1">
      <alignment horizontal="center" shrinkToFit="0" vertical="center" wrapText="0"/>
    </xf>
    <xf borderId="0" fillId="2" fontId="6" numFmtId="0" xfId="0" applyAlignment="1" applyFill="1" applyFont="1">
      <alignment horizontal="left" vertical="center"/>
    </xf>
    <xf borderId="1" fillId="3" fontId="0" numFmtId="0" xfId="0" applyAlignment="1" applyBorder="1" applyFill="1" applyFont="1">
      <alignment horizontal="center" readingOrder="0" shrinkToFit="0" vertical="center" wrapText="0"/>
    </xf>
    <xf borderId="7" fillId="3" fontId="5" numFmtId="0" xfId="0" applyAlignment="1" applyBorder="1" applyFill="1" applyFont="1">
      <alignment horizontal="center" shrinkToFit="0" vertical="center" wrapText="0"/>
    </xf>
    <xf borderId="4" fillId="3" fontId="0" numFmtId="0" xfId="0" applyAlignment="1" applyBorder="1" applyFill="1" applyFont="1">
      <alignment horizontal="center" readingOrder="0" shrinkToFit="0" vertical="center" wrapText="0"/>
    </xf>
    <xf borderId="4" fillId="3" fontId="0" numFmtId="0" xfId="0" applyAlignment="1" applyBorder="1" applyFill="1" applyFont="1">
      <alignment horizontal="center" readingOrder="0" shrinkToFit="0" vertical="center" wrapText="1"/>
    </xf>
    <xf borderId="0" fillId="2" fontId="7" numFmtId="0" xfId="0" applyAlignment="1" applyFill="1" applyFont="1">
      <alignment horizontal="center" vertical="center"/>
    </xf>
    <xf borderId="6" fillId="3" fontId="0" numFmtId="0" xfId="0" applyAlignment="1" applyBorder="1" applyFill="1" applyFont="1">
      <alignment horizontal="center" readingOrder="0" shrinkToFit="0" vertical="center" wrapText="0"/>
    </xf>
    <xf borderId="0" fillId="2" fontId="7" numFmtId="0" xfId="0" applyAlignment="1" applyFill="1" applyFont="1">
      <alignment horizontal="left" vertical="center"/>
    </xf>
    <xf borderId="8" fillId="4" fontId="8" numFmtId="3" xfId="0" applyAlignment="1" applyBorder="1" applyFill="1" applyFont="1" applyNumberFormat="1">
      <alignment horizontal="center" readingOrder="0" shrinkToFit="0" vertical="center" wrapText="0"/>
    </xf>
    <xf borderId="7" fillId="3" fontId="0" numFmtId="0" xfId="0" applyAlignment="1" applyBorder="1" applyFill="1" applyFont="1">
      <alignment horizontal="center" readingOrder="0" shrinkToFit="0" vertical="center" wrapText="0"/>
    </xf>
    <xf borderId="9" fillId="0" fontId="9" numFmtId="0" xfId="0" applyBorder="1" applyFont="1"/>
    <xf borderId="4" fillId="3" fontId="4" numFmtId="0" xfId="0" applyAlignment="1" applyBorder="1" applyFill="1" applyFont="1">
      <alignment horizontal="center" vertical="center"/>
    </xf>
    <xf borderId="10" fillId="0" fontId="9" numFmtId="0" xfId="0" applyBorder="1" applyFont="1"/>
    <xf borderId="11" fillId="3" fontId="5" numFmtId="0" xfId="0" applyAlignment="1" applyBorder="1" applyFill="1" applyFont="1">
      <alignment horizontal="center" shrinkToFit="0" vertical="center" wrapText="0"/>
    </xf>
    <xf borderId="0" fillId="2" fontId="10" numFmtId="0" xfId="0" applyAlignment="1" applyFill="1" applyFont="1">
      <alignment horizontal="center" vertical="center"/>
    </xf>
    <xf borderId="4" fillId="3" fontId="3" numFmtId="0" xfId="0" applyAlignment="1" applyBorder="1" applyFill="1" applyFont="1">
      <alignment horizontal="center" vertical="center"/>
    </xf>
    <xf borderId="0" fillId="2" fontId="10" numFmtId="0" xfId="0" applyFill="1" applyFont="1"/>
    <xf borderId="12" fillId="4" fontId="8" numFmtId="3" xfId="0" applyAlignment="1" applyBorder="1" applyFill="1" applyFont="1" applyNumberFormat="1">
      <alignment horizontal="center" readingOrder="0" shrinkToFit="0" vertical="center" wrapText="0"/>
    </xf>
    <xf borderId="6" fillId="3" fontId="3" numFmtId="0" xfId="0" applyAlignment="1" applyBorder="1" applyFill="1" applyFont="1">
      <alignment horizontal="center" vertical="center"/>
    </xf>
    <xf borderId="0" fillId="2" fontId="1" numFmtId="0" xfId="0" applyAlignment="1" applyFill="1" applyFont="1">
      <alignment vertical="center"/>
    </xf>
    <xf borderId="7" fillId="3" fontId="3" numFmtId="0" xfId="0" applyAlignment="1" applyBorder="1" applyFill="1" applyFont="1">
      <alignment horizontal="center" vertical="center"/>
    </xf>
    <xf borderId="13" fillId="2" fontId="11" numFmtId="0" xfId="0" applyAlignment="1" applyBorder="1" applyFill="1" applyFont="1">
      <alignment horizontal="center" readingOrder="0" shrinkToFit="0" vertical="center" wrapText="1"/>
    </xf>
    <xf borderId="0" fillId="3" fontId="4" numFmtId="0" xfId="0" applyAlignment="1" applyFill="1" applyFont="1">
      <alignment horizontal="center" readingOrder="0" vertical="center"/>
    </xf>
    <xf borderId="0" fillId="3" fontId="3" numFmtId="0" xfId="0" applyAlignment="1" applyFill="1" applyFont="1">
      <alignment horizontal="center" vertical="center"/>
    </xf>
    <xf borderId="14" fillId="2" fontId="12" numFmtId="0" xfId="0" applyAlignment="1" applyBorder="1" applyFill="1" applyFont="1">
      <alignment horizontal="center" readingOrder="0" shrinkToFit="0" vertical="center" wrapText="0"/>
    </xf>
    <xf borderId="0" fillId="3" fontId="4" numFmtId="0" xfId="0" applyAlignment="1" applyFill="1" applyFont="1">
      <alignment horizontal="left" readingOrder="0" vertical="center"/>
    </xf>
    <xf borderId="15" fillId="0" fontId="9" numFmtId="0" xfId="0" applyBorder="1" applyFont="1"/>
    <xf borderId="15" fillId="2" fontId="13" numFmtId="0" xfId="0" applyAlignment="1" applyBorder="1" applyFill="1" applyFont="1">
      <alignment horizontal="center" readingOrder="0" shrinkToFit="0" vertical="center" wrapText="1"/>
    </xf>
    <xf borderId="0" fillId="3" fontId="2" numFmtId="0" xfId="0" applyAlignment="1" applyFill="1" applyFont="1">
      <alignment horizontal="center" vertical="center"/>
    </xf>
    <xf borderId="12" fillId="5" fontId="14" numFmtId="0" xfId="0" applyAlignment="1" applyBorder="1" applyFill="1" applyFont="1">
      <alignment horizontal="center" vertical="center"/>
    </xf>
    <xf borderId="0" fillId="3" fontId="6" numFmtId="0" xfId="0" applyAlignment="1" applyFill="1" applyFont="1">
      <alignment horizontal="center" vertical="center"/>
    </xf>
    <xf borderId="15" fillId="2" fontId="12" numFmtId="0" xfId="0" applyAlignment="1" applyBorder="1" applyFill="1" applyFont="1">
      <alignment horizontal="center" readingOrder="0" shrinkToFit="0" vertical="center" wrapText="0"/>
    </xf>
    <xf borderId="0" fillId="3" fontId="6" numFmtId="0" xfId="0" applyAlignment="1" applyFill="1" applyFont="1">
      <alignment horizontal="left" vertical="center"/>
    </xf>
    <xf borderId="16" fillId="3" fontId="12" numFmtId="0" xfId="0" applyAlignment="1" applyBorder="1" applyFill="1" applyFont="1">
      <alignment horizontal="center" readingOrder="0" shrinkToFit="0" vertical="center" wrapText="0"/>
    </xf>
    <xf borderId="0" fillId="3" fontId="7" numFmtId="0" xfId="0" applyAlignment="1" applyFill="1" applyFont="1">
      <alignment horizontal="center" vertical="center"/>
    </xf>
    <xf borderId="0" fillId="3" fontId="7" numFmtId="0" xfId="0" applyAlignment="1" applyFill="1" applyFont="1">
      <alignment horizontal="left" vertical="center"/>
    </xf>
    <xf borderId="17" fillId="6" fontId="15" numFmtId="164" xfId="0" applyAlignment="1" applyBorder="1" applyFill="1" applyFont="1" applyNumberFormat="1">
      <alignment horizontal="center" readingOrder="0" shrinkToFit="0" vertical="center" wrapText="0"/>
    </xf>
    <xf borderId="18" fillId="5" fontId="14" numFmtId="0" xfId="0" applyAlignment="1" applyBorder="1" applyFill="1" applyFont="1">
      <alignment horizontal="center" vertical="center"/>
    </xf>
    <xf borderId="0" fillId="3" fontId="10" numFmtId="0" xfId="0" applyAlignment="1" applyFill="1" applyFont="1">
      <alignment horizontal="center" vertical="center"/>
    </xf>
    <xf borderId="0" fillId="3" fontId="10" numFmtId="0" xfId="0" applyFill="1" applyFont="1"/>
    <xf borderId="0" fillId="3" fontId="0" numFmtId="0" xfId="0" applyAlignment="1" applyFill="1" applyFont="1">
      <alignment horizontal="center" readingOrder="0" shrinkToFit="0" vertical="center" wrapText="0"/>
    </xf>
    <xf borderId="19" fillId="5" fontId="16" numFmtId="0" xfId="0" applyAlignment="1" applyBorder="1" applyFill="1" applyFont="1">
      <alignment horizontal="center" vertical="center"/>
    </xf>
    <xf borderId="11" fillId="3" fontId="3" numFmtId="0" xfId="0" applyAlignment="1" applyBorder="1" applyFill="1" applyFont="1">
      <alignment horizontal="center" vertical="center"/>
    </xf>
    <xf borderId="0" fillId="3" fontId="0" numFmtId="0" xfId="0" applyAlignment="1" applyFill="1" applyFont="1">
      <alignment horizontal="center" readingOrder="0" shrinkToFit="0" vertical="center" wrapText="1"/>
    </xf>
    <xf borderId="0" fillId="2" fontId="17" numFmtId="0" xfId="0" applyAlignment="1" applyFill="1" applyFont="1">
      <alignment horizontal="center" readingOrder="0" vertical="center"/>
    </xf>
    <xf borderId="11" fillId="3" fontId="0" numFmtId="0" xfId="0" applyAlignment="1" applyBorder="1" applyFill="1" applyFont="1">
      <alignment horizontal="center" readingOrder="0" shrinkToFit="0" vertical="center" wrapText="0"/>
    </xf>
    <xf borderId="0" fillId="3" fontId="17" numFmtId="0" xfId="0" applyAlignment="1" applyFill="1" applyFont="1">
      <alignment horizontal="center" readingOrder="0" vertical="center"/>
    </xf>
    <xf borderId="13" fillId="2" fontId="18" numFmtId="0" xfId="0" applyAlignment="1" applyBorder="1" applyFill="1" applyFont="1">
      <alignment horizontal="center" readingOrder="0" vertical="center"/>
    </xf>
    <xf borderId="0" fillId="7" fontId="17" numFmtId="0" xfId="0" applyAlignment="1" applyFill="1" applyFont="1">
      <alignment horizontal="center" readingOrder="0" vertical="center"/>
    </xf>
    <xf borderId="20" fillId="6" fontId="19" numFmtId="164" xfId="0" applyAlignment="1" applyBorder="1" applyFill="1" applyFont="1" applyNumberFormat="1">
      <alignment horizontal="left" readingOrder="0" shrinkToFit="0" vertical="center" wrapText="0"/>
    </xf>
    <xf borderId="0" fillId="8" fontId="17" numFmtId="0" xfId="0" applyAlignment="1" applyFill="1" applyFont="1">
      <alignment horizontal="center" readingOrder="0" vertical="center"/>
    </xf>
    <xf borderId="21" fillId="5" fontId="14" numFmtId="0" xfId="0" applyAlignment="1" applyBorder="1" applyFill="1" applyFont="1">
      <alignment horizontal="center" vertical="center"/>
    </xf>
    <xf borderId="1" fillId="9" fontId="20" numFmtId="0" xfId="0" applyAlignment="1" applyBorder="1" applyFill="1" applyFont="1">
      <alignment horizontal="center" readingOrder="0" shrinkToFit="0" vertical="center" wrapText="0"/>
    </xf>
    <xf borderId="0" fillId="4" fontId="4" numFmtId="0" xfId="0" applyAlignment="1" applyFill="1" applyFont="1">
      <alignment horizontal="center" readingOrder="0" vertical="center"/>
    </xf>
    <xf borderId="4" fillId="0" fontId="9" numFmtId="0" xfId="0" applyBorder="1" applyFont="1"/>
    <xf borderId="0" fillId="3" fontId="21" numFmtId="0" xfId="0" applyAlignment="1" applyFill="1" applyFont="1">
      <alignment horizontal="center" vertical="center"/>
    </xf>
    <xf borderId="6" fillId="0" fontId="9" numFmtId="0" xfId="0" applyBorder="1" applyFont="1"/>
    <xf borderId="22" fillId="5" fontId="14" numFmtId="0" xfId="0" applyAlignment="1" applyBorder="1" applyFill="1" applyFont="1">
      <alignment horizontal="center" vertical="center"/>
    </xf>
    <xf borderId="23" fillId="6" fontId="19" numFmtId="0" xfId="0" applyAlignment="1" applyBorder="1" applyFill="1" applyFont="1">
      <alignment horizontal="center" shrinkToFit="0" vertical="center" wrapText="0"/>
    </xf>
    <xf borderId="7" fillId="9" fontId="22" numFmtId="164" xfId="0" applyAlignment="1" applyBorder="1" applyFill="1" applyFont="1" applyNumberFormat="1">
      <alignment horizontal="center" readingOrder="0" shrinkToFit="0" vertical="top" wrapText="0"/>
    </xf>
    <xf borderId="24" fillId="5" fontId="16" numFmtId="0" xfId="0" applyAlignment="1" applyBorder="1" applyFill="1" applyFont="1">
      <alignment horizontal="center" vertical="center"/>
    </xf>
    <xf borderId="0" fillId="3" fontId="23" numFmtId="0" xfId="0" applyAlignment="1" applyFill="1" applyFont="1">
      <alignment horizontal="left" readingOrder="0" shrinkToFit="0" vertical="center" wrapText="1"/>
    </xf>
    <xf borderId="0" fillId="10" fontId="17" numFmtId="0" xfId="0" applyAlignment="1" applyFill="1" applyFont="1">
      <alignment horizontal="center" readingOrder="0" vertical="center"/>
    </xf>
    <xf borderId="11" fillId="0" fontId="9" numFmtId="0" xfId="0" applyBorder="1" applyFont="1"/>
    <xf borderId="0" fillId="11" fontId="24" numFmtId="0" xfId="0" applyAlignment="1" applyFill="1" applyFont="1">
      <alignment horizontal="center" readingOrder="0" vertical="center"/>
    </xf>
    <xf borderId="18" fillId="6" fontId="19" numFmtId="0" xfId="0" applyAlignment="1" applyBorder="1" applyFill="1" applyFont="1">
      <alignment horizontal="center" readingOrder="0" shrinkToFit="0" vertical="center" wrapText="0"/>
    </xf>
    <xf borderId="0" fillId="3" fontId="25" numFmtId="0" xfId="0" applyAlignment="1" applyFill="1" applyFont="1">
      <alignment readingOrder="0" shrinkToFit="0" wrapText="1"/>
    </xf>
    <xf borderId="0" fillId="12" fontId="24" numFmtId="0" xfId="0" applyAlignment="1" applyFill="1" applyFont="1">
      <alignment horizontal="center" readingOrder="0" vertical="center"/>
    </xf>
    <xf borderId="25" fillId="9" fontId="22" numFmtId="164" xfId="0" applyAlignment="1" applyBorder="1" applyFill="1" applyFont="1" applyNumberFormat="1">
      <alignment horizontal="center" readingOrder="0" shrinkToFit="0" vertical="top" wrapText="0"/>
    </xf>
    <xf borderId="26" fillId="2" fontId="4" numFmtId="0" xfId="0" applyAlignment="1" applyBorder="1" applyFill="1" applyFont="1">
      <alignment horizontal="center" vertical="center"/>
    </xf>
    <xf borderId="0" fillId="13" fontId="24" numFmtId="0" xfId="0" applyAlignment="1" applyFill="1" applyFont="1">
      <alignment horizontal="center" readingOrder="0" vertical="center"/>
    </xf>
    <xf borderId="27" fillId="6" fontId="19" numFmtId="0" xfId="0" applyAlignment="1" applyBorder="1" applyFill="1" applyFont="1">
      <alignment horizontal="center" readingOrder="0" shrinkToFit="0" vertical="center" wrapText="0"/>
    </xf>
    <xf borderId="0" fillId="3" fontId="21" numFmtId="0" xfId="0" applyAlignment="1" applyFill="1" applyFont="1">
      <alignment horizontal="center" readingOrder="0" vertical="center"/>
    </xf>
    <xf borderId="28" fillId="3" fontId="23" numFmtId="0" xfId="0" applyAlignment="1" applyBorder="1" applyFill="1" applyFont="1">
      <alignment horizontal="left" readingOrder="0" shrinkToFit="0" vertical="center" wrapText="1"/>
    </xf>
    <xf borderId="0" fillId="14" fontId="24" numFmtId="0" xfId="0" applyAlignment="1" applyFill="1" applyFont="1">
      <alignment horizontal="center" readingOrder="0" vertical="center"/>
    </xf>
    <xf borderId="29" fillId="5" fontId="14" numFmtId="0" xfId="0" applyAlignment="1" applyBorder="1" applyFill="1" applyFont="1">
      <alignment horizontal="center" vertical="center"/>
    </xf>
    <xf borderId="28" fillId="0" fontId="9" numFmtId="0" xfId="0" applyBorder="1" applyFont="1"/>
    <xf borderId="0" fillId="15" fontId="24" numFmtId="0" xfId="0" applyAlignment="1" applyFill="1" applyFont="1">
      <alignment horizontal="center" readingOrder="0" vertical="center"/>
    </xf>
    <xf borderId="30" fillId="0" fontId="9" numFmtId="0" xfId="0" applyBorder="1" applyFont="1"/>
    <xf borderId="31" fillId="5" fontId="14" numFmtId="0" xfId="0" applyAlignment="1" applyBorder="1" applyFill="1" applyFont="1">
      <alignment horizontal="center" vertical="center"/>
    </xf>
    <xf borderId="0" fillId="16" fontId="24" numFmtId="0" xfId="0" applyAlignment="1" applyFill="1" applyFont="1">
      <alignment horizontal="center" readingOrder="0" vertical="center"/>
    </xf>
    <xf borderId="0" fillId="17" fontId="17" numFmtId="0" xfId="0" applyAlignment="1" applyFill="1" applyFont="1">
      <alignment horizontal="center" readingOrder="0" vertical="center"/>
    </xf>
    <xf borderId="32" fillId="6" fontId="19" numFmtId="0" xfId="0" applyAlignment="1" applyBorder="1" applyFill="1" applyFont="1">
      <alignment horizontal="center" readingOrder="0" shrinkToFit="0" vertical="center" wrapText="0"/>
    </xf>
    <xf borderId="1" fillId="18" fontId="20" numFmtId="0" xfId="0" applyAlignment="1" applyBorder="1" applyFill="1" applyFont="1">
      <alignment horizontal="center" readingOrder="0" shrinkToFit="0" vertical="center" wrapText="0"/>
    </xf>
    <xf borderId="16" fillId="0" fontId="9" numFmtId="0" xfId="0" applyBorder="1" applyFont="1"/>
    <xf borderId="0" fillId="19" fontId="4" numFmtId="0" xfId="0" applyAlignment="1" applyFill="1" applyFont="1">
      <alignment horizontal="center" readingOrder="0" vertical="center"/>
    </xf>
    <xf borderId="33" fillId="0" fontId="9" numFmtId="0" xfId="0" applyBorder="1" applyFont="1"/>
    <xf borderId="7" fillId="18" fontId="22" numFmtId="164" xfId="0" applyAlignment="1" applyBorder="1" applyFill="1" applyFont="1" applyNumberFormat="1">
      <alignment horizontal="center" readingOrder="0" shrinkToFit="0" vertical="top" wrapText="0"/>
    </xf>
    <xf borderId="0" fillId="20" fontId="17" numFmtId="0" xfId="0" applyAlignment="1" applyFill="1" applyFont="1">
      <alignment horizontal="center" readingOrder="0" vertical="center"/>
    </xf>
    <xf borderId="0" fillId="3" fontId="23" numFmtId="0" xfId="0" applyAlignment="1" applyFill="1" applyFont="1">
      <alignment horizontal="left" readingOrder="0" shrinkToFit="0" vertical="center" wrapText="0"/>
    </xf>
    <xf borderId="0" fillId="21" fontId="17" numFmtId="0" xfId="0" applyAlignment="1" applyFill="1" applyFont="1">
      <alignment horizontal="center" readingOrder="0" vertical="center"/>
    </xf>
    <xf borderId="0" fillId="22" fontId="17" numFmtId="0" xfId="0" applyAlignment="1" applyFill="1" applyFont="1">
      <alignment horizontal="center" readingOrder="0" vertical="center"/>
    </xf>
    <xf borderId="0" fillId="23" fontId="17" numFmtId="0" xfId="0" applyAlignment="1" applyFill="1" applyFont="1">
      <alignment horizontal="center" readingOrder="0" vertical="center"/>
    </xf>
    <xf borderId="34" fillId="6" fontId="26" numFmtId="164" xfId="0" applyAlignment="1" applyBorder="1" applyFill="1" applyFont="1" applyNumberFormat="1">
      <alignment horizontal="left" readingOrder="0" shrinkToFit="0" vertical="center" wrapText="0"/>
    </xf>
    <xf borderId="0" fillId="24" fontId="17" numFmtId="0" xfId="0" applyAlignment="1" applyFill="1" applyFont="1">
      <alignment horizontal="center" readingOrder="0" vertical="center"/>
    </xf>
    <xf borderId="28" fillId="3" fontId="23" numFmtId="0" xfId="0" applyAlignment="1" applyBorder="1" applyFill="1" applyFont="1">
      <alignment horizontal="left" readingOrder="0" shrinkToFit="0" vertical="center" wrapText="0"/>
    </xf>
    <xf borderId="35" fillId="0" fontId="9" numFmtId="0" xfId="0" applyBorder="1" applyFont="1"/>
    <xf borderId="0" fillId="25" fontId="17" numFmtId="0" xfId="0" applyAlignment="1" applyFill="1" applyFont="1">
      <alignment horizontal="center" readingOrder="0" vertical="center"/>
    </xf>
    <xf borderId="0" fillId="18" fontId="22" numFmtId="164" xfId="0" applyAlignment="1" applyFill="1" applyFont="1" applyNumberFormat="1">
      <alignment horizontal="center" readingOrder="0" shrinkToFit="0" vertical="top" wrapText="0"/>
    </xf>
    <xf borderId="36" fillId="0" fontId="9" numFmtId="0" xfId="0" applyBorder="1" applyFont="1"/>
    <xf borderId="0" fillId="26" fontId="17" numFmtId="0" xfId="0" applyAlignment="1" applyFill="1" applyFont="1">
      <alignment horizontal="center" readingOrder="0" vertical="center"/>
    </xf>
    <xf borderId="37" fillId="6" fontId="19" numFmtId="0" xfId="0" applyAlignment="1" applyBorder="1" applyFill="1" applyFont="1">
      <alignment horizontal="center" readingOrder="0" shrinkToFit="0" vertical="center" wrapText="0"/>
    </xf>
    <xf borderId="0" fillId="27" fontId="17" numFmtId="0" xfId="0" applyAlignment="1" applyFill="1" applyFont="1">
      <alignment horizontal="center" readingOrder="0" vertical="center"/>
    </xf>
    <xf borderId="28" fillId="3" fontId="23" numFmtId="0" xfId="0" applyAlignment="1" applyBorder="1" applyFill="1" applyFont="1">
      <alignment horizontal="left" readingOrder="0" shrinkToFit="0" vertical="center" wrapText="1"/>
    </xf>
    <xf borderId="0" fillId="27" fontId="17" numFmtId="0" xfId="0" applyAlignment="1" applyFill="1" applyFont="1">
      <alignment horizontal="center" vertical="center"/>
    </xf>
    <xf borderId="0" fillId="4" fontId="4" numFmtId="0" xfId="0" applyAlignment="1" applyFill="1" applyFont="1">
      <alignment horizontal="center"/>
    </xf>
    <xf borderId="18" fillId="5" fontId="27" numFmtId="0" xfId="0" applyAlignment="1" applyBorder="1" applyFill="1" applyFont="1">
      <alignment horizontal="center" vertical="center"/>
    </xf>
    <xf borderId="0" fillId="6" fontId="19" numFmtId="0" xfId="0" applyAlignment="1" applyFill="1" applyFont="1">
      <alignment horizontal="center" readingOrder="0" shrinkToFit="0" vertical="center" wrapText="0"/>
    </xf>
    <xf borderId="1" fillId="28" fontId="20" numFmtId="0" xfId="0" applyAlignment="1" applyBorder="1" applyFill="1" applyFont="1">
      <alignment horizontal="center" readingOrder="0" shrinkToFit="0" vertical="center" wrapText="0"/>
    </xf>
    <xf borderId="38" fillId="6" fontId="19" numFmtId="164" xfId="0" applyAlignment="1" applyBorder="1" applyFill="1" applyFont="1" applyNumberFormat="1">
      <alignment horizontal="center" readingOrder="0" shrinkToFit="0" vertical="center" wrapText="0"/>
    </xf>
    <xf borderId="27" fillId="0" fontId="9" numFmtId="0" xfId="0" applyBorder="1" applyFont="1"/>
    <xf borderId="7" fillId="28" fontId="22" numFmtId="164" xfId="0" applyAlignment="1" applyBorder="1" applyFill="1" applyFont="1" applyNumberFormat="1">
      <alignment horizontal="center" readingOrder="0" shrinkToFit="0" vertical="top" wrapText="0"/>
    </xf>
    <xf borderId="32" fillId="0" fontId="9" numFmtId="0" xfId="0" applyBorder="1" applyFont="1"/>
    <xf borderId="29" fillId="4" fontId="8" numFmtId="3" xfId="0" applyAlignment="1" applyBorder="1" applyFill="1" applyFont="1" applyNumberFormat="1">
      <alignment horizontal="center" readingOrder="0" shrinkToFit="0" vertical="center" wrapText="0"/>
    </xf>
    <xf borderId="0" fillId="3" fontId="4" numFmtId="0" xfId="0" applyAlignment="1" applyFill="1" applyFont="1">
      <alignment horizontal="center" vertical="center"/>
    </xf>
    <xf borderId="0" fillId="2" fontId="21" numFmtId="0" xfId="0" applyAlignment="1" applyFill="1" applyFont="1">
      <alignment horizontal="center" vertical="center"/>
    </xf>
    <xf borderId="37" fillId="0" fontId="9" numFmtId="0" xfId="0" applyBorder="1" applyFont="1"/>
    <xf borderId="38" fillId="0" fontId="9" numFmtId="0" xfId="0" applyBorder="1" applyFont="1"/>
    <xf borderId="0" fillId="3" fontId="18" numFmtId="0" xfId="0" applyAlignment="1" applyFill="1" applyFont="1">
      <alignment horizontal="center" readingOrder="0" vertical="center"/>
    </xf>
    <xf borderId="0" fillId="3" fontId="18" numFmtId="0" xfId="0" applyAlignment="1" applyFill="1" applyFont="1">
      <alignment horizontal="left" readingOrder="0" vertical="center"/>
    </xf>
    <xf borderId="17" fillId="29" fontId="15" numFmtId="164" xfId="0" applyAlignment="1" applyBorder="1" applyFill="1" applyFont="1" applyNumberFormat="1">
      <alignment horizontal="center" readingOrder="0" shrinkToFit="0" vertical="center" wrapText="0"/>
    </xf>
    <xf borderId="1" fillId="2" fontId="28" numFmtId="0" xfId="0" applyAlignment="1" applyBorder="1" applyFill="1" applyFont="1">
      <alignment horizontal="center" readingOrder="0" shrinkToFit="0" vertical="center" wrapText="1"/>
    </xf>
    <xf borderId="7" fillId="3" fontId="29" numFmtId="0" xfId="0" applyAlignment="1" applyBorder="1" applyFill="1" applyFont="1">
      <alignment horizontal="center" readingOrder="0" shrinkToFit="0" vertical="center" wrapText="1"/>
    </xf>
    <xf borderId="34" fillId="29" fontId="19" numFmtId="164" xfId="0" applyAlignment="1" applyBorder="1" applyFill="1" applyFont="1" applyNumberFormat="1">
      <alignment horizontal="left" readingOrder="0" shrinkToFit="0" vertical="center" wrapText="0"/>
    </xf>
    <xf borderId="1" fillId="30" fontId="20" numFmtId="0" xfId="0" applyAlignment="1" applyBorder="1" applyFill="1" applyFont="1">
      <alignment horizontal="center" readingOrder="0" shrinkToFit="0" vertical="center" wrapText="0"/>
    </xf>
    <xf borderId="25" fillId="0" fontId="9" numFmtId="0" xfId="0" applyBorder="1" applyFont="1"/>
    <xf borderId="39" fillId="0" fontId="9" numFmtId="0" xfId="0" applyBorder="1" applyFont="1"/>
    <xf borderId="7" fillId="30" fontId="22" numFmtId="164" xfId="0" applyAlignment="1" applyBorder="1" applyFill="1" applyFont="1" applyNumberFormat="1">
      <alignment horizontal="center" readingOrder="0" shrinkToFit="0" vertical="top" wrapText="0"/>
    </xf>
    <xf borderId="40" fillId="0" fontId="9" numFmtId="0" xfId="0" applyBorder="1" applyFont="1"/>
    <xf borderId="41" fillId="0" fontId="9" numFmtId="0" xfId="0" applyBorder="1" applyFont="1"/>
    <xf borderId="42" fillId="29" fontId="19" numFmtId="0" xfId="0" applyAlignment="1" applyBorder="1" applyFill="1" applyFont="1">
      <alignment horizontal="center" shrinkToFit="0" vertical="center" wrapText="0"/>
    </xf>
    <xf borderId="25" fillId="3" fontId="1" numFmtId="0" xfId="0" applyAlignment="1" applyBorder="1" applyFill="1" applyFont="1">
      <alignment horizontal="center" shrinkToFit="0" vertical="center" wrapText="0"/>
    </xf>
    <xf borderId="28" fillId="3" fontId="2" numFmtId="0" xfId="0" applyAlignment="1" applyBorder="1" applyFill="1" applyFont="1">
      <alignment horizontal="center" shrinkToFit="0" vertical="center" wrapText="0"/>
    </xf>
    <xf borderId="0" fillId="3" fontId="30" numFmtId="0" xfId="0" applyFill="1" applyFont="1"/>
    <xf borderId="28" fillId="3" fontId="1" numFmtId="0" xfId="0" applyAlignment="1" applyBorder="1" applyFill="1" applyFont="1">
      <alignment horizontal="center" shrinkToFit="0" vertical="center" wrapText="0"/>
    </xf>
    <xf borderId="0" fillId="3" fontId="31" numFmtId="0" xfId="0" applyAlignment="1" applyFill="1" applyFont="1">
      <alignment horizontal="center" vertical="center"/>
    </xf>
    <xf borderId="30" fillId="3" fontId="1" numFmtId="0" xfId="0" applyAlignment="1" applyBorder="1" applyFill="1" applyFont="1">
      <alignment horizontal="center" shrinkToFit="0" vertical="center" wrapText="0"/>
    </xf>
    <xf borderId="31" fillId="29" fontId="19" numFmtId="0" xfId="0" applyAlignment="1" applyBorder="1" applyFill="1" applyFont="1">
      <alignment horizontal="center" readingOrder="0" shrinkToFit="0" vertical="center" wrapText="0"/>
    </xf>
    <xf borderId="0" fillId="2" fontId="2" numFmtId="0" xfId="0" applyAlignment="1" applyFill="1" applyFont="1">
      <alignment horizontal="center" readingOrder="0" shrinkToFit="0" vertical="center" wrapText="0"/>
    </xf>
    <xf borderId="43" fillId="29" fontId="19" numFmtId="0" xfId="0" applyAlignment="1" applyBorder="1" applyFill="1" applyFont="1">
      <alignment horizontal="center" readingOrder="0" shrinkToFit="0" vertical="center" wrapText="0"/>
    </xf>
    <xf borderId="0" fillId="3" fontId="30" numFmtId="0" xfId="0" applyAlignment="1" applyFill="1" applyFont="1">
      <alignment shrinkToFit="0" wrapText="1"/>
    </xf>
    <xf borderId="28" fillId="3" fontId="30" numFmtId="0" xfId="0" applyAlignment="1" applyBorder="1" applyFill="1" applyFont="1">
      <alignment readingOrder="0"/>
    </xf>
    <xf borderId="25" fillId="3" fontId="0" numFmtId="0" xfId="0" applyAlignment="1" applyBorder="1" applyFill="1" applyFont="1">
      <alignment horizontal="center" readingOrder="0" shrinkToFit="0" vertical="center" wrapText="0"/>
    </xf>
    <xf borderId="28" fillId="3" fontId="0" numFmtId="0" xfId="0" applyAlignment="1" applyBorder="1" applyFill="1" applyFont="1">
      <alignment horizontal="center" readingOrder="0" shrinkToFit="0" vertical="center" wrapText="0"/>
    </xf>
    <xf borderId="44" fillId="29" fontId="19" numFmtId="164" xfId="0" applyAlignment="1" applyBorder="1" applyFill="1" applyFont="1" applyNumberFormat="1">
      <alignment horizontal="center" readingOrder="0" shrinkToFit="0" vertical="center" wrapText="0"/>
    </xf>
    <xf borderId="28" fillId="3" fontId="0" numFmtId="0" xfId="0" applyAlignment="1" applyBorder="1" applyFill="1" applyFont="1">
      <alignment horizontal="center" readingOrder="0" shrinkToFit="0" vertical="center" wrapText="1"/>
    </xf>
    <xf borderId="30" fillId="3" fontId="0" numFmtId="0" xfId="0" applyAlignment="1" applyBorder="1" applyFill="1" applyFont="1">
      <alignment horizontal="center" readingOrder="0" shrinkToFit="0" vertical="center" wrapText="0"/>
    </xf>
    <xf borderId="0" fillId="2" fontId="0" numFmtId="0" xfId="0" applyAlignment="1" applyFill="1" applyFont="1">
      <alignment horizontal="center" readingOrder="0" shrinkToFit="0" vertical="center" wrapText="1"/>
    </xf>
    <xf borderId="34" fillId="29" fontId="26" numFmtId="164" xfId="0" applyAlignment="1" applyBorder="1" applyFill="1" applyFont="1" applyNumberFormat="1">
      <alignment horizontal="left" readingOrder="0" shrinkToFit="0" vertical="center" wrapText="0"/>
    </xf>
    <xf borderId="0" fillId="2" fontId="32" numFmtId="0" xfId="0" applyAlignment="1" applyFill="1" applyFont="1">
      <alignment horizontal="center" readingOrder="0" vertical="center"/>
    </xf>
    <xf borderId="45" fillId="29" fontId="19" numFmtId="0" xfId="0" applyAlignment="1" applyBorder="1" applyFill="1" applyFont="1">
      <alignment horizontal="center" readingOrder="0" shrinkToFit="0" vertical="center" wrapText="0"/>
    </xf>
    <xf borderId="0" fillId="7" fontId="6" numFmtId="0" xfId="0" applyAlignment="1" applyFill="1" applyFont="1">
      <alignment horizontal="center" vertical="center"/>
    </xf>
    <xf borderId="0" fillId="31" fontId="31" numFmtId="0" xfId="0" applyAlignment="1" applyFill="1" applyFont="1">
      <alignment horizontal="left" readingOrder="0" vertical="center"/>
    </xf>
    <xf borderId="46" fillId="29" fontId="19" numFmtId="0" xfId="0" applyAlignment="1" applyBorder="1" applyFill="1" applyFont="1">
      <alignment horizontal="center" readingOrder="0" shrinkToFit="0" vertical="center" wrapText="0"/>
    </xf>
    <xf borderId="1" fillId="3" fontId="32" numFmtId="0" xfId="0" applyAlignment="1" applyBorder="1" applyFill="1" applyFont="1">
      <alignment horizontal="center" readingOrder="0" vertical="center"/>
    </xf>
    <xf borderId="0" fillId="2" fontId="5" numFmtId="0" xfId="0" applyAlignment="1" applyFill="1" applyFont="1">
      <alignment horizontal="center" readingOrder="0" vertical="center"/>
    </xf>
    <xf borderId="4" fillId="3" fontId="32" numFmtId="0" xfId="0" applyAlignment="1" applyBorder="1" applyFill="1" applyFont="1">
      <alignment horizontal="center" readingOrder="0" vertical="center"/>
    </xf>
    <xf borderId="47" fillId="29" fontId="19" numFmtId="164" xfId="0" applyAlignment="1" applyBorder="1" applyFill="1" applyFont="1" applyNumberFormat="1">
      <alignment horizontal="center" readingOrder="0" shrinkToFit="0" vertical="center" wrapText="0"/>
    </xf>
    <xf borderId="0" fillId="2" fontId="5" numFmtId="0" xfId="0" applyAlignment="1" applyFill="1" applyFont="1">
      <alignment horizontal="center" vertical="center"/>
    </xf>
    <xf borderId="0" fillId="2" fontId="5" numFmtId="0" xfId="0" applyAlignment="1" applyFill="1" applyFont="1">
      <alignment horizontal="center" vertical="center"/>
    </xf>
    <xf borderId="6" fillId="3" fontId="32" numFmtId="0" xfId="0" applyAlignment="1" applyBorder="1" applyFill="1" applyFont="1">
      <alignment horizontal="center" readingOrder="0" vertical="center"/>
    </xf>
    <xf borderId="7" fillId="3" fontId="32" numFmtId="0" xfId="0" applyAlignment="1" applyBorder="1" applyFill="1" applyFont="1">
      <alignment horizontal="center" readingOrder="0" vertical="center"/>
    </xf>
    <xf borderId="0" fillId="8" fontId="6" numFmtId="0" xfId="0" applyAlignment="1" applyFill="1" applyFont="1">
      <alignment horizontal="center" vertical="center"/>
    </xf>
    <xf borderId="0" fillId="10" fontId="6" numFmtId="0" xfId="0" applyAlignment="1" applyFill="1" applyFont="1">
      <alignment horizontal="center" readingOrder="0" vertical="center"/>
    </xf>
    <xf borderId="1" fillId="3" fontId="5" numFmtId="0" xfId="0" applyAlignment="1" applyBorder="1" applyFill="1" applyFont="1">
      <alignment horizontal="center" vertical="center"/>
    </xf>
    <xf borderId="4" fillId="3" fontId="5" numFmtId="0" xfId="0" applyAlignment="1" applyBorder="1" applyFill="1" applyFont="1">
      <alignment horizontal="center" vertical="center"/>
    </xf>
    <xf borderId="4" fillId="3" fontId="5" numFmtId="0" xfId="0" applyAlignment="1" applyBorder="1" applyFill="1" applyFont="1">
      <alignment horizontal="center" vertical="center"/>
    </xf>
    <xf borderId="48" fillId="4" fontId="33" numFmtId="0" xfId="0" applyAlignment="1" applyBorder="1" applyFill="1" applyFont="1">
      <alignment horizontal="center" readingOrder="0" vertical="center"/>
    </xf>
    <xf borderId="6" fillId="3" fontId="5" numFmtId="0" xfId="0" applyAlignment="1" applyBorder="1" applyFill="1" applyFont="1">
      <alignment horizontal="center" vertical="center"/>
    </xf>
    <xf borderId="49" fillId="0" fontId="9" numFmtId="0" xfId="0" applyBorder="1" applyFont="1"/>
    <xf borderId="0" fillId="3" fontId="5" numFmtId="0" xfId="0" applyAlignment="1" applyFill="1" applyFont="1">
      <alignment horizontal="center" vertical="center"/>
    </xf>
    <xf borderId="17" fillId="32" fontId="15" numFmtId="164" xfId="0" applyAlignment="1" applyBorder="1" applyFill="1" applyFont="1" applyNumberFormat="1">
      <alignment horizontal="center" readingOrder="0" shrinkToFit="0" vertical="center" wrapText="0"/>
    </xf>
    <xf borderId="50" fillId="0" fontId="9" numFmtId="0" xfId="0" applyBorder="1" applyFont="1"/>
    <xf borderId="51" fillId="32" fontId="34" numFmtId="164" xfId="0" applyAlignment="1" applyBorder="1" applyFill="1" applyFont="1" applyNumberFormat="1">
      <alignment horizontal="left" vertical="center"/>
    </xf>
    <xf borderId="0" fillId="2" fontId="19" numFmtId="0" xfId="0" applyAlignment="1" applyFill="1" applyFont="1">
      <alignment horizontal="center" vertical="center"/>
    </xf>
    <xf borderId="7" fillId="3" fontId="19" numFmtId="0" xfId="0" applyAlignment="1" applyBorder="1" applyFill="1" applyFont="1">
      <alignment horizontal="center" vertical="center"/>
    </xf>
    <xf borderId="0" fillId="3" fontId="32" numFmtId="0" xfId="0" applyAlignment="1" applyFill="1" applyFont="1">
      <alignment horizontal="center" readingOrder="0" vertical="center"/>
    </xf>
    <xf borderId="42" fillId="32" fontId="19" numFmtId="0" xfId="0" applyAlignment="1" applyBorder="1" applyFill="1" applyFont="1">
      <alignment horizontal="center" shrinkToFit="0" vertical="center" wrapText="0"/>
    </xf>
    <xf borderId="8" fillId="4" fontId="8" numFmtId="0" xfId="0" applyAlignment="1" applyBorder="1" applyFill="1" applyFont="1">
      <alignment horizontal="center" readingOrder="0" vertical="center"/>
    </xf>
    <xf borderId="0" fillId="4" fontId="6" numFmtId="0" xfId="0" applyAlignment="1" applyFill="1" applyFont="1">
      <alignment horizontal="center" vertical="center"/>
    </xf>
    <xf borderId="0" fillId="19" fontId="6" numFmtId="0" xfId="0" applyAlignment="1" applyFill="1" applyFont="1">
      <alignment horizontal="center" vertical="center"/>
    </xf>
    <xf borderId="0" fillId="17" fontId="6" numFmtId="0" xfId="0" applyAlignment="1" applyFill="1" applyFont="1">
      <alignment horizontal="center" vertical="center"/>
    </xf>
    <xf borderId="11" fillId="3" fontId="19" numFmtId="0" xfId="0" applyAlignment="1" applyBorder="1" applyFill="1" applyFont="1">
      <alignment horizontal="center" vertical="center"/>
    </xf>
    <xf borderId="37" fillId="32" fontId="19" numFmtId="0" xfId="0" applyAlignment="1" applyBorder="1" applyFill="1" applyFont="1">
      <alignment horizontal="center" readingOrder="0" shrinkToFit="0" vertical="center" wrapText="0"/>
    </xf>
    <xf borderId="8" fillId="33" fontId="8" numFmtId="0" xfId="0" applyAlignment="1" applyBorder="1" applyFill="1" applyFont="1">
      <alignment horizontal="center" readingOrder="0" vertical="center"/>
    </xf>
    <xf borderId="0" fillId="32" fontId="19" numFmtId="0" xfId="0" applyAlignment="1" applyFill="1" applyFont="1">
      <alignment horizontal="center" readingOrder="0" shrinkToFit="0" vertical="center" wrapText="0"/>
    </xf>
    <xf borderId="0" fillId="10" fontId="6" numFmtId="0" xfId="0" applyAlignment="1" applyFill="1" applyFont="1">
      <alignment horizontal="center" vertical="center"/>
    </xf>
    <xf borderId="52" fillId="4" fontId="19" numFmtId="0" xfId="0" applyAlignment="1" applyBorder="1" applyFill="1" applyFont="1">
      <alignment horizontal="center" readingOrder="0" vertical="center"/>
    </xf>
    <xf borderId="0" fillId="34" fontId="6" numFmtId="0" xfId="0" applyAlignment="1" applyFill="1" applyFont="1">
      <alignment horizontal="center" readingOrder="0" vertical="center"/>
    </xf>
    <xf borderId="53" fillId="4" fontId="19" numFmtId="0" xfId="0" applyAlignment="1" applyBorder="1" applyFill="1" applyFont="1">
      <alignment horizontal="center" readingOrder="0" vertical="center"/>
    </xf>
    <xf borderId="54" fillId="4" fontId="19" numFmtId="0" xfId="0" applyAlignment="1" applyBorder="1" applyFill="1" applyFont="1">
      <alignment horizontal="center" readingOrder="0" vertical="center"/>
    </xf>
    <xf borderId="55" fillId="0" fontId="9" numFmtId="0" xfId="0" applyBorder="1" applyFont="1"/>
    <xf borderId="56" fillId="4" fontId="19" numFmtId="0" xfId="0" applyAlignment="1" applyBorder="1" applyFill="1" applyFont="1">
      <alignment horizontal="center" readingOrder="0" vertical="center"/>
    </xf>
    <xf borderId="38" fillId="32" fontId="19" numFmtId="164" xfId="0" applyAlignment="1" applyBorder="1" applyFill="1" applyFont="1" applyNumberFormat="1">
      <alignment horizontal="center" readingOrder="0" shrinkToFit="0" vertical="center" wrapText="0"/>
    </xf>
    <xf borderId="52" fillId="33" fontId="19" numFmtId="0" xfId="0" applyAlignment="1" applyBorder="1" applyFill="1" applyFont="1">
      <alignment horizontal="center" readingOrder="0" vertical="center"/>
    </xf>
    <xf borderId="54" fillId="33" fontId="19" numFmtId="0" xfId="0" applyAlignment="1" applyBorder="1" applyFill="1" applyFont="1">
      <alignment horizontal="center" readingOrder="0" vertical="center"/>
    </xf>
    <xf borderId="53" fillId="33" fontId="19" numFmtId="0" xfId="0" applyAlignment="1" applyBorder="1" applyFill="1" applyFont="1">
      <alignment horizontal="center" readingOrder="0" vertical="center"/>
    </xf>
    <xf borderId="56" fillId="33" fontId="19" numFmtId="0" xfId="0" applyAlignment="1" applyBorder="1" applyFill="1" applyFont="1">
      <alignment horizontal="center" readingOrder="0" vertical="center"/>
    </xf>
    <xf borderId="0" fillId="3" fontId="5" numFmtId="0" xfId="0" applyAlignment="1" applyFill="1" applyFont="1">
      <alignment horizontal="center" vertical="center"/>
    </xf>
    <xf borderId="11" fillId="3" fontId="32" numFmtId="0" xfId="0" applyAlignment="1" applyBorder="1" applyFill="1" applyFont="1">
      <alignment horizontal="center" vertical="center"/>
    </xf>
    <xf borderId="34" fillId="32" fontId="26" numFmtId="164" xfId="0" applyAlignment="1" applyBorder="1" applyFill="1" applyFont="1" applyNumberFormat="1">
      <alignment horizontal="left" readingOrder="0" shrinkToFit="0" vertical="center" wrapText="0"/>
    </xf>
    <xf borderId="11" fillId="3" fontId="5" numFmtId="0" xfId="0" applyAlignment="1" applyBorder="1" applyFill="1" applyFont="1">
      <alignment horizontal="center" vertical="center"/>
    </xf>
    <xf borderId="0" fillId="2" fontId="32" numFmtId="0" xfId="0" applyAlignment="1" applyFill="1" applyFont="1">
      <alignment horizontal="center" vertical="center"/>
    </xf>
    <xf borderId="7" fillId="3" fontId="5" numFmtId="0" xfId="0" applyAlignment="1" applyBorder="1" applyFill="1" applyFont="1">
      <alignment horizontal="center" vertical="center"/>
    </xf>
    <xf borderId="57" fillId="35" fontId="32" numFmtId="0" xfId="0" applyAlignment="1" applyBorder="1" applyFill="1" applyFont="1">
      <alignment horizontal="center" readingOrder="0" vertical="center"/>
    </xf>
    <xf borderId="45" fillId="32" fontId="19" numFmtId="0" xfId="0" applyAlignment="1" applyBorder="1" applyFill="1" applyFont="1">
      <alignment horizontal="center" readingOrder="0" shrinkToFit="0" vertical="center" wrapText="0"/>
    </xf>
    <xf borderId="22" fillId="4" fontId="32" numFmtId="0" xfId="0" applyAlignment="1" applyBorder="1" applyFill="1" applyFont="1">
      <alignment horizontal="center" readingOrder="0" vertical="center"/>
    </xf>
    <xf borderId="58" fillId="0" fontId="9" numFmtId="0" xfId="0" applyBorder="1" applyFont="1"/>
    <xf borderId="0" fillId="11" fontId="6" numFmtId="0" xfId="0" applyAlignment="1" applyFill="1" applyFont="1">
      <alignment horizontal="center" vertical="center"/>
    </xf>
    <xf borderId="46" fillId="32" fontId="19" numFmtId="0" xfId="0" applyAlignment="1" applyBorder="1" applyFill="1" applyFont="1">
      <alignment horizontal="center" readingOrder="0" shrinkToFit="0" vertical="center" wrapText="0"/>
    </xf>
    <xf borderId="59" fillId="4" fontId="32" numFmtId="0" xfId="0" applyAlignment="1" applyBorder="1" applyFill="1" applyFont="1">
      <alignment horizontal="center" readingOrder="0" vertical="center"/>
    </xf>
    <xf borderId="47" fillId="32" fontId="19" numFmtId="164" xfId="0" applyAlignment="1" applyBorder="1" applyFill="1" applyFont="1" applyNumberFormat="1">
      <alignment horizontal="center" readingOrder="0" shrinkToFit="0" vertical="center" wrapText="0"/>
    </xf>
    <xf borderId="59" fillId="0" fontId="9" numFmtId="0" xfId="0" applyBorder="1" applyFont="1"/>
    <xf borderId="0" fillId="36" fontId="6" numFmtId="0" xfId="0" applyAlignment="1" applyFill="1" applyFont="1">
      <alignment horizontal="left" vertical="center"/>
    </xf>
    <xf borderId="60" fillId="35" fontId="32" numFmtId="0" xfId="0" applyAlignment="1" applyBorder="1" applyFill="1" applyFont="1">
      <alignment horizontal="center" vertical="center"/>
    </xf>
    <xf borderId="61" fillId="4" fontId="32" numFmtId="0" xfId="0" applyAlignment="1" applyBorder="1" applyFill="1" applyFont="1">
      <alignment horizontal="center" vertical="center"/>
    </xf>
    <xf borderId="60" fillId="35" fontId="32" numFmtId="0" xfId="0" applyAlignment="1" applyBorder="1" applyFill="1" applyFont="1">
      <alignment horizontal="center" readingOrder="0" vertical="center"/>
    </xf>
    <xf borderId="0" fillId="3" fontId="32" numFmtId="0" xfId="0" applyAlignment="1" applyFill="1" applyFont="1">
      <alignment horizontal="center" vertical="center"/>
    </xf>
    <xf borderId="60" fillId="35" fontId="32" numFmtId="0" xfId="0" applyAlignment="1" applyBorder="1" applyFill="1" applyFont="1">
      <alignment horizontal="left" readingOrder="0" vertical="center"/>
    </xf>
    <xf borderId="17" fillId="37" fontId="15" numFmtId="164" xfId="0" applyAlignment="1" applyBorder="1" applyFill="1" applyFont="1" applyNumberFormat="1">
      <alignment horizontal="center" readingOrder="0" shrinkToFit="0" vertical="center" wrapText="0"/>
    </xf>
    <xf borderId="62" fillId="35" fontId="32" numFmtId="0" xfId="0" applyAlignment="1" applyBorder="1" applyFill="1" applyFont="1">
      <alignment horizontal="left" readingOrder="0" vertical="center"/>
    </xf>
    <xf borderId="43" fillId="35" fontId="32" numFmtId="0" xfId="0" applyAlignment="1" applyBorder="1" applyFill="1" applyFont="1">
      <alignment horizontal="left" readingOrder="0" vertical="center"/>
    </xf>
    <xf borderId="63" fillId="35" fontId="32" numFmtId="0" xfId="0" applyAlignment="1" applyBorder="1" applyFill="1" applyFont="1">
      <alignment horizontal="left" readingOrder="0" vertical="center"/>
    </xf>
    <xf borderId="51" fillId="37" fontId="34" numFmtId="164" xfId="0" applyAlignment="1" applyBorder="1" applyFill="1" applyFont="1" applyNumberFormat="1">
      <alignment horizontal="left" vertical="center"/>
    </xf>
    <xf borderId="64" fillId="35" fontId="32" numFmtId="0" xfId="0" applyAlignment="1" applyBorder="1" applyFill="1" applyFont="1">
      <alignment horizontal="center" readingOrder="0" vertical="center"/>
    </xf>
    <xf borderId="60" fillId="35" fontId="32" numFmtId="1" xfId="0" applyAlignment="1" applyBorder="1" applyFill="1" applyFont="1" applyNumberFormat="1">
      <alignment horizontal="center" readingOrder="0" vertical="center"/>
    </xf>
    <xf borderId="60" fillId="35" fontId="32" numFmtId="0" xfId="0" applyAlignment="1" applyBorder="1" applyFill="1" applyFont="1">
      <alignment horizontal="center" readingOrder="0" vertical="center"/>
    </xf>
    <xf borderId="65" fillId="35" fontId="32" numFmtId="1" xfId="0" applyAlignment="1" applyBorder="1" applyFill="1" applyFont="1" applyNumberFormat="1">
      <alignment horizontal="center" readingOrder="0" vertical="center"/>
    </xf>
    <xf borderId="42" fillId="37" fontId="19" numFmtId="0" xfId="0" applyAlignment="1" applyBorder="1" applyFill="1" applyFont="1">
      <alignment horizontal="center" shrinkToFit="0" vertical="center" wrapText="0"/>
    </xf>
    <xf borderId="31" fillId="37" fontId="19" numFmtId="0" xfId="0" applyAlignment="1" applyBorder="1" applyFill="1" applyFont="1">
      <alignment horizontal="center" readingOrder="0" shrinkToFit="0" vertical="center" wrapText="0"/>
    </xf>
    <xf borderId="43" fillId="37" fontId="19" numFmtId="0" xfId="0" applyAlignment="1" applyBorder="1" applyFill="1" applyFont="1">
      <alignment horizontal="center" readingOrder="0" shrinkToFit="0" vertical="center" wrapText="0"/>
    </xf>
    <xf borderId="0" fillId="12" fontId="35" numFmtId="0" xfId="0" applyAlignment="1" applyFill="1" applyFont="1">
      <alignment horizontal="center" vertical="center"/>
    </xf>
    <xf borderId="0" fillId="11" fontId="6" numFmtId="0" xfId="0" applyAlignment="1" applyFill="1" applyFont="1">
      <alignment horizontal="left" vertical="center"/>
    </xf>
    <xf borderId="7" fillId="3" fontId="32" numFmtId="0" xfId="0" applyAlignment="1" applyBorder="1" applyFill="1" applyFont="1">
      <alignment horizontal="center" vertical="center"/>
    </xf>
    <xf borderId="44" fillId="37" fontId="19" numFmtId="164" xfId="0" applyAlignment="1" applyBorder="1" applyFill="1" applyFont="1" applyNumberFormat="1">
      <alignment horizontal="center" readingOrder="0" shrinkToFit="0" vertical="center" wrapText="0"/>
    </xf>
    <xf borderId="34" fillId="37" fontId="26" numFmtId="164" xfId="0" applyAlignment="1" applyBorder="1" applyFill="1" applyFont="1" applyNumberFormat="1">
      <alignment horizontal="left" readingOrder="0" shrinkToFit="0" vertical="center" wrapText="0"/>
    </xf>
    <xf borderId="0" fillId="13" fontId="35" numFmtId="0" xfId="0" applyAlignment="1" applyFill="1" applyFont="1">
      <alignment horizontal="center" vertical="center"/>
    </xf>
    <xf borderId="45" fillId="37" fontId="19" numFmtId="0" xfId="0" applyAlignment="1" applyBorder="1" applyFill="1" applyFont="1">
      <alignment horizontal="center" readingOrder="0" shrinkToFit="0" vertical="center" wrapText="0"/>
    </xf>
    <xf borderId="0" fillId="12" fontId="6" numFmtId="0" xfId="0" applyAlignment="1" applyFill="1" applyFont="1">
      <alignment horizontal="left" vertical="center"/>
    </xf>
    <xf borderId="46" fillId="37" fontId="19" numFmtId="0" xfId="0" applyAlignment="1" applyBorder="1" applyFill="1" applyFont="1">
      <alignment horizontal="center" readingOrder="0" shrinkToFit="0" vertical="center" wrapText="0"/>
    </xf>
    <xf borderId="47" fillId="37" fontId="19" numFmtId="164" xfId="0" applyAlignment="1" applyBorder="1" applyFill="1" applyFont="1" applyNumberFormat="1">
      <alignment horizontal="center" readingOrder="0" shrinkToFit="0" vertical="center" wrapText="0"/>
    </xf>
    <xf borderId="57" fillId="38" fontId="32" numFmtId="1" xfId="0" applyAlignment="1" applyBorder="1" applyFill="1" applyFont="1" applyNumberFormat="1">
      <alignment horizontal="center" readingOrder="0" shrinkToFit="0" vertical="center" wrapText="0"/>
    </xf>
    <xf borderId="17" fillId="11" fontId="15" numFmtId="164" xfId="0" applyAlignment="1" applyBorder="1" applyFill="1" applyFont="1" applyNumberFormat="1">
      <alignment horizontal="center" readingOrder="0" shrinkToFit="0" vertical="center" wrapText="0"/>
    </xf>
    <xf borderId="51" fillId="11" fontId="34" numFmtId="164" xfId="0" applyAlignment="1" applyBorder="1" applyFill="1" applyFont="1" applyNumberFormat="1">
      <alignment horizontal="left" vertical="center"/>
    </xf>
    <xf borderId="0" fillId="14" fontId="36" numFmtId="0" xfId="0" applyAlignment="1" applyFill="1" applyFont="1">
      <alignment horizontal="center" vertical="center"/>
    </xf>
    <xf borderId="42" fillId="11" fontId="19" numFmtId="0" xfId="0" applyAlignment="1" applyBorder="1" applyFill="1" applyFont="1">
      <alignment horizontal="center" shrinkToFit="0" vertical="center" wrapText="0"/>
    </xf>
    <xf borderId="0" fillId="15" fontId="6" numFmtId="0" xfId="0" applyAlignment="1" applyFill="1" applyFont="1">
      <alignment horizontal="center" vertical="center"/>
    </xf>
    <xf borderId="60" fillId="5" fontId="32" numFmtId="1" xfId="0" applyAlignment="1" applyBorder="1" applyFill="1" applyFont="1" applyNumberFormat="1">
      <alignment horizontal="left" readingOrder="0" shrinkToFit="0" vertical="center" wrapText="0"/>
    </xf>
    <xf borderId="37" fillId="11" fontId="19" numFmtId="0" xfId="0" applyAlignment="1" applyBorder="1" applyFill="1" applyFont="1">
      <alignment horizontal="center" readingOrder="0" shrinkToFit="0" vertical="center" wrapText="0"/>
    </xf>
    <xf borderId="0" fillId="11" fontId="19" numFmtId="0" xfId="0" applyAlignment="1" applyFill="1" applyFont="1">
      <alignment horizontal="center" readingOrder="0" shrinkToFit="0" vertical="center" wrapText="0"/>
    </xf>
    <xf borderId="38" fillId="11" fontId="19" numFmtId="164" xfId="0" applyAlignment="1" applyBorder="1" applyFill="1" applyFont="1" applyNumberFormat="1">
      <alignment horizontal="center" readingOrder="0" shrinkToFit="0" vertical="center" wrapText="0"/>
    </xf>
    <xf borderId="0" fillId="2" fontId="5" numFmtId="0" xfId="0" applyAlignment="1" applyFill="1" applyFont="1">
      <alignment horizontal="center" readingOrder="0" shrinkToFit="0" vertical="center" wrapText="0"/>
    </xf>
    <xf borderId="0" fillId="15" fontId="35" numFmtId="0" xfId="0" applyAlignment="1" applyFill="1" applyFont="1">
      <alignment horizontal="center" vertical="center"/>
    </xf>
    <xf borderId="0" fillId="16" fontId="6" numFmtId="0" xfId="0" applyAlignment="1" applyFill="1" applyFont="1">
      <alignment horizontal="left" vertical="center"/>
    </xf>
    <xf borderId="66" fillId="5" fontId="32" numFmtId="1" xfId="0" applyAlignment="1" applyBorder="1" applyFill="1" applyFont="1" applyNumberFormat="1">
      <alignment horizontal="center" readingOrder="0" shrinkToFit="0" vertical="center" wrapText="0"/>
    </xf>
    <xf borderId="34" fillId="11" fontId="26" numFmtId="164" xfId="0" applyAlignment="1" applyBorder="1" applyFill="1" applyFont="1" applyNumberFormat="1">
      <alignment horizontal="left" readingOrder="0" shrinkToFit="0" vertical="center" wrapText="0"/>
    </xf>
    <xf borderId="45" fillId="11" fontId="19" numFmtId="0" xfId="0" applyAlignment="1" applyBorder="1" applyFill="1" applyFont="1">
      <alignment horizontal="center" readingOrder="0" shrinkToFit="0" vertical="center" wrapText="0"/>
    </xf>
    <xf borderId="46" fillId="11" fontId="19" numFmtId="0" xfId="0" applyAlignment="1" applyBorder="1" applyFill="1" applyFont="1">
      <alignment horizontal="center" readingOrder="0" shrinkToFit="0" vertical="center" wrapText="0"/>
    </xf>
    <xf borderId="47" fillId="11" fontId="19" numFmtId="164" xfId="0" applyAlignment="1" applyBorder="1" applyFill="1" applyFont="1" applyNumberFormat="1">
      <alignment horizontal="center" readingOrder="0" shrinkToFit="0" vertical="center" wrapText="0"/>
    </xf>
    <xf borderId="0" fillId="16" fontId="6" numFmtId="0" xfId="0" applyAlignment="1" applyFill="1" applyFont="1">
      <alignment horizontal="center" vertical="center"/>
    </xf>
    <xf borderId="0" fillId="39" fontId="6" numFmtId="0" xfId="0" applyAlignment="1" applyFill="1" applyFont="1">
      <alignment horizontal="left" vertical="center"/>
    </xf>
    <xf borderId="17" fillId="40" fontId="15" numFmtId="164" xfId="0" applyAlignment="1" applyBorder="1" applyFill="1" applyFont="1" applyNumberFormat="1">
      <alignment horizontal="center" readingOrder="0" shrinkToFit="0" vertical="center" wrapText="0"/>
    </xf>
    <xf borderId="51" fillId="40" fontId="34" numFmtId="164" xfId="0" applyAlignment="1" applyBorder="1" applyFill="1" applyFont="1" applyNumberFormat="1">
      <alignment horizontal="left" vertical="center"/>
    </xf>
    <xf borderId="42" fillId="40" fontId="19" numFmtId="0" xfId="0" applyAlignment="1" applyBorder="1" applyFill="1" applyFont="1">
      <alignment horizontal="center" shrinkToFit="0" vertical="center" wrapText="0"/>
    </xf>
    <xf borderId="31" fillId="40" fontId="19" numFmtId="0" xfId="0" applyAlignment="1" applyBorder="1" applyFill="1" applyFont="1">
      <alignment horizontal="center" readingOrder="0" shrinkToFit="0" vertical="center" wrapText="0"/>
    </xf>
    <xf borderId="43" fillId="40" fontId="19" numFmtId="0" xfId="0" applyAlignment="1" applyBorder="1" applyFill="1" applyFont="1">
      <alignment horizontal="center" readingOrder="0" shrinkToFit="0" vertical="center" wrapText="0"/>
    </xf>
    <xf borderId="0" fillId="41" fontId="2" numFmtId="0" xfId="0" applyFill="1" applyFont="1"/>
    <xf borderId="65" fillId="38" fontId="32" numFmtId="0" xfId="0" applyAlignment="1" applyBorder="1" applyFill="1" applyFont="1">
      <alignment horizontal="center" readingOrder="0" vertical="center"/>
    </xf>
    <xf borderId="44" fillId="40" fontId="19" numFmtId="164" xfId="0" applyAlignment="1" applyBorder="1" applyFill="1" applyFont="1" applyNumberFormat="1">
      <alignment horizontal="center" readingOrder="0" shrinkToFit="0" vertical="center" wrapText="0"/>
    </xf>
    <xf borderId="34" fillId="40" fontId="26" numFmtId="164" xfId="0" applyAlignment="1" applyBorder="1" applyFill="1" applyFont="1" applyNumberFormat="1">
      <alignment horizontal="left" readingOrder="0" shrinkToFit="0" vertical="center" wrapText="0"/>
    </xf>
    <xf borderId="45" fillId="40" fontId="19" numFmtId="0" xfId="0" applyAlignment="1" applyBorder="1" applyFill="1" applyFont="1">
      <alignment horizontal="center" readingOrder="0" shrinkToFit="0" vertical="center" wrapText="0"/>
    </xf>
    <xf borderId="65" fillId="35" fontId="32" numFmtId="0" xfId="0" applyAlignment="1" applyBorder="1" applyFill="1" applyFont="1">
      <alignment horizontal="center" readingOrder="0" vertical="center"/>
    </xf>
    <xf borderId="46" fillId="40" fontId="19" numFmtId="0" xfId="0" applyAlignment="1" applyBorder="1" applyFill="1" applyFont="1">
      <alignment horizontal="center" readingOrder="0" shrinkToFit="0" vertical="center" wrapText="0"/>
    </xf>
    <xf borderId="47" fillId="40" fontId="19" numFmtId="164" xfId="0" applyAlignment="1" applyBorder="1" applyFill="1" applyFont="1" applyNumberFormat="1">
      <alignment horizontal="center" readingOrder="0" shrinkToFit="0" vertical="center" wrapText="0"/>
    </xf>
    <xf borderId="67" fillId="42" fontId="32" numFmtId="0" xfId="0" applyAlignment="1" applyBorder="1" applyFill="1" applyFont="1">
      <alignment horizontal="center" readingOrder="0" vertical="center"/>
    </xf>
    <xf borderId="68" fillId="42" fontId="32" numFmtId="0" xfId="0" applyAlignment="1" applyBorder="1" applyFill="1" applyFont="1">
      <alignment horizontal="center" readingOrder="0" vertical="center"/>
    </xf>
    <xf borderId="68" fillId="42" fontId="32" numFmtId="0" xfId="0" applyAlignment="1" applyBorder="1" applyFill="1" applyFont="1">
      <alignment horizontal="center" readingOrder="0" vertical="center"/>
    </xf>
    <xf borderId="0" fillId="20" fontId="6" numFmtId="0" xfId="0" applyAlignment="1" applyFill="1" applyFont="1">
      <alignment horizontal="center" vertical="center"/>
    </xf>
    <xf borderId="68" fillId="42" fontId="32" numFmtId="1" xfId="0" applyAlignment="1" applyBorder="1" applyFill="1" applyFont="1" applyNumberFormat="1">
      <alignment horizontal="left" readingOrder="0" vertical="center"/>
    </xf>
    <xf borderId="0" fillId="43" fontId="31" numFmtId="0" xfId="0" applyAlignment="1" applyFill="1" applyFont="1">
      <alignment horizontal="left" readingOrder="0" vertical="center"/>
    </xf>
    <xf borderId="17" fillId="44" fontId="15" numFmtId="164" xfId="0" applyAlignment="1" applyBorder="1" applyFill="1" applyFont="1" applyNumberFormat="1">
      <alignment horizontal="center" readingOrder="0" shrinkToFit="0" vertical="center" wrapText="0"/>
    </xf>
    <xf borderId="69" fillId="42" fontId="32" numFmtId="1" xfId="0" applyAlignment="1" applyBorder="1" applyFill="1" applyFont="1" applyNumberFormat="1">
      <alignment horizontal="left" readingOrder="0" vertical="center"/>
    </xf>
    <xf borderId="0" fillId="42" fontId="32" numFmtId="1" xfId="0" applyAlignment="1" applyFill="1" applyFont="1" applyNumberFormat="1">
      <alignment horizontal="left" readingOrder="0" vertical="center"/>
    </xf>
    <xf borderId="51" fillId="44" fontId="34" numFmtId="164" xfId="0" applyAlignment="1" applyBorder="1" applyFill="1" applyFont="1" applyNumberFormat="1">
      <alignment horizontal="left" vertical="center"/>
    </xf>
    <xf borderId="70" fillId="42" fontId="32" numFmtId="1" xfId="0" applyAlignment="1" applyBorder="1" applyFill="1" applyFont="1" applyNumberFormat="1">
      <alignment horizontal="left" readingOrder="0" vertical="center"/>
    </xf>
    <xf borderId="70" fillId="42" fontId="32" numFmtId="0" xfId="0" applyAlignment="1" applyBorder="1" applyFill="1" applyFont="1">
      <alignment horizontal="center" readingOrder="0" vertical="center"/>
    </xf>
    <xf borderId="68" fillId="42" fontId="32" numFmtId="1" xfId="0" applyAlignment="1" applyBorder="1" applyFill="1" applyFont="1" applyNumberFormat="1">
      <alignment horizontal="center" readingOrder="0" vertical="center"/>
    </xf>
    <xf borderId="71" fillId="42" fontId="32" numFmtId="1" xfId="0" applyAlignment="1" applyBorder="1" applyFill="1" applyFont="1" applyNumberFormat="1">
      <alignment horizontal="center" readingOrder="0" vertical="center"/>
    </xf>
    <xf borderId="42" fillId="44" fontId="19" numFmtId="0" xfId="0" applyAlignment="1" applyBorder="1" applyFill="1" applyFont="1">
      <alignment horizontal="center" shrinkToFit="0" vertical="center" wrapText="0"/>
    </xf>
    <xf borderId="31" fillId="44" fontId="19" numFmtId="0" xfId="0" applyAlignment="1" applyBorder="1" applyFill="1" applyFont="1">
      <alignment horizontal="center" readingOrder="0" shrinkToFit="0" vertical="center" wrapText="0"/>
    </xf>
    <xf borderId="71" fillId="42" fontId="32" numFmtId="0" xfId="0" applyAlignment="1" applyBorder="1" applyFill="1" applyFont="1">
      <alignment horizontal="center" readingOrder="0" vertical="center"/>
    </xf>
    <xf borderId="43" fillId="44" fontId="19" numFmtId="0" xfId="0" applyAlignment="1" applyBorder="1" applyFill="1" applyFont="1">
      <alignment horizontal="center" readingOrder="0" shrinkToFit="0" vertical="center" wrapText="0"/>
    </xf>
    <xf borderId="67" fillId="45" fontId="32" numFmtId="0" xfId="0" applyAlignment="1" applyBorder="1" applyFill="1" applyFont="1">
      <alignment horizontal="center" readingOrder="0" vertical="center"/>
    </xf>
    <xf borderId="68" fillId="45" fontId="32" numFmtId="0" xfId="0" applyAlignment="1" applyBorder="1" applyFill="1" applyFont="1">
      <alignment horizontal="center" readingOrder="0" vertical="center"/>
    </xf>
    <xf borderId="68" fillId="45" fontId="32" numFmtId="0" xfId="0" applyAlignment="1" applyBorder="1" applyFill="1" applyFont="1">
      <alignment horizontal="center" readingOrder="0" vertical="center"/>
    </xf>
    <xf borderId="68" fillId="45" fontId="32" numFmtId="1" xfId="0" applyAlignment="1" applyBorder="1" applyFill="1" applyFont="1" applyNumberFormat="1">
      <alignment horizontal="left" readingOrder="0" vertical="center"/>
    </xf>
    <xf borderId="69" fillId="45" fontId="32" numFmtId="1" xfId="0" applyAlignment="1" applyBorder="1" applyFill="1" applyFont="1" applyNumberFormat="1">
      <alignment horizontal="left" readingOrder="0" vertical="center"/>
    </xf>
    <xf borderId="0" fillId="45" fontId="32" numFmtId="1" xfId="0" applyAlignment="1" applyFill="1" applyFont="1" applyNumberFormat="1">
      <alignment horizontal="left" readingOrder="0" vertical="center"/>
    </xf>
    <xf borderId="70" fillId="45" fontId="32" numFmtId="1" xfId="0" applyAlignment="1" applyBorder="1" applyFill="1" applyFont="1" applyNumberFormat="1">
      <alignment horizontal="left" readingOrder="0" vertical="center"/>
    </xf>
    <xf borderId="70" fillId="45" fontId="32" numFmtId="0" xfId="0" applyAlignment="1" applyBorder="1" applyFill="1" applyFont="1">
      <alignment horizontal="center" readingOrder="0" vertical="center"/>
    </xf>
    <xf borderId="68" fillId="45" fontId="32" numFmtId="1" xfId="0" applyAlignment="1" applyBorder="1" applyFill="1" applyFont="1" applyNumberFormat="1">
      <alignment horizontal="center" readingOrder="0" vertical="center"/>
    </xf>
    <xf borderId="71" fillId="45" fontId="32" numFmtId="1" xfId="0" applyAlignment="1" applyBorder="1" applyFill="1" applyFont="1" applyNumberFormat="1">
      <alignment horizontal="center" readingOrder="0" vertical="center"/>
    </xf>
    <xf borderId="44" fillId="44" fontId="19" numFmtId="164" xfId="0" applyAlignment="1" applyBorder="1" applyFill="1" applyFont="1" applyNumberFormat="1">
      <alignment horizontal="center" readingOrder="0" shrinkToFit="0" vertical="center" wrapText="0"/>
    </xf>
    <xf borderId="71" fillId="45" fontId="32" numFmtId="0" xfId="0" applyAlignment="1" applyBorder="1" applyFill="1" applyFont="1">
      <alignment horizontal="center" readingOrder="0" vertical="center"/>
    </xf>
    <xf borderId="67" fillId="4" fontId="32" numFmtId="0" xfId="0" applyAlignment="1" applyBorder="1" applyFill="1" applyFont="1">
      <alignment horizontal="center" readingOrder="0" vertical="center"/>
    </xf>
    <xf borderId="68" fillId="5" fontId="32" numFmtId="0" xfId="0" applyAlignment="1" applyBorder="1" applyFill="1" applyFont="1">
      <alignment horizontal="center" readingOrder="0" vertical="center"/>
    </xf>
    <xf borderId="68" fillId="5" fontId="32" numFmtId="0" xfId="0" applyAlignment="1" applyBorder="1" applyFill="1" applyFont="1">
      <alignment horizontal="center" readingOrder="0" vertical="center"/>
    </xf>
    <xf borderId="68" fillId="5" fontId="32" numFmtId="1" xfId="0" applyAlignment="1" applyBorder="1" applyFill="1" applyFont="1" applyNumberFormat="1">
      <alignment horizontal="left" readingOrder="0" vertical="center"/>
    </xf>
    <xf borderId="0" fillId="21" fontId="6" numFmtId="0" xfId="0" applyAlignment="1" applyFill="1" applyFont="1">
      <alignment horizontal="center" vertical="center"/>
    </xf>
    <xf borderId="69" fillId="5" fontId="32" numFmtId="1" xfId="0" applyAlignment="1" applyBorder="1" applyFill="1" applyFont="1" applyNumberFormat="1">
      <alignment horizontal="left" readingOrder="0" vertical="center"/>
    </xf>
    <xf borderId="0" fillId="5" fontId="32" numFmtId="1" xfId="0" applyAlignment="1" applyFill="1" applyFont="1" applyNumberFormat="1">
      <alignment horizontal="left" readingOrder="0" vertical="center"/>
    </xf>
    <xf borderId="0" fillId="46" fontId="6" numFmtId="0" xfId="0" applyFill="1" applyFont="1"/>
    <xf borderId="70" fillId="5" fontId="32" numFmtId="1" xfId="0" applyAlignment="1" applyBorder="1" applyFill="1" applyFont="1" applyNumberFormat="1">
      <alignment horizontal="left" readingOrder="0" vertical="center"/>
    </xf>
    <xf borderId="34" fillId="44" fontId="26" numFmtId="164" xfId="0" applyAlignment="1" applyBorder="1" applyFill="1" applyFont="1" applyNumberFormat="1">
      <alignment horizontal="left" readingOrder="0" shrinkToFit="0" vertical="center" wrapText="0"/>
    </xf>
    <xf borderId="70" fillId="5" fontId="32" numFmtId="0" xfId="0" applyAlignment="1" applyBorder="1" applyFill="1" applyFont="1">
      <alignment horizontal="center" readingOrder="0" vertical="center"/>
    </xf>
    <xf borderId="68" fillId="5" fontId="32" numFmtId="1" xfId="0" applyAlignment="1" applyBorder="1" applyFill="1" applyFont="1" applyNumberFormat="1">
      <alignment horizontal="center" readingOrder="0" vertical="center"/>
    </xf>
    <xf borderId="71" fillId="5" fontId="32" numFmtId="1" xfId="0" applyAlignment="1" applyBorder="1" applyFill="1" applyFont="1" applyNumberFormat="1">
      <alignment horizontal="center" readingOrder="0" vertical="center"/>
    </xf>
    <xf borderId="45" fillId="44" fontId="19" numFmtId="0" xfId="0" applyAlignment="1" applyBorder="1" applyFill="1" applyFont="1">
      <alignment horizontal="center" readingOrder="0" shrinkToFit="0" vertical="center" wrapText="0"/>
    </xf>
    <xf borderId="67" fillId="33" fontId="32" numFmtId="0" xfId="0" applyAlignment="1" applyBorder="1" applyFill="1" applyFont="1">
      <alignment horizontal="center" readingOrder="0" vertical="center"/>
    </xf>
    <xf borderId="68" fillId="47" fontId="32" numFmtId="0" xfId="0" applyAlignment="1" applyBorder="1" applyFill="1" applyFont="1">
      <alignment horizontal="center" readingOrder="0" vertical="center"/>
    </xf>
    <xf borderId="68" fillId="47" fontId="32" numFmtId="1" xfId="0" applyAlignment="1" applyBorder="1" applyFill="1" applyFont="1" applyNumberFormat="1">
      <alignment horizontal="left" readingOrder="0" vertical="center"/>
    </xf>
    <xf borderId="68" fillId="47" fontId="32" numFmtId="0" xfId="0" applyAlignment="1" applyBorder="1" applyFill="1" applyFont="1">
      <alignment horizontal="center" readingOrder="0" vertical="center"/>
    </xf>
    <xf borderId="46" fillId="44" fontId="19" numFmtId="0" xfId="0" applyAlignment="1" applyBorder="1" applyFill="1" applyFont="1">
      <alignment horizontal="center" readingOrder="0" shrinkToFit="0" vertical="center" wrapText="0"/>
    </xf>
    <xf borderId="71" fillId="47" fontId="32" numFmtId="0" xfId="0" applyAlignment="1" applyBorder="1" applyFill="1" applyFont="1">
      <alignment horizontal="center" readingOrder="0" vertical="center"/>
    </xf>
    <xf borderId="47" fillId="44" fontId="19" numFmtId="164" xfId="0" applyAlignment="1" applyBorder="1" applyFill="1" applyFont="1" applyNumberFormat="1">
      <alignment horizontal="center" readingOrder="0" shrinkToFit="0" vertical="center" wrapText="0"/>
    </xf>
    <xf borderId="29" fillId="48" fontId="15" numFmtId="164" xfId="0" applyAlignment="1" applyBorder="1" applyFill="1" applyFont="1" applyNumberFormat="1">
      <alignment horizontal="center" readingOrder="0" shrinkToFit="0" vertical="center" wrapText="0"/>
    </xf>
    <xf borderId="51" fillId="48" fontId="34" numFmtId="164" xfId="0" applyAlignment="1" applyBorder="1" applyFill="1" applyFont="1" applyNumberFormat="1">
      <alignment horizontal="left" vertical="center"/>
    </xf>
    <xf borderId="0" fillId="22" fontId="6" numFmtId="0" xfId="0" applyAlignment="1" applyFill="1" applyFont="1">
      <alignment horizontal="center" vertical="center"/>
    </xf>
    <xf borderId="42" fillId="48" fontId="19" numFmtId="0" xfId="0" applyAlignment="1" applyBorder="1" applyFill="1" applyFont="1">
      <alignment horizontal="center" shrinkToFit="0" vertical="center" wrapText="0"/>
    </xf>
    <xf borderId="0" fillId="49" fontId="2" numFmtId="0" xfId="0" applyFill="1" applyFont="1"/>
    <xf borderId="31" fillId="48" fontId="19" numFmtId="0" xfId="0" applyAlignment="1" applyBorder="1" applyFill="1" applyFont="1">
      <alignment horizontal="center" readingOrder="0" shrinkToFit="0" vertical="center" wrapText="0"/>
    </xf>
    <xf borderId="43" fillId="48" fontId="19" numFmtId="0" xfId="0" applyAlignment="1" applyBorder="1" applyFill="1" applyFont="1">
      <alignment horizontal="center" readingOrder="0" shrinkToFit="0" vertical="center" wrapText="0"/>
    </xf>
    <xf borderId="44" fillId="48" fontId="19" numFmtId="164" xfId="0" applyAlignment="1" applyBorder="1" applyFill="1" applyFont="1" applyNumberFormat="1">
      <alignment horizontal="center" readingOrder="0" shrinkToFit="0" vertical="center" wrapText="0"/>
    </xf>
    <xf borderId="34" fillId="48" fontId="26" numFmtId="164" xfId="0" applyAlignment="1" applyBorder="1" applyFill="1" applyFont="1" applyNumberFormat="1">
      <alignment horizontal="left" readingOrder="0" shrinkToFit="0" vertical="center" wrapText="0"/>
    </xf>
    <xf borderId="0" fillId="24" fontId="6" numFmtId="0" xfId="0" applyAlignment="1" applyFill="1" applyFont="1">
      <alignment horizontal="center" vertical="center"/>
    </xf>
    <xf borderId="0" fillId="50" fontId="2" numFmtId="0" xfId="0" applyFill="1" applyFont="1"/>
    <xf borderId="45" fillId="48" fontId="19" numFmtId="0" xfId="0" applyAlignment="1" applyBorder="1" applyFill="1" applyFont="1">
      <alignment horizontal="center" readingOrder="0" shrinkToFit="0" vertical="center" wrapText="0"/>
    </xf>
    <xf borderId="46" fillId="48" fontId="19" numFmtId="0" xfId="0" applyAlignment="1" applyBorder="1" applyFill="1" applyFont="1">
      <alignment horizontal="center" readingOrder="0" shrinkToFit="0" vertical="center" wrapText="0"/>
    </xf>
    <xf borderId="47" fillId="48" fontId="19" numFmtId="164" xfId="0" applyAlignment="1" applyBorder="1" applyFill="1" applyFont="1" applyNumberFormat="1">
      <alignment horizontal="center" readingOrder="0" shrinkToFit="0" vertical="center" wrapText="0"/>
    </xf>
    <xf borderId="25" fillId="3" fontId="5" numFmtId="0" xfId="0" applyAlignment="1" applyBorder="1" applyFill="1" applyFont="1">
      <alignment horizontal="center" shrinkToFit="0" vertical="center" wrapText="0"/>
    </xf>
    <xf borderId="28" fillId="3" fontId="5" numFmtId="0" xfId="0" applyAlignment="1" applyBorder="1" applyFill="1" applyFont="1">
      <alignment horizontal="center" shrinkToFit="0" vertical="center" wrapText="0"/>
    </xf>
    <xf borderId="30" fillId="3" fontId="5" numFmtId="0" xfId="0" applyAlignment="1" applyBorder="1" applyFill="1" applyFont="1">
      <alignment horizontal="center" shrinkToFit="0" vertical="center" wrapText="0"/>
    </xf>
    <xf borderId="0" fillId="51" fontId="2" numFmtId="0" xfId="0" applyFill="1" applyFont="1"/>
    <xf borderId="0" fillId="2" fontId="37" numFmtId="0" xfId="0" applyAlignment="1" applyFill="1" applyFont="1">
      <alignment readingOrder="0" vertical="center"/>
    </xf>
    <xf borderId="0" fillId="2" fontId="16" numFmtId="0" xfId="0" applyAlignment="1" applyFill="1" applyFont="1">
      <alignment readingOrder="0" vertical="center"/>
    </xf>
    <xf borderId="0" fillId="2" fontId="37" numFmtId="0" xfId="0" applyAlignment="1" applyFill="1" applyFont="1">
      <alignment vertical="center"/>
    </xf>
    <xf borderId="1" fillId="3" fontId="37" numFmtId="0" xfId="0" applyAlignment="1" applyBorder="1" applyFill="1" applyFont="1">
      <alignment readingOrder="0" vertical="center"/>
    </xf>
    <xf borderId="4" fillId="3" fontId="16" numFmtId="0" xfId="0" applyAlignment="1" applyBorder="1" applyFill="1" applyFont="1">
      <alignment readingOrder="0" vertical="center"/>
    </xf>
    <xf borderId="6" fillId="3" fontId="37" numFmtId="0" xfId="0" applyAlignment="1" applyBorder="1" applyFill="1" applyFont="1">
      <alignment vertical="center"/>
    </xf>
    <xf borderId="0" fillId="25" fontId="6" numFmtId="0" xfId="0" applyAlignment="1" applyFill="1" applyFont="1">
      <alignment horizontal="center" vertical="center"/>
    </xf>
    <xf borderId="7" fillId="3" fontId="37" numFmtId="0" xfId="0" applyAlignment="1" applyBorder="1" applyFill="1" applyFont="1">
      <alignment readingOrder="0" vertical="center"/>
    </xf>
    <xf borderId="0" fillId="52" fontId="2" numFmtId="0" xfId="0" applyFill="1" applyFont="1"/>
    <xf borderId="8" fillId="4" fontId="38" numFmtId="0" xfId="0" applyAlignment="1" applyBorder="1" applyFill="1" applyFont="1">
      <alignment horizontal="center" readingOrder="0" vertical="center"/>
    </xf>
    <xf borderId="68" fillId="5" fontId="32" numFmtId="1" xfId="0" applyAlignment="1" applyBorder="1" applyFill="1" applyFont="1" applyNumberFormat="1">
      <alignment horizontal="left" readingOrder="0" shrinkToFit="0" vertical="center" wrapText="0"/>
    </xf>
    <xf borderId="11" fillId="3" fontId="38" numFmtId="0" xfId="0" applyAlignment="1" applyBorder="1" applyFill="1" applyFont="1">
      <alignment horizontal="center" readingOrder="0" vertical="center"/>
    </xf>
    <xf borderId="0" fillId="2" fontId="38" numFmtId="0" xfId="0" applyAlignment="1" applyFill="1" applyFont="1">
      <alignment horizontal="center" readingOrder="0" vertical="center"/>
    </xf>
    <xf borderId="8" fillId="4" fontId="29" numFmtId="0" xfId="0" applyAlignment="1" applyBorder="1" applyFill="1" applyFont="1">
      <alignment horizontal="center" readingOrder="0" vertical="center"/>
    </xf>
    <xf borderId="72" fillId="0" fontId="9" numFmtId="0" xfId="0" applyBorder="1" applyFont="1"/>
    <xf borderId="73" fillId="4" fontId="39" numFmtId="0" xfId="0" applyAlignment="1" applyBorder="1" applyFill="1" applyFont="1">
      <alignment horizontal="center" readingOrder="0" vertical="center"/>
    </xf>
    <xf borderId="73" fillId="4" fontId="29" numFmtId="0" xfId="0" applyAlignment="1" applyBorder="1" applyFill="1" applyFont="1">
      <alignment horizontal="center" readingOrder="0" vertical="center"/>
    </xf>
    <xf borderId="11" fillId="3" fontId="29" numFmtId="0" xfId="0" applyAlignment="1" applyBorder="1" applyFill="1" applyFont="1">
      <alignment horizontal="center" readingOrder="0" vertical="center"/>
    </xf>
    <xf borderId="0" fillId="2" fontId="29" numFmtId="0" xfId="0" applyAlignment="1" applyFill="1" applyFont="1">
      <alignment horizontal="center" readingOrder="0" vertical="center"/>
    </xf>
    <xf borderId="0" fillId="3" fontId="16" numFmtId="0" xfId="0" applyAlignment="1" applyFill="1" applyFont="1">
      <alignment readingOrder="0" vertical="center"/>
    </xf>
    <xf borderId="11" fillId="3" fontId="16" numFmtId="0" xfId="0" applyAlignment="1" applyBorder="1" applyFill="1" applyFont="1">
      <alignment vertical="center"/>
    </xf>
    <xf borderId="0" fillId="2" fontId="16" numFmtId="0" xfId="0" applyAlignment="1" applyFill="1" applyFont="1">
      <alignment vertical="center"/>
    </xf>
    <xf borderId="0" fillId="2" fontId="40" numFmtId="0" xfId="0" applyAlignment="1" applyFill="1" applyFont="1">
      <alignment vertical="center"/>
    </xf>
    <xf borderId="7" fillId="3" fontId="40" numFmtId="0" xfId="0" applyAlignment="1" applyBorder="1" applyFill="1" applyFont="1">
      <alignment vertical="center"/>
    </xf>
    <xf borderId="18" fillId="33" fontId="38" numFmtId="0" xfId="0" applyAlignment="1" applyBorder="1" applyFill="1" applyFont="1">
      <alignment horizontal="center" readingOrder="0" vertical="center"/>
    </xf>
    <xf borderId="7" fillId="3" fontId="37" numFmtId="0" xfId="0" applyAlignment="1" applyBorder="1" applyFill="1" applyFont="1">
      <alignment vertical="center"/>
    </xf>
    <xf borderId="0" fillId="26" fontId="6" numFmtId="0" xfId="0" applyAlignment="1" applyFill="1" applyFont="1">
      <alignment horizontal="center" vertical="center"/>
    </xf>
    <xf borderId="0" fillId="53" fontId="2" numFmtId="0" xfId="0" applyFill="1" applyFont="1"/>
    <xf borderId="18" fillId="4" fontId="41" numFmtId="0" xfId="0" applyAlignment="1" applyBorder="1" applyFill="1" applyFont="1">
      <alignment horizontal="center" vertical="center"/>
    </xf>
    <xf borderId="64" fillId="0" fontId="9" numFmtId="0" xfId="0" applyBorder="1" applyFont="1"/>
    <xf borderId="60" fillId="4" fontId="41" numFmtId="0" xfId="0" applyAlignment="1" applyBorder="1" applyFill="1" applyFont="1">
      <alignment horizontal="center" readingOrder="0" vertical="center"/>
    </xf>
    <xf borderId="11" fillId="3" fontId="32" numFmtId="0" xfId="0" applyAlignment="1" applyBorder="1" applyFill="1" applyFont="1">
      <alignment horizontal="center" readingOrder="0" vertical="center"/>
    </xf>
    <xf borderId="67" fillId="38" fontId="32" numFmtId="1" xfId="0" applyAlignment="1" applyBorder="1" applyFill="1" applyFont="1" applyNumberFormat="1">
      <alignment horizontal="center" readingOrder="0" shrinkToFit="0" vertical="center" wrapText="0"/>
    </xf>
    <xf borderId="69" fillId="5" fontId="32" numFmtId="1" xfId="0" applyAlignment="1" applyBorder="1" applyFill="1" applyFont="1" applyNumberFormat="1">
      <alignment horizontal="center" readingOrder="0" shrinkToFit="0" vertical="center" wrapText="0"/>
    </xf>
    <xf borderId="71" fillId="38" fontId="32" numFmtId="0" xfId="0" applyAlignment="1" applyBorder="1" applyFill="1" applyFont="1">
      <alignment horizontal="center" readingOrder="0" vertical="center"/>
    </xf>
    <xf borderId="27" fillId="4" fontId="41" numFmtId="0" xfId="0" applyAlignment="1" applyBorder="1" applyFill="1" applyFont="1">
      <alignment horizontal="center" vertical="center"/>
    </xf>
    <xf borderId="11" fillId="3" fontId="42" numFmtId="0" xfId="0" applyAlignment="1" applyBorder="1" applyFill="1" applyFont="1">
      <alignment horizontal="center" readingOrder="0" vertical="center"/>
    </xf>
    <xf borderId="74" fillId="2" fontId="42" numFmtId="0" xfId="0" applyAlignment="1" applyBorder="1" applyFill="1" applyFont="1">
      <alignment horizontal="center" readingOrder="0" vertical="center"/>
    </xf>
    <xf borderId="37" fillId="5" fontId="41" numFmtId="0" xfId="0" applyAlignment="1" applyBorder="1" applyFill="1" applyFont="1">
      <alignment horizontal="center" vertical="center"/>
    </xf>
    <xf borderId="70" fillId="0" fontId="9" numFmtId="0" xfId="0" applyBorder="1" applyFont="1"/>
    <xf borderId="0" fillId="27" fontId="6" numFmtId="0" xfId="0" applyAlignment="1" applyFill="1" applyFont="1">
      <alignment horizontal="center" vertical="center"/>
    </xf>
    <xf borderId="68" fillId="5" fontId="41" numFmtId="0" xfId="0" applyAlignment="1" applyBorder="1" applyFill="1" applyFont="1">
      <alignment horizontal="center" vertical="center"/>
    </xf>
    <xf borderId="0" fillId="54" fontId="6" numFmtId="0" xfId="0" applyFill="1" applyFont="1"/>
    <xf borderId="70" fillId="5" fontId="43" numFmtId="0" xfId="0" applyAlignment="1" applyBorder="1" applyFill="1" applyFont="1">
      <alignment readingOrder="0"/>
    </xf>
    <xf borderId="69" fillId="5" fontId="41" numFmtId="0" xfId="0" applyAlignment="1" applyBorder="1" applyFill="1" applyFont="1">
      <alignment horizontal="center" readingOrder="0" vertical="center"/>
    </xf>
    <xf borderId="0" fillId="2" fontId="42" numFmtId="0" xfId="0" applyAlignment="1" applyFill="1" applyFont="1">
      <alignment horizontal="center" readingOrder="0" vertical="center"/>
    </xf>
    <xf borderId="37" fillId="4" fontId="41" numFmtId="0" xfId="0" applyAlignment="1" applyBorder="1" applyFill="1" applyFont="1">
      <alignment horizontal="center" vertical="center"/>
    </xf>
    <xf borderId="68" fillId="4" fontId="41" numFmtId="0" xfId="0" applyAlignment="1" applyBorder="1" applyFill="1" applyFont="1">
      <alignment horizontal="center" vertical="center"/>
    </xf>
    <xf borderId="69" fillId="4" fontId="41" numFmtId="0" xfId="0" applyAlignment="1" applyBorder="1" applyFill="1" applyFont="1">
      <alignment horizontal="center" vertical="center"/>
    </xf>
    <xf borderId="67" fillId="38" fontId="32" numFmtId="0" xfId="0" applyAlignment="1" applyBorder="1" applyFill="1" applyFont="1">
      <alignment horizontal="center" readingOrder="0" vertical="center"/>
    </xf>
    <xf borderId="68" fillId="5" fontId="32" numFmtId="0" xfId="0" applyAlignment="1" applyBorder="1" applyFill="1" applyFont="1">
      <alignment horizontal="left" readingOrder="0" vertical="center"/>
    </xf>
    <xf borderId="69" fillId="5" fontId="41" numFmtId="0" xfId="0" applyAlignment="1" applyBorder="1" applyFill="1" applyFont="1">
      <alignment horizontal="center" vertical="center"/>
    </xf>
    <xf borderId="0" fillId="3" fontId="42" numFmtId="0" xfId="0" applyAlignment="1" applyFill="1" applyFont="1">
      <alignment horizontal="center" vertical="center"/>
    </xf>
    <xf borderId="11" fillId="3" fontId="42" numFmtId="0" xfId="0" applyAlignment="1" applyBorder="1" applyFill="1" applyFont="1">
      <alignment horizontal="center" vertical="center"/>
    </xf>
    <xf borderId="0" fillId="2" fontId="42" numFmtId="0" xfId="0" applyAlignment="1" applyFill="1" applyFont="1">
      <alignment horizontal="center" vertical="center"/>
    </xf>
    <xf borderId="69" fillId="5" fontId="32" numFmtId="0" xfId="0" applyAlignment="1" applyBorder="1" applyFill="1" applyFont="1">
      <alignment horizontal="center" readingOrder="0" vertical="center"/>
    </xf>
    <xf borderId="60" fillId="4" fontId="41" numFmtId="0" xfId="0" applyAlignment="1" applyBorder="1" applyFill="1" applyFont="1">
      <alignment horizontal="center" vertical="center"/>
    </xf>
    <xf borderId="0" fillId="27" fontId="10" numFmtId="0" xfId="0" applyAlignment="1" applyFill="1" applyFont="1">
      <alignment horizontal="center" vertical="center"/>
    </xf>
    <xf borderId="0" fillId="54" fontId="6" numFmtId="0" xfId="0" applyAlignment="1" applyFill="1" applyFont="1">
      <alignment vertical="bottom"/>
    </xf>
    <xf borderId="69" fillId="4" fontId="41" numFmtId="0" xfId="0" applyAlignment="1" applyBorder="1" applyFill="1" applyFont="1">
      <alignment horizontal="center" readingOrder="0" vertical="center"/>
    </xf>
    <xf borderId="0" fillId="3" fontId="31" numFmtId="0" xfId="0" applyAlignment="1" applyFill="1" applyFont="1">
      <alignment horizontal="left" readingOrder="0" vertical="center"/>
    </xf>
    <xf borderId="0" fillId="3" fontId="31" numFmtId="0" xfId="0" applyAlignment="1" applyFill="1" applyFont="1">
      <alignment horizontal="center" readingOrder="0" vertical="center"/>
    </xf>
    <xf borderId="0" fillId="3" fontId="9" numFmtId="0" xfId="0" applyFill="1" applyFont="1"/>
    <xf borderId="0" fillId="41" fontId="31" numFmtId="0" xfId="0" applyAlignment="1" applyFill="1" applyFont="1">
      <alignment horizontal="left" readingOrder="0" vertical="center"/>
    </xf>
    <xf borderId="0" fillId="4" fontId="31" numFmtId="0" xfId="0" applyAlignment="1" applyFill="1" applyFont="1">
      <alignment horizontal="center" readingOrder="0" vertical="center"/>
    </xf>
    <xf borderId="0" fillId="43" fontId="2" numFmtId="0" xfId="0" applyFill="1" applyFont="1"/>
    <xf borderId="69" fillId="5" fontId="9" numFmtId="0" xfId="0" applyBorder="1" applyFill="1" applyFont="1"/>
    <xf borderId="0" fillId="23" fontId="6" numFmtId="0" xfId="0" applyAlignment="1" applyFill="1" applyFont="1">
      <alignment horizontal="center" vertical="center"/>
    </xf>
    <xf borderId="11" fillId="2" fontId="10" numFmtId="0" xfId="0" applyBorder="1" applyFill="1" applyFont="1"/>
    <xf borderId="0" fillId="3" fontId="10" numFmtId="0" xfId="0" applyFill="1" applyFont="1"/>
    <xf borderId="40" fillId="3" fontId="10" numFmtId="0" xfId="0" applyBorder="1" applyFill="1" applyFont="1"/>
    <xf borderId="11" fillId="3" fontId="10" numFmtId="0" xfId="0" applyBorder="1" applyFill="1" applyFont="1"/>
    <xf borderId="38" fillId="3" fontId="10" numFmtId="0" xfId="0" applyBorder="1" applyFill="1" applyFont="1"/>
    <xf borderId="67" fillId="38" fontId="5" numFmtId="0" xfId="0" applyAlignment="1" applyBorder="1" applyFill="1" applyFont="1">
      <alignment horizontal="center" readingOrder="0" vertical="center"/>
    </xf>
    <xf borderId="40" fillId="33" fontId="38" numFmtId="0" xfId="0" applyAlignment="1" applyBorder="1" applyFill="1" applyFont="1">
      <alignment horizontal="center"/>
    </xf>
    <xf borderId="68" fillId="5" fontId="5" numFmtId="0" xfId="0" applyAlignment="1" applyBorder="1" applyFill="1" applyFont="1">
      <alignment horizontal="left" readingOrder="0" vertical="center"/>
    </xf>
    <xf borderId="11" fillId="3" fontId="10" numFmtId="0" xfId="0" applyBorder="1" applyFill="1" applyFont="1"/>
    <xf borderId="0" fillId="54" fontId="31" numFmtId="0" xfId="0" applyAlignment="1" applyFill="1" applyFont="1">
      <alignment horizontal="left" readingOrder="0" vertical="center"/>
    </xf>
    <xf borderId="69" fillId="5" fontId="5" numFmtId="0" xfId="0" applyAlignment="1" applyBorder="1" applyFill="1" applyFont="1">
      <alignment horizontal="center" readingOrder="0" vertical="center"/>
    </xf>
    <xf borderId="0" fillId="2" fontId="10" numFmtId="0" xfId="0" applyFill="1" applyFont="1"/>
    <xf borderId="0" fillId="4" fontId="6" numFmtId="0" xfId="0" applyAlignment="1" applyFill="1" applyFont="1">
      <alignment horizontal="center"/>
    </xf>
    <xf borderId="0" fillId="2" fontId="6" numFmtId="0" xfId="0" applyAlignment="1" applyFill="1" applyFont="1">
      <alignment horizontal="center" readingOrder="0" vertical="center"/>
    </xf>
    <xf borderId="0" fillId="3" fontId="6" numFmtId="0" xfId="0" applyAlignment="1" applyFill="1" applyFont="1">
      <alignment horizontal="center" readingOrder="0" vertical="center"/>
    </xf>
    <xf borderId="0" fillId="4" fontId="44" numFmtId="0" xfId="0" applyAlignment="1" applyFill="1" applyFont="1">
      <alignment horizontal="center" vertical="center"/>
    </xf>
    <xf borderId="0" fillId="3" fontId="44" numFmtId="0" xfId="0" applyAlignment="1" applyFill="1" applyFont="1">
      <alignment horizontal="center" vertical="center"/>
    </xf>
    <xf borderId="0" fillId="34" fontId="6" numFmtId="0" xfId="0" applyAlignment="1" applyFill="1" applyFont="1">
      <alignment horizontal="center" vertical="center"/>
    </xf>
    <xf borderId="0" fillId="4" fontId="41" numFmtId="0" xfId="0" applyAlignment="1" applyFill="1" applyFont="1">
      <alignment horizontal="center"/>
    </xf>
    <xf borderId="70" fillId="4" fontId="41" numFmtId="0" xfId="0" applyAlignment="1" applyBorder="1" applyFill="1" applyFont="1">
      <alignment horizontal="center"/>
    </xf>
    <xf borderId="0" fillId="5" fontId="41" numFmtId="0" xfId="0" applyAlignment="1" applyFill="1" applyFont="1">
      <alignment horizontal="center"/>
    </xf>
    <xf borderId="67" fillId="38" fontId="5" numFmtId="0" xfId="0" applyAlignment="1" applyBorder="1" applyFill="1" applyFont="1">
      <alignment horizontal="center" vertical="center"/>
    </xf>
    <xf borderId="70" fillId="5" fontId="41" numFmtId="0" xfId="0" applyAlignment="1" applyBorder="1" applyFill="1" applyFont="1">
      <alignment horizontal="center"/>
    </xf>
    <xf borderId="0" fillId="55" fontId="6" numFmtId="0" xfId="0" applyAlignment="1" applyFill="1" applyFont="1">
      <alignment horizontal="center" vertical="center"/>
    </xf>
    <xf borderId="0" fillId="5" fontId="5" numFmtId="0" xfId="0" applyAlignment="1" applyFill="1" applyFont="1">
      <alignment horizontal="center"/>
    </xf>
    <xf borderId="0" fillId="56" fontId="31" numFmtId="0" xfId="0" applyAlignment="1" applyFill="1" applyFont="1">
      <alignment horizontal="left" readingOrder="0" vertical="center"/>
    </xf>
    <xf borderId="0" fillId="19" fontId="31" numFmtId="0" xfId="0" applyAlignment="1" applyFill="1" applyFont="1">
      <alignment horizontal="center" readingOrder="0" vertical="center"/>
    </xf>
    <xf borderId="0" fillId="57" fontId="6" numFmtId="0" xfId="0" applyAlignment="1" applyFill="1" applyFont="1">
      <alignment horizontal="center" vertical="center"/>
    </xf>
    <xf borderId="0" fillId="58" fontId="6" numFmtId="0" xfId="0" applyAlignment="1" applyFill="1" applyFont="1">
      <alignment horizontal="center" vertical="center"/>
    </xf>
    <xf borderId="0" fillId="59" fontId="31" numFmtId="0" xfId="0" applyAlignment="1" applyFill="1" applyFont="1">
      <alignment horizontal="left" readingOrder="0" vertical="center"/>
    </xf>
    <xf borderId="0" fillId="5" fontId="31" numFmtId="0" xfId="0" applyAlignment="1" applyFill="1" applyFont="1">
      <alignment horizontal="left" readingOrder="0" vertical="center"/>
    </xf>
    <xf borderId="0" fillId="60" fontId="6" numFmtId="0" xfId="0" applyAlignment="1" applyFill="1" applyFont="1">
      <alignment horizontal="center" vertical="center"/>
    </xf>
    <xf borderId="0" fillId="61" fontId="31" numFmtId="0" xfId="0" applyAlignment="1" applyFill="1" applyFont="1">
      <alignment horizontal="left" readingOrder="0" vertical="center"/>
    </xf>
    <xf borderId="0" fillId="62" fontId="6" numFmtId="0" xfId="0" applyAlignment="1" applyFill="1" applyFont="1">
      <alignment horizontal="center" vertical="center"/>
    </xf>
    <xf borderId="0" fillId="63" fontId="31" numFmtId="0" xfId="0" applyAlignment="1" applyFill="1" applyFont="1">
      <alignment horizontal="left" readingOrder="0" vertical="center"/>
    </xf>
    <xf borderId="0" fillId="64" fontId="6" numFmtId="0" xfId="0" applyAlignment="1" applyFill="1" applyFont="1">
      <alignment horizontal="center" vertical="center"/>
    </xf>
    <xf borderId="0" fillId="65" fontId="31" numFmtId="0" xfId="0" applyAlignment="1" applyFill="1" applyFont="1">
      <alignment horizontal="left" readingOrder="0" vertical="center"/>
    </xf>
    <xf borderId="75" fillId="4" fontId="5" numFmtId="0" xfId="0" applyAlignment="1" applyBorder="1" applyFill="1" applyFont="1">
      <alignment horizontal="center" readingOrder="0" shrinkToFit="0" vertical="center" wrapText="0"/>
    </xf>
    <xf borderId="0" fillId="2" fontId="2" numFmtId="0" xfId="0" applyAlignment="1" applyFill="1" applyFont="1">
      <alignment horizontal="center" readingOrder="0" vertical="center"/>
    </xf>
    <xf borderId="0" fillId="3" fontId="2" numFmtId="0" xfId="0" applyAlignment="1" applyFill="1" applyFont="1">
      <alignment horizontal="center" readingOrder="0" vertical="center"/>
    </xf>
    <xf borderId="0" fillId="12" fontId="6" numFmtId="0" xfId="0" applyAlignment="1" applyFill="1" applyFont="1">
      <alignment horizontal="center" vertical="center"/>
    </xf>
    <xf borderId="9" fillId="4" fontId="5" numFmtId="0" xfId="0" applyAlignment="1" applyBorder="1" applyFill="1" applyFont="1">
      <alignment horizontal="center" vertical="center"/>
    </xf>
    <xf borderId="0" fillId="51" fontId="31" numFmtId="0" xfId="0" applyAlignment="1" applyFill="1" applyFont="1">
      <alignment horizontal="left" readingOrder="0" vertical="center"/>
    </xf>
    <xf borderId="0" fillId="54" fontId="6" numFmtId="0" xfId="0" applyAlignment="1" applyFill="1" applyFont="1">
      <alignment vertical="bottom"/>
    </xf>
    <xf borderId="7" fillId="3" fontId="10" numFmtId="0" xfId="0" applyBorder="1" applyFill="1" applyFont="1"/>
    <xf borderId="0" fillId="66" fontId="31" numFmtId="0" xfId="0" applyAlignment="1" applyFill="1" applyFont="1">
      <alignment horizontal="left" readingOrder="0" vertical="center"/>
    </xf>
    <xf borderId="0" fillId="17" fontId="6" numFmtId="0" xfId="0" applyAlignment="1" applyFill="1" applyFont="1">
      <alignment horizontal="left" vertical="center"/>
    </xf>
    <xf borderId="0" fillId="2" fontId="10" numFmtId="0" xfId="0" applyAlignment="1" applyFill="1" applyFont="1">
      <alignment readingOrder="0"/>
    </xf>
    <xf borderId="0" fillId="13" fontId="6" numFmtId="0" xfId="0" applyAlignment="1" applyFill="1" applyFont="1">
      <alignment horizontal="center" vertical="center"/>
    </xf>
    <xf borderId="0" fillId="4" fontId="45" numFmtId="0" xfId="0" applyAlignment="1" applyFill="1" applyFont="1">
      <alignment horizontal="center" readingOrder="0" vertical="center"/>
    </xf>
    <xf borderId="76" fillId="2" fontId="42" numFmtId="0" xfId="0" applyAlignment="1" applyBorder="1" applyFill="1" applyFont="1">
      <alignment horizontal="center" readingOrder="0" vertical="center"/>
    </xf>
    <xf borderId="77" fillId="5" fontId="32" numFmtId="1" xfId="0" applyAlignment="1" applyBorder="1" applyFill="1" applyFont="1" applyNumberFormat="1">
      <alignment horizontal="left" readingOrder="0" vertical="center"/>
    </xf>
    <xf borderId="46" fillId="5" fontId="32" numFmtId="1" xfId="0" applyAlignment="1" applyBorder="1" applyFill="1" applyFont="1" applyNumberFormat="1">
      <alignment horizontal="left" readingOrder="0" vertical="center"/>
    </xf>
    <xf borderId="78" fillId="5" fontId="32" numFmtId="1" xfId="0" applyAlignment="1" applyBorder="1" applyFill="1" applyFont="1" applyNumberFormat="1">
      <alignment horizontal="left" readingOrder="0" vertical="center"/>
    </xf>
    <xf borderId="71" fillId="5" fontId="32" numFmtId="0" xfId="0" applyAlignment="1" applyBorder="1" applyFill="1" applyFont="1">
      <alignment horizontal="center" readingOrder="0" vertical="center"/>
    </xf>
    <xf borderId="0" fillId="50" fontId="31" numFmtId="0" xfId="0" applyAlignment="1" applyFill="1" applyFont="1">
      <alignment horizontal="left" readingOrder="0" vertical="center"/>
    </xf>
    <xf borderId="0" fillId="19" fontId="45" numFmtId="0" xfId="0" applyAlignment="1" applyFill="1" applyFont="1">
      <alignment horizontal="center" readingOrder="0" vertical="center"/>
    </xf>
    <xf borderId="0" fillId="54" fontId="6" numFmtId="0" xfId="0" applyFill="1" applyFont="1"/>
    <xf borderId="0" fillId="53" fontId="31" numFmtId="0" xfId="0" applyAlignment="1" applyFill="1" applyFont="1">
      <alignment horizontal="left" readingOrder="0" vertical="center"/>
    </xf>
    <xf borderId="25" fillId="3" fontId="37" numFmtId="0" xfId="0" applyAlignment="1" applyBorder="1" applyFill="1" applyFont="1">
      <alignment vertical="center"/>
    </xf>
    <xf borderId="28" fillId="3" fontId="41" numFmtId="0" xfId="0" applyAlignment="1" applyBorder="1" applyFill="1" applyFont="1">
      <alignment horizontal="center" vertical="center"/>
    </xf>
    <xf borderId="30" fillId="3" fontId="37" numFmtId="0" xfId="0" applyAlignment="1" applyBorder="1" applyFill="1" applyFont="1">
      <alignment vertical="center"/>
    </xf>
    <xf borderId="0" fillId="2" fontId="41" numFmtId="0" xfId="0" applyAlignment="1" applyFill="1" applyFont="1">
      <alignment horizontal="center" vertical="center"/>
    </xf>
    <xf borderId="60" fillId="5" fontId="46" numFmtId="1" xfId="0" applyAlignment="1" applyBorder="1" applyFill="1" applyFont="1" applyNumberFormat="1">
      <alignment vertical="bottom"/>
    </xf>
    <xf borderId="0" fillId="17" fontId="47" numFmtId="0" xfId="0" applyAlignment="1" applyFill="1" applyFont="1">
      <alignment horizontal="center" readingOrder="0" vertical="center"/>
    </xf>
    <xf borderId="0" fillId="17" fontId="47" numFmtId="0" xfId="0" applyAlignment="1" applyFill="1" applyFont="1">
      <alignment horizontal="left" readingOrder="0" vertical="center"/>
    </xf>
    <xf borderId="0" fillId="4" fontId="6" numFmtId="0" xfId="0" applyAlignment="1" applyFill="1" applyFont="1">
      <alignment horizontal="center" readingOrder="0" vertical="center"/>
    </xf>
    <xf borderId="0" fillId="4" fontId="44" numFmtId="0" xfId="0" applyAlignment="1" applyFill="1" applyFont="1">
      <alignment horizontal="center" readingOrder="0" vertical="center"/>
    </xf>
    <xf borderId="0" fillId="19" fontId="44" numFmtId="0" xfId="0" applyAlignment="1" applyFill="1" applyFont="1">
      <alignment horizontal="center" readingOrder="0" vertical="center"/>
    </xf>
    <xf borderId="0" fillId="2" fontId="31" numFmtId="0" xfId="0" applyAlignment="1" applyFill="1" applyFont="1">
      <alignment horizontal="center" readingOrder="0" vertical="center"/>
    </xf>
    <xf borderId="25" fillId="3" fontId="5" numFmtId="0" xfId="0" applyAlignment="1" applyBorder="1" applyFill="1" applyFont="1">
      <alignment horizontal="center" vertical="center"/>
    </xf>
    <xf borderId="28" fillId="3" fontId="5" numFmtId="0" xfId="0" applyAlignment="1" applyBorder="1" applyFill="1" applyFont="1">
      <alignment horizontal="center" vertical="center"/>
    </xf>
    <xf borderId="0" fillId="2" fontId="1" numFmtId="0" xfId="0" applyAlignment="1" applyFill="1" applyFont="1">
      <alignment horizontal="center" readingOrder="0" vertical="center"/>
    </xf>
    <xf borderId="0" fillId="2" fontId="5" numFmtId="0" xfId="0" applyAlignment="1" applyFill="1" applyFont="1">
      <alignment horizontal="center" readingOrder="0" vertical="center"/>
    </xf>
    <xf borderId="0" fillId="2" fontId="1" numFmtId="0" xfId="0" applyAlignment="1" applyFill="1" applyFont="1">
      <alignment horizontal="center" vertical="center"/>
    </xf>
    <xf borderId="0" fillId="2" fontId="19" numFmtId="0" xfId="0" applyAlignment="1" applyFill="1" applyFont="1">
      <alignment horizontal="center" vertical="center"/>
    </xf>
    <xf borderId="0" fillId="2" fontId="5" numFmtId="0" xfId="0" applyAlignment="1" applyFill="1" applyFont="1">
      <alignment horizontal="center" vertical="center"/>
    </xf>
    <xf borderId="4" fillId="2" fontId="5" numFmtId="0" xfId="0" applyAlignment="1" applyBorder="1" applyFill="1" applyFont="1">
      <alignment horizontal="center" vertical="center"/>
    </xf>
    <xf borderId="1" fillId="3" fontId="1" numFmtId="0" xfId="0" applyAlignment="1" applyBorder="1" applyFill="1" applyFont="1">
      <alignment horizontal="center" vertical="center"/>
    </xf>
    <xf borderId="4" fillId="3" fontId="1" numFmtId="0" xfId="0" applyAlignment="1" applyBorder="1" applyFill="1" applyFont="1">
      <alignment horizontal="center" vertical="center"/>
    </xf>
    <xf borderId="6" fillId="3" fontId="1" numFmtId="0" xfId="0" applyAlignment="1" applyBorder="1" applyFill="1" applyFont="1">
      <alignment horizontal="center" vertical="center"/>
    </xf>
    <xf borderId="8" fillId="4" fontId="8" numFmtId="0" xfId="0" applyAlignment="1" applyBorder="1" applyFill="1" applyFont="1">
      <alignment horizontal="center" readingOrder="0" vertical="center"/>
    </xf>
    <xf borderId="11" fillId="3" fontId="8" numFmtId="0" xfId="0" applyAlignment="1" applyBorder="1" applyFill="1" applyFont="1">
      <alignment horizontal="center" readingOrder="0" vertical="center"/>
    </xf>
    <xf borderId="0" fillId="2" fontId="8" numFmtId="0" xfId="0" applyAlignment="1" applyFill="1" applyFont="1">
      <alignment horizontal="center" readingOrder="0" vertical="center"/>
    </xf>
    <xf borderId="7" fillId="3" fontId="1" numFmtId="0" xfId="0" applyAlignment="1" applyBorder="1" applyFill="1" applyFont="1">
      <alignment horizontal="center" vertical="center"/>
    </xf>
    <xf borderId="0" fillId="3" fontId="1" numFmtId="0" xfId="0" applyAlignment="1" applyFill="1" applyFont="1">
      <alignment horizontal="center" vertical="center"/>
    </xf>
    <xf borderId="11" fillId="3" fontId="1" numFmtId="0" xfId="0" applyAlignment="1" applyBorder="1" applyFill="1" applyFont="1">
      <alignment horizontal="center" vertical="center"/>
    </xf>
    <xf borderId="8" fillId="67" fontId="5" numFmtId="0" xfId="0" applyAlignment="1" applyBorder="1" applyFill="1" applyFont="1">
      <alignment horizontal="center" readingOrder="0" vertical="center"/>
    </xf>
    <xf borderId="0" fillId="19" fontId="44" numFmtId="0" xfId="0" applyAlignment="1" applyFill="1" applyFont="1">
      <alignment horizontal="center" vertical="center"/>
    </xf>
    <xf borderId="73" fillId="67" fontId="5" numFmtId="0" xfId="0" applyAlignment="1" applyBorder="1" applyFill="1" applyFont="1">
      <alignment horizontal="center" readingOrder="0" vertical="center"/>
    </xf>
    <xf borderId="9" fillId="67" fontId="5" numFmtId="0" xfId="0" applyAlignment="1" applyBorder="1" applyFill="1" applyFont="1">
      <alignment horizontal="center" readingOrder="0" vertical="center"/>
    </xf>
    <xf borderId="8" fillId="68" fontId="5" numFmtId="0" xfId="0" applyAlignment="1" applyBorder="1" applyFill="1" applyFont="1">
      <alignment horizontal="center" readingOrder="0" vertical="center"/>
    </xf>
    <xf borderId="73" fillId="68" fontId="5" numFmtId="0" xfId="0" applyAlignment="1" applyBorder="1" applyFill="1" applyFont="1">
      <alignment horizontal="center" readingOrder="0" vertical="center"/>
    </xf>
    <xf borderId="9" fillId="68" fontId="5" numFmtId="0" xfId="0" applyAlignment="1" applyBorder="1" applyFill="1" applyFont="1">
      <alignment horizontal="center" readingOrder="0" vertical="center"/>
    </xf>
    <xf borderId="10" fillId="68" fontId="5" numFmtId="0" xfId="0" applyAlignment="1" applyBorder="1" applyFill="1" applyFont="1">
      <alignment horizontal="center" readingOrder="0" vertical="center"/>
    </xf>
    <xf borderId="0" fillId="3" fontId="45" numFmtId="0" xfId="0" applyAlignment="1" applyFill="1" applyFont="1">
      <alignment horizontal="center" readingOrder="0" vertical="center"/>
    </xf>
    <xf borderId="79" fillId="5" fontId="1" numFmtId="0" xfId="0" applyAlignment="1" applyBorder="1" applyFill="1" applyFont="1">
      <alignment horizontal="center" readingOrder="0" vertical="center"/>
    </xf>
    <xf borderId="46" fillId="5" fontId="1" numFmtId="0" xfId="0" applyAlignment="1" applyBorder="1" applyFill="1" applyFont="1">
      <alignment horizontal="center" readingOrder="0" vertical="center"/>
    </xf>
    <xf borderId="68" fillId="5" fontId="46" numFmtId="1" xfId="0" applyAlignment="1" applyBorder="1" applyFill="1" applyFont="1" applyNumberFormat="1">
      <alignment vertical="bottom"/>
    </xf>
    <xf borderId="46" fillId="5" fontId="1" numFmtId="0" xfId="0" applyAlignment="1" applyBorder="1" applyFill="1" applyFont="1">
      <alignment horizontal="center" vertical="center"/>
    </xf>
    <xf borderId="47" fillId="5" fontId="1" numFmtId="0" xfId="0" applyAlignment="1" applyBorder="1" applyFill="1" applyFont="1">
      <alignment horizontal="center" vertical="center"/>
    </xf>
    <xf borderId="68" fillId="5" fontId="46" numFmtId="0" xfId="0" applyAlignment="1" applyBorder="1" applyFill="1" applyFont="1">
      <alignment vertical="bottom"/>
    </xf>
    <xf borderId="80" fillId="5" fontId="1" numFmtId="0" xfId="0" applyAlignment="1" applyBorder="1" applyFill="1" applyFont="1">
      <alignment horizontal="center" readingOrder="0" vertical="center"/>
    </xf>
    <xf borderId="51" fillId="5" fontId="1" numFmtId="0" xfId="0" applyAlignment="1" applyBorder="1" applyFill="1" applyFont="1">
      <alignment horizontal="center" readingOrder="0" vertical="center"/>
    </xf>
    <xf borderId="69" fillId="5" fontId="46" numFmtId="0" xfId="0" applyAlignment="1" applyBorder="1" applyFill="1" applyFont="1">
      <alignment vertical="bottom"/>
    </xf>
    <xf borderId="0" fillId="3" fontId="45" numFmtId="0" xfId="0" applyAlignment="1" applyFill="1" applyFont="1">
      <alignment horizontal="left" readingOrder="0" vertical="center"/>
    </xf>
    <xf borderId="81" fillId="5" fontId="1" numFmtId="0" xfId="0" applyAlignment="1" applyBorder="1" applyFill="1" applyFont="1">
      <alignment horizontal="center" readingOrder="0" vertical="center"/>
    </xf>
    <xf borderId="43" fillId="5" fontId="1" numFmtId="0" xfId="0" applyAlignment="1" applyBorder="1" applyFill="1" applyFont="1">
      <alignment horizontal="center" readingOrder="0" vertical="center"/>
    </xf>
    <xf borderId="82" fillId="5" fontId="5" numFmtId="0" xfId="0" applyAlignment="1" applyBorder="1" applyFill="1" applyFont="1">
      <alignment horizontal="center" readingOrder="0" vertical="center"/>
    </xf>
    <xf borderId="59" fillId="5" fontId="1" numFmtId="0" xfId="0" applyAlignment="1" applyBorder="1" applyFill="1" applyFont="1">
      <alignment horizontal="center" vertical="center"/>
    </xf>
    <xf borderId="83" fillId="0" fontId="9" numFmtId="0" xfId="0" applyBorder="1" applyFont="1"/>
    <xf borderId="0" fillId="69" fontId="31" numFmtId="0" xfId="0" applyAlignment="1" applyFill="1" applyFont="1">
      <alignment horizontal="left" readingOrder="0" vertical="center"/>
    </xf>
    <xf borderId="7" fillId="3" fontId="1" numFmtId="0" xfId="0" applyAlignment="1" applyBorder="1" applyFill="1" applyFont="1">
      <alignment horizontal="center" shrinkToFit="0" vertical="center" wrapText="0"/>
    </xf>
    <xf borderId="48" fillId="4" fontId="5" numFmtId="0" xfId="0" applyAlignment="1" applyBorder="1" applyFill="1" applyFont="1">
      <alignment horizontal="center" readingOrder="0" shrinkToFit="0" vertical="center" wrapText="0"/>
    </xf>
    <xf borderId="84" fillId="0" fontId="9" numFmtId="0" xfId="0" applyBorder="1" applyFont="1"/>
    <xf borderId="0" fillId="41" fontId="31" numFmtId="0" xfId="0" applyAlignment="1" applyFill="1" applyFont="1">
      <alignment horizontal="center" readingOrder="0" vertical="center"/>
    </xf>
    <xf borderId="0" fillId="19" fontId="31" numFmtId="0" xfId="0" applyAlignment="1" applyFill="1" applyFont="1">
      <alignment horizontal="left" readingOrder="0" vertical="center"/>
    </xf>
    <xf borderId="48" fillId="4" fontId="48" numFmtId="0" xfId="0" applyAlignment="1" applyBorder="1" applyFill="1" applyFont="1">
      <alignment horizontal="center" readingOrder="0" shrinkToFit="0" vertical="center" wrapText="0"/>
    </xf>
    <xf borderId="0" fillId="3" fontId="1" numFmtId="0" xfId="0" applyAlignment="1" applyFill="1" applyFont="1">
      <alignment horizontal="center" shrinkToFit="0" vertical="center" wrapText="0"/>
    </xf>
    <xf borderId="25" fillId="3" fontId="10" numFmtId="0" xfId="0" applyBorder="1" applyFill="1" applyFont="1"/>
    <xf borderId="28" fillId="3" fontId="10" numFmtId="0" xfId="0" applyBorder="1" applyFill="1" applyFont="1"/>
    <xf borderId="30" fillId="3" fontId="10" numFmtId="0" xfId="0" applyBorder="1" applyFill="1" applyFont="1"/>
    <xf borderId="11" fillId="3" fontId="1" numFmtId="0" xfId="0" applyAlignment="1" applyBorder="1" applyFill="1" applyFont="1">
      <alignment horizontal="center" shrinkToFit="0" vertical="center" wrapText="0"/>
    </xf>
    <xf borderId="22" fillId="4" fontId="5" numFmtId="0" xfId="0" applyAlignment="1" applyBorder="1" applyFill="1" applyFont="1">
      <alignment horizontal="center" readingOrder="0" shrinkToFit="0" vertical="center" wrapText="0"/>
    </xf>
    <xf borderId="0" fillId="69" fontId="31" numFmtId="0" xfId="0" applyAlignment="1" applyFill="1" applyFont="1">
      <alignment horizontal="center" readingOrder="0" vertical="center"/>
    </xf>
    <xf borderId="59" fillId="4" fontId="5" numFmtId="0" xfId="0" applyAlignment="1" applyBorder="1" applyFill="1" applyFont="1">
      <alignment horizontal="center" readingOrder="0" shrinkToFit="0" vertical="center" wrapText="0"/>
    </xf>
    <xf borderId="0" fillId="46" fontId="31" numFmtId="0" xfId="0" applyAlignment="1" applyFill="1" applyFont="1">
      <alignment horizontal="left" readingOrder="0" vertical="center"/>
    </xf>
    <xf borderId="0" fillId="46" fontId="31" numFmtId="0" xfId="0" applyAlignment="1" applyFill="1" applyFont="1">
      <alignment horizontal="center" readingOrder="0" vertical="center"/>
    </xf>
    <xf borderId="0" fillId="49" fontId="31" numFmtId="0" xfId="0" applyAlignment="1" applyFill="1" applyFont="1">
      <alignment horizontal="left" readingOrder="0" vertical="center"/>
    </xf>
    <xf borderId="0" fillId="17" fontId="6" numFmtId="0" xfId="0" applyAlignment="1" applyFill="1" applyFont="1">
      <alignment horizontal="center" readingOrder="0" vertical="center"/>
    </xf>
    <xf borderId="0" fillId="17" fontId="6" numFmtId="0" xfId="0" applyAlignment="1" applyFill="1" applyFont="1">
      <alignment horizontal="left" readingOrder="0" vertical="center"/>
    </xf>
    <xf borderId="16" fillId="3" fontId="1" numFmtId="0" xfId="0" applyAlignment="1" applyBorder="1" applyFill="1" applyFont="1">
      <alignment horizontal="center" shrinkToFit="0" vertical="center" wrapText="0"/>
    </xf>
    <xf borderId="0" fillId="3" fontId="1" numFmtId="0" xfId="0" applyAlignment="1" applyFill="1" applyFont="1">
      <alignment horizontal="center" vertical="center"/>
    </xf>
    <xf borderId="85" fillId="3" fontId="1" numFmtId="0" xfId="0" applyAlignment="1" applyBorder="1" applyFill="1" applyFont="1">
      <alignment horizontal="center" vertical="center"/>
    </xf>
    <xf borderId="73" fillId="67" fontId="5" numFmtId="0" xfId="0" applyAlignment="1" applyBorder="1" applyFill="1" applyFont="1">
      <alignment horizontal="center" readingOrder="0" vertical="center"/>
    </xf>
    <xf borderId="9" fillId="67" fontId="5" numFmtId="0" xfId="0" applyAlignment="1" applyBorder="1" applyFill="1" applyFont="1">
      <alignment horizontal="center" readingOrder="0" vertical="center"/>
    </xf>
    <xf borderId="8" fillId="68" fontId="5" numFmtId="0" xfId="0" applyAlignment="1" applyBorder="1" applyFill="1" applyFont="1">
      <alignment horizontal="center" readingOrder="0" vertical="center"/>
    </xf>
    <xf borderId="73" fillId="68" fontId="5" numFmtId="0" xfId="0" applyAlignment="1" applyBorder="1" applyFill="1" applyFont="1">
      <alignment horizontal="center" readingOrder="0" vertical="center"/>
    </xf>
    <xf borderId="9" fillId="68" fontId="5" numFmtId="0" xfId="0" applyAlignment="1" applyBorder="1" applyFill="1" applyFont="1">
      <alignment horizontal="center" readingOrder="0" vertical="center"/>
    </xf>
    <xf borderId="10" fillId="68" fontId="5" numFmtId="0" xfId="0" applyAlignment="1" applyBorder="1" applyFill="1" applyFont="1">
      <alignment horizontal="center" readingOrder="0" vertical="center"/>
    </xf>
    <xf borderId="0" fillId="54" fontId="45" numFmtId="0" xfId="0" applyAlignment="1" applyFill="1" applyFont="1">
      <alignment horizontal="left" readingOrder="0" vertical="center"/>
    </xf>
    <xf borderId="0" fillId="54" fontId="44" numFmtId="0" xfId="0" applyFill="1" applyFont="1"/>
    <xf borderId="46" fillId="5" fontId="1" numFmtId="0" xfId="0" applyAlignment="1" applyBorder="1" applyFill="1" applyFont="1">
      <alignment horizontal="center" readingOrder="0" vertical="center"/>
    </xf>
    <xf borderId="79" fillId="5" fontId="1" numFmtId="0" xfId="0" applyAlignment="1" applyBorder="1" applyFill="1" applyFont="1">
      <alignment horizontal="center" readingOrder="0" vertical="center"/>
    </xf>
    <xf borderId="0" fillId="70" fontId="31" numFmtId="0" xfId="0" applyAlignment="1" applyFill="1" applyFont="1">
      <alignment horizontal="left" readingOrder="0" vertical="center"/>
    </xf>
    <xf borderId="0" fillId="4" fontId="10" numFmtId="0" xfId="0" applyFill="1" applyFont="1"/>
    <xf borderId="0" fillId="3" fontId="49" numFmtId="0" xfId="0" applyAlignment="1" applyFill="1" applyFont="1">
      <alignment horizontal="center" readingOrder="0" vertical="center"/>
    </xf>
    <xf borderId="0" fillId="2" fontId="49" numFmtId="0" xfId="0" applyAlignment="1" applyFill="1" applyFont="1">
      <alignment horizontal="center" readingOrder="0" vertical="center"/>
    </xf>
    <xf borderId="0" fillId="52" fontId="31" numFmtId="0" xfId="0" applyAlignment="1" applyFill="1" applyFont="1">
      <alignment horizontal="left" readingOrder="0" vertical="center"/>
    </xf>
    <xf borderId="0" fillId="31" fontId="2" numFmtId="0" xfId="0" applyAlignment="1" applyFill="1" applyFont="1">
      <alignment readingOrder="0" vertical="center"/>
    </xf>
    <xf borderId="51" fillId="5" fontId="1" numFmtId="0" xfId="0" applyAlignment="1" applyBorder="1" applyFill="1" applyFont="1">
      <alignment horizontal="center" readingOrder="0" vertical="center"/>
    </xf>
    <xf borderId="80" fillId="5" fontId="1" numFmtId="0" xfId="0" applyAlignment="1" applyBorder="1" applyFill="1" applyFont="1">
      <alignment horizontal="center" readingOrder="0" vertical="center"/>
    </xf>
    <xf borderId="0" fillId="71" fontId="31" numFmtId="0" xfId="0" applyAlignment="1" applyFill="1" applyFont="1">
      <alignment horizontal="left" readingOrder="0" vertical="center"/>
    </xf>
    <xf borderId="0" fillId="72" fontId="49" numFmtId="0" xfId="0" applyAlignment="1" applyFill="1" applyFont="1">
      <alignment horizontal="left" readingOrder="0" vertical="center"/>
    </xf>
    <xf borderId="43" fillId="5" fontId="1" numFmtId="0" xfId="0" applyAlignment="1" applyBorder="1" applyFill="1" applyFont="1">
      <alignment horizontal="center" readingOrder="0" vertical="center"/>
    </xf>
    <xf borderId="81" fillId="5" fontId="1" numFmtId="0" xfId="0" applyAlignment="1" applyBorder="1" applyFill="1" applyFont="1">
      <alignment horizontal="center" readingOrder="0" vertical="center"/>
    </xf>
    <xf borderId="0" fillId="51" fontId="31" numFmtId="0" xfId="0" applyAlignment="1" applyFill="1" applyFont="1">
      <alignment horizontal="center" readingOrder="0" vertical="center"/>
    </xf>
    <xf borderId="0" fillId="49" fontId="31" numFmtId="0" xfId="0" applyAlignment="1" applyFill="1" applyFont="1">
      <alignment horizontal="center" readingOrder="0" vertical="center"/>
    </xf>
    <xf borderId="47" fillId="5" fontId="1" numFmtId="0" xfId="0" applyAlignment="1" applyBorder="1" applyFill="1" applyFont="1">
      <alignment horizontal="center" readingOrder="0" vertical="center"/>
    </xf>
    <xf borderId="59" fillId="5" fontId="1" numFmtId="0" xfId="0" applyAlignment="1" applyBorder="1" applyFill="1" applyFont="1">
      <alignment horizontal="center" vertical="center"/>
    </xf>
    <xf borderId="82" fillId="5" fontId="5" numFmtId="0" xfId="0" applyAlignment="1" applyBorder="1" applyFill="1" applyFont="1">
      <alignment horizontal="center" readingOrder="0" vertical="center"/>
    </xf>
    <xf borderId="0" fillId="23" fontId="44" numFmtId="0" xfId="0" applyAlignment="1" applyFill="1" applyFont="1">
      <alignment horizontal="center" vertical="center"/>
    </xf>
    <xf borderId="0" fillId="50" fontId="49" numFmtId="0" xfId="0" applyAlignment="1" applyFill="1" applyFont="1">
      <alignment horizontal="left" readingOrder="0" vertical="center"/>
    </xf>
    <xf borderId="0" fillId="52" fontId="31" numFmtId="0" xfId="0" applyAlignment="1" applyFill="1" applyFont="1">
      <alignment horizontal="center" readingOrder="0" vertical="center"/>
    </xf>
    <xf borderId="0" fillId="58" fontId="44" numFmtId="0" xfId="0" applyAlignment="1" applyFill="1" applyFont="1">
      <alignment horizontal="center" vertical="center"/>
    </xf>
    <xf borderId="0" fillId="53" fontId="31" numFmtId="0" xfId="0" applyAlignment="1" applyFill="1" applyFont="1">
      <alignment horizontal="center" readingOrder="0" vertical="center"/>
    </xf>
    <xf borderId="0" fillId="50" fontId="31" numFmtId="0" xfId="0" applyAlignment="1" applyFill="1" applyFont="1">
      <alignment horizontal="center" readingOrder="0" vertical="center"/>
    </xf>
    <xf borderId="86" fillId="5" fontId="1" numFmtId="0" xfId="0" applyAlignment="1" applyBorder="1" applyFill="1" applyFont="1">
      <alignment horizontal="center" readingOrder="0"/>
    </xf>
    <xf borderId="49" fillId="5" fontId="1" numFmtId="0" xfId="0" applyAlignment="1" applyBorder="1" applyFill="1" applyFont="1">
      <alignment horizontal="center" readingOrder="0"/>
    </xf>
    <xf borderId="50" fillId="5" fontId="1" numFmtId="0" xfId="0" applyAlignment="1" applyBorder="1" applyFill="1" applyFont="1">
      <alignment horizontal="center"/>
    </xf>
    <xf borderId="84" fillId="5" fontId="1" numFmtId="0" xfId="0" applyAlignment="1" applyBorder="1" applyFill="1" applyFont="1">
      <alignment horizontal="center" readingOrder="0"/>
    </xf>
    <xf borderId="0" fillId="5" fontId="41" numFmtId="0" xfId="0" applyAlignment="1" applyFill="1" applyFont="1">
      <alignment horizontal="center" vertical="center"/>
    </xf>
    <xf borderId="49" fillId="5" fontId="1" numFmtId="0" xfId="0" applyAlignment="1" applyBorder="1" applyFill="1" applyFont="1">
      <alignment horizontal="center" readingOrder="0" vertical="center"/>
    </xf>
    <xf borderId="50" fillId="5" fontId="1" numFmtId="0" xfId="0" applyAlignment="1" applyBorder="1" applyFill="1" applyFont="1">
      <alignment horizontal="center" vertical="center"/>
    </xf>
    <xf borderId="49" fillId="5" fontId="1" numFmtId="0" xfId="0" applyAlignment="1" applyBorder="1" applyFill="1" applyFont="1">
      <alignment horizontal="center" vertical="center"/>
    </xf>
    <xf borderId="86" fillId="5" fontId="1" numFmtId="0" xfId="0" applyAlignment="1" applyBorder="1" applyFill="1" applyFont="1">
      <alignment horizontal="center"/>
    </xf>
    <xf borderId="87" fillId="5" fontId="50" numFmtId="0" xfId="0" applyAlignment="1" applyBorder="1" applyFill="1" applyFont="1">
      <alignment horizontal="center"/>
    </xf>
    <xf borderId="58" fillId="5" fontId="5" numFmtId="0" xfId="0" applyAlignment="1" applyBorder="1" applyFill="1" applyFont="1">
      <alignment horizontal="center" readingOrder="0" vertical="center"/>
    </xf>
    <xf borderId="84" fillId="5" fontId="1" numFmtId="0" xfId="0" applyAlignment="1" applyBorder="1" applyFill="1" applyFont="1">
      <alignment horizontal="center"/>
    </xf>
    <xf borderId="87" fillId="5" fontId="51" numFmtId="0" xfId="0" applyAlignment="1" applyBorder="1" applyFill="1" applyFont="1">
      <alignment horizontal="center"/>
    </xf>
    <xf borderId="0" fillId="63" fontId="45" numFmtId="0" xfId="0" applyAlignment="1" applyFill="1" applyFont="1">
      <alignment horizontal="left" readingOrder="0" vertical="center"/>
    </xf>
    <xf borderId="79" fillId="5" fontId="1" numFmtId="0" xfId="0" applyAlignment="1" applyBorder="1" applyFill="1" applyFont="1">
      <alignment horizontal="center" readingOrder="0"/>
    </xf>
    <xf borderId="46" fillId="5" fontId="10" numFmtId="0" xfId="0" applyAlignment="1" applyBorder="1" applyFill="1" applyFont="1">
      <alignment horizontal="center" readingOrder="0"/>
    </xf>
    <xf borderId="47" fillId="5" fontId="1" numFmtId="0" xfId="0" applyAlignment="1" applyBorder="1" applyFill="1" applyFont="1">
      <alignment horizontal="center"/>
    </xf>
    <xf borderId="78" fillId="5" fontId="1" numFmtId="0" xfId="0" applyAlignment="1" applyBorder="1" applyFill="1" applyFont="1">
      <alignment horizontal="center" readingOrder="0"/>
    </xf>
    <xf borderId="46" fillId="5" fontId="10" numFmtId="0" xfId="0" applyAlignment="1" applyBorder="1" applyFill="1" applyFont="1">
      <alignment readingOrder="0"/>
    </xf>
    <xf borderId="18" fillId="5" fontId="41" numFmtId="0" xfId="0" applyAlignment="1" applyBorder="1" applyFill="1" applyFont="1">
      <alignment horizontal="center" vertical="center"/>
    </xf>
    <xf borderId="48" fillId="4" fontId="52" numFmtId="0" xfId="0" applyAlignment="1" applyBorder="1" applyFill="1" applyFont="1">
      <alignment horizontal="center" readingOrder="0" shrinkToFit="0" vertical="center" wrapText="0"/>
    </xf>
    <xf borderId="46" fillId="5" fontId="10" numFmtId="0" xfId="0" applyAlignment="1" applyBorder="1" applyFill="1" applyFont="1">
      <alignment horizontal="center"/>
    </xf>
    <xf borderId="60" fillId="5" fontId="41" numFmtId="0" xfId="0" applyAlignment="1" applyBorder="1" applyFill="1" applyFont="1">
      <alignment horizontal="center" readingOrder="0" vertical="center"/>
    </xf>
    <xf borderId="0" fillId="73" fontId="6" numFmtId="0" xfId="0" applyAlignment="1" applyFill="1" applyFont="1">
      <alignment horizontal="center" vertical="center"/>
    </xf>
    <xf borderId="46" fillId="5" fontId="10" numFmtId="0" xfId="0" applyAlignment="1" applyBorder="1" applyFill="1" applyFont="1">
      <alignment horizontal="center" readingOrder="0" vertical="center"/>
    </xf>
    <xf borderId="46" fillId="5" fontId="10" numFmtId="0" xfId="0" applyAlignment="1" applyBorder="1" applyFill="1" applyFont="1">
      <alignment horizontal="center" vertical="center"/>
    </xf>
    <xf borderId="79" fillId="5" fontId="1" numFmtId="0" xfId="0" applyAlignment="1" applyBorder="1" applyFill="1" applyFont="1">
      <alignment horizontal="center"/>
    </xf>
    <xf borderId="27" fillId="5" fontId="41" numFmtId="0" xfId="0" applyAlignment="1" applyBorder="1" applyFill="1" applyFont="1">
      <alignment horizontal="center" vertical="center"/>
    </xf>
    <xf borderId="46" fillId="5" fontId="10" numFmtId="0" xfId="0" applyBorder="1" applyFill="1" applyFont="1"/>
    <xf borderId="78" fillId="5" fontId="1" numFmtId="0" xfId="0" applyAlignment="1" applyBorder="1" applyFill="1" applyFont="1">
      <alignment horizontal="center"/>
    </xf>
    <xf borderId="0" fillId="4" fontId="41" numFmtId="0" xfId="0" applyAlignment="1" applyFill="1" applyFont="1">
      <alignment horizontal="center" vertical="center"/>
    </xf>
    <xf borderId="60" fillId="5" fontId="41" numFmtId="0" xfId="0" applyAlignment="1" applyBorder="1" applyFill="1" applyFont="1">
      <alignment horizontal="center" vertical="center"/>
    </xf>
    <xf borderId="88" fillId="0" fontId="9" numFmtId="0" xfId="0" applyBorder="1" applyFont="1"/>
    <xf borderId="49" fillId="4" fontId="5" numFmtId="0" xfId="0" applyAlignment="1" applyBorder="1" applyFill="1" applyFont="1">
      <alignment horizontal="center" readingOrder="0" shrinkToFit="0" vertical="center" wrapText="0"/>
    </xf>
    <xf borderId="0" fillId="56" fontId="31" numFmtId="0" xfId="0" applyAlignment="1" applyFill="1" applyFont="1">
      <alignment horizontal="center" readingOrder="0" vertical="center"/>
    </xf>
    <xf borderId="0" fillId="66" fontId="31" numFmtId="0" xfId="0" applyAlignment="1" applyFill="1" applyFont="1">
      <alignment horizontal="center" readingOrder="0" vertical="center"/>
    </xf>
    <xf borderId="0" fillId="59" fontId="31" numFmtId="0" xfId="0" applyAlignment="1" applyFill="1" applyFont="1">
      <alignment horizontal="center" readingOrder="0" vertical="center"/>
    </xf>
    <xf borderId="0" fillId="74" fontId="31" numFmtId="0" xfId="0" applyAlignment="1" applyFill="1" applyFont="1">
      <alignment horizontal="center" readingOrder="0" vertical="center"/>
    </xf>
    <xf borderId="0" fillId="75" fontId="31" numFmtId="0" xfId="0" applyAlignment="1" applyFill="1" applyFont="1">
      <alignment horizontal="center" readingOrder="0" vertical="center"/>
    </xf>
    <xf borderId="0" fillId="3" fontId="1" numFmtId="0" xfId="0" applyAlignment="1" applyFill="1" applyFont="1">
      <alignment horizontal="center" shrinkToFit="0" vertical="center" wrapText="0"/>
    </xf>
    <xf borderId="0" fillId="76" fontId="31" numFmtId="0" xfId="0" applyAlignment="1" applyFill="1" applyFont="1">
      <alignment horizontal="left" readingOrder="0" vertical="center"/>
    </xf>
    <xf borderId="52" fillId="5" fontId="5" numFmtId="0" xfId="0" applyAlignment="1" applyBorder="1" applyFill="1" applyFont="1">
      <alignment horizontal="center"/>
    </xf>
    <xf borderId="40" fillId="5" fontId="1" numFmtId="0" xfId="0" applyAlignment="1" applyBorder="1" applyFill="1" applyFont="1">
      <alignment horizontal="center"/>
    </xf>
    <xf borderId="55" fillId="5" fontId="5" numFmtId="0" xfId="0" applyAlignment="1" applyBorder="1" applyFill="1" applyFont="1">
      <alignment horizontal="center"/>
    </xf>
    <xf borderId="89" fillId="77" fontId="23" numFmtId="0" xfId="0" applyAlignment="1" applyBorder="1" applyFill="1" applyFont="1">
      <alignment horizontal="center" readingOrder="0" vertical="center"/>
    </xf>
    <xf borderId="40" fillId="5" fontId="1" numFmtId="0" xfId="0" applyAlignment="1" applyBorder="1" applyFill="1" applyFont="1">
      <alignment horizontal="center" vertical="center"/>
    </xf>
    <xf borderId="89" fillId="77" fontId="7" numFmtId="0" xfId="0" applyAlignment="1" applyBorder="1" applyFill="1" applyFont="1">
      <alignment horizontal="center" vertical="center"/>
    </xf>
    <xf borderId="89" fillId="77" fontId="23" numFmtId="0" xfId="0" applyAlignment="1" applyBorder="1" applyFill="1" applyFont="1">
      <alignment horizontal="center" vertical="center"/>
    </xf>
    <xf borderId="0" fillId="78" fontId="16" numFmtId="0" xfId="0" applyAlignment="1" applyFill="1" applyFont="1">
      <alignment vertical="center"/>
    </xf>
    <xf borderId="37" fillId="0" fontId="14" numFmtId="0" xfId="0" applyAlignment="1" applyBorder="1" applyFont="1">
      <alignment horizontal="center" readingOrder="0" vertical="center"/>
    </xf>
    <xf borderId="90" fillId="0" fontId="14" numFmtId="0" xfId="0" applyAlignment="1" applyBorder="1" applyFont="1">
      <alignment horizontal="center" readingOrder="0" vertical="center"/>
    </xf>
    <xf borderId="8" fillId="0" fontId="14" numFmtId="0" xfId="0" applyAlignment="1" applyBorder="1" applyFont="1">
      <alignment horizontal="center" readingOrder="0" vertical="center"/>
    </xf>
    <xf borderId="0" fillId="0" fontId="14" numFmtId="0" xfId="0" applyAlignment="1" applyFont="1">
      <alignment horizontal="center" readingOrder="0" vertical="center"/>
    </xf>
    <xf borderId="8" fillId="4" fontId="14" numFmtId="0" xfId="0" applyAlignment="1" applyBorder="1" applyFill="1" applyFont="1">
      <alignment horizontal="center" readingOrder="0" vertical="center"/>
    </xf>
    <xf borderId="91" fillId="0" fontId="53" numFmtId="0" xfId="0" applyAlignment="1" applyBorder="1" applyFont="1">
      <alignment horizontal="center"/>
    </xf>
    <xf borderId="69" fillId="0" fontId="54" numFmtId="0" xfId="0" applyAlignment="1" applyBorder="1" applyFont="1">
      <alignment horizontal="center" readingOrder="0" shrinkToFit="0" vertical="center" wrapText="0"/>
    </xf>
    <xf borderId="77" fillId="0" fontId="54" numFmtId="0" xfId="0" applyAlignment="1" applyBorder="1" applyFont="1">
      <alignment horizontal="center" readingOrder="0" shrinkToFit="0" vertical="center" wrapText="0"/>
    </xf>
    <xf borderId="89" fillId="78" fontId="16" numFmtId="0" xfId="0" applyAlignment="1" applyBorder="1" applyFill="1" applyFont="1">
      <alignment horizontal="center" vertical="center"/>
    </xf>
    <xf borderId="91" fillId="78" fontId="55" numFmtId="0" xfId="0" applyBorder="1" applyFill="1" applyFont="1"/>
    <xf borderId="8" fillId="67" fontId="5" numFmtId="0" xfId="0" applyAlignment="1" applyBorder="1" applyFill="1" applyFont="1">
      <alignment horizontal="center" readingOrder="0" vertical="center"/>
    </xf>
    <xf borderId="44" fillId="78" fontId="55" numFmtId="0" xfId="0" applyAlignment="1" applyBorder="1" applyFill="1" applyFont="1">
      <alignment horizontal="center"/>
    </xf>
    <xf borderId="0" fillId="78" fontId="16" numFmtId="0" xfId="0" applyAlignment="1" applyFill="1" applyFont="1">
      <alignment horizontal="center" readingOrder="0" vertical="center"/>
    </xf>
    <xf borderId="0" fillId="0" fontId="14" numFmtId="0" xfId="0" applyAlignment="1" applyFont="1">
      <alignment horizontal="center" vertical="center"/>
    </xf>
    <xf borderId="18" fillId="0" fontId="14" numFmtId="0" xfId="0" applyAlignment="1" applyBorder="1" applyFont="1">
      <alignment horizontal="center" readingOrder="0" vertical="center"/>
    </xf>
    <xf borderId="65" fillId="0" fontId="14" numFmtId="0" xfId="0" applyAlignment="1" applyBorder="1" applyFont="1">
      <alignment horizontal="center" readingOrder="0" vertical="center"/>
    </xf>
    <xf borderId="12" fillId="0" fontId="14" numFmtId="0" xfId="0" applyAlignment="1" applyBorder="1" applyFont="1">
      <alignment horizontal="center" readingOrder="0" vertical="center"/>
    </xf>
    <xf borderId="57" fillId="0" fontId="14" numFmtId="0" xfId="0" applyAlignment="1" applyBorder="1" applyFont="1">
      <alignment horizontal="center" readingOrder="0" vertical="center"/>
    </xf>
    <xf borderId="27" fillId="0" fontId="14" numFmtId="0" xfId="0" applyAlignment="1" applyBorder="1" applyFont="1">
      <alignment horizontal="center" readingOrder="0" vertical="center"/>
    </xf>
    <xf borderId="32" fillId="0" fontId="14" numFmtId="0" xfId="0" applyAlignment="1" applyBorder="1" applyFont="1">
      <alignment horizontal="center" readingOrder="0" vertical="center"/>
    </xf>
    <xf borderId="0" fillId="3" fontId="5" numFmtId="0" xfId="0" applyAlignment="1" applyFill="1" applyFont="1">
      <alignment horizontal="center" readingOrder="0" vertical="center"/>
    </xf>
    <xf borderId="27" fillId="0" fontId="14" numFmtId="1" xfId="0" applyAlignment="1" applyBorder="1" applyFont="1" applyNumberFormat="1">
      <alignment horizontal="center" readingOrder="0" vertical="center"/>
    </xf>
    <xf borderId="27" fillId="78" fontId="56" numFmtId="0" xfId="0" applyAlignment="1" applyBorder="1" applyFill="1" applyFont="1">
      <alignment horizontal="center"/>
    </xf>
    <xf borderId="27" fillId="0" fontId="9" numFmtId="0" xfId="0" applyAlignment="1" applyBorder="1" applyFont="1">
      <alignment horizontal="center" vertical="center"/>
    </xf>
    <xf borderId="0" fillId="3" fontId="1" numFmtId="0" xfId="0" applyAlignment="1" applyFill="1" applyFont="1">
      <alignment horizontal="center" readingOrder="0" vertical="center"/>
    </xf>
    <xf borderId="0" fillId="3" fontId="57" numFmtId="0" xfId="0" applyAlignment="1" applyFill="1" applyFont="1">
      <alignment horizontal="center" readingOrder="0" vertical="center"/>
    </xf>
    <xf borderId="0" fillId="79" fontId="31" numFmtId="0" xfId="0" applyAlignment="1" applyFill="1" applyFont="1">
      <alignment horizontal="center" readingOrder="0" vertical="center"/>
    </xf>
    <xf borderId="0" fillId="3" fontId="58" numFmtId="0" xfId="0" applyAlignment="1" applyFill="1" applyFont="1">
      <alignment horizontal="center" readingOrder="0" vertical="center"/>
    </xf>
    <xf borderId="49" fillId="5" fontId="1" numFmtId="0" xfId="0" applyAlignment="1" applyBorder="1" applyFill="1" applyFont="1">
      <alignment horizontal="center"/>
    </xf>
    <xf borderId="49" fillId="5" fontId="1" numFmtId="0" xfId="0" applyAlignment="1" applyBorder="1" applyFill="1" applyFont="1">
      <alignment horizontal="center" readingOrder="0" vertical="bottom"/>
    </xf>
    <xf borderId="0" fillId="3" fontId="59" numFmtId="0" xfId="0" applyAlignment="1" applyFill="1" applyFont="1">
      <alignment horizontal="center" readingOrder="0" vertical="center"/>
    </xf>
    <xf borderId="50" fillId="5" fontId="1" numFmtId="0" xfId="0" applyAlignment="1" applyBorder="1" applyFill="1" applyFont="1">
      <alignment horizontal="center" vertical="bottom"/>
    </xf>
    <xf borderId="49" fillId="5" fontId="1" numFmtId="0" xfId="0" applyAlignment="1" applyBorder="1" applyFill="1" applyFont="1">
      <alignment horizontal="center" vertical="bottom"/>
    </xf>
    <xf borderId="0" fillId="3" fontId="60" numFmtId="0" xfId="0" applyAlignment="1" applyFill="1" applyFont="1">
      <alignment horizontal="center" readingOrder="0" vertical="center"/>
    </xf>
    <xf borderId="46" fillId="5" fontId="10" numFmtId="0" xfId="0" applyAlignment="1" applyBorder="1" applyFill="1" applyFont="1">
      <alignment horizontal="center" vertical="bottom"/>
    </xf>
    <xf borderId="46" fillId="5" fontId="10" numFmtId="0" xfId="0" applyAlignment="1" applyBorder="1" applyFill="1" applyFont="1">
      <alignment horizontal="center" readingOrder="0" vertical="bottom"/>
    </xf>
    <xf borderId="47" fillId="5" fontId="1" numFmtId="0" xfId="0" applyAlignment="1" applyBorder="1" applyFill="1" applyFont="1">
      <alignment horizontal="center" vertical="bottom"/>
    </xf>
    <xf borderId="0" fillId="3" fontId="61" numFmtId="0" xfId="0" applyAlignment="1" applyFill="1" applyFont="1">
      <alignment horizontal="center" readingOrder="0" vertical="center"/>
    </xf>
    <xf borderId="46" fillId="5" fontId="10" numFmtId="0" xfId="0" applyAlignment="1" applyBorder="1" applyFill="1" applyFont="1">
      <alignment readingOrder="0" vertical="bottom"/>
    </xf>
    <xf borderId="27" fillId="78" fontId="36" numFmtId="0" xfId="0" applyAlignment="1" applyBorder="1" applyFill="1" applyFont="1">
      <alignment horizontal="center" vertical="center"/>
    </xf>
    <xf borderId="68" fillId="78" fontId="55" numFmtId="0" xfId="0" applyBorder="1" applyFill="1" applyFont="1"/>
    <xf borderId="38" fillId="78" fontId="55" numFmtId="0" xfId="0" applyAlignment="1" applyBorder="1" applyFill="1" applyFont="1">
      <alignment horizontal="center"/>
    </xf>
    <xf borderId="17" fillId="0" fontId="14" numFmtId="0" xfId="0" applyAlignment="1" applyBorder="1" applyFont="1">
      <alignment horizontal="center" readingOrder="0" vertical="center"/>
    </xf>
    <xf borderId="38" fillId="0" fontId="14" numFmtId="0" xfId="0" applyAlignment="1" applyBorder="1" applyFont="1">
      <alignment horizontal="center" readingOrder="0" vertical="center"/>
    </xf>
    <xf borderId="17" fillId="0" fontId="14" numFmtId="0" xfId="0" applyAlignment="1" applyBorder="1" applyFont="1">
      <alignment horizontal="center" vertical="center"/>
    </xf>
    <xf borderId="38" fillId="78" fontId="16" numFmtId="0" xfId="0" applyAlignment="1" applyBorder="1" applyFill="1" applyFont="1">
      <alignment horizontal="center" readingOrder="0"/>
    </xf>
    <xf borderId="86" fillId="0" fontId="53" numFmtId="0" xfId="0" applyAlignment="1" applyBorder="1" applyFont="1">
      <alignment horizontal="center" readingOrder="0" vertical="bottom"/>
    </xf>
    <xf borderId="92" fillId="0" fontId="53" numFmtId="0" xfId="0" applyAlignment="1" applyBorder="1" applyFont="1">
      <alignment horizontal="center" readingOrder="0" vertical="bottom"/>
    </xf>
    <xf borderId="0" fillId="3" fontId="62" numFmtId="0" xfId="0" applyAlignment="1" applyFill="1" applyFont="1">
      <alignment horizontal="center" readingOrder="0" vertical="center"/>
    </xf>
    <xf borderId="57" fillId="0" fontId="14" numFmtId="0" xfId="0" applyAlignment="1" applyBorder="1" applyFont="1">
      <alignment horizontal="center" vertical="center"/>
    </xf>
    <xf borderId="0" fillId="0" fontId="14" numFmtId="1" xfId="0" applyAlignment="1" applyFont="1" applyNumberFormat="1">
      <alignment horizontal="center" readingOrder="0" vertical="center"/>
    </xf>
    <xf borderId="0" fillId="0" fontId="9" numFmtId="0" xfId="0" applyAlignment="1" applyFont="1">
      <alignment horizontal="center" vertical="center"/>
    </xf>
    <xf borderId="0" fillId="78" fontId="16" numFmtId="0" xfId="0" applyAlignment="1" applyFill="1" applyFont="1">
      <alignment horizontal="center" readingOrder="0" vertical="center"/>
    </xf>
    <xf borderId="80" fillId="0" fontId="53" numFmtId="0" xfId="0" applyAlignment="1" applyBorder="1" applyFont="1">
      <alignment horizontal="center" readingOrder="0" vertical="bottom"/>
    </xf>
    <xf borderId="42" fillId="0" fontId="53" numFmtId="0" xfId="0" applyAlignment="1" applyBorder="1" applyFont="1">
      <alignment horizontal="center" readingOrder="0" vertical="bottom"/>
    </xf>
    <xf borderId="67" fillId="0" fontId="14" numFmtId="0" xfId="0" applyAlignment="1" applyBorder="1" applyFont="1">
      <alignment horizontal="center" vertical="center"/>
    </xf>
    <xf borderId="38" fillId="78" fontId="55" numFmtId="0" xfId="0" applyAlignment="1" applyBorder="1" applyFill="1" applyFont="1">
      <alignment horizontal="center"/>
    </xf>
    <xf borderId="0" fillId="78" fontId="16" numFmtId="0" xfId="0" applyAlignment="1" applyFill="1" applyFont="1">
      <alignment horizontal="center" vertical="center"/>
    </xf>
    <xf borderId="68" fillId="78" fontId="55" numFmtId="0" xfId="0" applyBorder="1" applyFill="1" applyFont="1"/>
    <xf borderId="0" fillId="0" fontId="9" numFmtId="0" xfId="0" applyFont="1"/>
    <xf borderId="0" fillId="3" fontId="5" numFmtId="0" xfId="0" applyAlignment="1" applyFill="1" applyFont="1">
      <alignment horizontal="center" readingOrder="0" shrinkToFit="0" vertical="center" wrapText="0"/>
    </xf>
    <xf borderId="80" fillId="0" fontId="53" numFmtId="0" xfId="0" applyAlignment="1" applyBorder="1" applyFont="1">
      <alignment horizontal="center" vertical="bottom"/>
    </xf>
    <xf borderId="42" fillId="0" fontId="53" numFmtId="0" xfId="0" applyAlignment="1" applyBorder="1" applyFont="1">
      <alignment horizontal="center" vertical="bottom"/>
    </xf>
    <xf borderId="59" fillId="4" fontId="41" numFmtId="0" xfId="0" applyAlignment="1" applyBorder="1" applyFill="1" applyFont="1">
      <alignment horizontal="center" readingOrder="0" shrinkToFit="0" vertical="center" wrapText="0"/>
    </xf>
    <xf borderId="0" fillId="3" fontId="63" numFmtId="0" xfId="0" applyAlignment="1" applyFill="1" applyFont="1">
      <alignment horizontal="center" readingOrder="0" shrinkToFit="0" vertical="center" wrapText="0"/>
    </xf>
    <xf borderId="83" fillId="4" fontId="5" numFmtId="0" xfId="0" applyAlignment="1" applyBorder="1" applyFill="1" applyFont="1">
      <alignment horizontal="center" readingOrder="0" shrinkToFit="0" vertical="center" wrapText="0"/>
    </xf>
    <xf borderId="93" fillId="0" fontId="14" numFmtId="0" xfId="0" applyAlignment="1" applyBorder="1" applyFont="1">
      <alignment horizontal="center" readingOrder="0" vertical="center"/>
    </xf>
    <xf borderId="40" fillId="0" fontId="14" numFmtId="0" xfId="0" applyAlignment="1" applyBorder="1" applyFont="1">
      <alignment horizontal="center" readingOrder="0" vertical="center"/>
    </xf>
    <xf borderId="41" fillId="0" fontId="14" numFmtId="0" xfId="0" applyAlignment="1" applyBorder="1" applyFont="1">
      <alignment horizontal="center" readingOrder="0" vertical="center"/>
    </xf>
    <xf borderId="41" fillId="0" fontId="14" numFmtId="0" xfId="0" applyAlignment="1" applyBorder="1" applyFont="1">
      <alignment horizontal="center" vertical="center"/>
    </xf>
    <xf borderId="81" fillId="0" fontId="53" numFmtId="0" xfId="0" applyAlignment="1" applyBorder="1" applyFont="1">
      <alignment horizontal="center" vertical="bottom"/>
    </xf>
    <xf borderId="94" fillId="0" fontId="53" numFmtId="0" xfId="0" applyAlignment="1" applyBorder="1" applyFont="1">
      <alignment horizontal="center" vertical="bottom"/>
    </xf>
    <xf borderId="0" fillId="3" fontId="41" numFmtId="0" xfId="0" applyAlignment="1" applyFill="1" applyFont="1">
      <alignment horizontal="center" readingOrder="0" shrinkToFit="0" vertical="center" wrapText="0"/>
    </xf>
    <xf borderId="68" fillId="78" fontId="64" numFmtId="0" xfId="0" applyBorder="1" applyFill="1" applyFont="1"/>
    <xf borderId="38" fillId="78" fontId="64" numFmtId="0" xfId="0" applyAlignment="1" applyBorder="1" applyFill="1" applyFont="1">
      <alignment horizontal="center"/>
    </xf>
    <xf borderId="38" fillId="78" fontId="64" numFmtId="0" xfId="0" applyAlignment="1" applyBorder="1" applyFill="1" applyFont="1">
      <alignment horizontal="center"/>
    </xf>
    <xf borderId="25" fillId="3" fontId="1" numFmtId="0" xfId="0" applyAlignment="1" applyBorder="1" applyFill="1" applyFont="1">
      <alignment horizontal="center" vertical="center"/>
    </xf>
    <xf borderId="28" fillId="3" fontId="1" numFmtId="0" xfId="0" applyAlignment="1" applyBorder="1" applyFill="1" applyFont="1">
      <alignment horizontal="center" vertical="center"/>
    </xf>
    <xf borderId="39" fillId="0" fontId="14" numFmtId="0" xfId="0" applyAlignment="1" applyBorder="1" applyFont="1">
      <alignment horizontal="center" readingOrder="0" vertical="center"/>
    </xf>
    <xf borderId="40" fillId="0" fontId="9" numFmtId="0" xfId="0" applyAlignment="1" applyBorder="1" applyFont="1">
      <alignment horizontal="center" vertical="center"/>
    </xf>
    <xf borderId="28" fillId="3" fontId="1" numFmtId="0" xfId="0" applyAlignment="1" applyBorder="1" applyFill="1" applyFont="1">
      <alignment horizontal="center" readingOrder="0" vertical="center"/>
    </xf>
    <xf borderId="0" fillId="3" fontId="1" numFmtId="0" xfId="0" applyAlignment="1" applyFill="1" applyFont="1">
      <alignment horizontal="center" readingOrder="0" vertical="center"/>
    </xf>
    <xf borderId="30" fillId="3" fontId="1" numFmtId="0" xfId="0" applyAlignment="1" applyBorder="1" applyFill="1" applyFont="1">
      <alignment horizontal="center" vertical="center"/>
    </xf>
    <xf borderId="0" fillId="70" fontId="31" numFmtId="0" xfId="0" applyAlignment="1" applyFill="1" applyFont="1">
      <alignment horizontal="center" readingOrder="0" vertical="center"/>
    </xf>
    <xf borderId="0" fillId="3" fontId="65" numFmtId="0" xfId="0" applyAlignment="1" applyFill="1" applyFont="1">
      <alignment horizontal="center" readingOrder="0" vertical="center"/>
    </xf>
    <xf borderId="0" fillId="3" fontId="66" numFmtId="0" xfId="0" applyAlignment="1" applyFill="1" applyFont="1">
      <alignment vertical="center"/>
    </xf>
    <xf borderId="0" fillId="3" fontId="67" numFmtId="0" xfId="0" applyAlignment="1" applyFill="1" applyFont="1">
      <alignment horizontal="center" vertical="center"/>
    </xf>
    <xf borderId="0" fillId="0" fontId="68" numFmtId="0" xfId="0" applyFont="1"/>
    <xf borderId="0" fillId="3" fontId="69" numFmtId="0" xfId="0" applyAlignment="1" applyFill="1" applyFont="1">
      <alignment horizontal="center" readingOrder="0" vertical="center"/>
    </xf>
    <xf borderId="7" fillId="3" fontId="65" numFmtId="0" xfId="0" applyAlignment="1" applyBorder="1" applyFill="1" applyFont="1">
      <alignment horizontal="left" readingOrder="0" vertical="center"/>
    </xf>
    <xf borderId="89" fillId="0" fontId="14" numFmtId="0" xfId="0" applyAlignment="1" applyBorder="1" applyFont="1">
      <alignment horizontal="center" vertical="center"/>
    </xf>
    <xf borderId="0" fillId="3" fontId="70" numFmtId="0" xfId="0" applyAlignment="1" applyFill="1" applyFont="1">
      <alignment horizontal="center" readingOrder="0" vertical="center"/>
    </xf>
    <xf borderId="68" fillId="78" fontId="64" numFmtId="0" xfId="0" applyBorder="1" applyFill="1" applyFont="1"/>
    <xf borderId="7" fillId="3" fontId="65" numFmtId="0" xfId="0" applyAlignment="1" applyBorder="1" applyFill="1" applyFont="1">
      <alignment horizontal="center" vertical="center"/>
    </xf>
    <xf borderId="0" fillId="0" fontId="16" numFmtId="0" xfId="0" applyAlignment="1" applyFont="1">
      <alignment horizontal="center" vertical="center"/>
    </xf>
    <xf borderId="0" fillId="3" fontId="71" numFmtId="0" xfId="0" applyAlignment="1" applyFill="1" applyFont="1">
      <alignment horizontal="center" readingOrder="0" vertical="center"/>
    </xf>
    <xf borderId="0" fillId="0" fontId="16" numFmtId="0" xfId="0" applyAlignment="1" applyFont="1">
      <alignment horizontal="center"/>
    </xf>
    <xf borderId="0" fillId="0" fontId="14" numFmtId="0" xfId="0" applyAlignment="1" applyFont="1">
      <alignment vertical="center"/>
    </xf>
    <xf borderId="7" fillId="3" fontId="65" numFmtId="0" xfId="0" applyAlignment="1" applyBorder="1" applyFill="1" applyFont="1">
      <alignment horizontal="center" readingOrder="0" vertical="center"/>
    </xf>
    <xf borderId="0" fillId="2" fontId="14" numFmtId="0" xfId="0" applyAlignment="1" applyFill="1" applyFont="1">
      <alignment horizontal="center" vertical="center"/>
    </xf>
    <xf borderId="38" fillId="0" fontId="14" numFmtId="0" xfId="0" applyAlignment="1" applyBorder="1" applyFont="1">
      <alignment horizontal="center" vertical="center"/>
    </xf>
    <xf borderId="0" fillId="3" fontId="72" numFmtId="0" xfId="0" applyAlignment="1" applyFill="1" applyFont="1">
      <alignment horizontal="center" readingOrder="0" vertical="center"/>
    </xf>
    <xf borderId="4" fillId="3" fontId="14" numFmtId="0" xfId="0" applyAlignment="1" applyBorder="1" applyFill="1" applyFont="1">
      <alignment horizontal="center" vertical="center"/>
    </xf>
    <xf borderId="46" fillId="4" fontId="15" numFmtId="0" xfId="0" applyAlignment="1" applyBorder="1" applyFill="1" applyFont="1">
      <alignment horizontal="center" readingOrder="0" vertical="center"/>
    </xf>
    <xf borderId="46" fillId="0" fontId="9" numFmtId="0" xfId="0" applyBorder="1" applyFont="1"/>
    <xf borderId="0" fillId="3" fontId="15" numFmtId="0" xfId="0" applyAlignment="1" applyFill="1" applyFont="1">
      <alignment horizontal="center" readingOrder="0" vertical="center"/>
    </xf>
    <xf borderId="8" fillId="4" fontId="15" numFmtId="0" xfId="0" applyAlignment="1" applyBorder="1" applyFill="1" applyFont="1">
      <alignment horizontal="center" readingOrder="0" vertical="center"/>
    </xf>
    <xf borderId="0" fillId="3" fontId="73" numFmtId="0" xfId="0" applyAlignment="1" applyFill="1" applyFont="1">
      <alignment horizontal="center" readingOrder="0" vertical="center"/>
    </xf>
    <xf borderId="17" fillId="3" fontId="15" numFmtId="0" xfId="0" applyAlignment="1" applyBorder="1" applyFill="1" applyFont="1">
      <alignment horizontal="center" readingOrder="0" vertical="center"/>
    </xf>
    <xf borderId="9" fillId="4" fontId="15" numFmtId="0" xfId="0" applyAlignment="1" applyBorder="1" applyFill="1" applyFont="1">
      <alignment horizontal="center" readingOrder="0" vertical="center"/>
    </xf>
    <xf borderId="11" fillId="3" fontId="15" numFmtId="0" xfId="0" applyAlignment="1" applyBorder="1" applyFill="1" applyFont="1">
      <alignment horizontal="center" readingOrder="0" vertical="center"/>
    </xf>
    <xf borderId="0" fillId="2" fontId="15" numFmtId="0" xfId="0" applyAlignment="1" applyFill="1" applyFont="1">
      <alignment horizontal="center" readingOrder="0" vertical="center"/>
    </xf>
    <xf borderId="40" fillId="0" fontId="14" numFmtId="0" xfId="0" applyAlignment="1" applyBorder="1" applyFont="1">
      <alignment horizontal="center" vertical="center"/>
    </xf>
    <xf borderId="51" fillId="4" fontId="1" numFmtId="0" xfId="0" applyAlignment="1" applyBorder="1" applyFill="1" applyFont="1">
      <alignment horizontal="center" readingOrder="0" vertical="center"/>
    </xf>
    <xf borderId="95" fillId="0" fontId="9" numFmtId="0" xfId="0" applyBorder="1" applyFont="1"/>
    <xf borderId="96" fillId="4" fontId="1" numFmtId="0" xfId="0" applyAlignment="1" applyBorder="1" applyFill="1" applyFont="1">
      <alignment horizontal="center" readingOrder="0" vertical="center"/>
    </xf>
    <xf borderId="96" fillId="4" fontId="14" numFmtId="0" xfId="0" applyAlignment="1" applyBorder="1" applyFill="1" applyFont="1">
      <alignment horizontal="center" readingOrder="0" vertical="center"/>
    </xf>
    <xf borderId="51" fillId="0" fontId="9" numFmtId="0" xfId="0" applyBorder="1" applyFont="1"/>
    <xf borderId="89" fillId="4" fontId="1" numFmtId="0" xfId="0" applyAlignment="1" applyBorder="1" applyFill="1" applyFont="1">
      <alignment horizontal="center" readingOrder="0" vertical="center"/>
    </xf>
    <xf borderId="18" fillId="0" fontId="14" numFmtId="0" xfId="0" applyAlignment="1" applyBorder="1" applyFont="1">
      <alignment horizontal="center" vertical="center"/>
    </xf>
    <xf borderId="42" fillId="4" fontId="1" numFmtId="0" xfId="0" applyAlignment="1" applyBorder="1" applyFill="1" applyFont="1">
      <alignment horizontal="center" readingOrder="0" vertical="center"/>
    </xf>
    <xf borderId="95" fillId="4" fontId="1" numFmtId="0" xfId="0" applyAlignment="1" applyBorder="1" applyFill="1" applyFont="1">
      <alignment horizontal="center" readingOrder="0" vertical="center"/>
    </xf>
    <xf borderId="27" fillId="0" fontId="14" numFmtId="1" xfId="0" applyAlignment="1" applyBorder="1" applyFont="1" applyNumberFormat="1">
      <alignment horizontal="center" vertical="center"/>
    </xf>
    <xf borderId="27" fillId="0" fontId="14" numFmtId="0" xfId="0" applyAlignment="1" applyBorder="1" applyFont="1">
      <alignment horizontal="center" vertical="center"/>
    </xf>
    <xf borderId="0" fillId="3" fontId="74" numFmtId="0" xfId="0" applyAlignment="1" applyFill="1" applyFont="1">
      <alignment horizontal="center" readingOrder="0" vertical="center"/>
    </xf>
    <xf borderId="90" fillId="4" fontId="1" numFmtId="0" xfId="0" applyAlignment="1" applyBorder="1" applyFill="1" applyFont="1">
      <alignment horizontal="center" readingOrder="0" vertical="center"/>
    </xf>
    <xf borderId="32" fillId="4" fontId="1" numFmtId="0" xfId="0" applyAlignment="1" applyBorder="1" applyFill="1" applyFont="1">
      <alignment horizontal="center" readingOrder="0" vertical="center"/>
    </xf>
    <xf borderId="12" fillId="4" fontId="1" numFmtId="0" xfId="0" applyAlignment="1" applyBorder="1" applyFill="1" applyFont="1">
      <alignment horizontal="center" readingOrder="0" vertical="center"/>
    </xf>
    <xf borderId="27" fillId="4" fontId="1" numFmtId="0" xfId="0" applyAlignment="1" applyBorder="1" applyFill="1" applyFont="1">
      <alignment horizontal="center" readingOrder="0" vertical="center"/>
    </xf>
    <xf borderId="17" fillId="3" fontId="1" numFmtId="0" xfId="0" applyAlignment="1" applyBorder="1" applyFill="1" applyFont="1">
      <alignment horizontal="center" readingOrder="0" vertical="center"/>
    </xf>
    <xf borderId="9" fillId="4" fontId="1" numFmtId="0" xfId="0" applyAlignment="1" applyBorder="1" applyFill="1" applyFont="1">
      <alignment horizontal="center" readingOrder="0" vertical="center"/>
    </xf>
    <xf borderId="37" fillId="0" fontId="14" numFmtId="0" xfId="0" applyAlignment="1" applyBorder="1" applyFont="1">
      <alignment horizontal="center" vertical="center"/>
    </xf>
    <xf borderId="10" fillId="4" fontId="1" numFmtId="0" xfId="0" applyAlignment="1" applyBorder="1" applyFill="1" applyFont="1">
      <alignment horizontal="center" readingOrder="0" vertical="center"/>
    </xf>
    <xf borderId="0" fillId="0" fontId="14" numFmtId="1" xfId="0" applyAlignment="1" applyFont="1" applyNumberFormat="1">
      <alignment horizontal="center" vertical="center"/>
    </xf>
    <xf borderId="64" fillId="4" fontId="1" numFmtId="0" xfId="0" applyAlignment="1" applyBorder="1" applyFill="1" applyFont="1">
      <alignment horizontal="center" readingOrder="0" vertical="center"/>
    </xf>
    <xf borderId="60" fillId="4" fontId="1" numFmtId="0" xfId="0" applyAlignment="1" applyBorder="1" applyFill="1" applyFont="1">
      <alignment horizontal="center" readingOrder="0" vertical="center"/>
    </xf>
    <xf borderId="11" fillId="3" fontId="1" numFmtId="0" xfId="0" applyAlignment="1" applyBorder="1" applyFill="1" applyFont="1">
      <alignment horizontal="center" readingOrder="0" vertical="center"/>
    </xf>
    <xf borderId="0" fillId="78" fontId="75" numFmtId="0" xfId="0" applyFill="1" applyFont="1"/>
    <xf borderId="63" fillId="4" fontId="15" numFmtId="0" xfId="0" applyAlignment="1" applyBorder="1" applyFill="1" applyFont="1">
      <alignment horizontal="center" textRotation="90" vertical="center"/>
    </xf>
    <xf borderId="89" fillId="5" fontId="1" numFmtId="0" xfId="0" applyAlignment="1" applyBorder="1" applyFill="1" applyFont="1">
      <alignment horizontal="center" vertical="center"/>
    </xf>
    <xf borderId="79" fillId="0" fontId="53" numFmtId="0" xfId="0" applyAlignment="1" applyBorder="1" applyFont="1">
      <alignment horizontal="center" readingOrder="0" vertical="bottom"/>
    </xf>
    <xf borderId="97" fillId="0" fontId="53" numFmtId="0" xfId="0" applyAlignment="1" applyBorder="1" applyFont="1">
      <alignment horizontal="center" readingOrder="0" vertical="bottom"/>
    </xf>
    <xf borderId="49" fillId="4" fontId="76" numFmtId="0" xfId="0" applyAlignment="1" applyBorder="1" applyFill="1" applyFont="1">
      <alignment horizontal="center" readingOrder="0" shrinkToFit="0" vertical="center" wrapText="0"/>
    </xf>
    <xf borderId="89" fillId="5" fontId="1" numFmtId="1" xfId="0" applyAlignment="1" applyBorder="1" applyFill="1" applyFont="1" applyNumberFormat="1">
      <alignment horizontal="center" vertical="center"/>
    </xf>
    <xf borderId="0" fillId="3" fontId="77" numFmtId="0" xfId="0" applyAlignment="1" applyFill="1" applyFont="1">
      <alignment horizontal="center" readingOrder="0" vertical="center"/>
    </xf>
    <xf borderId="89" fillId="5" fontId="14" numFmtId="1" xfId="0" applyAlignment="1" applyBorder="1" applyFill="1" applyFont="1" applyNumberFormat="1">
      <alignment horizontal="center" readingOrder="0" vertical="center"/>
    </xf>
    <xf borderId="42" fillId="5" fontId="1" numFmtId="1" xfId="0" applyAlignment="1" applyBorder="1" applyFill="1" applyFont="1" applyNumberFormat="1">
      <alignment horizontal="center" vertical="center"/>
    </xf>
    <xf borderId="0" fillId="3" fontId="78" numFmtId="0" xfId="0" applyAlignment="1" applyFill="1" applyFont="1">
      <alignment horizontal="center" readingOrder="0" shrinkToFit="0" vertical="center" wrapText="0"/>
    </xf>
    <xf borderId="95" fillId="5" fontId="1" numFmtId="0" xfId="0" applyAlignment="1" applyBorder="1" applyFill="1" applyFont="1">
      <alignment horizontal="center" vertical="center"/>
    </xf>
    <xf borderId="96" fillId="5" fontId="1" numFmtId="1" xfId="0" applyAlignment="1" applyBorder="1" applyFill="1" applyFont="1" applyNumberFormat="1">
      <alignment horizontal="center" vertical="center"/>
    </xf>
    <xf borderId="18" fillId="4" fontId="1" numFmtId="0" xfId="0" applyAlignment="1" applyBorder="1" applyFill="1" applyFont="1">
      <alignment horizontal="center" readingOrder="0" vertical="center"/>
    </xf>
    <xf borderId="0" fillId="78" fontId="14" numFmtId="0" xfId="0" applyAlignment="1" applyFill="1" applyFont="1">
      <alignment horizontal="center" readingOrder="0" vertical="center"/>
    </xf>
    <xf borderId="0" fillId="78" fontId="14" numFmtId="0" xfId="0" applyAlignment="1" applyFill="1" applyFont="1">
      <alignment horizontal="center" vertical="center"/>
    </xf>
    <xf borderId="39" fillId="0" fontId="14" numFmtId="0" xfId="0" applyAlignment="1" applyBorder="1" applyFont="1">
      <alignment horizontal="center" vertical="center"/>
    </xf>
    <xf borderId="18" fillId="5" fontId="1" numFmtId="0" xfId="0" applyAlignment="1" applyBorder="1" applyFill="1" applyFont="1">
      <alignment horizontal="center" vertical="center"/>
    </xf>
    <xf borderId="12" fillId="5" fontId="1" numFmtId="0" xfId="0" applyAlignment="1" applyBorder="1" applyFill="1" applyFont="1">
      <alignment horizontal="center" vertical="center"/>
    </xf>
    <xf borderId="32" fillId="5" fontId="1" numFmtId="0" xfId="0" applyAlignment="1" applyBorder="1" applyFill="1" applyFont="1">
      <alignment horizontal="center" vertical="center"/>
    </xf>
    <xf borderId="0" fillId="3" fontId="66" numFmtId="0" xfId="0" applyAlignment="1" applyFill="1" applyFont="1">
      <alignment vertical="center"/>
    </xf>
    <xf borderId="18" fillId="5" fontId="1" numFmtId="0" xfId="0" applyAlignment="1" applyBorder="1" applyFill="1" applyFont="1">
      <alignment horizontal="center" readingOrder="0" shrinkToFit="0" vertical="center" wrapText="0"/>
    </xf>
    <xf borderId="27" fillId="5" fontId="1" numFmtId="0" xfId="0" applyAlignment="1" applyBorder="1" applyFill="1" applyFont="1">
      <alignment horizontal="center" readingOrder="0" shrinkToFit="0" vertical="center" wrapText="0"/>
    </xf>
    <xf borderId="17" fillId="3" fontId="1" numFmtId="0" xfId="0" applyAlignment="1" applyBorder="1" applyFill="1" applyFont="1">
      <alignment horizontal="center" readingOrder="0" shrinkToFit="0" vertical="center" wrapText="0"/>
    </xf>
    <xf borderId="0" fillId="0" fontId="9" numFmtId="0" xfId="0" applyAlignment="1" applyFont="1">
      <alignment horizontal="center"/>
    </xf>
    <xf borderId="0" fillId="78" fontId="14" numFmtId="0" xfId="0" applyAlignment="1" applyFill="1" applyFont="1">
      <alignment horizontal="center" vertical="center"/>
    </xf>
    <xf borderId="0" fillId="3" fontId="1" numFmtId="0" xfId="0" applyAlignment="1" applyFill="1" applyFont="1">
      <alignment vertical="center"/>
    </xf>
    <xf borderId="27" fillId="5" fontId="1" numFmtId="0" xfId="0" applyAlignment="1" applyBorder="1" applyFill="1" applyFont="1">
      <alignment horizontal="center" readingOrder="0" vertical="center"/>
    </xf>
    <xf borderId="32" fillId="5" fontId="1" numFmtId="0" xfId="0" applyAlignment="1" applyBorder="1" applyFill="1" applyFont="1">
      <alignment horizontal="center" readingOrder="0" vertical="center"/>
    </xf>
    <xf borderId="57" fillId="5" fontId="1" numFmtId="0" xfId="0" applyAlignment="1" applyBorder="1" applyFill="1" applyFont="1">
      <alignment horizontal="center" vertical="center"/>
    </xf>
    <xf borderId="60" fillId="5" fontId="1" numFmtId="0" xfId="0" applyAlignment="1" applyBorder="1" applyFill="1" applyFont="1">
      <alignment horizontal="center" vertical="center"/>
    </xf>
    <xf borderId="17" fillId="5" fontId="1" numFmtId="0" xfId="0" applyAlignment="1" applyBorder="1" applyFill="1" applyFont="1">
      <alignment horizontal="center" vertical="center"/>
    </xf>
    <xf borderId="89" fillId="5" fontId="14" numFmtId="1" xfId="0" applyAlignment="1" applyBorder="1" applyFill="1" applyFont="1" applyNumberFormat="1">
      <alignment horizontal="center" vertical="center"/>
    </xf>
    <xf borderId="0" fillId="3" fontId="25" numFmtId="0" xfId="0" applyAlignment="1" applyFill="1" applyFont="1">
      <alignment horizontal="center" vertical="center"/>
    </xf>
    <xf borderId="0" fillId="3" fontId="25" numFmtId="0" xfId="0" applyAlignment="1" applyFill="1" applyFont="1">
      <alignment horizontal="center" readingOrder="0" vertical="center"/>
    </xf>
    <xf borderId="0" fillId="3" fontId="23" numFmtId="0" xfId="0" applyAlignment="1" applyFill="1" applyFont="1">
      <alignment horizontal="right"/>
    </xf>
    <xf borderId="0" fillId="3" fontId="66" numFmtId="0" xfId="0" applyAlignment="1" applyFill="1" applyFont="1">
      <alignment horizontal="right" vertical="center"/>
    </xf>
    <xf borderId="82" fillId="0" fontId="53" numFmtId="0" xfId="0" applyAlignment="1" applyBorder="1" applyFont="1">
      <alignment horizontal="center" vertical="bottom"/>
    </xf>
    <xf borderId="61" fillId="0" fontId="53" numFmtId="0" xfId="0" applyAlignment="1" applyBorder="1" applyFont="1">
      <alignment horizontal="center" vertical="bottom"/>
    </xf>
    <xf borderId="37" fillId="4" fontId="1" numFmtId="0" xfId="0" applyAlignment="1" applyBorder="1" applyFill="1" applyFont="1">
      <alignment horizontal="center" readingOrder="0" vertical="center"/>
    </xf>
    <xf borderId="52" fillId="0" fontId="14" numFmtId="0" xfId="0" applyAlignment="1" applyBorder="1" applyFont="1">
      <alignment horizontal="center" vertical="center"/>
    </xf>
    <xf borderId="37" fillId="5" fontId="1" numFmtId="0" xfId="0" applyAlignment="1" applyBorder="1" applyFill="1" applyFont="1">
      <alignment horizontal="center" vertical="center"/>
    </xf>
    <xf borderId="9" fillId="0" fontId="14" numFmtId="0" xfId="0" applyAlignment="1" applyBorder="1" applyFont="1">
      <alignment horizontal="center" readingOrder="0" vertical="center"/>
    </xf>
    <xf borderId="38" fillId="5" fontId="1" numFmtId="0" xfId="0" applyAlignment="1" applyBorder="1" applyFill="1" applyFont="1">
      <alignment horizontal="center" vertical="center"/>
    </xf>
    <xf borderId="98" fillId="3" fontId="1" numFmtId="0" xfId="0" applyAlignment="1" applyBorder="1" applyFill="1" applyFont="1">
      <alignment horizontal="center" vertical="center"/>
    </xf>
    <xf borderId="99" fillId="3" fontId="1" numFmtId="0" xfId="0" applyAlignment="1" applyBorder="1" applyFill="1" applyFont="1">
      <alignment horizontal="center" vertical="center"/>
    </xf>
    <xf borderId="37" fillId="5" fontId="1" numFmtId="0" xfId="0" applyAlignment="1" applyBorder="1" applyFill="1" applyFont="1">
      <alignment horizontal="center" readingOrder="0" shrinkToFit="0" vertical="center" wrapText="0"/>
    </xf>
    <xf borderId="100" fillId="3" fontId="1" numFmtId="0" xfId="0" applyAlignment="1" applyBorder="1" applyFill="1" applyFont="1">
      <alignment horizontal="center" vertical="center"/>
    </xf>
    <xf borderId="0" fillId="5" fontId="1" numFmtId="0" xfId="0" applyAlignment="1" applyFill="1" applyFont="1">
      <alignment horizontal="center" readingOrder="0" shrinkToFit="0" vertical="center" wrapText="0"/>
    </xf>
    <xf borderId="101" fillId="3" fontId="1" numFmtId="0" xfId="0" applyAlignment="1" applyBorder="1" applyFill="1" applyFont="1">
      <alignment horizontal="center" vertical="center"/>
    </xf>
    <xf borderId="0" fillId="5" fontId="1" numFmtId="0" xfId="0" applyAlignment="1" applyFill="1" applyFont="1">
      <alignment horizontal="center" vertical="center"/>
    </xf>
    <xf borderId="101" fillId="3" fontId="25" numFmtId="0" xfId="0" applyAlignment="1" applyBorder="1" applyFill="1" applyFont="1">
      <alignment horizontal="center" vertical="center"/>
    </xf>
    <xf borderId="67" fillId="5" fontId="1" numFmtId="0" xfId="0" applyAlignment="1" applyBorder="1" applyFill="1" applyFont="1">
      <alignment horizontal="center" vertical="center"/>
    </xf>
    <xf borderId="68" fillId="5" fontId="1" numFmtId="0" xfId="0" applyAlignment="1" applyBorder="1" applyFill="1" applyFont="1">
      <alignment horizontal="center" vertical="center"/>
    </xf>
    <xf borderId="101" fillId="3" fontId="25" numFmtId="0" xfId="0" applyAlignment="1" applyBorder="1" applyFill="1" applyFont="1">
      <alignment horizontal="center" readingOrder="0" vertical="center"/>
    </xf>
    <xf borderId="18" fillId="4" fontId="1" numFmtId="0" xfId="0" applyAlignment="1" applyBorder="1" applyFill="1" applyFont="1">
      <alignment horizontal="center" readingOrder="0"/>
    </xf>
    <xf borderId="0" fillId="3" fontId="23" numFmtId="0" xfId="0" applyAlignment="1" applyFill="1" applyFont="1">
      <alignment horizontal="right" vertical="center"/>
    </xf>
    <xf borderId="102" fillId="3" fontId="1" numFmtId="0" xfId="0" applyAlignment="1" applyBorder="1" applyFill="1" applyFont="1">
      <alignment horizontal="center" vertical="center"/>
    </xf>
    <xf borderId="103" fillId="3" fontId="1" numFmtId="0" xfId="0" applyAlignment="1" applyBorder="1" applyFill="1" applyFont="1">
      <alignment horizontal="center" vertical="center"/>
    </xf>
    <xf borderId="104" fillId="3" fontId="1" numFmtId="0" xfId="0" applyAlignment="1" applyBorder="1" applyFill="1" applyFont="1">
      <alignment horizontal="center" vertical="center"/>
    </xf>
    <xf borderId="105" fillId="3" fontId="1" numFmtId="0" xfId="0" applyAlignment="1" applyBorder="1" applyFill="1" applyFont="1">
      <alignment horizontal="center" vertical="center"/>
    </xf>
    <xf borderId="103" fillId="3" fontId="25" numFmtId="0" xfId="0" applyAlignment="1" applyBorder="1" applyFill="1" applyFont="1">
      <alignment horizontal="center" vertical="center"/>
    </xf>
    <xf borderId="0" fillId="3" fontId="79" numFmtId="0" xfId="0" applyAlignment="1" applyFill="1" applyFont="1">
      <alignment vertical="center"/>
    </xf>
    <xf borderId="98" fillId="3" fontId="25" numFmtId="0" xfId="0" applyAlignment="1" applyBorder="1" applyFill="1" applyFont="1">
      <alignment horizontal="center" vertical="center"/>
    </xf>
    <xf borderId="57" fillId="0" fontId="16" numFmtId="0" xfId="0" applyAlignment="1" applyBorder="1" applyFont="1">
      <alignment horizontal="center" readingOrder="0" vertical="center"/>
    </xf>
    <xf borderId="27" fillId="0" fontId="16" numFmtId="0" xfId="0" applyAlignment="1" applyBorder="1" applyFont="1">
      <alignment horizontal="center" readingOrder="0" vertical="center"/>
    </xf>
    <xf borderId="32" fillId="0" fontId="16" numFmtId="0" xfId="0" applyAlignment="1" applyBorder="1" applyFont="1">
      <alignment horizontal="center" readingOrder="0" vertical="center"/>
    </xf>
    <xf borderId="106" fillId="3" fontId="25" numFmtId="0" xfId="0" applyAlignment="1" applyBorder="1" applyFill="1" applyFont="1">
      <alignment horizontal="center" vertical="center"/>
    </xf>
    <xf borderId="106" fillId="3" fontId="1" numFmtId="0" xfId="0" applyAlignment="1" applyBorder="1" applyFill="1" applyFont="1">
      <alignment horizontal="center" vertical="center"/>
    </xf>
    <xf borderId="0" fillId="3" fontId="25" numFmtId="0" xfId="0" applyAlignment="1" applyFill="1" applyFont="1">
      <alignment horizontal="right" readingOrder="0" vertical="center"/>
    </xf>
    <xf borderId="102" fillId="3" fontId="25" numFmtId="0" xfId="0" applyAlignment="1" applyBorder="1" applyFill="1" applyFont="1">
      <alignment horizontal="center" vertical="center"/>
    </xf>
    <xf borderId="0" fillId="78" fontId="50" numFmtId="0" xfId="0" applyAlignment="1" applyFill="1" applyFont="1">
      <alignment horizontal="center" vertical="center"/>
    </xf>
    <xf borderId="62" fillId="0" fontId="16" numFmtId="0" xfId="0" applyAlignment="1" applyBorder="1" applyFont="1">
      <alignment horizontal="center" readingOrder="0" vertical="center"/>
    </xf>
    <xf borderId="107" fillId="3" fontId="9" numFmtId="0" xfId="0" applyBorder="1" applyFill="1" applyFont="1"/>
    <xf borderId="104" fillId="3" fontId="25" numFmtId="0" xfId="0" applyAlignment="1" applyBorder="1" applyFill="1" applyFont="1">
      <alignment horizontal="right" vertical="center"/>
    </xf>
    <xf borderId="38" fillId="0" fontId="16" numFmtId="0" xfId="0" applyAlignment="1" applyBorder="1" applyFont="1">
      <alignment horizontal="center" readingOrder="0" vertical="center"/>
    </xf>
    <xf borderId="108" fillId="3" fontId="1" numFmtId="0" xfId="0" applyAlignment="1" applyBorder="1" applyFill="1" applyFont="1">
      <alignment horizontal="center" vertical="center"/>
    </xf>
    <xf borderId="107" fillId="3" fontId="25" numFmtId="0" xfId="0" applyAlignment="1" applyBorder="1" applyFill="1" applyFont="1">
      <alignment horizontal="center" vertical="center"/>
    </xf>
    <xf borderId="104" fillId="3" fontId="25" numFmtId="0" xfId="0" applyAlignment="1" applyBorder="1" applyFill="1" applyFont="1">
      <alignment horizontal="center" vertical="center"/>
    </xf>
    <xf borderId="99" fillId="3" fontId="25" numFmtId="0" xfId="0" applyAlignment="1" applyBorder="1" applyFill="1" applyFont="1">
      <alignment horizontal="center" vertical="center"/>
    </xf>
    <xf borderId="100" fillId="3" fontId="25" numFmtId="0" xfId="0" applyAlignment="1" applyBorder="1" applyFill="1" applyFont="1">
      <alignment horizontal="center" vertical="center"/>
    </xf>
    <xf borderId="104" fillId="3" fontId="25" numFmtId="0" xfId="0" applyAlignment="1" applyBorder="1" applyFill="1" applyFont="1">
      <alignment horizontal="center" readingOrder="0" vertical="center"/>
    </xf>
    <xf borderId="38" fillId="78" fontId="50" numFmtId="0" xfId="0" applyAlignment="1" applyBorder="1" applyFill="1" applyFont="1">
      <alignment horizontal="center" vertical="center"/>
    </xf>
    <xf borderId="99" fillId="3" fontId="9" numFmtId="0" xfId="0" applyBorder="1" applyFill="1" applyFont="1"/>
    <xf borderId="0" fillId="54" fontId="31" numFmtId="0" xfId="0" applyAlignment="1" applyFill="1" applyFont="1">
      <alignment horizontal="center" readingOrder="0" vertical="center"/>
    </xf>
    <xf borderId="0" fillId="3" fontId="25" numFmtId="0" xfId="0" applyAlignment="1" applyFill="1" applyFont="1">
      <alignment horizontal="right" vertical="center"/>
    </xf>
    <xf borderId="82" fillId="0" fontId="53" numFmtId="0" xfId="0" applyAlignment="1" applyBorder="1" applyFont="1">
      <alignment horizontal="center" readingOrder="0" vertical="bottom"/>
    </xf>
    <xf borderId="89" fillId="5" fontId="14" numFmtId="0" xfId="0" applyAlignment="1" applyBorder="1" applyFill="1" applyFont="1">
      <alignment horizontal="center" vertical="center"/>
    </xf>
    <xf borderId="61" fillId="0" fontId="53" numFmtId="0" xfId="0" applyAlignment="1" applyBorder="1" applyFont="1">
      <alignment horizontal="center" readingOrder="0" vertical="bottom"/>
    </xf>
    <xf borderId="109" fillId="3" fontId="25" numFmtId="0" xfId="0" applyAlignment="1" applyBorder="1" applyFill="1" applyFont="1">
      <alignment horizontal="center" vertical="center"/>
    </xf>
    <xf borderId="40" fillId="78" fontId="50" numFmtId="0" xfId="0" applyAlignment="1" applyBorder="1" applyFill="1" applyFont="1">
      <alignment horizontal="center" vertical="center"/>
    </xf>
    <xf borderId="87" fillId="0" fontId="16" numFmtId="0" xfId="0" applyAlignment="1" applyBorder="1" applyFont="1">
      <alignment horizontal="center" readingOrder="0" vertical="center"/>
    </xf>
    <xf borderId="110" fillId="3" fontId="1" numFmtId="0" xfId="0" applyAlignment="1" applyBorder="1" applyFill="1" applyFont="1">
      <alignment horizontal="center" vertical="center"/>
    </xf>
    <xf borderId="111" fillId="3" fontId="25" numFmtId="0" xfId="0" applyAlignment="1" applyBorder="1" applyFill="1" applyFont="1">
      <alignment horizontal="center" vertical="center"/>
    </xf>
    <xf borderId="112" fillId="3" fontId="25" numFmtId="0" xfId="0" applyAlignment="1" applyBorder="1" applyFill="1" applyFont="1">
      <alignment horizontal="center" vertical="center"/>
    </xf>
    <xf borderId="113" fillId="3" fontId="25" numFmtId="0" xfId="0" applyAlignment="1" applyBorder="1" applyFill="1" applyFont="1">
      <alignment horizontal="center" vertical="center"/>
    </xf>
    <xf borderId="114" fillId="3" fontId="25" numFmtId="0" xfId="0" applyAlignment="1" applyBorder="1" applyFill="1" applyFont="1">
      <alignment horizontal="center" vertical="center"/>
    </xf>
    <xf borderId="114" fillId="3" fontId="79" numFmtId="0" xfId="0" applyAlignment="1" applyBorder="1" applyFill="1" applyFont="1">
      <alignment vertical="center"/>
    </xf>
    <xf borderId="0" fillId="80" fontId="14" numFmtId="0" xfId="0" applyAlignment="1" applyFill="1" applyFont="1">
      <alignment horizontal="center" vertical="center"/>
    </xf>
    <xf borderId="97" fillId="0" fontId="53" numFmtId="0" xfId="0" applyAlignment="1" applyBorder="1" applyFont="1">
      <alignment horizontal="center" vertical="bottom"/>
    </xf>
    <xf borderId="32" fillId="0" fontId="14" numFmtId="0" xfId="0" applyAlignment="1" applyBorder="1" applyFont="1">
      <alignment horizontal="center" vertical="center"/>
    </xf>
    <xf borderId="0" fillId="3" fontId="25" numFmtId="0" xfId="0" applyAlignment="1" applyFill="1" applyFont="1">
      <alignment vertical="center"/>
    </xf>
    <xf borderId="0" fillId="3" fontId="79" numFmtId="0" xfId="0" applyAlignment="1" applyFill="1" applyFont="1">
      <alignment vertical="center"/>
    </xf>
    <xf borderId="89" fillId="5" fontId="14" numFmtId="0" xfId="0" applyAlignment="1" applyBorder="1" applyFill="1" applyFont="1">
      <alignment horizontal="center" readingOrder="0" vertical="center"/>
    </xf>
    <xf borderId="0" fillId="3" fontId="80" numFmtId="0" xfId="0" applyFill="1" applyFont="1"/>
    <xf borderId="52" fillId="0" fontId="14" numFmtId="0" xfId="0" applyAlignment="1" applyBorder="1" applyFont="1">
      <alignment horizontal="center" readingOrder="0" vertical="center"/>
    </xf>
    <xf borderId="59" fillId="0" fontId="14" numFmtId="0" xfId="0" applyAlignment="1" applyBorder="1" applyFont="1">
      <alignment horizontal="center" readingOrder="0" vertical="center"/>
    </xf>
    <xf borderId="104" fillId="3" fontId="79" numFmtId="0" xfId="0" applyAlignment="1" applyBorder="1" applyFill="1" applyFont="1">
      <alignment vertical="center"/>
    </xf>
    <xf borderId="79" fillId="0" fontId="53" numFmtId="0" xfId="0" applyAlignment="1" applyBorder="1" applyFont="1">
      <alignment horizontal="center" vertical="bottom"/>
    </xf>
    <xf borderId="0" fillId="3" fontId="25" numFmtId="0" xfId="0" applyAlignment="1" applyFill="1" applyFont="1">
      <alignment horizontal="center" readingOrder="0" vertical="center"/>
    </xf>
    <xf borderId="67" fillId="0" fontId="14" numFmtId="0" xfId="0" applyAlignment="1" applyBorder="1" applyFont="1">
      <alignment horizontal="center" readingOrder="0" vertical="center"/>
    </xf>
    <xf borderId="113" fillId="3" fontId="1" numFmtId="0" xfId="0" applyAlignment="1" applyBorder="1" applyFill="1" applyFont="1">
      <alignment horizontal="center" vertical="center"/>
    </xf>
    <xf borderId="38" fillId="78" fontId="16" numFmtId="0" xfId="0" applyAlignment="1" applyBorder="1" applyFill="1" applyFont="1">
      <alignment horizontal="center" vertical="center"/>
    </xf>
    <xf borderId="114" fillId="3" fontId="25" numFmtId="0" xfId="0" applyAlignment="1" applyBorder="1" applyFill="1" applyFont="1">
      <alignment horizontal="center" readingOrder="0" vertical="center"/>
    </xf>
    <xf borderId="0" fillId="78" fontId="16" numFmtId="0" xfId="0" applyAlignment="1" applyFill="1" applyFont="1">
      <alignment horizontal="center" vertical="center"/>
    </xf>
    <xf borderId="39" fillId="4" fontId="1" numFmtId="0" xfId="0" applyAlignment="1" applyBorder="1" applyFill="1" applyFont="1">
      <alignment horizontal="center" readingOrder="0" vertical="center"/>
    </xf>
    <xf borderId="0" fillId="71" fontId="14" numFmtId="0" xfId="0" applyAlignment="1" applyFill="1" applyFont="1">
      <alignment horizontal="center" vertical="center"/>
    </xf>
    <xf borderId="39" fillId="5" fontId="1" numFmtId="0" xfId="0" applyAlignment="1" applyBorder="1" applyFill="1" applyFont="1">
      <alignment horizontal="center" vertical="center"/>
    </xf>
    <xf borderId="67" fillId="0" fontId="53" numFmtId="0" xfId="0" applyAlignment="1" applyBorder="1" applyFont="1">
      <alignment horizontal="center" vertical="bottom"/>
    </xf>
    <xf borderId="93" fillId="5" fontId="1" numFmtId="0" xfId="0" applyAlignment="1" applyBorder="1" applyFill="1" applyFont="1">
      <alignment horizontal="center" vertical="center"/>
    </xf>
    <xf borderId="71" fillId="0" fontId="53" numFmtId="0" xfId="0" applyAlignment="1" applyBorder="1" applyFont="1">
      <alignment horizontal="center" vertical="bottom"/>
    </xf>
    <xf borderId="41" fillId="5" fontId="1" numFmtId="0" xfId="0" applyAlignment="1" applyBorder="1" applyFill="1" applyFont="1">
      <alignment horizontal="center" vertical="center"/>
    </xf>
    <xf borderId="39" fillId="5" fontId="1" numFmtId="0" xfId="0" applyAlignment="1" applyBorder="1" applyFill="1" applyFont="1">
      <alignment horizontal="center" readingOrder="0" shrinkToFit="0" vertical="center" wrapText="0"/>
    </xf>
    <xf borderId="40" fillId="5" fontId="1" numFmtId="0" xfId="0" applyAlignment="1" applyBorder="1" applyFill="1" applyFont="1">
      <alignment horizontal="center" readingOrder="0" shrinkToFit="0" vertical="center" wrapText="0"/>
    </xf>
    <xf borderId="52" fillId="5" fontId="1" numFmtId="0" xfId="0" applyAlignment="1" applyBorder="1" applyFill="1" applyFont="1">
      <alignment horizontal="center" vertical="center"/>
    </xf>
    <xf borderId="53" fillId="5" fontId="1" numFmtId="0" xfId="0" applyAlignment="1" applyBorder="1" applyFill="1" applyFont="1">
      <alignment horizontal="center" vertical="center"/>
    </xf>
    <xf borderId="48" fillId="0" fontId="53" numFmtId="0" xfId="0" applyAlignment="1" applyBorder="1" applyFont="1">
      <alignment horizontal="center" vertical="bottom"/>
    </xf>
    <xf borderId="115" fillId="0" fontId="53" numFmtId="0" xfId="0" applyAlignment="1" applyBorder="1" applyFont="1">
      <alignment horizontal="center" vertical="bottom"/>
    </xf>
    <xf borderId="64" fillId="0" fontId="14" numFmtId="0" xfId="0" applyAlignment="1" applyBorder="1" applyFont="1">
      <alignment horizontal="center" vertical="center"/>
    </xf>
    <xf borderId="0" fillId="3" fontId="1" numFmtId="0" xfId="0" applyAlignment="1" applyFill="1" applyFont="1">
      <alignment horizontal="center" readingOrder="0" shrinkToFit="0" vertical="center" wrapText="0"/>
    </xf>
    <xf borderId="52" fillId="0" fontId="53" numFmtId="0" xfId="0" applyAlignment="1" applyBorder="1" applyFont="1">
      <alignment horizontal="center" vertical="bottom"/>
    </xf>
    <xf borderId="56" fillId="0" fontId="53" numFmtId="0" xfId="0" applyAlignment="1" applyBorder="1" applyFont="1">
      <alignment horizontal="center" vertical="bottom"/>
    </xf>
    <xf borderId="0" fillId="72" fontId="14" numFmtId="0" xfId="0" applyAlignment="1" applyFill="1" applyFont="1">
      <alignment horizontal="center" vertical="center"/>
    </xf>
    <xf borderId="75" fillId="0" fontId="53" numFmtId="0" xfId="0" applyAlignment="1" applyBorder="1" applyFont="1">
      <alignment horizontal="center" vertical="bottom"/>
    </xf>
    <xf borderId="116" fillId="0" fontId="53" numFmtId="0" xfId="0" applyAlignment="1" applyBorder="1" applyFont="1">
      <alignment horizontal="center" vertical="bottom"/>
    </xf>
    <xf borderId="10" fillId="0" fontId="14" numFmtId="0" xfId="0" applyAlignment="1" applyBorder="1" applyFont="1">
      <alignment horizontal="center" readingOrder="0" vertical="center"/>
    </xf>
    <xf borderId="27" fillId="4" fontId="15" numFmtId="0" xfId="0" applyAlignment="1" applyBorder="1" applyFill="1" applyFont="1">
      <alignment horizontal="center" readingOrder="0" vertical="center"/>
    </xf>
    <xf borderId="0" fillId="81" fontId="14" numFmtId="0" xfId="0" applyAlignment="1" applyFill="1" applyFont="1">
      <alignment horizontal="center" vertical="center"/>
    </xf>
    <xf borderId="0" fillId="0" fontId="54" numFmtId="0" xfId="0" applyAlignment="1" applyFont="1">
      <alignment horizontal="center" readingOrder="0" shrinkToFit="0" vertical="center" wrapText="0"/>
    </xf>
    <xf borderId="0" fillId="82" fontId="14" numFmtId="0" xfId="0" applyAlignment="1" applyFill="1" applyFont="1">
      <alignment horizontal="center" vertical="center"/>
    </xf>
    <xf borderId="79" fillId="0" fontId="54" numFmtId="49" xfId="0" applyAlignment="1" applyBorder="1" applyFont="1" applyNumberFormat="1">
      <alignment horizontal="center" readingOrder="0" shrinkToFit="0" vertical="center" wrapText="0"/>
    </xf>
    <xf borderId="117" fillId="0" fontId="54" numFmtId="0" xfId="0" applyAlignment="1" applyBorder="1" applyFont="1">
      <alignment horizontal="center" readingOrder="0" shrinkToFit="0" vertical="center" wrapText="0"/>
    </xf>
    <xf borderId="78" fillId="0" fontId="9" numFmtId="0" xfId="0" applyBorder="1" applyFont="1"/>
    <xf borderId="97" fillId="0" fontId="54" numFmtId="0" xfId="0" applyAlignment="1" applyBorder="1" applyFont="1">
      <alignment horizontal="center" readingOrder="0" shrinkToFit="0" vertical="center" wrapText="0"/>
    </xf>
    <xf borderId="79" fillId="78" fontId="54" numFmtId="0" xfId="0" applyAlignment="1" applyBorder="1" applyFill="1" applyFont="1">
      <alignment horizontal="center" readingOrder="0" shrinkToFit="0" vertical="center" wrapText="0"/>
    </xf>
    <xf borderId="78" fillId="78" fontId="81" numFmtId="0" xfId="0" applyAlignment="1" applyBorder="1" applyFill="1" applyFont="1">
      <alignment horizontal="center" readingOrder="0" shrinkToFit="0" vertical="center" wrapText="0"/>
    </xf>
    <xf borderId="46" fillId="0" fontId="81" numFmtId="0" xfId="0" applyAlignment="1" applyBorder="1" applyFont="1">
      <alignment horizontal="left" readingOrder="0" shrinkToFit="0" vertical="center" wrapText="0"/>
    </xf>
    <xf borderId="0" fillId="54" fontId="6" numFmtId="0" xfId="0" applyAlignment="1" applyFill="1" applyFont="1">
      <alignment shrinkToFit="0" wrapText="0"/>
    </xf>
    <xf borderId="78" fillId="0" fontId="54" numFmtId="0" xfId="0" applyAlignment="1" applyBorder="1" applyFont="1">
      <alignment horizontal="center" readingOrder="0" shrinkToFit="0" vertical="center" wrapText="0"/>
    </xf>
    <xf borderId="47" fillId="0" fontId="54" numFmtId="0" xfId="0" applyAlignment="1" applyBorder="1" applyFont="1">
      <alignment horizontal="center" readingOrder="0" shrinkToFit="0" vertical="center" wrapText="0"/>
    </xf>
    <xf borderId="0" fillId="0" fontId="54" numFmtId="0" xfId="0" applyAlignment="1" applyFont="1">
      <alignment horizontal="center" shrinkToFit="0" vertical="center" wrapText="0"/>
    </xf>
    <xf borderId="80" fillId="0" fontId="81" numFmtId="0" xfId="0" applyAlignment="1" applyBorder="1" applyFont="1">
      <alignment horizontal="center" readingOrder="0" shrinkToFit="0" vertical="center" wrapText="0"/>
    </xf>
    <xf borderId="35" fillId="0" fontId="81" numFmtId="0" xfId="0" applyAlignment="1" applyBorder="1" applyFont="1">
      <alignment horizontal="center" readingOrder="0" shrinkToFit="0" vertical="center" wrapText="0"/>
    </xf>
    <xf borderId="0" fillId="0" fontId="14" numFmtId="0" xfId="0" applyAlignment="1" applyFont="1">
      <alignment horizontal="center" shrinkToFit="0" vertical="center" wrapText="0"/>
    </xf>
    <xf borderId="81" fillId="0" fontId="10" numFmtId="49" xfId="0" applyAlignment="1" applyBorder="1" applyFont="1" applyNumberFormat="1">
      <alignment horizontal="center"/>
    </xf>
    <xf borderId="63" fillId="0" fontId="82" numFmtId="0" xfId="0" applyAlignment="1" applyBorder="1" applyFont="1">
      <alignment horizontal="center"/>
    </xf>
    <xf borderId="44" fillId="0" fontId="82" numFmtId="0" xfId="0" applyAlignment="1" applyBorder="1" applyFont="1">
      <alignment horizontal="center"/>
    </xf>
    <xf borderId="0" fillId="0" fontId="10" numFmtId="0" xfId="0" applyFont="1"/>
    <xf borderId="81" fillId="83" fontId="10" numFmtId="0" xfId="0" applyBorder="1" applyFill="1" applyFont="1"/>
    <xf borderId="0" fillId="0" fontId="53" numFmtId="0" xfId="0" applyAlignment="1" applyFont="1">
      <alignment horizontal="center" vertical="bottom"/>
    </xf>
    <xf borderId="63" fillId="83" fontId="82" numFmtId="0" xfId="0" applyAlignment="1" applyBorder="1" applyFill="1" applyFont="1">
      <alignment horizontal="center" vertical="center"/>
    </xf>
    <xf borderId="91" fillId="0" fontId="10" numFmtId="0" xfId="0" applyAlignment="1" applyBorder="1" applyFont="1">
      <alignment horizontal="center"/>
    </xf>
    <xf borderId="63" fillId="0" fontId="10" numFmtId="0" xfId="0" applyAlignment="1" applyBorder="1" applyFont="1">
      <alignment horizontal="center"/>
    </xf>
    <xf borderId="67" fillId="0" fontId="1" numFmtId="0" xfId="0" applyAlignment="1" applyBorder="1" applyFont="1">
      <alignment horizontal="center" readingOrder="0" shrinkToFit="0" vertical="center" wrapText="0"/>
    </xf>
    <xf borderId="38" fillId="0" fontId="1" numFmtId="0" xfId="0" applyAlignment="1" applyBorder="1" applyFont="1">
      <alignment horizontal="center" readingOrder="0" shrinkToFit="0" vertical="center" wrapText="0"/>
    </xf>
    <xf borderId="67" fillId="0" fontId="83" numFmtId="49" xfId="0" applyAlignment="1" applyBorder="1" applyFont="1" applyNumberFormat="1">
      <alignment horizontal="center"/>
    </xf>
    <xf borderId="0" fillId="0" fontId="14" numFmtId="0" xfId="0" applyAlignment="1" applyFont="1">
      <alignment horizontal="center" vertical="center"/>
    </xf>
    <xf borderId="70" fillId="0" fontId="84" numFmtId="0" xfId="0" applyAlignment="1" applyBorder="1" applyFont="1">
      <alignment horizontal="center"/>
    </xf>
    <xf borderId="0" fillId="0" fontId="14" numFmtId="0" xfId="0" applyAlignment="1" applyFont="1">
      <alignment vertical="center"/>
    </xf>
    <xf borderId="38" fillId="0" fontId="84" numFmtId="0" xfId="0" applyAlignment="1" applyBorder="1" applyFont="1">
      <alignment horizontal="center"/>
    </xf>
    <xf borderId="67" fillId="83" fontId="10" numFmtId="0" xfId="0" applyBorder="1" applyFill="1" applyFont="1"/>
    <xf borderId="32" fillId="5" fontId="1" numFmtId="0" xfId="0" applyAlignment="1" applyBorder="1" applyFill="1" applyFont="1">
      <alignment horizontal="center" readingOrder="0" shrinkToFit="0" vertical="center" wrapText="0"/>
    </xf>
    <xf borderId="70" fillId="83" fontId="82" numFmtId="0" xfId="0" applyAlignment="1" applyBorder="1" applyFill="1" applyFont="1">
      <alignment horizontal="center" vertical="center"/>
    </xf>
    <xf borderId="70" fillId="0" fontId="84" numFmtId="0" xfId="0" applyBorder="1" applyFont="1"/>
    <xf borderId="70" fillId="84" fontId="85" numFmtId="0" xfId="0" applyAlignment="1" applyBorder="1" applyFill="1" applyFont="1">
      <alignment horizontal="center"/>
    </xf>
    <xf borderId="70" fillId="85" fontId="85" numFmtId="0" xfId="0" applyAlignment="1" applyBorder="1" applyFill="1" applyFont="1">
      <alignment horizontal="center"/>
    </xf>
    <xf borderId="68" fillId="0" fontId="83" numFmtId="0" xfId="0" applyAlignment="1" applyBorder="1" applyFont="1">
      <alignment horizontal="center"/>
    </xf>
    <xf borderId="70" fillId="0" fontId="83" numFmtId="0" xfId="0" applyAlignment="1" applyBorder="1" applyFont="1">
      <alignment horizontal="center"/>
    </xf>
    <xf borderId="0" fillId="5" fontId="1" numFmtId="0" xfId="0" applyAlignment="1" applyFill="1" applyFont="1">
      <alignment horizontal="center" readingOrder="0" vertical="center"/>
    </xf>
    <xf borderId="40" fillId="0" fontId="14" numFmtId="1" xfId="0" applyAlignment="1" applyBorder="1" applyFont="1" applyNumberFormat="1">
      <alignment horizontal="center" vertical="center"/>
    </xf>
    <xf borderId="38" fillId="5" fontId="1" numFmtId="0" xfId="0" applyAlignment="1" applyBorder="1" applyFill="1" applyFont="1">
      <alignment horizontal="center" readingOrder="0" shrinkToFit="0" vertical="center" wrapText="0"/>
    </xf>
    <xf borderId="70" fillId="0" fontId="82" numFmtId="0" xfId="0" applyAlignment="1" applyBorder="1" applyFont="1">
      <alignment horizontal="center"/>
    </xf>
    <xf borderId="70" fillId="0" fontId="10" numFmtId="0" xfId="0" applyBorder="1" applyFont="1"/>
    <xf borderId="38" fillId="0" fontId="82" numFmtId="0" xfId="0" applyAlignment="1" applyBorder="1" applyFont="1">
      <alignment horizontal="center"/>
    </xf>
    <xf borderId="67" fillId="0" fontId="1" numFmtId="0" xfId="0" applyAlignment="1" applyBorder="1" applyFont="1">
      <alignment horizontal="center" shrinkToFit="0" vertical="center" wrapText="0"/>
    </xf>
    <xf borderId="38" fillId="0" fontId="1" numFmtId="0" xfId="0" applyAlignment="1" applyBorder="1" applyFont="1">
      <alignment horizontal="center" shrinkToFit="0" vertical="center" wrapText="0"/>
    </xf>
    <xf borderId="70" fillId="83" fontId="10" numFmtId="0" xfId="0" applyAlignment="1" applyBorder="1" applyFill="1" applyFont="1">
      <alignment horizontal="center" vertical="center"/>
    </xf>
    <xf borderId="41" fillId="5" fontId="1" numFmtId="0" xfId="0" applyAlignment="1" applyBorder="1" applyFill="1" applyFont="1">
      <alignment horizontal="center" readingOrder="0" shrinkToFit="0" vertical="center" wrapText="0"/>
    </xf>
    <xf borderId="8" fillId="4" fontId="1" numFmtId="0" xfId="0" applyAlignment="1" applyBorder="1" applyFill="1" applyFont="1">
      <alignment horizontal="center" readingOrder="0" vertical="center"/>
    </xf>
    <xf borderId="68" fillId="0" fontId="64" numFmtId="0" xfId="0" applyBorder="1" applyFont="1"/>
    <xf borderId="38" fillId="0" fontId="64" numFmtId="0" xfId="0" applyAlignment="1" applyBorder="1" applyFont="1">
      <alignment horizontal="center"/>
    </xf>
    <xf borderId="38" fillId="0" fontId="64" numFmtId="0" xfId="0" applyAlignment="1" applyBorder="1" applyFont="1">
      <alignment horizontal="center"/>
    </xf>
    <xf borderId="17" fillId="5" fontId="1" numFmtId="0" xfId="0" applyAlignment="1" applyBorder="1" applyFill="1" applyFont="1">
      <alignment horizontal="center" readingOrder="0" vertical="center"/>
    </xf>
    <xf borderId="68" fillId="0" fontId="64" numFmtId="0" xfId="0" applyBorder="1" applyFont="1"/>
    <xf borderId="68" fillId="78" fontId="55" numFmtId="0" xfId="0" applyAlignment="1" applyBorder="1" applyFill="1" applyFont="1">
      <alignment readingOrder="0"/>
    </xf>
    <xf borderId="17" fillId="5" fontId="14" numFmtId="0" xfId="0" applyAlignment="1" applyBorder="1" applyFill="1" applyFont="1">
      <alignment horizontal="center" readingOrder="0" vertical="center"/>
    </xf>
    <xf borderId="38" fillId="5" fontId="15" numFmtId="0" xfId="0" applyAlignment="1" applyBorder="1" applyFill="1" applyFont="1">
      <alignment horizontal="center" readingOrder="0" vertical="center"/>
    </xf>
    <xf borderId="93" fillId="5" fontId="14" numFmtId="0" xfId="0" applyAlignment="1" applyBorder="1" applyFill="1" applyFont="1">
      <alignment horizontal="center" readingOrder="0" vertical="center"/>
    </xf>
    <xf borderId="41" fillId="5" fontId="15" numFmtId="0" xfId="0" applyAlignment="1" applyBorder="1" applyFill="1" applyFont="1">
      <alignment horizontal="center" readingOrder="0" vertical="center"/>
    </xf>
    <xf borderId="70" fillId="86" fontId="85" numFmtId="0" xfId="0" applyAlignment="1" applyBorder="1" applyFill="1" applyFont="1">
      <alignment horizontal="center"/>
    </xf>
    <xf borderId="0" fillId="64" fontId="7" numFmtId="0" xfId="0" applyAlignment="1" applyFill="1" applyFont="1">
      <alignment horizontal="center" vertical="center"/>
    </xf>
    <xf borderId="70" fillId="0" fontId="10" numFmtId="0" xfId="0" applyAlignment="1" applyBorder="1" applyFont="1">
      <alignment horizontal="center"/>
    </xf>
    <xf borderId="0" fillId="65" fontId="31" numFmtId="0" xfId="0" applyAlignment="1" applyFill="1" applyFont="1">
      <alignment horizontal="left" vertical="center"/>
    </xf>
    <xf borderId="70" fillId="87" fontId="83" numFmtId="0" xfId="0" applyAlignment="1" applyBorder="1" applyFill="1" applyFont="1">
      <alignment horizontal="center"/>
    </xf>
    <xf borderId="0" fillId="3" fontId="45" numFmtId="0" xfId="0" applyAlignment="1" applyFill="1" applyFont="1">
      <alignment horizontal="left" vertical="center"/>
    </xf>
    <xf borderId="0" fillId="3" fontId="45" numFmtId="0" xfId="0" applyAlignment="1" applyFill="1" applyFont="1">
      <alignment horizontal="center" vertical="center"/>
    </xf>
    <xf borderId="89" fillId="5" fontId="82" numFmtId="0" xfId="0" applyAlignment="1" applyBorder="1" applyFill="1" applyFont="1">
      <alignment horizontal="center" readingOrder="0"/>
    </xf>
    <xf borderId="95" fillId="5" fontId="82" numFmtId="0" xfId="0" applyAlignment="1" applyBorder="1" applyFill="1" applyFont="1">
      <alignment horizontal="center" readingOrder="0"/>
    </xf>
    <xf borderId="68" fillId="78" fontId="64" numFmtId="0" xfId="0" applyAlignment="1" applyBorder="1" applyFill="1" applyFont="1">
      <alignment readingOrder="0"/>
    </xf>
    <xf borderId="117" fillId="5" fontId="82" numFmtId="0" xfId="0" applyAlignment="1" applyBorder="1" applyFill="1" applyFont="1">
      <alignment horizontal="center"/>
    </xf>
    <xf borderId="78" fillId="5" fontId="82" numFmtId="0" xfId="0" applyAlignment="1" applyBorder="1" applyFill="1" applyFont="1">
      <alignment horizontal="center"/>
    </xf>
    <xf borderId="117" fillId="5" fontId="10" numFmtId="0" xfId="0" applyBorder="1" applyFill="1" applyFont="1"/>
    <xf borderId="78" fillId="5" fontId="10" numFmtId="0" xfId="0" applyBorder="1" applyFill="1" applyFont="1"/>
    <xf borderId="117" fillId="5" fontId="82" numFmtId="0" xfId="0" applyAlignment="1" applyBorder="1" applyFill="1" applyFont="1">
      <alignment horizontal="center" readingOrder="0"/>
    </xf>
    <xf borderId="78" fillId="5" fontId="82" numFmtId="0" xfId="0" applyAlignment="1" applyBorder="1" applyFill="1" applyFont="1">
      <alignment horizontal="center" readingOrder="0"/>
    </xf>
    <xf borderId="70" fillId="0" fontId="84" numFmtId="0" xfId="0" applyBorder="1" applyFont="1"/>
    <xf borderId="0" fillId="3" fontId="6" numFmtId="0" xfId="0" applyFill="1" applyFont="1"/>
    <xf borderId="0" fillId="3" fontId="47" numFmtId="0" xfId="0" applyFill="1" applyFont="1"/>
    <xf borderId="70" fillId="88" fontId="85" numFmtId="0" xfId="0" applyAlignment="1" applyBorder="1" applyFill="1" applyFont="1">
      <alignment horizontal="center"/>
    </xf>
    <xf borderId="89" fillId="78" fontId="16" numFmtId="0" xfId="0" applyAlignment="1" applyBorder="1" applyFill="1" applyFont="1">
      <alignment horizontal="center" vertical="center"/>
    </xf>
    <xf borderId="38" fillId="78" fontId="64" numFmtId="0" xfId="0" applyAlignment="1" applyBorder="1" applyFill="1" applyFont="1">
      <alignment horizontal="center" readingOrder="0"/>
    </xf>
    <xf borderId="71" fillId="0" fontId="86" numFmtId="0" xfId="0" applyAlignment="1" applyBorder="1" applyFont="1">
      <alignment horizontal="center"/>
    </xf>
    <xf borderId="70" fillId="0" fontId="83" numFmtId="0" xfId="0" applyAlignment="1" applyBorder="1" applyFont="1">
      <alignment horizontal="center" vertical="bottom"/>
    </xf>
    <xf borderId="70" fillId="89" fontId="85" numFmtId="0" xfId="0" applyAlignment="1" applyBorder="1" applyFill="1" applyFont="1">
      <alignment horizontal="center"/>
    </xf>
    <xf borderId="28" fillId="3" fontId="14" numFmtId="0" xfId="0" applyAlignment="1" applyBorder="1" applyFill="1" applyFont="1">
      <alignment horizontal="center" vertical="center"/>
    </xf>
    <xf borderId="28" fillId="3" fontId="9" numFmtId="0" xfId="0" applyBorder="1" applyFill="1" applyFont="1"/>
    <xf borderId="0" fillId="2" fontId="9" numFmtId="0" xfId="0" applyFill="1" applyFont="1"/>
    <xf borderId="0" fillId="77" fontId="43" numFmtId="0" xfId="0" applyAlignment="1" applyFill="1" applyFont="1">
      <alignment horizontal="center" readingOrder="0" vertical="center"/>
    </xf>
    <xf borderId="0" fillId="90" fontId="87" numFmtId="0" xfId="0" applyAlignment="1" applyFill="1" applyFont="1">
      <alignment horizontal="center" readingOrder="0" vertical="center"/>
    </xf>
    <xf borderId="0" fillId="0" fontId="88" numFmtId="0" xfId="0" applyAlignment="1" applyFont="1">
      <alignment horizontal="center" readingOrder="0" vertical="center"/>
    </xf>
    <xf borderId="0" fillId="91" fontId="87" numFmtId="0" xfId="0" applyAlignment="1" applyFill="1" applyFont="1">
      <alignment horizontal="center" readingOrder="0" textRotation="90" vertical="center"/>
    </xf>
    <xf borderId="0" fillId="0" fontId="9" numFmtId="0" xfId="0" applyAlignment="1" applyFont="1">
      <alignment horizontal="center" readingOrder="0" vertical="center"/>
    </xf>
    <xf borderId="0" fillId="0" fontId="89" numFmtId="0" xfId="0" applyAlignment="1" applyFont="1">
      <alignment horizontal="center" readingOrder="0" vertical="center"/>
    </xf>
    <xf borderId="0" fillId="6" fontId="9" numFmtId="0" xfId="0" applyAlignment="1" applyFill="1" applyFont="1">
      <alignment readingOrder="0"/>
    </xf>
    <xf borderId="60" fillId="92" fontId="32" numFmtId="1" xfId="0" applyAlignment="1" applyBorder="1" applyFill="1" applyFont="1" applyNumberFormat="1">
      <alignment horizontal="left" readingOrder="0" shrinkToFit="0" vertical="center" wrapText="0"/>
    </xf>
    <xf borderId="68" fillId="0" fontId="32" numFmtId="1" xfId="0" applyAlignment="1" applyBorder="1" applyFont="1" applyNumberFormat="1">
      <alignment horizontal="left" readingOrder="0" shrinkToFit="0" vertical="center" wrapText="0"/>
    </xf>
    <xf borderId="68" fillId="0" fontId="32" numFmtId="0" xfId="0" applyAlignment="1" applyBorder="1" applyFont="1">
      <alignment horizontal="left" readingOrder="0" vertical="center"/>
    </xf>
    <xf borderId="68" fillId="0" fontId="5" numFmtId="0" xfId="0" applyAlignment="1" applyBorder="1" applyFont="1">
      <alignment horizontal="left" readingOrder="0" vertical="center"/>
    </xf>
    <xf borderId="89" fillId="0" fontId="14" numFmtId="0" xfId="0" applyAlignment="1" applyBorder="1" applyFont="1">
      <alignment horizontal="center" vertical="center"/>
    </xf>
    <xf borderId="0" fillId="3" fontId="31" numFmtId="0" xfId="0" applyAlignment="1" applyFill="1" applyFont="1">
      <alignment horizontal="left" vertical="center"/>
    </xf>
    <xf borderId="0" fillId="2" fontId="15" numFmtId="0" xfId="0" applyAlignment="1" applyFill="1" applyFont="1">
      <alignment horizontal="center" vertical="center"/>
    </xf>
    <xf borderId="0" fillId="2" fontId="90" numFmtId="0" xfId="0" applyAlignment="1" applyFill="1" applyFont="1">
      <alignment horizontal="center" vertical="center"/>
    </xf>
    <xf borderId="4" fillId="3" fontId="15" numFmtId="0" xfId="0" applyAlignment="1" applyBorder="1" applyFill="1" applyFont="1">
      <alignment horizontal="center" vertical="center"/>
    </xf>
    <xf borderId="4" fillId="3" fontId="90" numFmtId="0" xfId="0" applyAlignment="1" applyBorder="1" applyFill="1" applyFont="1">
      <alignment horizontal="center" vertical="center"/>
    </xf>
    <xf borderId="48" fillId="93" fontId="33" numFmtId="0" xfId="0" applyAlignment="1" applyBorder="1" applyFill="1" applyFont="1">
      <alignment horizontal="center" readingOrder="0" vertical="center"/>
    </xf>
    <xf borderId="0" fillId="3" fontId="15" numFmtId="0" xfId="0" applyAlignment="1" applyFill="1" applyFont="1">
      <alignment horizontal="center" vertical="center"/>
    </xf>
    <xf borderId="8" fillId="94" fontId="91" numFmtId="0" xfId="0" applyAlignment="1" applyBorder="1" applyFill="1" applyFont="1">
      <alignment horizontal="center" readingOrder="0" vertical="center"/>
    </xf>
    <xf borderId="8" fillId="18" fontId="91" numFmtId="0" xfId="0" applyAlignment="1" applyBorder="1" applyFill="1" applyFont="1">
      <alignment horizontal="center" readingOrder="0" vertical="center"/>
    </xf>
    <xf borderId="0" fillId="3" fontId="90" numFmtId="0" xfId="0" applyAlignment="1" applyFill="1" applyFont="1">
      <alignment horizontal="center" vertical="center"/>
    </xf>
    <xf borderId="22" fillId="93" fontId="32" numFmtId="0" xfId="0" applyAlignment="1" applyBorder="1" applyFill="1" applyFont="1">
      <alignment horizontal="center" readingOrder="0" vertical="center"/>
    </xf>
    <xf borderId="61" fillId="93" fontId="32" numFmtId="0" xfId="0" applyAlignment="1" applyBorder="1" applyFill="1" applyFont="1">
      <alignment horizontal="center" vertical="center"/>
    </xf>
    <xf borderId="71" fillId="0" fontId="86" numFmtId="165" xfId="0" applyAlignment="1" applyBorder="1" applyFont="1" applyNumberFormat="1">
      <alignment horizontal="center"/>
    </xf>
    <xf borderId="12" fillId="77" fontId="92" numFmtId="0" xfId="0" applyAlignment="1" applyBorder="1" applyFill="1" applyFont="1">
      <alignment horizontal="center" readingOrder="0" textRotation="90" vertical="center"/>
    </xf>
    <xf borderId="18" fillId="94" fontId="15" numFmtId="0" xfId="0" applyAlignment="1" applyBorder="1" applyFill="1" applyFont="1">
      <alignment horizontal="center" readingOrder="0" vertical="center"/>
    </xf>
    <xf borderId="32" fillId="77" fontId="93" numFmtId="0" xfId="0" applyAlignment="1" applyBorder="1" applyFill="1" applyFont="1">
      <alignment horizontal="center" readingOrder="0" textRotation="180" vertical="center"/>
    </xf>
    <xf borderId="18" fillId="5" fontId="15" numFmtId="0" xfId="0" applyAlignment="1" applyBorder="1" applyFill="1" applyFont="1">
      <alignment horizontal="center" readingOrder="0" vertical="center"/>
    </xf>
    <xf borderId="18" fillId="18" fontId="15" numFmtId="0" xfId="0" applyAlignment="1" applyBorder="1" applyFill="1" applyFont="1">
      <alignment horizontal="center" readingOrder="0" vertical="center"/>
    </xf>
    <xf borderId="18" fillId="44" fontId="15" numFmtId="0" xfId="0" applyAlignment="1" applyBorder="1" applyFill="1" applyFont="1">
      <alignment horizontal="center" readingOrder="0" vertical="center"/>
    </xf>
    <xf borderId="17" fillId="0" fontId="9" numFmtId="0" xfId="0" applyBorder="1" applyFont="1"/>
    <xf borderId="57" fillId="95" fontId="32" numFmtId="1" xfId="0" applyAlignment="1" applyBorder="1" applyFill="1" applyFont="1" applyNumberFormat="1">
      <alignment horizontal="center" readingOrder="0" shrinkToFit="0" vertical="center" wrapText="0"/>
    </xf>
    <xf borderId="60" fillId="43" fontId="32" numFmtId="1" xfId="0" applyAlignment="1" applyBorder="1" applyFill="1" applyFont="1" applyNumberFormat="1">
      <alignment horizontal="left" readingOrder="0" shrinkToFit="0" vertical="center" wrapText="0"/>
    </xf>
    <xf borderId="71" fillId="0" fontId="86" numFmtId="0" xfId="0" applyAlignment="1" applyBorder="1" applyFont="1">
      <alignment horizontal="center"/>
    </xf>
    <xf borderId="65" fillId="95" fontId="32" numFmtId="0" xfId="0" applyAlignment="1" applyBorder="1" applyFill="1" applyFont="1">
      <alignment horizontal="center" readingOrder="0" vertical="center"/>
    </xf>
    <xf borderId="39" fillId="94" fontId="15" numFmtId="164" xfId="0" applyAlignment="1" applyBorder="1" applyFill="1" applyFont="1" applyNumberFormat="1">
      <alignment horizontal="center" readingOrder="0" vertical="center"/>
    </xf>
    <xf borderId="39" fillId="94" fontId="15" numFmtId="0" xfId="0" applyAlignment="1" applyBorder="1" applyFill="1" applyFont="1">
      <alignment horizontal="center" readingOrder="0" vertical="center"/>
    </xf>
    <xf borderId="39" fillId="5" fontId="15" numFmtId="164" xfId="0" applyAlignment="1" applyBorder="1" applyFill="1" applyFont="1" applyNumberFormat="1">
      <alignment horizontal="center" readingOrder="0" vertical="center"/>
    </xf>
    <xf borderId="39" fillId="18" fontId="15" numFmtId="0" xfId="0" applyAlignment="1" applyBorder="1" applyFill="1" applyFont="1">
      <alignment horizontal="center" readingOrder="0" vertical="center"/>
    </xf>
    <xf borderId="39" fillId="44" fontId="15" numFmtId="0" xfId="0" applyAlignment="1" applyBorder="1" applyFill="1" applyFont="1">
      <alignment horizontal="center" readingOrder="0" vertical="center"/>
    </xf>
    <xf borderId="45" fillId="94" fontId="15" numFmtId="0" xfId="0" applyAlignment="1" applyBorder="1" applyFill="1" applyFont="1">
      <alignment horizontal="center" readingOrder="0" vertical="center"/>
    </xf>
    <xf borderId="77" fillId="94" fontId="15" numFmtId="0" xfId="0" applyAlignment="1" applyBorder="1" applyFill="1" applyFont="1">
      <alignment horizontal="center" readingOrder="0" vertical="center"/>
    </xf>
    <xf borderId="47" fillId="0" fontId="9" numFmtId="0" xfId="0" applyBorder="1" applyFont="1"/>
    <xf borderId="45" fillId="5" fontId="15" numFmtId="0" xfId="0" applyAlignment="1" applyBorder="1" applyFill="1" applyFont="1">
      <alignment horizontal="center" readingOrder="0" vertical="center"/>
    </xf>
    <xf borderId="77" fillId="5" fontId="15" numFmtId="0" xfId="0" applyAlignment="1" applyBorder="1" applyFill="1" applyFont="1">
      <alignment horizontal="center" readingOrder="0" vertical="center"/>
    </xf>
    <xf borderId="70" fillId="96" fontId="85" numFmtId="0" xfId="0" applyAlignment="1" applyBorder="1" applyFill="1" applyFont="1">
      <alignment horizontal="center"/>
    </xf>
    <xf borderId="45" fillId="18" fontId="15" numFmtId="0" xfId="0" applyAlignment="1" applyBorder="1" applyFill="1" applyFont="1">
      <alignment horizontal="center" readingOrder="0" vertical="center"/>
    </xf>
    <xf borderId="77" fillId="18" fontId="15" numFmtId="0" xfId="0" applyAlignment="1" applyBorder="1" applyFill="1" applyFont="1">
      <alignment horizontal="center" readingOrder="0" vertical="center"/>
    </xf>
    <xf borderId="45" fillId="44" fontId="15" numFmtId="0" xfId="0" applyAlignment="1" applyBorder="1" applyFill="1" applyFont="1">
      <alignment horizontal="center" readingOrder="0" vertical="center"/>
    </xf>
    <xf borderId="77" fillId="44" fontId="15" numFmtId="0" xfId="0" applyAlignment="1" applyBorder="1" applyFill="1" applyFont="1">
      <alignment horizontal="center" readingOrder="0" vertical="center"/>
    </xf>
    <xf borderId="22" fillId="94" fontId="15" numFmtId="0" xfId="0" applyAlignment="1" applyBorder="1" applyFill="1" applyFont="1">
      <alignment horizontal="center" readingOrder="0" vertical="center"/>
    </xf>
    <xf borderId="67" fillId="95" fontId="32" numFmtId="1" xfId="0" applyAlignment="1" applyBorder="1" applyFill="1" applyFont="1" applyNumberFormat="1">
      <alignment horizontal="center" readingOrder="0" shrinkToFit="0" vertical="center" wrapText="0"/>
    </xf>
    <xf borderId="87" fillId="94" fontId="15" numFmtId="0" xfId="0" applyAlignment="1" applyBorder="1" applyFill="1" applyFont="1">
      <alignment horizontal="center" readingOrder="0" vertical="center"/>
    </xf>
    <xf borderId="68" fillId="43" fontId="32" numFmtId="1" xfId="0" applyAlignment="1" applyBorder="1" applyFill="1" applyFont="1" applyNumberFormat="1">
      <alignment horizontal="left" readingOrder="0" shrinkToFit="0" vertical="center" wrapText="0"/>
    </xf>
    <xf borderId="71" fillId="95" fontId="32" numFmtId="0" xfId="0" applyAlignment="1" applyBorder="1" applyFill="1" applyFont="1">
      <alignment horizontal="center" readingOrder="0" vertical="center"/>
    </xf>
    <xf borderId="22" fillId="5" fontId="15" numFmtId="0" xfId="0" applyAlignment="1" applyBorder="1" applyFill="1" applyFont="1">
      <alignment horizontal="center" readingOrder="0" vertical="center"/>
    </xf>
    <xf borderId="87" fillId="5" fontId="15" numFmtId="0" xfId="0" applyAlignment="1" applyBorder="1" applyFill="1" applyFont="1">
      <alignment horizontal="center" readingOrder="0" vertical="center"/>
    </xf>
    <xf borderId="68" fillId="43" fontId="5" numFmtId="0" xfId="0" applyAlignment="1" applyBorder="1" applyFill="1" applyFont="1">
      <alignment horizontal="left" readingOrder="0" vertical="center"/>
    </xf>
    <xf borderId="67" fillId="95" fontId="32" numFmtId="0" xfId="0" applyAlignment="1" applyBorder="1" applyFill="1" applyFont="1">
      <alignment horizontal="center" readingOrder="0" vertical="center"/>
    </xf>
    <xf borderId="22" fillId="18" fontId="15" numFmtId="0" xfId="0" applyAlignment="1" applyBorder="1" applyFill="1" applyFont="1">
      <alignment horizontal="center" readingOrder="0" vertical="center"/>
    </xf>
    <xf borderId="68" fillId="43" fontId="32" numFmtId="0" xfId="0" applyAlignment="1" applyBorder="1" applyFill="1" applyFont="1">
      <alignment horizontal="left" readingOrder="0" vertical="center"/>
    </xf>
    <xf borderId="87" fillId="18" fontId="15" numFmtId="0" xfId="0" applyAlignment="1" applyBorder="1" applyFill="1" applyFont="1">
      <alignment horizontal="center" readingOrder="0" vertical="center"/>
    </xf>
    <xf borderId="22" fillId="44" fontId="15" numFmtId="0" xfId="0" applyAlignment="1" applyBorder="1" applyFill="1" applyFont="1">
      <alignment horizontal="center" readingOrder="0" vertical="center"/>
    </xf>
    <xf borderId="87" fillId="44" fontId="15" numFmtId="0" xfId="0" applyAlignment="1" applyBorder="1" applyFill="1" applyFont="1">
      <alignment horizontal="center" readingOrder="0" vertical="center"/>
    </xf>
    <xf borderId="93" fillId="0" fontId="9" numFmtId="0" xfId="0" applyBorder="1" applyFont="1"/>
    <xf borderId="8" fillId="83" fontId="32" numFmtId="0" xfId="0" applyAlignment="1" applyBorder="1" applyFill="1" applyFont="1">
      <alignment horizontal="center" readingOrder="0" vertical="center"/>
    </xf>
    <xf borderId="67" fillId="95" fontId="5" numFmtId="0" xfId="0" applyAlignment="1" applyBorder="1" applyFill="1" applyFont="1">
      <alignment horizontal="center" readingOrder="0" vertical="center"/>
    </xf>
    <xf borderId="9" fillId="83" fontId="94" numFmtId="0" xfId="0" applyAlignment="1" applyBorder="1" applyFill="1" applyFont="1">
      <alignment horizontal="center" readingOrder="0" vertical="center"/>
    </xf>
    <xf borderId="67" fillId="95" fontId="5" numFmtId="0" xfId="0" applyAlignment="1" applyBorder="1" applyFill="1" applyFont="1">
      <alignment horizontal="center" vertical="center"/>
    </xf>
    <xf borderId="75" fillId="93" fontId="5" numFmtId="0" xfId="0" applyAlignment="1" applyBorder="1" applyFill="1" applyFont="1">
      <alignment horizontal="center" readingOrder="0" vertical="center"/>
    </xf>
    <xf borderId="9" fillId="93" fontId="5" numFmtId="0" xfId="0" applyAlignment="1" applyBorder="1" applyFill="1" applyFont="1">
      <alignment horizontal="center" vertical="center"/>
    </xf>
    <xf borderId="0" fillId="3" fontId="90" numFmtId="0" xfId="0" applyAlignment="1" applyFill="1" applyFont="1">
      <alignment horizontal="center" readingOrder="0" vertical="center"/>
    </xf>
    <xf borderId="75" fillId="93" fontId="5" numFmtId="0" xfId="0" applyAlignment="1" applyBorder="1" applyFill="1" applyFont="1">
      <alignment horizontal="center" vertical="center"/>
    </xf>
    <xf borderId="8" fillId="83" fontId="32" numFmtId="0" xfId="0" applyAlignment="1" applyBorder="1" applyFill="1" applyFont="1">
      <alignment horizontal="center" readingOrder="0" vertical="center"/>
    </xf>
    <xf borderId="75" fillId="93" fontId="5" numFmtId="0" xfId="0" applyAlignment="1" applyBorder="1" applyFill="1" applyFont="1">
      <alignment horizontal="center" vertical="center"/>
    </xf>
    <xf borderId="9" fillId="83" fontId="42" numFmtId="0" xfId="0" applyAlignment="1" applyBorder="1" applyFill="1" applyFont="1">
      <alignment horizontal="center" readingOrder="0" vertical="center"/>
    </xf>
    <xf borderId="0" fillId="3" fontId="90" numFmtId="0" xfId="0" applyAlignment="1" applyFill="1" applyFont="1">
      <alignment horizontal="center" vertical="center"/>
    </xf>
    <xf borderId="0" fillId="3" fontId="90" numFmtId="0" xfId="0" applyAlignment="1" applyFill="1" applyFont="1">
      <alignment horizontal="center" readingOrder="0" vertical="center"/>
    </xf>
    <xf borderId="0" fillId="3" fontId="15" numFmtId="0" xfId="0" applyAlignment="1" applyFill="1" applyFont="1">
      <alignment horizontal="center" readingOrder="0" vertical="center"/>
    </xf>
    <xf borderId="0" fillId="3" fontId="15" numFmtId="0" xfId="0" applyAlignment="1" applyFill="1" applyFont="1">
      <alignment horizontal="center" vertical="center"/>
    </xf>
    <xf borderId="0" fillId="3" fontId="5" numFmtId="0" xfId="0" applyAlignment="1" applyFill="1" applyFont="1">
      <alignment horizontal="center" vertical="center"/>
    </xf>
    <xf borderId="0" fillId="3" fontId="8" numFmtId="0" xfId="0" applyAlignment="1" applyFill="1" applyFont="1">
      <alignment horizontal="center" readingOrder="0" vertical="center"/>
    </xf>
    <xf borderId="18" fillId="18" fontId="15" numFmtId="0" xfId="0" applyAlignment="1" applyBorder="1" applyFill="1" applyFont="1">
      <alignment horizontal="center" readingOrder="0" vertical="center"/>
    </xf>
    <xf borderId="32" fillId="77" fontId="93" numFmtId="0" xfId="0" applyAlignment="1" applyBorder="1" applyFill="1" applyFont="1">
      <alignment horizontal="center" readingOrder="0" textRotation="180" vertical="center"/>
    </xf>
    <xf borderId="18" fillId="44" fontId="15" numFmtId="0" xfId="0" applyAlignment="1" applyBorder="1" applyFill="1" applyFont="1">
      <alignment horizontal="center" readingOrder="0" vertical="center"/>
    </xf>
    <xf borderId="62" fillId="5" fontId="15" numFmtId="0" xfId="0" applyAlignment="1" applyBorder="1" applyFill="1" applyFont="1">
      <alignment horizontal="center" readingOrder="0" vertical="center"/>
    </xf>
    <xf borderId="43" fillId="0" fontId="9" numFmtId="0" xfId="0" applyBorder="1" applyFont="1"/>
    <xf borderId="44" fillId="0" fontId="9" numFmtId="0" xfId="0" applyBorder="1" applyFont="1"/>
    <xf borderId="0" fillId="0" fontId="14" numFmtId="0" xfId="0" applyAlignment="1" applyFont="1">
      <alignment horizontal="center" readingOrder="0" shrinkToFit="0" vertical="center" wrapText="0"/>
    </xf>
    <xf borderId="62" fillId="44" fontId="15" numFmtId="0" xfId="0" applyAlignment="1" applyBorder="1" applyFill="1" applyFont="1">
      <alignment horizontal="center" readingOrder="0" vertical="center"/>
    </xf>
    <xf borderId="69" fillId="0" fontId="9" numFmtId="0" xfId="0" applyBorder="1" applyFont="1"/>
    <xf borderId="77" fillId="0" fontId="9" numFmtId="0" xfId="0" applyBorder="1" applyFont="1"/>
    <xf borderId="39" fillId="18" fontId="15" numFmtId="0" xfId="0" applyAlignment="1" applyBorder="1" applyFill="1" applyFont="1">
      <alignment horizontal="center" readingOrder="0" vertical="center"/>
    </xf>
    <xf borderId="39" fillId="44" fontId="15" numFmtId="0" xfId="0" applyAlignment="1" applyBorder="1" applyFill="1" applyFont="1">
      <alignment horizontal="center" readingOrder="0" vertical="center"/>
    </xf>
    <xf borderId="37" fillId="5" fontId="15" numFmtId="0" xfId="0" applyAlignment="1" applyBorder="1" applyFill="1" applyFont="1">
      <alignment horizontal="center" readingOrder="0" vertical="center"/>
    </xf>
    <xf borderId="45" fillId="18" fontId="15" numFmtId="0" xfId="0" applyAlignment="1" applyBorder="1" applyFill="1" applyFont="1">
      <alignment horizontal="center" readingOrder="0" vertical="center"/>
    </xf>
    <xf borderId="77" fillId="18" fontId="15" numFmtId="0" xfId="0" applyAlignment="1" applyBorder="1" applyFill="1" applyFont="1">
      <alignment horizontal="center" readingOrder="0" vertical="center"/>
    </xf>
    <xf borderId="25" fillId="3" fontId="32" numFmtId="0" xfId="0" applyAlignment="1" applyBorder="1" applyFill="1" applyFont="1">
      <alignment horizontal="center" readingOrder="0" vertical="center"/>
    </xf>
    <xf borderId="45" fillId="44" fontId="15" numFmtId="0" xfId="0" applyAlignment="1" applyBorder="1" applyFill="1" applyFont="1">
      <alignment horizontal="center" readingOrder="0" vertical="center"/>
    </xf>
    <xf borderId="28" fillId="3" fontId="32" numFmtId="0" xfId="0" applyAlignment="1" applyBorder="1" applyFill="1" applyFont="1">
      <alignment horizontal="center" readingOrder="0" vertical="center"/>
    </xf>
    <xf borderId="77" fillId="44" fontId="15" numFmtId="0" xfId="0" applyAlignment="1" applyBorder="1" applyFill="1" applyFont="1">
      <alignment horizontal="center" readingOrder="0" vertical="center"/>
    </xf>
    <xf borderId="30" fillId="3" fontId="32" numFmtId="0" xfId="0" applyAlignment="1" applyBorder="1" applyFill="1" applyFont="1">
      <alignment horizontal="center" readingOrder="0" vertical="center"/>
    </xf>
    <xf borderId="89" fillId="78" fontId="39" numFmtId="0" xfId="0" applyAlignment="1" applyBorder="1" applyFill="1" applyFont="1">
      <alignment horizontal="center" readingOrder="0"/>
    </xf>
    <xf borderId="89" fillId="78" fontId="32" numFmtId="0" xfId="0" applyAlignment="1" applyBorder="1" applyFill="1" applyFont="1">
      <alignment horizontal="center" readingOrder="0" vertical="center"/>
    </xf>
    <xf borderId="43" fillId="2" fontId="32" numFmtId="0" xfId="0" applyAlignment="1" applyBorder="1" applyFill="1" applyFont="1">
      <alignment horizontal="center" readingOrder="0" vertical="center"/>
    </xf>
    <xf borderId="0" fillId="2" fontId="39" numFmtId="0" xfId="0" applyAlignment="1" applyFill="1" applyFont="1">
      <alignment horizontal="center" readingOrder="0"/>
    </xf>
    <xf borderId="59" fillId="5" fontId="15" numFmtId="0" xfId="0" applyAlignment="1" applyBorder="1" applyFill="1" applyFont="1">
      <alignment horizontal="center" readingOrder="0" vertical="center"/>
    </xf>
    <xf borderId="22" fillId="18" fontId="15" numFmtId="0" xfId="0" applyAlignment="1" applyBorder="1" applyFill="1" applyFont="1">
      <alignment horizontal="center" readingOrder="0" vertical="center"/>
    </xf>
    <xf borderId="87" fillId="18" fontId="15" numFmtId="0" xfId="0" applyAlignment="1" applyBorder="1" applyFill="1" applyFont="1">
      <alignment horizontal="center" readingOrder="0" vertical="center"/>
    </xf>
    <xf borderId="22" fillId="44" fontId="15" numFmtId="0" xfId="0" applyAlignment="1" applyBorder="1" applyFill="1" applyFont="1">
      <alignment horizontal="center" readingOrder="0" vertical="center"/>
    </xf>
    <xf borderId="87" fillId="44" fontId="15" numFmtId="0" xfId="0" applyAlignment="1" applyBorder="1" applyFill="1" applyFont="1">
      <alignment horizontal="center" readingOrder="0" vertical="center"/>
    </xf>
    <xf borderId="69" fillId="78" fontId="39" numFmtId="0" xfId="0" applyAlignment="1" applyBorder="1" applyFill="1" applyFont="1">
      <alignment horizontal="center"/>
    </xf>
    <xf borderId="68" fillId="78" fontId="32" numFmtId="0" xfId="0" applyAlignment="1" applyBorder="1" applyFill="1" applyFont="1">
      <alignment horizontal="center" readingOrder="0" vertical="center"/>
    </xf>
    <xf borderId="0" fillId="2" fontId="39" numFmtId="0" xfId="0" applyAlignment="1" applyFill="1" applyFont="1">
      <alignment horizontal="center"/>
    </xf>
    <xf borderId="9" fillId="83" fontId="42" numFmtId="0" xfId="0" applyAlignment="1" applyBorder="1" applyFill="1" applyFont="1">
      <alignment horizontal="center" readingOrder="0" vertical="center"/>
    </xf>
    <xf borderId="68" fillId="78" fontId="42" numFmtId="0" xfId="0" applyAlignment="1" applyBorder="1" applyFill="1" applyFont="1">
      <alignment horizontal="center" readingOrder="0" vertical="center"/>
    </xf>
    <xf borderId="40" fillId="83" fontId="95" numFmtId="0" xfId="0" applyAlignment="1" applyBorder="1" applyFill="1" applyFont="1">
      <alignment horizontal="center" readingOrder="0" vertical="center"/>
    </xf>
    <xf borderId="117" fillId="78" fontId="42" numFmtId="0" xfId="0" applyAlignment="1" applyBorder="1" applyFill="1" applyFont="1">
      <alignment horizontal="center" readingOrder="0" vertical="center"/>
    </xf>
    <xf borderId="117" fillId="78" fontId="32" numFmtId="0" xfId="0" applyAlignment="1" applyBorder="1" applyFill="1" applyFont="1">
      <alignment horizontal="center" readingOrder="0" vertical="center"/>
    </xf>
    <xf borderId="46" fillId="2" fontId="32" numFmtId="0" xfId="0" applyAlignment="1" applyBorder="1" applyFill="1" applyFont="1">
      <alignment horizontal="center" readingOrder="0" vertical="center"/>
    </xf>
    <xf borderId="71" fillId="0" fontId="86" numFmtId="0" xfId="0" applyAlignment="1" applyBorder="1" applyFont="1">
      <alignment horizontal="center" shrinkToFit="0" wrapText="0"/>
    </xf>
    <xf borderId="118" fillId="94" fontId="96" numFmtId="0" xfId="0" applyAlignment="1" applyBorder="1" applyFill="1" applyFont="1">
      <alignment horizontal="center" readingOrder="0" shrinkToFit="0" vertical="center" wrapText="1"/>
    </xf>
    <xf borderId="119" fillId="0" fontId="9" numFmtId="0" xfId="0" applyBorder="1" applyFont="1"/>
    <xf borderId="120" fillId="0" fontId="9" numFmtId="0" xfId="0" applyBorder="1" applyFont="1"/>
    <xf borderId="96" fillId="18" fontId="96" numFmtId="0" xfId="0" applyAlignment="1" applyBorder="1" applyFill="1" applyFont="1">
      <alignment horizontal="center" readingOrder="0" shrinkToFit="0" vertical="center" wrapText="1"/>
    </xf>
    <xf borderId="0" fillId="3" fontId="96" numFmtId="0" xfId="0" applyAlignment="1" applyFill="1" applyFont="1">
      <alignment horizontal="center" readingOrder="0" shrinkToFit="0" vertical="center" wrapText="0"/>
    </xf>
    <xf borderId="0" fillId="3" fontId="96" numFmtId="0" xfId="0" applyAlignment="1" applyFill="1" applyFont="1">
      <alignment horizontal="center" readingOrder="0" shrinkToFit="0" vertical="center" wrapText="1"/>
    </xf>
    <xf borderId="0" fillId="3" fontId="97" numFmtId="0" xfId="0" applyAlignment="1" applyFill="1" applyFont="1">
      <alignment horizontal="center" readingOrder="0" shrinkToFit="0" vertical="center" wrapText="1"/>
    </xf>
    <xf borderId="121" fillId="5" fontId="97" numFmtId="0" xfId="0" applyAlignment="1" applyBorder="1" applyFill="1" applyFont="1">
      <alignment horizontal="center" readingOrder="0" shrinkToFit="0" vertical="center" wrapText="1"/>
    </xf>
    <xf borderId="122" fillId="0" fontId="9" numFmtId="0" xfId="0" applyBorder="1" applyFont="1"/>
    <xf borderId="123" fillId="0" fontId="9" numFmtId="0" xfId="0" applyBorder="1" applyFont="1"/>
    <xf borderId="96" fillId="78" fontId="16" numFmtId="0" xfId="0" applyAlignment="1" applyBorder="1" applyFill="1" applyFont="1">
      <alignment horizontal="center" vertical="center"/>
    </xf>
    <xf borderId="46" fillId="78" fontId="16" numFmtId="0" xfId="0" applyAlignment="1" applyBorder="1" applyFill="1" applyFont="1">
      <alignment horizontal="center" vertical="center"/>
    </xf>
    <xf borderId="51" fillId="78" fontId="16" numFmtId="0" xfId="0" applyAlignment="1" applyBorder="1" applyFill="1" applyFont="1">
      <alignment horizontal="center" vertical="center"/>
    </xf>
    <xf borderId="70" fillId="0" fontId="82" numFmtId="0" xfId="0" applyAlignment="1" applyBorder="1" applyFont="1">
      <alignment horizontal="center"/>
    </xf>
    <xf borderId="38" fillId="0" fontId="82" numFmtId="0" xfId="0" applyAlignment="1" applyBorder="1" applyFont="1">
      <alignment horizontal="center"/>
    </xf>
    <xf borderId="38" fillId="0" fontId="84" numFmtId="0" xfId="0" applyAlignment="1" applyBorder="1" applyFont="1">
      <alignment horizontal="center"/>
    </xf>
    <xf borderId="8" fillId="93" fontId="8" numFmtId="0" xfId="0" applyAlignment="1" applyBorder="1" applyFill="1" applyFont="1">
      <alignment horizontal="center" readingOrder="0" vertical="center"/>
    </xf>
    <xf borderId="79" fillId="43" fontId="1" numFmtId="0" xfId="0" applyAlignment="1" applyBorder="1" applyFill="1" applyFont="1">
      <alignment horizontal="center" readingOrder="0" vertical="center"/>
    </xf>
    <xf borderId="46" fillId="43" fontId="1" numFmtId="0" xfId="0" applyAlignment="1" applyBorder="1" applyFill="1" applyFont="1">
      <alignment horizontal="center" readingOrder="0" vertical="center"/>
    </xf>
    <xf borderId="46" fillId="43" fontId="1" numFmtId="0" xfId="0" applyAlignment="1" applyBorder="1" applyFill="1" applyFont="1">
      <alignment horizontal="center" vertical="center"/>
    </xf>
    <xf borderId="124" fillId="0" fontId="9" numFmtId="0" xfId="0" applyBorder="1" applyFont="1"/>
    <xf borderId="85" fillId="0" fontId="9" numFmtId="0" xfId="0" applyBorder="1" applyFont="1"/>
    <xf borderId="80" fillId="43" fontId="1" numFmtId="0" xfId="0" applyAlignment="1" applyBorder="1" applyFill="1" applyFont="1">
      <alignment horizontal="center" readingOrder="0" vertical="center"/>
    </xf>
    <xf borderId="51" fillId="43" fontId="1" numFmtId="0" xfId="0" applyAlignment="1" applyBorder="1" applyFill="1" applyFont="1">
      <alignment horizontal="center" readingOrder="0" vertical="center"/>
    </xf>
    <xf borderId="125" fillId="0" fontId="9" numFmtId="0" xfId="0" applyBorder="1" applyFont="1"/>
    <xf borderId="126" fillId="0" fontId="9" numFmtId="0" xfId="0" applyBorder="1" applyFont="1"/>
    <xf borderId="127" fillId="0" fontId="9" numFmtId="0" xfId="0" applyBorder="1" applyFont="1"/>
    <xf borderId="81" fillId="43" fontId="1" numFmtId="0" xfId="0" applyAlignment="1" applyBorder="1" applyFill="1" applyFont="1">
      <alignment horizontal="center" readingOrder="0" vertical="center"/>
    </xf>
    <xf borderId="43" fillId="43" fontId="1" numFmtId="0" xfId="0" applyAlignment="1" applyBorder="1" applyFill="1" applyFont="1">
      <alignment horizontal="center" readingOrder="0" vertical="center"/>
    </xf>
    <xf borderId="81" fillId="43" fontId="5" numFmtId="0" xfId="0" applyAlignment="1" applyBorder="1" applyFill="1" applyFont="1">
      <alignment horizontal="center" readingOrder="0" vertical="center"/>
    </xf>
    <xf borderId="43" fillId="43" fontId="1" numFmtId="0" xfId="0" applyAlignment="1" applyBorder="1" applyFill="1" applyFont="1">
      <alignment horizontal="center" vertical="center"/>
    </xf>
    <xf borderId="86" fillId="93" fontId="41" numFmtId="0" xfId="0" applyAlignment="1" applyBorder="1" applyFill="1" applyFont="1">
      <alignment horizontal="center" readingOrder="0" shrinkToFit="0" wrapText="0"/>
    </xf>
    <xf borderId="49" fillId="93" fontId="41" numFmtId="0" xfId="0" applyAlignment="1" applyBorder="1" applyFill="1" applyFont="1">
      <alignment horizontal="center" readingOrder="0" shrinkToFit="0" wrapText="0"/>
    </xf>
    <xf borderId="52" fillId="93" fontId="41" numFmtId="0" xfId="0" applyAlignment="1" applyBorder="1" applyFill="1" applyFont="1">
      <alignment horizontal="center" shrinkToFit="0" wrapText="0"/>
    </xf>
    <xf borderId="40" fillId="93" fontId="41" numFmtId="0" xfId="0" applyAlignment="1" applyBorder="1" applyFill="1" applyFont="1">
      <alignment horizontal="center" readingOrder="0" shrinkToFit="0" wrapText="0"/>
    </xf>
    <xf borderId="39" fillId="93" fontId="41" numFmtId="0" xfId="0" applyAlignment="1" applyBorder="1" applyFill="1" applyFont="1">
      <alignment horizontal="center" shrinkToFit="0" wrapText="0"/>
    </xf>
    <xf borderId="55" fillId="93" fontId="41" numFmtId="0" xfId="0" applyAlignment="1" applyBorder="1" applyFill="1" applyFont="1">
      <alignment horizontal="center" shrinkToFit="0" wrapText="0"/>
    </xf>
    <xf borderId="41" fillId="93" fontId="41" numFmtId="0" xfId="0" applyAlignment="1" applyBorder="1" applyFill="1" applyFont="1">
      <alignment horizontal="center" shrinkToFit="0" wrapText="0"/>
    </xf>
    <xf borderId="52" fillId="93" fontId="41" numFmtId="0" xfId="0" applyAlignment="1" applyBorder="1" applyFill="1" applyFont="1">
      <alignment horizontal="center" shrinkToFit="0" wrapText="0"/>
    </xf>
    <xf borderId="40" fillId="93" fontId="41" numFmtId="0" xfId="0" applyAlignment="1" applyBorder="1" applyFill="1" applyFont="1">
      <alignment horizontal="center" readingOrder="0" shrinkToFit="0" wrapText="0"/>
    </xf>
    <xf borderId="39" fillId="93" fontId="41" numFmtId="0" xfId="0" applyAlignment="1" applyBorder="1" applyFill="1" applyFont="1">
      <alignment horizontal="center" shrinkToFit="0" wrapText="0"/>
    </xf>
    <xf borderId="55" fillId="93" fontId="41" numFmtId="0" xfId="0" applyAlignment="1" applyBorder="1" applyFill="1" applyFont="1">
      <alignment horizontal="center" shrinkToFit="0" wrapText="0"/>
    </xf>
    <xf borderId="41" fillId="93" fontId="41" numFmtId="0" xfId="0" applyAlignment="1" applyBorder="1" applyFill="1" applyFont="1">
      <alignment horizontal="center" shrinkToFit="0" wrapText="0"/>
    </xf>
    <xf borderId="46" fillId="43" fontId="1" numFmtId="0" xfId="0" applyAlignment="1" applyBorder="1" applyFill="1" applyFont="1">
      <alignment horizontal="center" readingOrder="0" vertical="center"/>
    </xf>
    <xf borderId="46" fillId="43" fontId="1" numFmtId="0" xfId="0" applyAlignment="1" applyBorder="1" applyFill="1" applyFont="1">
      <alignment horizontal="center" vertical="center"/>
    </xf>
    <xf borderId="79" fillId="43" fontId="1" numFmtId="0" xfId="0" applyAlignment="1" applyBorder="1" applyFill="1" applyFont="1">
      <alignment horizontal="center" readingOrder="0" vertical="center"/>
    </xf>
    <xf borderId="51" fillId="43" fontId="1" numFmtId="0" xfId="0" applyAlignment="1" applyBorder="1" applyFill="1" applyFont="1">
      <alignment horizontal="center" readingOrder="0" vertical="center"/>
    </xf>
    <xf borderId="80" fillId="43" fontId="1" numFmtId="0" xfId="0" applyAlignment="1" applyBorder="1" applyFill="1" applyFont="1">
      <alignment horizontal="center" readingOrder="0" vertical="center"/>
    </xf>
    <xf borderId="70" fillId="97" fontId="85" numFmtId="0" xfId="0" applyAlignment="1" applyBorder="1" applyFill="1" applyFont="1">
      <alignment horizontal="center"/>
    </xf>
    <xf borderId="43" fillId="43" fontId="1" numFmtId="0" xfId="0" applyAlignment="1" applyBorder="1" applyFill="1" applyFont="1">
      <alignment horizontal="center" readingOrder="0" vertical="center"/>
    </xf>
    <xf borderId="81" fillId="43" fontId="1" numFmtId="0" xfId="0" applyAlignment="1" applyBorder="1" applyFill="1" applyFont="1">
      <alignment horizontal="center" readingOrder="0" vertical="center"/>
    </xf>
    <xf borderId="81" fillId="43" fontId="5" numFmtId="0" xfId="0" applyAlignment="1" applyBorder="1" applyFill="1" applyFont="1">
      <alignment horizontal="center" readingOrder="0" vertical="center"/>
    </xf>
    <xf borderId="49" fillId="93" fontId="41" numFmtId="0" xfId="0" applyAlignment="1" applyBorder="1" applyFill="1" applyFont="1">
      <alignment horizontal="center" readingOrder="0" shrinkToFit="0" wrapText="0"/>
    </xf>
    <xf borderId="86" fillId="93" fontId="41" numFmtId="0" xfId="0" applyAlignment="1" applyBorder="1" applyFill="1" applyFont="1">
      <alignment horizontal="center" readingOrder="0" shrinkToFit="0" wrapText="0"/>
    </xf>
    <xf borderId="55" fillId="93" fontId="41" numFmtId="0" xfId="0" applyAlignment="1" applyBorder="1" applyFill="1" applyFont="1">
      <alignment horizontal="center" readingOrder="0" shrinkToFit="0" wrapText="0"/>
    </xf>
    <xf borderId="41" fillId="93" fontId="41" numFmtId="0" xfId="0" applyAlignment="1" applyBorder="1" applyFill="1" applyFont="1">
      <alignment horizontal="center" readingOrder="0" shrinkToFit="0" wrapText="0"/>
    </xf>
    <xf borderId="43" fillId="43" fontId="1" numFmtId="0" xfId="0" applyAlignment="1" applyBorder="1" applyFill="1" applyFont="1">
      <alignment horizontal="center" vertical="center"/>
    </xf>
    <xf borderId="79" fillId="43" fontId="1" numFmtId="0" xfId="0" applyAlignment="1" applyBorder="1" applyFill="1" applyFont="1">
      <alignment horizontal="center" vertical="center"/>
    </xf>
    <xf borderId="80" fillId="43" fontId="1" numFmtId="0" xfId="0" applyAlignment="1" applyBorder="1" applyFill="1" applyFont="1">
      <alignment horizontal="center" vertical="center"/>
    </xf>
    <xf borderId="81" fillId="43" fontId="1" numFmtId="0" xfId="0" applyAlignment="1" applyBorder="1" applyFill="1" applyFont="1">
      <alignment horizontal="center" vertical="center"/>
    </xf>
    <xf borderId="51" fillId="43" fontId="1" numFmtId="0" xfId="0" applyAlignment="1" applyBorder="1" applyFill="1" applyFont="1">
      <alignment horizontal="center" readingOrder="0" vertical="center"/>
    </xf>
    <xf borderId="43" fillId="43" fontId="1" numFmtId="0" xfId="0" applyAlignment="1" applyBorder="1" applyFill="1" applyFont="1">
      <alignment horizontal="center" readingOrder="0" vertical="center"/>
    </xf>
    <xf borderId="70" fillId="98" fontId="85" numFmtId="0" xfId="0" applyAlignment="1" applyBorder="1" applyFill="1" applyFont="1">
      <alignment horizontal="center"/>
    </xf>
    <xf borderId="70" fillId="99" fontId="85" numFmtId="0" xfId="0" applyAlignment="1" applyBorder="1" applyFill="1" applyFont="1">
      <alignment horizontal="center"/>
    </xf>
    <xf borderId="70" fillId="100" fontId="85" numFmtId="0" xfId="0" applyAlignment="1" applyBorder="1" applyFill="1" applyFont="1">
      <alignment horizontal="center"/>
    </xf>
    <xf borderId="70" fillId="0" fontId="84" numFmtId="0" xfId="0" applyAlignment="1" applyBorder="1" applyFont="1">
      <alignment horizontal="center"/>
    </xf>
    <xf borderId="70" fillId="100" fontId="85" numFmtId="0" xfId="0" applyAlignment="1" applyBorder="1" applyFill="1" applyFont="1">
      <alignment horizontal="center"/>
    </xf>
    <xf borderId="70" fillId="0" fontId="10" numFmtId="0" xfId="0" applyAlignment="1" applyBorder="1" applyFont="1">
      <alignment horizontal="center"/>
    </xf>
    <xf borderId="68" fillId="0" fontId="83" numFmtId="0" xfId="0" applyAlignment="1" applyBorder="1" applyFont="1">
      <alignment horizontal="center"/>
    </xf>
    <xf borderId="70" fillId="0" fontId="83" numFmtId="0" xfId="0" applyAlignment="1" applyBorder="1" applyFont="1">
      <alignment horizontal="center"/>
    </xf>
    <xf borderId="70" fillId="0" fontId="10" numFmtId="0" xfId="0" applyBorder="1" applyFont="1"/>
    <xf borderId="70" fillId="101" fontId="85" numFmtId="0" xfId="0" applyAlignment="1" applyBorder="1" applyFill="1" applyFont="1">
      <alignment horizontal="center"/>
    </xf>
    <xf borderId="70" fillId="102" fontId="85" numFmtId="0" xfId="0" applyAlignment="1" applyBorder="1" applyFill="1" applyFont="1">
      <alignment horizontal="center"/>
    </xf>
    <xf borderId="70" fillId="103" fontId="85" numFmtId="0" xfId="0" applyAlignment="1" applyBorder="1" applyFill="1" applyFont="1">
      <alignment horizontal="center"/>
    </xf>
    <xf borderId="70" fillId="104" fontId="85" numFmtId="0" xfId="0" applyAlignment="1" applyBorder="1" applyFill="1" applyFont="1">
      <alignment horizontal="center"/>
    </xf>
    <xf borderId="70" fillId="105" fontId="85" numFmtId="0" xfId="0" applyAlignment="1" applyBorder="1" applyFill="1" applyFont="1">
      <alignment horizontal="center"/>
    </xf>
    <xf borderId="70" fillId="86" fontId="85" numFmtId="0" xfId="0" applyAlignment="1" applyBorder="1" applyFill="1" applyFont="1">
      <alignment horizontal="center"/>
    </xf>
    <xf borderId="70" fillId="85" fontId="85" numFmtId="0" xfId="0" applyAlignment="1" applyBorder="1" applyFill="1" applyFont="1">
      <alignment horizontal="center"/>
    </xf>
    <xf borderId="70" fillId="88" fontId="85" numFmtId="0" xfId="0" applyAlignment="1" applyBorder="1" applyFill="1" applyFont="1">
      <alignment horizontal="center"/>
    </xf>
    <xf borderId="70" fillId="96" fontId="85" numFmtId="0" xfId="0" applyAlignment="1" applyBorder="1" applyFill="1" applyFont="1">
      <alignment horizontal="center"/>
    </xf>
    <xf borderId="70" fillId="106" fontId="85" numFmtId="0" xfId="0" applyAlignment="1" applyBorder="1" applyFill="1" applyFont="1">
      <alignment horizontal="center"/>
    </xf>
    <xf borderId="70" fillId="106" fontId="85" numFmtId="0" xfId="0" applyAlignment="1" applyBorder="1" applyFill="1" applyFont="1">
      <alignment horizontal="center"/>
    </xf>
    <xf borderId="70" fillId="107" fontId="85" numFmtId="0" xfId="0" applyAlignment="1" applyBorder="1" applyFill="1" applyFont="1">
      <alignment horizontal="center"/>
    </xf>
    <xf borderId="70" fillId="101" fontId="85" numFmtId="0" xfId="0" applyAlignment="1" applyBorder="1" applyFill="1" applyFont="1">
      <alignment horizontal="center"/>
    </xf>
    <xf borderId="70" fillId="98" fontId="85" numFmtId="0" xfId="0" applyAlignment="1" applyBorder="1" applyFill="1" applyFont="1">
      <alignment horizontal="center"/>
    </xf>
    <xf borderId="0" fillId="0" fontId="10" numFmtId="0" xfId="0" applyFont="1"/>
    <xf borderId="67" fillId="83" fontId="10" numFmtId="0" xfId="0" applyBorder="1" applyFill="1" applyFont="1"/>
    <xf borderId="70" fillId="83" fontId="10" numFmtId="0" xfId="0" applyAlignment="1" applyBorder="1" applyFill="1" applyFont="1">
      <alignment horizontal="center" vertical="center"/>
    </xf>
    <xf borderId="70" fillId="108" fontId="85" numFmtId="0" xfId="0" applyAlignment="1" applyBorder="1" applyFill="1" applyFont="1">
      <alignment horizontal="center"/>
    </xf>
    <xf borderId="70" fillId="108" fontId="85" numFmtId="0" xfId="0" applyAlignment="1" applyBorder="1" applyFill="1" applyFont="1">
      <alignment horizontal="center"/>
    </xf>
    <xf borderId="70" fillId="107" fontId="85" numFmtId="0" xfId="0" applyAlignment="1" applyBorder="1" applyFill="1" applyFont="1">
      <alignment horizontal="center"/>
    </xf>
    <xf borderId="70" fillId="102" fontId="85" numFmtId="0" xfId="0" applyAlignment="1" applyBorder="1" applyFill="1" applyFont="1">
      <alignment horizontal="center"/>
    </xf>
    <xf borderId="70" fillId="103" fontId="85" numFmtId="0" xfId="0" applyAlignment="1" applyBorder="1" applyFill="1" applyFont="1">
      <alignment horizontal="center"/>
    </xf>
    <xf borderId="70" fillId="97" fontId="85" numFmtId="0" xfId="0" applyAlignment="1" applyBorder="1" applyFill="1" applyFont="1">
      <alignment horizontal="center"/>
    </xf>
    <xf borderId="70" fillId="0" fontId="84" numFmtId="0" xfId="0" applyAlignment="1" applyBorder="1" applyFont="1">
      <alignment readingOrder="0"/>
    </xf>
    <xf borderId="70" fillId="0" fontId="84" numFmtId="0" xfId="0" applyAlignment="1" applyBorder="1" applyFont="1">
      <alignment horizontal="center" readingOrder="0"/>
    </xf>
    <xf borderId="70" fillId="84" fontId="85" numFmtId="0" xfId="0" applyAlignment="1" applyBorder="1" applyFill="1" applyFont="1">
      <alignment horizontal="center"/>
    </xf>
    <xf borderId="70" fillId="99" fontId="85" numFmtId="0" xfId="0" applyAlignment="1" applyBorder="1" applyFill="1" applyFont="1">
      <alignment horizontal="center"/>
    </xf>
    <xf borderId="0" fillId="0" fontId="84" numFmtId="0" xfId="0" applyFont="1"/>
    <xf borderId="70" fillId="89" fontId="85" numFmtId="0" xfId="0" applyAlignment="1" applyBorder="1" applyFill="1" applyFont="1">
      <alignment horizontal="center"/>
    </xf>
    <xf borderId="38" fillId="0" fontId="98" numFmtId="0" xfId="0" applyAlignment="1" applyBorder="1" applyFont="1">
      <alignment horizontal="center" readingOrder="0" shrinkToFit="0" vertical="center" wrapText="0"/>
    </xf>
    <xf borderId="70" fillId="104" fontId="85" numFmtId="0" xfId="0" applyAlignment="1" applyBorder="1" applyFill="1" applyFont="1">
      <alignment horizontal="center"/>
    </xf>
    <xf borderId="70" fillId="105" fontId="85" numFmtId="0" xfId="0" applyAlignment="1" applyBorder="1" applyFill="1" applyFont="1">
      <alignment horizontal="center"/>
    </xf>
    <xf borderId="70" fillId="0" fontId="82" numFmtId="0" xfId="0" applyAlignment="1" applyBorder="1" applyFont="1">
      <alignment horizontal="center" readingOrder="0"/>
    </xf>
    <xf borderId="70" fillId="0" fontId="10" numFmtId="0" xfId="0" applyAlignment="1" applyBorder="1" applyFont="1">
      <alignment horizontal="center" readingOrder="0"/>
    </xf>
    <xf borderId="68" fillId="0" fontId="83" numFmtId="0" xfId="0" applyAlignment="1" applyBorder="1" applyFont="1">
      <alignment horizontal="center" readingOrder="0"/>
    </xf>
    <xf borderId="70" fillId="0" fontId="83" numFmtId="0" xfId="0" applyAlignment="1" applyBorder="1" applyFont="1">
      <alignment horizontal="center" readingOrder="0"/>
    </xf>
    <xf borderId="0" fillId="0" fontId="85" numFmtId="0" xfId="0" applyAlignment="1" applyFont="1">
      <alignment horizontal="center" readingOrder="0"/>
    </xf>
    <xf borderId="67" fillId="0" fontId="10" numFmtId="49" xfId="0" applyBorder="1" applyFont="1" applyNumberFormat="1"/>
    <xf borderId="0" fillId="83" fontId="10" numFmtId="0" xfId="0" applyAlignment="1" applyFill="1" applyFont="1">
      <alignment horizontal="center" vertical="center"/>
    </xf>
    <xf borderId="68" fillId="0" fontId="84" numFmtId="0" xfId="0" applyAlignment="1" applyBorder="1" applyFont="1">
      <alignment horizontal="center"/>
    </xf>
    <xf borderId="0" fillId="0" fontId="82" numFmtId="0" xfId="0" applyAlignment="1" applyFont="1">
      <alignment horizontal="center"/>
    </xf>
    <xf borderId="0" fillId="0" fontId="82" numFmtId="0" xfId="0" applyAlignment="1" applyFont="1">
      <alignment horizontal="center"/>
    </xf>
    <xf borderId="0" fillId="0" fontId="1" numFmtId="0" xfId="0" applyAlignment="1" applyFont="1">
      <alignment horizontal="center" shrinkToFit="0" vertical="center" wrapText="0"/>
    </xf>
    <xf borderId="0" fillId="0" fontId="99" numFmtId="0" xfId="0" applyAlignment="1" applyFont="1">
      <alignment horizontal="center" readingOrder="0"/>
    </xf>
    <xf borderId="68" fillId="0" fontId="84" numFmtId="0" xfId="0" applyAlignment="1" applyBorder="1" applyFont="1">
      <alignment horizontal="center" readingOrder="0"/>
    </xf>
    <xf borderId="0" fillId="0" fontId="83" numFmtId="49" xfId="0" applyAlignment="1" applyFont="1" applyNumberFormat="1">
      <alignment horizontal="center"/>
    </xf>
    <xf borderId="0" fillId="0" fontId="84" numFmtId="0" xfId="0" applyAlignment="1" applyFont="1">
      <alignment horizontal="center"/>
    </xf>
    <xf borderId="0" fillId="0" fontId="84" numFmtId="0" xfId="0" applyFont="1"/>
    <xf borderId="0" fillId="0" fontId="85" numFmtId="0" xfId="0" applyAlignment="1" applyFont="1">
      <alignment horizontal="center"/>
    </xf>
    <xf borderId="0" fillId="0" fontId="83" numFmtId="0" xfId="0" applyAlignment="1" applyFont="1">
      <alignment horizontal="center"/>
    </xf>
  </cellXfs>
  <cellStyles count="1">
    <cellStyle xfId="0" name="Normal" builtinId="0"/>
  </cellStyles>
  <dxfs count="52">
    <dxf>
      <font>
        <color rgb="FF38761D"/>
      </font>
      <fill>
        <patternFill patternType="none"/>
      </fill>
      <border/>
    </dxf>
    <dxf>
      <font>
        <color rgb="FF990000"/>
      </font>
      <fill>
        <patternFill patternType="none"/>
      </fill>
      <border/>
    </dxf>
    <dxf>
      <font/>
      <fill>
        <patternFill patternType="solid">
          <fgColor rgb="FF00FF00"/>
          <bgColor rgb="FF00FF00"/>
        </patternFill>
      </fill>
      <border/>
    </dxf>
    <dxf>
      <font/>
      <fill>
        <patternFill patternType="solid">
          <fgColor rgb="FFFF0000"/>
          <bgColor rgb="FFFF0000"/>
        </patternFill>
      </fill>
      <border/>
    </dxf>
    <dxf>
      <font>
        <strike/>
        <color rgb="FFFFFFFF"/>
      </font>
      <fill>
        <patternFill patternType="solid">
          <fgColor rgb="FF666666"/>
          <bgColor rgb="FF666666"/>
        </patternFill>
      </fill>
      <border/>
    </dxf>
    <dxf>
      <font>
        <color rgb="FF000000"/>
      </font>
      <fill>
        <patternFill patternType="solid">
          <fgColor rgb="FF222241"/>
          <bgColor rgb="FF222241"/>
        </patternFill>
      </fill>
      <border/>
    </dxf>
    <dxf>
      <font>
        <b/>
        <strike/>
        <color rgb="FFFF0000"/>
      </font>
      <fill>
        <patternFill patternType="solid">
          <fgColor rgb="FF000000"/>
          <bgColor rgb="FF000000"/>
        </patternFill>
      </fill>
      <border/>
    </dxf>
    <dxf>
      <font>
        <color rgb="FFFFFFFF"/>
      </font>
      <fill>
        <patternFill patternType="solid">
          <fgColor rgb="FFA8A87C"/>
          <bgColor rgb="FFA8A87C"/>
        </patternFill>
      </fill>
      <border/>
    </dxf>
    <dxf>
      <font>
        <color rgb="FFFFFFFF"/>
      </font>
      <fill>
        <patternFill patternType="solid">
          <fgColor rgb="FFC32D29"/>
          <bgColor rgb="FFC32D29"/>
        </patternFill>
      </fill>
      <border/>
    </dxf>
    <dxf>
      <font>
        <color rgb="FFFFFFFF"/>
      </font>
      <fill>
        <patternFill patternType="solid">
          <fgColor rgb="FFA990EB"/>
          <bgColor rgb="FFA990EB"/>
        </patternFill>
      </fill>
      <border/>
    </dxf>
    <dxf>
      <font>
        <color rgb="FFFFFFFF"/>
      </font>
      <fill>
        <patternFill patternType="solid">
          <fgColor rgb="FFA33F9C"/>
          <bgColor rgb="FFA33F9C"/>
        </patternFill>
      </fill>
      <border/>
    </dxf>
    <dxf>
      <font>
        <color rgb="FFFFFFFF"/>
      </font>
      <fill>
        <patternFill patternType="solid">
          <fgColor rgb="FFE1C071"/>
          <bgColor rgb="FFE1C071"/>
        </patternFill>
      </fill>
      <border/>
    </dxf>
    <dxf>
      <font>
        <color rgb="FFFFFFFF"/>
      </font>
      <fill>
        <patternFill patternType="solid">
          <fgColor rgb="FFB9A045"/>
          <bgColor rgb="FFB9A045"/>
        </patternFill>
      </fill>
      <border/>
    </dxf>
    <dxf>
      <font>
        <color rgb="FFFFFFFF"/>
      </font>
      <fill>
        <patternFill patternType="solid">
          <fgColor rgb="FFA7B83C"/>
          <bgColor rgb="FFA7B83C"/>
        </patternFill>
      </fill>
      <border/>
    </dxf>
    <dxf>
      <font>
        <color rgb="FFFFFFFF"/>
      </font>
      <fill>
        <patternFill patternType="solid">
          <fgColor rgb="FF715895"/>
          <bgColor rgb="FF715895"/>
        </patternFill>
      </fill>
      <border/>
    </dxf>
    <dxf>
      <font>
        <color rgb="FFFFFFFF"/>
      </font>
      <fill>
        <patternFill patternType="solid">
          <fgColor rgb="FFB8B8CF"/>
          <bgColor rgb="FFB8B8CF"/>
        </patternFill>
      </fill>
      <border/>
    </dxf>
    <dxf>
      <font>
        <color rgb="FFFFFFFF"/>
      </font>
      <fill>
        <patternFill patternType="solid">
          <fgColor rgb="FFF37F3A"/>
          <bgColor rgb="FFF37F3A"/>
        </patternFill>
      </fill>
      <border/>
    </dxf>
    <dxf>
      <font>
        <color rgb="FFFFFFFF"/>
      </font>
      <fill>
        <patternFill patternType="solid">
          <fgColor rgb="FF6590EB"/>
          <bgColor rgb="FF6590EB"/>
        </patternFill>
      </fill>
      <border/>
    </dxf>
    <dxf>
      <font>
        <color rgb="FFFFFFFF"/>
      </font>
      <fill>
        <patternFill patternType="solid">
          <fgColor rgb="FF73C85E"/>
          <bgColor rgb="FF73C85E"/>
        </patternFill>
      </fill>
      <border/>
    </dxf>
    <dxf>
      <font>
        <color rgb="FFFFFFFF"/>
      </font>
      <fill>
        <patternFill patternType="solid">
          <fgColor rgb="FFFAD04A"/>
          <bgColor rgb="FFFAD04A"/>
        </patternFill>
      </fill>
      <border/>
    </dxf>
    <dxf>
      <font>
        <color rgb="FFFFFFFF"/>
      </font>
      <fill>
        <patternFill patternType="solid">
          <fgColor rgb="FFFC5586"/>
          <bgColor rgb="FFFC5586"/>
        </patternFill>
      </fill>
      <border/>
    </dxf>
    <dxf>
      <font>
        <color rgb="FFFFFFFF"/>
      </font>
      <fill>
        <patternFill patternType="solid">
          <fgColor rgb="FF94D8D8"/>
          <bgColor rgb="FF94D8D8"/>
        </patternFill>
      </fill>
      <border/>
    </dxf>
    <dxf>
      <font>
        <color rgb="FFFFFFFF"/>
      </font>
      <fill>
        <patternFill patternType="solid">
          <fgColor rgb="FF7138F1"/>
          <bgColor rgb="FF7138F1"/>
        </patternFill>
      </fill>
      <border/>
    </dxf>
    <dxf>
      <font>
        <color rgb="FFFFFFFF"/>
      </font>
      <fill>
        <patternFill patternType="solid">
          <fgColor rgb="FF715849"/>
          <bgColor rgb="FF715849"/>
        </patternFill>
      </fill>
      <border/>
    </dxf>
    <dxf>
      <font>
        <color rgb="FFFFFFFF"/>
      </font>
      <fill>
        <patternFill patternType="solid">
          <fgColor rgb="FFF198AB"/>
          <bgColor rgb="FFF198AB"/>
        </patternFill>
      </fill>
      <border/>
    </dxf>
    <dxf>
      <font>
        <color rgb="FFFFFFFF"/>
      </font>
      <fill>
        <patternFill patternType="solid">
          <fgColor rgb="FF000000"/>
          <bgColor rgb="FF000000"/>
        </patternFill>
      </fill>
      <border/>
    </dxf>
    <dxf>
      <font>
        <color rgb="FFFFFFFF"/>
      </font>
      <fill>
        <patternFill patternType="solid">
          <fgColor rgb="FFFF0000"/>
          <bgColor rgb="FFFF0000"/>
        </patternFill>
      </fill>
      <border/>
    </dxf>
    <dxf>
      <font>
        <color rgb="FFFFFFFF"/>
      </font>
      <fill>
        <patternFill patternType="solid">
          <fgColor rgb="FF38761D"/>
          <bgColor rgb="FF38761D"/>
        </patternFill>
      </fill>
      <border/>
    </dxf>
    <dxf>
      <font>
        <color rgb="FFEFEFEF"/>
      </font>
      <fill>
        <patternFill patternType="solid">
          <fgColor rgb="FF222241"/>
          <bgColor rgb="FF222241"/>
        </patternFill>
      </fill>
      <border/>
    </dxf>
    <dxf>
      <font/>
      <fill>
        <patternFill patternType="solid">
          <fgColor rgb="FF57BB8A"/>
          <bgColor rgb="FF57BB8A"/>
        </patternFill>
      </fill>
      <border/>
    </dxf>
    <dxf>
      <font/>
      <fill>
        <patternFill patternType="solid">
          <fgColor rgb="FFB7E1CD"/>
          <bgColor rgb="FFB7E1CD"/>
        </patternFill>
      </fill>
      <border/>
    </dxf>
    <dxf>
      <font/>
      <fill>
        <patternFill patternType="solid">
          <fgColor rgb="FFF7D4D1"/>
          <bgColor rgb="FFF7D4D1"/>
        </patternFill>
      </fill>
      <border/>
    </dxf>
    <dxf>
      <font/>
      <fill>
        <patternFill patternType="solid">
          <fgColor rgb="FFE67C73"/>
          <bgColor rgb="FFE67C73"/>
        </patternFill>
      </fill>
      <border/>
    </dxf>
    <dxf>
      <font>
        <color rgb="FFFFFFFF"/>
      </font>
      <fill>
        <patternFill patternType="solid">
          <fgColor rgb="FFB6B4A8"/>
          <bgColor rgb="FFB6B4A8"/>
        </patternFill>
      </fill>
      <border/>
    </dxf>
    <dxf>
      <font>
        <color rgb="FFFFFFFF"/>
      </font>
      <fill>
        <patternFill patternType="solid">
          <fgColor rgb="FF88D668"/>
          <bgColor rgb="FF88D668"/>
        </patternFill>
      </fill>
      <border/>
    </dxf>
    <dxf>
      <font>
        <color rgb="FFFFFFFF"/>
      </font>
      <fill>
        <patternFill patternType="solid">
          <fgColor rgb="FFC6482F"/>
          <bgColor rgb="FFC6482F"/>
        </patternFill>
      </fill>
      <border/>
    </dxf>
    <dxf>
      <font>
        <color rgb="FFFFFFFF"/>
      </font>
      <fill>
        <patternFill patternType="solid">
          <fgColor rgb="FF48A4F4"/>
          <bgColor rgb="FF48A4F4"/>
        </patternFill>
      </fill>
      <border/>
    </dxf>
    <dxf>
      <font>
        <color rgb="FFFFFFFF"/>
      </font>
      <fill>
        <patternFill patternType="solid">
          <fgColor rgb="FF87403B"/>
          <bgColor rgb="FF87403B"/>
        </patternFill>
      </fill>
      <border/>
    </dxf>
    <dxf>
      <font>
        <color rgb="FFFFFFFF"/>
      </font>
      <fill>
        <patternFill patternType="solid">
          <fgColor rgb="FF87B1F0"/>
          <bgColor rgb="FF87B1F0"/>
        </patternFill>
      </fill>
      <border/>
    </dxf>
    <dxf>
      <font>
        <color rgb="FFFFFFFF"/>
      </font>
      <fill>
        <patternFill patternType="solid">
          <fgColor rgb="FFA2549A"/>
          <bgColor rgb="FFA2549A"/>
        </patternFill>
      </fill>
      <border/>
    </dxf>
    <dxf>
      <font>
        <color rgb="FFFFFFFF"/>
      </font>
      <fill>
        <patternFill patternType="solid">
          <fgColor rgb="FFD8C16A"/>
          <bgColor rgb="FFD8C16A"/>
        </patternFill>
      </fill>
      <border/>
    </dxf>
    <dxf>
      <font>
        <color rgb="FFFFFFFF"/>
      </font>
      <fill>
        <patternFill patternType="solid">
          <fgColor rgb="FFBFB378"/>
          <bgColor rgb="FFBFB378"/>
        </patternFill>
      </fill>
      <border/>
    </dxf>
    <dxf>
      <font>
        <color rgb="FFFFFFFF"/>
      </font>
      <fill>
        <patternFill patternType="solid">
          <fgColor rgb="FFB7CF51"/>
          <bgColor rgb="FFB7CF51"/>
        </patternFill>
      </fill>
      <border/>
    </dxf>
    <dxf>
      <font>
        <color rgb="FFFFFFFF"/>
      </font>
      <fill>
        <patternFill patternType="solid">
          <fgColor rgb="FF7771BF"/>
          <bgColor rgb="FF7771BF"/>
        </patternFill>
      </fill>
      <border/>
    </dxf>
    <dxf>
      <font>
        <color rgb="FFFFFFFF"/>
      </font>
      <fill>
        <patternFill patternType="solid">
          <fgColor rgb="FFF6D867"/>
          <bgColor rgb="FFF6D867"/>
        </patternFill>
      </fill>
      <border/>
    </dxf>
    <dxf>
      <font>
        <color rgb="FFFFFFFF"/>
      </font>
      <fill>
        <patternFill patternType="solid">
          <fgColor rgb="FFE550A3"/>
          <bgColor rgb="FFE550A3"/>
        </patternFill>
      </fill>
      <border/>
    </dxf>
    <dxf>
      <font>
        <color rgb="FFFFFFFF"/>
      </font>
      <fill>
        <patternFill patternType="solid">
          <fgColor rgb="FF7BDCF2"/>
          <bgColor rgb="FF7BDCF2"/>
        </patternFill>
      </fill>
      <border/>
    </dxf>
    <dxf>
      <font>
        <color rgb="FFFFFFFF"/>
      </font>
      <fill>
        <patternFill patternType="solid">
          <fgColor rgb="FF5843AD"/>
          <bgColor rgb="FF5843AD"/>
        </patternFill>
      </fill>
      <border/>
    </dxf>
    <dxf>
      <font>
        <color rgb="FFFFFFFF"/>
      </font>
      <fill>
        <patternFill patternType="solid">
          <fgColor rgb="FF908888"/>
          <bgColor rgb="FF908888"/>
        </patternFill>
      </fill>
      <border/>
    </dxf>
    <dxf>
      <font>
        <color rgb="FFFFFFFF"/>
      </font>
      <fill>
        <patternFill patternType="solid">
          <fgColor rgb="FFB7B6C5"/>
          <bgColor rgb="FFB7B6C5"/>
        </patternFill>
      </fill>
      <border/>
    </dxf>
    <dxf>
      <font>
        <color rgb="FFFFFFFF"/>
      </font>
      <fill>
        <patternFill patternType="solid">
          <fgColor rgb="FFDA9CDD"/>
          <bgColor rgb="FFDA9CDD"/>
        </patternFill>
      </fill>
      <border/>
    </dxf>
    <dxf>
      <font>
        <color rgb="FFFFFFFF"/>
      </font>
      <fill>
        <patternFill patternType="solid">
          <fgColor rgb="FF59BE90"/>
          <bgColor rgb="FF59BE9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9.png"/><Relationship Id="rId3" Type="http://schemas.openxmlformats.org/officeDocument/2006/relationships/image" Target="../media/image10.jpg"/></Relationships>
</file>

<file path=xl/drawings/_rels/drawing2.xml.rels><?xml version="1.0" encoding="UTF-8" standalone="yes"?><Relationships xmlns="http://schemas.openxmlformats.org/package/2006/relationships"><Relationship Id="rId1" Type="http://schemas.openxmlformats.org/officeDocument/2006/relationships/image" Target="../media/image24.png"/></Relationships>
</file>

<file path=xl/drawings/_rels/drawing5.xml.rels><?xml version="1.0" encoding="UTF-8" standalone="yes"?><Relationships xmlns="http://schemas.openxmlformats.org/package/2006/relationships"><Relationship Id="rId11" Type="http://schemas.openxmlformats.org/officeDocument/2006/relationships/image" Target="../media/image12.png"/><Relationship Id="rId10" Type="http://schemas.openxmlformats.org/officeDocument/2006/relationships/image" Target="../media/image20.png"/><Relationship Id="rId13" Type="http://schemas.openxmlformats.org/officeDocument/2006/relationships/image" Target="../media/image1.png"/><Relationship Id="rId12" Type="http://schemas.openxmlformats.org/officeDocument/2006/relationships/image" Target="../media/image5.png"/><Relationship Id="rId1" Type="http://schemas.openxmlformats.org/officeDocument/2006/relationships/image" Target="../media/image8.png"/><Relationship Id="rId2" Type="http://schemas.openxmlformats.org/officeDocument/2006/relationships/image" Target="../media/image13.png"/><Relationship Id="rId3" Type="http://schemas.openxmlformats.org/officeDocument/2006/relationships/image" Target="../media/image22.png"/><Relationship Id="rId4" Type="http://schemas.openxmlformats.org/officeDocument/2006/relationships/image" Target="../media/image15.png"/><Relationship Id="rId9" Type="http://schemas.openxmlformats.org/officeDocument/2006/relationships/image" Target="../media/image16.png"/><Relationship Id="rId15" Type="http://schemas.openxmlformats.org/officeDocument/2006/relationships/image" Target="../media/image11.png"/><Relationship Id="rId14" Type="http://schemas.openxmlformats.org/officeDocument/2006/relationships/image" Target="../media/image7.png"/><Relationship Id="rId17" Type="http://schemas.openxmlformats.org/officeDocument/2006/relationships/image" Target="../media/image21.png"/><Relationship Id="rId16"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14.png"/><Relationship Id="rId7" Type="http://schemas.openxmlformats.org/officeDocument/2006/relationships/image" Target="../media/image6.png"/><Relationship Id="rId8"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11" Type="http://schemas.openxmlformats.org/officeDocument/2006/relationships/image" Target="../media/image13.png"/><Relationship Id="rId10" Type="http://schemas.openxmlformats.org/officeDocument/2006/relationships/image" Target="../media/image12.png"/><Relationship Id="rId13" Type="http://schemas.openxmlformats.org/officeDocument/2006/relationships/image" Target="../media/image5.png"/><Relationship Id="rId12" Type="http://schemas.openxmlformats.org/officeDocument/2006/relationships/image" Target="../media/image1.png"/><Relationship Id="rId1" Type="http://schemas.openxmlformats.org/officeDocument/2006/relationships/image" Target="../media/image11.png"/><Relationship Id="rId2" Type="http://schemas.openxmlformats.org/officeDocument/2006/relationships/image" Target="../media/image4.png"/><Relationship Id="rId3"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image" Target="../media/image20.png"/><Relationship Id="rId15" Type="http://schemas.openxmlformats.org/officeDocument/2006/relationships/image" Target="../media/image17.png"/><Relationship Id="rId14" Type="http://schemas.openxmlformats.org/officeDocument/2006/relationships/image" Target="../media/image18.png"/><Relationship Id="rId17" Type="http://schemas.openxmlformats.org/officeDocument/2006/relationships/image" Target="../media/image22.png"/><Relationship Id="rId16" Type="http://schemas.openxmlformats.org/officeDocument/2006/relationships/image" Target="../media/image16.png"/><Relationship Id="rId5" Type="http://schemas.openxmlformats.org/officeDocument/2006/relationships/image" Target="../media/image3.png"/><Relationship Id="rId19" Type="http://schemas.openxmlformats.org/officeDocument/2006/relationships/image" Target="../media/image21.png"/><Relationship Id="rId6" Type="http://schemas.openxmlformats.org/officeDocument/2006/relationships/image" Target="../media/image15.png"/><Relationship Id="rId18" Type="http://schemas.openxmlformats.org/officeDocument/2006/relationships/image" Target="../media/image6.png"/><Relationship Id="rId7" Type="http://schemas.openxmlformats.org/officeDocument/2006/relationships/image" Target="../media/image2.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762000" cy="762000"/>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xdr:row>
      <xdr:rowOff>0</xdr:rowOff>
    </xdr:from>
    <xdr:ext cx="1571625" cy="8477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2390775" cy="1343025"/>
    <xdr:pic>
      <xdr:nvPicPr>
        <xdr:cNvPr id="0" name="image10.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00025" cy="200025"/>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7</xdr:row>
      <xdr:rowOff>0</xdr:rowOff>
    </xdr:from>
    <xdr:ext cx="219075" cy="2190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7</xdr:row>
      <xdr:rowOff>0</xdr:rowOff>
    </xdr:from>
    <xdr:ext cx="219075" cy="2190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xdr:row>
      <xdr:rowOff>0</xdr:rowOff>
    </xdr:from>
    <xdr:ext cx="219075" cy="21907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8</xdr:row>
      <xdr:rowOff>0</xdr:rowOff>
    </xdr:from>
    <xdr:ext cx="219075" cy="219075"/>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8</xdr:row>
      <xdr:rowOff>0</xdr:rowOff>
    </xdr:from>
    <xdr:ext cx="219075" cy="2190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8</xdr:row>
      <xdr:rowOff>0</xdr:rowOff>
    </xdr:from>
    <xdr:ext cx="219075" cy="2190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9</xdr:row>
      <xdr:rowOff>0</xdr:rowOff>
    </xdr:from>
    <xdr:ext cx="219075" cy="2190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9</xdr:row>
      <xdr:rowOff>0</xdr:rowOff>
    </xdr:from>
    <xdr:ext cx="219075" cy="21907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9</xdr:row>
      <xdr:rowOff>0</xdr:rowOff>
    </xdr:from>
    <xdr:ext cx="219075" cy="2190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9</xdr:row>
      <xdr:rowOff>0</xdr:rowOff>
    </xdr:from>
    <xdr:ext cx="219075" cy="21907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9</xdr:row>
      <xdr:rowOff>0</xdr:rowOff>
    </xdr:from>
    <xdr:ext cx="219075" cy="2190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0</xdr:colOff>
      <xdr:row>9</xdr:row>
      <xdr:rowOff>0</xdr:rowOff>
    </xdr:from>
    <xdr:ext cx="219075" cy="219075"/>
    <xdr:pic>
      <xdr:nvPicPr>
        <xdr:cNvPr id="0" name="image16.png"/>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0</xdr:colOff>
      <xdr:row>9</xdr:row>
      <xdr:rowOff>0</xdr:rowOff>
    </xdr:from>
    <xdr:ext cx="219075" cy="2190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19</xdr:col>
      <xdr:colOff>0</xdr:colOff>
      <xdr:row>9</xdr:row>
      <xdr:rowOff>0</xdr:rowOff>
    </xdr:from>
    <xdr:ext cx="219075" cy="2190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0</xdr:colOff>
      <xdr:row>9</xdr:row>
      <xdr:rowOff>0</xdr:rowOff>
    </xdr:from>
    <xdr:ext cx="219075" cy="21907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25</xdr:col>
      <xdr:colOff>0</xdr:colOff>
      <xdr:row>9</xdr:row>
      <xdr:rowOff>0</xdr:rowOff>
    </xdr:from>
    <xdr:ext cx="219075" cy="2190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9</xdr:row>
      <xdr:rowOff>0</xdr:rowOff>
    </xdr:from>
    <xdr:ext cx="219075" cy="2190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27</xdr:col>
      <xdr:colOff>0</xdr:colOff>
      <xdr:row>9</xdr:row>
      <xdr:rowOff>0</xdr:rowOff>
    </xdr:from>
    <xdr:ext cx="219075" cy="21907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25</xdr:col>
      <xdr:colOff>0</xdr:colOff>
      <xdr:row>10</xdr:row>
      <xdr:rowOff>0</xdr:rowOff>
    </xdr:from>
    <xdr:ext cx="219075" cy="21907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10</xdr:row>
      <xdr:rowOff>0</xdr:rowOff>
    </xdr:from>
    <xdr:ext cx="219075" cy="219075"/>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27</xdr:col>
      <xdr:colOff>0</xdr:colOff>
      <xdr:row>10</xdr:row>
      <xdr:rowOff>0</xdr:rowOff>
    </xdr:from>
    <xdr:ext cx="219075" cy="219075"/>
    <xdr:pic>
      <xdr:nvPicPr>
        <xdr:cNvPr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11</xdr:row>
      <xdr:rowOff>0</xdr:rowOff>
    </xdr:from>
    <xdr:ext cx="219075" cy="21907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11</xdr:row>
      <xdr:rowOff>0</xdr:rowOff>
    </xdr:from>
    <xdr:ext cx="219075" cy="219075"/>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11</xdr:row>
      <xdr:rowOff>0</xdr:rowOff>
    </xdr:from>
    <xdr:ext cx="219075" cy="2190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18</xdr:col>
      <xdr:colOff>0</xdr:colOff>
      <xdr:row>12</xdr:row>
      <xdr:rowOff>0</xdr:rowOff>
    </xdr:from>
    <xdr:ext cx="219075" cy="2190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0</xdr:colOff>
      <xdr:row>12</xdr:row>
      <xdr:rowOff>0</xdr:rowOff>
    </xdr:from>
    <xdr:ext cx="219075" cy="2190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0</xdr:colOff>
      <xdr:row>12</xdr:row>
      <xdr:rowOff>0</xdr:rowOff>
    </xdr:from>
    <xdr:ext cx="219075" cy="219075"/>
    <xdr:pic>
      <xdr:nvPicPr>
        <xdr:cNvPr id="0" name="image11.png"/>
        <xdr:cNvPicPr preferRelativeResize="0"/>
      </xdr:nvPicPr>
      <xdr:blipFill>
        <a:blip cstate="print" r:embed="rId15"/>
        <a:stretch>
          <a:fillRect/>
        </a:stretch>
      </xdr:blipFill>
      <xdr:spPr>
        <a:prstGeom prst="rect">
          <a:avLst/>
        </a:prstGeom>
        <a:noFill/>
      </xdr:spPr>
    </xdr:pic>
    <xdr:clientData fLocksWithSheet="0"/>
  </xdr:oneCellAnchor>
  <xdr:oneCellAnchor>
    <xdr:from>
      <xdr:col>25</xdr:col>
      <xdr:colOff>0</xdr:colOff>
      <xdr:row>22</xdr:row>
      <xdr:rowOff>0</xdr:rowOff>
    </xdr:from>
    <xdr:ext cx="200025"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22</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27</xdr:col>
      <xdr:colOff>0</xdr:colOff>
      <xdr:row>22</xdr:row>
      <xdr:rowOff>0</xdr:rowOff>
    </xdr:from>
    <xdr:ext cx="200025" cy="2000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23</xdr:row>
      <xdr:rowOff>0</xdr:rowOff>
    </xdr:from>
    <xdr:ext cx="200025"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23</xdr:row>
      <xdr:rowOff>0</xdr:rowOff>
    </xdr:from>
    <xdr:ext cx="200025" cy="200025"/>
    <xdr:pic>
      <xdr:nvPicPr>
        <xdr:cNvPr id="0" name="image11.png"/>
        <xdr:cNvPicPr preferRelativeResize="0"/>
      </xdr:nvPicPr>
      <xdr:blipFill>
        <a:blip cstate="print" r:embed="rId15"/>
        <a:stretch>
          <a:fillRect/>
        </a:stretch>
      </xdr:blipFill>
      <xdr:spPr>
        <a:prstGeom prst="rect">
          <a:avLst/>
        </a:prstGeom>
        <a:noFill/>
      </xdr:spPr>
    </xdr:pic>
    <xdr:clientData fLocksWithSheet="0"/>
  </xdr:oneCellAnchor>
  <xdr:oneCellAnchor>
    <xdr:from>
      <xdr:col>13</xdr:col>
      <xdr:colOff>0</xdr:colOff>
      <xdr:row>23</xdr:row>
      <xdr:rowOff>0</xdr:rowOff>
    </xdr:from>
    <xdr:ext cx="200025" cy="200025"/>
    <xdr:pic>
      <xdr:nvPicPr>
        <xdr:cNvPr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18</xdr:col>
      <xdr:colOff>0</xdr:colOff>
      <xdr:row>23</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0</xdr:colOff>
      <xdr:row>23</xdr:row>
      <xdr:rowOff>0</xdr:rowOff>
    </xdr:from>
    <xdr:ext cx="200025" cy="200025"/>
    <xdr:pic>
      <xdr:nvPicPr>
        <xdr:cNvPr id="0" name="image11.png"/>
        <xdr:cNvPicPr preferRelativeResize="0"/>
      </xdr:nvPicPr>
      <xdr:blipFill>
        <a:blip cstate="print" r:embed="rId15"/>
        <a:stretch>
          <a:fillRect/>
        </a:stretch>
      </xdr:blipFill>
      <xdr:spPr>
        <a:prstGeom prst="rect">
          <a:avLst/>
        </a:prstGeom>
        <a:noFill/>
      </xdr:spPr>
    </xdr:pic>
    <xdr:clientData fLocksWithSheet="0"/>
  </xdr:oneCellAnchor>
  <xdr:oneCellAnchor>
    <xdr:from>
      <xdr:col>20</xdr:col>
      <xdr:colOff>0</xdr:colOff>
      <xdr:row>23</xdr:row>
      <xdr:rowOff>0</xdr:rowOff>
    </xdr:from>
    <xdr:ext cx="200025" cy="2000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24</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24</xdr:row>
      <xdr:rowOff>0</xdr:rowOff>
    </xdr:from>
    <xdr:ext cx="200025" cy="200025"/>
    <xdr:pic>
      <xdr:nvPicPr>
        <xdr:cNvPr id="0" name="image4.pn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24</xdr:row>
      <xdr:rowOff>0</xdr:rowOff>
    </xdr:from>
    <xdr:ext cx="200025" cy="2000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25</xdr:row>
      <xdr:rowOff>0</xdr:rowOff>
    </xdr:from>
    <xdr:ext cx="200025" cy="2000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25</xdr:row>
      <xdr:rowOff>0</xdr:rowOff>
    </xdr:from>
    <xdr:ext cx="200025"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0</xdr:colOff>
      <xdr:row>25</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0</xdr:colOff>
      <xdr:row>25</xdr:row>
      <xdr:rowOff>0</xdr:rowOff>
    </xdr:from>
    <xdr:ext cx="200025" cy="200025"/>
    <xdr:pic>
      <xdr:nvPicPr>
        <xdr:cNvPr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19</xdr:col>
      <xdr:colOff>0</xdr:colOff>
      <xdr:row>25</xdr:row>
      <xdr:rowOff>0</xdr:rowOff>
    </xdr:from>
    <xdr:ext cx="200025" cy="2000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20</xdr:col>
      <xdr:colOff>0</xdr:colOff>
      <xdr:row>25</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27</xdr:row>
      <xdr:rowOff>0</xdr:rowOff>
    </xdr:from>
    <xdr:ext cx="200025"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27</xdr:row>
      <xdr:rowOff>0</xdr:rowOff>
    </xdr:from>
    <xdr:ext cx="200025" cy="200025"/>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27</xdr:row>
      <xdr:rowOff>0</xdr:rowOff>
    </xdr:from>
    <xdr:ext cx="200025" cy="2000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28</xdr:row>
      <xdr:rowOff>0</xdr:rowOff>
    </xdr:from>
    <xdr:ext cx="200025" cy="2000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28</xdr:row>
      <xdr:rowOff>0</xdr:rowOff>
    </xdr:from>
    <xdr:ext cx="200025" cy="2000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19</xdr:col>
      <xdr:colOff>0</xdr:colOff>
      <xdr:row>28</xdr:row>
      <xdr:rowOff>0</xdr:rowOff>
    </xdr:from>
    <xdr:ext cx="200025" cy="20002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0</xdr:colOff>
      <xdr:row>28</xdr:row>
      <xdr:rowOff>0</xdr:rowOff>
    </xdr:from>
    <xdr:ext cx="200025"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28</xdr:row>
      <xdr:rowOff>0</xdr:rowOff>
    </xdr:from>
    <xdr:ext cx="200025" cy="200025"/>
    <xdr:pic>
      <xdr:nvPicPr>
        <xdr:cNvPr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26</xdr:col>
      <xdr:colOff>0</xdr:colOff>
      <xdr:row>28</xdr:row>
      <xdr:rowOff>0</xdr:rowOff>
    </xdr:from>
    <xdr:ext cx="200025"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27</xdr:col>
      <xdr:colOff>0</xdr:colOff>
      <xdr:row>28</xdr:row>
      <xdr:rowOff>0</xdr:rowOff>
    </xdr:from>
    <xdr:ext cx="200025" cy="2000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29</xdr:row>
      <xdr:rowOff>0</xdr:rowOff>
    </xdr:from>
    <xdr:ext cx="200025" cy="200025"/>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29</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29</xdr:row>
      <xdr:rowOff>0</xdr:rowOff>
    </xdr:from>
    <xdr:ext cx="200025" cy="2000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25</xdr:col>
      <xdr:colOff>0</xdr:colOff>
      <xdr:row>29</xdr:row>
      <xdr:rowOff>0</xdr:rowOff>
    </xdr:from>
    <xdr:ext cx="200025"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29</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0</xdr:colOff>
      <xdr:row>29</xdr:row>
      <xdr:rowOff>0</xdr:rowOff>
    </xdr:from>
    <xdr:ext cx="20002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25</xdr:col>
      <xdr:colOff>0</xdr:colOff>
      <xdr:row>30</xdr:row>
      <xdr:rowOff>0</xdr:rowOff>
    </xdr:from>
    <xdr:ext cx="200025" cy="200025"/>
    <xdr:pic>
      <xdr:nvPicPr>
        <xdr:cNvPr id="0" name="image21.png"/>
        <xdr:cNvPicPr preferRelativeResize="0"/>
      </xdr:nvPicPr>
      <xdr:blipFill>
        <a:blip cstate="print" r:embed="rId17"/>
        <a:stretch>
          <a:fillRect/>
        </a:stretch>
      </xdr:blipFill>
      <xdr:spPr>
        <a:prstGeom prst="rect">
          <a:avLst/>
        </a:prstGeom>
        <a:noFill/>
      </xdr:spPr>
    </xdr:pic>
    <xdr:clientData fLocksWithSheet="0"/>
  </xdr:oneCellAnchor>
  <xdr:oneCellAnchor>
    <xdr:from>
      <xdr:col>26</xdr:col>
      <xdr:colOff>0</xdr:colOff>
      <xdr:row>30</xdr:row>
      <xdr:rowOff>0</xdr:rowOff>
    </xdr:from>
    <xdr:ext cx="200025" cy="200025"/>
    <xdr:pic>
      <xdr:nvPicPr>
        <xdr:cNvPr id="0" name="image21.png"/>
        <xdr:cNvPicPr preferRelativeResize="0"/>
      </xdr:nvPicPr>
      <xdr:blipFill>
        <a:blip cstate="print" r:embed="rId17"/>
        <a:stretch>
          <a:fillRect/>
        </a:stretch>
      </xdr:blipFill>
      <xdr:spPr>
        <a:prstGeom prst="rect">
          <a:avLst/>
        </a:prstGeom>
        <a:noFill/>
      </xdr:spPr>
    </xdr:pic>
    <xdr:clientData fLocksWithSheet="0"/>
  </xdr:oneCellAnchor>
  <xdr:oneCellAnchor>
    <xdr:from>
      <xdr:col>27</xdr:col>
      <xdr:colOff>0</xdr:colOff>
      <xdr:row>30</xdr:row>
      <xdr:rowOff>0</xdr:rowOff>
    </xdr:from>
    <xdr:ext cx="200025" cy="200025"/>
    <xdr:pic>
      <xdr:nvPicPr>
        <xdr:cNvPr id="0" name="image21.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xdr:row>
      <xdr:rowOff>0</xdr:rowOff>
    </xdr:from>
    <xdr:ext cx="200025" cy="200025"/>
    <xdr:pic>
      <xdr:nvPicPr>
        <xdr:cNvPr id="0" name="image2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9</xdr:row>
      <xdr:rowOff>0</xdr:rowOff>
    </xdr:from>
    <xdr:ext cx="200025" cy="200025"/>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27</xdr:row>
      <xdr:rowOff>0</xdr:rowOff>
    </xdr:from>
    <xdr:ext cx="200025" cy="2000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0</xdr:colOff>
      <xdr:row>28</xdr:row>
      <xdr:rowOff>0</xdr:rowOff>
    </xdr:from>
    <xdr:ext cx="2000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0</xdr:colOff>
      <xdr:row>29</xdr:row>
      <xdr:rowOff>0</xdr:rowOff>
    </xdr:from>
    <xdr:ext cx="200025" cy="2000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0</xdr:colOff>
      <xdr:row>30</xdr:row>
      <xdr:rowOff>0</xdr:rowOff>
    </xdr:from>
    <xdr:ext cx="200025" cy="20002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20</xdr:col>
      <xdr:colOff>0</xdr:colOff>
      <xdr:row>31</xdr:row>
      <xdr:rowOff>0</xdr:rowOff>
    </xdr:from>
    <xdr:ext cx="2000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20</xdr:col>
      <xdr:colOff>0</xdr:colOff>
      <xdr:row>32</xdr:row>
      <xdr:rowOff>0</xdr:rowOff>
    </xdr:from>
    <xdr:ext cx="200025" cy="200025"/>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20</xdr:col>
      <xdr:colOff>0</xdr:colOff>
      <xdr:row>33</xdr:row>
      <xdr:rowOff>0</xdr:rowOff>
    </xdr:from>
    <xdr:ext cx="200025" cy="20002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20</xdr:col>
      <xdr:colOff>0</xdr:colOff>
      <xdr:row>34</xdr:row>
      <xdr:rowOff>0</xdr:rowOff>
    </xdr:from>
    <xdr:ext cx="200025"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20</xdr:col>
      <xdr:colOff>0</xdr:colOff>
      <xdr:row>35</xdr:row>
      <xdr:rowOff>0</xdr:rowOff>
    </xdr:from>
    <xdr:ext cx="200025" cy="200025"/>
    <xdr:pic>
      <xdr:nvPicPr>
        <xdr:cNvPr id="0" name="image20.png"/>
        <xdr:cNvPicPr preferRelativeResize="0"/>
      </xdr:nvPicPr>
      <xdr:blipFill>
        <a:blip cstate="print" r:embed="rId9"/>
        <a:stretch>
          <a:fillRect/>
        </a:stretch>
      </xdr:blipFill>
      <xdr:spPr>
        <a:prstGeom prst="rect">
          <a:avLst/>
        </a:prstGeom>
        <a:noFill/>
      </xdr:spPr>
    </xdr:pic>
    <xdr:clientData fLocksWithSheet="0"/>
  </xdr:oneCellAnchor>
  <xdr:oneCellAnchor>
    <xdr:from>
      <xdr:col>20</xdr:col>
      <xdr:colOff>0</xdr:colOff>
      <xdr:row>36</xdr:row>
      <xdr:rowOff>0</xdr:rowOff>
    </xdr:from>
    <xdr:ext cx="200025" cy="20002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20</xdr:col>
      <xdr:colOff>0</xdr:colOff>
      <xdr:row>37</xdr:row>
      <xdr:rowOff>0</xdr:rowOff>
    </xdr:from>
    <xdr:ext cx="200025" cy="200025"/>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20</xdr:col>
      <xdr:colOff>0</xdr:colOff>
      <xdr:row>38</xdr:row>
      <xdr:rowOff>0</xdr:rowOff>
    </xdr:from>
    <xdr:ext cx="200025" cy="200025"/>
    <xdr:pic>
      <xdr:nvPicPr>
        <xdr:cNvPr id="0" name="image1.png"/>
        <xdr:cNvPicPr preferRelativeResize="0"/>
      </xdr:nvPicPr>
      <xdr:blipFill>
        <a:blip cstate="print" r:embed="rId12"/>
        <a:stretch>
          <a:fillRect/>
        </a:stretch>
      </xdr:blipFill>
      <xdr:spPr>
        <a:prstGeom prst="rect">
          <a:avLst/>
        </a:prstGeom>
        <a:noFill/>
      </xdr:spPr>
    </xdr:pic>
    <xdr:clientData fLocksWithSheet="0"/>
  </xdr:oneCellAnchor>
  <xdr:oneCellAnchor>
    <xdr:from>
      <xdr:col>20</xdr:col>
      <xdr:colOff>0</xdr:colOff>
      <xdr:row>39</xdr:row>
      <xdr:rowOff>0</xdr:rowOff>
    </xdr:from>
    <xdr:ext cx="200025" cy="200025"/>
    <xdr:pic>
      <xdr:nvPicPr>
        <xdr:cNvPr id="0" name="image5.png"/>
        <xdr:cNvPicPr preferRelativeResize="0"/>
      </xdr:nvPicPr>
      <xdr:blipFill>
        <a:blip cstate="print" r:embed="rId13"/>
        <a:stretch>
          <a:fillRect/>
        </a:stretch>
      </xdr:blipFill>
      <xdr:spPr>
        <a:prstGeom prst="rect">
          <a:avLst/>
        </a:prstGeom>
        <a:noFill/>
      </xdr:spPr>
    </xdr:pic>
    <xdr:clientData fLocksWithSheet="0"/>
  </xdr:oneCellAnchor>
  <xdr:oneCellAnchor>
    <xdr:from>
      <xdr:col>20</xdr:col>
      <xdr:colOff>0</xdr:colOff>
      <xdr:row>40</xdr:row>
      <xdr:rowOff>0</xdr:rowOff>
    </xdr:from>
    <xdr:ext cx="200025" cy="2000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20</xdr:col>
      <xdr:colOff>0</xdr:colOff>
      <xdr:row>41</xdr:row>
      <xdr:rowOff>0</xdr:rowOff>
    </xdr:from>
    <xdr:ext cx="200025" cy="200025"/>
    <xdr:pic>
      <xdr:nvPicPr>
        <xdr:cNvPr id="0" name="image17.png"/>
        <xdr:cNvPicPr preferRelativeResize="0"/>
      </xdr:nvPicPr>
      <xdr:blipFill>
        <a:blip cstate="print" r:embed="rId15"/>
        <a:stretch>
          <a:fillRect/>
        </a:stretch>
      </xdr:blipFill>
      <xdr:spPr>
        <a:prstGeom prst="rect">
          <a:avLst/>
        </a:prstGeom>
        <a:noFill/>
      </xdr:spPr>
    </xdr:pic>
    <xdr:clientData fLocksWithSheet="0"/>
  </xdr:oneCellAnchor>
  <xdr:oneCellAnchor>
    <xdr:from>
      <xdr:col>20</xdr:col>
      <xdr:colOff>0</xdr:colOff>
      <xdr:row>42</xdr:row>
      <xdr:rowOff>0</xdr:rowOff>
    </xdr:from>
    <xdr:ext cx="200025" cy="200025"/>
    <xdr:pic>
      <xdr:nvPicPr>
        <xdr:cNvPr id="0" name="image16.png"/>
        <xdr:cNvPicPr preferRelativeResize="0"/>
      </xdr:nvPicPr>
      <xdr:blipFill>
        <a:blip cstate="print" r:embed="rId16"/>
        <a:stretch>
          <a:fillRect/>
        </a:stretch>
      </xdr:blipFill>
      <xdr:spPr>
        <a:prstGeom prst="rect">
          <a:avLst/>
        </a:prstGeom>
        <a:noFill/>
      </xdr:spPr>
    </xdr:pic>
    <xdr:clientData fLocksWithSheet="0"/>
  </xdr:oneCellAnchor>
  <xdr:oneCellAnchor>
    <xdr:from>
      <xdr:col>20</xdr:col>
      <xdr:colOff>0</xdr:colOff>
      <xdr:row>43</xdr:row>
      <xdr:rowOff>0</xdr:rowOff>
    </xdr:from>
    <xdr:ext cx="200025" cy="200025"/>
    <xdr:pic>
      <xdr:nvPicPr>
        <xdr:cNvPr id="0" name="image22.png"/>
        <xdr:cNvPicPr preferRelativeResize="0"/>
      </xdr:nvPicPr>
      <xdr:blipFill>
        <a:blip cstate="print" r:embed="rId17"/>
        <a:stretch>
          <a:fillRect/>
        </a:stretch>
      </xdr:blipFill>
      <xdr:spPr>
        <a:prstGeom prst="rect">
          <a:avLst/>
        </a:prstGeom>
        <a:noFill/>
      </xdr:spPr>
    </xdr:pic>
    <xdr:clientData fLocksWithSheet="0"/>
  </xdr:oneCellAnchor>
  <xdr:oneCellAnchor>
    <xdr:from>
      <xdr:col>20</xdr:col>
      <xdr:colOff>0</xdr:colOff>
      <xdr:row>44</xdr:row>
      <xdr:rowOff>0</xdr:rowOff>
    </xdr:from>
    <xdr:ext cx="200025" cy="200025"/>
    <xdr:pic>
      <xdr:nvPicPr>
        <xdr:cNvPr id="0" name="image6.png"/>
        <xdr:cNvPicPr preferRelativeResize="0"/>
      </xdr:nvPicPr>
      <xdr:blipFill>
        <a:blip cstate="print" r:embed="rId18"/>
        <a:stretch>
          <a:fillRect/>
        </a:stretch>
      </xdr:blipFill>
      <xdr:spPr>
        <a:prstGeom prst="rect">
          <a:avLst/>
        </a:prstGeom>
        <a:noFill/>
      </xdr:spPr>
    </xdr:pic>
    <xdr:clientData fLocksWithSheet="0"/>
  </xdr:oneCellAnchor>
  <xdr:oneCellAnchor>
    <xdr:from>
      <xdr:col>20</xdr:col>
      <xdr:colOff>0</xdr:colOff>
      <xdr:row>45</xdr:row>
      <xdr:rowOff>0</xdr:rowOff>
    </xdr:from>
    <xdr:ext cx="200025" cy="200025"/>
    <xdr:pic>
      <xdr:nvPicPr>
        <xdr:cNvPr id="0" name="image21.png"/>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replay.pokemonshowdown.com/gen9anythinggoes-2152905435" TargetMode="External"/><Relationship Id="rId10" Type="http://schemas.openxmlformats.org/officeDocument/2006/relationships/hyperlink" Target="https://replay.pokemonshowdown.com/gen9anythinggoes-2084880814" TargetMode="External"/><Relationship Id="rId13" Type="http://schemas.openxmlformats.org/officeDocument/2006/relationships/drawing" Target="../drawings/drawing8.xml"/><Relationship Id="rId12" Type="http://schemas.openxmlformats.org/officeDocument/2006/relationships/hyperlink" Target="https://replay.pokemonshowdown.com/gen9anythinggoes-2152939833" TargetMode="External"/><Relationship Id="rId1" Type="http://schemas.openxmlformats.org/officeDocument/2006/relationships/hyperlink" Target="https://replay.pokemonshowdown.com/gen9anythinggoes-2074522293" TargetMode="External"/><Relationship Id="rId2" Type="http://schemas.openxmlformats.org/officeDocument/2006/relationships/hyperlink" Target="https://replay.pokemonshowdown.com/gen9anythinggoes-2091455239" TargetMode="External"/><Relationship Id="rId3" Type="http://schemas.openxmlformats.org/officeDocument/2006/relationships/hyperlink" Target="https://replay.pokemonshowdown.com/gen9anythinggoes-2092066015-i1ndlo5lbi1aq3w9mvrh2f77uvlppidpw" TargetMode="External"/><Relationship Id="rId4" Type="http://schemas.openxmlformats.org/officeDocument/2006/relationships/hyperlink" Target="https://replay.pokemonshowdown.com/gen9anythinggoes-2084091812" TargetMode="External"/><Relationship Id="rId9" Type="http://schemas.openxmlformats.org/officeDocument/2006/relationships/hyperlink" Target="https://replay.pokemonshowdown.com/gen9anythinggoes-2072810967" TargetMode="External"/><Relationship Id="rId5" Type="http://schemas.openxmlformats.org/officeDocument/2006/relationships/hyperlink" Target="https://replay.pokemonshowdown.com/gen9anythinggoes-2108542346" TargetMode="External"/><Relationship Id="rId6" Type="http://schemas.openxmlformats.org/officeDocument/2006/relationships/hyperlink" Target="https://replay.pokemonshowdown.com/gen9anythinggoes-2070812717" TargetMode="External"/><Relationship Id="rId7" Type="http://schemas.openxmlformats.org/officeDocument/2006/relationships/hyperlink" Target="https://replay.pokemonshowdown.com/gen9anythinggoes-2094719104" TargetMode="External"/><Relationship Id="rId8" Type="http://schemas.openxmlformats.org/officeDocument/2006/relationships/hyperlink" Target="https://replay.pokemonshowdown.com/gen9anythinggoes-2113742636"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replay.pokemonshowdown.com/gen9anythinggoes-2159952350" TargetMode="External"/><Relationship Id="rId10" Type="http://schemas.openxmlformats.org/officeDocument/2006/relationships/hyperlink" Target="https://replay.pokemonshowdown.com/gen9anythinggoes-2158172563" TargetMode="External"/><Relationship Id="rId12" Type="http://schemas.openxmlformats.org/officeDocument/2006/relationships/drawing" Target="../drawings/drawing10.xml"/><Relationship Id="rId1" Type="http://schemas.openxmlformats.org/officeDocument/2006/relationships/hyperlink" Target="https://replay.pokemonshowdown.com/gen9anythinggoes-2154201559" TargetMode="External"/><Relationship Id="rId2" Type="http://schemas.openxmlformats.org/officeDocument/2006/relationships/hyperlink" Target="https://replay.pokemonshowdown.com/gen9anythinggoes-2164929342" TargetMode="External"/><Relationship Id="rId3" Type="http://schemas.openxmlformats.org/officeDocument/2006/relationships/hyperlink" Target="https://replay.pokemonshowdown.com/gen9anythinggoes-2173658171" TargetMode="External"/><Relationship Id="rId4" Type="http://schemas.openxmlformats.org/officeDocument/2006/relationships/hyperlink" Target="https://replay.pokemonshowdown.com/gen9anythinggoes-2233752744" TargetMode="External"/><Relationship Id="rId9" Type="http://schemas.openxmlformats.org/officeDocument/2006/relationships/hyperlink" Target="https://replay.pokemonshowdown.com/gen9anythinggoes-2173614457" TargetMode="External"/><Relationship Id="rId5" Type="http://schemas.openxmlformats.org/officeDocument/2006/relationships/hyperlink" Target="https://replay.pokemonshowdown.com/gen9anythinggoes-2296682245" TargetMode="External"/><Relationship Id="rId6" Type="http://schemas.openxmlformats.org/officeDocument/2006/relationships/hyperlink" Target="https://replay.pokemonshowdown.com/gen9anythinggoes-2155190534" TargetMode="External"/><Relationship Id="rId7" Type="http://schemas.openxmlformats.org/officeDocument/2006/relationships/hyperlink" Target="https://replay.pokemonshowdown.com/gen9anythinggoes-2164537549" TargetMode="External"/><Relationship Id="rId8" Type="http://schemas.openxmlformats.org/officeDocument/2006/relationships/hyperlink" Target="https://replay.pokemonshowdown.com/gen9anythinggoes-2164916284"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0" Type="http://schemas.openxmlformats.org/officeDocument/2006/relationships/hyperlink" Target="https://replay.pokemonshowdown.com/sports-gen8nationaldexvgc-745520" TargetMode="External"/><Relationship Id="rId22" Type="http://schemas.openxmlformats.org/officeDocument/2006/relationships/hyperlink" Target="https://replay.pokemonshowdown.com/sports-gen8nationaldexvgc-745405" TargetMode="External"/><Relationship Id="rId21" Type="http://schemas.openxmlformats.org/officeDocument/2006/relationships/hyperlink" Target="https://replay.pokemonshowdown.com/sports-gen8nationaldexvgc-745521" TargetMode="External"/><Relationship Id="rId24" Type="http://schemas.openxmlformats.org/officeDocument/2006/relationships/hyperlink" Target="https://replay.pokemonshowdown.com/sports-gen8nationaldexvgc-745407" TargetMode="External"/><Relationship Id="rId23" Type="http://schemas.openxmlformats.org/officeDocument/2006/relationships/hyperlink" Target="https://replay.pokemonshowdown.com/sports-gen8nationaldexvgc-745406" TargetMode="External"/><Relationship Id="rId1" Type="http://schemas.openxmlformats.org/officeDocument/2006/relationships/hyperlink" Target="https://replay.pokemonshowdown.com/sports-gen8nationaldexvgc-743683-mfifyc5zgxixmc36sbamh5fgoomah6hpw" TargetMode="External"/><Relationship Id="rId2" Type="http://schemas.openxmlformats.org/officeDocument/2006/relationships/hyperlink" Target="https://replay.pokemonshowdown.com/sports-gen8nationaldexvgc-743684-msn9g1k9dr7y8bks1msdbsru4ivrdorpw" TargetMode="External"/><Relationship Id="rId3" Type="http://schemas.openxmlformats.org/officeDocument/2006/relationships/hyperlink" Target="https://replay.pokemonshowdown.com/sports-gen8nationaldexvgc-743686-a9b3hsuhxvx0dldevd4xyndzrx03f4bpw" TargetMode="External"/><Relationship Id="rId4" Type="http://schemas.openxmlformats.org/officeDocument/2006/relationships/hyperlink" Target="https://replay.pokemonshowdown.com/sports-gen8nationaldexvgc-743838" TargetMode="External"/><Relationship Id="rId9" Type="http://schemas.openxmlformats.org/officeDocument/2006/relationships/hyperlink" Target="https://replay.pokemonshowdown.com/sports-gen8nationaldexvgc-743471" TargetMode="External"/><Relationship Id="rId26" Type="http://schemas.openxmlformats.org/officeDocument/2006/relationships/hyperlink" Target="https://replay.pokemonshowdown.com/sports-gen8nationaldexvgc-744741" TargetMode="External"/><Relationship Id="rId25" Type="http://schemas.openxmlformats.org/officeDocument/2006/relationships/hyperlink" Target="https://replay.pokemonshowdown.com/sports-gen8nationaldexvgc-745576" TargetMode="External"/><Relationship Id="rId28" Type="http://schemas.openxmlformats.org/officeDocument/2006/relationships/hyperlink" Target="https://replay.pokemonshowdown.com/sports-gen8nationaldexvgc-744744" TargetMode="External"/><Relationship Id="rId27" Type="http://schemas.openxmlformats.org/officeDocument/2006/relationships/hyperlink" Target="https://replay.pokemonshowdown.com/sports-gen8nationaldexvgc-744742" TargetMode="External"/><Relationship Id="rId5" Type="http://schemas.openxmlformats.org/officeDocument/2006/relationships/hyperlink" Target="https://replay.pokemonshowdown.com/sports-gen8nationaldexvgc-743839" TargetMode="External"/><Relationship Id="rId6" Type="http://schemas.openxmlformats.org/officeDocument/2006/relationships/hyperlink" Target="https://replay.pokemonshowdown.com/sports-gen8nationaldexvgc-743406" TargetMode="External"/><Relationship Id="rId29" Type="http://schemas.openxmlformats.org/officeDocument/2006/relationships/hyperlink" Target="https://replay.pokemonshowdown.com/sports-gen8nationaldexvgc-747393" TargetMode="External"/><Relationship Id="rId7" Type="http://schemas.openxmlformats.org/officeDocument/2006/relationships/hyperlink" Target="https://replay.pokemonshowdown.com/sports-gen8nationaldexvgc-743407" TargetMode="External"/><Relationship Id="rId8" Type="http://schemas.openxmlformats.org/officeDocument/2006/relationships/hyperlink" Target="https://replay.pokemonshowdown.com/sports-gen8nationaldexvgc-743470" TargetMode="External"/><Relationship Id="rId31" Type="http://schemas.openxmlformats.org/officeDocument/2006/relationships/hyperlink" Target="https://replay.pokemonshowdown.com/sports-gen8nationaldexvgc-747905" TargetMode="External"/><Relationship Id="rId30" Type="http://schemas.openxmlformats.org/officeDocument/2006/relationships/hyperlink" Target="https://replay.pokemonshowdown.com/sports-gen8nationaldexvgc-747392" TargetMode="External"/><Relationship Id="rId11" Type="http://schemas.openxmlformats.org/officeDocument/2006/relationships/hyperlink" Target="https://replay.pokemonshowdown.com/sports-gen8nationaldexvgc-743617" TargetMode="External"/><Relationship Id="rId33" Type="http://schemas.openxmlformats.org/officeDocument/2006/relationships/drawing" Target="../drawings/drawing17.xml"/><Relationship Id="rId10" Type="http://schemas.openxmlformats.org/officeDocument/2006/relationships/hyperlink" Target="https://replay.pokemonshowdown.com/sports-gen8nationaldexvgc-743472" TargetMode="External"/><Relationship Id="rId32" Type="http://schemas.openxmlformats.org/officeDocument/2006/relationships/hyperlink" Target="https://replay.pokemonshowdown.com/sports-gen8nationaldexvgc-747906" TargetMode="External"/><Relationship Id="rId13" Type="http://schemas.openxmlformats.org/officeDocument/2006/relationships/hyperlink" Target="https://replay.pokemonshowdown.com/sports-gen8nationaldexvgc-743620" TargetMode="External"/><Relationship Id="rId12" Type="http://schemas.openxmlformats.org/officeDocument/2006/relationships/hyperlink" Target="https://replay.pokemonshowdown.com/sports-gen8nationaldexvgc-743619" TargetMode="External"/><Relationship Id="rId15" Type="http://schemas.openxmlformats.org/officeDocument/2006/relationships/hyperlink" Target="https://replay.pokemonshowdown.com/sports-gen8nationaldexvgc-742976" TargetMode="External"/><Relationship Id="rId14" Type="http://schemas.openxmlformats.org/officeDocument/2006/relationships/hyperlink" Target="https://replay.pokemonshowdown.com/sports-gen8nationaldexvgc-742975" TargetMode="External"/><Relationship Id="rId17" Type="http://schemas.openxmlformats.org/officeDocument/2006/relationships/hyperlink" Target="https://replay.pokemonshowdown.com/sports-gen8nationaldexvgc-744088" TargetMode="External"/><Relationship Id="rId16" Type="http://schemas.openxmlformats.org/officeDocument/2006/relationships/hyperlink" Target="https://replay.pokemonshowdown.com/sports-gen8nationaldexvgc-742977" TargetMode="External"/><Relationship Id="rId19" Type="http://schemas.openxmlformats.org/officeDocument/2006/relationships/hyperlink" Target="https://replay.pokemonshowdown.com/sports-gen8nationaldexvgc-744089" TargetMode="External"/><Relationship Id="rId18" Type="http://schemas.openxmlformats.org/officeDocument/2006/relationships/hyperlink" Target="https://replay.pokemonshowdown.com/sports-gen8nationaldexvgc-744089"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sheetViews>
  <sheetFormatPr customHeight="1" defaultColWidth="12.63" defaultRowHeight="15.75"/>
  <cols>
    <col customWidth="1" min="1" max="2" width="1.38"/>
    <col customWidth="1" min="3" max="3" width="31.38"/>
    <col customWidth="1" min="4" max="4" width="2.0"/>
    <col customWidth="1" min="5" max="8" width="20.63"/>
    <col customWidth="1" min="9" max="10" width="1.38"/>
  </cols>
  <sheetData>
    <row r="1" ht="7.5" customHeight="1">
      <c r="A1" s="1"/>
      <c r="B1" s="2"/>
      <c r="C1" s="3"/>
      <c r="D1" s="2"/>
      <c r="E1" s="2"/>
      <c r="F1" s="2"/>
      <c r="G1" s="2"/>
      <c r="H1" s="2"/>
      <c r="I1" s="2"/>
      <c r="J1" s="2"/>
    </row>
    <row r="2" ht="7.5" customHeight="1">
      <c r="A2" s="2"/>
      <c r="B2" s="4"/>
      <c r="C2" s="30"/>
      <c r="D2" s="34"/>
      <c r="E2" s="34"/>
      <c r="F2" s="34"/>
      <c r="G2" s="34"/>
      <c r="H2" s="34"/>
      <c r="I2" s="37"/>
      <c r="J2" s="38"/>
    </row>
    <row r="3">
      <c r="A3" s="2"/>
      <c r="B3" s="39"/>
      <c r="C3" s="40" t="s">
        <v>4</v>
      </c>
      <c r="D3" s="42"/>
      <c r="E3" s="48" t="str">
        <f>Source!$K$3</f>
        <v/>
      </c>
      <c r="F3" s="48" t="str">
        <f>Source!$K$4</f>
        <v/>
      </c>
      <c r="G3" s="56" t="str">
        <f>Source!$K$5</f>
        <v/>
      </c>
      <c r="H3" s="60" t="str">
        <f>Source!$K$6</f>
        <v/>
      </c>
      <c r="I3" s="61"/>
      <c r="J3" s="38"/>
    </row>
    <row r="4" ht="15.75" customHeight="1">
      <c r="A4" s="2"/>
      <c r="B4" s="39"/>
      <c r="C4" s="66" t="s">
        <v>6</v>
      </c>
      <c r="D4" s="42"/>
      <c r="E4" s="70" t="str">
        <f>Source!$G$3</f>
        <v>Ryan Tidey</v>
      </c>
      <c r="F4" s="70" t="str">
        <f>Source!$G$4</f>
        <v>Marcus</v>
      </c>
      <c r="G4" s="76" t="str">
        <f>Source!$G$5</f>
        <v>Ian Heslin</v>
      </c>
      <c r="H4" s="79" t="str">
        <f>Source!$G$6</f>
        <v>Ryan Evans</v>
      </c>
      <c r="I4" s="61"/>
      <c r="J4" s="38"/>
    </row>
    <row r="5" ht="60.0" customHeight="1">
      <c r="A5" s="2"/>
      <c r="B5" s="39"/>
      <c r="C5" s="88"/>
      <c r="D5" s="42"/>
      <c r="E5" s="94" t="str">
        <f>Source!$K$7</f>
        <v/>
      </c>
      <c r="F5" s="94" t="str">
        <f>Source!$K$8</f>
        <v/>
      </c>
      <c r="G5" s="98" t="str">
        <f>Source!$K$9</f>
        <v/>
      </c>
      <c r="H5" s="60" t="str">
        <f>Source!$K$10</f>
        <v/>
      </c>
      <c r="I5" s="61"/>
      <c r="J5" s="38"/>
    </row>
    <row r="6" ht="15.75" customHeight="1">
      <c r="A6" s="2"/>
      <c r="B6" s="39"/>
      <c r="C6" s="103"/>
      <c r="D6" s="42"/>
      <c r="E6" s="94" t="str">
        <f>Source!$G$7</f>
        <v>Tyler Gottfredsen</v>
      </c>
      <c r="F6" s="94" t="str">
        <f>Source!$G$8</f>
        <v>Dick Hansen</v>
      </c>
      <c r="G6" s="98" t="str">
        <f>Source!$G$9</f>
        <v>Jackson McLoughlin</v>
      </c>
      <c r="H6" s="79" t="str">
        <f>Source!$G$10</f>
        <v>Zach VanSickle</v>
      </c>
      <c r="I6" s="61"/>
      <c r="J6" s="38"/>
    </row>
    <row r="7" ht="112.5" customHeight="1">
      <c r="A7" s="2"/>
      <c r="B7" s="39"/>
      <c r="C7" s="118"/>
      <c r="D7" s="42"/>
      <c r="E7" s="125"/>
      <c r="F7" s="129"/>
      <c r="G7" s="129"/>
      <c r="H7" s="131"/>
      <c r="I7" s="61"/>
      <c r="J7" s="38"/>
    </row>
    <row r="8" ht="7.5" customHeight="1">
      <c r="A8" s="2"/>
      <c r="B8" s="39"/>
      <c r="C8" s="133"/>
      <c r="D8" s="42"/>
      <c r="E8" s="135"/>
      <c r="H8" s="136"/>
      <c r="I8" s="61"/>
      <c r="J8" s="38"/>
    </row>
    <row r="9" ht="112.5" customHeight="1">
      <c r="A9" s="2"/>
      <c r="B9" s="39"/>
      <c r="C9" s="140"/>
      <c r="D9" s="141"/>
      <c r="E9" s="135"/>
      <c r="H9" s="136"/>
      <c r="I9" s="61"/>
      <c r="J9" s="38"/>
    </row>
    <row r="10" ht="15.75" customHeight="1">
      <c r="A10" s="2"/>
      <c r="B10" s="39"/>
      <c r="C10" s="144"/>
      <c r="D10" s="141"/>
      <c r="E10" s="145"/>
      <c r="F10" s="147"/>
      <c r="G10" s="147"/>
      <c r="H10" s="148"/>
      <c r="I10" s="61"/>
      <c r="J10" s="2"/>
    </row>
    <row r="11" ht="7.5" customHeight="1">
      <c r="A11" s="2"/>
      <c r="B11" s="150"/>
      <c r="C11" s="151"/>
      <c r="D11" s="153"/>
      <c r="E11" s="153"/>
      <c r="F11" s="153"/>
      <c r="G11" s="153"/>
      <c r="H11" s="153"/>
      <c r="I11" s="155"/>
      <c r="J11" s="2"/>
    </row>
    <row r="12" ht="7.5" customHeight="1">
      <c r="A12" s="2"/>
      <c r="B12" s="2"/>
      <c r="C12" s="157"/>
      <c r="D12" s="2"/>
      <c r="E12" s="2"/>
      <c r="F12" s="2"/>
      <c r="G12" s="2"/>
      <c r="H12" s="2"/>
      <c r="I12" s="2"/>
      <c r="J12" s="2"/>
    </row>
  </sheetData>
  <mergeCells count="3">
    <mergeCell ref="C5:C7"/>
    <mergeCell ref="E7:H10"/>
    <mergeCell ref="C9: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sheetViews>
  <sheetFormatPr customHeight="1" defaultColWidth="12.63" defaultRowHeight="15.75"/>
  <cols>
    <col customWidth="1" min="1" max="2" width="1.38"/>
    <col customWidth="1" min="3" max="4" width="3.88"/>
    <col customWidth="1" min="5" max="5" width="82.63"/>
    <col customWidth="1" min="6" max="6" width="7.63"/>
    <col customWidth="1" min="7" max="8" width="1.38"/>
  </cols>
  <sheetData>
    <row r="1" ht="7.5" customHeight="1">
      <c r="A1" s="6" t="s">
        <v>0</v>
      </c>
      <c r="B1" s="8"/>
      <c r="C1" s="8"/>
      <c r="D1" s="8"/>
      <c r="E1" s="11"/>
      <c r="F1" s="8"/>
      <c r="G1" s="8"/>
      <c r="H1" s="13"/>
    </row>
    <row r="2" ht="7.5" customHeight="1">
      <c r="A2" s="15"/>
      <c r="B2" s="20"/>
      <c r="C2" s="22"/>
      <c r="D2" s="22"/>
      <c r="E2" s="23"/>
      <c r="F2" s="22"/>
      <c r="G2" s="25"/>
      <c r="H2" s="13"/>
    </row>
    <row r="3">
      <c r="A3" s="15"/>
      <c r="B3" s="28"/>
      <c r="C3" s="43"/>
      <c r="D3" s="45"/>
      <c r="E3" s="46" t="s">
        <v>5</v>
      </c>
      <c r="F3" s="50"/>
      <c r="G3" s="52"/>
      <c r="H3" s="13"/>
    </row>
    <row r="4" ht="3.75" customHeight="1">
      <c r="A4" s="15"/>
      <c r="B4" s="28"/>
      <c r="C4" s="59"/>
      <c r="D4" s="59"/>
      <c r="E4" s="62"/>
      <c r="F4" s="59"/>
      <c r="G4" s="64"/>
      <c r="H4" s="13"/>
    </row>
    <row r="5">
      <c r="A5" s="15"/>
      <c r="B5" s="28"/>
      <c r="C5" s="71" t="s">
        <v>8</v>
      </c>
      <c r="D5" s="73"/>
      <c r="E5" s="73"/>
      <c r="F5" s="75"/>
      <c r="G5" s="64"/>
      <c r="H5" s="13"/>
    </row>
    <row r="6">
      <c r="A6" s="15"/>
      <c r="B6" s="28"/>
      <c r="C6" s="78" t="s">
        <v>11</v>
      </c>
      <c r="D6" s="80" t="s">
        <v>12</v>
      </c>
      <c r="F6" s="82"/>
      <c r="G6" s="64"/>
      <c r="H6" s="13"/>
    </row>
    <row r="7">
      <c r="A7" s="15"/>
      <c r="B7" s="28"/>
      <c r="C7" s="78" t="s">
        <v>14</v>
      </c>
      <c r="D7" s="85" t="s">
        <v>15</v>
      </c>
      <c r="F7" s="82"/>
      <c r="G7" s="64"/>
      <c r="H7" s="13"/>
    </row>
    <row r="8">
      <c r="A8" s="15"/>
      <c r="B8" s="28"/>
      <c r="C8" s="87" t="s">
        <v>17</v>
      </c>
      <c r="D8" s="92" t="s">
        <v>19</v>
      </c>
      <c r="E8" s="95"/>
      <c r="F8" s="97"/>
      <c r="G8" s="64"/>
      <c r="H8" s="13"/>
    </row>
    <row r="9" ht="7.5" customHeight="1">
      <c r="A9" s="15"/>
      <c r="B9" s="28"/>
      <c r="C9" s="59"/>
      <c r="D9" s="59"/>
      <c r="E9" s="62"/>
      <c r="F9" s="59"/>
      <c r="G9" s="64"/>
      <c r="H9" s="13"/>
    </row>
    <row r="10">
      <c r="A10" s="15"/>
      <c r="B10" s="28"/>
      <c r="C10" s="102" t="s">
        <v>24</v>
      </c>
      <c r="D10" s="73"/>
      <c r="E10" s="73"/>
      <c r="F10" s="75"/>
      <c r="G10" s="64"/>
      <c r="H10" s="13"/>
    </row>
    <row r="11">
      <c r="A11" s="15"/>
      <c r="B11" s="28"/>
      <c r="C11" s="106" t="s">
        <v>11</v>
      </c>
      <c r="D11" s="108" t="s">
        <v>27</v>
      </c>
      <c r="F11" s="82"/>
      <c r="G11" s="64"/>
      <c r="H11" s="13"/>
    </row>
    <row r="12">
      <c r="A12" s="15"/>
      <c r="B12" s="28"/>
      <c r="C12" s="106">
        <v>2.0</v>
      </c>
      <c r="D12" s="108" t="s">
        <v>29</v>
      </c>
      <c r="F12" s="82"/>
      <c r="G12" s="64"/>
      <c r="H12" s="13"/>
    </row>
    <row r="13">
      <c r="A13" s="15"/>
      <c r="B13" s="28"/>
      <c r="C13" s="106">
        <v>3.0</v>
      </c>
      <c r="D13" s="80" t="s">
        <v>31</v>
      </c>
      <c r="F13" s="82"/>
      <c r="G13" s="64"/>
      <c r="H13" s="13"/>
    </row>
    <row r="14">
      <c r="A14" s="15"/>
      <c r="B14" s="28"/>
      <c r="C14" s="106">
        <v>4.0</v>
      </c>
      <c r="D14" s="114" t="s">
        <v>33</v>
      </c>
      <c r="E14" s="95"/>
      <c r="F14" s="97"/>
      <c r="G14" s="64"/>
      <c r="H14" s="13"/>
    </row>
    <row r="15">
      <c r="A15" s="15"/>
      <c r="B15" s="28"/>
      <c r="C15" s="117" t="s">
        <v>36</v>
      </c>
      <c r="D15" s="114" t="s">
        <v>38</v>
      </c>
      <c r="E15" s="95"/>
      <c r="F15" s="97"/>
      <c r="G15" s="64"/>
      <c r="H15" s="13"/>
    </row>
    <row r="16">
      <c r="A16" s="15"/>
      <c r="B16" s="28"/>
      <c r="C16" s="117" t="s">
        <v>39</v>
      </c>
      <c r="D16" s="122" t="s">
        <v>41</v>
      </c>
      <c r="E16" s="95"/>
      <c r="F16" s="97"/>
      <c r="G16" s="64"/>
      <c r="H16" s="13"/>
    </row>
    <row r="17" ht="7.5" customHeight="1">
      <c r="A17" s="15"/>
      <c r="B17" s="28"/>
      <c r="C17" s="59"/>
      <c r="D17" s="59"/>
      <c r="E17" s="62"/>
      <c r="F17" s="59"/>
      <c r="G17" s="64"/>
      <c r="H17" s="13"/>
    </row>
    <row r="18">
      <c r="A18" s="15"/>
      <c r="B18" s="28"/>
      <c r="C18" s="127" t="s">
        <v>44</v>
      </c>
      <c r="D18" s="73"/>
      <c r="E18" s="73"/>
      <c r="F18" s="75"/>
      <c r="G18" s="64"/>
      <c r="H18" s="13"/>
    </row>
    <row r="19">
      <c r="A19" s="15"/>
      <c r="B19" s="28"/>
      <c r="C19" s="130" t="s">
        <v>11</v>
      </c>
      <c r="D19" s="80" t="s">
        <v>45</v>
      </c>
      <c r="F19" s="82"/>
      <c r="G19" s="64"/>
      <c r="H19" s="13"/>
    </row>
    <row r="20">
      <c r="A20" s="15"/>
      <c r="B20" s="28"/>
      <c r="C20" s="130" t="s">
        <v>14</v>
      </c>
      <c r="D20" s="80" t="s">
        <v>46</v>
      </c>
      <c r="F20" s="82"/>
      <c r="G20" s="64"/>
      <c r="H20" s="13"/>
    </row>
    <row r="21">
      <c r="A21" s="15"/>
      <c r="B21" s="28"/>
      <c r="C21" s="130" t="s">
        <v>17</v>
      </c>
      <c r="D21" s="80" t="s">
        <v>47</v>
      </c>
      <c r="F21" s="82"/>
      <c r="G21" s="64"/>
      <c r="H21" s="13"/>
    </row>
    <row r="22">
      <c r="A22" s="15"/>
      <c r="B22" s="28"/>
      <c r="C22" s="130" t="s">
        <v>48</v>
      </c>
      <c r="D22" s="122" t="s">
        <v>49</v>
      </c>
      <c r="E22" s="95"/>
      <c r="F22" s="97"/>
      <c r="G22" s="64"/>
      <c r="H22" s="13" t="s">
        <v>50</v>
      </c>
    </row>
    <row r="23" ht="7.5" customHeight="1">
      <c r="A23" s="15"/>
      <c r="B23" s="28"/>
      <c r="C23" s="59"/>
      <c r="D23" s="59"/>
      <c r="E23" s="62"/>
      <c r="F23" s="59"/>
      <c r="G23" s="64"/>
      <c r="H23" s="13"/>
    </row>
    <row r="24">
      <c r="A24" s="15"/>
      <c r="B24" s="28"/>
      <c r="C24" s="143" t="s">
        <v>51</v>
      </c>
      <c r="D24" s="73"/>
      <c r="E24" s="73"/>
      <c r="F24" s="75"/>
      <c r="G24" s="64"/>
      <c r="H24" s="13"/>
    </row>
    <row r="25">
      <c r="A25" s="15"/>
      <c r="B25" s="28"/>
      <c r="C25" s="146" t="s">
        <v>11</v>
      </c>
      <c r="D25" s="80" t="s">
        <v>52</v>
      </c>
      <c r="F25" s="82"/>
      <c r="G25" s="64"/>
      <c r="H25" s="13"/>
    </row>
    <row r="26">
      <c r="A26" s="15"/>
      <c r="B26" s="28"/>
      <c r="C26" s="146" t="s">
        <v>14</v>
      </c>
      <c r="D26" s="152" t="s">
        <v>53</v>
      </c>
      <c r="F26" s="82"/>
      <c r="G26" s="64"/>
      <c r="H26" s="13"/>
    </row>
    <row r="27">
      <c r="A27" s="15"/>
      <c r="B27" s="28"/>
      <c r="C27" s="146" t="s">
        <v>17</v>
      </c>
      <c r="D27" s="108" t="s">
        <v>54</v>
      </c>
      <c r="F27" s="82"/>
      <c r="G27" s="64"/>
      <c r="H27" s="13"/>
    </row>
    <row r="28">
      <c r="A28" s="15"/>
      <c r="B28" s="28"/>
      <c r="C28" s="146" t="s">
        <v>48</v>
      </c>
      <c r="D28" s="80" t="s">
        <v>55</v>
      </c>
      <c r="F28" s="82"/>
      <c r="G28" s="64"/>
      <c r="H28" s="13"/>
    </row>
    <row r="29">
      <c r="A29" s="15"/>
      <c r="B29" s="28"/>
      <c r="C29" s="146" t="s">
        <v>56</v>
      </c>
      <c r="D29" s="80" t="s">
        <v>57</v>
      </c>
      <c r="F29" s="82"/>
      <c r="G29" s="64"/>
      <c r="H29" s="13" t="s">
        <v>58</v>
      </c>
    </row>
    <row r="30">
      <c r="A30" s="15"/>
      <c r="B30" s="28"/>
      <c r="C30" s="146" t="s">
        <v>59</v>
      </c>
      <c r="D30" s="152" t="s">
        <v>60</v>
      </c>
      <c r="F30" s="82"/>
      <c r="G30" s="64"/>
      <c r="H30" s="13"/>
    </row>
    <row r="31">
      <c r="A31" s="15"/>
      <c r="B31" s="28"/>
      <c r="C31" s="146" t="s">
        <v>61</v>
      </c>
      <c r="D31" s="159" t="s">
        <v>62</v>
      </c>
      <c r="F31" s="82"/>
      <c r="G31" s="64"/>
      <c r="H31" s="13"/>
    </row>
    <row r="32">
      <c r="A32" s="15"/>
      <c r="B32" s="28"/>
      <c r="C32" s="146" t="s">
        <v>63</v>
      </c>
      <c r="D32" s="152" t="s">
        <v>64</v>
      </c>
      <c r="F32" s="82"/>
      <c r="G32" s="64"/>
      <c r="H32" s="13"/>
    </row>
    <row r="33">
      <c r="A33" s="15"/>
      <c r="B33" s="28"/>
      <c r="C33" s="146" t="s">
        <v>65</v>
      </c>
      <c r="D33" s="152" t="s">
        <v>66</v>
      </c>
      <c r="F33" s="82"/>
      <c r="G33" s="64"/>
      <c r="H33" s="13"/>
    </row>
    <row r="34">
      <c r="A34" s="15"/>
      <c r="B34" s="28"/>
      <c r="C34" s="146" t="s">
        <v>67</v>
      </c>
      <c r="D34" s="160" t="s">
        <v>68</v>
      </c>
      <c r="E34" s="95"/>
      <c r="F34" s="97"/>
      <c r="G34" s="64"/>
      <c r="H34" s="13"/>
    </row>
    <row r="35" ht="7.5" customHeight="1">
      <c r="A35" s="15"/>
      <c r="B35" s="161"/>
      <c r="C35" s="162"/>
      <c r="D35" s="162"/>
      <c r="E35" s="164"/>
      <c r="F35" s="162"/>
      <c r="G35" s="165"/>
      <c r="H35" s="13"/>
    </row>
    <row r="36" ht="7.5" customHeight="1">
      <c r="A36" s="13"/>
      <c r="B36" s="13"/>
      <c r="C36" s="13"/>
      <c r="D36" s="13"/>
      <c r="E36" s="166"/>
      <c r="F36" s="13"/>
      <c r="G36" s="13"/>
      <c r="H36" s="13"/>
    </row>
  </sheetData>
  <mergeCells count="28">
    <mergeCell ref="C3:D3"/>
    <mergeCell ref="C5:F5"/>
    <mergeCell ref="D6:F6"/>
    <mergeCell ref="D7:F7"/>
    <mergeCell ref="D8:F8"/>
    <mergeCell ref="C10:F10"/>
    <mergeCell ref="D11:F11"/>
    <mergeCell ref="D12:F12"/>
    <mergeCell ref="D13:F13"/>
    <mergeCell ref="D14:F14"/>
    <mergeCell ref="D15:F15"/>
    <mergeCell ref="D16:F16"/>
    <mergeCell ref="C18:F18"/>
    <mergeCell ref="D19:F19"/>
    <mergeCell ref="D28:F28"/>
    <mergeCell ref="D29:F29"/>
    <mergeCell ref="D30:F30"/>
    <mergeCell ref="D31:F31"/>
    <mergeCell ref="D32:F32"/>
    <mergeCell ref="D33:F33"/>
    <mergeCell ref="D34:F34"/>
    <mergeCell ref="D20:F20"/>
    <mergeCell ref="D21:F21"/>
    <mergeCell ref="D22:F22"/>
    <mergeCell ref="C24:F24"/>
    <mergeCell ref="D25:F25"/>
    <mergeCell ref="D26:F26"/>
    <mergeCell ref="D27:F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F5FF"/>
    <outlinePr summaryBelow="0" summaryRight="0"/>
  </sheetPr>
  <sheetViews>
    <sheetView showGridLines="0" workbookViewId="0"/>
  </sheetViews>
  <sheetFormatPr customHeight="1" defaultColWidth="12.63" defaultRowHeight="15.75"/>
  <cols>
    <col customWidth="1" min="1" max="2" width="1.38"/>
    <col customWidth="1" min="3" max="3" width="3.88"/>
    <col customWidth="1" min="4" max="4" width="16.5"/>
    <col customWidth="1" min="5" max="5" width="0.75"/>
    <col customWidth="1" min="6" max="6" width="4.13"/>
    <col customWidth="1" min="7" max="7" width="18.88"/>
    <col customWidth="1" min="8" max="9" width="3.38"/>
    <col customWidth="1" min="10" max="10" width="0.75"/>
    <col customWidth="1" min="11" max="11" width="4.13"/>
    <col customWidth="1" min="12" max="12" width="18.88"/>
    <col customWidth="1" min="13" max="14" width="3.38"/>
    <col customWidth="1" min="15" max="15" width="0.75"/>
    <col customWidth="1" min="16" max="16" width="4.13"/>
    <col customWidth="1" min="17" max="17" width="18.88"/>
    <col customWidth="1" min="18" max="19" width="3.38"/>
    <col customWidth="1" min="20" max="20" width="0.75"/>
    <col customWidth="1" min="21" max="21" width="4.13"/>
    <col customWidth="1" min="22" max="22" width="18.88"/>
    <col customWidth="1" min="23" max="24" width="3.38"/>
    <col customWidth="1" min="25" max="25" width="0.75"/>
    <col customWidth="1" min="26" max="26" width="4.13"/>
    <col customWidth="1" min="27" max="27" width="18.88"/>
    <col customWidth="1" min="28" max="29" width="3.38"/>
    <col customWidth="1" min="30" max="30" width="0.75"/>
    <col customWidth="1" min="31" max="31" width="4.38"/>
    <col customWidth="1" min="32" max="32" width="18.88"/>
    <col customWidth="1" min="33" max="34" width="3.38"/>
    <col customWidth="1" min="35" max="35" width="0.88"/>
    <col customWidth="1" min="36" max="36" width="4.13"/>
    <col customWidth="1" min="37" max="37" width="18.88"/>
    <col customWidth="1" min="38" max="39" width="3.38"/>
    <col customWidth="1" min="40" max="40" width="0.75"/>
    <col customWidth="1" min="41" max="41" width="4.13"/>
    <col customWidth="1" min="42" max="42" width="18.88"/>
    <col customWidth="1" min="43" max="44" width="3.38"/>
    <col customWidth="1" min="45" max="45" width="0.75"/>
    <col customWidth="1" min="46" max="46" width="4.13"/>
    <col customWidth="1" min="47" max="47" width="18.88"/>
    <col customWidth="1" min="48" max="49" width="3.38"/>
    <col customWidth="1" min="50" max="50" width="0.63"/>
    <col customWidth="1" min="51" max="51" width="4.13"/>
    <col customWidth="1" min="52" max="52" width="18.88"/>
    <col customWidth="1" min="53" max="54" width="3.38"/>
    <col customWidth="1" min="55" max="55" width="0.75"/>
    <col customWidth="1" min="56" max="56" width="4.13"/>
    <col customWidth="1" min="57" max="57" width="18.88"/>
    <col customWidth="1" min="58" max="59" width="3.38"/>
    <col customWidth="1" min="60" max="60" width="0.75"/>
    <col customWidth="1" min="61" max="61" width="4.13"/>
    <col customWidth="1" min="62" max="62" width="18.88"/>
    <col customWidth="1" min="63" max="64" width="3.38"/>
    <col customWidth="1" min="65" max="65" width="0.75"/>
    <col customWidth="1" min="66" max="66" width="4.13"/>
    <col customWidth="1" min="67" max="67" width="18.88"/>
    <col customWidth="1" min="68" max="69" width="3.38"/>
    <col customWidth="1" min="70" max="70" width="0.75"/>
    <col customWidth="1" min="71" max="71" width="4.13"/>
    <col customWidth="1" min="72" max="72" width="18.88"/>
    <col customWidth="1" min="73" max="74" width="3.38"/>
    <col customWidth="1" min="75" max="75" width="0.75"/>
    <col customWidth="1" min="76" max="76" width="4.13"/>
    <col customWidth="1" min="77" max="77" width="18.88"/>
    <col customWidth="1" min="78" max="79" width="3.38"/>
    <col customWidth="1" min="80" max="80" width="0.75"/>
    <col customWidth="1" min="81" max="81" width="4.13"/>
    <col customWidth="1" min="82" max="82" width="18.88"/>
    <col customWidth="1" min="83" max="84" width="3.38"/>
    <col customWidth="1" min="85" max="85" width="0.75"/>
    <col customWidth="1" min="86" max="86" width="4.13"/>
    <col customWidth="1" min="87" max="87" width="18.88"/>
    <col customWidth="1" min="88" max="89" width="3.38"/>
    <col customWidth="1" min="90" max="90" width="0.75"/>
    <col customWidth="1" min="91" max="91" width="4.13"/>
    <col customWidth="1" min="92" max="92" width="18.88"/>
    <col customWidth="1" min="93" max="94" width="3.38"/>
    <col customWidth="1" min="95" max="95" width="0.75"/>
    <col customWidth="1" min="96" max="96" width="4.13"/>
    <col customWidth="1" min="97" max="97" width="18.88"/>
    <col customWidth="1" min="98" max="99" width="3.38"/>
    <col customWidth="1" min="100" max="100" width="0.75"/>
    <col customWidth="1" hidden="1" min="101" max="101" width="4.13"/>
    <col customWidth="1" hidden="1" min="102" max="102" width="13.25"/>
    <col customWidth="1" hidden="1" min="103" max="104" width="3.38"/>
    <col customWidth="1" hidden="1" min="105" max="105" width="0.75"/>
    <col customWidth="1" hidden="1" min="106" max="106" width="4.13"/>
    <col customWidth="1" hidden="1" min="107" max="107" width="13.0"/>
    <col customWidth="1" hidden="1" min="108" max="109" width="3.38"/>
    <col customWidth="1" hidden="1" min="110" max="110" width="0.75"/>
    <col customWidth="1" hidden="1" min="111" max="111" width="4.13"/>
    <col customWidth="1" hidden="1" min="112" max="112" width="12.63"/>
    <col customWidth="1" hidden="1" min="113" max="114" width="3.38"/>
    <col customWidth="1" hidden="1" min="115" max="115" width="0.75"/>
    <col customWidth="1" hidden="1" min="116" max="116" width="4.13"/>
    <col customWidth="1" hidden="1" min="117" max="117" width="11.13"/>
    <col customWidth="1" hidden="1" min="118" max="119" width="3.38"/>
    <col customWidth="1" hidden="1" min="120" max="120" width="0.75"/>
    <col customWidth="1" hidden="1" min="121" max="121" width="4.13"/>
    <col customWidth="1" hidden="1" min="122" max="122" width="15.25"/>
    <col customWidth="1" hidden="1" min="123" max="124" width="3.38"/>
    <col customWidth="1" hidden="1" min="125" max="125" width="0.75"/>
    <col customWidth="1" hidden="1" min="126" max="126" width="4.13"/>
    <col customWidth="1" hidden="1" min="127" max="127" width="12.0"/>
    <col customWidth="1" hidden="1" min="128" max="129" width="3.38"/>
    <col customWidth="1" hidden="1" min="130" max="130" width="0.75"/>
    <col customWidth="1" hidden="1" min="131" max="131" width="4.13"/>
    <col customWidth="1" hidden="1" min="132" max="132" width="13.88"/>
    <col customWidth="1" hidden="1" min="133" max="134" width="3.38"/>
    <col customWidth="1" hidden="1" min="135" max="135" width="1.38"/>
    <col customWidth="1" min="136" max="136" width="1.38"/>
  </cols>
  <sheetData>
    <row r="1" ht="7.5" customHeight="1">
      <c r="A1" s="5" t="s">
        <v>1</v>
      </c>
      <c r="B1" s="5"/>
      <c r="C1" s="5"/>
      <c r="D1" s="5"/>
      <c r="E1" s="5"/>
      <c r="F1" s="5"/>
      <c r="G1" s="5"/>
      <c r="H1" s="5"/>
      <c r="I1" s="5"/>
      <c r="J1" s="5"/>
      <c r="K1" s="5"/>
      <c r="L1" s="9"/>
      <c r="M1" s="5"/>
      <c r="N1" s="5"/>
      <c r="O1" s="5"/>
      <c r="P1" s="5"/>
      <c r="Q1" s="9"/>
      <c r="R1" s="5"/>
      <c r="S1" s="5"/>
      <c r="T1" s="5"/>
      <c r="U1" s="5"/>
      <c r="V1" s="9"/>
      <c r="W1" s="5"/>
      <c r="X1" s="5"/>
      <c r="Y1" s="5"/>
      <c r="Z1" s="5"/>
      <c r="AA1" s="9"/>
      <c r="AB1" s="5"/>
      <c r="AC1" s="5"/>
      <c r="AD1" s="5"/>
      <c r="AE1" s="5"/>
      <c r="AF1" s="5"/>
      <c r="AG1" s="5"/>
      <c r="AH1" s="5"/>
      <c r="AI1" s="5"/>
      <c r="AJ1" s="5"/>
      <c r="AK1" s="9"/>
      <c r="AL1" s="5"/>
      <c r="AM1" s="5"/>
      <c r="AN1" s="5"/>
      <c r="AO1" s="5"/>
      <c r="AP1" s="9"/>
      <c r="AQ1" s="5"/>
      <c r="AR1" s="5"/>
      <c r="AS1" s="5"/>
      <c r="AT1" s="5"/>
      <c r="AU1" s="9"/>
      <c r="AV1" s="5"/>
      <c r="AW1" s="9"/>
      <c r="AX1" s="16"/>
      <c r="AY1" s="17"/>
      <c r="AZ1" s="19"/>
      <c r="BA1" s="17"/>
      <c r="BB1" s="19"/>
      <c r="BC1" s="16"/>
      <c r="BD1" s="17"/>
      <c r="BE1" s="19"/>
      <c r="BF1" s="17"/>
      <c r="BG1" s="19"/>
      <c r="BH1" s="16"/>
      <c r="BI1" s="17"/>
      <c r="BJ1" s="19"/>
      <c r="BK1" s="17"/>
      <c r="BL1" s="19"/>
      <c r="BM1" s="16"/>
      <c r="BN1" s="24"/>
      <c r="BO1" s="26"/>
      <c r="BP1" s="24"/>
      <c r="BQ1" s="26"/>
      <c r="BR1" s="24"/>
      <c r="BS1" s="24"/>
      <c r="BT1" s="26"/>
      <c r="BU1" s="24"/>
      <c r="BV1" s="26"/>
      <c r="BW1" s="24"/>
      <c r="BX1" s="24"/>
      <c r="BY1" s="26"/>
      <c r="BZ1" s="24"/>
      <c r="CA1" s="26"/>
      <c r="CB1" s="24"/>
      <c r="CC1" s="24"/>
      <c r="CD1" s="26"/>
      <c r="CE1" s="24"/>
      <c r="CF1" s="24"/>
      <c r="CG1" s="24"/>
      <c r="CH1" s="24"/>
      <c r="CI1" s="26"/>
      <c r="CJ1" s="24"/>
      <c r="CK1" s="26"/>
      <c r="CL1" s="24"/>
      <c r="CM1" s="24"/>
      <c r="CN1" s="26"/>
      <c r="CO1" s="24"/>
      <c r="CP1" s="24"/>
      <c r="CQ1" s="24"/>
      <c r="CR1" s="33"/>
      <c r="CS1" s="35"/>
      <c r="CT1" s="35"/>
      <c r="CU1" s="24"/>
      <c r="CV1" s="24"/>
      <c r="CW1" s="24"/>
      <c r="CX1" s="26"/>
      <c r="CY1" s="24"/>
      <c r="CZ1" s="26"/>
      <c r="DA1" s="24"/>
      <c r="DB1" s="24"/>
      <c r="DC1" s="26"/>
      <c r="DD1" s="24"/>
      <c r="DE1" s="26"/>
      <c r="DF1" s="24"/>
      <c r="DG1" s="24"/>
      <c r="DH1" s="26"/>
      <c r="DI1" s="24"/>
      <c r="DJ1" s="26"/>
      <c r="DK1" s="24"/>
      <c r="DL1" s="24"/>
      <c r="DM1" s="26"/>
      <c r="DN1" s="26"/>
      <c r="DO1" s="26"/>
      <c r="DP1" s="24"/>
      <c r="DQ1" s="24"/>
      <c r="DR1" s="26"/>
      <c r="DS1" s="26"/>
      <c r="DT1" s="26"/>
      <c r="DU1" s="24"/>
      <c r="DV1" s="24"/>
      <c r="DW1" s="26"/>
      <c r="DX1" s="26"/>
      <c r="DY1" s="26"/>
      <c r="DZ1" s="24"/>
      <c r="EA1" s="24"/>
      <c r="EB1" s="26"/>
      <c r="EC1" s="26"/>
      <c r="ED1" s="26"/>
      <c r="EE1" s="16"/>
      <c r="EF1" s="16"/>
    </row>
    <row r="2" ht="7.5" customHeight="1">
      <c r="A2" s="5"/>
      <c r="B2" s="41"/>
      <c r="C2" s="41"/>
      <c r="D2" s="41"/>
      <c r="E2" s="41"/>
      <c r="F2" s="41"/>
      <c r="G2" s="41"/>
      <c r="H2" s="41"/>
      <c r="I2" s="41"/>
      <c r="J2" s="41"/>
      <c r="K2" s="41"/>
      <c r="L2" s="44"/>
      <c r="M2" s="41"/>
      <c r="N2" s="41"/>
      <c r="O2" s="41"/>
      <c r="P2" s="41"/>
      <c r="Q2" s="44"/>
      <c r="R2" s="41"/>
      <c r="S2" s="41"/>
      <c r="T2" s="41"/>
      <c r="U2" s="41"/>
      <c r="V2" s="44"/>
      <c r="W2" s="41"/>
      <c r="X2" s="41"/>
      <c r="Y2" s="41"/>
      <c r="Z2" s="41"/>
      <c r="AA2" s="44"/>
      <c r="AB2" s="41"/>
      <c r="AC2" s="41"/>
      <c r="AD2" s="41"/>
      <c r="AE2" s="41"/>
      <c r="AF2" s="41"/>
      <c r="AG2" s="41"/>
      <c r="AH2" s="41"/>
      <c r="AI2" s="41"/>
      <c r="AJ2" s="41"/>
      <c r="AK2" s="44"/>
      <c r="AL2" s="41"/>
      <c r="AM2" s="41"/>
      <c r="AN2" s="41"/>
      <c r="AO2" s="41"/>
      <c r="AP2" s="44"/>
      <c r="AQ2" s="41"/>
      <c r="AR2" s="41"/>
      <c r="AS2" s="41"/>
      <c r="AT2" s="41"/>
      <c r="AU2" s="44"/>
      <c r="AV2" s="41"/>
      <c r="AW2" s="44"/>
      <c r="AX2" s="47"/>
      <c r="AY2" s="49"/>
      <c r="AZ2" s="51"/>
      <c r="BA2" s="49"/>
      <c r="BB2" s="51"/>
      <c r="BC2" s="47"/>
      <c r="BD2" s="49"/>
      <c r="BE2" s="51"/>
      <c r="BF2" s="49"/>
      <c r="BG2" s="51"/>
      <c r="BH2" s="47"/>
      <c r="BI2" s="49"/>
      <c r="BJ2" s="51"/>
      <c r="BK2" s="49"/>
      <c r="BL2" s="51"/>
      <c r="BM2" s="47"/>
      <c r="BN2" s="53"/>
      <c r="BO2" s="54"/>
      <c r="BP2" s="53"/>
      <c r="BQ2" s="54"/>
      <c r="BR2" s="53"/>
      <c r="BS2" s="53"/>
      <c r="BT2" s="54"/>
      <c r="BU2" s="53"/>
      <c r="BV2" s="54"/>
      <c r="BW2" s="53"/>
      <c r="BX2" s="53"/>
      <c r="BY2" s="54"/>
      <c r="BZ2" s="53"/>
      <c r="CA2" s="54"/>
      <c r="CB2" s="53"/>
      <c r="CC2" s="53"/>
      <c r="CD2" s="54"/>
      <c r="CE2" s="53"/>
      <c r="CF2" s="53"/>
      <c r="CG2" s="53"/>
      <c r="CH2" s="53"/>
      <c r="CI2" s="54"/>
      <c r="CJ2" s="53"/>
      <c r="CK2" s="54"/>
      <c r="CL2" s="53"/>
      <c r="CM2" s="53"/>
      <c r="CN2" s="54"/>
      <c r="CO2" s="53"/>
      <c r="CP2" s="53"/>
      <c r="CQ2" s="53"/>
      <c r="CR2" s="57"/>
      <c r="CS2" s="58"/>
      <c r="CT2" s="58"/>
      <c r="CU2" s="53"/>
      <c r="CV2" s="53"/>
      <c r="CW2" s="53"/>
      <c r="CX2" s="54"/>
      <c r="CY2" s="53"/>
      <c r="CZ2" s="54"/>
      <c r="DA2" s="53"/>
      <c r="DB2" s="53"/>
      <c r="DC2" s="54"/>
      <c r="DD2" s="53"/>
      <c r="DE2" s="54"/>
      <c r="DF2" s="53"/>
      <c r="DG2" s="53"/>
      <c r="DH2" s="54"/>
      <c r="DI2" s="53"/>
      <c r="DJ2" s="54"/>
      <c r="DK2" s="53"/>
      <c r="DL2" s="53"/>
      <c r="DM2" s="54"/>
      <c r="DN2" s="54"/>
      <c r="DO2" s="54"/>
      <c r="DP2" s="53"/>
      <c r="DQ2" s="53"/>
      <c r="DR2" s="54"/>
      <c r="DS2" s="54"/>
      <c r="DT2" s="54"/>
      <c r="DU2" s="53"/>
      <c r="DV2" s="53"/>
      <c r="DW2" s="54"/>
      <c r="DX2" s="54"/>
      <c r="DY2" s="54"/>
      <c r="DZ2" s="53"/>
      <c r="EA2" s="53"/>
      <c r="EB2" s="54"/>
      <c r="EC2" s="54"/>
      <c r="ED2" s="54"/>
      <c r="EE2" s="47"/>
      <c r="EF2" s="16"/>
    </row>
    <row r="3" ht="19.5" customHeight="1">
      <c r="A3" s="63"/>
      <c r="B3" s="65"/>
      <c r="C3" s="67" t="s">
        <v>7</v>
      </c>
      <c r="E3" s="65"/>
      <c r="F3" s="69" t="s">
        <v>9</v>
      </c>
      <c r="H3" s="72"/>
      <c r="I3" s="41"/>
      <c r="J3" s="74"/>
      <c r="K3" s="81" t="s">
        <v>10</v>
      </c>
      <c r="M3" s="72"/>
      <c r="N3" s="41"/>
      <c r="O3" s="74"/>
      <c r="P3" s="83" t="s">
        <v>13</v>
      </c>
      <c r="R3" s="72"/>
      <c r="S3" s="41"/>
      <c r="T3" s="74"/>
      <c r="U3" s="86" t="s">
        <v>16</v>
      </c>
      <c r="W3" s="72"/>
      <c r="X3" s="41"/>
      <c r="Y3" s="74"/>
      <c r="Z3" s="89" t="s">
        <v>18</v>
      </c>
      <c r="AB3" s="72"/>
      <c r="AC3" s="41"/>
      <c r="AD3" s="91"/>
      <c r="AE3" s="93" t="s">
        <v>20</v>
      </c>
      <c r="AG3" s="72"/>
      <c r="AH3" s="41"/>
      <c r="AI3" s="91"/>
      <c r="AJ3" s="96" t="s">
        <v>21</v>
      </c>
      <c r="AL3" s="72"/>
      <c r="AM3" s="41"/>
      <c r="AN3" s="91"/>
      <c r="AO3" s="99" t="s">
        <v>22</v>
      </c>
      <c r="AQ3" s="72"/>
      <c r="AR3" s="41"/>
      <c r="AS3" s="65"/>
      <c r="AT3" s="100" t="s">
        <v>23</v>
      </c>
      <c r="AV3" s="72"/>
      <c r="AW3" s="104" t="s">
        <v>25</v>
      </c>
      <c r="AX3" s="74"/>
      <c r="AY3" s="107" t="s">
        <v>26</v>
      </c>
      <c r="BA3" s="72"/>
      <c r="BB3" s="104" t="s">
        <v>25</v>
      </c>
      <c r="BC3" s="74"/>
      <c r="BD3" s="109" t="s">
        <v>28</v>
      </c>
      <c r="BF3" s="72"/>
      <c r="BG3" s="104" t="s">
        <v>25</v>
      </c>
      <c r="BH3" s="74"/>
      <c r="BI3" s="110" t="s">
        <v>30</v>
      </c>
      <c r="BK3" s="72"/>
      <c r="BL3" s="104" t="s">
        <v>25</v>
      </c>
      <c r="BM3" s="74"/>
      <c r="BN3" s="111" t="s">
        <v>32</v>
      </c>
      <c r="BP3" s="72"/>
      <c r="BQ3" s="104" t="s">
        <v>25</v>
      </c>
      <c r="BR3" s="91"/>
      <c r="BS3" s="113" t="s">
        <v>34</v>
      </c>
      <c r="BU3" s="72"/>
      <c r="BV3" s="104" t="s">
        <v>25</v>
      </c>
      <c r="BW3" s="91"/>
      <c r="BX3" s="116" t="s">
        <v>35</v>
      </c>
      <c r="BZ3" s="72"/>
      <c r="CA3" s="104" t="s">
        <v>25</v>
      </c>
      <c r="CB3" s="65"/>
      <c r="CC3" s="119" t="s">
        <v>37</v>
      </c>
      <c r="CE3" s="72"/>
      <c r="CF3" s="104" t="s">
        <v>25</v>
      </c>
      <c r="CG3" s="65"/>
      <c r="CH3" s="121" t="s">
        <v>40</v>
      </c>
      <c r="CJ3" s="72"/>
      <c r="CK3" s="104" t="s">
        <v>25</v>
      </c>
      <c r="CL3" s="65"/>
      <c r="CM3" s="121" t="s">
        <v>42</v>
      </c>
      <c r="CO3" s="72"/>
      <c r="CP3" s="104" t="s">
        <v>25</v>
      </c>
      <c r="CQ3" s="65"/>
      <c r="CR3" s="123" t="s">
        <v>43</v>
      </c>
      <c r="CT3" s="124"/>
      <c r="CU3" s="104" t="s">
        <v>25</v>
      </c>
      <c r="CV3" s="65"/>
      <c r="CW3" s="65"/>
      <c r="CY3" s="41"/>
      <c r="CZ3" s="41"/>
      <c r="DA3" s="65"/>
      <c r="DB3" s="65"/>
      <c r="DD3" s="41"/>
      <c r="DE3" s="41"/>
      <c r="DF3" s="65"/>
      <c r="DG3" s="65"/>
      <c r="DI3" s="41"/>
      <c r="DJ3" s="41"/>
      <c r="DK3" s="65"/>
      <c r="DL3" s="65"/>
      <c r="DN3" s="41"/>
      <c r="DO3" s="41"/>
      <c r="DP3" s="65"/>
      <c r="DQ3" s="65"/>
      <c r="DS3" s="41"/>
      <c r="DT3" s="41"/>
      <c r="DU3" s="65"/>
      <c r="DV3" s="65"/>
      <c r="DX3" s="41"/>
      <c r="DY3" s="41"/>
      <c r="DZ3" s="65"/>
      <c r="EA3" s="65"/>
      <c r="EC3" s="41"/>
      <c r="ED3" s="41"/>
      <c r="EE3" s="74"/>
      <c r="EF3" s="134"/>
    </row>
    <row r="4" ht="3.75" customHeight="1">
      <c r="A4" s="5"/>
      <c r="B4" s="41"/>
      <c r="C4" s="41"/>
      <c r="D4" s="41"/>
      <c r="E4" s="41"/>
      <c r="F4" s="41"/>
      <c r="G4" s="41"/>
      <c r="H4" s="41"/>
      <c r="I4" s="41"/>
      <c r="J4" s="41"/>
      <c r="K4" s="41"/>
      <c r="L4" s="41"/>
      <c r="M4" s="41"/>
      <c r="N4" s="41"/>
      <c r="O4" s="41"/>
      <c r="P4" s="41"/>
      <c r="Q4" s="44"/>
      <c r="R4" s="41"/>
      <c r="S4" s="41"/>
      <c r="T4" s="41"/>
      <c r="U4" s="137"/>
      <c r="V4" s="138"/>
      <c r="W4" s="41"/>
      <c r="X4" s="41"/>
      <c r="Y4" s="41"/>
      <c r="Z4" s="137"/>
      <c r="AA4" s="138"/>
      <c r="AB4" s="41"/>
      <c r="AC4" s="41"/>
      <c r="AD4" s="41"/>
      <c r="AE4" s="41"/>
      <c r="AF4" s="41"/>
      <c r="AG4" s="41"/>
      <c r="AH4" s="41"/>
      <c r="AI4" s="41"/>
      <c r="AJ4" s="137"/>
      <c r="AK4" s="138"/>
      <c r="AL4" s="41"/>
      <c r="AM4" s="41"/>
      <c r="AN4" s="41"/>
      <c r="AO4" s="41"/>
      <c r="AP4" s="44"/>
      <c r="AQ4" s="41"/>
      <c r="AR4" s="41"/>
      <c r="AS4" s="41"/>
      <c r="AT4" s="41"/>
      <c r="AU4" s="44"/>
      <c r="AV4" s="41"/>
      <c r="AW4" s="41"/>
      <c r="AX4" s="47"/>
      <c r="AY4" s="49"/>
      <c r="AZ4" s="51"/>
      <c r="BA4" s="49"/>
      <c r="BB4" s="41"/>
      <c r="BC4" s="47"/>
      <c r="BD4" s="49"/>
      <c r="BE4" s="51"/>
      <c r="BF4" s="49"/>
      <c r="BG4" s="41"/>
      <c r="BH4" s="47"/>
      <c r="BI4" s="49"/>
      <c r="BJ4" s="51"/>
      <c r="BK4" s="49"/>
      <c r="BL4" s="41"/>
      <c r="BM4" s="47"/>
      <c r="BN4" s="53"/>
      <c r="BO4" s="54"/>
      <c r="BP4" s="53"/>
      <c r="BQ4" s="41"/>
      <c r="BR4" s="53"/>
      <c r="BS4" s="53"/>
      <c r="BT4" s="54"/>
      <c r="BU4" s="53"/>
      <c r="BV4" s="41"/>
      <c r="BW4" s="53"/>
      <c r="BX4" s="53"/>
      <c r="BY4" s="54"/>
      <c r="BZ4" s="53"/>
      <c r="CA4" s="41"/>
      <c r="CB4" s="53"/>
      <c r="CC4" s="53"/>
      <c r="CD4" s="54"/>
      <c r="CE4" s="53"/>
      <c r="CF4" s="41"/>
      <c r="CG4" s="53"/>
      <c r="CH4" s="53"/>
      <c r="CI4" s="54"/>
      <c r="CJ4" s="53"/>
      <c r="CK4" s="41"/>
      <c r="CL4" s="53"/>
      <c r="CM4" s="53"/>
      <c r="CN4" s="54"/>
      <c r="CO4" s="53"/>
      <c r="CP4" s="41"/>
      <c r="CQ4" s="53"/>
      <c r="CR4" s="57"/>
      <c r="CS4" s="58"/>
      <c r="CT4" s="58"/>
      <c r="CU4" s="41"/>
      <c r="CV4" s="53"/>
      <c r="CW4" s="53"/>
      <c r="CX4" s="54"/>
      <c r="CY4" s="53"/>
      <c r="CZ4" s="53"/>
      <c r="DA4" s="53"/>
      <c r="DB4" s="53"/>
      <c r="DC4" s="54"/>
      <c r="DD4" s="53"/>
      <c r="DE4" s="53"/>
      <c r="DF4" s="53"/>
      <c r="DG4" s="53"/>
      <c r="DH4" s="54"/>
      <c r="DI4" s="53"/>
      <c r="DJ4" s="53"/>
      <c r="DK4" s="53"/>
      <c r="DL4" s="53"/>
      <c r="DM4" s="54"/>
      <c r="DN4" s="53"/>
      <c r="DO4" s="53"/>
      <c r="DP4" s="53"/>
      <c r="DQ4" s="53"/>
      <c r="DR4" s="54"/>
      <c r="DS4" s="53"/>
      <c r="DT4" s="154"/>
      <c r="DU4" s="53"/>
      <c r="DV4" s="53"/>
      <c r="DW4" s="54"/>
      <c r="DX4" s="53"/>
      <c r="DY4" s="154"/>
      <c r="DZ4" s="53"/>
      <c r="EA4" s="53"/>
      <c r="EB4" s="54"/>
      <c r="EC4" s="53"/>
      <c r="ED4" s="154"/>
      <c r="EE4" s="47"/>
      <c r="EF4" s="16"/>
    </row>
    <row r="5" ht="17.25" customHeight="1">
      <c r="A5" s="17"/>
      <c r="B5" s="49"/>
      <c r="C5" s="170" t="str">
        <f t="array" ref="C5:C353">IFERROR(VLOOKUP(D5:D353,{Pokedex!$I$2:$I353,Pokedex!$H$2:$H353},2,FALSE),"")</f>
        <v/>
      </c>
      <c r="D5" s="171" t="s">
        <v>69</v>
      </c>
      <c r="E5" s="49"/>
      <c r="F5" s="181" t="str">
        <f>IFERROR(__xludf.DUMMYFUNCTION("IFERROR(SORT(FILTER(Source!$A$2:$B353,Source!$C$2:$C353=SPLIT(F3,"" Points"")),2,TRUE),"""")"),"")</f>
        <v/>
      </c>
      <c r="G5" s="182" t="str">
        <f>IFERROR(__xludf.DUMMYFUNCTION("""COMPUTED_VALUE"""),"Chien-Pao")</f>
        <v>Chien-Pao</v>
      </c>
      <c r="H5" s="198" t="str">
        <f t="array" ref="H5:H353">IFS(G5:G353="","",COUNTIF(SUBSTITUTE(Data!$F$4:$F$100," (T)",""),G5:G353)&gt;0,"X",1,"-")</f>
        <v>X</v>
      </c>
      <c r="I5" s="199"/>
      <c r="J5" s="200"/>
      <c r="K5" s="205" t="str">
        <f>IFERROR(__xludf.DUMMYFUNCTION("IFERROR(SORT(FILTER(Source!$A$2:$B353,Source!$C$2:$C353=SPLIT(K3,"" Points"")),2,TRUE),"""")"),"")</f>
        <v/>
      </c>
      <c r="L5" s="207" t="str">
        <f>IFERROR(__xludf.DUMMYFUNCTION("""COMPUTED_VALUE"""),"Garchomp")</f>
        <v>Garchomp</v>
      </c>
      <c r="M5" s="198" t="str">
        <f t="array" ref="M5:M353">IFS(L5:L353="","",COUNTIF(SUBSTITUTE(Data!$F$4:$F$100," (T)",""),L5:L353)&gt;0,"X",1,"-")</f>
        <v>X</v>
      </c>
      <c r="N5" s="199"/>
      <c r="O5" s="200"/>
      <c r="P5" s="227" t="str">
        <f>IFERROR(__xludf.DUMMYFUNCTION("IFERROR(SORT(FILTER(Source!$A$2:$B353,Source!$C$2:$C353=SPLIT(P3,"" Points"")),2,TRUE),"""")"),"")</f>
        <v/>
      </c>
      <c r="Q5" s="232" t="str">
        <f>IFERROR(__xludf.DUMMYFUNCTION("""COMPUTED_VALUE"""),"Chi-Yu")</f>
        <v>Chi-Yu</v>
      </c>
      <c r="R5" s="198" t="str">
        <f t="array" ref="R5:R353">IFS(Q5:Q353="","",COUNTIF(SUBSTITUTE(Data!$F$4:$F$100," (T)",""),Q5:Q353)&gt;0,"X",1,"-")</f>
        <v>-</v>
      </c>
      <c r="S5" s="199"/>
      <c r="T5" s="200"/>
      <c r="U5" s="250" t="str">
        <f>IFERROR(__xludf.DUMMYFUNCTION("IFERROR(SORT(FILTER(Source!$A$2:$B353,Source!$C$2:$C353=SPLIT(U3,"" Points"")),2,TRUE),"""")"),"")</f>
        <v/>
      </c>
      <c r="V5" s="251" t="str">
        <f>IFERROR(__xludf.DUMMYFUNCTION("""COMPUTED_VALUE"""),"Blaziken")</f>
        <v>Blaziken</v>
      </c>
      <c r="W5" s="198" t="str">
        <f t="array" ref="W5:W353">IFS(V5:V353="","",COUNTIF(SUBSTITUTE(Data!$F$4:$F$100," (T)",""),V5:V353)&gt;0,"X",1,"-")</f>
        <v>X</v>
      </c>
      <c r="X5" s="199"/>
      <c r="Y5" s="200"/>
      <c r="Z5" s="255" t="str">
        <f>IFERROR(__xludf.DUMMYFUNCTION("IFERROR(SORT(FILTER(Source!$A$2:$B353,Source!$C$2:$C353=SPLIT(Z3,"" Points"")),2,TRUE),"""")"),"")</f>
        <v/>
      </c>
      <c r="AA5" s="257" t="str">
        <f>IFERROR(__xludf.DUMMYFUNCTION("""COMPUTED_VALUE"""),"Baxcalibur")</f>
        <v>Baxcalibur</v>
      </c>
      <c r="AB5" s="198" t="str">
        <f t="array" ref="AB5:AB353">IFS(AA5:AA353="","",COUNTIF(SUBSTITUTE(Data!$F$4:$F$100," (T)",""),AA5:AA353)&gt;0,"X",1,"-")</f>
        <v>-</v>
      </c>
      <c r="AC5" s="199"/>
      <c r="AD5" s="200"/>
      <c r="AE5" s="263" t="str">
        <f>IFERROR(__xludf.DUMMYFUNCTION("IFERROR(SORT(FILTER(Source!$A$2:$B353,Source!$C$2:$C353=SPLIT(AE3,"" Points"")),2,TRUE),"""")"),"")</f>
        <v/>
      </c>
      <c r="AF5" s="265" t="str">
        <f>IFERROR(__xludf.DUMMYFUNCTION("""COMPUTED_VALUE"""),"Annihilape")</f>
        <v>Annihilape</v>
      </c>
      <c r="AG5" s="198" t="str">
        <f t="array" ref="AG5:AG353">IFS(AF5:AF353="","",COUNTIF(SUBSTITUTE(Data!$F$4:$F$100," (T)",""),AF5:AF353)&gt;0,"X",1,"-")</f>
        <v>X</v>
      </c>
      <c r="AH5" s="200"/>
      <c r="AI5" s="200"/>
      <c r="AJ5" s="271" t="str">
        <f>IFERROR(__xludf.DUMMYFUNCTION("IFERROR(SORT(FILTER(Source!$A$2:$B353,Source!$C$2:$C353=SPLIT(AJ3,"" Points"")),2,TRUE),"""")"),"")</f>
        <v/>
      </c>
      <c r="AK5" s="272" t="str">
        <f>IFERROR(__xludf.DUMMYFUNCTION("""COMPUTED_VALUE"""),"Azumarill")</f>
        <v>Azumarill</v>
      </c>
      <c r="AL5" s="198" t="str">
        <f t="array" ref="AL5:AL353">IFS(AK5:AK353="","",COUNTIF(SUBSTITUTE(Data!$F$4:$F$100," (T)",""),AK5:AK353)&gt;0,"X",1,"-")</f>
        <v>-</v>
      </c>
      <c r="AM5" s="199"/>
      <c r="AN5" s="200"/>
      <c r="AO5" s="278" t="str">
        <f>IFERROR(__xludf.DUMMYFUNCTION("IFERROR(SORT(FILTER(Source!$A$2:$B353,Source!$C$2:$C353=SPLIT(AO3,"" Points"")),2,TRUE),"""")"),"")</f>
        <v/>
      </c>
      <c r="AP5" s="279" t="str">
        <f>IFERROR(__xludf.DUMMYFUNCTION("""COMPUTED_VALUE"""),"Ceruledge")</f>
        <v>Ceruledge</v>
      </c>
      <c r="AQ5" s="198" t="str">
        <f t="array" ref="AQ5:AQ353">IFS(AP5:AP353="","",COUNTIF(SUBSTITUTE(Data!$F$4:$F$100," (T)",""),AP5:AP353)&gt;0,"X",1,"-")</f>
        <v>-</v>
      </c>
      <c r="AR5" s="199"/>
      <c r="AS5" s="200"/>
      <c r="AT5" s="200" t="str">
        <f>IFERROR(__xludf.DUMMYFUNCTION("IFERROR(SORT(FILTER(Source!$A$2:$B353,Source!$C$2:$C353=SPLIT(AT3,"" Points"")),2,TRUE),"""")"),"")</f>
        <v/>
      </c>
      <c r="AU5" s="285" t="str">
        <f>IFERROR(__xludf.DUMMYFUNCTION("""COMPUTED_VALUE"""),"Alolan Ninetales")</f>
        <v>Alolan Ninetales</v>
      </c>
      <c r="AV5" s="198" t="str">
        <f t="array" ref="AV5:AV353">IFS(AU5:AU353="","",COUNTIF(SUBSTITUTE(Data!$F$4:$F$100," (T)",""),AU5:AU353)&gt;0,"X",1,"-")</f>
        <v>-</v>
      </c>
      <c r="AW5" s="199">
        <f t="array" ref="AW5:AW353">IFERROR(VLOOKUP(AU5:AU353,Source!$B$3:$D353,3,FALSE),"")</f>
        <v>12</v>
      </c>
      <c r="AX5" s="49"/>
      <c r="AY5" s="296" t="str">
        <f>IFERROR(__xludf.DUMMYFUNCTION("IFERROR(SORT(FILTER(Source!$A$2:$B353,Source!$C$2:$C353=SPLIT(AY3,"" Points"")),2,TRUE),"""")"),"")</f>
        <v/>
      </c>
      <c r="AZ5" s="298" t="str">
        <f>IFERROR(__xludf.DUMMYFUNCTION("""COMPUTED_VALUE"""),"Alolan Muk")</f>
        <v>Alolan Muk</v>
      </c>
      <c r="BA5" s="198" t="str">
        <f t="array" ref="BA5:BA353">IFS(AZ5:AZ353="","",COUNTIF(SUBSTITUTE(Data!$F$4:$F$100," (T)",""),AZ5:AZ353)&gt;0,"X",1,"-")</f>
        <v>-</v>
      </c>
      <c r="BB5" s="199">
        <f t="array" ref="BB5:BB353">IFERROR(VLOOKUP(AZ5:AZ353,Source!$B$3:$D353,3,FALSE),"")</f>
        <v>11</v>
      </c>
      <c r="BC5" s="49"/>
      <c r="BD5" s="327" t="str">
        <f>IFERROR(__xludf.DUMMYFUNCTION("IFERROR(SORT(FILTER(Source!$A$2:$B353,Source!$C$2:$C353=SPLIT(BD3,"" Points"")),2,TRUE),"""")"),"")</f>
        <v/>
      </c>
      <c r="BE5" s="330" t="str">
        <f>IFERROR(__xludf.DUMMYFUNCTION("""COMPUTED_VALUE"""),"Amoonguss")</f>
        <v>Amoonguss</v>
      </c>
      <c r="BF5" s="198" t="str">
        <f t="array" ref="BF5:BF353">IFS(BE5:BE353="","",COUNTIF(SUBSTITUTE(Data!$F$4:$F$100," (T)",""),BE5:BE353)&gt;0,"X",1,"-")</f>
        <v>-</v>
      </c>
      <c r="BG5" s="199">
        <f t="array" ref="BG5:BG353">IFERROR(VLOOKUP(BE5:BE353,Source!$B$3:$D353,3,FALSE),"")</f>
        <v>10</v>
      </c>
      <c r="BH5" s="49"/>
      <c r="BI5" s="346" t="str">
        <f>IFERROR(__xludf.DUMMYFUNCTION("IFERROR(SORT(FILTER(Source!$A$2:$B353,Source!$C$2:$C353=SPLIT(BI3,"" Points"")),2,TRUE),"""")"),"")</f>
        <v/>
      </c>
      <c r="BJ5" s="348" t="str">
        <f>IFERROR(__xludf.DUMMYFUNCTION("""COMPUTED_VALUE"""),"Armarouge")</f>
        <v>Armarouge</v>
      </c>
      <c r="BK5" s="198" t="str">
        <f t="array" ref="BK5:BK353">IFS(BJ5:BJ353="","",COUNTIF(SUBSTITUTE(Data!$F$4:$F$100," (T)",""),BJ5:BJ353)&gt;0,"X",1,"-")</f>
        <v>-</v>
      </c>
      <c r="BL5" s="199">
        <f t="array" ref="BL5:BL353">IFERROR(VLOOKUP(BJ5:BJ353,Source!$B$3:$D353,3,FALSE),"")</f>
        <v>10</v>
      </c>
      <c r="BM5" s="49"/>
      <c r="BN5" s="353" t="str">
        <f>IFERROR(__xludf.DUMMYFUNCTION("IFERROR(SORT(FILTER(Source!$A$2:$B353,Source!$C$2:$C353=SPLIT(BN3,"" Points"")),2,TRUE),"""")"),"")</f>
        <v/>
      </c>
      <c r="BO5" s="354" t="str">
        <f>IFERROR(__xludf.DUMMYFUNCTION("""COMPUTED_VALUE"""),"Abomasnow")</f>
        <v>Abomasnow</v>
      </c>
      <c r="BP5" s="198" t="str">
        <f t="array" ref="BP5:BP353">IFS(BO5:BO353="","",COUNTIF(SUBSTITUTE(Data!$F$4:$F$100," (T)",""),BO5:BO353)&gt;0,"X",1,"-")</f>
        <v>-</v>
      </c>
      <c r="BQ5" s="199">
        <f t="array" ref="BQ5:BQ353">IFERROR(VLOOKUP(BO5:BO353,Source!$B$3:$D353,3,FALSE),"")</f>
        <v>8</v>
      </c>
      <c r="BR5" s="49"/>
      <c r="BS5" s="353" t="str">
        <f>IFERROR(__xludf.DUMMYFUNCTION("IFERROR(SORT(FILTER(Source!$A$2:$B353,Source!$C$2:$C353=SPLIT(BS3,"" Points"")),2,TRUE),"""")"),"")</f>
        <v/>
      </c>
      <c r="BT5" s="361" t="str">
        <f>IFERROR(__xludf.DUMMYFUNCTION("""COMPUTED_VALUE"""),"Barraskewda")</f>
        <v>Barraskewda</v>
      </c>
      <c r="BU5" s="198" t="str">
        <f t="array" ref="BU5:BU353">IFS(BT5:BT353="","",COUNTIF(SUBSTITUTE(Data!$F$4:$F$100," (T)",""),BT5:BT353)&gt;0,"X",1,"-")</f>
        <v>-</v>
      </c>
      <c r="BV5" s="199">
        <f t="array" ref="BV5:BV353">IFERROR(VLOOKUP(BT5:BT353,Source!$B$3:$D353,3,FALSE),"")</f>
        <v>7</v>
      </c>
      <c r="BW5" s="49"/>
      <c r="BX5" s="368" t="str">
        <f>IFERROR(__xludf.DUMMYFUNCTION("IFERROR(SORT(FILTER(Source!$A$2:$B353,Source!$C$2:$C353=SPLIT(BX3,"" Points"")),2,TRUE),"""")"),"")</f>
        <v/>
      </c>
      <c r="BY5" s="370" t="str">
        <f>IFERROR(__xludf.DUMMYFUNCTION("""COMPUTED_VALUE"""),"Alolan Persian")</f>
        <v>Alolan Persian</v>
      </c>
      <c r="BZ5" s="198" t="str">
        <f t="array" ref="BZ5:BZ353">IFS(BY5:BY353="","",COUNTIF(SUBSTITUTE(Data!$F$4:$F$100," (T)",""),BY5:BY353)&gt;0,"X",1,"-")</f>
        <v>-</v>
      </c>
      <c r="CA5" s="199">
        <f t="array" ref="CA5:CA353">IFERROR(VLOOKUP(BY5:BY353,Source!$B$3:$D353,3,FALSE),"")</f>
        <v>6</v>
      </c>
      <c r="CB5" s="49"/>
      <c r="CC5" s="388" t="str">
        <f>IFERROR(__xludf.DUMMYFUNCTION("IFERROR(SORT(FILTER(Source!$A$2:$B353,Source!$C$2:$C353=SPLIT(CC3,"" Points"")),2,TRUE),"""")"),"")</f>
        <v/>
      </c>
      <c r="CD5" s="389" t="str">
        <f>IFERROR(__xludf.DUMMYFUNCTION("""COMPUTED_VALUE"""),"Altaria")</f>
        <v>Altaria</v>
      </c>
      <c r="CE5" s="198" t="str">
        <f t="array" ref="CE5:CE353">IFS(CD5:CD353="","",COUNTIF(SUBSTITUTE(Data!$F$4:$F$100," (T)",""),CD5:CD353)&gt;0,"X",1,"-")</f>
        <v>-</v>
      </c>
      <c r="CF5" s="199">
        <f t="array" ref="CF5:CF353">IFERROR(VLOOKUP(CD5:CD353,Source!$B$3:$D353,3,FALSE),"")</f>
        <v>5</v>
      </c>
      <c r="CG5" s="49"/>
      <c r="CH5" s="402" t="str">
        <f>IFERROR(__xludf.DUMMYFUNCTION("IFERROR(SORT(FILTER(Source!$A$2:$B353,Source!$C$2:$C353=SPLIT(CH3,"" Points"")),2,TRUE),"""")"),"")</f>
        <v/>
      </c>
      <c r="CI5" s="404" t="str">
        <f>IFERROR(__xludf.DUMMYFUNCTION("""COMPUTED_VALUE"""),"Alolan Exeggutor")</f>
        <v>Alolan Exeggutor</v>
      </c>
      <c r="CJ5" s="198" t="str">
        <f t="array" ref="CJ5:CJ353">IFS(CI5:CI353="","",COUNTIF(SUBSTITUTE(Data!$F$4:$F$100," (T)",""),CI5:CI353)&gt;0,"X",1,"-")</f>
        <v>-</v>
      </c>
      <c r="CK5" s="199">
        <f t="array" ref="CK5:CK353">IFERROR(VLOOKUP(CI5:CI353,Source!$B$3:$D353,3,FALSE),"")</f>
        <v>4</v>
      </c>
      <c r="CL5" s="49"/>
      <c r="CM5" s="402" t="str">
        <f>IFERROR(__xludf.DUMMYFUNCTION("IFERROR(SORT(FILTER(Source!$A$2:$B353,Source!$C$2:$C353=SPLIT(CM3,"" Points"")),2,TRUE),"""")"),"")</f>
        <v/>
      </c>
      <c r="CN5" s="404" t="str">
        <f>IFERROR(__xludf.DUMMYFUNCTION("""COMPUTED_VALUE"""),"Alcremie")</f>
        <v>Alcremie</v>
      </c>
      <c r="CO5" s="198" t="str">
        <f t="array" ref="CO5:CO353">IFS(CN5:CN353="","",COUNTIF(SUBSTITUTE(Data!$F$4:$F$100," (T)",""),CN5:CN353)&gt;0,"X",1,"-")</f>
        <v>-</v>
      </c>
      <c r="CP5" s="199">
        <f t="array" ref="CP5:CP353">IFERROR(VLOOKUP(CN5:CN353,Source!$B$3:$D353,3,FALSE),"")</f>
        <v>3</v>
      </c>
      <c r="CQ5" s="49"/>
      <c r="CR5" s="419" t="str">
        <f>IFERROR(__xludf.DUMMYFUNCTION("IFERROR(SORT(FILTER(Source!$A$2:$B353,Source!$C$2:$C353=SPLIT(CR3,"" Points"")),2,TRUE),"""")"),"")</f>
        <v/>
      </c>
      <c r="CS5" s="420" t="str">
        <f>IFERROR(__xludf.DUMMYFUNCTION("""COMPUTED_VALUE"""),"Alolan Grimer")</f>
        <v>Alolan Grimer</v>
      </c>
      <c r="CT5" s="198" t="str">
        <f t="array" ref="CT5:CT353">IFS(CS5:CS353="","",COUNTIF(SUBSTITUTE(Data!$F$4:$F$100," (T)",""),CS5:CS353)&gt;0,"X",1,"-")</f>
        <v>-</v>
      </c>
      <c r="CU5" s="199">
        <f t="array" ref="CU5:CU353">IFERROR(VLOOKUP(CS5:CS353,Source!$B$3:$D353,3,FALSE),"")</f>
        <v>1</v>
      </c>
      <c r="CV5" s="49"/>
      <c r="CW5" s="49"/>
      <c r="CX5" s="422"/>
      <c r="CY5" s="423"/>
      <c r="CZ5" s="423"/>
      <c r="DA5" s="49"/>
      <c r="DB5" s="49"/>
      <c r="DC5" s="424"/>
      <c r="DD5" s="423"/>
      <c r="DE5" s="423"/>
      <c r="DF5" s="49"/>
      <c r="DG5" s="49"/>
      <c r="DH5" s="422"/>
      <c r="DI5" s="423"/>
      <c r="DJ5" s="423"/>
      <c r="DK5" s="49"/>
      <c r="DL5" s="49"/>
      <c r="DM5" s="422"/>
      <c r="DN5" s="423"/>
      <c r="DO5" s="423"/>
      <c r="DP5" s="49"/>
      <c r="DQ5" s="49"/>
      <c r="DR5" s="422"/>
      <c r="DS5" s="423"/>
      <c r="DT5" s="423"/>
      <c r="DU5" s="49"/>
      <c r="DV5" s="49"/>
      <c r="DW5" s="422"/>
      <c r="DX5" s="423"/>
      <c r="DY5" s="423"/>
      <c r="DZ5" s="49"/>
      <c r="EA5" s="49"/>
      <c r="EB5" s="422"/>
      <c r="EC5" s="423"/>
      <c r="ED5" s="423"/>
      <c r="EE5" s="49"/>
      <c r="EF5" s="17"/>
    </row>
    <row r="6" ht="17.25" customHeight="1">
      <c r="A6" s="17"/>
      <c r="B6" s="49"/>
      <c r="C6" s="170"/>
      <c r="D6" s="171" t="s">
        <v>212</v>
      </c>
      <c r="E6" s="49"/>
      <c r="F6" s="181" t="str">
        <f>IFERROR(__xludf.DUMMYFUNCTION("""COMPUTED_VALUE"""),"")</f>
        <v/>
      </c>
      <c r="G6" s="182" t="str">
        <f>IFERROR(__xludf.DUMMYFUNCTION("""COMPUTED_VALUE"""),"Darkrai")</f>
        <v>Darkrai</v>
      </c>
      <c r="H6" s="198" t="s">
        <v>213</v>
      </c>
      <c r="I6" s="199"/>
      <c r="J6" s="200"/>
      <c r="K6" s="205" t="str">
        <f>IFERROR(__xludf.DUMMYFUNCTION("""COMPUTED_VALUE"""),"")</f>
        <v/>
      </c>
      <c r="L6" s="207" t="str">
        <f>IFERROR(__xludf.DUMMYFUNCTION("""COMPUTED_VALUE"""),"Great Tusk")</f>
        <v>Great Tusk</v>
      </c>
      <c r="M6" s="198" t="s">
        <v>213</v>
      </c>
      <c r="N6" s="199"/>
      <c r="O6" s="200"/>
      <c r="P6" s="227" t="str">
        <f>IFERROR(__xludf.DUMMYFUNCTION("""COMPUTED_VALUE"""),"")</f>
        <v/>
      </c>
      <c r="Q6" s="232" t="str">
        <f>IFERROR(__xludf.DUMMYFUNCTION("""COMPUTED_VALUE"""),"Deoxys-Speed")</f>
        <v>Deoxys-Speed</v>
      </c>
      <c r="R6" s="198" t="s">
        <v>213</v>
      </c>
      <c r="S6" s="199"/>
      <c r="T6" s="200"/>
      <c r="U6" s="250" t="str">
        <f>IFERROR(__xludf.DUMMYFUNCTION("""COMPUTED_VALUE"""),"")</f>
        <v/>
      </c>
      <c r="V6" s="251" t="str">
        <f>IFERROR(__xludf.DUMMYFUNCTION("""COMPUTED_VALUE"""),"Enamorus-Incarnate")</f>
        <v>Enamorus-Incarnate</v>
      </c>
      <c r="W6" s="198" t="s">
        <v>213</v>
      </c>
      <c r="X6" s="199"/>
      <c r="Y6" s="200"/>
      <c r="Z6" s="255" t="str">
        <f>IFERROR(__xludf.DUMMYFUNCTION("""COMPUTED_VALUE"""),"")</f>
        <v/>
      </c>
      <c r="AA6" s="257" t="str">
        <f>IFERROR(__xludf.DUMMYFUNCTION("""COMPUTED_VALUE"""),"Dragonite")</f>
        <v>Dragonite</v>
      </c>
      <c r="AB6" s="198" t="s">
        <v>213</v>
      </c>
      <c r="AC6" s="199"/>
      <c r="AD6" s="200"/>
      <c r="AE6" s="263" t="str">
        <f>IFERROR(__xludf.DUMMYFUNCTION("""COMPUTED_VALUE"""),"")</f>
        <v/>
      </c>
      <c r="AF6" s="265" t="str">
        <f>IFERROR(__xludf.DUMMYFUNCTION("""COMPUTED_VALUE"""),"Cinderace")</f>
        <v>Cinderace</v>
      </c>
      <c r="AG6" s="198" t="s">
        <v>213</v>
      </c>
      <c r="AH6" s="200"/>
      <c r="AI6" s="200"/>
      <c r="AJ6" s="271" t="str">
        <f>IFERROR(__xludf.DUMMYFUNCTION("""COMPUTED_VALUE"""),"")</f>
        <v/>
      </c>
      <c r="AK6" s="272" t="str">
        <f>IFERROR(__xludf.DUMMYFUNCTION("""COMPUTED_VALUE"""),"Clefable")</f>
        <v>Clefable</v>
      </c>
      <c r="AL6" s="198" t="s">
        <v>213</v>
      </c>
      <c r="AM6" s="199"/>
      <c r="AN6" s="200"/>
      <c r="AO6" s="278" t="str">
        <f>IFERROR(__xludf.DUMMYFUNCTION("""COMPUTED_VALUE"""),"")</f>
        <v/>
      </c>
      <c r="AP6" s="279" t="str">
        <f>IFERROR(__xludf.DUMMYFUNCTION("""COMPUTED_VALUE"""),"Deoxys-Defense")</f>
        <v>Deoxys-Defense</v>
      </c>
      <c r="AQ6" s="198" t="s">
        <v>216</v>
      </c>
      <c r="AR6" s="199"/>
      <c r="AS6" s="200"/>
      <c r="AT6" s="200" t="str">
        <f>IFERROR(__xludf.DUMMYFUNCTION("""COMPUTED_VALUE"""),"")</f>
        <v/>
      </c>
      <c r="AU6" s="425" t="str">
        <f>IFERROR(__xludf.DUMMYFUNCTION("""COMPUTED_VALUE"""),"Archaludon")</f>
        <v>Archaludon</v>
      </c>
      <c r="AV6" s="426" t="s">
        <v>213</v>
      </c>
      <c r="AW6" s="199">
        <v>12.0</v>
      </c>
      <c r="AX6" s="49"/>
      <c r="AY6" s="296" t="str">
        <f>IFERROR(__xludf.DUMMYFUNCTION("""COMPUTED_VALUE"""),"")</f>
        <v/>
      </c>
      <c r="AZ6" s="427" t="str">
        <f>IFERROR(__xludf.DUMMYFUNCTION("""COMPUTED_VALUE"""),"Alomomola")</f>
        <v>Alomomola</v>
      </c>
      <c r="BA6" s="426" t="s">
        <v>213</v>
      </c>
      <c r="BB6" s="199">
        <v>11.0</v>
      </c>
      <c r="BC6" s="49"/>
      <c r="BD6" s="327" t="str">
        <f>IFERROR(__xludf.DUMMYFUNCTION("""COMPUTED_VALUE"""),"")</f>
        <v/>
      </c>
      <c r="BE6" s="330" t="str">
        <f>IFERROR(__xludf.DUMMYFUNCTION("""COMPUTED_VALUE"""),"Breloom")</f>
        <v>Breloom</v>
      </c>
      <c r="BF6" s="426" t="s">
        <v>216</v>
      </c>
      <c r="BG6" s="199">
        <v>10.0</v>
      </c>
      <c r="BH6" s="49"/>
      <c r="BI6" s="346" t="str">
        <f>IFERROR(__xludf.DUMMYFUNCTION("""COMPUTED_VALUE"""),"")</f>
        <v/>
      </c>
      <c r="BJ6" s="348" t="str">
        <f>IFERROR(__xludf.DUMMYFUNCTION("""COMPUTED_VALUE"""),"Braviary")</f>
        <v>Braviary</v>
      </c>
      <c r="BK6" s="426" t="s">
        <v>216</v>
      </c>
      <c r="BL6" s="199">
        <v>9.0</v>
      </c>
      <c r="BM6" s="49"/>
      <c r="BN6" s="429" t="str">
        <f>IFERROR(__xludf.DUMMYFUNCTION("""COMPUTED_VALUE"""),"")</f>
        <v/>
      </c>
      <c r="BO6" s="354" t="str">
        <f>IFERROR(__xludf.DUMMYFUNCTION("""COMPUTED_VALUE"""),"Araquanid")</f>
        <v>Araquanid</v>
      </c>
      <c r="BP6" s="426" t="s">
        <v>216</v>
      </c>
      <c r="BQ6" s="199">
        <v>9.0</v>
      </c>
      <c r="BR6" s="49"/>
      <c r="BS6" s="353" t="str">
        <f>IFERROR(__xludf.DUMMYFUNCTION("""COMPUTED_VALUE"""),"")</f>
        <v/>
      </c>
      <c r="BT6" s="361" t="str">
        <f>IFERROR(__xludf.DUMMYFUNCTION("""COMPUTED_VALUE"""),"Bellibolt")</f>
        <v>Bellibolt</v>
      </c>
      <c r="BU6" s="426" t="s">
        <v>216</v>
      </c>
      <c r="BV6" s="199">
        <v>8.0</v>
      </c>
      <c r="BW6" s="49"/>
      <c r="BX6" s="368" t="str">
        <f>IFERROR(__xludf.DUMMYFUNCTION("""COMPUTED_VALUE"""),"")</f>
        <v/>
      </c>
      <c r="BY6" s="370" t="str">
        <f>IFERROR(__xludf.DUMMYFUNCTION("""COMPUTED_VALUE"""),"Alolan Raichu")</f>
        <v>Alolan Raichu</v>
      </c>
      <c r="BZ6" s="426" t="s">
        <v>216</v>
      </c>
      <c r="CA6" s="199">
        <v>6.0</v>
      </c>
      <c r="CB6" s="49"/>
      <c r="CC6" s="388" t="str">
        <f>IFERROR(__xludf.DUMMYFUNCTION("""COMPUTED_VALUE"""),"")</f>
        <v/>
      </c>
      <c r="CD6" s="389" t="str">
        <f>IFERROR(__xludf.DUMMYFUNCTION("""COMPUTED_VALUE"""),"Appletun")</f>
        <v>Appletun</v>
      </c>
      <c r="CE6" s="426" t="s">
        <v>216</v>
      </c>
      <c r="CF6" s="199">
        <v>5.0</v>
      </c>
      <c r="CG6" s="49"/>
      <c r="CH6" s="402" t="str">
        <f>IFERROR(__xludf.DUMMYFUNCTION("""COMPUTED_VALUE"""),"")</f>
        <v/>
      </c>
      <c r="CI6" s="439" t="str">
        <f>IFERROR(__xludf.DUMMYFUNCTION("""COMPUTED_VALUE"""),"Alolan Sandslash")</f>
        <v>Alolan Sandslash</v>
      </c>
      <c r="CJ6" s="426" t="s">
        <v>216</v>
      </c>
      <c r="CK6" s="199">
        <v>4.0</v>
      </c>
      <c r="CL6" s="49"/>
      <c r="CM6" s="402" t="str">
        <f>IFERROR(__xludf.DUMMYFUNCTION("""COMPUTED_VALUE"""),"")</f>
        <v/>
      </c>
      <c r="CN6" s="439" t="str">
        <f>IFERROR(__xludf.DUMMYFUNCTION("""COMPUTED_VALUE"""),"Alolan Dugtrio")</f>
        <v>Alolan Dugtrio</v>
      </c>
      <c r="CO6" s="426" t="s">
        <v>216</v>
      </c>
      <c r="CP6" s="199">
        <v>3.0</v>
      </c>
      <c r="CQ6" s="49"/>
      <c r="CR6" s="419" t="str">
        <f>IFERROR(__xludf.DUMMYFUNCTION("""COMPUTED_VALUE"""),"")</f>
        <v/>
      </c>
      <c r="CS6" s="404" t="str">
        <f>IFERROR(__xludf.DUMMYFUNCTION("""COMPUTED_VALUE"""),"Alolan Meowth")</f>
        <v>Alolan Meowth</v>
      </c>
      <c r="CT6" s="442" t="s">
        <v>216</v>
      </c>
      <c r="CU6" s="199">
        <v>1.0</v>
      </c>
      <c r="CV6" s="49"/>
      <c r="CW6" s="49"/>
      <c r="CX6" s="422"/>
      <c r="CY6" s="423"/>
      <c r="CZ6" s="423"/>
      <c r="DA6" s="49"/>
      <c r="DB6" s="49"/>
      <c r="DC6" s="422"/>
      <c r="DD6" s="423"/>
      <c r="DE6" s="423"/>
      <c r="DF6" s="49"/>
      <c r="DG6" s="49"/>
      <c r="DH6" s="422"/>
      <c r="DI6" s="423"/>
      <c r="DJ6" s="423"/>
      <c r="DK6" s="49"/>
      <c r="DL6" s="49"/>
      <c r="DM6" s="422"/>
      <c r="DN6" s="423"/>
      <c r="DO6" s="423"/>
      <c r="DP6" s="49"/>
      <c r="DQ6" s="49"/>
      <c r="DR6" s="422"/>
      <c r="DS6" s="423"/>
      <c r="DT6" s="423"/>
      <c r="DU6" s="49"/>
      <c r="DV6" s="49"/>
      <c r="DW6" s="422"/>
      <c r="DX6" s="423"/>
      <c r="DY6" s="423"/>
      <c r="DZ6" s="49"/>
      <c r="EA6" s="49"/>
      <c r="EB6" s="422"/>
      <c r="EC6" s="423"/>
      <c r="ED6" s="423"/>
      <c r="EE6" s="49"/>
      <c r="EF6" s="17"/>
    </row>
    <row r="7" ht="17.25" customHeight="1">
      <c r="A7" s="443"/>
      <c r="B7" s="444"/>
      <c r="C7" s="170"/>
      <c r="D7" s="171" t="s">
        <v>226</v>
      </c>
      <c r="E7" s="49"/>
      <c r="F7" s="181" t="str">
        <f>IFERROR(__xludf.DUMMYFUNCTION("""COMPUTED_VALUE"""),"")</f>
        <v/>
      </c>
      <c r="G7" s="205" t="str">
        <f>IFERROR(__xludf.DUMMYFUNCTION("""COMPUTED_VALUE"""),"Dragapult")</f>
        <v>Dragapult</v>
      </c>
      <c r="H7" s="445" t="s">
        <v>213</v>
      </c>
      <c r="I7" s="446"/>
      <c r="J7" s="200"/>
      <c r="K7" s="205" t="str">
        <f>IFERROR(__xludf.DUMMYFUNCTION("""COMPUTED_VALUE"""),"")</f>
        <v/>
      </c>
      <c r="L7" s="447" t="str">
        <f>IFERROR(__xludf.DUMMYFUNCTION("""COMPUTED_VALUE"""),"Palafin")</f>
        <v>Palafin</v>
      </c>
      <c r="M7" s="198" t="s">
        <v>213</v>
      </c>
      <c r="N7" s="199"/>
      <c r="O7" s="200"/>
      <c r="P7" s="227" t="str">
        <f>IFERROR(__xludf.DUMMYFUNCTION("""COMPUTED_VALUE"""),"")</f>
        <v/>
      </c>
      <c r="Q7" s="232" t="str">
        <f>IFERROR(__xludf.DUMMYFUNCTION("""COMPUTED_VALUE"""),"Greninja")</f>
        <v>Greninja</v>
      </c>
      <c r="R7" s="198" t="s">
        <v>216</v>
      </c>
      <c r="S7" s="199"/>
      <c r="T7" s="200"/>
      <c r="U7" s="250" t="str">
        <f>IFERROR(__xludf.DUMMYFUNCTION("""COMPUTED_VALUE"""),"")</f>
        <v/>
      </c>
      <c r="V7" s="251" t="str">
        <f>IFERROR(__xludf.DUMMYFUNCTION("""COMPUTED_VALUE"""),"Gouging Fire")</f>
        <v>Gouging Fire</v>
      </c>
      <c r="W7" s="198" t="s">
        <v>213</v>
      </c>
      <c r="X7" s="199"/>
      <c r="Y7" s="200"/>
      <c r="Z7" s="255" t="str">
        <f>IFERROR(__xludf.DUMMYFUNCTION("""COMPUTED_VALUE"""),"")</f>
        <v/>
      </c>
      <c r="AA7" s="257" t="str">
        <f>IFERROR(__xludf.DUMMYFUNCTION("""COMPUTED_VALUE"""),"Galarian Slowking")</f>
        <v>Galarian Slowking</v>
      </c>
      <c r="AB7" s="198" t="s">
        <v>213</v>
      </c>
      <c r="AC7" s="199"/>
      <c r="AD7" s="200"/>
      <c r="AE7" s="263" t="str">
        <f>IFERROR(__xludf.DUMMYFUNCTION("""COMPUTED_VALUE"""),"")</f>
        <v/>
      </c>
      <c r="AF7" s="265" t="str">
        <f>IFERROR(__xludf.DUMMYFUNCTION("""COMPUTED_VALUE"""),"Excadrill")</f>
        <v>Excadrill</v>
      </c>
      <c r="AG7" s="198" t="s">
        <v>216</v>
      </c>
      <c r="AH7" s="200"/>
      <c r="AI7" s="200"/>
      <c r="AJ7" s="271" t="str">
        <f>IFERROR(__xludf.DUMMYFUNCTION("""COMPUTED_VALUE"""),"")</f>
        <v/>
      </c>
      <c r="AK7" s="272" t="str">
        <f>IFERROR(__xludf.DUMMYFUNCTION("""COMPUTED_VALUE"""),"Corviknight")</f>
        <v>Corviknight</v>
      </c>
      <c r="AL7" s="198" t="s">
        <v>213</v>
      </c>
      <c r="AM7" s="199"/>
      <c r="AN7" s="200"/>
      <c r="AO7" s="278" t="str">
        <f>IFERROR(__xludf.DUMMYFUNCTION("""COMPUTED_VALUE"""),"")</f>
        <v/>
      </c>
      <c r="AP7" s="279" t="str">
        <f>IFERROR(__xludf.DUMMYFUNCTION("""COMPUTED_VALUE"""),"Galarian Moltres")</f>
        <v>Galarian Moltres</v>
      </c>
      <c r="AQ7" s="198" t="s">
        <v>216</v>
      </c>
      <c r="AR7" s="199"/>
      <c r="AS7" s="200"/>
      <c r="AT7" s="200" t="str">
        <f>IFERROR(__xludf.DUMMYFUNCTION("""COMPUTED_VALUE"""),"")</f>
        <v/>
      </c>
      <c r="AU7" s="425" t="str">
        <f>IFERROR(__xludf.DUMMYFUNCTION("""COMPUTED_VALUE"""),"Azelf")</f>
        <v>Azelf</v>
      </c>
      <c r="AV7" s="426" t="s">
        <v>213</v>
      </c>
      <c r="AW7" s="199">
        <v>12.0</v>
      </c>
      <c r="AX7" s="49"/>
      <c r="AY7" s="296" t="str">
        <f>IFERROR(__xludf.DUMMYFUNCTION("""COMPUTED_VALUE"""),"")</f>
        <v/>
      </c>
      <c r="AZ7" s="298" t="str">
        <f>IFERROR(__xludf.DUMMYFUNCTION("""COMPUTED_VALUE"""),"Arcanine")</f>
        <v>Arcanine</v>
      </c>
      <c r="BA7" s="426" t="s">
        <v>213</v>
      </c>
      <c r="BB7" s="199">
        <v>11.0</v>
      </c>
      <c r="BC7" s="49"/>
      <c r="BD7" s="327" t="str">
        <f>IFERROR(__xludf.DUMMYFUNCTION("""COMPUTED_VALUE"""),"")</f>
        <v/>
      </c>
      <c r="BE7" s="330" t="str">
        <f>IFERROR(__xludf.DUMMYFUNCTION("""COMPUTED_VALUE"""),"Bronzong")</f>
        <v>Bronzong</v>
      </c>
      <c r="BF7" s="426" t="s">
        <v>216</v>
      </c>
      <c r="BG7" s="199">
        <v>10.0</v>
      </c>
      <c r="BH7" s="49"/>
      <c r="BI7" s="346" t="str">
        <f>IFERROR(__xludf.DUMMYFUNCTION("""COMPUTED_VALUE"""),"")</f>
        <v/>
      </c>
      <c r="BJ7" s="348" t="str">
        <f>IFERROR(__xludf.DUMMYFUNCTION("""COMPUTED_VALUE"""),"Cetitan")</f>
        <v>Cetitan</v>
      </c>
      <c r="BK7" s="426" t="s">
        <v>216</v>
      </c>
      <c r="BL7" s="199">
        <v>11.0</v>
      </c>
      <c r="BM7" s="49"/>
      <c r="BN7" s="429" t="str">
        <f>IFERROR(__xludf.DUMMYFUNCTION("""COMPUTED_VALUE"""),"")</f>
        <v/>
      </c>
      <c r="BO7" s="354" t="str">
        <f>IFERROR(__xludf.DUMMYFUNCTION("""COMPUTED_VALUE"""),"Bisharp")</f>
        <v>Bisharp</v>
      </c>
      <c r="BP7" s="426" t="s">
        <v>213</v>
      </c>
      <c r="BQ7" s="199">
        <v>9.0</v>
      </c>
      <c r="BR7" s="49"/>
      <c r="BS7" s="353" t="str">
        <f>IFERROR(__xludf.DUMMYFUNCTION("""COMPUTED_VALUE"""),"")</f>
        <v/>
      </c>
      <c r="BT7" s="361" t="str">
        <f>IFERROR(__xludf.DUMMYFUNCTION("""COMPUTED_VALUE"""),"Cloyster")</f>
        <v>Cloyster</v>
      </c>
      <c r="BU7" s="426" t="s">
        <v>216</v>
      </c>
      <c r="BV7" s="199">
        <v>8.0</v>
      </c>
      <c r="BW7" s="49"/>
      <c r="BX7" s="368" t="str">
        <f>IFERROR(__xludf.DUMMYFUNCTION("""COMPUTED_VALUE"""),"")</f>
        <v/>
      </c>
      <c r="BY7" s="370" t="str">
        <f>IFERROR(__xludf.DUMMYFUNCTION("""COMPUTED_VALUE"""),"Arboliva")</f>
        <v>Arboliva</v>
      </c>
      <c r="BZ7" s="426" t="s">
        <v>216</v>
      </c>
      <c r="CA7" s="199">
        <v>6.0</v>
      </c>
      <c r="CB7" s="49"/>
      <c r="CC7" s="388" t="str">
        <f>IFERROR(__xludf.DUMMYFUNCTION("""COMPUTED_VALUE"""),"")</f>
        <v/>
      </c>
      <c r="CD7" s="389" t="str">
        <f>IFERROR(__xludf.DUMMYFUNCTION("""COMPUTED_VALUE"""),"Charizard")</f>
        <v>Charizard</v>
      </c>
      <c r="CE7" s="426" t="s">
        <v>216</v>
      </c>
      <c r="CF7" s="199">
        <v>5.0</v>
      </c>
      <c r="CG7" s="49"/>
      <c r="CH7" s="402" t="str">
        <f>IFERROR(__xludf.DUMMYFUNCTION("""COMPUTED_VALUE"""),"")</f>
        <v/>
      </c>
      <c r="CI7" s="439" t="str">
        <f>IFERROR(__xludf.DUMMYFUNCTION("""COMPUTED_VALUE"""),"Ambipom")</f>
        <v>Ambipom</v>
      </c>
      <c r="CJ7" s="426" t="s">
        <v>216</v>
      </c>
      <c r="CK7" s="199">
        <v>4.0</v>
      </c>
      <c r="CL7" s="49"/>
      <c r="CM7" s="402" t="str">
        <f>IFERROR(__xludf.DUMMYFUNCTION("""COMPUTED_VALUE"""),"")</f>
        <v/>
      </c>
      <c r="CN7" s="439" t="str">
        <f>IFERROR(__xludf.DUMMYFUNCTION("""COMPUTED_VALUE"""),"Alolan Golem")</f>
        <v>Alolan Golem</v>
      </c>
      <c r="CO7" s="426" t="s">
        <v>216</v>
      </c>
      <c r="CP7" s="199">
        <v>3.0</v>
      </c>
      <c r="CQ7" s="49"/>
      <c r="CR7" s="419" t="str">
        <f>IFERROR(__xludf.DUMMYFUNCTION("""COMPUTED_VALUE"""),"")</f>
        <v/>
      </c>
      <c r="CS7" s="404" t="str">
        <f>IFERROR(__xludf.DUMMYFUNCTION("""COMPUTED_VALUE"""),"Alolan Vulpix")</f>
        <v>Alolan Vulpix</v>
      </c>
      <c r="CT7" s="442" t="s">
        <v>213</v>
      </c>
      <c r="CU7" s="199">
        <v>2.0</v>
      </c>
      <c r="CV7" s="49"/>
      <c r="CW7" s="453"/>
      <c r="CX7" s="455"/>
      <c r="CY7" s="426"/>
      <c r="CZ7" s="456"/>
      <c r="DA7" s="49"/>
      <c r="DB7" s="457"/>
      <c r="DD7" s="426"/>
      <c r="DE7" s="456"/>
      <c r="DF7" s="49"/>
      <c r="DG7" s="458"/>
      <c r="DH7" s="459"/>
      <c r="DI7" s="426"/>
      <c r="DJ7" s="456"/>
      <c r="DK7" s="49"/>
      <c r="DL7" s="198"/>
      <c r="DM7" s="460"/>
      <c r="DN7" s="426"/>
      <c r="DO7" s="456"/>
      <c r="DP7" s="49"/>
      <c r="DQ7" s="461"/>
      <c r="DR7" s="462"/>
      <c r="DS7" s="426"/>
      <c r="DT7" s="456"/>
      <c r="DU7" s="49"/>
      <c r="DV7" s="463"/>
      <c r="DW7" s="464"/>
      <c r="DX7" s="426"/>
      <c r="DY7" s="456"/>
      <c r="DZ7" s="49"/>
      <c r="EA7" s="465"/>
      <c r="EB7" s="466"/>
      <c r="EC7" s="426"/>
      <c r="ED7" s="456"/>
      <c r="EE7" s="49"/>
      <c r="EF7" s="17"/>
    </row>
    <row r="8" ht="17.25" customHeight="1">
      <c r="A8" s="468"/>
      <c r="B8" s="469"/>
      <c r="C8" s="170"/>
      <c r="D8" s="171" t="s">
        <v>232</v>
      </c>
      <c r="E8" s="49"/>
      <c r="F8" s="181" t="str">
        <f>IFERROR(__xludf.DUMMYFUNCTION("""COMPUTED_VALUE"""),"")</f>
        <v/>
      </c>
      <c r="G8" s="205" t="str">
        <f>IFERROR(__xludf.DUMMYFUNCTION("""COMPUTED_VALUE"""),"Iron Valiant")</f>
        <v>Iron Valiant</v>
      </c>
      <c r="H8" s="198" t="s">
        <v>213</v>
      </c>
      <c r="I8" s="200"/>
      <c r="J8" s="200"/>
      <c r="K8" s="205" t="str">
        <f>IFERROR(__xludf.DUMMYFUNCTION("""COMPUTED_VALUE"""),"")</f>
        <v/>
      </c>
      <c r="L8" s="447" t="str">
        <f>IFERROR(__xludf.DUMMYFUNCTION("""COMPUTED_VALUE"""),"Spectrier")</f>
        <v>Spectrier</v>
      </c>
      <c r="M8" s="198" t="s">
        <v>213</v>
      </c>
      <c r="N8" s="199"/>
      <c r="O8" s="200"/>
      <c r="P8" s="227" t="str">
        <f>IFERROR(__xludf.DUMMYFUNCTION("""COMPUTED_VALUE"""),"")</f>
        <v/>
      </c>
      <c r="Q8" s="232" t="str">
        <f>IFERROR(__xludf.DUMMYFUNCTION("""COMPUTED_VALUE"""),"Latios")</f>
        <v>Latios</v>
      </c>
      <c r="R8" s="198" t="s">
        <v>216</v>
      </c>
      <c r="S8" s="200"/>
      <c r="T8" s="200"/>
      <c r="U8" s="470" t="str">
        <f>IFERROR(__xludf.DUMMYFUNCTION("""COMPUTED_VALUE"""),"")</f>
        <v/>
      </c>
      <c r="V8" s="251" t="str">
        <f>IFERROR(__xludf.DUMMYFUNCTION("""COMPUTED_VALUE"""),"Kyurem")</f>
        <v>Kyurem</v>
      </c>
      <c r="W8" s="445" t="s">
        <v>213</v>
      </c>
      <c r="X8" s="446" t="s">
        <v>216</v>
      </c>
      <c r="Y8" s="200"/>
      <c r="Z8" s="255" t="str">
        <f>IFERROR(__xludf.DUMMYFUNCTION("""COMPUTED_VALUE"""),"")</f>
        <v/>
      </c>
      <c r="AA8" s="257" t="str">
        <f>IFERROR(__xludf.DUMMYFUNCTION("""COMPUTED_VALUE"""),"Gholdengo")</f>
        <v>Gholdengo</v>
      </c>
      <c r="AB8" s="198" t="s">
        <v>216</v>
      </c>
      <c r="AC8" s="199"/>
      <c r="AD8" s="200"/>
      <c r="AE8" s="263" t="str">
        <f>IFERROR(__xludf.DUMMYFUNCTION("""COMPUTED_VALUE"""),"")</f>
        <v/>
      </c>
      <c r="AF8" s="265" t="str">
        <f>IFERROR(__xludf.DUMMYFUNCTION("""COMPUTED_VALUE"""),"Iron Moth")</f>
        <v>Iron Moth</v>
      </c>
      <c r="AG8" s="198" t="s">
        <v>216</v>
      </c>
      <c r="AH8" s="200"/>
      <c r="AI8" s="200"/>
      <c r="AJ8" s="271" t="str">
        <f>IFERROR(__xludf.DUMMYFUNCTION("""COMPUTED_VALUE"""),"")</f>
        <v/>
      </c>
      <c r="AK8" s="272" t="str">
        <f>IFERROR(__xludf.DUMMYFUNCTION("""COMPUTED_VALUE"""),"Cyclizar")</f>
        <v>Cyclizar</v>
      </c>
      <c r="AL8" s="198" t="s">
        <v>216</v>
      </c>
      <c r="AM8" s="199"/>
      <c r="AN8" s="200"/>
      <c r="AO8" s="278" t="str">
        <f>IFERROR(__xludf.DUMMYFUNCTION("""COMPUTED_VALUE"""),"")</f>
        <v/>
      </c>
      <c r="AP8" s="279" t="str">
        <f>IFERROR(__xludf.DUMMYFUNCTION("""COMPUTED_VALUE"""),"Gengar")</f>
        <v>Gengar</v>
      </c>
      <c r="AQ8" s="198" t="s">
        <v>216</v>
      </c>
      <c r="AR8" s="199"/>
      <c r="AS8" s="200"/>
      <c r="AT8" s="200" t="str">
        <f>IFERROR(__xludf.DUMMYFUNCTION("""COMPUTED_VALUE"""),"")</f>
        <v/>
      </c>
      <c r="AU8" s="425" t="str">
        <f>IFERROR(__xludf.DUMMYFUNCTION("""COMPUTED_VALUE"""),"Basculegion")</f>
        <v>Basculegion</v>
      </c>
      <c r="AV8" s="426" t="s">
        <v>213</v>
      </c>
      <c r="AW8" s="199">
        <v>12.0</v>
      </c>
      <c r="AX8" s="49"/>
      <c r="AY8" s="296" t="str">
        <f>IFERROR(__xludf.DUMMYFUNCTION("""COMPUTED_VALUE"""),"")</f>
        <v/>
      </c>
      <c r="AZ8" s="298" t="str">
        <f>IFERROR(__xludf.DUMMYFUNCTION("""COMPUTED_VALUE"""),"Cobalion")</f>
        <v>Cobalion</v>
      </c>
      <c r="BA8" s="426" t="s">
        <v>213</v>
      </c>
      <c r="BB8" s="199">
        <v>11.0</v>
      </c>
      <c r="BC8" s="49"/>
      <c r="BD8" s="327" t="str">
        <f>IFERROR(__xludf.DUMMYFUNCTION("""COMPUTED_VALUE"""),"")</f>
        <v/>
      </c>
      <c r="BE8" s="330" t="str">
        <f>IFERROR(__xludf.DUMMYFUNCTION("""COMPUTED_VALUE"""),"Clodsire")</f>
        <v>Clodsire</v>
      </c>
      <c r="BF8" s="426" t="s">
        <v>216</v>
      </c>
      <c r="BG8" s="199">
        <v>10.0</v>
      </c>
      <c r="BH8" s="49"/>
      <c r="BI8" s="346" t="str">
        <f>IFERROR(__xludf.DUMMYFUNCTION("""COMPUTED_VALUE"""),"")</f>
        <v/>
      </c>
      <c r="BJ8" s="348" t="str">
        <f>IFERROR(__xludf.DUMMYFUNCTION("""COMPUTED_VALUE"""),"Chesnaught")</f>
        <v>Chesnaught</v>
      </c>
      <c r="BK8" s="426" t="s">
        <v>216</v>
      </c>
      <c r="BL8" s="199">
        <v>9.0</v>
      </c>
      <c r="BM8" s="49"/>
      <c r="BN8" s="429" t="str">
        <f>IFERROR(__xludf.DUMMYFUNCTION("""COMPUTED_VALUE"""),"")</f>
        <v/>
      </c>
      <c r="BO8" s="354" t="str">
        <f>IFERROR(__xludf.DUMMYFUNCTION("""COMPUTED_VALUE"""),"Blissey")</f>
        <v>Blissey</v>
      </c>
      <c r="BP8" s="426" t="s">
        <v>216</v>
      </c>
      <c r="BQ8" s="199">
        <v>8.0</v>
      </c>
      <c r="BR8" s="49"/>
      <c r="BS8" s="353" t="str">
        <f>IFERROR(__xludf.DUMMYFUNCTION("""COMPUTED_VALUE"""),"")</f>
        <v/>
      </c>
      <c r="BT8" s="472" t="str">
        <f>IFERROR(__xludf.DUMMYFUNCTION("""COMPUTED_VALUE"""),"Drifblim")</f>
        <v>Drifblim</v>
      </c>
      <c r="BU8" s="426" t="s">
        <v>216</v>
      </c>
      <c r="BV8" s="199">
        <v>7.0</v>
      </c>
      <c r="BW8" s="49"/>
      <c r="BX8" s="368" t="str">
        <f>IFERROR(__xludf.DUMMYFUNCTION("""COMPUTED_VALUE"""),"")</f>
        <v/>
      </c>
      <c r="BY8" s="370" t="str">
        <f>IFERROR(__xludf.DUMMYFUNCTION("""COMPUTED_VALUE"""),"Bombirdier")</f>
        <v>Bombirdier</v>
      </c>
      <c r="BZ8" s="426" t="s">
        <v>216</v>
      </c>
      <c r="CA8" s="199">
        <v>6.0</v>
      </c>
      <c r="CB8" s="49"/>
      <c r="CC8" s="388" t="str">
        <f>IFERROR(__xludf.DUMMYFUNCTION("""COMPUTED_VALUE"""),"")</f>
        <v/>
      </c>
      <c r="CD8" s="389" t="str">
        <f>IFERROR(__xludf.DUMMYFUNCTION("""COMPUTED_VALUE"""),"Coalossal")</f>
        <v>Coalossal</v>
      </c>
      <c r="CE8" s="426" t="s">
        <v>213</v>
      </c>
      <c r="CF8" s="199">
        <v>5.0</v>
      </c>
      <c r="CG8" s="49"/>
      <c r="CH8" s="402" t="str">
        <f>IFERROR(__xludf.DUMMYFUNCTION("""COMPUTED_VALUE"""),"")</f>
        <v/>
      </c>
      <c r="CI8" s="404" t="str">
        <f>IFERROR(__xludf.DUMMYFUNCTION("""COMPUTED_VALUE"""),"Articuno")</f>
        <v>Articuno</v>
      </c>
      <c r="CJ8" s="426" t="s">
        <v>216</v>
      </c>
      <c r="CK8" s="199">
        <v>4.0</v>
      </c>
      <c r="CL8" s="49"/>
      <c r="CM8" s="402" t="str">
        <f>IFERROR(__xludf.DUMMYFUNCTION("""COMPUTED_VALUE"""),"")</f>
        <v/>
      </c>
      <c r="CN8" s="404" t="str">
        <f>IFERROR(__xludf.DUMMYFUNCTION("""COMPUTED_VALUE"""),"Ampharos")</f>
        <v>Ampharos</v>
      </c>
      <c r="CO8" s="426" t="s">
        <v>216</v>
      </c>
      <c r="CP8" s="199">
        <v>3.0</v>
      </c>
      <c r="CQ8" s="49"/>
      <c r="CR8" s="419" t="str">
        <f>IFERROR(__xludf.DUMMYFUNCTION("""COMPUTED_VALUE"""),"")</f>
        <v/>
      </c>
      <c r="CS8" s="473" t="str">
        <f>IFERROR(__xludf.DUMMYFUNCTION("""COMPUTED_VALUE"""),"Ariados")</f>
        <v>Ariados</v>
      </c>
      <c r="CT8" s="442" t="s">
        <v>216</v>
      </c>
      <c r="CU8" s="199">
        <v>2.0</v>
      </c>
      <c r="CV8" s="49"/>
      <c r="CW8" s="453"/>
      <c r="CX8" s="455"/>
      <c r="CY8" s="426"/>
      <c r="CZ8" s="456"/>
      <c r="DA8" s="49"/>
      <c r="DB8" s="457"/>
      <c r="DC8" s="475"/>
      <c r="DD8" s="426"/>
      <c r="DE8" s="456"/>
      <c r="DF8" s="49"/>
      <c r="DG8" s="458"/>
      <c r="DH8" s="459"/>
      <c r="DI8" s="426"/>
      <c r="DJ8" s="456"/>
      <c r="DK8" s="49"/>
      <c r="DL8" s="198"/>
      <c r="DM8" s="460"/>
      <c r="DN8" s="426"/>
      <c r="DO8" s="456"/>
      <c r="DP8" s="49"/>
      <c r="DQ8" s="461"/>
      <c r="DR8" s="462"/>
      <c r="DS8" s="426"/>
      <c r="DT8" s="456"/>
      <c r="DU8" s="49"/>
      <c r="DV8" s="463"/>
      <c r="DW8" s="464"/>
      <c r="DX8" s="426"/>
      <c r="DY8" s="456"/>
      <c r="DZ8" s="49"/>
      <c r="EA8" s="465"/>
      <c r="EB8" s="466"/>
      <c r="EC8" s="426"/>
      <c r="ED8" s="456"/>
      <c r="EE8" s="49"/>
      <c r="EF8" s="17"/>
    </row>
    <row r="9" ht="17.25" customHeight="1">
      <c r="A9" s="443"/>
      <c r="B9" s="444"/>
      <c r="C9" s="170"/>
      <c r="D9" s="171" t="s">
        <v>240</v>
      </c>
      <c r="E9" s="49"/>
      <c r="F9" s="181"/>
      <c r="G9" s="205"/>
      <c r="H9" s="198" t="s">
        <v>230</v>
      </c>
      <c r="I9" s="200"/>
      <c r="J9" s="200"/>
      <c r="K9" s="200"/>
      <c r="L9" s="476"/>
      <c r="M9" s="446" t="s">
        <v>230</v>
      </c>
      <c r="N9" s="446" t="s">
        <v>216</v>
      </c>
      <c r="O9" s="200"/>
      <c r="P9" s="227" t="str">
        <f>IFERROR(__xludf.DUMMYFUNCTION("""COMPUTED_VALUE"""),"")</f>
        <v/>
      </c>
      <c r="Q9" s="232" t="str">
        <f>IFERROR(__xludf.DUMMYFUNCTION("""COMPUTED_VALUE"""),"Tornadus-Therian")</f>
        <v>Tornadus-Therian</v>
      </c>
      <c r="R9" s="198" t="s">
        <v>213</v>
      </c>
      <c r="S9" s="200"/>
      <c r="T9" s="200"/>
      <c r="U9" s="470" t="str">
        <f>IFERROR(__xludf.DUMMYFUNCTION("""COMPUTED_VALUE"""),"")</f>
        <v/>
      </c>
      <c r="V9" s="251" t="str">
        <f>IFERROR(__xludf.DUMMYFUNCTION("""COMPUTED_VALUE"""),"Meowscarada")</f>
        <v>Meowscarada</v>
      </c>
      <c r="W9" s="198" t="s">
        <v>213</v>
      </c>
      <c r="X9" s="200"/>
      <c r="Y9" s="200"/>
      <c r="Z9" s="478" t="str">
        <f>IFERROR(__xludf.DUMMYFUNCTION("""COMPUTED_VALUE"""),"")</f>
        <v/>
      </c>
      <c r="AA9" s="257" t="str">
        <f>IFERROR(__xludf.DUMMYFUNCTION("""COMPUTED_VALUE"""),"Hisuian Samurott")</f>
        <v>Hisuian Samurott</v>
      </c>
      <c r="AB9" s="198" t="s">
        <v>213</v>
      </c>
      <c r="AC9" s="200"/>
      <c r="AD9" s="200"/>
      <c r="AE9" s="263" t="str">
        <f>IFERROR(__xludf.DUMMYFUNCTION("""COMPUTED_VALUE"""),"")</f>
        <v/>
      </c>
      <c r="AF9" s="265" t="str">
        <f>IFERROR(__xludf.DUMMYFUNCTION("""COMPUTED_VALUE"""),"Jirachi")</f>
        <v>Jirachi</v>
      </c>
      <c r="AG9" s="198" t="s">
        <v>213</v>
      </c>
      <c r="AH9" s="200"/>
      <c r="AI9" s="200"/>
      <c r="AJ9" s="271" t="str">
        <f>IFERROR(__xludf.DUMMYFUNCTION("""COMPUTED_VALUE"""),"")</f>
        <v/>
      </c>
      <c r="AK9" s="272" t="str">
        <f>IFERROR(__xludf.DUMMYFUNCTION("""COMPUTED_VALUE"""),"Galarian Zapdos")</f>
        <v>Galarian Zapdos</v>
      </c>
      <c r="AL9" s="198" t="s">
        <v>216</v>
      </c>
      <c r="AM9" s="199"/>
      <c r="AN9" s="200"/>
      <c r="AO9" s="278" t="str">
        <f>IFERROR(__xludf.DUMMYFUNCTION("""COMPUTED_VALUE"""),"")</f>
        <v/>
      </c>
      <c r="AP9" s="279" t="str">
        <f>IFERROR(__xludf.DUMMYFUNCTION("""COMPUTED_VALUE"""),"Gliscor")</f>
        <v>Gliscor</v>
      </c>
      <c r="AQ9" s="198" t="s">
        <v>213</v>
      </c>
      <c r="AR9" s="199"/>
      <c r="AS9" s="200"/>
      <c r="AT9" s="200" t="str">
        <f>IFERROR(__xludf.DUMMYFUNCTION("""COMPUTED_VALUE"""),"")</f>
        <v/>
      </c>
      <c r="AU9" s="425" t="str">
        <f>IFERROR(__xludf.DUMMYFUNCTION("""COMPUTED_VALUE"""),"Blastoise")</f>
        <v>Blastoise</v>
      </c>
      <c r="AV9" s="479" t="s">
        <v>216</v>
      </c>
      <c r="AW9" s="199">
        <v>13.0</v>
      </c>
      <c r="AX9" s="49"/>
      <c r="AY9" s="296" t="str">
        <f>IFERROR(__xludf.DUMMYFUNCTION("""COMPUTED_VALUE"""),"")</f>
        <v/>
      </c>
      <c r="AZ9" s="298" t="str">
        <f>IFERROR(__xludf.DUMMYFUNCTION("""COMPUTED_VALUE"""),"Decidueye")</f>
        <v>Decidueye</v>
      </c>
      <c r="BA9" s="479" t="s">
        <v>216</v>
      </c>
      <c r="BB9" s="199">
        <v>11.0</v>
      </c>
      <c r="BC9" s="49"/>
      <c r="BD9" s="327" t="str">
        <f>IFERROR(__xludf.DUMMYFUNCTION("""COMPUTED_VALUE"""),"")</f>
        <v/>
      </c>
      <c r="BE9" s="330" t="str">
        <f>IFERROR(__xludf.DUMMYFUNCTION("""COMPUTED_VALUE"""),"Conkeldurr")</f>
        <v>Conkeldurr</v>
      </c>
      <c r="BF9" s="426" t="s">
        <v>216</v>
      </c>
      <c r="BG9" s="199">
        <v>10.0</v>
      </c>
      <c r="BH9" s="49"/>
      <c r="BI9" s="346" t="str">
        <f>IFERROR(__xludf.DUMMYFUNCTION("""COMPUTED_VALUE"""),"")</f>
        <v/>
      </c>
      <c r="BJ9" s="348" t="str">
        <f>IFERROR(__xludf.DUMMYFUNCTION("""COMPUTED_VALUE"""),"Comfey")</f>
        <v>Comfey</v>
      </c>
      <c r="BK9" s="426" t="s">
        <v>216</v>
      </c>
      <c r="BL9" s="199">
        <v>12.0</v>
      </c>
      <c r="BM9" s="49"/>
      <c r="BN9" s="429" t="str">
        <f>IFERROR(__xludf.DUMMYFUNCTION("""COMPUTED_VALUE"""),"")</f>
        <v/>
      </c>
      <c r="BO9" s="354" t="str">
        <f>IFERROR(__xludf.DUMMYFUNCTION("""COMPUTED_VALUE"""),"Brambleghast")</f>
        <v>Brambleghast</v>
      </c>
      <c r="BP9" s="426" t="s">
        <v>216</v>
      </c>
      <c r="BQ9" s="199">
        <v>8.0</v>
      </c>
      <c r="BR9" s="49"/>
      <c r="BS9" s="353" t="str">
        <f>IFERROR(__xludf.DUMMYFUNCTION("""COMPUTED_VALUE"""),"")</f>
        <v/>
      </c>
      <c r="BT9" s="361" t="str">
        <f>IFERROR(__xludf.DUMMYFUNCTION("""COMPUTED_VALUE"""),"Eelektross")</f>
        <v>Eelektross</v>
      </c>
      <c r="BU9" s="426" t="s">
        <v>216</v>
      </c>
      <c r="BV9" s="199">
        <v>7.0</v>
      </c>
      <c r="BW9" s="49"/>
      <c r="BX9" s="368" t="str">
        <f>IFERROR(__xludf.DUMMYFUNCTION("""COMPUTED_VALUE"""),"")</f>
        <v/>
      </c>
      <c r="BY9" s="370" t="str">
        <f>IFERROR(__xludf.DUMMYFUNCTION("""COMPUTED_VALUE"""),"Brute Bonnet")</f>
        <v>Brute Bonnet</v>
      </c>
      <c r="BZ9" s="426" t="s">
        <v>216</v>
      </c>
      <c r="CA9" s="199">
        <v>6.0</v>
      </c>
      <c r="CB9" s="49"/>
      <c r="CC9" s="388" t="str">
        <f>IFERROR(__xludf.DUMMYFUNCTION("""COMPUTED_VALUE"""),"")</f>
        <v/>
      </c>
      <c r="CD9" s="389" t="str">
        <f>IFERROR(__xludf.DUMMYFUNCTION("""COMPUTED_VALUE"""),"Cryogonal")</f>
        <v>Cryogonal</v>
      </c>
      <c r="CE9" s="426" t="s">
        <v>216</v>
      </c>
      <c r="CF9" s="199">
        <v>5.0</v>
      </c>
      <c r="CG9" s="49"/>
      <c r="CH9" s="402" t="str">
        <f>IFERROR(__xludf.DUMMYFUNCTION("""COMPUTED_VALUE"""),"")</f>
        <v/>
      </c>
      <c r="CI9" s="404" t="str">
        <f>IFERROR(__xludf.DUMMYFUNCTION("""COMPUTED_VALUE"""),"Avalugg")</f>
        <v>Avalugg</v>
      </c>
      <c r="CJ9" s="426" t="s">
        <v>216</v>
      </c>
      <c r="CK9" s="199">
        <v>4.0</v>
      </c>
      <c r="CL9" s="49"/>
      <c r="CM9" s="402" t="str">
        <f>IFERROR(__xludf.DUMMYFUNCTION("""COMPUTED_VALUE"""),"")</f>
        <v/>
      </c>
      <c r="CN9" s="404" t="str">
        <f>IFERROR(__xludf.DUMMYFUNCTION("""COMPUTED_VALUE"""),"Arbok")</f>
        <v>Arbok</v>
      </c>
      <c r="CO9" s="426" t="s">
        <v>216</v>
      </c>
      <c r="CP9" s="199">
        <v>3.0</v>
      </c>
      <c r="CQ9" s="49"/>
      <c r="CR9" s="419" t="str">
        <f>IFERROR(__xludf.DUMMYFUNCTION("""COMPUTED_VALUE"""),"")</f>
        <v/>
      </c>
      <c r="CS9" s="420" t="str">
        <f>IFERROR(__xludf.DUMMYFUNCTION("""COMPUTED_VALUE"""),"Banette")</f>
        <v>Banette</v>
      </c>
      <c r="CT9" s="442" t="s">
        <v>216</v>
      </c>
      <c r="CU9" s="199">
        <v>1.0</v>
      </c>
      <c r="CV9" s="49"/>
      <c r="CW9" s="453"/>
      <c r="CX9" s="455"/>
      <c r="CY9" s="426"/>
      <c r="CZ9" s="456"/>
      <c r="DA9" s="49"/>
      <c r="DB9" s="457"/>
      <c r="DC9" s="475"/>
      <c r="DD9" s="426"/>
      <c r="DE9" s="456"/>
      <c r="DF9" s="49"/>
      <c r="DG9" s="458"/>
      <c r="DH9" s="459"/>
      <c r="DI9" s="426"/>
      <c r="DJ9" s="456"/>
      <c r="DK9" s="49"/>
      <c r="DL9" s="198"/>
      <c r="DM9" s="460"/>
      <c r="DN9" s="426"/>
      <c r="DO9" s="456"/>
      <c r="DP9" s="49"/>
      <c r="DQ9" s="461"/>
      <c r="DR9" s="462"/>
      <c r="DS9" s="426"/>
      <c r="DT9" s="456"/>
      <c r="DU9" s="49"/>
      <c r="DV9" s="463"/>
      <c r="DW9" s="464"/>
      <c r="DX9" s="426"/>
      <c r="DY9" s="456"/>
      <c r="DZ9" s="49"/>
      <c r="EA9" s="465"/>
      <c r="EB9" s="466"/>
      <c r="EC9" s="426"/>
      <c r="ED9" s="456"/>
      <c r="EE9" s="49"/>
      <c r="EF9" s="17"/>
    </row>
    <row r="10" ht="17.25" customHeight="1">
      <c r="A10" s="17"/>
      <c r="B10" s="49"/>
      <c r="C10" s="170"/>
      <c r="D10" s="171" t="s">
        <v>247</v>
      </c>
      <c r="E10" s="49"/>
      <c r="F10" s="200"/>
      <c r="G10" s="200"/>
      <c r="H10" s="200" t="s">
        <v>230</v>
      </c>
      <c r="I10" s="200"/>
      <c r="J10" s="200"/>
      <c r="K10" s="200"/>
      <c r="L10" s="476"/>
      <c r="M10" s="200" t="s">
        <v>230</v>
      </c>
      <c r="N10" s="200"/>
      <c r="O10" s="200"/>
      <c r="P10" s="200"/>
      <c r="Q10" s="476"/>
      <c r="R10" s="200" t="s">
        <v>230</v>
      </c>
      <c r="S10" s="200"/>
      <c r="T10" s="200"/>
      <c r="U10" s="250" t="str">
        <f>IFERROR(__xludf.DUMMYFUNCTION("""COMPUTED_VALUE"""),"")</f>
        <v/>
      </c>
      <c r="V10" s="251" t="str">
        <f>IFERROR(__xludf.DUMMYFUNCTION("""COMPUTED_VALUE"""),"Sneasler")</f>
        <v>Sneasler</v>
      </c>
      <c r="W10" s="198" t="s">
        <v>213</v>
      </c>
      <c r="X10" s="200"/>
      <c r="Y10" s="200"/>
      <c r="Z10" s="478" t="str">
        <f>IFERROR(__xludf.DUMMYFUNCTION("""COMPUTED_VALUE"""),"")</f>
        <v/>
      </c>
      <c r="AA10" s="257" t="str">
        <f>IFERROR(__xludf.DUMMYFUNCTION("""COMPUTED_VALUE"""),"Iron Boulder")</f>
        <v>Iron Boulder</v>
      </c>
      <c r="AB10" s="198" t="s">
        <v>213</v>
      </c>
      <c r="AC10" s="200"/>
      <c r="AD10" s="200"/>
      <c r="AE10" s="263" t="str">
        <f>IFERROR(__xludf.DUMMYFUNCTION("""COMPUTED_VALUE"""),"")</f>
        <v/>
      </c>
      <c r="AF10" s="265" t="str">
        <f>IFERROR(__xludf.DUMMYFUNCTION("""COMPUTED_VALUE"""),"Kingambit")</f>
        <v>Kingambit</v>
      </c>
      <c r="AG10" s="198" t="s">
        <v>216</v>
      </c>
      <c r="AH10" s="200"/>
      <c r="AI10" s="200"/>
      <c r="AJ10" s="271" t="str">
        <f>IFERROR(__xludf.DUMMYFUNCTION("""COMPUTED_VALUE"""),"")</f>
        <v/>
      </c>
      <c r="AK10" s="272" t="str">
        <f>IFERROR(__xludf.DUMMYFUNCTION("""COMPUTED_VALUE"""),"Glimmora")</f>
        <v>Glimmora</v>
      </c>
      <c r="AL10" s="198" t="s">
        <v>216</v>
      </c>
      <c r="AM10" s="200"/>
      <c r="AN10" s="200"/>
      <c r="AO10" s="278" t="str">
        <f>IFERROR(__xludf.DUMMYFUNCTION("""COMPUTED_VALUE"""),"")</f>
        <v/>
      </c>
      <c r="AP10" s="279" t="str">
        <f>IFERROR(__xludf.DUMMYFUNCTION("""COMPUTED_VALUE"""),"Grimmsnarl")</f>
        <v>Grimmsnarl</v>
      </c>
      <c r="AQ10" s="198" t="s">
        <v>213</v>
      </c>
      <c r="AR10" s="199"/>
      <c r="AS10" s="200"/>
      <c r="AT10" s="200" t="str">
        <f>IFERROR(__xludf.DUMMYFUNCTION("""COMPUTED_VALUE"""),"")</f>
        <v/>
      </c>
      <c r="AU10" s="425" t="str">
        <f>IFERROR(__xludf.DUMMYFUNCTION("""COMPUTED_VALUE"""),"Donphan")</f>
        <v>Donphan</v>
      </c>
      <c r="AV10" s="479" t="s">
        <v>216</v>
      </c>
      <c r="AW10" s="199">
        <v>12.0</v>
      </c>
      <c r="AX10" s="49"/>
      <c r="AY10" s="296" t="str">
        <f>IFERROR(__xludf.DUMMYFUNCTION("""COMPUTED_VALUE"""),"")</f>
        <v/>
      </c>
      <c r="AZ10" s="298" t="str">
        <f>IFERROR(__xludf.DUMMYFUNCTION("""COMPUTED_VALUE"""),"Empoleon")</f>
        <v>Empoleon</v>
      </c>
      <c r="BA10" s="479" t="s">
        <v>216</v>
      </c>
      <c r="BB10" s="199">
        <v>11.0</v>
      </c>
      <c r="BC10" s="49"/>
      <c r="BD10" s="327" t="str">
        <f>IFERROR(__xludf.DUMMYFUNCTION("""COMPUTED_VALUE"""),"")</f>
        <v/>
      </c>
      <c r="BE10" s="330" t="str">
        <f>IFERROR(__xludf.DUMMYFUNCTION("""COMPUTED_VALUE"""),"Cresselia")</f>
        <v>Cresselia</v>
      </c>
      <c r="BF10" s="426" t="s">
        <v>216</v>
      </c>
      <c r="BG10" s="199">
        <v>12.0</v>
      </c>
      <c r="BH10" s="49"/>
      <c r="BI10" s="346" t="str">
        <f>IFERROR(__xludf.DUMMYFUNCTION("""COMPUTED_VALUE"""),"")</f>
        <v/>
      </c>
      <c r="BJ10" s="348" t="str">
        <f>IFERROR(__xludf.DUMMYFUNCTION("""COMPUTED_VALUE"""),"Copperajah")</f>
        <v>Copperajah</v>
      </c>
      <c r="BK10" s="426" t="s">
        <v>216</v>
      </c>
      <c r="BL10" s="199">
        <v>9.0</v>
      </c>
      <c r="BM10" s="49"/>
      <c r="BN10" s="429" t="str">
        <f>IFERROR(__xludf.DUMMYFUNCTION("""COMPUTED_VALUE"""),"")</f>
        <v/>
      </c>
      <c r="BO10" s="485" t="str">
        <f>IFERROR(__xludf.DUMMYFUNCTION("""COMPUTED_VALUE"""),"Chandelure")</f>
        <v>Chandelure</v>
      </c>
      <c r="BP10" s="426" t="s">
        <v>216</v>
      </c>
      <c r="BQ10" s="199">
        <v>8.0</v>
      </c>
      <c r="BR10" s="49"/>
      <c r="BS10" s="353" t="str">
        <f>IFERROR(__xludf.DUMMYFUNCTION("""COMPUTED_VALUE"""),"")</f>
        <v/>
      </c>
      <c r="BT10" s="361" t="str">
        <f>IFERROR(__xludf.DUMMYFUNCTION("""COMPUTED_VALUE"""),"Espeon")</f>
        <v>Espeon</v>
      </c>
      <c r="BU10" s="426" t="s">
        <v>216</v>
      </c>
      <c r="BV10" s="199">
        <v>7.0</v>
      </c>
      <c r="BW10" s="49"/>
      <c r="BX10" s="368" t="str">
        <f>IFERROR(__xludf.DUMMYFUNCTION("""COMPUTED_VALUE"""),"")</f>
        <v/>
      </c>
      <c r="BY10" s="370" t="str">
        <f>IFERROR(__xludf.DUMMYFUNCTION("""COMPUTED_VALUE"""),"Chansey")</f>
        <v>Chansey</v>
      </c>
      <c r="BZ10" s="426" t="s">
        <v>213</v>
      </c>
      <c r="CA10" s="199">
        <v>6.0</v>
      </c>
      <c r="CB10" s="49"/>
      <c r="CC10" s="388" t="str">
        <f>IFERROR(__xludf.DUMMYFUNCTION("""COMPUTED_VALUE"""),"")</f>
        <v/>
      </c>
      <c r="CD10" s="389" t="str">
        <f>IFERROR(__xludf.DUMMYFUNCTION("""COMPUTED_VALUE"""),"Dunsparce")</f>
        <v>Dunsparce</v>
      </c>
      <c r="CE10" s="426" t="s">
        <v>216</v>
      </c>
      <c r="CF10" s="199">
        <v>5.0</v>
      </c>
      <c r="CG10" s="49"/>
      <c r="CH10" s="402" t="str">
        <f>IFERROR(__xludf.DUMMYFUNCTION("""COMPUTED_VALUE"""),"")</f>
        <v/>
      </c>
      <c r="CI10" s="404" t="str">
        <f>IFERROR(__xludf.DUMMYFUNCTION("""COMPUTED_VALUE"""),"Bruxish")</f>
        <v>Bruxish</v>
      </c>
      <c r="CJ10" s="426" t="s">
        <v>216</v>
      </c>
      <c r="CK10" s="199">
        <v>4.0</v>
      </c>
      <c r="CL10" s="49"/>
      <c r="CM10" s="402" t="str">
        <f>IFERROR(__xludf.DUMMYFUNCTION("""COMPUTED_VALUE"""),"")</f>
        <v/>
      </c>
      <c r="CN10" s="404" t="str">
        <f>IFERROR(__xludf.DUMMYFUNCTION("""COMPUTED_VALUE"""),"Basculin")</f>
        <v>Basculin</v>
      </c>
      <c r="CO10" s="426" t="s">
        <v>216</v>
      </c>
      <c r="CP10" s="199">
        <v>3.0</v>
      </c>
      <c r="CQ10" s="49"/>
      <c r="CR10" s="419" t="str">
        <f>IFERROR(__xludf.DUMMYFUNCTION("""COMPUTED_VALUE"""),"")</f>
        <v/>
      </c>
      <c r="CS10" s="420" t="str">
        <f>IFERROR(__xludf.DUMMYFUNCTION("""COMPUTED_VALUE"""),"Bastiodon")</f>
        <v>Bastiodon</v>
      </c>
      <c r="CT10" s="442" t="s">
        <v>216</v>
      </c>
      <c r="CU10" s="199">
        <v>3.0</v>
      </c>
      <c r="CV10" s="49"/>
      <c r="CW10" s="453"/>
      <c r="CX10" s="455"/>
      <c r="CY10" s="426"/>
      <c r="CZ10" s="456"/>
      <c r="DA10" s="49"/>
      <c r="DB10" s="457"/>
      <c r="DD10" s="426"/>
      <c r="DE10" s="456"/>
      <c r="DF10" s="49"/>
      <c r="DG10" s="458"/>
      <c r="DH10" s="459"/>
      <c r="DI10" s="426"/>
      <c r="DJ10" s="456"/>
      <c r="DK10" s="49"/>
      <c r="DL10" s="198"/>
      <c r="DM10" s="460"/>
      <c r="DN10" s="426"/>
      <c r="DO10" s="456"/>
      <c r="DP10" s="49"/>
      <c r="DQ10" s="461"/>
      <c r="DR10" s="462"/>
      <c r="DS10" s="426"/>
      <c r="DT10" s="456"/>
      <c r="DU10" s="49"/>
      <c r="DV10" s="463"/>
      <c r="DW10" s="464"/>
      <c r="DX10" s="426"/>
      <c r="DY10" s="456"/>
      <c r="DZ10" s="49"/>
      <c r="EA10" s="465"/>
      <c r="EB10" s="466"/>
      <c r="EC10" s="426"/>
      <c r="ED10" s="456"/>
      <c r="EE10" s="49"/>
      <c r="EF10" s="17"/>
    </row>
    <row r="11" ht="17.25" customHeight="1">
      <c r="A11" s="443"/>
      <c r="B11" s="444"/>
      <c r="C11" s="170"/>
      <c r="D11" s="171" t="s">
        <v>249</v>
      </c>
      <c r="E11" s="49"/>
      <c r="F11" s="200"/>
      <c r="G11" s="200"/>
      <c r="H11" s="200" t="s">
        <v>230</v>
      </c>
      <c r="I11" s="200"/>
      <c r="J11" s="200"/>
      <c r="K11" s="200"/>
      <c r="L11" s="476"/>
      <c r="M11" s="200" t="s">
        <v>230</v>
      </c>
      <c r="N11" s="200"/>
      <c r="O11" s="200"/>
      <c r="P11" s="200"/>
      <c r="Q11" s="476"/>
      <c r="R11" s="200" t="s">
        <v>230</v>
      </c>
      <c r="S11" s="200"/>
      <c r="T11" s="200"/>
      <c r="U11" s="470" t="str">
        <f>IFERROR(__xludf.DUMMYFUNCTION("""COMPUTED_VALUE"""),"")</f>
        <v/>
      </c>
      <c r="V11" s="251" t="str">
        <f>IFERROR(__xludf.DUMMYFUNCTION("""COMPUTED_VALUE"""),"Ursaluna-Bloodmoon")</f>
        <v>Ursaluna-Bloodmoon</v>
      </c>
      <c r="W11" s="198" t="s">
        <v>213</v>
      </c>
      <c r="X11" s="200"/>
      <c r="Y11" s="200"/>
      <c r="Z11" s="478" t="str">
        <f>IFERROR(__xludf.DUMMYFUNCTION("""COMPUTED_VALUE"""),"")</f>
        <v/>
      </c>
      <c r="AA11" s="257" t="str">
        <f>IFERROR(__xludf.DUMMYFUNCTION("""COMPUTED_VALUE"""),"Iron Bundle")</f>
        <v>Iron Bundle</v>
      </c>
      <c r="AB11" s="198" t="s">
        <v>216</v>
      </c>
      <c r="AC11" s="200"/>
      <c r="AD11" s="200"/>
      <c r="AE11" s="263" t="str">
        <f>IFERROR(__xludf.DUMMYFUNCTION("""COMPUTED_VALUE"""),"")</f>
        <v/>
      </c>
      <c r="AF11" s="265" t="str">
        <f>IFERROR(__xludf.DUMMYFUNCTION("""COMPUTED_VALUE"""),"Landorus-Incarnate")</f>
        <v>Landorus-Incarnate</v>
      </c>
      <c r="AG11" s="198" t="s">
        <v>213</v>
      </c>
      <c r="AH11" s="200"/>
      <c r="AI11" s="200"/>
      <c r="AJ11" s="271" t="str">
        <f>IFERROR(__xludf.DUMMYFUNCTION("""COMPUTED_VALUE"""),"")</f>
        <v/>
      </c>
      <c r="AK11" s="272" t="str">
        <f>IFERROR(__xludf.DUMMYFUNCTION("""COMPUTED_VALUE"""),"Heatran")</f>
        <v>Heatran</v>
      </c>
      <c r="AL11" s="198" t="s">
        <v>213</v>
      </c>
      <c r="AM11" s="200"/>
      <c r="AN11" s="200"/>
      <c r="AO11" s="278" t="str">
        <f>IFERROR(__xludf.DUMMYFUNCTION("""COMPUTED_VALUE"""),"")</f>
        <v/>
      </c>
      <c r="AP11" s="279" t="str">
        <f>IFERROR(__xludf.DUMMYFUNCTION("""COMPUTED_VALUE"""),"Hisuian Arcanine")</f>
        <v>Hisuian Arcanine</v>
      </c>
      <c r="AQ11" s="198" t="s">
        <v>213</v>
      </c>
      <c r="AR11" s="446" t="s">
        <v>216</v>
      </c>
      <c r="AS11" s="200"/>
      <c r="AT11" s="200" t="str">
        <f>IFERROR(__xludf.DUMMYFUNCTION("""COMPUTED_VALUE"""),"")</f>
        <v/>
      </c>
      <c r="AU11" s="425" t="str">
        <f>IFERROR(__xludf.DUMMYFUNCTION("""COMPUTED_VALUE"""),"Gardevoir")</f>
        <v>Gardevoir</v>
      </c>
      <c r="AV11" s="479" t="s">
        <v>216</v>
      </c>
      <c r="AW11" s="486">
        <v>13.0</v>
      </c>
      <c r="AX11" s="49"/>
      <c r="AY11" s="296" t="str">
        <f>IFERROR(__xludf.DUMMYFUNCTION("""COMPUTED_VALUE"""),"")</f>
        <v/>
      </c>
      <c r="AZ11" s="298" t="str">
        <f>IFERROR(__xludf.DUMMYFUNCTION("""COMPUTED_VALUE"""),"Enamorus-Therian")</f>
        <v>Enamorus-Therian</v>
      </c>
      <c r="BA11" s="479" t="s">
        <v>216</v>
      </c>
      <c r="BB11" s="486">
        <v>12.0</v>
      </c>
      <c r="BC11" s="49"/>
      <c r="BD11" s="327" t="str">
        <f>IFERROR(__xludf.DUMMYFUNCTION("""COMPUTED_VALUE"""),"")</f>
        <v/>
      </c>
      <c r="BE11" s="330" t="str">
        <f>IFERROR(__xludf.DUMMYFUNCTION("""COMPUTED_VALUE"""),"Diancie")</f>
        <v>Diancie</v>
      </c>
      <c r="BF11" s="426" t="s">
        <v>216</v>
      </c>
      <c r="BG11" s="456">
        <v>11.0</v>
      </c>
      <c r="BH11" s="49"/>
      <c r="BI11" s="346" t="str">
        <f>IFERROR(__xludf.DUMMYFUNCTION("""COMPUTED_VALUE"""),"")</f>
        <v/>
      </c>
      <c r="BJ11" s="348" t="str">
        <f>IFERROR(__xludf.DUMMYFUNCTION("""COMPUTED_VALUE"""),"Crawdaunt")</f>
        <v>Crawdaunt</v>
      </c>
      <c r="BK11" s="426" t="s">
        <v>216</v>
      </c>
      <c r="BL11" s="456">
        <v>9.0</v>
      </c>
      <c r="BM11" s="49"/>
      <c r="BN11" s="429" t="str">
        <f>IFERROR(__xludf.DUMMYFUNCTION("""COMPUTED_VALUE"""),"")</f>
        <v/>
      </c>
      <c r="BO11" s="354" t="str">
        <f>IFERROR(__xludf.DUMMYFUNCTION("""COMPUTED_VALUE"""),"Emboar")</f>
        <v>Emboar</v>
      </c>
      <c r="BP11" s="426" t="s">
        <v>216</v>
      </c>
      <c r="BQ11" s="456">
        <v>8.0</v>
      </c>
      <c r="BR11" s="49"/>
      <c r="BS11" s="353" t="str">
        <f>IFERROR(__xludf.DUMMYFUNCTION("""COMPUTED_VALUE"""),"")</f>
        <v/>
      </c>
      <c r="BT11" s="472" t="str">
        <f>IFERROR(__xludf.DUMMYFUNCTION("""COMPUTED_VALUE"""),"Floatzel")</f>
        <v>Floatzel</v>
      </c>
      <c r="BU11" s="426" t="s">
        <v>216</v>
      </c>
      <c r="BV11" s="456">
        <v>8.0</v>
      </c>
      <c r="BW11" s="49"/>
      <c r="BX11" s="368" t="str">
        <f>IFERROR(__xludf.DUMMYFUNCTION("""COMPUTED_VALUE"""),"")</f>
        <v/>
      </c>
      <c r="BY11" s="370" t="str">
        <f>IFERROR(__xludf.DUMMYFUNCTION("""COMPUTED_VALUE"""),"Cinccino")</f>
        <v>Cinccino</v>
      </c>
      <c r="BZ11" s="426" t="s">
        <v>213</v>
      </c>
      <c r="CA11" s="456">
        <v>6.0</v>
      </c>
      <c r="CB11" s="49"/>
      <c r="CC11" s="388" t="str">
        <f>IFERROR(__xludf.DUMMYFUNCTION("""COMPUTED_VALUE"""),"")</f>
        <v/>
      </c>
      <c r="CD11" s="389" t="str">
        <f>IFERROR(__xludf.DUMMYFUNCTION("""COMPUTED_VALUE"""),"Duraludon")</f>
        <v>Duraludon</v>
      </c>
      <c r="CE11" s="426" t="s">
        <v>216</v>
      </c>
      <c r="CF11" s="456">
        <v>5.0</v>
      </c>
      <c r="CG11" s="49"/>
      <c r="CH11" s="402" t="str">
        <f>IFERROR(__xludf.DUMMYFUNCTION("""COMPUTED_VALUE"""),"")</f>
        <v/>
      </c>
      <c r="CI11" s="404" t="str">
        <f>IFERROR(__xludf.DUMMYFUNCTION("""COMPUTED_VALUE"""),"Clawitzer")</f>
        <v>Clawitzer</v>
      </c>
      <c r="CJ11" s="426" t="s">
        <v>216</v>
      </c>
      <c r="CK11" s="456">
        <v>4.0</v>
      </c>
      <c r="CL11" s="49"/>
      <c r="CM11" s="402" t="str">
        <f>IFERROR(__xludf.DUMMYFUNCTION("""COMPUTED_VALUE"""),"")</f>
        <v/>
      </c>
      <c r="CN11" s="404" t="str">
        <f>IFERROR(__xludf.DUMMYFUNCTION("""COMPUTED_VALUE"""),"Beartic")</f>
        <v>Beartic</v>
      </c>
      <c r="CO11" s="426" t="s">
        <v>216</v>
      </c>
      <c r="CP11" s="456">
        <v>3.0</v>
      </c>
      <c r="CQ11" s="49"/>
      <c r="CR11" s="419" t="str">
        <f>IFERROR(__xludf.DUMMYFUNCTION("""COMPUTED_VALUE"""),"")</f>
        <v/>
      </c>
      <c r="CS11" s="420" t="str">
        <f>IFERROR(__xludf.DUMMYFUNCTION("""COMPUTED_VALUE"""),"Bayleef")</f>
        <v>Bayleef</v>
      </c>
      <c r="CT11" s="442" t="s">
        <v>216</v>
      </c>
      <c r="CU11" s="456">
        <v>1.0</v>
      </c>
      <c r="CV11" s="49"/>
      <c r="CW11" s="453"/>
      <c r="CX11" s="455"/>
      <c r="CY11" s="426"/>
      <c r="CZ11" s="456"/>
      <c r="DA11" s="49"/>
      <c r="DB11" s="457"/>
      <c r="DC11" s="475"/>
      <c r="DD11" s="426"/>
      <c r="DE11" s="456"/>
      <c r="DF11" s="49"/>
      <c r="DG11" s="458"/>
      <c r="DH11" s="459"/>
      <c r="DI11" s="426"/>
      <c r="DJ11" s="456"/>
      <c r="DK11" s="49"/>
      <c r="DL11" s="198"/>
      <c r="DM11" s="460"/>
      <c r="DN11" s="426"/>
      <c r="DO11" s="456"/>
      <c r="DP11" s="49"/>
      <c r="DQ11" s="461"/>
      <c r="DR11" s="462"/>
      <c r="DS11" s="426"/>
      <c r="DT11" s="456"/>
      <c r="DU11" s="49"/>
      <c r="DV11" s="463"/>
      <c r="DW11" s="464"/>
      <c r="DX11" s="426"/>
      <c r="DY11" s="456"/>
      <c r="DZ11" s="49"/>
      <c r="EA11" s="465"/>
      <c r="EB11" s="466"/>
      <c r="EC11" s="426"/>
      <c r="ED11" s="456"/>
      <c r="EE11" s="49"/>
      <c r="EF11" s="17"/>
    </row>
    <row r="12" ht="17.25" customHeight="1">
      <c r="A12" s="468"/>
      <c r="B12" s="469"/>
      <c r="C12" s="170"/>
      <c r="D12" s="171" t="s">
        <v>250</v>
      </c>
      <c r="E12" s="49"/>
      <c r="F12" s="200"/>
      <c r="G12" s="200"/>
      <c r="H12" s="200" t="s">
        <v>230</v>
      </c>
      <c r="I12" s="200"/>
      <c r="J12" s="200"/>
      <c r="K12" s="200"/>
      <c r="L12" s="476"/>
      <c r="M12" s="200" t="s">
        <v>230</v>
      </c>
      <c r="N12" s="200"/>
      <c r="O12" s="200"/>
      <c r="P12" s="200"/>
      <c r="Q12" s="476"/>
      <c r="R12" s="200" t="s">
        <v>230</v>
      </c>
      <c r="S12" s="200"/>
      <c r="T12" s="200"/>
      <c r="U12" s="470" t="str">
        <f>IFERROR(__xludf.DUMMYFUNCTION("""COMPUTED_VALUE"""),"")</f>
        <v/>
      </c>
      <c r="V12" s="251" t="str">
        <f>IFERROR(__xludf.DUMMYFUNCTION("""COMPUTED_VALUE"""),"Urshifu-Single-Strike")</f>
        <v>Urshifu-Single-Strike</v>
      </c>
      <c r="W12" s="198" t="s">
        <v>213</v>
      </c>
      <c r="X12" s="200"/>
      <c r="Y12" s="200"/>
      <c r="Z12" s="478" t="str">
        <f>IFERROR(__xludf.DUMMYFUNCTION("""COMPUTED_VALUE"""),"")</f>
        <v/>
      </c>
      <c r="AA12" s="257" t="str">
        <f>IFERROR(__xludf.DUMMYFUNCTION("""COMPUTED_VALUE"""),"Iron Hands")</f>
        <v>Iron Hands</v>
      </c>
      <c r="AB12" s="198" t="s">
        <v>213</v>
      </c>
      <c r="AC12" s="200"/>
      <c r="AD12" s="200"/>
      <c r="AE12" s="263" t="str">
        <f>IFERROR(__xludf.DUMMYFUNCTION("""COMPUTED_VALUE"""),"")</f>
        <v/>
      </c>
      <c r="AF12" s="265" t="str">
        <f>IFERROR(__xludf.DUMMYFUNCTION("""COMPUTED_VALUE"""),"Landorus-Therian")</f>
        <v>Landorus-Therian</v>
      </c>
      <c r="AG12" s="198" t="s">
        <v>216</v>
      </c>
      <c r="AH12" s="200"/>
      <c r="AI12" s="200"/>
      <c r="AJ12" s="271" t="str">
        <f>IFERROR(__xludf.DUMMYFUNCTION("""COMPUTED_VALUE"""),"")</f>
        <v/>
      </c>
      <c r="AK12" s="272" t="str">
        <f>IFERROR(__xludf.DUMMYFUNCTION("""COMPUTED_VALUE"""),"Infernape")</f>
        <v>Infernape</v>
      </c>
      <c r="AL12" s="198" t="s">
        <v>216</v>
      </c>
      <c r="AM12" s="200"/>
      <c r="AN12" s="200"/>
      <c r="AO12" s="278" t="str">
        <f>IFERROR(__xludf.DUMMYFUNCTION("""COMPUTED_VALUE"""),"")</f>
        <v/>
      </c>
      <c r="AP12" s="279" t="str">
        <f>IFERROR(__xludf.DUMMYFUNCTION("""COMPUTED_VALUE"""),"Hisuian Goodra")</f>
        <v>Hisuian Goodra</v>
      </c>
      <c r="AQ12" s="198" t="s">
        <v>216</v>
      </c>
      <c r="AR12" s="200"/>
      <c r="AS12" s="200"/>
      <c r="AT12" s="200" t="str">
        <f>IFERROR(__xludf.DUMMYFUNCTION("""COMPUTED_VALUE"""),"")</f>
        <v/>
      </c>
      <c r="AU12" s="425" t="str">
        <f>IFERROR(__xludf.DUMMYFUNCTION("""COMPUTED_VALUE"""),"Gothitelle")</f>
        <v>Gothitelle</v>
      </c>
      <c r="AV12" s="479" t="s">
        <v>216</v>
      </c>
      <c r="AW12" s="486">
        <v>14.0</v>
      </c>
      <c r="AX12" s="49"/>
      <c r="AY12" s="296" t="str">
        <f>IFERROR(__xludf.DUMMYFUNCTION("""COMPUTED_VALUE"""),"")</f>
        <v/>
      </c>
      <c r="AZ12" s="298" t="str">
        <f>IFERROR(__xludf.DUMMYFUNCTION("""COMPUTED_VALUE"""),"Fezandipiti")</f>
        <v>Fezandipiti</v>
      </c>
      <c r="BA12" s="479" t="s">
        <v>216</v>
      </c>
      <c r="BB12" s="486">
        <v>11.0</v>
      </c>
      <c r="BC12" s="49"/>
      <c r="BD12" s="327" t="str">
        <f>IFERROR(__xludf.DUMMYFUNCTION("""COMPUTED_VALUE"""),"")</f>
        <v/>
      </c>
      <c r="BE12" s="330" t="str">
        <f>IFERROR(__xludf.DUMMYFUNCTION("""COMPUTED_VALUE"""),"Dondozo")</f>
        <v>Dondozo</v>
      </c>
      <c r="BF12" s="426" t="s">
        <v>216</v>
      </c>
      <c r="BG12" s="456">
        <v>10.0</v>
      </c>
      <c r="BH12" s="49"/>
      <c r="BI12" s="346" t="str">
        <f>IFERROR(__xludf.DUMMYFUNCTION("""COMPUTED_VALUE"""),"")</f>
        <v/>
      </c>
      <c r="BJ12" s="348" t="str">
        <f>IFERROR(__xludf.DUMMYFUNCTION("""COMPUTED_VALUE"""),"Delphox")</f>
        <v>Delphox</v>
      </c>
      <c r="BK12" s="426" t="s">
        <v>216</v>
      </c>
      <c r="BL12" s="456">
        <v>9.0</v>
      </c>
      <c r="BM12" s="49"/>
      <c r="BN12" s="429" t="str">
        <f>IFERROR(__xludf.DUMMYFUNCTION("""COMPUTED_VALUE"""),"")</f>
        <v/>
      </c>
      <c r="BO12" s="354" t="str">
        <f>IFERROR(__xludf.DUMMYFUNCTION("""COMPUTED_VALUE"""),"Farigiraf")</f>
        <v>Farigiraf</v>
      </c>
      <c r="BP12" s="426" t="s">
        <v>216</v>
      </c>
      <c r="BQ12" s="456">
        <v>8.0</v>
      </c>
      <c r="BR12" s="49"/>
      <c r="BS12" s="353" t="str">
        <f>IFERROR(__xludf.DUMMYFUNCTION("""COMPUTED_VALUE"""),"")</f>
        <v/>
      </c>
      <c r="BT12" s="361" t="str">
        <f>IFERROR(__xludf.DUMMYFUNCTION("""COMPUTED_VALUE"""),"Flygon")</f>
        <v>Flygon</v>
      </c>
      <c r="BU12" s="426" t="s">
        <v>216</v>
      </c>
      <c r="BV12" s="456">
        <v>8.0</v>
      </c>
      <c r="BW12" s="49"/>
      <c r="BX12" s="368" t="str">
        <f>IFERROR(__xludf.DUMMYFUNCTION("""COMPUTED_VALUE"""),"")</f>
        <v/>
      </c>
      <c r="BY12" s="370" t="str">
        <f>IFERROR(__xludf.DUMMYFUNCTION("""COMPUTED_VALUE"""),"Drednaw")</f>
        <v>Drednaw</v>
      </c>
      <c r="BZ12" s="426" t="s">
        <v>216</v>
      </c>
      <c r="CA12" s="456">
        <v>7.0</v>
      </c>
      <c r="CB12" s="49"/>
      <c r="CC12" s="388" t="str">
        <f>IFERROR(__xludf.DUMMYFUNCTION("""COMPUTED_VALUE"""),"")</f>
        <v/>
      </c>
      <c r="CD12" s="389" t="str">
        <f>IFERROR(__xludf.DUMMYFUNCTION("""COMPUTED_VALUE"""),"Electivire")</f>
        <v>Electivire</v>
      </c>
      <c r="CE12" s="426" t="s">
        <v>216</v>
      </c>
      <c r="CF12" s="456">
        <v>5.0</v>
      </c>
      <c r="CG12" s="49"/>
      <c r="CH12" s="402" t="str">
        <f>IFERROR(__xludf.DUMMYFUNCTION("""COMPUTED_VALUE"""),"")</f>
        <v/>
      </c>
      <c r="CI12" s="439" t="str">
        <f>IFERROR(__xludf.DUMMYFUNCTION("""COMPUTED_VALUE"""),"Clefairy")</f>
        <v>Clefairy</v>
      </c>
      <c r="CJ12" s="426" t="s">
        <v>216</v>
      </c>
      <c r="CK12" s="456">
        <v>4.0</v>
      </c>
      <c r="CL12" s="49"/>
      <c r="CM12" s="402" t="str">
        <f>IFERROR(__xludf.DUMMYFUNCTION("""COMPUTED_VALUE"""),"")</f>
        <v/>
      </c>
      <c r="CN12" s="439" t="str">
        <f>IFERROR(__xludf.DUMMYFUNCTION("""COMPUTED_VALUE"""),"Bellossom")</f>
        <v>Bellossom</v>
      </c>
      <c r="CO12" s="426" t="s">
        <v>216</v>
      </c>
      <c r="CP12" s="456">
        <v>3.0</v>
      </c>
      <c r="CQ12" s="49"/>
      <c r="CR12" s="419" t="str">
        <f>IFERROR(__xludf.DUMMYFUNCTION("""COMPUTED_VALUE"""),"")</f>
        <v/>
      </c>
      <c r="CS12" s="487" t="str">
        <f>IFERROR(__xludf.DUMMYFUNCTION("""COMPUTED_VALUE"""),"Brionne")</f>
        <v>Brionne</v>
      </c>
      <c r="CT12" s="442" t="s">
        <v>216</v>
      </c>
      <c r="CU12" s="456">
        <v>1.0</v>
      </c>
      <c r="CV12" s="49"/>
      <c r="CW12" s="453"/>
      <c r="CX12" s="455"/>
      <c r="CY12" s="426"/>
      <c r="CZ12" s="456"/>
      <c r="DA12" s="49"/>
      <c r="DB12" s="457"/>
      <c r="DC12" s="475"/>
      <c r="DD12" s="426"/>
      <c r="DE12" s="456"/>
      <c r="DF12" s="49"/>
      <c r="DG12" s="458"/>
      <c r="DH12" s="459"/>
      <c r="DI12" s="426"/>
      <c r="DJ12" s="456"/>
      <c r="DK12" s="49"/>
      <c r="DL12" s="198"/>
      <c r="DM12" s="460"/>
      <c r="DN12" s="426"/>
      <c r="DO12" s="456"/>
      <c r="DP12" s="49"/>
      <c r="DQ12" s="461"/>
      <c r="DR12" s="462"/>
      <c r="DS12" s="426"/>
      <c r="DT12" s="456"/>
      <c r="DU12" s="49"/>
      <c r="DV12" s="463"/>
      <c r="DW12" s="464"/>
      <c r="DX12" s="426"/>
      <c r="DY12" s="456"/>
      <c r="DZ12" s="49"/>
      <c r="EA12" s="465"/>
      <c r="EB12" s="466"/>
      <c r="EC12" s="426"/>
      <c r="ED12" s="456"/>
      <c r="EE12" s="49"/>
      <c r="EF12" s="17"/>
    </row>
    <row r="13" ht="17.25" customHeight="1">
      <c r="A13" s="17"/>
      <c r="B13" s="49"/>
      <c r="C13" s="170"/>
      <c r="D13" s="171" t="s">
        <v>252</v>
      </c>
      <c r="E13" s="49"/>
      <c r="F13" s="200"/>
      <c r="G13" s="200"/>
      <c r="H13" s="200" t="s">
        <v>230</v>
      </c>
      <c r="I13" s="200"/>
      <c r="J13" s="200"/>
      <c r="K13" s="200"/>
      <c r="L13" s="476"/>
      <c r="M13" s="200" t="s">
        <v>230</v>
      </c>
      <c r="N13" s="200"/>
      <c r="O13" s="200"/>
      <c r="P13" s="200"/>
      <c r="Q13" s="476"/>
      <c r="R13" s="200" t="s">
        <v>230</v>
      </c>
      <c r="S13" s="200"/>
      <c r="T13" s="200"/>
      <c r="U13" s="200"/>
      <c r="V13" s="476"/>
      <c r="W13" s="200" t="s">
        <v>230</v>
      </c>
      <c r="X13" s="200"/>
      <c r="Y13" s="200"/>
      <c r="Z13" s="255" t="str">
        <f>IFERROR(__xludf.DUMMYFUNCTION("""COMPUTED_VALUE"""),"")</f>
        <v/>
      </c>
      <c r="AA13" s="257" t="str">
        <f>IFERROR(__xludf.DUMMYFUNCTION("""COMPUTED_VALUE"""),"Iron Treads")</f>
        <v>Iron Treads</v>
      </c>
      <c r="AB13" s="198" t="s">
        <v>216</v>
      </c>
      <c r="AC13" s="200"/>
      <c r="AD13" s="200"/>
      <c r="AE13" s="263" t="str">
        <f>IFERROR(__xludf.DUMMYFUNCTION("""COMPUTED_VALUE"""),"")</f>
        <v/>
      </c>
      <c r="AF13" s="265" t="str">
        <f>IFERROR(__xludf.DUMMYFUNCTION("""COMPUTED_VALUE"""),"Mew")</f>
        <v>Mew</v>
      </c>
      <c r="AG13" s="198" t="s">
        <v>216</v>
      </c>
      <c r="AH13" s="200"/>
      <c r="AI13" s="200"/>
      <c r="AJ13" s="271" t="str">
        <f>IFERROR(__xludf.DUMMYFUNCTION("""COMPUTED_VALUE"""),"")</f>
        <v/>
      </c>
      <c r="AK13" s="272" t="str">
        <f>IFERROR(__xludf.DUMMYFUNCTION("""COMPUTED_VALUE"""),"Keldeo")</f>
        <v>Keldeo</v>
      </c>
      <c r="AL13" s="198" t="s">
        <v>213</v>
      </c>
      <c r="AM13" s="200"/>
      <c r="AN13" s="200"/>
      <c r="AO13" s="278" t="str">
        <f>IFERROR(__xludf.DUMMYFUNCTION("""COMPUTED_VALUE"""),"")</f>
        <v/>
      </c>
      <c r="AP13" s="279" t="str">
        <f>IFERROR(__xludf.DUMMYFUNCTION("""COMPUTED_VALUE"""),"Hisuian Lilligant")</f>
        <v>Hisuian Lilligant</v>
      </c>
      <c r="AQ13" s="198" t="s">
        <v>216</v>
      </c>
      <c r="AR13" s="200"/>
      <c r="AS13" s="200"/>
      <c r="AT13" s="200" t="str">
        <f>IFERROR(__xludf.DUMMYFUNCTION("""COMPUTED_VALUE"""),"")</f>
        <v/>
      </c>
      <c r="AU13" s="425" t="str">
        <f>IFERROR(__xludf.DUMMYFUNCTION("""COMPUTED_VALUE"""),"Hatterene")</f>
        <v>Hatterene</v>
      </c>
      <c r="AV13" s="479" t="s">
        <v>216</v>
      </c>
      <c r="AW13" s="486">
        <v>13.0</v>
      </c>
      <c r="AX13" s="49"/>
      <c r="AY13" s="296" t="str">
        <f>IFERROR(__xludf.DUMMYFUNCTION("""COMPUTED_VALUE"""),"")</f>
        <v/>
      </c>
      <c r="AZ13" s="298" t="str">
        <f>IFERROR(__xludf.DUMMYFUNCTION("""COMPUTED_VALUE"""),"Hippowdon")</f>
        <v>Hippowdon</v>
      </c>
      <c r="BA13" s="479" t="s">
        <v>216</v>
      </c>
      <c r="BB13" s="486">
        <v>11.0</v>
      </c>
      <c r="BC13" s="446"/>
      <c r="BD13" s="327" t="str">
        <f>IFERROR(__xludf.DUMMYFUNCTION("""COMPUTED_VALUE"""),"")</f>
        <v/>
      </c>
      <c r="BE13" s="330" t="str">
        <f>IFERROR(__xludf.DUMMYFUNCTION("""COMPUTED_VALUE"""),"Dragalge")</f>
        <v>Dragalge</v>
      </c>
      <c r="BF13" s="426" t="s">
        <v>213</v>
      </c>
      <c r="BG13" s="456">
        <v>10.0</v>
      </c>
      <c r="BH13" s="49"/>
      <c r="BI13" s="346" t="str">
        <f>IFERROR(__xludf.DUMMYFUNCTION("""COMPUTED_VALUE"""),"")</f>
        <v/>
      </c>
      <c r="BJ13" s="348" t="str">
        <f>IFERROR(__xludf.DUMMYFUNCTION("""COMPUTED_VALUE"""),"Dudunsparce")</f>
        <v>Dudunsparce</v>
      </c>
      <c r="BK13" s="426" t="s">
        <v>216</v>
      </c>
      <c r="BL13" s="456">
        <v>10.0</v>
      </c>
      <c r="BM13" s="49"/>
      <c r="BN13" s="429" t="str">
        <f>IFERROR(__xludf.DUMMYFUNCTION("""COMPUTED_VALUE"""),"")</f>
        <v/>
      </c>
      <c r="BO13" s="354" t="str">
        <f>IFERROR(__xludf.DUMMYFUNCTION("""COMPUTED_VALUE"""),"Feraligatr")</f>
        <v>Feraligatr</v>
      </c>
      <c r="BP13" s="426" t="s">
        <v>216</v>
      </c>
      <c r="BQ13" s="456">
        <v>8.0</v>
      </c>
      <c r="BR13" s="49"/>
      <c r="BS13" s="353" t="str">
        <f>IFERROR(__xludf.DUMMYFUNCTION("""COMPUTED_VALUE"""),"")</f>
        <v/>
      </c>
      <c r="BT13" s="361" t="str">
        <f>IFERROR(__xludf.DUMMYFUNCTION("""COMPUTED_VALUE"""),"Froslass")</f>
        <v>Froslass</v>
      </c>
      <c r="BU13" s="426" t="s">
        <v>213</v>
      </c>
      <c r="BV13" s="456">
        <v>7.0</v>
      </c>
      <c r="BW13" s="49"/>
      <c r="BX13" s="368" t="str">
        <f>IFERROR(__xludf.DUMMYFUNCTION("""COMPUTED_VALUE"""),"")</f>
        <v/>
      </c>
      <c r="BY13" s="370" t="str">
        <f>IFERROR(__xludf.DUMMYFUNCTION("""COMPUTED_VALUE"""),"Galarian Articuno")</f>
        <v>Galarian Articuno</v>
      </c>
      <c r="BZ13" s="426" t="s">
        <v>216</v>
      </c>
      <c r="CA13" s="456">
        <v>7.0</v>
      </c>
      <c r="CB13" s="49"/>
      <c r="CC13" s="388" t="str">
        <f>IFERROR(__xludf.DUMMYFUNCTION("""COMPUTED_VALUE"""),"")</f>
        <v/>
      </c>
      <c r="CD13" s="488" t="str">
        <f>IFERROR(__xludf.DUMMYFUNCTION("""COMPUTED_VALUE"""),"Granbull")</f>
        <v>Granbull</v>
      </c>
      <c r="CE13" s="426" t="s">
        <v>216</v>
      </c>
      <c r="CF13" s="456">
        <v>5.0</v>
      </c>
      <c r="CG13" s="49"/>
      <c r="CH13" s="402" t="str">
        <f>IFERROR(__xludf.DUMMYFUNCTION("""COMPUTED_VALUE"""),"")</f>
        <v/>
      </c>
      <c r="CI13" s="404" t="str">
        <f>IFERROR(__xludf.DUMMYFUNCTION("""COMPUTED_VALUE"""),"Dachsbun")</f>
        <v>Dachsbun</v>
      </c>
      <c r="CJ13" s="426" t="s">
        <v>216</v>
      </c>
      <c r="CK13" s="456">
        <v>4.0</v>
      </c>
      <c r="CL13" s="49"/>
      <c r="CM13" s="402" t="str">
        <f>IFERROR(__xludf.DUMMYFUNCTION("""COMPUTED_VALUE"""),"")</f>
        <v/>
      </c>
      <c r="CN13" s="404" t="str">
        <f>IFERROR(__xludf.DUMMYFUNCTION("""COMPUTED_VALUE"""),"Camerupt")</f>
        <v>Camerupt</v>
      </c>
      <c r="CO13" s="426" t="s">
        <v>216</v>
      </c>
      <c r="CP13" s="456">
        <v>3.0</v>
      </c>
      <c r="CQ13" s="49"/>
      <c r="CR13" s="419" t="str">
        <f>IFERROR(__xludf.DUMMYFUNCTION("""COMPUTED_VALUE"""),"")</f>
        <v/>
      </c>
      <c r="CS13" s="420" t="str">
        <f>IFERROR(__xludf.DUMMYFUNCTION("""COMPUTED_VALUE"""),"Cacnea")</f>
        <v>Cacnea</v>
      </c>
      <c r="CT13" s="442" t="s">
        <v>216</v>
      </c>
      <c r="CU13" s="456">
        <v>1.0</v>
      </c>
      <c r="CV13" s="49"/>
      <c r="CW13" s="453"/>
      <c r="CX13" s="455"/>
      <c r="CY13" s="426"/>
      <c r="CZ13" s="456"/>
      <c r="DA13" s="49"/>
      <c r="DB13" s="457"/>
      <c r="DC13" s="475"/>
      <c r="DD13" s="426"/>
      <c r="DE13" s="456"/>
      <c r="DF13" s="49"/>
      <c r="DG13" s="458"/>
      <c r="DH13" s="459"/>
      <c r="DI13" s="426"/>
      <c r="DJ13" s="456"/>
      <c r="DK13" s="49"/>
      <c r="DL13" s="198"/>
      <c r="DM13" s="460"/>
      <c r="DN13" s="426"/>
      <c r="DO13" s="456"/>
      <c r="DP13" s="49"/>
      <c r="DQ13" s="461"/>
      <c r="DR13" s="462"/>
      <c r="DS13" s="426"/>
      <c r="DT13" s="456"/>
      <c r="DU13" s="49"/>
      <c r="DV13" s="463"/>
      <c r="DW13" s="464"/>
      <c r="DX13" s="426"/>
      <c r="DY13" s="456"/>
      <c r="DZ13" s="49"/>
      <c r="EA13" s="465"/>
      <c r="EB13" s="466"/>
      <c r="EC13" s="426"/>
      <c r="ED13" s="456"/>
      <c r="EE13" s="49"/>
      <c r="EF13" s="17"/>
    </row>
    <row r="14" ht="17.25" customHeight="1">
      <c r="A14" s="443"/>
      <c r="B14" s="444"/>
      <c r="C14" s="170"/>
      <c r="D14" s="171" t="s">
        <v>253</v>
      </c>
      <c r="E14" s="49"/>
      <c r="F14" s="200"/>
      <c r="G14" s="200"/>
      <c r="H14" s="200" t="s">
        <v>230</v>
      </c>
      <c r="I14" s="200"/>
      <c r="J14" s="200"/>
      <c r="K14" s="200"/>
      <c r="L14" s="476"/>
      <c r="M14" s="200" t="s">
        <v>230</v>
      </c>
      <c r="N14" s="200"/>
      <c r="O14" s="200"/>
      <c r="P14" s="200"/>
      <c r="Q14" s="476"/>
      <c r="R14" s="200" t="s">
        <v>230</v>
      </c>
      <c r="S14" s="200"/>
      <c r="T14" s="200"/>
      <c r="U14" s="200"/>
      <c r="V14" s="476"/>
      <c r="W14" s="200" t="s">
        <v>230</v>
      </c>
      <c r="X14" s="200"/>
      <c r="Y14" s="200"/>
      <c r="Z14" s="255" t="str">
        <f>IFERROR(__xludf.DUMMYFUNCTION("""COMPUTED_VALUE"""),"")</f>
        <v/>
      </c>
      <c r="AA14" s="257" t="str">
        <f>IFERROR(__xludf.DUMMYFUNCTION("""COMPUTED_VALUE"""),"Kyurem-Black")</f>
        <v>Kyurem-Black</v>
      </c>
      <c r="AB14" s="198" t="s">
        <v>213</v>
      </c>
      <c r="AC14" s="200"/>
      <c r="AD14" s="200"/>
      <c r="AE14" s="263" t="str">
        <f>IFERROR(__xludf.DUMMYFUNCTION("""COMPUTED_VALUE"""),"")</f>
        <v/>
      </c>
      <c r="AF14" s="265" t="str">
        <f>IFERROR(__xludf.DUMMYFUNCTION("""COMPUTED_VALUE"""),"Ogerpon")</f>
        <v>Ogerpon</v>
      </c>
      <c r="AG14" s="198" t="s">
        <v>216</v>
      </c>
      <c r="AH14" s="200"/>
      <c r="AI14" s="200"/>
      <c r="AJ14" s="271" t="str">
        <f>IFERROR(__xludf.DUMMYFUNCTION("""COMPUTED_VALUE"""),"")</f>
        <v/>
      </c>
      <c r="AK14" s="272" t="str">
        <f>IFERROR(__xludf.DUMMYFUNCTION("""COMPUTED_VALUE"""),"Kommo-o")</f>
        <v>Kommo-o</v>
      </c>
      <c r="AL14" s="198" t="s">
        <v>216</v>
      </c>
      <c r="AM14" s="200"/>
      <c r="AN14" s="200"/>
      <c r="AO14" s="278" t="str">
        <f>IFERROR(__xludf.DUMMYFUNCTION("""COMPUTED_VALUE"""),"")</f>
        <v/>
      </c>
      <c r="AP14" s="279" t="str">
        <f>IFERROR(__xludf.DUMMYFUNCTION("""COMPUTED_VALUE"""),"Hisuian Zoroark")</f>
        <v>Hisuian Zoroark</v>
      </c>
      <c r="AQ14" s="198" t="s">
        <v>213</v>
      </c>
      <c r="AR14" s="200"/>
      <c r="AS14" s="200"/>
      <c r="AT14" s="200" t="str">
        <f>IFERROR(__xludf.DUMMYFUNCTION("""COMPUTED_VALUE"""),"")</f>
        <v/>
      </c>
      <c r="AU14" s="425" t="str">
        <f>IFERROR(__xludf.DUMMYFUNCTION("""COMPUTED_VALUE"""),"Hawlucha")</f>
        <v>Hawlucha</v>
      </c>
      <c r="AV14" s="479" t="s">
        <v>216</v>
      </c>
      <c r="AW14" s="486">
        <v>12.0</v>
      </c>
      <c r="AX14" s="49"/>
      <c r="AY14" s="296" t="str">
        <f>IFERROR(__xludf.DUMMYFUNCTION("""COMPUTED_VALUE"""),"")</f>
        <v/>
      </c>
      <c r="AZ14" s="298" t="str">
        <f>IFERROR(__xludf.DUMMYFUNCTION("""COMPUTED_VALUE"""),"Kleavor")</f>
        <v>Kleavor</v>
      </c>
      <c r="BA14" s="479" t="s">
        <v>213</v>
      </c>
      <c r="BB14" s="486">
        <v>11.0</v>
      </c>
      <c r="BC14" s="446"/>
      <c r="BD14" s="327" t="str">
        <f>IFERROR(__xludf.DUMMYFUNCTION("""COMPUTED_VALUE"""),"")</f>
        <v/>
      </c>
      <c r="BE14" s="330" t="str">
        <f>IFERROR(__xludf.DUMMYFUNCTION("""COMPUTED_VALUE"""),"Entei")</f>
        <v>Entei</v>
      </c>
      <c r="BF14" s="479" t="s">
        <v>216</v>
      </c>
      <c r="BG14" s="486">
        <v>11.0</v>
      </c>
      <c r="BH14" s="49"/>
      <c r="BI14" s="346" t="str">
        <f>IFERROR(__xludf.DUMMYFUNCTION("""COMPUTED_VALUE"""),"")</f>
        <v/>
      </c>
      <c r="BJ14" s="348" t="str">
        <f>IFERROR(__xludf.DUMMYFUNCTION("""COMPUTED_VALUE"""),"Dugtrio")</f>
        <v>Dugtrio</v>
      </c>
      <c r="BK14" s="426" t="s">
        <v>216</v>
      </c>
      <c r="BL14" s="486">
        <v>10.0</v>
      </c>
      <c r="BM14" s="49"/>
      <c r="BN14" s="429" t="str">
        <f>IFERROR(__xludf.DUMMYFUNCTION("""COMPUTED_VALUE"""),"")</f>
        <v/>
      </c>
      <c r="BO14" s="354" t="str">
        <f>IFERROR(__xludf.DUMMYFUNCTION("""COMPUTED_VALUE"""),"Flamigo")</f>
        <v>Flamigo</v>
      </c>
      <c r="BP14" s="426" t="s">
        <v>216</v>
      </c>
      <c r="BQ14" s="456">
        <v>8.0</v>
      </c>
      <c r="BR14" s="49"/>
      <c r="BS14" s="353" t="str">
        <f>IFERROR(__xludf.DUMMYFUNCTION("""COMPUTED_VALUE"""),"")</f>
        <v/>
      </c>
      <c r="BT14" s="361" t="str">
        <f>IFERROR(__xludf.DUMMYFUNCTION("""COMPUTED_VALUE"""),"Galvantula")</f>
        <v>Galvantula</v>
      </c>
      <c r="BU14" s="426" t="s">
        <v>216</v>
      </c>
      <c r="BV14" s="456">
        <v>7.0</v>
      </c>
      <c r="BW14" s="49"/>
      <c r="BX14" s="368" t="str">
        <f>IFERROR(__xludf.DUMMYFUNCTION("""COMPUTED_VALUE"""),"")</f>
        <v/>
      </c>
      <c r="BY14" s="370" t="str">
        <f>IFERROR(__xludf.DUMMYFUNCTION("""COMPUTED_VALUE"""),"Golurk")</f>
        <v>Golurk</v>
      </c>
      <c r="BZ14" s="426" t="s">
        <v>216</v>
      </c>
      <c r="CA14" s="456">
        <v>6.0</v>
      </c>
      <c r="CB14" s="49"/>
      <c r="CC14" s="388" t="str">
        <f>IFERROR(__xludf.DUMMYFUNCTION("""COMPUTED_VALUE"""),"")</f>
        <v/>
      </c>
      <c r="CD14" s="488" t="str">
        <f>IFERROR(__xludf.DUMMYFUNCTION("""COMPUTED_VALUE"""),"Hitmonchan")</f>
        <v>Hitmonchan</v>
      </c>
      <c r="CE14" s="426" t="s">
        <v>216</v>
      </c>
      <c r="CF14" s="456">
        <v>5.0</v>
      </c>
      <c r="CG14" s="49"/>
      <c r="CH14" s="402" t="str">
        <f>IFERROR(__xludf.DUMMYFUNCTION("""COMPUTED_VALUE"""),"")</f>
        <v/>
      </c>
      <c r="CI14" s="404" t="str">
        <f>IFERROR(__xludf.DUMMYFUNCTION("""COMPUTED_VALUE"""),"Ditto")</f>
        <v>Ditto</v>
      </c>
      <c r="CJ14" s="426" t="s">
        <v>216</v>
      </c>
      <c r="CK14" s="456">
        <v>4.0</v>
      </c>
      <c r="CL14" s="49"/>
      <c r="CM14" s="402" t="str">
        <f>IFERROR(__xludf.DUMMYFUNCTION("""COMPUTED_VALUE"""),"")</f>
        <v/>
      </c>
      <c r="CN14" s="404" t="str">
        <f>IFERROR(__xludf.DUMMYFUNCTION("""COMPUTED_VALUE"""),"Carbink")</f>
        <v>Carbink</v>
      </c>
      <c r="CO14" s="426" t="s">
        <v>216</v>
      </c>
      <c r="CP14" s="456">
        <v>3.0</v>
      </c>
      <c r="CQ14" s="49"/>
      <c r="CR14" s="419" t="str">
        <f>IFERROR(__xludf.DUMMYFUNCTION("""COMPUTED_VALUE"""),"")</f>
        <v/>
      </c>
      <c r="CS14" s="420" t="str">
        <f>IFERROR(__xludf.DUMMYFUNCTION("""COMPUTED_VALUE"""),"Cacturne")</f>
        <v>Cacturne</v>
      </c>
      <c r="CT14" s="442" t="s">
        <v>216</v>
      </c>
      <c r="CU14" s="456">
        <v>1.0</v>
      </c>
      <c r="CV14" s="49"/>
      <c r="CW14" s="453"/>
      <c r="CX14" s="455"/>
      <c r="CY14" s="426"/>
      <c r="CZ14" s="456"/>
      <c r="DA14" s="49"/>
      <c r="DB14" s="457"/>
      <c r="DC14" s="475"/>
      <c r="DD14" s="426"/>
      <c r="DE14" s="456"/>
      <c r="DF14" s="49"/>
      <c r="DG14" s="458"/>
      <c r="DH14" s="459"/>
      <c r="DI14" s="426"/>
      <c r="DJ14" s="456"/>
      <c r="DK14" s="49"/>
      <c r="DL14" s="198"/>
      <c r="DM14" s="460"/>
      <c r="DN14" s="426"/>
      <c r="DO14" s="456"/>
      <c r="DP14" s="49"/>
      <c r="DQ14" s="461"/>
      <c r="DR14" s="462"/>
      <c r="DS14" s="426"/>
      <c r="DT14" s="456"/>
      <c r="DU14" s="49"/>
      <c r="DV14" s="463"/>
      <c r="DW14" s="464"/>
      <c r="DX14" s="426"/>
      <c r="DY14" s="456"/>
      <c r="DZ14" s="49"/>
      <c r="EA14" s="465"/>
      <c r="EB14" s="466"/>
      <c r="EC14" s="426"/>
      <c r="ED14" s="456"/>
      <c r="EE14" s="41"/>
      <c r="EF14" s="5"/>
    </row>
    <row r="15" ht="17.25" customHeight="1">
      <c r="A15" s="17"/>
      <c r="B15" s="49"/>
      <c r="C15" s="170"/>
      <c r="D15" s="171" t="s">
        <v>254</v>
      </c>
      <c r="E15" s="49"/>
      <c r="F15" s="494"/>
      <c r="G15" s="494"/>
      <c r="H15" s="494" t="s">
        <v>230</v>
      </c>
      <c r="I15" s="494"/>
      <c r="J15" s="494"/>
      <c r="K15" s="494"/>
      <c r="L15" s="495"/>
      <c r="M15" s="494" t="s">
        <v>230</v>
      </c>
      <c r="N15" s="494"/>
      <c r="O15" s="494"/>
      <c r="P15" s="494"/>
      <c r="Q15" s="495"/>
      <c r="R15" s="494" t="s">
        <v>230</v>
      </c>
      <c r="S15" s="494"/>
      <c r="T15" s="494"/>
      <c r="U15" s="494"/>
      <c r="V15" s="495"/>
      <c r="W15" s="494" t="s">
        <v>230</v>
      </c>
      <c r="X15" s="494"/>
      <c r="Y15" s="494"/>
      <c r="Z15" s="255" t="str">
        <f>IFERROR(__xludf.DUMMYFUNCTION("""COMPUTED_VALUE"""),"")</f>
        <v/>
      </c>
      <c r="AA15" s="257" t="str">
        <f>IFERROR(__xludf.DUMMYFUNCTION("""COMPUTED_VALUE"""),"Manaphy")</f>
        <v>Manaphy</v>
      </c>
      <c r="AB15" s="496" t="s">
        <v>216</v>
      </c>
      <c r="AC15" s="494"/>
      <c r="AD15" s="494"/>
      <c r="AE15" s="263" t="str">
        <f>IFERROR(__xludf.DUMMYFUNCTION("""COMPUTED_VALUE"""),"")</f>
        <v/>
      </c>
      <c r="AF15" s="265" t="str">
        <f>IFERROR(__xludf.DUMMYFUNCTION("""COMPUTED_VALUE"""),"Ogerpon-Cornerstone")</f>
        <v>Ogerpon-Cornerstone</v>
      </c>
      <c r="AG15" s="496" t="s">
        <v>216</v>
      </c>
      <c r="AH15" s="494"/>
      <c r="AI15" s="494"/>
      <c r="AJ15" s="271" t="str">
        <f>IFERROR(__xludf.DUMMYFUNCTION("""COMPUTED_VALUE"""),"")</f>
        <v/>
      </c>
      <c r="AK15" s="272" t="str">
        <f>IFERROR(__xludf.DUMMYFUNCTION("""COMPUTED_VALUE"""),"Latias")</f>
        <v>Latias</v>
      </c>
      <c r="AL15" s="496" t="s">
        <v>213</v>
      </c>
      <c r="AM15" s="494"/>
      <c r="AN15" s="494"/>
      <c r="AO15" s="278" t="str">
        <f>IFERROR(__xludf.DUMMYFUNCTION("""COMPUTED_VALUE"""),"")</f>
        <v/>
      </c>
      <c r="AP15" s="279" t="str">
        <f>IFERROR(__xludf.DUMMYFUNCTION("""COMPUTED_VALUE"""),"Hydrapple")</f>
        <v>Hydrapple</v>
      </c>
      <c r="AQ15" s="496" t="s">
        <v>216</v>
      </c>
      <c r="AR15" s="494"/>
      <c r="AS15" s="494"/>
      <c r="AT15" s="200" t="str">
        <f>IFERROR(__xludf.DUMMYFUNCTION("""COMPUTED_VALUE"""),"")</f>
        <v/>
      </c>
      <c r="AU15" s="425" t="str">
        <f>IFERROR(__xludf.DUMMYFUNCTION("""COMPUTED_VALUE"""),"Haxorus")</f>
        <v>Haxorus</v>
      </c>
      <c r="AV15" s="497" t="s">
        <v>216</v>
      </c>
      <c r="AW15" s="498">
        <v>13.0</v>
      </c>
      <c r="AX15" s="49"/>
      <c r="AY15" s="296" t="str">
        <f>IFERROR(__xludf.DUMMYFUNCTION("""COMPUTED_VALUE"""),"")</f>
        <v/>
      </c>
      <c r="AZ15" s="298" t="str">
        <f>IFERROR(__xludf.DUMMYFUNCTION("""COMPUTED_VALUE"""),"Munkidori")</f>
        <v>Munkidori</v>
      </c>
      <c r="BA15" s="479" t="s">
        <v>216</v>
      </c>
      <c r="BB15" s="486">
        <v>12.0</v>
      </c>
      <c r="BC15" s="446"/>
      <c r="BD15" s="327" t="str">
        <f>IFERROR(__xludf.DUMMYFUNCTION("""COMPUTED_VALUE"""),"")</f>
        <v/>
      </c>
      <c r="BE15" s="330" t="str">
        <f>IFERROR(__xludf.DUMMYFUNCTION("""COMPUTED_VALUE"""),"Espathra")</f>
        <v>Espathra</v>
      </c>
      <c r="BF15" s="479" t="s">
        <v>216</v>
      </c>
      <c r="BG15" s="486">
        <v>13.0</v>
      </c>
      <c r="BH15" s="49"/>
      <c r="BI15" s="346" t="str">
        <f>IFERROR(__xludf.DUMMYFUNCTION("""COMPUTED_VALUE"""),"")</f>
        <v/>
      </c>
      <c r="BJ15" s="348" t="str">
        <f>IFERROR(__xludf.DUMMYFUNCTION("""COMPUTED_VALUE"""),"Galarian Weezing")</f>
        <v>Galarian Weezing</v>
      </c>
      <c r="BK15" s="426" t="s">
        <v>216</v>
      </c>
      <c r="BL15" s="486">
        <v>9.0</v>
      </c>
      <c r="BM15" s="49"/>
      <c r="BN15" s="429" t="str">
        <f>IFERROR(__xludf.DUMMYFUNCTION("""COMPUTED_VALUE"""),"")</f>
        <v/>
      </c>
      <c r="BO15" s="354" t="str">
        <f>IFERROR(__xludf.DUMMYFUNCTION("""COMPUTED_VALUE"""),"Forretress")</f>
        <v>Forretress</v>
      </c>
      <c r="BP15" s="426" t="s">
        <v>216</v>
      </c>
      <c r="BQ15" s="456">
        <v>8.0</v>
      </c>
      <c r="BR15" s="49"/>
      <c r="BS15" s="353" t="str">
        <f>IFERROR(__xludf.DUMMYFUNCTION("""COMPUTED_VALUE"""),"")</f>
        <v/>
      </c>
      <c r="BT15" s="361" t="str">
        <f>IFERROR(__xludf.DUMMYFUNCTION("""COMPUTED_VALUE"""),"Grafaiai")</f>
        <v>Grafaiai</v>
      </c>
      <c r="BU15" s="426" t="s">
        <v>216</v>
      </c>
      <c r="BV15" s="456">
        <v>7.0</v>
      </c>
      <c r="BW15" s="49"/>
      <c r="BX15" s="368" t="str">
        <f>IFERROR(__xludf.DUMMYFUNCTION("""COMPUTED_VALUE"""),"")</f>
        <v/>
      </c>
      <c r="BY15" s="370" t="str">
        <f>IFERROR(__xludf.DUMMYFUNCTION("""COMPUTED_VALUE"""),"Gothorita")</f>
        <v>Gothorita</v>
      </c>
      <c r="BZ15" s="426" t="s">
        <v>216</v>
      </c>
      <c r="CA15" s="456">
        <v>7.0</v>
      </c>
      <c r="CB15" s="49"/>
      <c r="CC15" s="388" t="str">
        <f>IFERROR(__xludf.DUMMYFUNCTION("""COMPUTED_VALUE"""),"")</f>
        <v/>
      </c>
      <c r="CD15" s="488" t="str">
        <f>IFERROR(__xludf.DUMMYFUNCTION("""COMPUTED_VALUE"""),"Hitmontop")</f>
        <v>Hitmontop</v>
      </c>
      <c r="CE15" s="426" t="s">
        <v>216</v>
      </c>
      <c r="CF15" s="456">
        <v>5.0</v>
      </c>
      <c r="CG15" s="49"/>
      <c r="CH15" s="402" t="str">
        <f>IFERROR(__xludf.DUMMYFUNCTION("""COMPUTED_VALUE"""),"")</f>
        <v/>
      </c>
      <c r="CI15" s="404" t="str">
        <f>IFERROR(__xludf.DUMMYFUNCTION("""COMPUTED_VALUE"""),"Dusclops")</f>
        <v>Dusclops</v>
      </c>
      <c r="CJ15" s="426" t="s">
        <v>213</v>
      </c>
      <c r="CK15" s="456">
        <v>4.0</v>
      </c>
      <c r="CL15" s="49"/>
      <c r="CM15" s="402" t="str">
        <f>IFERROR(__xludf.DUMMYFUNCTION("""COMPUTED_VALUE"""),"")</f>
        <v/>
      </c>
      <c r="CN15" s="404" t="str">
        <f>IFERROR(__xludf.DUMMYFUNCTION("""COMPUTED_VALUE"""),"Crabominable")</f>
        <v>Crabominable</v>
      </c>
      <c r="CO15" s="426" t="s">
        <v>216</v>
      </c>
      <c r="CP15" s="486">
        <v>3.0</v>
      </c>
      <c r="CQ15" s="49"/>
      <c r="CR15" s="419" t="str">
        <f>IFERROR(__xludf.DUMMYFUNCTION("""COMPUTED_VALUE"""),"")</f>
        <v/>
      </c>
      <c r="CS15" s="420" t="str">
        <f>IFERROR(__xludf.DUMMYFUNCTION("""COMPUTED_VALUE"""),"Calyrex")</f>
        <v>Calyrex</v>
      </c>
      <c r="CT15" s="442" t="s">
        <v>216</v>
      </c>
      <c r="CU15" s="456">
        <v>2.0</v>
      </c>
      <c r="CV15" s="49"/>
      <c r="CW15" s="453"/>
      <c r="CX15" s="455"/>
      <c r="CY15" s="426"/>
      <c r="CZ15" s="456"/>
      <c r="DA15" s="49"/>
      <c r="DB15" s="457"/>
      <c r="DC15" s="475"/>
      <c r="DD15" s="426"/>
      <c r="DE15" s="456"/>
      <c r="DF15" s="49"/>
      <c r="DG15" s="458"/>
      <c r="DH15" s="459"/>
      <c r="DI15" s="426"/>
      <c r="DJ15" s="456"/>
      <c r="DK15" s="49"/>
      <c r="DL15" s="198"/>
      <c r="DM15" s="460"/>
      <c r="DN15" s="426"/>
      <c r="DO15" s="456"/>
      <c r="DP15" s="49"/>
      <c r="DQ15" s="461"/>
      <c r="DR15" s="462"/>
      <c r="DS15" s="426"/>
      <c r="DT15" s="456"/>
      <c r="DU15" s="49"/>
      <c r="DV15" s="463"/>
      <c r="DW15" s="464"/>
      <c r="DX15" s="426"/>
      <c r="DY15" s="456"/>
      <c r="DZ15" s="49"/>
      <c r="EA15" s="465"/>
      <c r="EB15" s="466"/>
      <c r="EC15" s="426"/>
      <c r="ED15" s="456"/>
      <c r="EE15" s="41"/>
      <c r="EF15" s="5"/>
    </row>
    <row r="16" ht="17.25" customHeight="1">
      <c r="A16" s="499"/>
      <c r="B16" s="423"/>
      <c r="C16" s="170"/>
      <c r="D16" s="171" t="s">
        <v>255</v>
      </c>
      <c r="E16" s="49"/>
      <c r="F16" s="494"/>
      <c r="G16" s="494"/>
      <c r="H16" s="494" t="s">
        <v>230</v>
      </c>
      <c r="I16" s="494"/>
      <c r="J16" s="494"/>
      <c r="K16" s="494"/>
      <c r="L16" s="495"/>
      <c r="M16" s="494" t="s">
        <v>230</v>
      </c>
      <c r="N16" s="494"/>
      <c r="O16" s="494"/>
      <c r="P16" s="494"/>
      <c r="Q16" s="495"/>
      <c r="R16" s="494" t="s">
        <v>230</v>
      </c>
      <c r="S16" s="494"/>
      <c r="T16" s="494"/>
      <c r="U16" s="494"/>
      <c r="V16" s="495"/>
      <c r="W16" s="494" t="s">
        <v>230</v>
      </c>
      <c r="X16" s="494"/>
      <c r="Y16" s="494"/>
      <c r="Z16" s="255" t="str">
        <f>IFERROR(__xludf.DUMMYFUNCTION("""COMPUTED_VALUE"""),"")</f>
        <v/>
      </c>
      <c r="AA16" s="257" t="str">
        <f>IFERROR(__xludf.DUMMYFUNCTION("""COMPUTED_VALUE"""),"Necrozma")</f>
        <v>Necrozma</v>
      </c>
      <c r="AB16" s="496" t="s">
        <v>216</v>
      </c>
      <c r="AC16" s="494"/>
      <c r="AD16" s="494"/>
      <c r="AE16" s="263" t="str">
        <f>IFERROR(__xludf.DUMMYFUNCTION("""COMPUTED_VALUE"""),"")</f>
        <v/>
      </c>
      <c r="AF16" s="265" t="str">
        <f>IFERROR(__xludf.DUMMYFUNCTION("""COMPUTED_VALUE"""),"Roaring Moon")</f>
        <v>Roaring Moon</v>
      </c>
      <c r="AG16" s="496" t="s">
        <v>216</v>
      </c>
      <c r="AH16" s="494"/>
      <c r="AI16" s="494"/>
      <c r="AJ16" s="271" t="str">
        <f>IFERROR(__xludf.DUMMYFUNCTION("""COMPUTED_VALUE"""),"")</f>
        <v/>
      </c>
      <c r="AK16" s="272" t="str">
        <f>IFERROR(__xludf.DUMMYFUNCTION("""COMPUTED_VALUE"""),"Metagross")</f>
        <v>Metagross</v>
      </c>
      <c r="AL16" s="496" t="s">
        <v>216</v>
      </c>
      <c r="AM16" s="494"/>
      <c r="AN16" s="494"/>
      <c r="AO16" s="278" t="str">
        <f>IFERROR(__xludf.DUMMYFUNCTION("""COMPUTED_VALUE"""),"")</f>
        <v/>
      </c>
      <c r="AP16" s="279" t="str">
        <f>IFERROR(__xludf.DUMMYFUNCTION("""COMPUTED_VALUE"""),"Hydreigon")</f>
        <v>Hydreigon</v>
      </c>
      <c r="AQ16" s="496" t="s">
        <v>216</v>
      </c>
      <c r="AR16" s="494"/>
      <c r="AS16" s="494"/>
      <c r="AT16" s="200" t="str">
        <f>IFERROR(__xludf.DUMMYFUNCTION("""COMPUTED_VALUE"""),"")</f>
        <v/>
      </c>
      <c r="AU16" s="425" t="str">
        <f>IFERROR(__xludf.DUMMYFUNCTION("""COMPUTED_VALUE"""),"Hoopa-Unbound")</f>
        <v>Hoopa-Unbound</v>
      </c>
      <c r="AV16" s="497" t="s">
        <v>213</v>
      </c>
      <c r="AW16" s="498">
        <v>13.0</v>
      </c>
      <c r="AX16" s="49"/>
      <c r="AY16" s="296" t="str">
        <f>IFERROR(__xludf.DUMMYFUNCTION("""COMPUTED_VALUE"""),"")</f>
        <v/>
      </c>
      <c r="AZ16" s="298" t="str">
        <f>IFERROR(__xludf.DUMMYFUNCTION("""COMPUTED_VALUE"""),"Noivern")</f>
        <v>Noivern</v>
      </c>
      <c r="BA16" s="479" t="s">
        <v>213</v>
      </c>
      <c r="BB16" s="486">
        <v>11.0</v>
      </c>
      <c r="BC16" s="446"/>
      <c r="BD16" s="327" t="str">
        <f>IFERROR(__xludf.DUMMYFUNCTION("""COMPUTED_VALUE"""),"")</f>
        <v/>
      </c>
      <c r="BE16" s="330" t="str">
        <f>IFERROR(__xludf.DUMMYFUNCTION("""COMPUTED_VALUE"""),"Florges")</f>
        <v>Florges</v>
      </c>
      <c r="BF16" s="479" t="s">
        <v>216</v>
      </c>
      <c r="BG16" s="486">
        <v>10.0</v>
      </c>
      <c r="BH16" s="49"/>
      <c r="BI16" s="346" t="str">
        <f>IFERROR(__xludf.DUMMYFUNCTION("""COMPUTED_VALUE"""),"")</f>
        <v/>
      </c>
      <c r="BJ16" s="348" t="str">
        <f>IFERROR(__xludf.DUMMYFUNCTION("""COMPUTED_VALUE"""),"Garganacl")</f>
        <v>Garganacl</v>
      </c>
      <c r="BK16" s="426" t="s">
        <v>216</v>
      </c>
      <c r="BL16" s="486">
        <v>11.0</v>
      </c>
      <c r="BM16" s="49"/>
      <c r="BN16" s="429" t="str">
        <f>IFERROR(__xludf.DUMMYFUNCTION("""COMPUTED_VALUE"""),"")</f>
        <v/>
      </c>
      <c r="BO16" s="354" t="str">
        <f>IFERROR(__xludf.DUMMYFUNCTION("""COMPUTED_VALUE"""),"Gastrodon")</f>
        <v>Gastrodon</v>
      </c>
      <c r="BP16" s="426" t="s">
        <v>216</v>
      </c>
      <c r="BQ16" s="456">
        <v>8.0</v>
      </c>
      <c r="BR16" s="49"/>
      <c r="BS16" s="353" t="str">
        <f>IFERROR(__xludf.DUMMYFUNCTION("""COMPUTED_VALUE"""),"")</f>
        <v/>
      </c>
      <c r="BT16" s="361" t="str">
        <f>IFERROR(__xludf.DUMMYFUNCTION("""COMPUTED_VALUE"""),"Hisuian Typhlosion")</f>
        <v>Hisuian Typhlosion</v>
      </c>
      <c r="BU16" s="426" t="s">
        <v>216</v>
      </c>
      <c r="BV16" s="456">
        <v>7.0</v>
      </c>
      <c r="BW16" s="49"/>
      <c r="BX16" s="368" t="str">
        <f>IFERROR(__xludf.DUMMYFUNCTION("""COMPUTED_VALUE"""),"")</f>
        <v/>
      </c>
      <c r="BY16" s="370" t="str">
        <f>IFERROR(__xludf.DUMMYFUNCTION("""COMPUTED_VALUE"""),"Hisuian Decidueye")</f>
        <v>Hisuian Decidueye</v>
      </c>
      <c r="BZ16" s="426" t="s">
        <v>216</v>
      </c>
      <c r="CA16" s="456">
        <v>6.0</v>
      </c>
      <c r="CB16" s="49"/>
      <c r="CC16" s="388" t="str">
        <f>IFERROR(__xludf.DUMMYFUNCTION("""COMPUTED_VALUE"""),"")</f>
        <v/>
      </c>
      <c r="CD16" s="488" t="str">
        <f>IFERROR(__xludf.DUMMYFUNCTION("""COMPUTED_VALUE"""),"Lanturn")</f>
        <v>Lanturn</v>
      </c>
      <c r="CE16" s="426" t="s">
        <v>216</v>
      </c>
      <c r="CF16" s="456">
        <v>5.0</v>
      </c>
      <c r="CG16" s="49"/>
      <c r="CH16" s="402" t="str">
        <f>IFERROR(__xludf.DUMMYFUNCTION("""COMPUTED_VALUE"""),"")</f>
        <v/>
      </c>
      <c r="CI16" s="439" t="str">
        <f>IFERROR(__xludf.DUMMYFUNCTION("""COMPUTED_VALUE"""),"Dusknoir")</f>
        <v>Dusknoir</v>
      </c>
      <c r="CJ16" s="426" t="s">
        <v>216</v>
      </c>
      <c r="CK16" s="456">
        <v>4.0</v>
      </c>
      <c r="CL16" s="49"/>
      <c r="CM16" s="402" t="str">
        <f>IFERROR(__xludf.DUMMYFUNCTION("""COMPUTED_VALUE"""),"")</f>
        <v/>
      </c>
      <c r="CN16" s="439" t="str">
        <f>IFERROR(__xludf.DUMMYFUNCTION("""COMPUTED_VALUE"""),"Cramorant")</f>
        <v>Cramorant</v>
      </c>
      <c r="CO16" s="426" t="s">
        <v>216</v>
      </c>
      <c r="CP16" s="486">
        <v>3.0</v>
      </c>
      <c r="CQ16" s="49"/>
      <c r="CR16" s="419" t="str">
        <f>IFERROR(__xludf.DUMMYFUNCTION("""COMPUTED_VALUE"""),"")</f>
        <v/>
      </c>
      <c r="CS16" s="487" t="str">
        <f>IFERROR(__xludf.DUMMYFUNCTION("""COMPUTED_VALUE"""),"Carkol")</f>
        <v>Carkol</v>
      </c>
      <c r="CT16" s="442" t="s">
        <v>216</v>
      </c>
      <c r="CU16" s="456">
        <v>2.0</v>
      </c>
      <c r="CV16" s="49"/>
      <c r="CW16" s="453"/>
      <c r="CX16" s="455"/>
      <c r="CY16" s="426"/>
      <c r="CZ16" s="456"/>
      <c r="DA16" s="49"/>
      <c r="DB16" s="457"/>
      <c r="DC16" s="475"/>
      <c r="DD16" s="426"/>
      <c r="DE16" s="456"/>
      <c r="DF16" s="49"/>
      <c r="DG16" s="458"/>
      <c r="DH16" s="459"/>
      <c r="DI16" s="426"/>
      <c r="DJ16" s="456"/>
      <c r="DK16" s="49"/>
      <c r="DL16" s="198"/>
      <c r="DM16" s="460"/>
      <c r="DN16" s="426"/>
      <c r="DO16" s="456"/>
      <c r="DP16" s="49"/>
      <c r="DQ16" s="461"/>
      <c r="DR16" s="462"/>
      <c r="DS16" s="426"/>
      <c r="DT16" s="456"/>
      <c r="DU16" s="49"/>
      <c r="DV16" s="463"/>
      <c r="DW16" s="464"/>
      <c r="DX16" s="426"/>
      <c r="DY16" s="456"/>
      <c r="DZ16" s="49"/>
      <c r="EA16" s="465"/>
      <c r="EB16" s="466"/>
      <c r="EC16" s="426"/>
      <c r="ED16" s="456"/>
      <c r="EE16" s="49"/>
      <c r="EF16" s="17"/>
    </row>
    <row r="17" ht="17.25" customHeight="1">
      <c r="A17" s="17"/>
      <c r="B17" s="49"/>
      <c r="C17" s="170"/>
      <c r="D17" s="171" t="s">
        <v>257</v>
      </c>
      <c r="E17" s="49"/>
      <c r="F17" s="494"/>
      <c r="G17" s="494"/>
      <c r="H17" s="494" t="s">
        <v>230</v>
      </c>
      <c r="I17" s="494"/>
      <c r="J17" s="494"/>
      <c r="K17" s="494"/>
      <c r="L17" s="495"/>
      <c r="M17" s="494" t="s">
        <v>230</v>
      </c>
      <c r="N17" s="494"/>
      <c r="O17" s="494"/>
      <c r="P17" s="494"/>
      <c r="Q17" s="495"/>
      <c r="R17" s="494" t="s">
        <v>230</v>
      </c>
      <c r="S17" s="494"/>
      <c r="T17" s="494"/>
      <c r="U17" s="494"/>
      <c r="V17" s="495"/>
      <c r="W17" s="494" t="s">
        <v>230</v>
      </c>
      <c r="X17" s="494"/>
      <c r="Y17" s="494"/>
      <c r="Z17" s="478" t="str">
        <f>IFERROR(__xludf.DUMMYFUNCTION("""COMPUTED_VALUE"""),"")</f>
        <v/>
      </c>
      <c r="AA17" s="257" t="str">
        <f>IFERROR(__xludf.DUMMYFUNCTION("""COMPUTED_VALUE"""),"Ogerpon-Wellspring")</f>
        <v>Ogerpon-Wellspring</v>
      </c>
      <c r="AB17" s="496" t="s">
        <v>213</v>
      </c>
      <c r="AC17" s="494"/>
      <c r="AD17" s="494"/>
      <c r="AE17" s="263" t="str">
        <f>IFERROR(__xludf.DUMMYFUNCTION("""COMPUTED_VALUE"""),"")</f>
        <v/>
      </c>
      <c r="AF17" s="265" t="str">
        <f>IFERROR(__xludf.DUMMYFUNCTION("""COMPUTED_VALUE"""),"Rotom-Wash")</f>
        <v>Rotom-Wash</v>
      </c>
      <c r="AG17" s="496" t="s">
        <v>213</v>
      </c>
      <c r="AH17" s="494"/>
      <c r="AI17" s="494"/>
      <c r="AJ17" s="271" t="str">
        <f>IFERROR(__xludf.DUMMYFUNCTION("""COMPUTED_VALUE"""),"")</f>
        <v/>
      </c>
      <c r="AK17" s="272" t="str">
        <f>IFERROR(__xludf.DUMMYFUNCTION("""COMPUTED_VALUE"""),"Ogerpon-Hearthflame")</f>
        <v>Ogerpon-Hearthflame</v>
      </c>
      <c r="AL17" s="496" t="s">
        <v>213</v>
      </c>
      <c r="AM17" s="494"/>
      <c r="AN17" s="494"/>
      <c r="AO17" s="278" t="str">
        <f>IFERROR(__xludf.DUMMYFUNCTION("""COMPUTED_VALUE"""),"")</f>
        <v/>
      </c>
      <c r="AP17" s="279" t="str">
        <f>IFERROR(__xludf.DUMMYFUNCTION("""COMPUTED_VALUE"""),"Iron Jugulis")</f>
        <v>Iron Jugulis</v>
      </c>
      <c r="AQ17" s="496" t="s">
        <v>213</v>
      </c>
      <c r="AR17" s="494"/>
      <c r="AS17" s="494"/>
      <c r="AT17" s="200" t="str">
        <f>IFERROR(__xludf.DUMMYFUNCTION("""COMPUTED_VALUE"""),"")</f>
        <v/>
      </c>
      <c r="AU17" s="425" t="str">
        <f>IFERROR(__xludf.DUMMYFUNCTION("""COMPUTED_VALUE"""),"Iron Crown")</f>
        <v>Iron Crown</v>
      </c>
      <c r="AV17" s="497" t="s">
        <v>216</v>
      </c>
      <c r="AW17" s="498">
        <v>14.0</v>
      </c>
      <c r="AX17" s="49"/>
      <c r="AY17" s="296" t="str">
        <f>IFERROR(__xludf.DUMMYFUNCTION("""COMPUTED_VALUE"""),"")</f>
        <v/>
      </c>
      <c r="AZ17" s="298" t="str">
        <f>IFERROR(__xludf.DUMMYFUNCTION("""COMPUTED_VALUE"""),"Okidogi")</f>
        <v>Okidogi</v>
      </c>
      <c r="BA17" s="479" t="s">
        <v>216</v>
      </c>
      <c r="BB17" s="486">
        <v>13.0</v>
      </c>
      <c r="BC17" s="446"/>
      <c r="BD17" s="327" t="str">
        <f>IFERROR(__xludf.DUMMYFUNCTION("""COMPUTED_VALUE"""),"")</f>
        <v/>
      </c>
      <c r="BE17" s="330" t="str">
        <f>IFERROR(__xludf.DUMMYFUNCTION("""COMPUTED_VALUE"""),"Galarian Slowbro")</f>
        <v>Galarian Slowbro</v>
      </c>
      <c r="BF17" s="479" t="s">
        <v>216</v>
      </c>
      <c r="BG17" s="486">
        <v>10.0</v>
      </c>
      <c r="BH17" s="49"/>
      <c r="BI17" s="346" t="str">
        <f>IFERROR(__xludf.DUMMYFUNCTION("""COMPUTED_VALUE"""),"")</f>
        <v/>
      </c>
      <c r="BJ17" s="348" t="str">
        <f>IFERROR(__xludf.DUMMYFUNCTION("""COMPUTED_VALUE"""),"Goodra")</f>
        <v>Goodra</v>
      </c>
      <c r="BK17" s="426" t="s">
        <v>216</v>
      </c>
      <c r="BL17" s="486">
        <v>9.0</v>
      </c>
      <c r="BM17" s="49"/>
      <c r="BN17" s="429" t="str">
        <f>IFERROR(__xludf.DUMMYFUNCTION("""COMPUTED_VALUE"""),"")</f>
        <v/>
      </c>
      <c r="BO17" s="354" t="str">
        <f>IFERROR(__xludf.DUMMYFUNCTION("""COMPUTED_VALUE"""),"Glastrier")</f>
        <v>Glastrier</v>
      </c>
      <c r="BP17" s="426" t="s">
        <v>216</v>
      </c>
      <c r="BQ17" s="456">
        <v>9.0</v>
      </c>
      <c r="BR17" s="49"/>
      <c r="BS17" s="353" t="str">
        <f>IFERROR(__xludf.DUMMYFUNCTION("""COMPUTED_VALUE"""),"")</f>
        <v/>
      </c>
      <c r="BT17" s="361" t="str">
        <f>IFERROR(__xludf.DUMMYFUNCTION("""COMPUTED_VALUE"""),"Hitmonlee")</f>
        <v>Hitmonlee</v>
      </c>
      <c r="BU17" s="426" t="s">
        <v>216</v>
      </c>
      <c r="BV17" s="456">
        <v>7.0</v>
      </c>
      <c r="BW17" s="49"/>
      <c r="BX17" s="368" t="str">
        <f>IFERROR(__xludf.DUMMYFUNCTION("""COMPUTED_VALUE"""),"")</f>
        <v/>
      </c>
      <c r="BY17" s="370" t="str">
        <f>IFERROR(__xludf.DUMMYFUNCTION("""COMPUTED_VALUE"""),"Hoopa")</f>
        <v>Hoopa</v>
      </c>
      <c r="BZ17" s="426" t="s">
        <v>216</v>
      </c>
      <c r="CA17" s="486">
        <v>6.0</v>
      </c>
      <c r="CB17" s="49"/>
      <c r="CC17" s="388" t="str">
        <f>IFERROR(__xludf.DUMMYFUNCTION("""COMPUTED_VALUE"""),"")</f>
        <v/>
      </c>
      <c r="CD17" s="488" t="str">
        <f>IFERROR(__xludf.DUMMYFUNCTION("""COMPUTED_VALUE"""),"Mabosstiff")</f>
        <v>Mabosstiff</v>
      </c>
      <c r="CE17" s="426" t="s">
        <v>216</v>
      </c>
      <c r="CF17" s="456">
        <v>5.0</v>
      </c>
      <c r="CG17" s="49"/>
      <c r="CH17" s="402" t="str">
        <f>IFERROR(__xludf.DUMMYFUNCTION("""COMPUTED_VALUE"""),"")</f>
        <v/>
      </c>
      <c r="CI17" s="439" t="str">
        <f>IFERROR(__xludf.DUMMYFUNCTION("""COMPUTED_VALUE"""),"Electrode")</f>
        <v>Electrode</v>
      </c>
      <c r="CJ17" s="426" t="s">
        <v>216</v>
      </c>
      <c r="CK17" s="456">
        <v>5.0</v>
      </c>
      <c r="CL17" s="49"/>
      <c r="CM17" s="402" t="str">
        <f>IFERROR(__xludf.DUMMYFUNCTION("""COMPUTED_VALUE"""),"")</f>
        <v/>
      </c>
      <c r="CN17" s="439" t="str">
        <f>IFERROR(__xludf.DUMMYFUNCTION("""COMPUTED_VALUE"""),"Crocalor")</f>
        <v>Crocalor</v>
      </c>
      <c r="CO17" s="426" t="s">
        <v>216</v>
      </c>
      <c r="CP17" s="486">
        <v>3.0</v>
      </c>
      <c r="CQ17" s="49"/>
      <c r="CR17" s="419" t="str">
        <f>IFERROR(__xludf.DUMMYFUNCTION("""COMPUTED_VALUE"""),"")</f>
        <v/>
      </c>
      <c r="CS17" s="404" t="str">
        <f>IFERROR(__xludf.DUMMYFUNCTION("""COMPUTED_VALUE"""),"Charjabug")</f>
        <v>Charjabug</v>
      </c>
      <c r="CT17" s="442" t="s">
        <v>216</v>
      </c>
      <c r="CU17" s="456">
        <v>1.0</v>
      </c>
      <c r="CV17" s="49"/>
      <c r="CW17" s="453"/>
      <c r="CX17" s="455"/>
      <c r="CY17" s="426"/>
      <c r="CZ17" s="456"/>
      <c r="DA17" s="49"/>
      <c r="DB17" s="457"/>
      <c r="DD17" s="426"/>
      <c r="DE17" s="456"/>
      <c r="DF17" s="49"/>
      <c r="DG17" s="458"/>
      <c r="DH17" s="459"/>
      <c r="DI17" s="426"/>
      <c r="DJ17" s="456"/>
      <c r="DK17" s="49"/>
      <c r="DL17" s="198"/>
      <c r="DM17" s="460"/>
      <c r="DN17" s="426"/>
      <c r="DO17" s="456"/>
      <c r="DP17" s="49"/>
      <c r="DQ17" s="461"/>
      <c r="DR17" s="462"/>
      <c r="DS17" s="426"/>
      <c r="DT17" s="456"/>
      <c r="DU17" s="49"/>
      <c r="DV17" s="463"/>
      <c r="DW17" s="464"/>
      <c r="DX17" s="426"/>
      <c r="DY17" s="456"/>
      <c r="DZ17" s="49"/>
      <c r="EA17" s="465"/>
      <c r="EB17" s="466"/>
      <c r="EC17" s="426"/>
      <c r="ED17" s="456"/>
      <c r="EE17" s="49"/>
      <c r="EF17" s="17"/>
    </row>
    <row r="18" ht="17.25" customHeight="1">
      <c r="A18" s="443"/>
      <c r="B18" s="444"/>
      <c r="C18" s="170"/>
      <c r="D18" s="171" t="s">
        <v>258</v>
      </c>
      <c r="E18" s="49"/>
      <c r="F18" s="200"/>
      <c r="G18" s="200"/>
      <c r="H18" s="200" t="s">
        <v>230</v>
      </c>
      <c r="I18" s="200"/>
      <c r="J18" s="200"/>
      <c r="K18" s="200"/>
      <c r="L18" s="476"/>
      <c r="M18" s="200" t="s">
        <v>230</v>
      </c>
      <c r="N18" s="200"/>
      <c r="O18" s="200"/>
      <c r="P18" s="200"/>
      <c r="Q18" s="476"/>
      <c r="R18" s="200" t="s">
        <v>230</v>
      </c>
      <c r="S18" s="200"/>
      <c r="T18" s="200"/>
      <c r="U18" s="200"/>
      <c r="V18" s="476"/>
      <c r="W18" s="200" t="s">
        <v>230</v>
      </c>
      <c r="X18" s="200"/>
      <c r="Y18" s="200"/>
      <c r="Z18" s="478" t="str">
        <f>IFERROR(__xludf.DUMMYFUNCTION("""COMPUTED_VALUE"""),"")</f>
        <v/>
      </c>
      <c r="AA18" s="257" t="str">
        <f>IFERROR(__xludf.DUMMYFUNCTION("""COMPUTED_VALUE"""),"Quaquaval")</f>
        <v>Quaquaval</v>
      </c>
      <c r="AB18" s="198" t="s">
        <v>216</v>
      </c>
      <c r="AC18" s="200"/>
      <c r="AD18" s="200"/>
      <c r="AE18" s="263" t="str">
        <f>IFERROR(__xludf.DUMMYFUNCTION("""COMPUTED_VALUE"""),"")</f>
        <v/>
      </c>
      <c r="AF18" s="265" t="str">
        <f>IFERROR(__xludf.DUMMYFUNCTION("""COMPUTED_VALUE"""),"Urshifu-Rapid-Strike")</f>
        <v>Urshifu-Rapid-Strike</v>
      </c>
      <c r="AG18" s="198" t="s">
        <v>216</v>
      </c>
      <c r="AH18" s="200"/>
      <c r="AI18" s="200"/>
      <c r="AJ18" s="271" t="str">
        <f>IFERROR(__xludf.DUMMYFUNCTION("""COMPUTED_VALUE"""),"")</f>
        <v/>
      </c>
      <c r="AK18" s="272" t="str">
        <f>IFERROR(__xludf.DUMMYFUNCTION("""COMPUTED_VALUE"""),"Salamence")</f>
        <v>Salamence</v>
      </c>
      <c r="AL18" s="198" t="s">
        <v>216</v>
      </c>
      <c r="AM18" s="200"/>
      <c r="AN18" s="200"/>
      <c r="AO18" s="278" t="str">
        <f>IFERROR(__xludf.DUMMYFUNCTION("""COMPUTED_VALUE"""),"")</f>
        <v/>
      </c>
      <c r="AP18" s="279" t="str">
        <f>IFERROR(__xludf.DUMMYFUNCTION("""COMPUTED_VALUE"""),"Krookodile")</f>
        <v>Krookodile</v>
      </c>
      <c r="AQ18" s="198" t="s">
        <v>213</v>
      </c>
      <c r="AR18" s="200"/>
      <c r="AS18" s="200"/>
      <c r="AT18" s="200" t="str">
        <f>IFERROR(__xludf.DUMMYFUNCTION("""COMPUTED_VALUE"""),"")</f>
        <v/>
      </c>
      <c r="AU18" s="425" t="str">
        <f>IFERROR(__xludf.DUMMYFUNCTION("""COMPUTED_VALUE"""),"Klefki")</f>
        <v>Klefki</v>
      </c>
      <c r="AV18" s="479" t="s">
        <v>216</v>
      </c>
      <c r="AW18" s="486">
        <v>12.0</v>
      </c>
      <c r="AX18" s="49"/>
      <c r="AY18" s="296" t="str">
        <f>IFERROR(__xludf.DUMMYFUNCTION("""COMPUTED_VALUE"""),"")</f>
        <v/>
      </c>
      <c r="AZ18" s="298" t="str">
        <f>IFERROR(__xludf.DUMMYFUNCTION("""COMPUTED_VALUE"""),"Overqwil")</f>
        <v>Overqwil</v>
      </c>
      <c r="BA18" s="479" t="s">
        <v>216</v>
      </c>
      <c r="BB18" s="486">
        <v>11.0</v>
      </c>
      <c r="BC18" s="446"/>
      <c r="BD18" s="327" t="str">
        <f>IFERROR(__xludf.DUMMYFUNCTION("""COMPUTED_VALUE"""),"")</f>
        <v/>
      </c>
      <c r="BE18" s="330" t="str">
        <f>IFERROR(__xludf.DUMMYFUNCTION("""COMPUTED_VALUE"""),"Gallade")</f>
        <v>Gallade</v>
      </c>
      <c r="BF18" s="479" t="s">
        <v>216</v>
      </c>
      <c r="BG18" s="486">
        <v>11.0</v>
      </c>
      <c r="BH18" s="49"/>
      <c r="BI18" s="346" t="str">
        <f>IFERROR(__xludf.DUMMYFUNCTION("""COMPUTED_VALUE"""),"")</f>
        <v/>
      </c>
      <c r="BJ18" s="348" t="str">
        <f>IFERROR(__xludf.DUMMYFUNCTION("""COMPUTED_VALUE"""),"Gyarados")</f>
        <v>Gyarados</v>
      </c>
      <c r="BK18" s="426" t="s">
        <v>216</v>
      </c>
      <c r="BL18" s="486">
        <v>11.0</v>
      </c>
      <c r="BM18" s="49"/>
      <c r="BN18" s="429" t="str">
        <f>IFERROR(__xludf.DUMMYFUNCTION("""COMPUTED_VALUE"""),"")</f>
        <v/>
      </c>
      <c r="BO18" s="354" t="str">
        <f>IFERROR(__xludf.DUMMYFUNCTION("""COMPUTED_VALUE"""),"Hariyama")</f>
        <v>Hariyama</v>
      </c>
      <c r="BP18" s="426" t="s">
        <v>216</v>
      </c>
      <c r="BQ18" s="456">
        <v>9.0</v>
      </c>
      <c r="BR18" s="49"/>
      <c r="BS18" s="353" t="str">
        <f>IFERROR(__xludf.DUMMYFUNCTION("""COMPUTED_VALUE"""),"")</f>
        <v/>
      </c>
      <c r="BT18" s="361" t="str">
        <f>IFERROR(__xludf.DUMMYFUNCTION("""COMPUTED_VALUE"""),"Houndstone")</f>
        <v>Houndstone</v>
      </c>
      <c r="BU18" s="426" t="s">
        <v>216</v>
      </c>
      <c r="BV18" s="456">
        <v>7.0</v>
      </c>
      <c r="BW18" s="49"/>
      <c r="BX18" s="368" t="str">
        <f>IFERROR(__xludf.DUMMYFUNCTION("""COMPUTED_VALUE"""),"")</f>
        <v/>
      </c>
      <c r="BY18" s="370" t="str">
        <f>IFERROR(__xludf.DUMMYFUNCTION("""COMPUTED_VALUE"""),"Iron Thorns")</f>
        <v>Iron Thorns</v>
      </c>
      <c r="BZ18" s="426" t="s">
        <v>216</v>
      </c>
      <c r="CA18" s="486">
        <v>7.0</v>
      </c>
      <c r="CB18" s="49"/>
      <c r="CC18" s="388" t="str">
        <f>IFERROR(__xludf.DUMMYFUNCTION("""COMPUTED_VALUE"""),"")</f>
        <v/>
      </c>
      <c r="CD18" s="488" t="str">
        <f>IFERROR(__xludf.DUMMYFUNCTION("""COMPUTED_VALUE"""),"Poliwrath")</f>
        <v>Poliwrath</v>
      </c>
      <c r="CE18" s="426" t="s">
        <v>216</v>
      </c>
      <c r="CF18" s="486">
        <v>5.0</v>
      </c>
      <c r="CG18" s="49"/>
      <c r="CH18" s="402" t="str">
        <f>IFERROR(__xludf.DUMMYFUNCTION("""COMPUTED_VALUE"""),"")</f>
        <v/>
      </c>
      <c r="CI18" s="404" t="str">
        <f>IFERROR(__xludf.DUMMYFUNCTION("""COMPUTED_VALUE"""),"Flapple")</f>
        <v>Flapple</v>
      </c>
      <c r="CJ18" s="426" t="s">
        <v>216</v>
      </c>
      <c r="CK18" s="456">
        <v>4.0</v>
      </c>
      <c r="CL18" s="49"/>
      <c r="CM18" s="402" t="str">
        <f>IFERROR(__xludf.DUMMYFUNCTION("""COMPUTED_VALUE"""),"")</f>
        <v/>
      </c>
      <c r="CN18" s="404" t="str">
        <f>IFERROR(__xludf.DUMMYFUNCTION("""COMPUTED_VALUE"""),"Dewgong")</f>
        <v>Dewgong</v>
      </c>
      <c r="CO18" s="426" t="s">
        <v>216</v>
      </c>
      <c r="CP18" s="486">
        <v>3.0</v>
      </c>
      <c r="CQ18" s="49"/>
      <c r="CR18" s="419" t="str">
        <f>IFERROR(__xludf.DUMMYFUNCTION("""COMPUTED_VALUE"""),"")</f>
        <v/>
      </c>
      <c r="CS18" s="420" t="str">
        <f>IFERROR(__xludf.DUMMYFUNCTION("""COMPUTED_VALUE"""),"Chimecho")</f>
        <v>Chimecho</v>
      </c>
      <c r="CT18" s="442" t="s">
        <v>216</v>
      </c>
      <c r="CU18" s="456">
        <v>2.0</v>
      </c>
      <c r="CV18" s="49"/>
      <c r="CW18" s="453"/>
      <c r="CX18" s="455"/>
      <c r="CY18" s="426"/>
      <c r="CZ18" s="456"/>
      <c r="DA18" s="49"/>
      <c r="DB18" s="457"/>
      <c r="DC18" s="475"/>
      <c r="DD18" s="426"/>
      <c r="DE18" s="456"/>
      <c r="DF18" s="49"/>
      <c r="DG18" s="458"/>
      <c r="DH18" s="459"/>
      <c r="DI18" s="426"/>
      <c r="DJ18" s="456"/>
      <c r="DK18" s="49"/>
      <c r="DL18" s="198"/>
      <c r="DM18" s="460"/>
      <c r="DN18" s="426"/>
      <c r="DO18" s="456"/>
      <c r="DP18" s="49"/>
      <c r="DQ18" s="461"/>
      <c r="DR18" s="462"/>
      <c r="DS18" s="426"/>
      <c r="DT18" s="456"/>
      <c r="DU18" s="49"/>
      <c r="DV18" s="463"/>
      <c r="DW18" s="464"/>
      <c r="DX18" s="426"/>
      <c r="DY18" s="456"/>
      <c r="DZ18" s="49"/>
      <c r="EA18" s="465"/>
      <c r="EB18" s="466"/>
      <c r="EC18" s="426"/>
      <c r="ED18" s="456"/>
      <c r="EE18" s="49"/>
      <c r="EF18" s="17"/>
    </row>
    <row r="19" ht="17.25" customHeight="1">
      <c r="A19" s="443"/>
      <c r="B19" s="444"/>
      <c r="C19" s="170"/>
      <c r="D19" s="171" t="s">
        <v>259</v>
      </c>
      <c r="E19" s="49"/>
      <c r="F19" s="200"/>
      <c r="G19" s="200"/>
      <c r="H19" s="200" t="s">
        <v>230</v>
      </c>
      <c r="I19" s="200"/>
      <c r="J19" s="200"/>
      <c r="K19" s="200"/>
      <c r="L19" s="476"/>
      <c r="M19" s="200" t="s">
        <v>230</v>
      </c>
      <c r="N19" s="200"/>
      <c r="O19" s="200"/>
      <c r="P19" s="200"/>
      <c r="Q19" s="476"/>
      <c r="R19" s="200" t="s">
        <v>230</v>
      </c>
      <c r="S19" s="200"/>
      <c r="T19" s="200"/>
      <c r="U19" s="200"/>
      <c r="V19" s="476"/>
      <c r="W19" s="200" t="s">
        <v>230</v>
      </c>
      <c r="X19" s="200"/>
      <c r="Y19" s="200"/>
      <c r="Z19" s="478" t="str">
        <f>IFERROR(__xludf.DUMMYFUNCTION("""COMPUTED_VALUE"""),"")</f>
        <v/>
      </c>
      <c r="AA19" s="257" t="str">
        <f>IFERROR(__xludf.DUMMYFUNCTION("""COMPUTED_VALUE"""),"Ting-Lu")</f>
        <v>Ting-Lu</v>
      </c>
      <c r="AB19" s="198" t="s">
        <v>216</v>
      </c>
      <c r="AC19" s="200"/>
      <c r="AD19" s="200"/>
      <c r="AE19" s="263" t="str">
        <f>IFERROR(__xludf.DUMMYFUNCTION("""COMPUTED_VALUE"""),"")</f>
        <v/>
      </c>
      <c r="AF19" s="265" t="str">
        <f>IFERROR(__xludf.DUMMYFUNCTION("""COMPUTED_VALUE"""),"Walking Wake")</f>
        <v>Walking Wake</v>
      </c>
      <c r="AG19" s="198" t="s">
        <v>213</v>
      </c>
      <c r="AH19" s="200"/>
      <c r="AI19" s="200"/>
      <c r="AJ19" s="271" t="str">
        <f>IFERROR(__xludf.DUMMYFUNCTION("""COMPUTED_VALUE"""),"")</f>
        <v/>
      </c>
      <c r="AK19" s="272" t="str">
        <f>IFERROR(__xludf.DUMMYFUNCTION("""COMPUTED_VALUE"""),"Scizor")</f>
        <v>Scizor</v>
      </c>
      <c r="AL19" s="198" t="s">
        <v>213</v>
      </c>
      <c r="AM19" s="200"/>
      <c r="AN19" s="200"/>
      <c r="AO19" s="278" t="str">
        <f>IFERROR(__xludf.DUMMYFUNCTION("""COMPUTED_VALUE"""),"")</f>
        <v/>
      </c>
      <c r="AP19" s="279" t="str">
        <f>IFERROR(__xludf.DUMMYFUNCTION("""COMPUTED_VALUE"""),"Lycanroc-Dusk")</f>
        <v>Lycanroc-Dusk</v>
      </c>
      <c r="AQ19" s="198" t="s">
        <v>216</v>
      </c>
      <c r="AR19" s="200"/>
      <c r="AS19" s="200"/>
      <c r="AT19" s="200" t="str">
        <f>IFERROR(__xludf.DUMMYFUNCTION("""COMPUTED_VALUE"""),"")</f>
        <v/>
      </c>
      <c r="AU19" s="425" t="str">
        <f>IFERROR(__xludf.DUMMYFUNCTION("""COMPUTED_VALUE"""),"Mamoswine")</f>
        <v>Mamoswine</v>
      </c>
      <c r="AV19" s="479" t="s">
        <v>213</v>
      </c>
      <c r="AW19" s="486">
        <v>12.0</v>
      </c>
      <c r="AX19" s="49"/>
      <c r="AY19" s="296" t="str">
        <f>IFERROR(__xludf.DUMMYFUNCTION("""COMPUTED_VALUE"""),"")</f>
        <v/>
      </c>
      <c r="AZ19" s="298" t="str">
        <f>IFERROR(__xludf.DUMMYFUNCTION("""COMPUTED_VALUE"""),"Paldean Tauros-Water")</f>
        <v>Paldean Tauros-Water</v>
      </c>
      <c r="BA19" s="479" t="s">
        <v>216</v>
      </c>
      <c r="BB19" s="486">
        <v>11.0</v>
      </c>
      <c r="BC19" s="446"/>
      <c r="BD19" s="327" t="str">
        <f>IFERROR(__xludf.DUMMYFUNCTION("""COMPUTED_VALUE"""),"")</f>
        <v/>
      </c>
      <c r="BE19" s="330" t="str">
        <f>IFERROR(__xludf.DUMMYFUNCTION("""COMPUTED_VALUE"""),"Heracross")</f>
        <v>Heracross</v>
      </c>
      <c r="BF19" s="445" t="s">
        <v>216</v>
      </c>
      <c r="BG19" s="518">
        <v>10.0</v>
      </c>
      <c r="BH19" s="49"/>
      <c r="BI19" s="346" t="str">
        <f>IFERROR(__xludf.DUMMYFUNCTION("""COMPUTED_VALUE"""),"")</f>
        <v/>
      </c>
      <c r="BJ19" s="348" t="str">
        <f>IFERROR(__xludf.DUMMYFUNCTION("""COMPUTED_VALUE"""),"Hisuian Braviary")</f>
        <v>Hisuian Braviary</v>
      </c>
      <c r="BK19" s="426" t="s">
        <v>216</v>
      </c>
      <c r="BL19" s="486">
        <v>10.0</v>
      </c>
      <c r="BM19" s="49"/>
      <c r="BN19" s="429" t="str">
        <f>IFERROR(__xludf.DUMMYFUNCTION("""COMPUTED_VALUE"""),"")</f>
        <v/>
      </c>
      <c r="BO19" s="354" t="str">
        <f>IFERROR(__xludf.DUMMYFUNCTION("""COMPUTED_VALUE"""),"Hisuian Qwilfish")</f>
        <v>Hisuian Qwilfish</v>
      </c>
      <c r="BP19" s="426" t="s">
        <v>216</v>
      </c>
      <c r="BQ19" s="456">
        <v>8.0</v>
      </c>
      <c r="BR19" s="49"/>
      <c r="BS19" s="353" t="str">
        <f>IFERROR(__xludf.DUMMYFUNCTION("""COMPUTED_VALUE"""),"")</f>
        <v/>
      </c>
      <c r="BT19" s="361" t="str">
        <f>IFERROR(__xludf.DUMMYFUNCTION("""COMPUTED_VALUE"""),"Indeedee-Female")</f>
        <v>Indeedee-Female</v>
      </c>
      <c r="BU19" s="426" t="s">
        <v>216</v>
      </c>
      <c r="BV19" s="456">
        <v>7.0</v>
      </c>
      <c r="BW19" s="49"/>
      <c r="BX19" s="368" t="str">
        <f>IFERROR(__xludf.DUMMYFUNCTION("""COMPUTED_VALUE"""),"")</f>
        <v/>
      </c>
      <c r="BY19" s="370" t="str">
        <f>IFERROR(__xludf.DUMMYFUNCTION("""COMPUTED_VALUE"""),"Jolteon")</f>
        <v>Jolteon</v>
      </c>
      <c r="BZ19" s="479" t="s">
        <v>216</v>
      </c>
      <c r="CA19" s="486">
        <v>9.0</v>
      </c>
      <c r="CB19" s="49"/>
      <c r="CC19" s="388" t="str">
        <f>IFERROR(__xludf.DUMMYFUNCTION("""COMPUTED_VALUE"""),"")</f>
        <v/>
      </c>
      <c r="CD19" s="488" t="str">
        <f>IFERROR(__xludf.DUMMYFUNCTION("""COMPUTED_VALUE"""),"Quilladin")</f>
        <v>Quilladin</v>
      </c>
      <c r="CE19" s="426" t="s">
        <v>216</v>
      </c>
      <c r="CF19" s="486">
        <v>5.0</v>
      </c>
      <c r="CG19" s="49"/>
      <c r="CH19" s="402" t="str">
        <f>IFERROR(__xludf.DUMMYFUNCTION("""COMPUTED_VALUE"""),"")</f>
        <v/>
      </c>
      <c r="CI19" s="439" t="str">
        <f>IFERROR(__xludf.DUMMYFUNCTION("""COMPUTED_VALUE"""),"Frosmoth")</f>
        <v>Frosmoth</v>
      </c>
      <c r="CJ19" s="426" t="s">
        <v>216</v>
      </c>
      <c r="CK19" s="486">
        <v>5.0</v>
      </c>
      <c r="CL19" s="49"/>
      <c r="CM19" s="402" t="str">
        <f>IFERROR(__xludf.DUMMYFUNCTION("""COMPUTED_VALUE"""),"")</f>
        <v/>
      </c>
      <c r="CN19" s="439" t="str">
        <f>IFERROR(__xludf.DUMMYFUNCTION("""COMPUTED_VALUE"""),"Dodrio")</f>
        <v>Dodrio</v>
      </c>
      <c r="CO19" s="426" t="s">
        <v>216</v>
      </c>
      <c r="CP19" s="486">
        <v>3.0</v>
      </c>
      <c r="CQ19" s="49"/>
      <c r="CR19" s="419" t="str">
        <f>IFERROR(__xludf.DUMMYFUNCTION("""COMPUTED_VALUE"""),"")</f>
        <v/>
      </c>
      <c r="CS19" s="487" t="str">
        <f>IFERROR(__xludf.DUMMYFUNCTION("""COMPUTED_VALUE"""),"Cosmoem")</f>
        <v>Cosmoem</v>
      </c>
      <c r="CT19" s="442" t="s">
        <v>216</v>
      </c>
      <c r="CU19" s="486">
        <v>1.0</v>
      </c>
      <c r="CV19" s="49"/>
      <c r="CW19" s="453"/>
      <c r="CX19" s="455"/>
      <c r="CY19" s="426"/>
      <c r="CZ19" s="456"/>
      <c r="DA19" s="49"/>
      <c r="DB19" s="457"/>
      <c r="DC19" s="475"/>
      <c r="DD19" s="426"/>
      <c r="DE19" s="456"/>
      <c r="DF19" s="49"/>
      <c r="DG19" s="458"/>
      <c r="DH19" s="459"/>
      <c r="DI19" s="426"/>
      <c r="DJ19" s="456"/>
      <c r="DK19" s="49"/>
      <c r="DL19" s="198"/>
      <c r="DM19" s="460"/>
      <c r="DN19" s="525"/>
      <c r="DO19" s="525"/>
      <c r="DP19" s="49"/>
      <c r="DQ19" s="461"/>
      <c r="DR19" s="462"/>
      <c r="DS19" s="426"/>
      <c r="DT19" s="456"/>
      <c r="DU19" s="49"/>
      <c r="DV19" s="463"/>
      <c r="DW19" s="464"/>
      <c r="DX19" s="426"/>
      <c r="DY19" s="456"/>
      <c r="DZ19" s="49"/>
      <c r="EA19" s="465"/>
      <c r="EB19" s="466"/>
      <c r="EC19" s="426"/>
      <c r="ED19" s="456"/>
      <c r="EE19" s="49"/>
      <c r="EF19" s="17"/>
    </row>
    <row r="20" ht="17.25" customHeight="1">
      <c r="A20" s="17"/>
      <c r="B20" s="49"/>
      <c r="C20" s="170"/>
      <c r="D20" s="171" t="s">
        <v>260</v>
      </c>
      <c r="E20" s="49"/>
      <c r="F20" s="200"/>
      <c r="G20" s="200"/>
      <c r="H20" s="200" t="s">
        <v>230</v>
      </c>
      <c r="I20" s="200"/>
      <c r="J20" s="200"/>
      <c r="K20" s="200"/>
      <c r="L20" s="476"/>
      <c r="M20" s="200" t="s">
        <v>230</v>
      </c>
      <c r="N20" s="200"/>
      <c r="O20" s="200"/>
      <c r="P20" s="200"/>
      <c r="Q20" s="476"/>
      <c r="R20" s="200" t="s">
        <v>230</v>
      </c>
      <c r="S20" s="200"/>
      <c r="T20" s="200"/>
      <c r="U20" s="200"/>
      <c r="V20" s="476"/>
      <c r="W20" s="200" t="s">
        <v>230</v>
      </c>
      <c r="X20" s="200"/>
      <c r="Y20" s="200"/>
      <c r="Z20" s="478" t="str">
        <f>IFERROR(__xludf.DUMMYFUNCTION("""COMPUTED_VALUE"""),"")</f>
        <v/>
      </c>
      <c r="AA20" s="257" t="str">
        <f>IFERROR(__xludf.DUMMYFUNCTION("""COMPUTED_VALUE"""),"Weavile")</f>
        <v>Weavile</v>
      </c>
      <c r="AB20" s="198" t="s">
        <v>216</v>
      </c>
      <c r="AC20" s="200"/>
      <c r="AD20" s="200"/>
      <c r="AE20" s="200"/>
      <c r="AF20" s="200"/>
      <c r="AG20" s="200" t="s">
        <v>230</v>
      </c>
      <c r="AH20" s="200"/>
      <c r="AI20" s="200"/>
      <c r="AJ20" s="271" t="str">
        <f>IFERROR(__xludf.DUMMYFUNCTION("""COMPUTED_VALUE"""),"")</f>
        <v/>
      </c>
      <c r="AK20" s="272" t="str">
        <f>IFERROR(__xludf.DUMMYFUNCTION("""COMPUTED_VALUE"""),"Scream Tail")</f>
        <v>Scream Tail</v>
      </c>
      <c r="AL20" s="198" t="s">
        <v>216</v>
      </c>
      <c r="AM20" s="200"/>
      <c r="AN20" s="200"/>
      <c r="AO20" s="278" t="str">
        <f>IFERROR(__xludf.DUMMYFUNCTION("""COMPUTED_VALUE"""),"")</f>
        <v/>
      </c>
      <c r="AP20" s="279" t="str">
        <f>IFERROR(__xludf.DUMMYFUNCTION("""COMPUTED_VALUE"""),"Mienshao")</f>
        <v>Mienshao</v>
      </c>
      <c r="AQ20" s="198" t="s">
        <v>216</v>
      </c>
      <c r="AR20" s="200"/>
      <c r="AS20" s="200"/>
      <c r="AT20" s="200" t="str">
        <f>IFERROR(__xludf.DUMMYFUNCTION("""COMPUTED_VALUE"""),"")</f>
        <v/>
      </c>
      <c r="AU20" s="425" t="str">
        <f>IFERROR(__xludf.DUMMYFUNCTION("""COMPUTED_VALUE"""),"Pawmot")</f>
        <v>Pawmot</v>
      </c>
      <c r="AV20" s="479" t="s">
        <v>216</v>
      </c>
      <c r="AW20" s="486">
        <v>12.0</v>
      </c>
      <c r="AX20" s="49"/>
      <c r="AY20" s="296" t="str">
        <f>IFERROR(__xludf.DUMMYFUNCTION("""COMPUTED_VALUE"""),"")</f>
        <v/>
      </c>
      <c r="AZ20" s="298" t="str">
        <f>IFERROR(__xludf.DUMMYFUNCTION("""COMPUTED_VALUE"""),"Rotom-Heat")</f>
        <v>Rotom-Heat</v>
      </c>
      <c r="BA20" s="479" t="s">
        <v>216</v>
      </c>
      <c r="BB20" s="486">
        <v>11.0</v>
      </c>
      <c r="BC20" s="49"/>
      <c r="BD20" s="327" t="str">
        <f>IFERROR(__xludf.DUMMYFUNCTION("""COMPUTED_VALUE"""),"")</f>
        <v/>
      </c>
      <c r="BE20" s="330" t="str">
        <f>IFERROR(__xludf.DUMMYFUNCTION("""COMPUTED_VALUE"""),"Hisuian Electrode")</f>
        <v>Hisuian Electrode</v>
      </c>
      <c r="BF20" s="479" t="s">
        <v>216</v>
      </c>
      <c r="BG20" s="486">
        <v>11.0</v>
      </c>
      <c r="BH20" s="49"/>
      <c r="BI20" s="346" t="str">
        <f>IFERROR(__xludf.DUMMYFUNCTION("""COMPUTED_VALUE"""),"")</f>
        <v/>
      </c>
      <c r="BJ20" s="348" t="str">
        <f>IFERROR(__xludf.DUMMYFUNCTION("""COMPUTED_VALUE"""),"Inteleon")</f>
        <v>Inteleon</v>
      </c>
      <c r="BK20" s="426" t="s">
        <v>216</v>
      </c>
      <c r="BL20" s="486">
        <v>9.0</v>
      </c>
      <c r="BM20" s="49"/>
      <c r="BN20" s="429" t="str">
        <f>IFERROR(__xludf.DUMMYFUNCTION("""COMPUTED_VALUE"""),"")</f>
        <v/>
      </c>
      <c r="BO20" s="354" t="str">
        <f>IFERROR(__xludf.DUMMYFUNCTION("""COMPUTED_VALUE"""),"Incineroar")</f>
        <v>Incineroar</v>
      </c>
      <c r="BP20" s="479" t="s">
        <v>216</v>
      </c>
      <c r="BQ20" s="486">
        <v>8.0</v>
      </c>
      <c r="BR20" s="49"/>
      <c r="BS20" s="353" t="str">
        <f>IFERROR(__xludf.DUMMYFUNCTION("""COMPUTED_VALUE"""),"")</f>
        <v/>
      </c>
      <c r="BT20" s="361" t="str">
        <f>IFERROR(__xludf.DUMMYFUNCTION("""COMPUTED_VALUE"""),"Medicham")</f>
        <v>Medicham</v>
      </c>
      <c r="BU20" s="426" t="s">
        <v>216</v>
      </c>
      <c r="BV20" s="456">
        <v>7.0</v>
      </c>
      <c r="BW20" s="49"/>
      <c r="BX20" s="368" t="str">
        <f>IFERROR(__xludf.DUMMYFUNCTION("""COMPUTED_VALUE"""),"")</f>
        <v/>
      </c>
      <c r="BY20" s="370" t="str">
        <f>IFERROR(__xludf.DUMMYFUNCTION("""COMPUTED_VALUE"""),"Lycanroc-Midday")</f>
        <v>Lycanroc-Midday</v>
      </c>
      <c r="BZ20" s="479" t="s">
        <v>216</v>
      </c>
      <c r="CA20" s="486">
        <v>7.0</v>
      </c>
      <c r="CB20" s="49"/>
      <c r="CC20" s="388" t="str">
        <f>IFERROR(__xludf.DUMMYFUNCTION("""COMPUTED_VALUE"""),"")</f>
        <v/>
      </c>
      <c r="CD20" s="488" t="str">
        <f>IFERROR(__xludf.DUMMYFUNCTION("""COMPUTED_VALUE"""),"Raichu")</f>
        <v>Raichu</v>
      </c>
      <c r="CE20" s="426" t="s">
        <v>216</v>
      </c>
      <c r="CF20" s="486">
        <v>5.0</v>
      </c>
      <c r="CG20" s="49"/>
      <c r="CH20" s="402" t="str">
        <f>IFERROR(__xludf.DUMMYFUNCTION("""COMPUTED_VALUE"""),"")</f>
        <v/>
      </c>
      <c r="CI20" s="439" t="str">
        <f>IFERROR(__xludf.DUMMYFUNCTION("""COMPUTED_VALUE"""),"Greedent")</f>
        <v>Greedent</v>
      </c>
      <c r="CJ20" s="426" t="s">
        <v>216</v>
      </c>
      <c r="CK20" s="486">
        <v>4.0</v>
      </c>
      <c r="CL20" s="49"/>
      <c r="CM20" s="402" t="str">
        <f>IFERROR(__xludf.DUMMYFUNCTION("""COMPUTED_VALUE"""),"")</f>
        <v/>
      </c>
      <c r="CN20" s="439" t="str">
        <f>IFERROR(__xludf.DUMMYFUNCTION("""COMPUTED_VALUE"""),"Duosion")</f>
        <v>Duosion</v>
      </c>
      <c r="CO20" s="426" t="s">
        <v>216</v>
      </c>
      <c r="CP20" s="486">
        <v>3.0</v>
      </c>
      <c r="CQ20" s="49"/>
      <c r="CR20" s="419" t="str">
        <f>IFERROR(__xludf.DUMMYFUNCTION("""COMPUTED_VALUE"""),"")</f>
        <v/>
      </c>
      <c r="CS20" s="487" t="str">
        <f>IFERROR(__xludf.DUMMYFUNCTION("""COMPUTED_VALUE"""),"Croconaw")</f>
        <v>Croconaw</v>
      </c>
      <c r="CT20" s="442" t="s">
        <v>216</v>
      </c>
      <c r="CU20" s="486">
        <v>1.0</v>
      </c>
      <c r="CV20" s="49"/>
      <c r="CW20" s="453"/>
      <c r="CX20" s="455"/>
      <c r="CY20" s="479"/>
      <c r="CZ20" s="486"/>
      <c r="DA20" s="49"/>
      <c r="DB20" s="457"/>
      <c r="DC20" s="475"/>
      <c r="DD20" s="426"/>
      <c r="DE20" s="456"/>
      <c r="DF20" s="49"/>
      <c r="DG20" s="458"/>
      <c r="DH20" s="459"/>
      <c r="DI20" s="426"/>
      <c r="DJ20" s="456"/>
      <c r="DK20" s="49"/>
      <c r="DL20" s="198"/>
      <c r="DM20" s="460"/>
      <c r="DN20" s="525"/>
      <c r="DO20" s="525"/>
      <c r="DP20" s="49"/>
      <c r="DQ20" s="461"/>
      <c r="DR20" s="462"/>
      <c r="DS20" s="426"/>
      <c r="DT20" s="456"/>
      <c r="DU20" s="49"/>
      <c r="DV20" s="463"/>
      <c r="DW20" s="464"/>
      <c r="DX20" s="426"/>
      <c r="DY20" s="456"/>
      <c r="DZ20" s="49"/>
      <c r="EA20" s="465"/>
      <c r="EB20" s="466"/>
      <c r="EC20" s="426"/>
      <c r="ED20" s="456"/>
      <c r="EE20" s="49"/>
      <c r="EF20" s="17"/>
    </row>
    <row r="21" ht="17.25" customHeight="1">
      <c r="A21" s="443"/>
      <c r="B21" s="444"/>
      <c r="C21" s="170"/>
      <c r="D21" s="171" t="s">
        <v>261</v>
      </c>
      <c r="E21" s="49"/>
      <c r="F21" s="200"/>
      <c r="G21" s="200"/>
      <c r="H21" s="200" t="s">
        <v>230</v>
      </c>
      <c r="I21" s="200"/>
      <c r="J21" s="200"/>
      <c r="K21" s="200"/>
      <c r="L21" s="476"/>
      <c r="M21" s="200" t="s">
        <v>230</v>
      </c>
      <c r="N21" s="200"/>
      <c r="O21" s="200"/>
      <c r="P21" s="200"/>
      <c r="Q21" s="476"/>
      <c r="R21" s="200" t="s">
        <v>230</v>
      </c>
      <c r="S21" s="200"/>
      <c r="T21" s="200"/>
      <c r="U21" s="200"/>
      <c r="V21" s="476"/>
      <c r="W21" s="200" t="s">
        <v>230</v>
      </c>
      <c r="X21" s="200"/>
      <c r="Y21" s="200"/>
      <c r="Z21" s="478" t="str">
        <f>IFERROR(__xludf.DUMMYFUNCTION("""COMPUTED_VALUE"""),"")</f>
        <v/>
      </c>
      <c r="AA21" s="257" t="str">
        <f>IFERROR(__xludf.DUMMYFUNCTION("""COMPUTED_VALUE"""),"Zapdos")</f>
        <v>Zapdos</v>
      </c>
      <c r="AB21" s="198" t="s">
        <v>213</v>
      </c>
      <c r="AC21" s="200"/>
      <c r="AD21" s="200"/>
      <c r="AE21" s="200"/>
      <c r="AF21" s="200"/>
      <c r="AG21" s="200" t="s">
        <v>230</v>
      </c>
      <c r="AH21" s="200"/>
      <c r="AI21" s="200"/>
      <c r="AJ21" s="271" t="str">
        <f>IFERROR(__xludf.DUMMYFUNCTION("""COMPUTED_VALUE"""),"")</f>
        <v/>
      </c>
      <c r="AK21" s="272" t="str">
        <f>IFERROR(__xludf.DUMMYFUNCTION("""COMPUTED_VALUE"""),"Skarmory")</f>
        <v>Skarmory</v>
      </c>
      <c r="AL21" s="198" t="s">
        <v>216</v>
      </c>
      <c r="AM21" s="200"/>
      <c r="AN21" s="200"/>
      <c r="AO21" s="278" t="str">
        <f>IFERROR(__xludf.DUMMYFUNCTION("""COMPUTED_VALUE"""),"")</f>
        <v/>
      </c>
      <c r="AP21" s="279" t="str">
        <f>IFERROR(__xludf.DUMMYFUNCTION("""COMPUTED_VALUE"""),"Raging Bolt")</f>
        <v>Raging Bolt</v>
      </c>
      <c r="AQ21" s="198" t="s">
        <v>213</v>
      </c>
      <c r="AR21" s="200"/>
      <c r="AS21" s="200"/>
      <c r="AT21" s="200" t="str">
        <f>IFERROR(__xludf.DUMMYFUNCTION("""COMPUTED_VALUE"""),"")</f>
        <v/>
      </c>
      <c r="AU21" s="425" t="str">
        <f>IFERROR(__xludf.DUMMYFUNCTION("""COMPUTED_VALUE"""),"Primarina")</f>
        <v>Primarina</v>
      </c>
      <c r="AV21" s="426" t="s">
        <v>216</v>
      </c>
      <c r="AW21" s="456">
        <v>13.0</v>
      </c>
      <c r="AX21" s="49"/>
      <c r="AY21" s="296" t="str">
        <f>IFERROR(__xludf.DUMMYFUNCTION("""COMPUTED_VALUE"""),"")</f>
        <v/>
      </c>
      <c r="AZ21" s="298" t="str">
        <f>IFERROR(__xludf.DUMMYFUNCTION("""COMPUTED_VALUE"""),"Slowbro")</f>
        <v>Slowbro</v>
      </c>
      <c r="BA21" s="479" t="s">
        <v>216</v>
      </c>
      <c r="BB21" s="486">
        <v>11.0</v>
      </c>
      <c r="BC21" s="49"/>
      <c r="BD21" s="327" t="str">
        <f>IFERROR(__xludf.DUMMYFUNCTION("""COMPUTED_VALUE"""),"")</f>
        <v/>
      </c>
      <c r="BE21" s="330" t="str">
        <f>IFERROR(__xludf.DUMMYFUNCTION("""COMPUTED_VALUE"""),"Lokix")</f>
        <v>Lokix</v>
      </c>
      <c r="BF21" s="479" t="s">
        <v>216</v>
      </c>
      <c r="BG21" s="486">
        <v>10.0</v>
      </c>
      <c r="BH21" s="49"/>
      <c r="BI21" s="346" t="str">
        <f>IFERROR(__xludf.DUMMYFUNCTION("""COMPUTED_VALUE"""),"")</f>
        <v/>
      </c>
      <c r="BJ21" s="348" t="str">
        <f>IFERROR(__xludf.DUMMYFUNCTION("""COMPUTED_VALUE"""),"Iron Leaves")</f>
        <v>Iron Leaves</v>
      </c>
      <c r="BK21" s="426" t="s">
        <v>216</v>
      </c>
      <c r="BL21" s="486">
        <v>11.0</v>
      </c>
      <c r="BM21" s="49"/>
      <c r="BN21" s="429" t="str">
        <f>IFERROR(__xludf.DUMMYFUNCTION("""COMPUTED_VALUE"""),"")</f>
        <v/>
      </c>
      <c r="BO21" s="354" t="str">
        <f>IFERROR(__xludf.DUMMYFUNCTION("""COMPUTED_VALUE"""),"Kilowattrel")</f>
        <v>Kilowattrel</v>
      </c>
      <c r="BP21" s="479" t="s">
        <v>216</v>
      </c>
      <c r="BQ21" s="486">
        <v>9.0</v>
      </c>
      <c r="BR21" s="49"/>
      <c r="BS21" s="353" t="str">
        <f>IFERROR(__xludf.DUMMYFUNCTION("""COMPUTED_VALUE"""),"")</f>
        <v/>
      </c>
      <c r="BT21" s="361" t="str">
        <f>IFERROR(__xludf.DUMMYFUNCTION("""COMPUTED_VALUE"""),"Paldean Tauros")</f>
        <v>Paldean Tauros</v>
      </c>
      <c r="BU21" s="426" t="s">
        <v>216</v>
      </c>
      <c r="BV21" s="456">
        <v>7.0</v>
      </c>
      <c r="BW21" s="49"/>
      <c r="BX21" s="368" t="str">
        <f>IFERROR(__xludf.DUMMYFUNCTION("""COMPUTED_VALUE"""),"")</f>
        <v/>
      </c>
      <c r="BY21" s="370" t="str">
        <f>IFERROR(__xludf.DUMMYFUNCTION("""COMPUTED_VALUE"""),"Magneton")</f>
        <v>Magneton</v>
      </c>
      <c r="BZ21" s="479" t="s">
        <v>216</v>
      </c>
      <c r="CA21" s="486">
        <v>6.0</v>
      </c>
      <c r="CB21" s="49"/>
      <c r="CC21" s="388" t="str">
        <f>IFERROR(__xludf.DUMMYFUNCTION("""COMPUTED_VALUE"""),"")</f>
        <v/>
      </c>
      <c r="CD21" s="488" t="str">
        <f>IFERROR(__xludf.DUMMYFUNCTION("""COMPUTED_VALUE"""),"Regirock")</f>
        <v>Regirock</v>
      </c>
      <c r="CE21" s="426" t="s">
        <v>216</v>
      </c>
      <c r="CF21" s="486">
        <v>5.0</v>
      </c>
      <c r="CG21" s="49"/>
      <c r="CH21" s="402" t="str">
        <f>IFERROR(__xludf.DUMMYFUNCTION("""COMPUTED_VALUE"""),"")</f>
        <v/>
      </c>
      <c r="CI21" s="439" t="str">
        <f>IFERROR(__xludf.DUMMYFUNCTION("""COMPUTED_VALUE"""),"Gurdurr")</f>
        <v>Gurdurr</v>
      </c>
      <c r="CJ21" s="426" t="s">
        <v>216</v>
      </c>
      <c r="CK21" s="486">
        <v>4.0</v>
      </c>
      <c r="CL21" s="49"/>
      <c r="CM21" s="402" t="str">
        <f>IFERROR(__xludf.DUMMYFUNCTION("""COMPUTED_VALUE"""),"")</f>
        <v/>
      </c>
      <c r="CN21" s="439" t="str">
        <f>IFERROR(__xludf.DUMMYFUNCTION("""COMPUTED_VALUE"""),"Eiscue")</f>
        <v>Eiscue</v>
      </c>
      <c r="CO21" s="426" t="s">
        <v>216</v>
      </c>
      <c r="CP21" s="486">
        <v>3.0</v>
      </c>
      <c r="CQ21" s="49"/>
      <c r="CR21" s="419" t="str">
        <f>IFERROR(__xludf.DUMMYFUNCTION("""COMPUTED_VALUE"""),"")</f>
        <v/>
      </c>
      <c r="CS21" s="487" t="str">
        <f>IFERROR(__xludf.DUMMYFUNCTION("""COMPUTED_VALUE"""),"Dedenne")</f>
        <v>Dedenne</v>
      </c>
      <c r="CT21" s="442" t="s">
        <v>216</v>
      </c>
      <c r="CU21" s="486">
        <v>1.0</v>
      </c>
      <c r="CV21" s="49"/>
      <c r="CW21" s="453"/>
      <c r="CX21" s="455"/>
      <c r="CY21" s="525"/>
      <c r="CZ21" s="525"/>
      <c r="DA21" s="49"/>
      <c r="DB21" s="457"/>
      <c r="DC21" s="475"/>
      <c r="DD21" s="426"/>
      <c r="DE21" s="456"/>
      <c r="DF21" s="49"/>
      <c r="DG21" s="458"/>
      <c r="DH21" s="459"/>
      <c r="DI21" s="426"/>
      <c r="DJ21" s="456"/>
      <c r="DK21" s="49"/>
      <c r="DL21" s="198"/>
      <c r="DM21" s="460"/>
      <c r="DN21" s="525"/>
      <c r="DO21" s="525"/>
      <c r="DP21" s="49"/>
      <c r="DQ21" s="461"/>
      <c r="DR21" s="462"/>
      <c r="DS21" s="426"/>
      <c r="DT21" s="456"/>
      <c r="DU21" s="49"/>
      <c r="DV21" s="463"/>
      <c r="DW21" s="464"/>
      <c r="DX21" s="426"/>
      <c r="DY21" s="456"/>
      <c r="DZ21" s="49"/>
      <c r="EA21" s="465"/>
      <c r="EB21" s="466"/>
      <c r="EC21" s="426"/>
      <c r="ED21" s="456"/>
      <c r="EE21" s="49"/>
      <c r="EF21" s="17"/>
    </row>
    <row r="22" ht="17.25" customHeight="1">
      <c r="A22" s="468"/>
      <c r="B22" s="469"/>
      <c r="C22" s="170"/>
      <c r="D22" s="171" t="s">
        <v>262</v>
      </c>
      <c r="E22" s="49"/>
      <c r="F22" s="200"/>
      <c r="G22" s="200"/>
      <c r="H22" s="200" t="s">
        <v>230</v>
      </c>
      <c r="I22" s="200"/>
      <c r="J22" s="200"/>
      <c r="K22" s="200"/>
      <c r="L22" s="476"/>
      <c r="M22" s="200" t="s">
        <v>230</v>
      </c>
      <c r="N22" s="200"/>
      <c r="O22" s="200"/>
      <c r="P22" s="200"/>
      <c r="Q22" s="476"/>
      <c r="R22" s="200" t="s">
        <v>230</v>
      </c>
      <c r="S22" s="200"/>
      <c r="T22" s="200"/>
      <c r="U22" s="200"/>
      <c r="V22" s="476"/>
      <c r="W22" s="200" t="s">
        <v>230</v>
      </c>
      <c r="X22" s="200"/>
      <c r="Y22" s="200"/>
      <c r="Z22" s="200"/>
      <c r="AA22" s="476"/>
      <c r="AB22" s="200" t="s">
        <v>230</v>
      </c>
      <c r="AC22" s="200"/>
      <c r="AD22" s="200"/>
      <c r="AE22" s="200"/>
      <c r="AF22" s="200"/>
      <c r="AG22" s="200" t="s">
        <v>230</v>
      </c>
      <c r="AH22" s="200"/>
      <c r="AI22" s="200"/>
      <c r="AJ22" s="271" t="str">
        <f>IFERROR(__xludf.DUMMYFUNCTION("""COMPUTED_VALUE"""),"")</f>
        <v/>
      </c>
      <c r="AK22" s="272" t="str">
        <f>IFERROR(__xludf.DUMMYFUNCTION("""COMPUTED_VALUE"""),"Slowking")</f>
        <v>Slowking</v>
      </c>
      <c r="AL22" s="198" t="s">
        <v>216</v>
      </c>
      <c r="AM22" s="200"/>
      <c r="AN22" s="200"/>
      <c r="AO22" s="278" t="str">
        <f>IFERROR(__xludf.DUMMYFUNCTION("""COMPUTED_VALUE"""),"")</f>
        <v/>
      </c>
      <c r="AP22" s="279" t="str">
        <f>IFERROR(__xludf.DUMMYFUNCTION("""COMPUTED_VALUE"""),"Raikou")</f>
        <v>Raikou</v>
      </c>
      <c r="AQ22" s="198" t="s">
        <v>213</v>
      </c>
      <c r="AR22" s="200"/>
      <c r="AS22" s="200"/>
      <c r="AT22" s="200" t="str">
        <f>IFERROR(__xludf.DUMMYFUNCTION("""COMPUTED_VALUE"""),"")</f>
        <v/>
      </c>
      <c r="AU22" s="425" t="str">
        <f>IFERROR(__xludf.DUMMYFUNCTION("""COMPUTED_VALUE"""),"Reuniclus")</f>
        <v>Reuniclus</v>
      </c>
      <c r="AV22" s="426" t="s">
        <v>216</v>
      </c>
      <c r="AW22" s="456">
        <v>13.0</v>
      </c>
      <c r="AX22" s="49"/>
      <c r="AY22" s="296" t="str">
        <f>IFERROR(__xludf.DUMMYFUNCTION("""COMPUTED_VALUE"""),"")</f>
        <v/>
      </c>
      <c r="AZ22" s="298" t="str">
        <f>IFERROR(__xludf.DUMMYFUNCTION("""COMPUTED_VALUE"""),"Snorlax")</f>
        <v>Snorlax</v>
      </c>
      <c r="BA22" s="479" t="s">
        <v>216</v>
      </c>
      <c r="BB22" s="486">
        <v>12.0</v>
      </c>
      <c r="BC22" s="49"/>
      <c r="BD22" s="327" t="str">
        <f>IFERROR(__xludf.DUMMYFUNCTION("""COMPUTED_VALUE"""),"")</f>
        <v/>
      </c>
      <c r="BE22" s="330" t="str">
        <f>IFERROR(__xludf.DUMMYFUNCTION("""COMPUTED_VALUE"""),"Mandibuzz")</f>
        <v>Mandibuzz</v>
      </c>
      <c r="BF22" s="479" t="s">
        <v>216</v>
      </c>
      <c r="BG22" s="486">
        <v>10.0</v>
      </c>
      <c r="BH22" s="49"/>
      <c r="BI22" s="346" t="str">
        <f>IFERROR(__xludf.DUMMYFUNCTION("""COMPUTED_VALUE"""),"")</f>
        <v/>
      </c>
      <c r="BJ22" s="348" t="str">
        <f>IFERROR(__xludf.DUMMYFUNCTION("""COMPUTED_VALUE"""),"Milotic")</f>
        <v>Milotic</v>
      </c>
      <c r="BK22" s="479" t="s">
        <v>216</v>
      </c>
      <c r="BL22" s="486">
        <v>9.0</v>
      </c>
      <c r="BM22" s="49"/>
      <c r="BN22" s="429" t="str">
        <f>IFERROR(__xludf.DUMMYFUNCTION("""COMPUTED_VALUE"""),"")</f>
        <v/>
      </c>
      <c r="BO22" s="354" t="str">
        <f>IFERROR(__xludf.DUMMYFUNCTION("""COMPUTED_VALUE"""),"Kingdra")</f>
        <v>Kingdra</v>
      </c>
      <c r="BP22" s="479" t="s">
        <v>213</v>
      </c>
      <c r="BQ22" s="486">
        <v>8.0</v>
      </c>
      <c r="BR22" s="49"/>
      <c r="BS22" s="353" t="str">
        <f>IFERROR(__xludf.DUMMYFUNCTION("""COMPUTED_VALUE"""),"")</f>
        <v/>
      </c>
      <c r="BT22" s="361" t="str">
        <f>IFERROR(__xludf.DUMMYFUNCTION("""COMPUTED_VALUE"""),"Passimian")</f>
        <v>Passimian</v>
      </c>
      <c r="BU22" s="479" t="s">
        <v>216</v>
      </c>
      <c r="BV22" s="486">
        <v>7.0</v>
      </c>
      <c r="BW22" s="49"/>
      <c r="BX22" s="368" t="str">
        <f>IFERROR(__xludf.DUMMYFUNCTION("""COMPUTED_VALUE"""),"")</f>
        <v/>
      </c>
      <c r="BY22" s="370" t="str">
        <f>IFERROR(__xludf.DUMMYFUNCTION("""COMPUTED_VALUE"""),"Maushold")</f>
        <v>Maushold</v>
      </c>
      <c r="BZ22" s="479" t="s">
        <v>216</v>
      </c>
      <c r="CA22" s="486">
        <v>6.0</v>
      </c>
      <c r="CB22" s="49"/>
      <c r="CC22" s="388" t="str">
        <f>IFERROR(__xludf.DUMMYFUNCTION("""COMPUTED_VALUE"""),"")</f>
        <v/>
      </c>
      <c r="CD22" s="488" t="str">
        <f>IFERROR(__xludf.DUMMYFUNCTION("""COMPUTED_VALUE"""),"Rhydon")</f>
        <v>Rhydon</v>
      </c>
      <c r="CE22" s="426" t="s">
        <v>216</v>
      </c>
      <c r="CF22" s="486">
        <v>5.0</v>
      </c>
      <c r="CG22" s="49"/>
      <c r="CH22" s="402" t="str">
        <f>IFERROR(__xludf.DUMMYFUNCTION("""COMPUTED_VALUE"""),"")</f>
        <v/>
      </c>
      <c r="CI22" s="439" t="str">
        <f>IFERROR(__xludf.DUMMYFUNCTION("""COMPUTED_VALUE"""),"Honchkrow")</f>
        <v>Honchkrow</v>
      </c>
      <c r="CJ22" s="426" t="s">
        <v>216</v>
      </c>
      <c r="CK22" s="486">
        <v>4.0</v>
      </c>
      <c r="CL22" s="49"/>
      <c r="CM22" s="402" t="str">
        <f>IFERROR(__xludf.DUMMYFUNCTION("""COMPUTED_VALUE"""),"")</f>
        <v/>
      </c>
      <c r="CN22" s="439" t="str">
        <f>IFERROR(__xludf.DUMMYFUNCTION("""COMPUTED_VALUE"""),"Electabuzz")</f>
        <v>Electabuzz</v>
      </c>
      <c r="CO22" s="426" t="s">
        <v>216</v>
      </c>
      <c r="CP22" s="486">
        <v>3.0</v>
      </c>
      <c r="CQ22" s="49"/>
      <c r="CR22" s="419" t="str">
        <f>IFERROR(__xludf.DUMMYFUNCTION("""COMPUTED_VALUE"""),"")</f>
        <v/>
      </c>
      <c r="CS22" s="487" t="str">
        <f>IFERROR(__xludf.DUMMYFUNCTION("""COMPUTED_VALUE"""),"Delibird")</f>
        <v>Delibird</v>
      </c>
      <c r="CT22" s="442" t="s">
        <v>216</v>
      </c>
      <c r="CU22" s="486">
        <v>1.0</v>
      </c>
      <c r="CV22" s="49"/>
      <c r="CW22" s="453"/>
      <c r="CX22" s="455"/>
      <c r="CY22" s="525"/>
      <c r="CZ22" s="525"/>
      <c r="DA22" s="49"/>
      <c r="DB22" s="457"/>
      <c r="DC22" s="475"/>
      <c r="DD22" s="426"/>
      <c r="DE22" s="456"/>
      <c r="DF22" s="49"/>
      <c r="DG22" s="458"/>
      <c r="DH22" s="459"/>
      <c r="DI22" s="426"/>
      <c r="DJ22" s="456"/>
      <c r="DK22" s="49"/>
      <c r="DL22" s="198"/>
      <c r="DM22" s="460"/>
      <c r="DN22" s="525"/>
      <c r="DO22" s="525"/>
      <c r="DP22" s="49"/>
      <c r="DQ22" s="461"/>
      <c r="DR22" s="462"/>
      <c r="DS22" s="426"/>
      <c r="DT22" s="456"/>
      <c r="DU22" s="49"/>
      <c r="DV22" s="463"/>
      <c r="DW22" s="464"/>
      <c r="DX22" s="426"/>
      <c r="DY22" s="456"/>
      <c r="DZ22" s="49"/>
      <c r="EA22" s="465"/>
      <c r="EB22" s="466"/>
      <c r="EC22" s="426"/>
      <c r="ED22" s="456"/>
      <c r="EE22" s="49"/>
      <c r="EF22" s="17"/>
    </row>
    <row r="23" ht="17.25" customHeight="1">
      <c r="A23" s="468"/>
      <c r="B23" s="469"/>
      <c r="C23" s="170"/>
      <c r="D23" s="171" t="s">
        <v>263</v>
      </c>
      <c r="E23" s="49"/>
      <c r="F23" s="200"/>
      <c r="G23" s="200"/>
      <c r="H23" s="200" t="s">
        <v>230</v>
      </c>
      <c r="I23" s="200"/>
      <c r="J23" s="200"/>
      <c r="K23" s="200"/>
      <c r="L23" s="476"/>
      <c r="M23" s="200" t="s">
        <v>230</v>
      </c>
      <c r="N23" s="200"/>
      <c r="O23" s="200"/>
      <c r="P23" s="200"/>
      <c r="Q23" s="476"/>
      <c r="R23" s="200" t="s">
        <v>230</v>
      </c>
      <c r="S23" s="200"/>
      <c r="T23" s="200"/>
      <c r="U23" s="200"/>
      <c r="V23" s="476"/>
      <c r="W23" s="200" t="s">
        <v>230</v>
      </c>
      <c r="X23" s="200"/>
      <c r="Y23" s="200"/>
      <c r="Z23" s="200"/>
      <c r="AA23" s="476"/>
      <c r="AB23" s="200" t="s">
        <v>230</v>
      </c>
      <c r="AC23" s="200"/>
      <c r="AD23" s="200"/>
      <c r="AE23" s="200"/>
      <c r="AF23" s="200"/>
      <c r="AG23" s="200" t="s">
        <v>230</v>
      </c>
      <c r="AH23" s="200"/>
      <c r="AI23" s="200"/>
      <c r="AJ23" s="271" t="str">
        <f>IFERROR(__xludf.DUMMYFUNCTION("""COMPUTED_VALUE"""),"")</f>
        <v/>
      </c>
      <c r="AK23" s="272" t="str">
        <f>IFERROR(__xludf.DUMMYFUNCTION("""COMPUTED_VALUE"""),"Swampert")</f>
        <v>Swampert</v>
      </c>
      <c r="AL23" s="198" t="s">
        <v>216</v>
      </c>
      <c r="AM23" s="200"/>
      <c r="AN23" s="200"/>
      <c r="AO23" s="278" t="str">
        <f>IFERROR(__xludf.DUMMYFUNCTION("""COMPUTED_VALUE"""),"")</f>
        <v/>
      </c>
      <c r="AP23" s="279" t="str">
        <f>IFERROR(__xludf.DUMMYFUNCTION("""COMPUTED_VALUE"""),"Serperior")</f>
        <v>Serperior</v>
      </c>
      <c r="AQ23" s="198" t="s">
        <v>216</v>
      </c>
      <c r="AR23" s="200"/>
      <c r="AS23" s="200"/>
      <c r="AT23" s="200" t="str">
        <f>IFERROR(__xludf.DUMMYFUNCTION("""COMPUTED_VALUE"""),"")</f>
        <v/>
      </c>
      <c r="AU23" s="425" t="str">
        <f>IFERROR(__xludf.DUMMYFUNCTION("""COMPUTED_VALUE"""),"Rillaboom")</f>
        <v>Rillaboom</v>
      </c>
      <c r="AV23" s="426" t="s">
        <v>216</v>
      </c>
      <c r="AW23" s="456">
        <v>13.0</v>
      </c>
      <c r="AX23" s="49"/>
      <c r="AY23" s="296" t="str">
        <f>IFERROR(__xludf.DUMMYFUNCTION("""COMPUTED_VALUE"""),"")</f>
        <v/>
      </c>
      <c r="AZ23" s="298" t="str">
        <f>IFERROR(__xludf.DUMMYFUNCTION("""COMPUTED_VALUE"""),"Talonflame")</f>
        <v>Talonflame</v>
      </c>
      <c r="BA23" s="479" t="s">
        <v>216</v>
      </c>
      <c r="BB23" s="486">
        <v>11.0</v>
      </c>
      <c r="BC23" s="49"/>
      <c r="BD23" s="327" t="str">
        <f>IFERROR(__xludf.DUMMYFUNCTION("""COMPUTED_VALUE"""),"")</f>
        <v/>
      </c>
      <c r="BE23" s="330" t="str">
        <f>IFERROR(__xludf.DUMMYFUNCTION("""COMPUTED_VALUE"""),"Meloetta")</f>
        <v>Meloetta</v>
      </c>
      <c r="BF23" s="479" t="s">
        <v>216</v>
      </c>
      <c r="BG23" s="486">
        <v>11.0</v>
      </c>
      <c r="BH23" s="49"/>
      <c r="BI23" s="346" t="str">
        <f>IFERROR(__xludf.DUMMYFUNCTION("""COMPUTED_VALUE"""),"")</f>
        <v/>
      </c>
      <c r="BJ23" s="348" t="str">
        <f>IFERROR(__xludf.DUMMYFUNCTION("""COMPUTED_VALUE"""),"Quagsire")</f>
        <v>Quagsire</v>
      </c>
      <c r="BK23" s="479" t="s">
        <v>216</v>
      </c>
      <c r="BL23" s="486">
        <v>9.0</v>
      </c>
      <c r="BM23" s="49"/>
      <c r="BN23" s="429" t="str">
        <f>IFERROR(__xludf.DUMMYFUNCTION("""COMPUTED_VALUE"""),"")</f>
        <v/>
      </c>
      <c r="BO23" s="354" t="str">
        <f>IFERROR(__xludf.DUMMYFUNCTION("""COMPUTED_VALUE"""),"Lucario")</f>
        <v>Lucario</v>
      </c>
      <c r="BP23" s="479" t="s">
        <v>216</v>
      </c>
      <c r="BQ23" s="486">
        <v>10.0</v>
      </c>
      <c r="BR23" s="49"/>
      <c r="BS23" s="353" t="str">
        <f>IFERROR(__xludf.DUMMYFUNCTION("""COMPUTED_VALUE"""),"")</f>
        <v/>
      </c>
      <c r="BT23" s="361" t="str">
        <f>IFERROR(__xludf.DUMMYFUNCTION("""COMPUTED_VALUE"""),"Piloswine")</f>
        <v>Piloswine</v>
      </c>
      <c r="BU23" s="479" t="s">
        <v>216</v>
      </c>
      <c r="BV23" s="486">
        <v>7.0</v>
      </c>
      <c r="BW23" s="49"/>
      <c r="BX23" s="368" t="str">
        <f>IFERROR(__xludf.DUMMYFUNCTION("""COMPUTED_VALUE"""),"")</f>
        <v/>
      </c>
      <c r="BY23" s="370" t="str">
        <f>IFERROR(__xludf.DUMMYFUNCTION("""COMPUTED_VALUE"""),"Muk")</f>
        <v>Muk</v>
      </c>
      <c r="BZ23" s="479" t="s">
        <v>216</v>
      </c>
      <c r="CA23" s="486">
        <v>6.0</v>
      </c>
      <c r="CB23" s="49"/>
      <c r="CC23" s="388" t="str">
        <f>IFERROR(__xludf.DUMMYFUNCTION("""COMPUTED_VALUE"""),"")</f>
        <v/>
      </c>
      <c r="CD23" s="488" t="str">
        <f>IFERROR(__xludf.DUMMYFUNCTION("""COMPUTED_VALUE"""),"Scovillain")</f>
        <v>Scovillain</v>
      </c>
      <c r="CE23" s="426" t="s">
        <v>216</v>
      </c>
      <c r="CF23" s="486">
        <v>6.0</v>
      </c>
      <c r="CG23" s="49"/>
      <c r="CH23" s="402" t="str">
        <f>IFERROR(__xludf.DUMMYFUNCTION("""COMPUTED_VALUE"""),"")</f>
        <v/>
      </c>
      <c r="CI23" s="439" t="str">
        <f>IFERROR(__xludf.DUMMYFUNCTION("""COMPUTED_VALUE"""),"Lapras")</f>
        <v>Lapras</v>
      </c>
      <c r="CJ23" s="426" t="s">
        <v>216</v>
      </c>
      <c r="CK23" s="486">
        <v>4.0</v>
      </c>
      <c r="CL23" s="49"/>
      <c r="CM23" s="402" t="str">
        <f>IFERROR(__xludf.DUMMYFUNCTION("""COMPUTED_VALUE"""),"")</f>
        <v/>
      </c>
      <c r="CN23" s="439" t="str">
        <f>IFERROR(__xludf.DUMMYFUNCTION("""COMPUTED_VALUE"""),"Exeggutor")</f>
        <v>Exeggutor</v>
      </c>
      <c r="CO23" s="426" t="s">
        <v>216</v>
      </c>
      <c r="CP23" s="486">
        <v>3.0</v>
      </c>
      <c r="CQ23" s="49"/>
      <c r="CR23" s="419" t="str">
        <f>IFERROR(__xludf.DUMMYFUNCTION("""COMPUTED_VALUE"""),"")</f>
        <v/>
      </c>
      <c r="CS23" s="487" t="str">
        <f>IFERROR(__xludf.DUMMYFUNCTION("""COMPUTED_VALUE"""),"Diglett")</f>
        <v>Diglett</v>
      </c>
      <c r="CT23" s="442" t="s">
        <v>216</v>
      </c>
      <c r="CU23" s="486">
        <v>1.0</v>
      </c>
      <c r="CV23" s="49"/>
      <c r="CW23" s="453"/>
      <c r="CX23" s="455"/>
      <c r="CY23" s="525"/>
      <c r="CZ23" s="525"/>
      <c r="DA23" s="49"/>
      <c r="DB23" s="457"/>
      <c r="DC23" s="475"/>
      <c r="DD23" s="426"/>
      <c r="DE23" s="456"/>
      <c r="DF23" s="49"/>
      <c r="DG23" s="458"/>
      <c r="DH23" s="459"/>
      <c r="DI23" s="426"/>
      <c r="DJ23" s="456"/>
      <c r="DK23" s="49"/>
      <c r="DL23" s="198"/>
      <c r="DM23" s="460"/>
      <c r="DN23" s="525"/>
      <c r="DO23" s="525"/>
      <c r="DP23" s="49"/>
      <c r="DQ23" s="461"/>
      <c r="DR23" s="462"/>
      <c r="DS23" s="426"/>
      <c r="DT23" s="456"/>
      <c r="DU23" s="49"/>
      <c r="DV23" s="463"/>
      <c r="DW23" s="464"/>
      <c r="DX23" s="426"/>
      <c r="DY23" s="456"/>
      <c r="DZ23" s="49"/>
      <c r="EA23" s="465"/>
      <c r="EB23" s="466"/>
      <c r="EC23" s="426"/>
      <c r="ED23" s="456"/>
      <c r="EE23" s="49"/>
      <c r="EF23" s="17"/>
    </row>
    <row r="24" ht="17.25" customHeight="1">
      <c r="A24" s="443"/>
      <c r="B24" s="444"/>
      <c r="C24" s="170"/>
      <c r="D24" s="171" t="s">
        <v>264</v>
      </c>
      <c r="E24" s="49"/>
      <c r="F24" s="200"/>
      <c r="G24" s="200"/>
      <c r="H24" s="200" t="s">
        <v>230</v>
      </c>
      <c r="I24" s="200"/>
      <c r="J24" s="200"/>
      <c r="K24" s="200"/>
      <c r="L24" s="476"/>
      <c r="M24" s="200" t="s">
        <v>230</v>
      </c>
      <c r="N24" s="200"/>
      <c r="O24" s="200"/>
      <c r="P24" s="200"/>
      <c r="Q24" s="476"/>
      <c r="R24" s="200" t="s">
        <v>230</v>
      </c>
      <c r="S24" s="200"/>
      <c r="T24" s="200"/>
      <c r="U24" s="200"/>
      <c r="V24" s="476"/>
      <c r="W24" s="200" t="s">
        <v>230</v>
      </c>
      <c r="X24" s="200"/>
      <c r="Y24" s="200"/>
      <c r="Z24" s="200"/>
      <c r="AA24" s="476"/>
      <c r="AB24" s="200" t="s">
        <v>230</v>
      </c>
      <c r="AC24" s="200"/>
      <c r="AD24" s="200"/>
      <c r="AE24" s="200"/>
      <c r="AF24" s="200"/>
      <c r="AG24" s="200" t="s">
        <v>230</v>
      </c>
      <c r="AH24" s="200"/>
      <c r="AI24" s="200"/>
      <c r="AJ24" s="271" t="str">
        <f>IFERROR(__xludf.DUMMYFUNCTION("""COMPUTED_VALUE"""),"")</f>
        <v/>
      </c>
      <c r="AK24" s="272" t="str">
        <f>IFERROR(__xludf.DUMMYFUNCTION("""COMPUTED_VALUE"""),"Terapagos")</f>
        <v>Terapagos</v>
      </c>
      <c r="AL24" s="198" t="s">
        <v>216</v>
      </c>
      <c r="AM24" s="200"/>
      <c r="AN24" s="200"/>
      <c r="AO24" s="278" t="str">
        <f>IFERROR(__xludf.DUMMYFUNCTION("""COMPUTED_VALUE"""),"")</f>
        <v/>
      </c>
      <c r="AP24" s="279" t="str">
        <f>IFERROR(__xludf.DUMMYFUNCTION("""COMPUTED_VALUE"""),"Slither Wing")</f>
        <v>Slither Wing</v>
      </c>
      <c r="AQ24" s="198" t="s">
        <v>216</v>
      </c>
      <c r="AR24" s="200"/>
      <c r="AS24" s="200"/>
      <c r="AT24" s="200" t="str">
        <f>IFERROR(__xludf.DUMMYFUNCTION("""COMPUTED_VALUE"""),"")</f>
        <v/>
      </c>
      <c r="AU24" s="425" t="str">
        <f>IFERROR(__xludf.DUMMYFUNCTION("""COMPUTED_VALUE"""),"Sandy Shocks")</f>
        <v>Sandy Shocks</v>
      </c>
      <c r="AV24" s="426" t="s">
        <v>213</v>
      </c>
      <c r="AW24" s="456">
        <v>13.0</v>
      </c>
      <c r="AX24" s="49"/>
      <c r="AY24" s="296" t="str">
        <f>IFERROR(__xludf.DUMMYFUNCTION("""COMPUTED_VALUE"""),"")</f>
        <v/>
      </c>
      <c r="AZ24" s="298" t="str">
        <f>IFERROR(__xludf.DUMMYFUNCTION("""COMPUTED_VALUE"""),"Tinkaton")</f>
        <v>Tinkaton</v>
      </c>
      <c r="BA24" s="479" t="s">
        <v>216</v>
      </c>
      <c r="BB24" s="486">
        <v>11.0</v>
      </c>
      <c r="BC24" s="49"/>
      <c r="BD24" s="327" t="str">
        <f>IFERROR(__xludf.DUMMYFUNCTION("""COMPUTED_VALUE"""),"")</f>
        <v/>
      </c>
      <c r="BE24" s="330" t="str">
        <f>IFERROR(__xludf.DUMMYFUNCTION("""COMPUTED_VALUE"""),"Mesprit")</f>
        <v>Mesprit</v>
      </c>
      <c r="BF24" s="479" t="s">
        <v>216</v>
      </c>
      <c r="BG24" s="486">
        <v>10.0</v>
      </c>
      <c r="BH24" s="49"/>
      <c r="BI24" s="346" t="str">
        <f>IFERROR(__xludf.DUMMYFUNCTION("""COMPUTED_VALUE"""),"")</f>
        <v/>
      </c>
      <c r="BJ24" s="348" t="str">
        <f>IFERROR(__xludf.DUMMYFUNCTION("""COMPUTED_VALUE"""),"Regieleki")</f>
        <v>Regieleki</v>
      </c>
      <c r="BK24" s="479" t="s">
        <v>213</v>
      </c>
      <c r="BL24" s="486" t="s">
        <v>216</v>
      </c>
      <c r="BM24" s="49"/>
      <c r="BN24" s="429" t="str">
        <f>IFERROR(__xludf.DUMMYFUNCTION("""COMPUTED_VALUE"""),"")</f>
        <v/>
      </c>
      <c r="BO24" s="354" t="str">
        <f>IFERROR(__xludf.DUMMYFUNCTION("""COMPUTED_VALUE"""),"Magnezone")</f>
        <v>Magnezone</v>
      </c>
      <c r="BP24" s="479" t="s">
        <v>216</v>
      </c>
      <c r="BQ24" s="486">
        <v>9.0</v>
      </c>
      <c r="BR24" s="49"/>
      <c r="BS24" s="353" t="str">
        <f>IFERROR(__xludf.DUMMYFUNCTION("""COMPUTED_VALUE"""),"")</f>
        <v/>
      </c>
      <c r="BT24" s="361" t="str">
        <f>IFERROR(__xludf.DUMMYFUNCTION("""COMPUTED_VALUE"""),"Rhyperior")</f>
        <v>Rhyperior</v>
      </c>
      <c r="BU24" s="479" t="s">
        <v>216</v>
      </c>
      <c r="BV24" s="486">
        <v>8.0</v>
      </c>
      <c r="BW24" s="49"/>
      <c r="BX24" s="368" t="str">
        <f>IFERROR(__xludf.DUMMYFUNCTION("""COMPUTED_VALUE"""),"")</f>
        <v/>
      </c>
      <c r="BY24" s="370" t="str">
        <f>IFERROR(__xludf.DUMMYFUNCTION("""COMPUTED_VALUE"""),"Palossand")</f>
        <v>Palossand</v>
      </c>
      <c r="BZ24" s="479" t="s">
        <v>216</v>
      </c>
      <c r="CA24" s="486">
        <v>6.0</v>
      </c>
      <c r="CB24" s="49"/>
      <c r="CC24" s="388" t="str">
        <f>IFERROR(__xludf.DUMMYFUNCTION("""COMPUTED_VALUE"""),"")</f>
        <v/>
      </c>
      <c r="CD24" s="488" t="str">
        <f>IFERROR(__xludf.DUMMYFUNCTION("""COMPUTED_VALUE"""),"Scyther")</f>
        <v>Scyther</v>
      </c>
      <c r="CE24" s="426" t="s">
        <v>216</v>
      </c>
      <c r="CF24" s="486">
        <v>5.0</v>
      </c>
      <c r="CG24" s="49"/>
      <c r="CH24" s="402" t="str">
        <f>IFERROR(__xludf.DUMMYFUNCTION("""COMPUTED_VALUE"""),"")</f>
        <v/>
      </c>
      <c r="CI24" s="439" t="str">
        <f>IFERROR(__xludf.DUMMYFUNCTION("""COMPUTED_VALUE"""),"Leafeon")</f>
        <v>Leafeon</v>
      </c>
      <c r="CJ24" s="426" t="s">
        <v>216</v>
      </c>
      <c r="CK24" s="486">
        <v>4.0</v>
      </c>
      <c r="CL24" s="49"/>
      <c r="CM24" s="402" t="str">
        <f>IFERROR(__xludf.DUMMYFUNCTION("""COMPUTED_VALUE"""),"")</f>
        <v/>
      </c>
      <c r="CN24" s="439" t="str">
        <f>IFERROR(__xludf.DUMMYFUNCTION("""COMPUTED_VALUE"""),"Falinks")</f>
        <v>Falinks</v>
      </c>
      <c r="CO24" s="426" t="s">
        <v>216</v>
      </c>
      <c r="CP24" s="486">
        <v>3.0</v>
      </c>
      <c r="CQ24" s="49"/>
      <c r="CR24" s="419" t="str">
        <f>IFERROR(__xludf.DUMMYFUNCTION("""COMPUTED_VALUE"""),"")</f>
        <v/>
      </c>
      <c r="CS24" s="487" t="str">
        <f>IFERROR(__xludf.DUMMYFUNCTION("""COMPUTED_VALUE"""),"Dipplin")</f>
        <v>Dipplin</v>
      </c>
      <c r="CT24" s="442" t="s">
        <v>216</v>
      </c>
      <c r="CU24" s="486">
        <v>1.0</v>
      </c>
      <c r="CV24" s="49"/>
      <c r="CW24" s="453"/>
      <c r="CX24" s="455"/>
      <c r="CY24" s="525"/>
      <c r="CZ24" s="525"/>
      <c r="DA24" s="49"/>
      <c r="DB24" s="457"/>
      <c r="DC24" s="475"/>
      <c r="DD24" s="525"/>
      <c r="DE24" s="525"/>
      <c r="DF24" s="49"/>
      <c r="DG24" s="458"/>
      <c r="DH24" s="535"/>
      <c r="DI24" s="525"/>
      <c r="DJ24" s="525"/>
      <c r="DK24" s="49"/>
      <c r="DL24" s="198"/>
      <c r="DM24" s="460"/>
      <c r="DN24" s="525"/>
      <c r="DO24" s="525"/>
      <c r="DP24" s="49"/>
      <c r="DQ24" s="461"/>
      <c r="DR24" s="462"/>
      <c r="DS24" s="426"/>
      <c r="DT24" s="456"/>
      <c r="DU24" s="49"/>
      <c r="DV24" s="463"/>
      <c r="DW24" s="464"/>
      <c r="DX24" s="426"/>
      <c r="DY24" s="456"/>
      <c r="DZ24" s="49"/>
      <c r="EA24" s="465"/>
      <c r="EB24" s="466"/>
      <c r="EC24" s="426"/>
      <c r="ED24" s="456"/>
      <c r="EE24" s="49"/>
      <c r="EF24" s="17"/>
    </row>
    <row r="25" ht="17.25" customHeight="1">
      <c r="A25" s="17"/>
      <c r="B25" s="49"/>
      <c r="C25" s="170"/>
      <c r="D25" s="171" t="s">
        <v>266</v>
      </c>
      <c r="E25" s="49"/>
      <c r="F25" s="200"/>
      <c r="G25" s="200"/>
      <c r="H25" s="200" t="s">
        <v>230</v>
      </c>
      <c r="I25" s="200"/>
      <c r="J25" s="200"/>
      <c r="K25" s="200"/>
      <c r="L25" s="476"/>
      <c r="M25" s="200" t="s">
        <v>230</v>
      </c>
      <c r="N25" s="200"/>
      <c r="O25" s="200"/>
      <c r="P25" s="200"/>
      <c r="Q25" s="476"/>
      <c r="R25" s="200" t="s">
        <v>230</v>
      </c>
      <c r="S25" s="200"/>
      <c r="T25" s="200"/>
      <c r="U25" s="200"/>
      <c r="V25" s="476"/>
      <c r="W25" s="200" t="s">
        <v>230</v>
      </c>
      <c r="X25" s="200"/>
      <c r="Y25" s="200"/>
      <c r="Z25" s="200"/>
      <c r="AA25" s="476"/>
      <c r="AB25" s="200" t="s">
        <v>230</v>
      </c>
      <c r="AC25" s="200"/>
      <c r="AD25" s="200"/>
      <c r="AE25" s="200"/>
      <c r="AF25" s="200"/>
      <c r="AG25" s="200" t="s">
        <v>230</v>
      </c>
      <c r="AH25" s="200"/>
      <c r="AI25" s="200"/>
      <c r="AJ25" s="271" t="str">
        <f>IFERROR(__xludf.DUMMYFUNCTION("""COMPUTED_VALUE"""),"")</f>
        <v/>
      </c>
      <c r="AK25" s="272" t="str">
        <f>IFERROR(__xludf.DUMMYFUNCTION("""COMPUTED_VALUE"""),"Thundurus-Therian")</f>
        <v>Thundurus-Therian</v>
      </c>
      <c r="AL25" s="198" t="s">
        <v>216</v>
      </c>
      <c r="AM25" s="200"/>
      <c r="AN25" s="200"/>
      <c r="AO25" s="278" t="str">
        <f>IFERROR(__xludf.DUMMYFUNCTION("""COMPUTED_VALUE"""),"")</f>
        <v/>
      </c>
      <c r="AP25" s="279" t="str">
        <f>IFERROR(__xludf.DUMMYFUNCTION("""COMPUTED_VALUE"""),"Thundurus-Incarnate")</f>
        <v>Thundurus-Incarnate</v>
      </c>
      <c r="AQ25" s="198" t="s">
        <v>213</v>
      </c>
      <c r="AR25" s="200"/>
      <c r="AS25" s="200"/>
      <c r="AT25" s="200" t="str">
        <f>IFERROR(__xludf.DUMMYFUNCTION("""COMPUTED_VALUE"""),"")</f>
        <v/>
      </c>
      <c r="AU25" s="425" t="str">
        <f>IFERROR(__xludf.DUMMYFUNCTION("""COMPUTED_VALUE"""),"Shaymin")</f>
        <v>Shaymin</v>
      </c>
      <c r="AV25" s="426" t="s">
        <v>213</v>
      </c>
      <c r="AW25" s="456">
        <v>13.0</v>
      </c>
      <c r="AX25" s="49"/>
      <c r="AY25" s="296" t="str">
        <f>IFERROR(__xludf.DUMMYFUNCTION("""COMPUTED_VALUE"""),"")</f>
        <v/>
      </c>
      <c r="AZ25" s="298" t="str">
        <f>IFERROR(__xludf.DUMMYFUNCTION("""COMPUTED_VALUE"""),"Toxapex")</f>
        <v>Toxapex</v>
      </c>
      <c r="BA25" s="479" t="s">
        <v>216</v>
      </c>
      <c r="BB25" s="486">
        <v>11.0</v>
      </c>
      <c r="BC25" s="49"/>
      <c r="BD25" s="327" t="str">
        <f>IFERROR(__xludf.DUMMYFUNCTION("""COMPUTED_VALUE"""),"")</f>
        <v/>
      </c>
      <c r="BE25" s="330" t="str">
        <f>IFERROR(__xludf.DUMMYFUNCTION("""COMPUTED_VALUE"""),"Mimikyu")</f>
        <v>Mimikyu</v>
      </c>
      <c r="BF25" s="479" t="s">
        <v>216</v>
      </c>
      <c r="BG25" s="486">
        <v>10.0</v>
      </c>
      <c r="BH25" s="49"/>
      <c r="BI25" s="346" t="str">
        <f>IFERROR(__xludf.DUMMYFUNCTION("""COMPUTED_VALUE"""),"")</f>
        <v/>
      </c>
      <c r="BJ25" s="348" t="str">
        <f>IFERROR(__xludf.DUMMYFUNCTION("""COMPUTED_VALUE"""),"Registeel")</f>
        <v>Registeel</v>
      </c>
      <c r="BK25" s="479" t="s">
        <v>216</v>
      </c>
      <c r="BL25" s="486">
        <v>9.0</v>
      </c>
      <c r="BM25" s="49"/>
      <c r="BN25" s="429" t="str">
        <f>IFERROR(__xludf.DUMMYFUNCTION("""COMPUTED_VALUE"""),"")</f>
        <v/>
      </c>
      <c r="BO25" s="354" t="str">
        <f>IFERROR(__xludf.DUMMYFUNCTION("""COMPUTED_VALUE"""),"Mismagius")</f>
        <v>Mismagius</v>
      </c>
      <c r="BP25" s="479" t="s">
        <v>216</v>
      </c>
      <c r="BQ25" s="486">
        <v>9.0</v>
      </c>
      <c r="BR25" s="49"/>
      <c r="BS25" s="353" t="str">
        <f>IFERROR(__xludf.DUMMYFUNCTION("""COMPUTED_VALUE"""),"")</f>
        <v/>
      </c>
      <c r="BT25" s="361" t="str">
        <f>IFERROR(__xludf.DUMMYFUNCTION("""COMPUTED_VALUE"""),"Rotom-Frost")</f>
        <v>Rotom-Frost</v>
      </c>
      <c r="BU25" s="479" t="s">
        <v>216</v>
      </c>
      <c r="BV25" s="486">
        <v>7.0</v>
      </c>
      <c r="BW25" s="49"/>
      <c r="BX25" s="368" t="str">
        <f>IFERROR(__xludf.DUMMYFUNCTION("""COMPUTED_VALUE"""),"")</f>
        <v/>
      </c>
      <c r="BY25" s="370" t="str">
        <f>IFERROR(__xludf.DUMMYFUNCTION("""COMPUTED_VALUE"""),"Polteageist")</f>
        <v>Polteageist</v>
      </c>
      <c r="BZ25" s="479" t="s">
        <v>216</v>
      </c>
      <c r="CA25" s="486">
        <v>8.0</v>
      </c>
      <c r="CB25" s="49"/>
      <c r="CC25" s="388" t="str">
        <f>IFERROR(__xludf.DUMMYFUNCTION("""COMPUTED_VALUE"""),"")</f>
        <v/>
      </c>
      <c r="CD25" s="488" t="str">
        <f>IFERROR(__xludf.DUMMYFUNCTION("""COMPUTED_VALUE"""),"Shiftry")</f>
        <v>Shiftry</v>
      </c>
      <c r="CE25" s="426" t="s">
        <v>216</v>
      </c>
      <c r="CF25" s="486">
        <v>6.0</v>
      </c>
      <c r="CG25" s="49"/>
      <c r="CH25" s="402" t="str">
        <f>IFERROR(__xludf.DUMMYFUNCTION("""COMPUTED_VALUE"""),"")</f>
        <v/>
      </c>
      <c r="CI25" s="439" t="str">
        <f>IFERROR(__xludf.DUMMYFUNCTION("""COMPUTED_VALUE"""),"Ludicolo")</f>
        <v>Ludicolo</v>
      </c>
      <c r="CJ25" s="426" t="s">
        <v>216</v>
      </c>
      <c r="CK25" s="486">
        <v>4.0</v>
      </c>
      <c r="CL25" s="49"/>
      <c r="CM25" s="402" t="str">
        <f>IFERROR(__xludf.DUMMYFUNCTION("""COMPUTED_VALUE"""),"")</f>
        <v/>
      </c>
      <c r="CN25" s="439" t="str">
        <f>IFERROR(__xludf.DUMMYFUNCTION("""COMPUTED_VALUE"""),"Flareon")</f>
        <v>Flareon</v>
      </c>
      <c r="CO25" s="426" t="s">
        <v>216</v>
      </c>
      <c r="CP25" s="486">
        <v>3.0</v>
      </c>
      <c r="CQ25" s="49"/>
      <c r="CR25" s="419" t="str">
        <f>IFERROR(__xludf.DUMMYFUNCTION("""COMPUTED_VALUE"""),"")</f>
        <v/>
      </c>
      <c r="CS25" s="487" t="str">
        <f>IFERROR(__xludf.DUMMYFUNCTION("""COMPUTED_VALUE"""),"Dragonair")</f>
        <v>Dragonair</v>
      </c>
      <c r="CT25" s="442" t="s">
        <v>216</v>
      </c>
      <c r="CU25" s="486">
        <v>2.0</v>
      </c>
      <c r="CV25" s="49"/>
      <c r="CW25" s="453"/>
      <c r="CX25" s="455"/>
      <c r="CY25" s="525"/>
      <c r="CZ25" s="525"/>
      <c r="DA25" s="49"/>
      <c r="DB25" s="457"/>
      <c r="DC25" s="475"/>
      <c r="DD25" s="525"/>
      <c r="DE25" s="525"/>
      <c r="DF25" s="49"/>
      <c r="DG25" s="458"/>
      <c r="DH25" s="535"/>
      <c r="DI25" s="525"/>
      <c r="DJ25" s="525"/>
      <c r="DK25" s="49"/>
      <c r="DL25" s="198"/>
      <c r="DM25" s="460"/>
      <c r="DN25" s="525"/>
      <c r="DO25" s="525"/>
      <c r="DP25" s="49"/>
      <c r="DQ25" s="461"/>
      <c r="DR25" s="462"/>
      <c r="DS25" s="426"/>
      <c r="DT25" s="456"/>
      <c r="DU25" s="49"/>
      <c r="DV25" s="463"/>
      <c r="DW25" s="464"/>
      <c r="DX25" s="426"/>
      <c r="DY25" s="456"/>
      <c r="DZ25" s="49"/>
      <c r="EA25" s="465"/>
      <c r="EB25" s="466"/>
      <c r="EC25" s="426"/>
      <c r="ED25" s="456"/>
      <c r="EE25" s="49"/>
      <c r="EF25" s="17"/>
    </row>
    <row r="26" ht="17.25" customHeight="1">
      <c r="A26" s="443"/>
      <c r="B26" s="444"/>
      <c r="C26" s="170"/>
      <c r="D26" s="171" t="s">
        <v>269</v>
      </c>
      <c r="E26" s="49"/>
      <c r="F26" s="200"/>
      <c r="G26" s="200"/>
      <c r="H26" s="200" t="s">
        <v>230</v>
      </c>
      <c r="I26" s="200"/>
      <c r="J26" s="200"/>
      <c r="K26" s="200"/>
      <c r="L26" s="476"/>
      <c r="M26" s="200" t="s">
        <v>230</v>
      </c>
      <c r="N26" s="200"/>
      <c r="O26" s="200"/>
      <c r="P26" s="200"/>
      <c r="Q26" s="476"/>
      <c r="R26" s="200" t="s">
        <v>230</v>
      </c>
      <c r="S26" s="200"/>
      <c r="T26" s="200"/>
      <c r="U26" s="200"/>
      <c r="V26" s="476"/>
      <c r="W26" s="200" t="s">
        <v>230</v>
      </c>
      <c r="X26" s="200"/>
      <c r="Y26" s="200"/>
      <c r="Z26" s="200"/>
      <c r="AA26" s="476"/>
      <c r="AB26" s="200" t="s">
        <v>230</v>
      </c>
      <c r="AC26" s="200"/>
      <c r="AD26" s="200"/>
      <c r="AE26" s="200"/>
      <c r="AF26" s="200"/>
      <c r="AG26" s="200" t="s">
        <v>230</v>
      </c>
      <c r="AH26" s="200"/>
      <c r="AI26" s="200"/>
      <c r="AJ26" s="271" t="str">
        <f>IFERROR(__xludf.DUMMYFUNCTION("""COMPUTED_VALUE"""),"")</f>
        <v/>
      </c>
      <c r="AK26" s="272" t="str">
        <f>IFERROR(__xludf.DUMMYFUNCTION("""COMPUTED_VALUE"""),"Ursaluna")</f>
        <v>Ursaluna</v>
      </c>
      <c r="AL26" s="198" t="s">
        <v>216</v>
      </c>
      <c r="AM26" s="200"/>
      <c r="AN26" s="200"/>
      <c r="AO26" s="278" t="str">
        <f>IFERROR(__xludf.DUMMYFUNCTION("""COMPUTED_VALUE"""),"")</f>
        <v/>
      </c>
      <c r="AP26" s="279" t="str">
        <f>IFERROR(__xludf.DUMMYFUNCTION("""COMPUTED_VALUE"""),"Tyranitar")</f>
        <v>Tyranitar</v>
      </c>
      <c r="AQ26" s="198" t="s">
        <v>216</v>
      </c>
      <c r="AR26" s="200"/>
      <c r="AS26" s="200"/>
      <c r="AT26" s="200" t="str">
        <f>IFERROR(__xludf.DUMMYFUNCTION("""COMPUTED_VALUE"""),"")</f>
        <v/>
      </c>
      <c r="AU26" s="425" t="str">
        <f>IFERROR(__xludf.DUMMYFUNCTION("""COMPUTED_VALUE"""),"Skeledirge")</f>
        <v>Skeledirge</v>
      </c>
      <c r="AV26" s="426" t="s">
        <v>213</v>
      </c>
      <c r="AW26" s="456">
        <v>14.0</v>
      </c>
      <c r="AX26" s="49"/>
      <c r="AY26" s="296" t="str">
        <f>IFERROR(__xludf.DUMMYFUNCTION("""COMPUTED_VALUE"""),"")</f>
        <v/>
      </c>
      <c r="AZ26" s="298" t="str">
        <f>IFERROR(__xludf.DUMMYFUNCTION("""COMPUTED_VALUE"""),"Tsareena")</f>
        <v>Tsareena</v>
      </c>
      <c r="BA26" s="479" t="s">
        <v>216</v>
      </c>
      <c r="BB26" s="486">
        <v>11.0</v>
      </c>
      <c r="BC26" s="49"/>
      <c r="BD26" s="327" t="str">
        <f>IFERROR(__xludf.DUMMYFUNCTION("""COMPUTED_VALUE"""),"")</f>
        <v/>
      </c>
      <c r="BE26" s="330" t="str">
        <f>IFERROR(__xludf.DUMMYFUNCTION("""COMPUTED_VALUE"""),"Moltres")</f>
        <v>Moltres</v>
      </c>
      <c r="BF26" s="479" t="s">
        <v>216</v>
      </c>
      <c r="BG26" s="486">
        <v>10.0</v>
      </c>
      <c r="BH26" s="49"/>
      <c r="BI26" s="346" t="str">
        <f>IFERROR(__xludf.DUMMYFUNCTION("""COMPUTED_VALUE"""),"")</f>
        <v/>
      </c>
      <c r="BJ26" s="348" t="str">
        <f>IFERROR(__xludf.DUMMYFUNCTION("""COMPUTED_VALUE"""),"Rotom-Mow")</f>
        <v>Rotom-Mow</v>
      </c>
      <c r="BK26" s="479" t="s">
        <v>216</v>
      </c>
      <c r="BL26" s="486">
        <v>9.0</v>
      </c>
      <c r="BM26" s="49"/>
      <c r="BN26" s="429" t="str">
        <f>IFERROR(__xludf.DUMMYFUNCTION("""COMPUTED_VALUE"""),"")</f>
        <v/>
      </c>
      <c r="BO26" s="354" t="str">
        <f>IFERROR(__xludf.DUMMYFUNCTION("""COMPUTED_VALUE"""),"Mudsdale")</f>
        <v>Mudsdale</v>
      </c>
      <c r="BP26" s="479" t="s">
        <v>216</v>
      </c>
      <c r="BQ26" s="486">
        <v>8.0</v>
      </c>
      <c r="BR26" s="49"/>
      <c r="BS26" s="353" t="str">
        <f>IFERROR(__xludf.DUMMYFUNCTION("""COMPUTED_VALUE"""),"")</f>
        <v/>
      </c>
      <c r="BT26" s="361" t="str">
        <f>IFERROR(__xludf.DUMMYFUNCTION("""COMPUTED_VALUE"""),"Sableye")</f>
        <v>Sableye</v>
      </c>
      <c r="BU26" s="479" t="s">
        <v>216</v>
      </c>
      <c r="BV26" s="486">
        <v>7.0</v>
      </c>
      <c r="BW26" s="49"/>
      <c r="BX26" s="368" t="str">
        <f>IFERROR(__xludf.DUMMYFUNCTION("""COMPUTED_VALUE"""),"")</f>
        <v/>
      </c>
      <c r="BY26" s="370" t="str">
        <f>IFERROR(__xludf.DUMMYFUNCTION("""COMPUTED_VALUE"""),"Primeape")</f>
        <v>Primeape</v>
      </c>
      <c r="BZ26" s="479" t="s">
        <v>216</v>
      </c>
      <c r="CA26" s="486">
        <v>6.0</v>
      </c>
      <c r="CB26" s="49"/>
      <c r="CC26" s="388" t="str">
        <f>IFERROR(__xludf.DUMMYFUNCTION("""COMPUTED_VALUE"""),"")</f>
        <v/>
      </c>
      <c r="CD26" s="488" t="str">
        <f>IFERROR(__xludf.DUMMYFUNCTION("""COMPUTED_VALUE"""),"Skuntank")</f>
        <v>Skuntank</v>
      </c>
      <c r="CE26" s="479" t="s">
        <v>216</v>
      </c>
      <c r="CF26" s="486">
        <v>5.0</v>
      </c>
      <c r="CG26" s="49"/>
      <c r="CH26" s="402" t="str">
        <f>IFERROR(__xludf.DUMMYFUNCTION("""COMPUTED_VALUE"""),"")</f>
        <v/>
      </c>
      <c r="CI26" s="439" t="str">
        <f>IFERROR(__xludf.DUMMYFUNCTION("""COMPUTED_VALUE"""),"Lurantis")</f>
        <v>Lurantis</v>
      </c>
      <c r="CJ26" s="426" t="s">
        <v>216</v>
      </c>
      <c r="CK26" s="486">
        <v>4.0</v>
      </c>
      <c r="CL26" s="49"/>
      <c r="CM26" s="402" t="str">
        <f>IFERROR(__xludf.DUMMYFUNCTION("""COMPUTED_VALUE"""),"")</f>
        <v/>
      </c>
      <c r="CN26" s="439" t="str">
        <f>IFERROR(__xludf.DUMMYFUNCTION("""COMPUTED_VALUE"""),"Floragato")</f>
        <v>Floragato</v>
      </c>
      <c r="CO26" s="426" t="s">
        <v>216</v>
      </c>
      <c r="CP26" s="486">
        <v>3.0</v>
      </c>
      <c r="CQ26" s="49"/>
      <c r="CR26" s="419" t="str">
        <f>IFERROR(__xludf.DUMMYFUNCTION("""COMPUTED_VALUE"""),"")</f>
        <v/>
      </c>
      <c r="CS26" s="487" t="str">
        <f>IFERROR(__xludf.DUMMYFUNCTION("""COMPUTED_VALUE"""),"Drakloak")</f>
        <v>Drakloak</v>
      </c>
      <c r="CT26" s="442" t="s">
        <v>216</v>
      </c>
      <c r="CU26" s="486">
        <v>1.0</v>
      </c>
      <c r="CV26" s="49"/>
      <c r="CW26" s="453"/>
      <c r="CX26" s="455"/>
      <c r="CY26" s="525"/>
      <c r="CZ26" s="525"/>
      <c r="DA26" s="49"/>
      <c r="DB26" s="457"/>
      <c r="DC26" s="475"/>
      <c r="DD26" s="525"/>
      <c r="DE26" s="525"/>
      <c r="DF26" s="49"/>
      <c r="DG26" s="458"/>
      <c r="DH26" s="535"/>
      <c r="DI26" s="525"/>
      <c r="DJ26" s="525"/>
      <c r="DK26" s="49"/>
      <c r="DL26" s="198"/>
      <c r="DM26" s="460"/>
      <c r="DN26" s="525"/>
      <c r="DO26" s="525"/>
      <c r="DP26" s="49"/>
      <c r="DQ26" s="461"/>
      <c r="DR26" s="462"/>
      <c r="DS26" s="426"/>
      <c r="DT26" s="456"/>
      <c r="DU26" s="49"/>
      <c r="DV26" s="463"/>
      <c r="DW26" s="464"/>
      <c r="DX26" s="426"/>
      <c r="DY26" s="456"/>
      <c r="DZ26" s="49"/>
      <c r="EA26" s="465"/>
      <c r="EB26" s="466"/>
      <c r="EC26" s="426"/>
      <c r="ED26" s="456"/>
      <c r="EE26" s="49"/>
      <c r="EF26" s="17"/>
    </row>
    <row r="27" ht="17.25" customHeight="1">
      <c r="A27" s="443"/>
      <c r="B27" s="444"/>
      <c r="C27" s="170"/>
      <c r="D27" s="171" t="s">
        <v>271</v>
      </c>
      <c r="E27" s="49"/>
      <c r="F27" s="200"/>
      <c r="G27" s="200"/>
      <c r="H27" s="200" t="s">
        <v>230</v>
      </c>
      <c r="I27" s="200"/>
      <c r="J27" s="200"/>
      <c r="K27" s="200"/>
      <c r="L27" s="476"/>
      <c r="M27" s="200" t="s">
        <v>230</v>
      </c>
      <c r="N27" s="200"/>
      <c r="O27" s="200"/>
      <c r="P27" s="200"/>
      <c r="Q27" s="476"/>
      <c r="R27" s="200" t="s">
        <v>230</v>
      </c>
      <c r="S27" s="200"/>
      <c r="T27" s="200"/>
      <c r="U27" s="200"/>
      <c r="V27" s="476"/>
      <c r="W27" s="200" t="s">
        <v>230</v>
      </c>
      <c r="X27" s="200"/>
      <c r="Y27" s="200"/>
      <c r="Z27" s="200"/>
      <c r="AA27" s="476"/>
      <c r="AB27" s="200" t="s">
        <v>230</v>
      </c>
      <c r="AC27" s="200"/>
      <c r="AD27" s="200"/>
      <c r="AE27" s="200"/>
      <c r="AF27" s="200"/>
      <c r="AG27" s="200" t="s">
        <v>230</v>
      </c>
      <c r="AH27" s="200"/>
      <c r="AI27" s="200"/>
      <c r="AJ27" s="271" t="str">
        <f>IFERROR(__xludf.DUMMYFUNCTION("""COMPUTED_VALUE"""),"")</f>
        <v/>
      </c>
      <c r="AK27" s="272" t="str">
        <f>IFERROR(__xludf.DUMMYFUNCTION("""COMPUTED_VALUE"""),"Volcarona")</f>
        <v>Volcarona</v>
      </c>
      <c r="AL27" s="198" t="s">
        <v>216</v>
      </c>
      <c r="AM27" s="200"/>
      <c r="AN27" s="200"/>
      <c r="AO27" s="278" t="str">
        <f>IFERROR(__xludf.DUMMYFUNCTION("""COMPUTED_VALUE"""),"")</f>
        <v/>
      </c>
      <c r="AP27" s="279" t="str">
        <f>IFERROR(__xludf.DUMMYFUNCTION("""COMPUTED_VALUE"""),"Uxie")</f>
        <v>Uxie</v>
      </c>
      <c r="AQ27" s="198" t="s">
        <v>216</v>
      </c>
      <c r="AR27" s="200"/>
      <c r="AS27" s="200"/>
      <c r="AT27" s="200" t="str">
        <f>IFERROR(__xludf.DUMMYFUNCTION("""COMPUTED_VALUE"""),"")</f>
        <v/>
      </c>
      <c r="AU27" s="425" t="str">
        <f>IFERROR(__xludf.DUMMYFUNCTION("""COMPUTED_VALUE"""),"Terrakion")</f>
        <v>Terrakion</v>
      </c>
      <c r="AV27" s="426" t="s">
        <v>216</v>
      </c>
      <c r="AW27" s="456">
        <v>12.0</v>
      </c>
      <c r="AX27" s="49"/>
      <c r="AY27" s="296" t="str">
        <f>IFERROR(__xludf.DUMMYFUNCTION("""COMPUTED_VALUE"""),"")</f>
        <v/>
      </c>
      <c r="AZ27" s="298" t="str">
        <f>IFERROR(__xludf.DUMMYFUNCTION("""COMPUTED_VALUE"""),"Volcanion")</f>
        <v>Volcanion</v>
      </c>
      <c r="BA27" s="479" t="s">
        <v>216</v>
      </c>
      <c r="BB27" s="486">
        <v>11.0</v>
      </c>
      <c r="BC27" s="49"/>
      <c r="BD27" s="327" t="str">
        <f>IFERROR(__xludf.DUMMYFUNCTION("""COMPUTED_VALUE"""),"")</f>
        <v/>
      </c>
      <c r="BE27" s="330" t="str">
        <f>IFERROR(__xludf.DUMMYFUNCTION("""COMPUTED_VALUE"""),"Paldean Tauros-Fire")</f>
        <v>Paldean Tauros-Fire</v>
      </c>
      <c r="BF27" s="479" t="s">
        <v>216</v>
      </c>
      <c r="BG27" s="486">
        <v>10.0</v>
      </c>
      <c r="BH27" s="49"/>
      <c r="BI27" s="346" t="str">
        <f>IFERROR(__xludf.DUMMYFUNCTION("""COMPUTED_VALUE"""),"")</f>
        <v/>
      </c>
      <c r="BJ27" s="348" t="str">
        <f>IFERROR(__xludf.DUMMYFUNCTION("""COMPUTED_VALUE"""),"Salazzle")</f>
        <v>Salazzle</v>
      </c>
      <c r="BK27" s="479" t="s">
        <v>216</v>
      </c>
      <c r="BL27" s="486">
        <v>9.0</v>
      </c>
      <c r="BM27" s="49"/>
      <c r="BN27" s="429" t="str">
        <f>IFERROR(__xludf.DUMMYFUNCTION("""COMPUTED_VALUE"""),"")</f>
        <v/>
      </c>
      <c r="BO27" s="354" t="str">
        <f>IFERROR(__xludf.DUMMYFUNCTION("""COMPUTED_VALUE"""),"Ninetales")</f>
        <v>Ninetales</v>
      </c>
      <c r="BP27" s="479" t="s">
        <v>213</v>
      </c>
      <c r="BQ27" s="486">
        <v>8.0</v>
      </c>
      <c r="BR27" s="49"/>
      <c r="BS27" s="353" t="str">
        <f>IFERROR(__xludf.DUMMYFUNCTION("""COMPUTED_VALUE"""),"")</f>
        <v/>
      </c>
      <c r="BT27" s="361" t="str">
        <f>IFERROR(__xludf.DUMMYFUNCTION("""COMPUTED_VALUE"""),"Staraptor")</f>
        <v>Staraptor</v>
      </c>
      <c r="BU27" s="479" t="s">
        <v>216</v>
      </c>
      <c r="BV27" s="486">
        <v>7.0</v>
      </c>
      <c r="BW27" s="49"/>
      <c r="BX27" s="368" t="str">
        <f>IFERROR(__xludf.DUMMYFUNCTION("""COMPUTED_VALUE"""),"")</f>
        <v/>
      </c>
      <c r="BY27" s="370" t="str">
        <f>IFERROR(__xludf.DUMMYFUNCTION("""COMPUTED_VALUE"""),"Rabsca")</f>
        <v>Rabsca</v>
      </c>
      <c r="BZ27" s="479" t="s">
        <v>216</v>
      </c>
      <c r="CA27" s="486">
        <v>6.0</v>
      </c>
      <c r="CB27" s="49"/>
      <c r="CC27" s="388" t="str">
        <f>IFERROR(__xludf.DUMMYFUNCTION("""COMPUTED_VALUE"""),"")</f>
        <v/>
      </c>
      <c r="CD27" s="488" t="str">
        <f>IFERROR(__xludf.DUMMYFUNCTION("""COMPUTED_VALUE"""),"Sneasel")</f>
        <v>Sneasel</v>
      </c>
      <c r="CE27" s="479" t="s">
        <v>216</v>
      </c>
      <c r="CF27" s="486">
        <v>5.0</v>
      </c>
      <c r="CG27" s="49"/>
      <c r="CH27" s="402" t="str">
        <f>IFERROR(__xludf.DUMMYFUNCTION("""COMPUTED_VALUE"""),"")</f>
        <v/>
      </c>
      <c r="CI27" s="439" t="str">
        <f>IFERROR(__xludf.DUMMYFUNCTION("""COMPUTED_VALUE"""),"Magmortar")</f>
        <v>Magmortar</v>
      </c>
      <c r="CJ27" s="426" t="s">
        <v>216</v>
      </c>
      <c r="CK27" s="486">
        <v>4.0</v>
      </c>
      <c r="CL27" s="49"/>
      <c r="CM27" s="402" t="str">
        <f>IFERROR(__xludf.DUMMYFUNCTION("""COMPUTED_VALUE"""),"")</f>
        <v/>
      </c>
      <c r="CN27" s="439" t="str">
        <f>IFERROR(__xludf.DUMMYFUNCTION("""COMPUTED_VALUE"""),"Frogadier")</f>
        <v>Frogadier</v>
      </c>
      <c r="CO27" s="426" t="s">
        <v>216</v>
      </c>
      <c r="CP27" s="486">
        <v>2.0</v>
      </c>
      <c r="CQ27" s="49"/>
      <c r="CR27" s="419" t="str">
        <f>IFERROR(__xludf.DUMMYFUNCTION("""COMPUTED_VALUE"""),"")</f>
        <v/>
      </c>
      <c r="CS27" s="487" t="str">
        <f>IFERROR(__xludf.DUMMYFUNCTION("""COMPUTED_VALUE"""),"Eelektrik")</f>
        <v>Eelektrik</v>
      </c>
      <c r="CT27" s="442" t="s">
        <v>216</v>
      </c>
      <c r="CU27" s="486">
        <v>1.0</v>
      </c>
      <c r="CV27" s="49"/>
      <c r="CW27" s="453"/>
      <c r="CX27" s="455"/>
      <c r="CY27" s="525"/>
      <c r="CZ27" s="525"/>
      <c r="DA27" s="49"/>
      <c r="DB27" s="457"/>
      <c r="DC27" s="475"/>
      <c r="DD27" s="525"/>
      <c r="DE27" s="525"/>
      <c r="DF27" s="49"/>
      <c r="DG27" s="458"/>
      <c r="DH27" s="459"/>
      <c r="DI27" s="525"/>
      <c r="DJ27" s="525"/>
      <c r="DK27" s="49"/>
      <c r="DL27" s="198"/>
      <c r="DM27" s="460"/>
      <c r="DN27" s="525"/>
      <c r="DO27" s="525"/>
      <c r="DP27" s="49"/>
      <c r="DQ27" s="461"/>
      <c r="DR27" s="462"/>
      <c r="DS27" s="426"/>
      <c r="DT27" s="456"/>
      <c r="DU27" s="49"/>
      <c r="DV27" s="463"/>
      <c r="DW27" s="464"/>
      <c r="DX27" s="426"/>
      <c r="DY27" s="456"/>
      <c r="DZ27" s="49"/>
      <c r="EA27" s="465"/>
      <c r="EB27" s="466"/>
      <c r="EC27" s="426"/>
      <c r="ED27" s="456"/>
      <c r="EE27" s="41"/>
      <c r="EF27" s="5"/>
    </row>
    <row r="28" ht="17.25" customHeight="1">
      <c r="A28" s="443"/>
      <c r="B28" s="444"/>
      <c r="C28" s="170"/>
      <c r="D28" s="171" t="s">
        <v>272</v>
      </c>
      <c r="E28" s="49"/>
      <c r="F28" s="200"/>
      <c r="G28" s="200"/>
      <c r="H28" s="200" t="s">
        <v>230</v>
      </c>
      <c r="I28" s="200"/>
      <c r="J28" s="200"/>
      <c r="K28" s="200"/>
      <c r="L28" s="476"/>
      <c r="M28" s="200" t="s">
        <v>230</v>
      </c>
      <c r="N28" s="200"/>
      <c r="O28" s="200"/>
      <c r="P28" s="200"/>
      <c r="Q28" s="476"/>
      <c r="R28" s="200" t="s">
        <v>230</v>
      </c>
      <c r="S28" s="200"/>
      <c r="T28" s="200"/>
      <c r="U28" s="200"/>
      <c r="V28" s="476"/>
      <c r="W28" s="200" t="s">
        <v>230</v>
      </c>
      <c r="X28" s="200"/>
      <c r="Y28" s="200"/>
      <c r="Z28" s="200"/>
      <c r="AA28" s="476"/>
      <c r="AB28" s="200" t="s">
        <v>230</v>
      </c>
      <c r="AC28" s="200"/>
      <c r="AD28" s="200"/>
      <c r="AE28" s="200"/>
      <c r="AF28" s="200"/>
      <c r="AG28" s="200" t="s">
        <v>230</v>
      </c>
      <c r="AH28" s="200"/>
      <c r="AI28" s="200"/>
      <c r="AJ28" s="271" t="str">
        <f>IFERROR(__xludf.DUMMYFUNCTION("""COMPUTED_VALUE"""),"")</f>
        <v/>
      </c>
      <c r="AK28" s="272" t="str">
        <f>IFERROR(__xludf.DUMMYFUNCTION("""COMPUTED_VALUE"""),"Zarude")</f>
        <v>Zarude</v>
      </c>
      <c r="AL28" s="198" t="s">
        <v>216</v>
      </c>
      <c r="AM28" s="200"/>
      <c r="AN28" s="200"/>
      <c r="AO28" s="200"/>
      <c r="AP28" s="476"/>
      <c r="AQ28" s="200" t="s">
        <v>230</v>
      </c>
      <c r="AR28" s="200"/>
      <c r="AS28" s="200"/>
      <c r="AT28" s="200" t="str">
        <f>IFERROR(__xludf.DUMMYFUNCTION("""COMPUTED_VALUE"""),"")</f>
        <v/>
      </c>
      <c r="AU28" s="425" t="str">
        <f>IFERROR(__xludf.DUMMYFUNCTION("""COMPUTED_VALUE"""),"Torkoal")</f>
        <v>Torkoal</v>
      </c>
      <c r="AV28" s="426" t="s">
        <v>213</v>
      </c>
      <c r="AW28" s="456">
        <v>12.0</v>
      </c>
      <c r="AX28" s="49"/>
      <c r="AY28" s="296"/>
      <c r="AZ28" s="541"/>
      <c r="BA28" s="525" t="s">
        <v>230</v>
      </c>
      <c r="BB28" s="535"/>
      <c r="BC28" s="49"/>
      <c r="BD28" s="327" t="str">
        <f>IFERROR(__xludf.DUMMYFUNCTION("""COMPUTED_VALUE"""),"")</f>
        <v/>
      </c>
      <c r="BE28" s="330" t="str">
        <f>IFERROR(__xludf.DUMMYFUNCTION("""COMPUTED_VALUE"""),"Pelipper")</f>
        <v>Pelipper</v>
      </c>
      <c r="BF28" s="479" t="s">
        <v>213</v>
      </c>
      <c r="BG28" s="486">
        <v>10.0</v>
      </c>
      <c r="BH28" s="49"/>
      <c r="BI28" s="346" t="str">
        <f>IFERROR(__xludf.DUMMYFUNCTION("""COMPUTED_VALUE"""),"")</f>
        <v/>
      </c>
      <c r="BJ28" s="348" t="str">
        <f>IFERROR(__xludf.DUMMYFUNCTION("""COMPUTED_VALUE"""),"Sylveon")</f>
        <v>Sylveon</v>
      </c>
      <c r="BK28" s="479" t="s">
        <v>213</v>
      </c>
      <c r="BL28" s="486">
        <v>9.0</v>
      </c>
      <c r="BM28" s="49"/>
      <c r="BN28" s="429" t="str">
        <f>IFERROR(__xludf.DUMMYFUNCTION("""COMPUTED_VALUE"""),"")</f>
        <v/>
      </c>
      <c r="BO28" s="354" t="str">
        <f>IFERROR(__xludf.DUMMYFUNCTION("""COMPUTED_VALUE"""),"Oricorio")</f>
        <v>Oricorio</v>
      </c>
      <c r="BP28" s="479" t="s">
        <v>216</v>
      </c>
      <c r="BQ28" s="486">
        <v>9.0</v>
      </c>
      <c r="BR28" s="49"/>
      <c r="BS28" s="353" t="str">
        <f>IFERROR(__xludf.DUMMYFUNCTION("""COMPUTED_VALUE"""),"")</f>
        <v/>
      </c>
      <c r="BT28" s="361" t="str">
        <f>IFERROR(__xludf.DUMMYFUNCTION("""COMPUTED_VALUE"""),"Tauros")</f>
        <v>Tauros</v>
      </c>
      <c r="BU28" s="479" t="s">
        <v>216</v>
      </c>
      <c r="BV28" s="486">
        <v>7.0</v>
      </c>
      <c r="BW28" s="49"/>
      <c r="BX28" s="368" t="str">
        <f>IFERROR(__xludf.DUMMYFUNCTION("""COMPUTED_VALUE"""),"")</f>
        <v/>
      </c>
      <c r="BY28" s="370" t="str">
        <f>IFERROR(__xludf.DUMMYFUNCTION("""COMPUTED_VALUE"""),"Regigigas")</f>
        <v>Regigigas</v>
      </c>
      <c r="BZ28" s="479" t="s">
        <v>216</v>
      </c>
      <c r="CA28" s="486">
        <v>7.0</v>
      </c>
      <c r="CB28" s="49"/>
      <c r="CC28" s="388" t="str">
        <f>IFERROR(__xludf.DUMMYFUNCTION("""COMPUTED_VALUE"""),"")</f>
        <v/>
      </c>
      <c r="CD28" s="488" t="str">
        <f>IFERROR(__xludf.DUMMYFUNCTION("""COMPUTED_VALUE"""),"Spiritomb")</f>
        <v>Spiritomb</v>
      </c>
      <c r="CE28" s="479" t="s">
        <v>216</v>
      </c>
      <c r="CF28" s="486">
        <v>5.0</v>
      </c>
      <c r="CG28" s="49"/>
      <c r="CH28" s="402" t="str">
        <f>IFERROR(__xludf.DUMMYFUNCTION("""COMPUTED_VALUE"""),"")</f>
        <v/>
      </c>
      <c r="CI28" s="439" t="str">
        <f>IFERROR(__xludf.DUMMYFUNCTION("""COMPUTED_VALUE"""),"Meganium")</f>
        <v>Meganium</v>
      </c>
      <c r="CJ28" s="426" t="s">
        <v>216</v>
      </c>
      <c r="CK28" s="486">
        <v>4.0</v>
      </c>
      <c r="CL28" s="49"/>
      <c r="CM28" s="402" t="str">
        <f>IFERROR(__xludf.DUMMYFUNCTION("""COMPUTED_VALUE"""),"")</f>
        <v/>
      </c>
      <c r="CN28" s="439" t="str">
        <f>IFERROR(__xludf.DUMMYFUNCTION("""COMPUTED_VALUE"""),"Glaceon")</f>
        <v>Glaceon</v>
      </c>
      <c r="CO28" s="426" t="s">
        <v>216</v>
      </c>
      <c r="CP28" s="486">
        <v>3.0</v>
      </c>
      <c r="CQ28" s="49"/>
      <c r="CR28" s="419" t="str">
        <f>IFERROR(__xludf.DUMMYFUNCTION("""COMPUTED_VALUE"""),"")</f>
        <v/>
      </c>
      <c r="CS28" s="487" t="str">
        <f>IFERROR(__xludf.DUMMYFUNCTION("""COMPUTED_VALUE"""),"Finneon")</f>
        <v>Finneon</v>
      </c>
      <c r="CT28" s="442" t="s">
        <v>216</v>
      </c>
      <c r="CU28" s="486">
        <v>1.0</v>
      </c>
      <c r="CV28" s="49"/>
      <c r="CW28" s="453"/>
      <c r="CX28" s="455"/>
      <c r="CY28" s="525"/>
      <c r="CZ28" s="525"/>
      <c r="DA28" s="49"/>
      <c r="DB28" s="457"/>
      <c r="DC28" s="475"/>
      <c r="DD28" s="525"/>
      <c r="DE28" s="525"/>
      <c r="DF28" s="49"/>
      <c r="DG28" s="458"/>
      <c r="DH28" s="459"/>
      <c r="DI28" s="525"/>
      <c r="DJ28" s="525"/>
      <c r="DK28" s="49"/>
      <c r="DL28" s="198"/>
      <c r="DM28" s="460"/>
      <c r="DN28" s="525"/>
      <c r="DO28" s="525"/>
      <c r="DP28" s="49"/>
      <c r="DQ28" s="461"/>
      <c r="DR28" s="462"/>
      <c r="DS28" s="426"/>
      <c r="DT28" s="456"/>
      <c r="DU28" s="49"/>
      <c r="DV28" s="463"/>
      <c r="DW28" s="464"/>
      <c r="DX28" s="426"/>
      <c r="DY28" s="456"/>
      <c r="DZ28" s="49"/>
      <c r="EA28" s="465"/>
      <c r="EB28" s="466"/>
      <c r="EC28" s="426"/>
      <c r="ED28" s="456"/>
      <c r="EE28" s="49"/>
      <c r="EF28" s="17"/>
    </row>
    <row r="29" ht="17.25" customHeight="1">
      <c r="A29" s="443"/>
      <c r="B29" s="444"/>
      <c r="C29" s="170"/>
      <c r="D29" s="171" t="s">
        <v>277</v>
      </c>
      <c r="E29" s="49"/>
      <c r="F29" s="200"/>
      <c r="G29" s="200"/>
      <c r="H29" s="200" t="s">
        <v>230</v>
      </c>
      <c r="I29" s="200"/>
      <c r="J29" s="200"/>
      <c r="K29" s="200"/>
      <c r="L29" s="476"/>
      <c r="M29" s="200" t="s">
        <v>230</v>
      </c>
      <c r="N29" s="200"/>
      <c r="O29" s="200"/>
      <c r="P29" s="200"/>
      <c r="Q29" s="476"/>
      <c r="R29" s="200" t="s">
        <v>230</v>
      </c>
      <c r="S29" s="200"/>
      <c r="T29" s="200"/>
      <c r="U29" s="200"/>
      <c r="V29" s="476"/>
      <c r="W29" s="200" t="s">
        <v>230</v>
      </c>
      <c r="X29" s="200"/>
      <c r="Y29" s="200"/>
      <c r="Z29" s="200"/>
      <c r="AA29" s="476"/>
      <c r="AB29" s="200" t="s">
        <v>230</v>
      </c>
      <c r="AC29" s="200"/>
      <c r="AD29" s="200"/>
      <c r="AE29" s="200"/>
      <c r="AF29" s="200"/>
      <c r="AG29" s="200" t="s">
        <v>230</v>
      </c>
      <c r="AH29" s="200"/>
      <c r="AI29" s="200"/>
      <c r="AJ29" s="200"/>
      <c r="AK29" s="476"/>
      <c r="AL29" s="200" t="s">
        <v>230</v>
      </c>
      <c r="AM29" s="200"/>
      <c r="AN29" s="200"/>
      <c r="AO29" s="200"/>
      <c r="AP29" s="476"/>
      <c r="AQ29" s="200" t="s">
        <v>230</v>
      </c>
      <c r="AR29" s="200"/>
      <c r="AS29" s="200"/>
      <c r="AT29" s="200"/>
      <c r="AU29" s="425"/>
      <c r="AV29" s="545" t="s">
        <v>230</v>
      </c>
      <c r="AW29" s="546"/>
      <c r="AX29" s="49"/>
      <c r="AY29" s="296"/>
      <c r="AZ29" s="541"/>
      <c r="BA29" s="525" t="s">
        <v>230</v>
      </c>
      <c r="BB29" s="535"/>
      <c r="BC29" s="49"/>
      <c r="BD29" s="327" t="str">
        <f>IFERROR(__xludf.DUMMYFUNCTION("""COMPUTED_VALUE"""),"")</f>
        <v/>
      </c>
      <c r="BE29" s="330" t="str">
        <f>IFERROR(__xludf.DUMMYFUNCTION("""COMPUTED_VALUE"""),"Porygon-Z")</f>
        <v>Porygon-Z</v>
      </c>
      <c r="BF29" s="479" t="s">
        <v>216</v>
      </c>
      <c r="BG29" s="486">
        <v>12.0</v>
      </c>
      <c r="BH29" s="49"/>
      <c r="BI29" s="346" t="str">
        <f>IFERROR(__xludf.DUMMYFUNCTION("""COMPUTED_VALUE"""),"")</f>
        <v/>
      </c>
      <c r="BJ29" s="348" t="str">
        <f>IFERROR(__xludf.DUMMYFUNCTION("""COMPUTED_VALUE"""),"Tentacruel")</f>
        <v>Tentacruel</v>
      </c>
      <c r="BK29" s="479" t="s">
        <v>216</v>
      </c>
      <c r="BL29" s="486">
        <v>9.0</v>
      </c>
      <c r="BM29" s="49"/>
      <c r="BN29" s="429" t="str">
        <f>IFERROR(__xludf.DUMMYFUNCTION("""COMPUTED_VALUE"""),"")</f>
        <v/>
      </c>
      <c r="BO29" s="354" t="str">
        <f>IFERROR(__xludf.DUMMYFUNCTION("""COMPUTED_VALUE"""),"Orthworm")</f>
        <v>Orthworm</v>
      </c>
      <c r="BP29" s="479" t="s">
        <v>216</v>
      </c>
      <c r="BQ29" s="486">
        <v>8.0</v>
      </c>
      <c r="BR29" s="49"/>
      <c r="BS29" s="353" t="str">
        <f>IFERROR(__xludf.DUMMYFUNCTION("""COMPUTED_VALUE"""),"")</f>
        <v/>
      </c>
      <c r="BT29" s="361" t="str">
        <f>IFERROR(__xludf.DUMMYFUNCTION("""COMPUTED_VALUE"""),"Torterra")</f>
        <v>Torterra</v>
      </c>
      <c r="BU29" s="479" t="s">
        <v>216</v>
      </c>
      <c r="BV29" s="486">
        <v>9.0</v>
      </c>
      <c r="BW29" s="49"/>
      <c r="BX29" s="368" t="str">
        <f>IFERROR(__xludf.DUMMYFUNCTION("""COMPUTED_VALUE"""),"")</f>
        <v/>
      </c>
      <c r="BY29" s="370" t="str">
        <f>IFERROR(__xludf.DUMMYFUNCTION("""COMPUTED_VALUE"""),"Rotom")</f>
        <v>Rotom</v>
      </c>
      <c r="BZ29" s="479" t="s">
        <v>216</v>
      </c>
      <c r="CA29" s="486">
        <v>6.0</v>
      </c>
      <c r="CB29" s="49"/>
      <c r="CC29" s="388" t="str">
        <f>IFERROR(__xludf.DUMMYFUNCTION("""COMPUTED_VALUE"""),"")</f>
        <v/>
      </c>
      <c r="CD29" s="488" t="str">
        <f>IFERROR(__xludf.DUMMYFUNCTION("""COMPUTED_VALUE"""),"Tatsugiri")</f>
        <v>Tatsugiri</v>
      </c>
      <c r="CE29" s="479" t="s">
        <v>216</v>
      </c>
      <c r="CF29" s="486">
        <v>5.0</v>
      </c>
      <c r="CG29" s="49"/>
      <c r="CH29" s="402" t="str">
        <f>IFERROR(__xludf.DUMMYFUNCTION("""COMPUTED_VALUE"""),"")</f>
        <v/>
      </c>
      <c r="CI29" s="439" t="str">
        <f>IFERROR(__xludf.DUMMYFUNCTION("""COMPUTED_VALUE"""),"Minior")</f>
        <v>Minior</v>
      </c>
      <c r="CJ29" s="426" t="s">
        <v>216</v>
      </c>
      <c r="CK29" s="486">
        <v>4.0</v>
      </c>
      <c r="CL29" s="49"/>
      <c r="CM29" s="402" t="str">
        <f>IFERROR(__xludf.DUMMYFUNCTION("""COMPUTED_VALUE"""),"")</f>
        <v/>
      </c>
      <c r="CN29" s="439" t="str">
        <f>IFERROR(__xludf.DUMMYFUNCTION("""COMPUTED_VALUE"""),"Gligar")</f>
        <v>Gligar</v>
      </c>
      <c r="CO29" s="426" t="s">
        <v>216</v>
      </c>
      <c r="CP29" s="486">
        <v>3.0</v>
      </c>
      <c r="CQ29" s="49"/>
      <c r="CR29" s="419" t="str">
        <f>IFERROR(__xludf.DUMMYFUNCTION("""COMPUTED_VALUE"""),"")</f>
        <v/>
      </c>
      <c r="CS29" s="487" t="str">
        <f>IFERROR(__xludf.DUMMYFUNCTION("""COMPUTED_VALUE"""),"Flaaffy")</f>
        <v>Flaaffy</v>
      </c>
      <c r="CT29" s="442" t="s">
        <v>216</v>
      </c>
      <c r="CU29" s="486">
        <v>1.0</v>
      </c>
      <c r="CV29" s="49"/>
      <c r="CW29" s="453"/>
      <c r="CX29" s="455"/>
      <c r="CY29" s="525"/>
      <c r="CZ29" s="525"/>
      <c r="DA29" s="49"/>
      <c r="DB29" s="457"/>
      <c r="DC29" s="475"/>
      <c r="DD29" s="525"/>
      <c r="DE29" s="525"/>
      <c r="DF29" s="49"/>
      <c r="DG29" s="458"/>
      <c r="DH29" s="459"/>
      <c r="DI29" s="525"/>
      <c r="DJ29" s="525"/>
      <c r="DK29" s="49"/>
      <c r="DL29" s="198"/>
      <c r="DM29" s="460"/>
      <c r="DN29" s="525"/>
      <c r="DO29" s="525"/>
      <c r="DP29" s="49"/>
      <c r="DQ29" s="461"/>
      <c r="DR29" s="462"/>
      <c r="DS29" s="426"/>
      <c r="DT29" s="456"/>
      <c r="DU29" s="49"/>
      <c r="DV29" s="463"/>
      <c r="DW29" s="464"/>
      <c r="DX29" s="426"/>
      <c r="DY29" s="456"/>
      <c r="DZ29" s="49"/>
      <c r="EA29" s="465"/>
      <c r="EB29" s="466"/>
      <c r="EC29" s="426"/>
      <c r="ED29" s="456"/>
      <c r="EE29" s="49"/>
      <c r="EF29" s="17"/>
    </row>
    <row r="30" ht="17.25" customHeight="1">
      <c r="A30" s="443"/>
      <c r="B30" s="444"/>
      <c r="C30" s="170"/>
      <c r="D30" s="171" t="s">
        <v>280</v>
      </c>
      <c r="E30" s="49"/>
      <c r="F30" s="200"/>
      <c r="G30" s="200"/>
      <c r="H30" s="200" t="s">
        <v>230</v>
      </c>
      <c r="I30" s="200"/>
      <c r="J30" s="200"/>
      <c r="K30" s="200"/>
      <c r="L30" s="476"/>
      <c r="M30" s="200" t="s">
        <v>230</v>
      </c>
      <c r="N30" s="200"/>
      <c r="O30" s="200"/>
      <c r="P30" s="200"/>
      <c r="Q30" s="476"/>
      <c r="R30" s="200" t="s">
        <v>230</v>
      </c>
      <c r="S30" s="200"/>
      <c r="T30" s="200"/>
      <c r="U30" s="200"/>
      <c r="V30" s="476"/>
      <c r="W30" s="200" t="s">
        <v>230</v>
      </c>
      <c r="X30" s="200"/>
      <c r="Y30" s="200"/>
      <c r="Z30" s="200"/>
      <c r="AA30" s="476"/>
      <c r="AB30" s="200" t="s">
        <v>230</v>
      </c>
      <c r="AC30" s="200"/>
      <c r="AD30" s="200"/>
      <c r="AE30" s="200"/>
      <c r="AF30" s="200"/>
      <c r="AG30" s="200" t="s">
        <v>230</v>
      </c>
      <c r="AH30" s="200"/>
      <c r="AI30" s="200"/>
      <c r="AJ30" s="200"/>
      <c r="AK30" s="476"/>
      <c r="AL30" s="200" t="s">
        <v>230</v>
      </c>
      <c r="AM30" s="200"/>
      <c r="AN30" s="200"/>
      <c r="AO30" s="200"/>
      <c r="AP30" s="476"/>
      <c r="AQ30" s="200" t="s">
        <v>230</v>
      </c>
      <c r="AR30" s="200"/>
      <c r="AS30" s="200"/>
      <c r="AT30" s="200"/>
      <c r="AU30" s="425"/>
      <c r="AV30" s="545" t="s">
        <v>230</v>
      </c>
      <c r="AW30" s="425"/>
      <c r="AX30" s="49"/>
      <c r="AY30" s="296"/>
      <c r="AZ30" s="541"/>
      <c r="BA30" s="525" t="s">
        <v>230</v>
      </c>
      <c r="BB30" s="535"/>
      <c r="BC30" s="49"/>
      <c r="BD30" s="327" t="str">
        <f>IFERROR(__xludf.DUMMYFUNCTION("""COMPUTED_VALUE"""),"")</f>
        <v/>
      </c>
      <c r="BE30" s="330" t="str">
        <f>IFERROR(__xludf.DUMMYFUNCTION("""COMPUTED_VALUE"""),"Revavroom")</f>
        <v>Revavroom</v>
      </c>
      <c r="BF30" s="479" t="s">
        <v>216</v>
      </c>
      <c r="BG30" s="486">
        <v>12.0</v>
      </c>
      <c r="BH30" s="49"/>
      <c r="BI30" s="346" t="str">
        <f>IFERROR(__xludf.DUMMYFUNCTION("""COMPUTED_VALUE"""),"")</f>
        <v/>
      </c>
      <c r="BJ30" s="348" t="str">
        <f>IFERROR(__xludf.DUMMYFUNCTION("""COMPUTED_VALUE"""),"Tornadus-Incarnate")</f>
        <v>Tornadus-Incarnate</v>
      </c>
      <c r="BK30" s="479" t="s">
        <v>213</v>
      </c>
      <c r="BL30" s="486">
        <v>9.0</v>
      </c>
      <c r="BM30" s="49"/>
      <c r="BN30" s="429" t="str">
        <f>IFERROR(__xludf.DUMMYFUNCTION("""COMPUTED_VALUE"""),"")</f>
        <v/>
      </c>
      <c r="BO30" s="354" t="str">
        <f>IFERROR(__xludf.DUMMYFUNCTION("""COMPUTED_VALUE"""),"Politoed")</f>
        <v>Politoed</v>
      </c>
      <c r="BP30" s="479" t="s">
        <v>216</v>
      </c>
      <c r="BQ30" s="486">
        <v>8.0</v>
      </c>
      <c r="BR30" s="49"/>
      <c r="BS30" s="353" t="str">
        <f>IFERROR(__xludf.DUMMYFUNCTION("""COMPUTED_VALUE"""),"")</f>
        <v/>
      </c>
      <c r="BT30" s="361" t="str">
        <f>IFERROR(__xludf.DUMMYFUNCTION("""COMPUTED_VALUE"""),"Ursaring")</f>
        <v>Ursaring</v>
      </c>
      <c r="BU30" s="479" t="s">
        <v>216</v>
      </c>
      <c r="BV30" s="486">
        <v>8.0</v>
      </c>
      <c r="BW30" s="49"/>
      <c r="BX30" s="368" t="str">
        <f>IFERROR(__xludf.DUMMYFUNCTION("""COMPUTED_VALUE"""),"")</f>
        <v/>
      </c>
      <c r="BY30" s="370" t="str">
        <f>IFERROR(__xludf.DUMMYFUNCTION("""COMPUTED_VALUE"""),"Rotom-Fan")</f>
        <v>Rotom-Fan</v>
      </c>
      <c r="BZ30" s="479" t="s">
        <v>216</v>
      </c>
      <c r="CA30" s="486">
        <v>6.0</v>
      </c>
      <c r="CB30" s="49"/>
      <c r="CC30" s="388" t="str">
        <f>IFERROR(__xludf.DUMMYFUNCTION("""COMPUTED_VALUE"""),"")</f>
        <v/>
      </c>
      <c r="CD30" s="488" t="str">
        <f>IFERROR(__xludf.DUMMYFUNCTION("""COMPUTED_VALUE"""),"Toxicroak")</f>
        <v>Toxicroak</v>
      </c>
      <c r="CE30" s="479" t="s">
        <v>216</v>
      </c>
      <c r="CF30" s="486">
        <v>5.0</v>
      </c>
      <c r="CG30" s="49"/>
      <c r="CH30" s="402" t="str">
        <f>IFERROR(__xludf.DUMMYFUNCTION("""COMPUTED_VALUE"""),"")</f>
        <v/>
      </c>
      <c r="CI30" s="439" t="str">
        <f>IFERROR(__xludf.DUMMYFUNCTION("""COMPUTED_VALUE"""),"Misdreavus")</f>
        <v>Misdreavus</v>
      </c>
      <c r="CJ30" s="426" t="s">
        <v>216</v>
      </c>
      <c r="CK30" s="486">
        <v>4.0</v>
      </c>
      <c r="CL30" s="49"/>
      <c r="CM30" s="402" t="str">
        <f>IFERROR(__xludf.DUMMYFUNCTION("""COMPUTED_VALUE"""),"")</f>
        <v/>
      </c>
      <c r="CN30" s="439" t="str">
        <f>IFERROR(__xludf.DUMMYFUNCTION("""COMPUTED_VALUE"""),"Gogoat")</f>
        <v>Gogoat</v>
      </c>
      <c r="CO30" s="426" t="s">
        <v>216</v>
      </c>
      <c r="CP30" s="486">
        <v>3.0</v>
      </c>
      <c r="CQ30" s="49"/>
      <c r="CR30" s="419" t="str">
        <f>IFERROR(__xludf.DUMMYFUNCTION("""COMPUTED_VALUE"""),"")</f>
        <v/>
      </c>
      <c r="CS30" s="487" t="str">
        <f>IFERROR(__xludf.DUMMYFUNCTION("""COMPUTED_VALUE"""),"Fletchinder")</f>
        <v>Fletchinder</v>
      </c>
      <c r="CT30" s="442" t="s">
        <v>216</v>
      </c>
      <c r="CU30" s="486">
        <v>1.0</v>
      </c>
      <c r="CV30" s="49"/>
      <c r="CW30" s="453"/>
      <c r="CX30" s="455"/>
      <c r="CY30" s="525"/>
      <c r="CZ30" s="525"/>
      <c r="DA30" s="49"/>
      <c r="DB30" s="457"/>
      <c r="DC30" s="475"/>
      <c r="DD30" s="525"/>
      <c r="DE30" s="525"/>
      <c r="DF30" s="49"/>
      <c r="DG30" s="458"/>
      <c r="DH30" s="459"/>
      <c r="DI30" s="525"/>
      <c r="DJ30" s="525"/>
      <c r="DK30" s="49"/>
      <c r="DL30" s="198"/>
      <c r="DM30" s="460"/>
      <c r="DN30" s="525"/>
      <c r="DO30" s="525"/>
      <c r="DP30" s="49"/>
      <c r="DQ30" s="461"/>
      <c r="DR30" s="462"/>
      <c r="DS30" s="426"/>
      <c r="DT30" s="456"/>
      <c r="DU30" s="49"/>
      <c r="DV30" s="463"/>
      <c r="DW30" s="464"/>
      <c r="DX30" s="426"/>
      <c r="DY30" s="456"/>
      <c r="DZ30" s="49"/>
      <c r="EA30" s="465"/>
      <c r="EB30" s="466"/>
      <c r="EC30" s="426"/>
      <c r="ED30" s="456"/>
      <c r="EE30" s="49"/>
      <c r="EF30" s="17"/>
    </row>
    <row r="31" ht="17.25" customHeight="1">
      <c r="A31" s="17"/>
      <c r="B31" s="49"/>
      <c r="C31" s="170"/>
      <c r="D31" s="171" t="s">
        <v>283</v>
      </c>
      <c r="E31" s="49"/>
      <c r="F31" s="200"/>
      <c r="G31" s="200"/>
      <c r="H31" s="200" t="s">
        <v>230</v>
      </c>
      <c r="I31" s="200"/>
      <c r="J31" s="200"/>
      <c r="K31" s="200"/>
      <c r="L31" s="476"/>
      <c r="M31" s="200" t="s">
        <v>230</v>
      </c>
      <c r="N31" s="200"/>
      <c r="O31" s="200"/>
      <c r="P31" s="200"/>
      <c r="Q31" s="476"/>
      <c r="R31" s="200" t="s">
        <v>230</v>
      </c>
      <c r="S31" s="200"/>
      <c r="T31" s="200"/>
      <c r="U31" s="200"/>
      <c r="V31" s="476"/>
      <c r="W31" s="200" t="s">
        <v>230</v>
      </c>
      <c r="X31" s="200"/>
      <c r="Y31" s="200"/>
      <c r="Z31" s="200"/>
      <c r="AA31" s="476"/>
      <c r="AB31" s="200" t="s">
        <v>230</v>
      </c>
      <c r="AC31" s="200"/>
      <c r="AD31" s="200"/>
      <c r="AE31" s="200"/>
      <c r="AF31" s="200"/>
      <c r="AG31" s="200" t="s">
        <v>230</v>
      </c>
      <c r="AH31" s="200"/>
      <c r="AI31" s="200"/>
      <c r="AJ31" s="200"/>
      <c r="AK31" s="476"/>
      <c r="AL31" s="200" t="s">
        <v>230</v>
      </c>
      <c r="AM31" s="200"/>
      <c r="AN31" s="200"/>
      <c r="AO31" s="200"/>
      <c r="AP31" s="476"/>
      <c r="AQ31" s="200" t="s">
        <v>230</v>
      </c>
      <c r="AR31" s="200"/>
      <c r="AS31" s="200"/>
      <c r="AT31" s="200"/>
      <c r="AU31" s="425"/>
      <c r="AV31" s="545" t="s">
        <v>230</v>
      </c>
      <c r="AW31" s="425"/>
      <c r="AX31" s="49"/>
      <c r="AY31" s="296"/>
      <c r="AZ31" s="541"/>
      <c r="BA31" s="554" t="s">
        <v>230</v>
      </c>
      <c r="BB31" s="541"/>
      <c r="BC31" s="49"/>
      <c r="BD31" s="327" t="str">
        <f>IFERROR(__xludf.DUMMYFUNCTION("""COMPUTED_VALUE"""),"")</f>
        <v/>
      </c>
      <c r="BE31" s="330" t="str">
        <f>IFERROR(__xludf.DUMMYFUNCTION("""COMPUTED_VALUE"""),"Suicune")</f>
        <v>Suicune</v>
      </c>
      <c r="BF31" s="426" t="s">
        <v>216</v>
      </c>
      <c r="BG31" s="456">
        <v>11.0</v>
      </c>
      <c r="BH31" s="49"/>
      <c r="BI31" s="346" t="str">
        <f>IFERROR(__xludf.DUMMYFUNCTION("""COMPUTED_VALUE"""),"")</f>
        <v/>
      </c>
      <c r="BJ31" s="348" t="str">
        <f>IFERROR(__xludf.DUMMYFUNCTION("""COMPUTED_VALUE"""),"Toxtricity")</f>
        <v>Toxtricity</v>
      </c>
      <c r="BK31" s="479" t="s">
        <v>216</v>
      </c>
      <c r="BL31" s="486">
        <v>11.0</v>
      </c>
      <c r="BM31" s="49"/>
      <c r="BN31" s="429" t="str">
        <f>IFERROR(__xludf.DUMMYFUNCTION("""COMPUTED_VALUE"""),"")</f>
        <v/>
      </c>
      <c r="BO31" s="354" t="str">
        <f>IFERROR(__xludf.DUMMYFUNCTION("""COMPUTED_VALUE"""),"Porygon2")</f>
        <v>Porygon2</v>
      </c>
      <c r="BP31" s="479" t="s">
        <v>216</v>
      </c>
      <c r="BQ31" s="486">
        <v>9.0</v>
      </c>
      <c r="BR31" s="49"/>
      <c r="BS31" s="353" t="str">
        <f>IFERROR(__xludf.DUMMYFUNCTION("""COMPUTED_VALUE"""),"")</f>
        <v/>
      </c>
      <c r="BT31" s="361" t="str">
        <f>IFERROR(__xludf.DUMMYFUNCTION("""COMPUTED_VALUE"""),"Venomoth")</f>
        <v>Venomoth</v>
      </c>
      <c r="BU31" s="479" t="s">
        <v>216</v>
      </c>
      <c r="BV31" s="486">
        <v>8.0</v>
      </c>
      <c r="BW31" s="49"/>
      <c r="BX31" s="368" t="str">
        <f>IFERROR(__xludf.DUMMYFUNCTION("""COMPUTED_VALUE"""),"")</f>
        <v/>
      </c>
      <c r="BY31" s="370" t="str">
        <f>IFERROR(__xludf.DUMMYFUNCTION("""COMPUTED_VALUE"""),"Sceptile")</f>
        <v>Sceptile</v>
      </c>
      <c r="BZ31" s="479" t="s">
        <v>216</v>
      </c>
      <c r="CA31" s="486">
        <v>6.0</v>
      </c>
      <c r="CB31" s="49"/>
      <c r="CC31" s="388" t="str">
        <f>IFERROR(__xludf.DUMMYFUNCTION("""COMPUTED_VALUE"""),"")</f>
        <v/>
      </c>
      <c r="CD31" s="488" t="str">
        <f>IFERROR(__xludf.DUMMYFUNCTION("""COMPUTED_VALUE"""),"Typhlosion")</f>
        <v>Typhlosion</v>
      </c>
      <c r="CE31" s="479" t="s">
        <v>216</v>
      </c>
      <c r="CF31" s="486">
        <v>5.0</v>
      </c>
      <c r="CG31" s="49"/>
      <c r="CH31" s="402" t="str">
        <f>IFERROR(__xludf.DUMMYFUNCTION("""COMPUTED_VALUE"""),"")</f>
        <v/>
      </c>
      <c r="CI31" s="439" t="str">
        <f>IFERROR(__xludf.DUMMYFUNCTION("""COMPUTED_VALUE"""),"Morpeko")</f>
        <v>Morpeko</v>
      </c>
      <c r="CJ31" s="426" t="s">
        <v>216</v>
      </c>
      <c r="CK31" s="486">
        <v>4.0</v>
      </c>
      <c r="CL31" s="49"/>
      <c r="CM31" s="402" t="str">
        <f>IFERROR(__xludf.DUMMYFUNCTION("""COMPUTED_VALUE"""),"")</f>
        <v/>
      </c>
      <c r="CN31" s="439" t="str">
        <f>IFERROR(__xludf.DUMMYFUNCTION("""COMPUTED_VALUE"""),"Golduck")</f>
        <v>Golduck</v>
      </c>
      <c r="CO31" s="426" t="s">
        <v>216</v>
      </c>
      <c r="CP31" s="486">
        <v>3.0</v>
      </c>
      <c r="CQ31" s="49"/>
      <c r="CR31" s="419" t="str">
        <f>IFERROR(__xludf.DUMMYFUNCTION("""COMPUTED_VALUE"""),"")</f>
        <v/>
      </c>
      <c r="CS31" s="487" t="str">
        <f>IFERROR(__xludf.DUMMYFUNCTION("""COMPUTED_VALUE"""),"Fraxure")</f>
        <v>Fraxure</v>
      </c>
      <c r="CT31" s="442" t="s">
        <v>216</v>
      </c>
      <c r="CU31" s="486">
        <v>2.0</v>
      </c>
      <c r="CV31" s="49"/>
      <c r="CW31" s="453"/>
      <c r="CX31" s="535"/>
      <c r="CY31" s="525"/>
      <c r="CZ31" s="525"/>
      <c r="DA31" s="49"/>
      <c r="DB31" s="457"/>
      <c r="DC31" s="475"/>
      <c r="DD31" s="525"/>
      <c r="DE31" s="525"/>
      <c r="DF31" s="49"/>
      <c r="DG31" s="458"/>
      <c r="DH31" s="459"/>
      <c r="DI31" s="525"/>
      <c r="DJ31" s="525"/>
      <c r="DK31" s="49"/>
      <c r="DL31" s="198"/>
      <c r="DM31" s="460"/>
      <c r="DN31" s="525"/>
      <c r="DO31" s="525"/>
      <c r="DP31" s="49"/>
      <c r="DQ31" s="461"/>
      <c r="DR31" s="462"/>
      <c r="DS31" s="426"/>
      <c r="DT31" s="456"/>
      <c r="DU31" s="49"/>
      <c r="DV31" s="463"/>
      <c r="DW31" s="464"/>
      <c r="DX31" s="426"/>
      <c r="DY31" s="456"/>
      <c r="DZ31" s="49"/>
      <c r="EA31" s="465"/>
      <c r="EB31" s="466"/>
      <c r="EC31" s="426"/>
      <c r="ED31" s="456"/>
      <c r="EE31" s="49"/>
      <c r="EF31" s="17"/>
    </row>
    <row r="32" ht="17.25" customHeight="1">
      <c r="A32" s="443"/>
      <c r="B32" s="444"/>
      <c r="C32" s="170"/>
      <c r="D32" s="171" t="s">
        <v>285</v>
      </c>
      <c r="E32" s="49"/>
      <c r="F32" s="200"/>
      <c r="G32" s="200"/>
      <c r="H32" s="200" t="s">
        <v>230</v>
      </c>
      <c r="I32" s="200"/>
      <c r="J32" s="200"/>
      <c r="K32" s="200"/>
      <c r="L32" s="476"/>
      <c r="M32" s="200" t="s">
        <v>230</v>
      </c>
      <c r="N32" s="200"/>
      <c r="O32" s="200"/>
      <c r="P32" s="200"/>
      <c r="Q32" s="476"/>
      <c r="R32" s="200" t="s">
        <v>230</v>
      </c>
      <c r="S32" s="200"/>
      <c r="T32" s="200"/>
      <c r="U32" s="200"/>
      <c r="V32" s="476"/>
      <c r="W32" s="200" t="s">
        <v>230</v>
      </c>
      <c r="X32" s="200"/>
      <c r="Y32" s="200"/>
      <c r="Z32" s="200"/>
      <c r="AA32" s="476"/>
      <c r="AB32" s="200" t="s">
        <v>230</v>
      </c>
      <c r="AC32" s="200"/>
      <c r="AD32" s="200"/>
      <c r="AE32" s="200"/>
      <c r="AF32" s="200"/>
      <c r="AG32" s="200" t="s">
        <v>230</v>
      </c>
      <c r="AH32" s="200"/>
      <c r="AI32" s="200"/>
      <c r="AJ32" s="200"/>
      <c r="AK32" s="476"/>
      <c r="AL32" s="200" t="s">
        <v>230</v>
      </c>
      <c r="AM32" s="200"/>
      <c r="AN32" s="200"/>
      <c r="AO32" s="200"/>
      <c r="AP32" s="476"/>
      <c r="AQ32" s="200" t="s">
        <v>230</v>
      </c>
      <c r="AR32" s="200"/>
      <c r="AS32" s="200"/>
      <c r="AT32" s="200"/>
      <c r="AU32" s="425"/>
      <c r="AV32" s="545" t="s">
        <v>230</v>
      </c>
      <c r="AW32" s="425"/>
      <c r="AX32" s="49"/>
      <c r="AY32" s="296"/>
      <c r="AZ32" s="541"/>
      <c r="BA32" s="554" t="s">
        <v>230</v>
      </c>
      <c r="BB32" s="541"/>
      <c r="BC32" s="49"/>
      <c r="BD32" s="327"/>
      <c r="BE32" s="556"/>
      <c r="BF32" s="557" t="s">
        <v>230</v>
      </c>
      <c r="BG32" s="556"/>
      <c r="BH32" s="49"/>
      <c r="BI32" s="346"/>
      <c r="BJ32" s="558"/>
      <c r="BK32" s="525" t="s">
        <v>230</v>
      </c>
      <c r="BL32" s="525"/>
      <c r="BM32" s="49"/>
      <c r="BN32" s="429" t="str">
        <f>IFERROR(__xludf.DUMMYFUNCTION("""COMPUTED_VALUE"""),"")</f>
        <v/>
      </c>
      <c r="BO32" s="354" t="str">
        <f>IFERROR(__xludf.DUMMYFUNCTION("""COMPUTED_VALUE"""),"Qwilfish")</f>
        <v>Qwilfish</v>
      </c>
      <c r="BP32" s="479" t="s">
        <v>216</v>
      </c>
      <c r="BQ32" s="486">
        <v>8.0</v>
      </c>
      <c r="BR32" s="49"/>
      <c r="BS32" s="353" t="str">
        <f>IFERROR(__xludf.DUMMYFUNCTION("""COMPUTED_VALUE"""),"")</f>
        <v/>
      </c>
      <c r="BT32" s="361" t="str">
        <f>IFERROR(__xludf.DUMMYFUNCTION("""COMPUTED_VALUE"""),"Virizion")</f>
        <v>Virizion</v>
      </c>
      <c r="BU32" s="479" t="s">
        <v>216</v>
      </c>
      <c r="BV32" s="486">
        <v>7.0</v>
      </c>
      <c r="BW32" s="49"/>
      <c r="BX32" s="368" t="str">
        <f>IFERROR(__xludf.DUMMYFUNCTION("""COMPUTED_VALUE"""),"")</f>
        <v/>
      </c>
      <c r="BY32" s="370" t="str">
        <f>IFERROR(__xludf.DUMMYFUNCTION("""COMPUTED_VALUE"""),"Smeargle")</f>
        <v>Smeargle</v>
      </c>
      <c r="BZ32" s="479" t="s">
        <v>216</v>
      </c>
      <c r="CA32" s="486">
        <v>6.0</v>
      </c>
      <c r="CB32" s="49"/>
      <c r="CC32" s="388" t="str">
        <f>IFERROR(__xludf.DUMMYFUNCTION("""COMPUTED_VALUE"""),"")</f>
        <v/>
      </c>
      <c r="CD32" s="488" t="str">
        <f>IFERROR(__xludf.DUMMYFUNCTION("""COMPUTED_VALUE"""),"Vileplume")</f>
        <v>Vileplume</v>
      </c>
      <c r="CE32" s="479" t="s">
        <v>216</v>
      </c>
      <c r="CF32" s="486">
        <v>5.0</v>
      </c>
      <c r="CG32" s="49"/>
      <c r="CH32" s="402" t="str">
        <f>IFERROR(__xludf.DUMMYFUNCTION("""COMPUTED_VALUE"""),"")</f>
        <v/>
      </c>
      <c r="CI32" s="439" t="str">
        <f>IFERROR(__xludf.DUMMYFUNCTION("""COMPUTED_VALUE"""),"Perrserker")</f>
        <v>Perrserker</v>
      </c>
      <c r="CJ32" s="426" t="s">
        <v>216</v>
      </c>
      <c r="CK32" s="486">
        <v>4.0</v>
      </c>
      <c r="CL32" s="49"/>
      <c r="CM32" s="402" t="str">
        <f>IFERROR(__xludf.DUMMYFUNCTION("""COMPUTED_VALUE"""),"")</f>
        <v/>
      </c>
      <c r="CN32" s="439" t="str">
        <f>IFERROR(__xludf.DUMMYFUNCTION("""COMPUTED_VALUE"""),"Golem")</f>
        <v>Golem</v>
      </c>
      <c r="CO32" s="426" t="s">
        <v>216</v>
      </c>
      <c r="CP32" s="486">
        <v>3.0</v>
      </c>
      <c r="CQ32" s="49"/>
      <c r="CR32" s="419" t="str">
        <f>IFERROR(__xludf.DUMMYFUNCTION("""COMPUTED_VALUE"""),"")</f>
        <v/>
      </c>
      <c r="CS32" s="487" t="str">
        <f>IFERROR(__xludf.DUMMYFUNCTION("""COMPUTED_VALUE"""),"Furret")</f>
        <v>Furret</v>
      </c>
      <c r="CT32" s="442" t="s">
        <v>216</v>
      </c>
      <c r="CU32" s="486">
        <v>2.0</v>
      </c>
      <c r="CV32" s="49"/>
      <c r="CW32" s="453"/>
      <c r="CX32" s="455"/>
      <c r="CY32" s="525"/>
      <c r="CZ32" s="525"/>
      <c r="DA32" s="49"/>
      <c r="DB32" s="457"/>
      <c r="DC32" s="475"/>
      <c r="DD32" s="525"/>
      <c r="DE32" s="525"/>
      <c r="DF32" s="49"/>
      <c r="DG32" s="458"/>
      <c r="DH32" s="459"/>
      <c r="DI32" s="525"/>
      <c r="DJ32" s="525"/>
      <c r="DK32" s="49"/>
      <c r="DL32" s="198"/>
      <c r="DM32" s="460"/>
      <c r="DN32" s="525"/>
      <c r="DO32" s="525"/>
      <c r="DP32" s="49"/>
      <c r="DQ32" s="461"/>
      <c r="DR32" s="462"/>
      <c r="DS32" s="426"/>
      <c r="DT32" s="456"/>
      <c r="DU32" s="49"/>
      <c r="DV32" s="463"/>
      <c r="DW32" s="464"/>
      <c r="DX32" s="426"/>
      <c r="DY32" s="456"/>
      <c r="DZ32" s="49"/>
      <c r="EA32" s="465"/>
      <c r="EB32" s="466"/>
      <c r="EC32" s="426"/>
      <c r="ED32" s="456"/>
      <c r="EE32" s="49"/>
      <c r="EF32" s="17"/>
    </row>
    <row r="33" ht="17.25" customHeight="1">
      <c r="A33" s="499"/>
      <c r="B33" s="423"/>
      <c r="C33" s="170"/>
      <c r="D33" s="171" t="s">
        <v>286</v>
      </c>
      <c r="E33" s="49"/>
      <c r="F33" s="200"/>
      <c r="G33" s="559"/>
      <c r="H33" s="200" t="s">
        <v>230</v>
      </c>
      <c r="I33" s="200"/>
      <c r="J33" s="200"/>
      <c r="K33" s="200"/>
      <c r="L33" s="476"/>
      <c r="M33" s="200" t="s">
        <v>230</v>
      </c>
      <c r="N33" s="200"/>
      <c r="O33" s="200"/>
      <c r="P33" s="200"/>
      <c r="Q33" s="560"/>
      <c r="R33" s="200" t="s">
        <v>230</v>
      </c>
      <c r="S33" s="200"/>
      <c r="T33" s="200"/>
      <c r="U33" s="200"/>
      <c r="V33" s="476"/>
      <c r="W33" s="200" t="s">
        <v>230</v>
      </c>
      <c r="X33" s="200"/>
      <c r="Y33" s="200"/>
      <c r="Z33" s="200"/>
      <c r="AA33" s="476"/>
      <c r="AB33" s="200" t="s">
        <v>230</v>
      </c>
      <c r="AC33" s="200"/>
      <c r="AD33" s="200"/>
      <c r="AE33" s="200"/>
      <c r="AF33" s="200"/>
      <c r="AG33" s="200" t="s">
        <v>230</v>
      </c>
      <c r="AH33" s="200"/>
      <c r="AI33" s="200"/>
      <c r="AJ33" s="200"/>
      <c r="AK33" s="476"/>
      <c r="AL33" s="200" t="s">
        <v>230</v>
      </c>
      <c r="AM33" s="200"/>
      <c r="AN33" s="200"/>
      <c r="AO33" s="200"/>
      <c r="AP33" s="476"/>
      <c r="AQ33" s="200" t="s">
        <v>230</v>
      </c>
      <c r="AR33" s="200"/>
      <c r="AS33" s="200"/>
      <c r="AT33" s="200"/>
      <c r="AU33" s="425"/>
      <c r="AV33" s="545" t="s">
        <v>230</v>
      </c>
      <c r="AW33" s="425"/>
      <c r="AX33" s="49"/>
      <c r="AY33" s="296"/>
      <c r="AZ33" s="541"/>
      <c r="BA33" s="554" t="s">
        <v>230</v>
      </c>
      <c r="BB33" s="541"/>
      <c r="BC33" s="49"/>
      <c r="BD33" s="327"/>
      <c r="BE33" s="556"/>
      <c r="BF33" s="557" t="s">
        <v>230</v>
      </c>
      <c r="BG33" s="556"/>
      <c r="BH33" s="49"/>
      <c r="BI33" s="346"/>
      <c r="BJ33" s="558"/>
      <c r="BK33" s="525" t="s">
        <v>230</v>
      </c>
      <c r="BL33" s="525"/>
      <c r="BM33" s="49"/>
      <c r="BN33" s="429" t="str">
        <f>IFERROR(__xludf.DUMMYFUNCTION("""COMPUTED_VALUE"""),"")</f>
        <v/>
      </c>
      <c r="BO33" s="354" t="str">
        <f>IFERROR(__xludf.DUMMYFUNCTION("""COMPUTED_VALUE"""),"Regidrago")</f>
        <v>Regidrago</v>
      </c>
      <c r="BP33" s="479" t="s">
        <v>216</v>
      </c>
      <c r="BQ33" s="486">
        <v>10.0</v>
      </c>
      <c r="BR33" s="49"/>
      <c r="BS33" s="353" t="str">
        <f>IFERROR(__xludf.DUMMYFUNCTION("""COMPUTED_VALUE"""),"")</f>
        <v/>
      </c>
      <c r="BT33" s="361" t="str">
        <f>IFERROR(__xludf.DUMMYFUNCTION("""COMPUTED_VALUE"""),"Weezing")</f>
        <v>Weezing</v>
      </c>
      <c r="BU33" s="479" t="s">
        <v>216</v>
      </c>
      <c r="BV33" s="486">
        <v>7.0</v>
      </c>
      <c r="BW33" s="49"/>
      <c r="BX33" s="368" t="str">
        <f>IFERROR(__xludf.DUMMYFUNCTION("""COMPUTED_VALUE"""),"")</f>
        <v/>
      </c>
      <c r="BY33" s="370" t="str">
        <f>IFERROR(__xludf.DUMMYFUNCTION("""COMPUTED_VALUE"""),"Vikavolt")</f>
        <v>Vikavolt</v>
      </c>
      <c r="BZ33" s="479" t="s">
        <v>216</v>
      </c>
      <c r="CA33" s="486">
        <v>6.0</v>
      </c>
      <c r="CB33" s="49"/>
      <c r="CC33" s="388" t="str">
        <f>IFERROR(__xludf.DUMMYFUNCTION("""COMPUTED_VALUE"""),"")</f>
        <v/>
      </c>
      <c r="CD33" s="488" t="str">
        <f>IFERROR(__xludf.DUMMYFUNCTION("""COMPUTED_VALUE"""),"Yanmega")</f>
        <v>Yanmega</v>
      </c>
      <c r="CE33" s="479" t="s">
        <v>216</v>
      </c>
      <c r="CF33" s="486">
        <v>5.0</v>
      </c>
      <c r="CG33" s="49"/>
      <c r="CH33" s="402" t="str">
        <f>IFERROR(__xludf.DUMMYFUNCTION("""COMPUTED_VALUE"""),"")</f>
        <v/>
      </c>
      <c r="CI33" s="439" t="str">
        <f>IFERROR(__xludf.DUMMYFUNCTION("""COMPUTED_VALUE"""),"Pincurchin")</f>
        <v>Pincurchin</v>
      </c>
      <c r="CJ33" s="426" t="s">
        <v>216</v>
      </c>
      <c r="CK33" s="486">
        <v>4.0</v>
      </c>
      <c r="CL33" s="49"/>
      <c r="CM33" s="402" t="str">
        <f>IFERROR(__xludf.DUMMYFUNCTION("""COMPUTED_VALUE"""),"")</f>
        <v/>
      </c>
      <c r="CN33" s="439" t="str">
        <f>IFERROR(__xludf.DUMMYFUNCTION("""COMPUTED_VALUE"""),"Grotle")</f>
        <v>Grotle</v>
      </c>
      <c r="CO33" s="426" t="s">
        <v>216</v>
      </c>
      <c r="CP33" s="486">
        <v>3.0</v>
      </c>
      <c r="CQ33" s="49"/>
      <c r="CR33" s="419" t="str">
        <f>IFERROR(__xludf.DUMMYFUNCTION("""COMPUTED_VALUE"""),"")</f>
        <v/>
      </c>
      <c r="CS33" s="487" t="str">
        <f>IFERROR(__xludf.DUMMYFUNCTION("""COMPUTED_VALUE"""),"Gabite")</f>
        <v>Gabite</v>
      </c>
      <c r="CT33" s="442" t="s">
        <v>216</v>
      </c>
      <c r="CU33" s="486">
        <v>2.0</v>
      </c>
      <c r="CV33" s="49"/>
      <c r="CW33" s="453"/>
      <c r="CX33" s="455"/>
      <c r="CY33" s="525"/>
      <c r="CZ33" s="525"/>
      <c r="DA33" s="49"/>
      <c r="DB33" s="457"/>
      <c r="DC33" s="475"/>
      <c r="DD33" s="525"/>
      <c r="DE33" s="525"/>
      <c r="DF33" s="49"/>
      <c r="DG33" s="458"/>
      <c r="DH33" s="459"/>
      <c r="DI33" s="525"/>
      <c r="DJ33" s="525"/>
      <c r="DK33" s="49"/>
      <c r="DL33" s="198"/>
      <c r="DM33" s="460"/>
      <c r="DN33" s="525"/>
      <c r="DO33" s="525"/>
      <c r="DP33" s="49"/>
      <c r="DQ33" s="461"/>
      <c r="DR33" s="462"/>
      <c r="DS33" s="426"/>
      <c r="DT33" s="456"/>
      <c r="DU33" s="49"/>
      <c r="DV33" s="463"/>
      <c r="DW33" s="464"/>
      <c r="DX33" s="426"/>
      <c r="DY33" s="456"/>
      <c r="DZ33" s="49"/>
      <c r="EA33" s="465"/>
      <c r="EB33" s="466"/>
      <c r="EC33" s="426"/>
      <c r="ED33" s="456"/>
      <c r="EE33" s="49"/>
      <c r="EF33" s="17"/>
    </row>
    <row r="34" ht="17.25" customHeight="1">
      <c r="A34" s="443"/>
      <c r="B34" s="444"/>
      <c r="C34" s="170"/>
      <c r="D34" s="171" t="s">
        <v>287</v>
      </c>
      <c r="E34" s="49"/>
      <c r="F34" s="200"/>
      <c r="G34" s="200"/>
      <c r="H34" s="200" t="s">
        <v>230</v>
      </c>
      <c r="I34" s="200"/>
      <c r="J34" s="200"/>
      <c r="K34" s="200"/>
      <c r="L34" s="476"/>
      <c r="M34" s="200" t="s">
        <v>230</v>
      </c>
      <c r="N34" s="200"/>
      <c r="O34" s="200"/>
      <c r="P34" s="200"/>
      <c r="Q34" s="476"/>
      <c r="R34" s="200" t="s">
        <v>230</v>
      </c>
      <c r="S34" s="200"/>
      <c r="T34" s="200"/>
      <c r="U34" s="200"/>
      <c r="V34" s="476"/>
      <c r="W34" s="200" t="s">
        <v>230</v>
      </c>
      <c r="X34" s="200"/>
      <c r="Y34" s="200"/>
      <c r="Z34" s="200"/>
      <c r="AA34" s="476"/>
      <c r="AB34" s="200" t="s">
        <v>230</v>
      </c>
      <c r="AC34" s="200"/>
      <c r="AD34" s="200"/>
      <c r="AE34" s="200"/>
      <c r="AF34" s="200"/>
      <c r="AG34" s="200" t="s">
        <v>230</v>
      </c>
      <c r="AH34" s="200"/>
      <c r="AI34" s="200"/>
      <c r="AJ34" s="200"/>
      <c r="AK34" s="476"/>
      <c r="AL34" s="200" t="s">
        <v>230</v>
      </c>
      <c r="AM34" s="200"/>
      <c r="AN34" s="200"/>
      <c r="AO34" s="200"/>
      <c r="AP34" s="476"/>
      <c r="AQ34" s="200" t="s">
        <v>230</v>
      </c>
      <c r="AR34" s="200"/>
      <c r="AS34" s="200"/>
      <c r="AT34" s="200"/>
      <c r="AU34" s="425"/>
      <c r="AV34" s="545" t="s">
        <v>230</v>
      </c>
      <c r="AW34" s="425"/>
      <c r="AX34" s="49"/>
      <c r="AY34" s="296"/>
      <c r="AZ34" s="541"/>
      <c r="BA34" s="554" t="s">
        <v>230</v>
      </c>
      <c r="BB34" s="541"/>
      <c r="BC34" s="49"/>
      <c r="BD34" s="327"/>
      <c r="BE34" s="556"/>
      <c r="BF34" s="557" t="s">
        <v>230</v>
      </c>
      <c r="BG34" s="556"/>
      <c r="BH34" s="49"/>
      <c r="BI34" s="346"/>
      <c r="BJ34" s="558"/>
      <c r="BK34" s="525" t="s">
        <v>230</v>
      </c>
      <c r="BL34" s="525"/>
      <c r="BM34" s="49"/>
      <c r="BN34" s="429" t="str">
        <f>IFERROR(__xludf.DUMMYFUNCTION("""COMPUTED_VALUE"""),"")</f>
        <v/>
      </c>
      <c r="BO34" s="354" t="str">
        <f>IFERROR(__xludf.DUMMYFUNCTION("""COMPUTED_VALUE"""),"Ribombee")</f>
        <v>Ribombee</v>
      </c>
      <c r="BP34" s="479" t="s">
        <v>213</v>
      </c>
      <c r="BQ34" s="486">
        <v>8.0</v>
      </c>
      <c r="BR34" s="49"/>
      <c r="BS34" s="353"/>
      <c r="BU34" s="525" t="s">
        <v>230</v>
      </c>
      <c r="BV34" s="525"/>
      <c r="BW34" s="49"/>
      <c r="BX34" s="368"/>
      <c r="BZ34" s="525" t="s">
        <v>230</v>
      </c>
      <c r="CA34" s="525"/>
      <c r="CB34" s="49"/>
      <c r="CC34" s="388" t="str">
        <f>IFERROR(__xludf.DUMMYFUNCTION("""COMPUTED_VALUE"""),"")</f>
        <v/>
      </c>
      <c r="CD34" s="488" t="str">
        <f>IFERROR(__xludf.DUMMYFUNCTION("""COMPUTED_VALUE"""),"Zangoose")</f>
        <v>Zangoose</v>
      </c>
      <c r="CE34" s="479" t="s">
        <v>216</v>
      </c>
      <c r="CF34" s="486">
        <v>5.0</v>
      </c>
      <c r="CG34" s="49"/>
      <c r="CH34" s="402" t="str">
        <f>IFERROR(__xludf.DUMMYFUNCTION("""COMPUTED_VALUE"""),"")</f>
        <v/>
      </c>
      <c r="CI34" s="439" t="str">
        <f>IFERROR(__xludf.DUMMYFUNCTION("""COMPUTED_VALUE"""),"Pyroar")</f>
        <v>Pyroar</v>
      </c>
      <c r="CJ34" s="426" t="s">
        <v>216</v>
      </c>
      <c r="CK34" s="486">
        <v>4.0</v>
      </c>
      <c r="CL34" s="49"/>
      <c r="CM34" s="402" t="str">
        <f>IFERROR(__xludf.DUMMYFUNCTION("""COMPUTED_VALUE"""),"")</f>
        <v/>
      </c>
      <c r="CN34" s="439" t="str">
        <f>IFERROR(__xludf.DUMMYFUNCTION("""COMPUTED_VALUE"""),"Gumshoos")</f>
        <v>Gumshoos</v>
      </c>
      <c r="CO34" s="426" t="s">
        <v>216</v>
      </c>
      <c r="CP34" s="486">
        <v>3.0</v>
      </c>
      <c r="CQ34" s="49"/>
      <c r="CR34" s="419" t="str">
        <f>IFERROR(__xludf.DUMMYFUNCTION("""COMPUTED_VALUE"""),"")</f>
        <v/>
      </c>
      <c r="CS34" s="487" t="str">
        <f>IFERROR(__xludf.DUMMYFUNCTION("""COMPUTED_VALUE"""),"Girafarig")</f>
        <v>Girafarig</v>
      </c>
      <c r="CT34" s="442" t="s">
        <v>216</v>
      </c>
      <c r="CU34" s="486">
        <v>2.0</v>
      </c>
      <c r="CV34" s="49"/>
      <c r="CW34" s="453"/>
      <c r="CX34" s="455"/>
      <c r="CY34" s="525"/>
      <c r="CZ34" s="525"/>
      <c r="DA34" s="49"/>
      <c r="DB34" s="457"/>
      <c r="DC34" s="475"/>
      <c r="DD34" s="525"/>
      <c r="DE34" s="525"/>
      <c r="DF34" s="49"/>
      <c r="DG34" s="458"/>
      <c r="DH34" s="459"/>
      <c r="DI34" s="525"/>
      <c r="DJ34" s="525"/>
      <c r="DK34" s="49"/>
      <c r="DL34" s="198"/>
      <c r="DM34" s="460"/>
      <c r="DN34" s="525"/>
      <c r="DO34" s="525"/>
      <c r="DP34" s="49"/>
      <c r="DQ34" s="461"/>
      <c r="DR34" s="462"/>
      <c r="DS34" s="426"/>
      <c r="DT34" s="456"/>
      <c r="DU34" s="49"/>
      <c r="DV34" s="463"/>
      <c r="DW34" s="464"/>
      <c r="DX34" s="426"/>
      <c r="DY34" s="456"/>
      <c r="DZ34" s="49"/>
      <c r="EA34" s="465"/>
      <c r="EB34" s="466"/>
      <c r="EC34" s="426"/>
      <c r="ED34" s="456"/>
      <c r="EE34" s="49"/>
      <c r="EF34" s="17"/>
    </row>
    <row r="35" ht="17.25" customHeight="1">
      <c r="A35" s="17"/>
      <c r="B35" s="49"/>
      <c r="C35" s="170"/>
      <c r="D35" s="171" t="s">
        <v>289</v>
      </c>
      <c r="E35" s="49"/>
      <c r="F35" s="200"/>
      <c r="G35" s="200"/>
      <c r="H35" s="200" t="s">
        <v>230</v>
      </c>
      <c r="I35" s="200"/>
      <c r="J35" s="200"/>
      <c r="K35" s="200"/>
      <c r="L35" s="476"/>
      <c r="M35" s="200" t="s">
        <v>230</v>
      </c>
      <c r="N35" s="200"/>
      <c r="O35" s="200"/>
      <c r="P35" s="200"/>
      <c r="Q35" s="476"/>
      <c r="R35" s="200" t="s">
        <v>230</v>
      </c>
      <c r="S35" s="200"/>
      <c r="T35" s="200"/>
      <c r="U35" s="200"/>
      <c r="V35" s="476"/>
      <c r="W35" s="200" t="s">
        <v>230</v>
      </c>
      <c r="X35" s="200"/>
      <c r="Y35" s="200"/>
      <c r="Z35" s="200"/>
      <c r="AA35" s="476"/>
      <c r="AB35" s="200" t="s">
        <v>230</v>
      </c>
      <c r="AC35" s="200"/>
      <c r="AD35" s="200"/>
      <c r="AE35" s="200"/>
      <c r="AF35" s="200"/>
      <c r="AG35" s="200" t="s">
        <v>230</v>
      </c>
      <c r="AH35" s="200"/>
      <c r="AI35" s="200"/>
      <c r="AJ35" s="200"/>
      <c r="AK35" s="476"/>
      <c r="AL35" s="200" t="s">
        <v>230</v>
      </c>
      <c r="AM35" s="200"/>
      <c r="AN35" s="200"/>
      <c r="AO35" s="200"/>
      <c r="AP35" s="476"/>
      <c r="AQ35" s="200" t="s">
        <v>230</v>
      </c>
      <c r="AR35" s="200"/>
      <c r="AS35" s="200"/>
      <c r="AT35" s="200"/>
      <c r="AU35" s="425"/>
      <c r="AV35" s="545" t="s">
        <v>230</v>
      </c>
      <c r="AW35" s="425"/>
      <c r="AX35" s="49"/>
      <c r="AY35" s="296"/>
      <c r="AZ35" s="541"/>
      <c r="BA35" s="554" t="s">
        <v>230</v>
      </c>
      <c r="BB35" s="541"/>
      <c r="BC35" s="49"/>
      <c r="BD35" s="327"/>
      <c r="BE35" s="556"/>
      <c r="BF35" s="557" t="s">
        <v>230</v>
      </c>
      <c r="BG35" s="556"/>
      <c r="BH35" s="49"/>
      <c r="BI35" s="346"/>
      <c r="BJ35" s="558"/>
      <c r="BK35" s="525" t="s">
        <v>230</v>
      </c>
      <c r="BL35" s="525"/>
      <c r="BM35" s="49"/>
      <c r="BN35" s="429" t="str">
        <f>IFERROR(__xludf.DUMMYFUNCTION("""COMPUTED_VALUE"""),"")</f>
        <v/>
      </c>
      <c r="BO35" s="354" t="str">
        <f>IFERROR(__xludf.DUMMYFUNCTION("""COMPUTED_VALUE"""),"Scrafty")</f>
        <v>Scrafty</v>
      </c>
      <c r="BP35" s="479" t="s">
        <v>216</v>
      </c>
      <c r="BQ35" s="486">
        <v>8.0</v>
      </c>
      <c r="BR35" s="49"/>
      <c r="BS35" s="353"/>
      <c r="BT35" s="472"/>
      <c r="BU35" s="525" t="s">
        <v>230</v>
      </c>
      <c r="BV35" s="525"/>
      <c r="BW35" s="49"/>
      <c r="BX35" s="368"/>
      <c r="BZ35" s="525" t="s">
        <v>230</v>
      </c>
      <c r="CA35" s="525"/>
      <c r="CB35" s="49"/>
      <c r="CC35" s="388"/>
      <c r="CD35" s="475"/>
      <c r="CE35" s="525" t="s">
        <v>230</v>
      </c>
      <c r="CF35" s="525"/>
      <c r="CG35" s="49"/>
      <c r="CH35" s="402" t="str">
        <f>IFERROR(__xludf.DUMMYFUNCTION("""COMPUTED_VALUE"""),"")</f>
        <v/>
      </c>
      <c r="CI35" s="570" t="str">
        <f>IFERROR(__xludf.DUMMYFUNCTION("""COMPUTED_VALUE"""),"Samurott")</f>
        <v>Samurott</v>
      </c>
      <c r="CJ35" s="426" t="s">
        <v>216</v>
      </c>
      <c r="CK35" s="486">
        <v>4.0</v>
      </c>
      <c r="CL35" s="49"/>
      <c r="CM35" s="402" t="str">
        <f>IFERROR(__xludf.DUMMYFUNCTION("""COMPUTED_VALUE"""),"")</f>
        <v/>
      </c>
      <c r="CN35" s="570" t="str">
        <f>IFERROR(__xludf.DUMMYFUNCTION("""COMPUTED_VALUE"""),"Hisuian Avalugg")</f>
        <v>Hisuian Avalugg</v>
      </c>
      <c r="CO35" s="426" t="s">
        <v>216</v>
      </c>
      <c r="CP35" s="486">
        <v>4.0</v>
      </c>
      <c r="CQ35" s="49"/>
      <c r="CR35" s="419" t="str">
        <f>IFERROR(__xludf.DUMMYFUNCTION("""COMPUTED_VALUE"""),"")</f>
        <v/>
      </c>
      <c r="CS35" s="571" t="str">
        <f>IFERROR(__xludf.DUMMYFUNCTION("""COMPUTED_VALUE"""),"Glalie")</f>
        <v>Glalie</v>
      </c>
      <c r="CT35" s="442" t="s">
        <v>216</v>
      </c>
      <c r="CU35" s="486">
        <v>2.0</v>
      </c>
      <c r="CV35" s="49"/>
      <c r="CW35" s="453"/>
      <c r="CX35" s="455"/>
      <c r="CY35" s="525"/>
      <c r="CZ35" s="525"/>
      <c r="DA35" s="49"/>
      <c r="DB35" s="457"/>
      <c r="DC35" s="475"/>
      <c r="DD35" s="525"/>
      <c r="DE35" s="525"/>
      <c r="DF35" s="49"/>
      <c r="DG35" s="458"/>
      <c r="DH35" s="459"/>
      <c r="DI35" s="525"/>
      <c r="DJ35" s="525"/>
      <c r="DK35" s="49"/>
      <c r="DL35" s="198"/>
      <c r="DM35" s="460"/>
      <c r="DN35" s="525"/>
      <c r="DO35" s="525"/>
      <c r="DP35" s="49"/>
      <c r="DQ35" s="461"/>
      <c r="DR35" s="462"/>
      <c r="DS35" s="426"/>
      <c r="DT35" s="456"/>
      <c r="DU35" s="49"/>
      <c r="DV35" s="463"/>
      <c r="DW35" s="464"/>
      <c r="DX35" s="426"/>
      <c r="DY35" s="456"/>
      <c r="DZ35" s="49"/>
      <c r="EA35" s="465"/>
      <c r="EB35" s="466"/>
      <c r="EC35" s="426"/>
      <c r="ED35" s="456"/>
      <c r="EE35" s="49"/>
      <c r="EF35" s="17"/>
    </row>
    <row r="36" ht="17.25" customHeight="1">
      <c r="A36" s="17"/>
      <c r="B36" s="49"/>
      <c r="C36" s="170"/>
      <c r="D36" s="171" t="s">
        <v>292</v>
      </c>
      <c r="E36" s="49"/>
      <c r="F36" s="200"/>
      <c r="G36" s="200"/>
      <c r="H36" s="200" t="s">
        <v>230</v>
      </c>
      <c r="I36" s="200"/>
      <c r="J36" s="200"/>
      <c r="K36" s="200"/>
      <c r="L36" s="476"/>
      <c r="M36" s="200" t="s">
        <v>230</v>
      </c>
      <c r="N36" s="200"/>
      <c r="O36" s="200"/>
      <c r="P36" s="200"/>
      <c r="Q36" s="476"/>
      <c r="R36" s="200" t="s">
        <v>230</v>
      </c>
      <c r="S36" s="200"/>
      <c r="T36" s="200"/>
      <c r="U36" s="200"/>
      <c r="V36" s="476"/>
      <c r="W36" s="200" t="s">
        <v>230</v>
      </c>
      <c r="X36" s="200"/>
      <c r="Y36" s="200"/>
      <c r="Z36" s="200"/>
      <c r="AA36" s="476"/>
      <c r="AB36" s="200" t="s">
        <v>230</v>
      </c>
      <c r="AC36" s="200"/>
      <c r="AD36" s="200"/>
      <c r="AE36" s="200"/>
      <c r="AF36" s="200"/>
      <c r="AG36" s="200" t="s">
        <v>230</v>
      </c>
      <c r="AH36" s="200"/>
      <c r="AI36" s="200"/>
      <c r="AJ36" s="200"/>
      <c r="AK36" s="476"/>
      <c r="AL36" s="200" t="s">
        <v>230</v>
      </c>
      <c r="AM36" s="200"/>
      <c r="AN36" s="200"/>
      <c r="AO36" s="200"/>
      <c r="AP36" s="476"/>
      <c r="AQ36" s="200" t="s">
        <v>230</v>
      </c>
      <c r="AR36" s="200"/>
      <c r="AS36" s="200"/>
      <c r="AT36" s="200"/>
      <c r="AU36" s="425"/>
      <c r="AV36" s="545" t="s">
        <v>230</v>
      </c>
      <c r="AW36" s="425"/>
      <c r="AX36" s="49"/>
      <c r="AY36" s="296"/>
      <c r="AZ36" s="541"/>
      <c r="BA36" s="554" t="s">
        <v>230</v>
      </c>
      <c r="BB36" s="541"/>
      <c r="BC36" s="49"/>
      <c r="BD36" s="327"/>
      <c r="BE36" s="556"/>
      <c r="BF36" s="557" t="s">
        <v>230</v>
      </c>
      <c r="BG36" s="556"/>
      <c r="BH36" s="49"/>
      <c r="BI36" s="346"/>
      <c r="BJ36" s="558"/>
      <c r="BK36" s="525" t="s">
        <v>230</v>
      </c>
      <c r="BL36" s="525"/>
      <c r="BM36" s="49"/>
      <c r="BN36" s="429" t="str">
        <f>IFERROR(__xludf.DUMMYFUNCTION("""COMPUTED_VALUE"""),"")</f>
        <v/>
      </c>
      <c r="BO36" s="354" t="str">
        <f>IFERROR(__xludf.DUMMYFUNCTION("""COMPUTED_VALUE"""),"Sinistcha")</f>
        <v>Sinistcha</v>
      </c>
      <c r="BP36" s="479" t="s">
        <v>213</v>
      </c>
      <c r="BQ36" s="486">
        <v>8.0</v>
      </c>
      <c r="BR36" s="49"/>
      <c r="BS36" s="353"/>
      <c r="BT36" s="472"/>
      <c r="BU36" s="525" t="s">
        <v>230</v>
      </c>
      <c r="BV36" s="525"/>
      <c r="BW36" s="49"/>
      <c r="BX36" s="368"/>
      <c r="BZ36" s="525" t="s">
        <v>230</v>
      </c>
      <c r="CA36" s="525"/>
      <c r="CB36" s="49"/>
      <c r="CC36" s="388"/>
      <c r="CD36" s="574"/>
      <c r="CE36" s="525" t="s">
        <v>230</v>
      </c>
      <c r="CF36" s="525"/>
      <c r="CG36" s="49"/>
      <c r="CH36" s="402" t="str">
        <f>IFERROR(__xludf.DUMMYFUNCTION("""COMPUTED_VALUE"""),"")</f>
        <v/>
      </c>
      <c r="CI36" s="439" t="str">
        <f>IFERROR(__xludf.DUMMYFUNCTION("""COMPUTED_VALUE"""),"Sandaconda")</f>
        <v>Sandaconda</v>
      </c>
      <c r="CJ36" s="426" t="s">
        <v>216</v>
      </c>
      <c r="CK36" s="456">
        <v>4.0</v>
      </c>
      <c r="CL36" s="49"/>
      <c r="CM36" s="402" t="str">
        <f>IFERROR(__xludf.DUMMYFUNCTION("""COMPUTED_VALUE"""),"")</f>
        <v/>
      </c>
      <c r="CN36" s="439" t="str">
        <f>IFERROR(__xludf.DUMMYFUNCTION("""COMPUTED_VALUE"""),"Houndoom")</f>
        <v>Houndoom</v>
      </c>
      <c r="CO36" s="426" t="s">
        <v>216</v>
      </c>
      <c r="CP36" s="486">
        <v>3.0</v>
      </c>
      <c r="CQ36" s="49"/>
      <c r="CR36" s="419" t="str">
        <f>IFERROR(__xludf.DUMMYFUNCTION("""COMPUTED_VALUE"""),"")</f>
        <v/>
      </c>
      <c r="CS36" s="487" t="str">
        <f>IFERROR(__xludf.DUMMYFUNCTION("""COMPUTED_VALUE"""),"Glimmet")</f>
        <v>Glimmet</v>
      </c>
      <c r="CT36" s="575" t="s">
        <v>216</v>
      </c>
      <c r="CU36" s="486">
        <v>1.0</v>
      </c>
      <c r="CV36" s="49"/>
      <c r="CW36" s="453"/>
      <c r="CX36" s="455"/>
      <c r="CY36" s="525"/>
      <c r="CZ36" s="525"/>
      <c r="DA36" s="49"/>
      <c r="DB36" s="457"/>
      <c r="DC36" s="475"/>
      <c r="DD36" s="525"/>
      <c r="DE36" s="525"/>
      <c r="DF36" s="444"/>
      <c r="DG36" s="458"/>
      <c r="DH36" s="459"/>
      <c r="DI36" s="525"/>
      <c r="DJ36" s="525"/>
      <c r="DK36" s="49"/>
      <c r="DL36" s="198"/>
      <c r="DM36" s="460"/>
      <c r="DN36" s="525"/>
      <c r="DO36" s="525"/>
      <c r="DP36" s="49"/>
      <c r="DQ36" s="461"/>
      <c r="DR36" s="462"/>
      <c r="DS36" s="479"/>
      <c r="DT36" s="486"/>
      <c r="DU36" s="49"/>
      <c r="DV36" s="463"/>
      <c r="DW36" s="464"/>
      <c r="DX36" s="426"/>
      <c r="DY36" s="456"/>
      <c r="DZ36" s="49"/>
      <c r="EA36" s="465"/>
      <c r="EB36" s="466"/>
      <c r="EC36" s="426"/>
      <c r="ED36" s="456"/>
      <c r="EE36" s="576"/>
      <c r="EF36" s="577"/>
    </row>
    <row r="37" ht="17.25" customHeight="1">
      <c r="A37" s="17"/>
      <c r="B37" s="49"/>
      <c r="C37" s="170"/>
      <c r="D37" s="171" t="s">
        <v>299</v>
      </c>
      <c r="E37" s="49"/>
      <c r="F37" s="200"/>
      <c r="G37" s="200"/>
      <c r="H37" s="200" t="s">
        <v>230</v>
      </c>
      <c r="I37" s="200"/>
      <c r="J37" s="200"/>
      <c r="K37" s="200"/>
      <c r="L37" s="476"/>
      <c r="M37" s="200" t="s">
        <v>230</v>
      </c>
      <c r="N37" s="200"/>
      <c r="O37" s="200"/>
      <c r="P37" s="200"/>
      <c r="Q37" s="476"/>
      <c r="R37" s="200" t="s">
        <v>230</v>
      </c>
      <c r="S37" s="200"/>
      <c r="T37" s="200"/>
      <c r="U37" s="200"/>
      <c r="V37" s="476"/>
      <c r="W37" s="200" t="s">
        <v>230</v>
      </c>
      <c r="X37" s="200"/>
      <c r="Y37" s="200"/>
      <c r="Z37" s="200"/>
      <c r="AA37" s="476"/>
      <c r="AB37" s="200" t="s">
        <v>230</v>
      </c>
      <c r="AC37" s="200"/>
      <c r="AD37" s="200"/>
      <c r="AE37" s="200"/>
      <c r="AF37" s="200"/>
      <c r="AG37" s="200" t="s">
        <v>230</v>
      </c>
      <c r="AH37" s="200"/>
      <c r="AI37" s="200"/>
      <c r="AJ37" s="200"/>
      <c r="AK37" s="476"/>
      <c r="AL37" s="200" t="s">
        <v>230</v>
      </c>
      <c r="AM37" s="200"/>
      <c r="AN37" s="200"/>
      <c r="AO37" s="200"/>
      <c r="AP37" s="476"/>
      <c r="AQ37" s="200" t="s">
        <v>230</v>
      </c>
      <c r="AR37" s="200"/>
      <c r="AS37" s="200"/>
      <c r="AT37" s="200"/>
      <c r="AU37" s="425"/>
      <c r="AV37" s="545" t="s">
        <v>230</v>
      </c>
      <c r="AW37" s="425"/>
      <c r="AX37" s="49"/>
      <c r="AY37" s="296"/>
      <c r="AZ37" s="541"/>
      <c r="BA37" s="554" t="s">
        <v>230</v>
      </c>
      <c r="BB37" s="541"/>
      <c r="BC37" s="49"/>
      <c r="BD37" s="327"/>
      <c r="BE37" s="556"/>
      <c r="BF37" s="557" t="s">
        <v>230</v>
      </c>
      <c r="BG37" s="556"/>
      <c r="BH37" s="49"/>
      <c r="BI37" s="346"/>
      <c r="BJ37" s="558"/>
      <c r="BK37" s="525" t="s">
        <v>230</v>
      </c>
      <c r="BL37" s="525"/>
      <c r="BM37" s="49"/>
      <c r="BN37" s="429" t="str">
        <f>IFERROR(__xludf.DUMMYFUNCTION("""COMPUTED_VALUE"""),"")</f>
        <v/>
      </c>
      <c r="BO37" s="354" t="str">
        <f>IFERROR(__xludf.DUMMYFUNCTION("""COMPUTED_VALUE"""),"Toedscruel")</f>
        <v>Toedscruel</v>
      </c>
      <c r="BP37" s="479" t="s">
        <v>216</v>
      </c>
      <c r="BQ37" s="486">
        <v>8.0</v>
      </c>
      <c r="BR37" s="49"/>
      <c r="BS37" s="353"/>
      <c r="BT37" s="472"/>
      <c r="BU37" s="525" t="s">
        <v>230</v>
      </c>
      <c r="BV37" s="525"/>
      <c r="BW37" s="49"/>
      <c r="BX37" s="368"/>
      <c r="BY37" s="578"/>
      <c r="BZ37" s="525" t="s">
        <v>230</v>
      </c>
      <c r="CA37" s="525"/>
      <c r="CB37" s="49"/>
      <c r="CC37" s="388"/>
      <c r="CD37" s="439"/>
      <c r="CE37" s="525" t="s">
        <v>230</v>
      </c>
      <c r="CF37" s="525"/>
      <c r="CG37" s="49"/>
      <c r="CH37" s="402" t="str">
        <f>IFERROR(__xludf.DUMMYFUNCTION("""COMPUTED_VALUE"""),"")</f>
        <v/>
      </c>
      <c r="CI37" s="439" t="str">
        <f>IFERROR(__xludf.DUMMYFUNCTION("""COMPUTED_VALUE"""),"Swalot")</f>
        <v>Swalot</v>
      </c>
      <c r="CJ37" s="426" t="s">
        <v>216</v>
      </c>
      <c r="CK37" s="456">
        <v>4.0</v>
      </c>
      <c r="CL37" s="49"/>
      <c r="CM37" s="402" t="str">
        <f>IFERROR(__xludf.DUMMYFUNCTION("""COMPUTED_VALUE"""),"")</f>
        <v/>
      </c>
      <c r="CN37" s="439" t="str">
        <f>IFERROR(__xludf.DUMMYFUNCTION("""COMPUTED_VALUE"""),"Illumise")</f>
        <v>Illumise</v>
      </c>
      <c r="CO37" s="426" t="s">
        <v>216</v>
      </c>
      <c r="CP37" s="486">
        <v>3.0</v>
      </c>
      <c r="CQ37" s="49"/>
      <c r="CR37" s="419" t="str">
        <f>IFERROR(__xludf.DUMMYFUNCTION("""COMPUTED_VALUE"""),"")</f>
        <v/>
      </c>
      <c r="CS37" s="487" t="str">
        <f>IFERROR(__xludf.DUMMYFUNCTION("""COMPUTED_VALUE"""),"Grumpig")</f>
        <v>Grumpig</v>
      </c>
      <c r="CT37" s="575" t="s">
        <v>216</v>
      </c>
      <c r="CU37" s="486">
        <v>2.0</v>
      </c>
      <c r="CV37" s="49"/>
      <c r="CW37" s="453"/>
      <c r="CX37" s="455"/>
      <c r="CY37" s="525"/>
      <c r="CZ37" s="525"/>
      <c r="DA37" s="49"/>
      <c r="DB37" s="457"/>
      <c r="DC37" s="475"/>
      <c r="DD37" s="525"/>
      <c r="DE37" s="525"/>
      <c r="DF37" s="49"/>
      <c r="DG37" s="458"/>
      <c r="DH37" s="459"/>
      <c r="DI37" s="525"/>
      <c r="DJ37" s="525"/>
      <c r="DK37" s="49"/>
      <c r="DL37" s="198"/>
      <c r="DM37" s="460"/>
      <c r="DN37" s="525"/>
      <c r="DO37" s="525"/>
      <c r="DP37" s="49"/>
      <c r="DQ37" s="461"/>
      <c r="DR37" s="462"/>
      <c r="DS37" s="525"/>
      <c r="DT37" s="525"/>
      <c r="DU37" s="49"/>
      <c r="DV37" s="463"/>
      <c r="DW37" s="464"/>
      <c r="DX37" s="426"/>
      <c r="DY37" s="456"/>
      <c r="DZ37" s="49"/>
      <c r="EA37" s="465"/>
      <c r="EB37" s="466"/>
      <c r="EC37" s="426"/>
      <c r="ED37" s="456"/>
      <c r="EE37" s="576"/>
      <c r="EF37" s="577"/>
    </row>
    <row r="38" ht="17.25" customHeight="1">
      <c r="A38" s="443"/>
      <c r="B38" s="444"/>
      <c r="C38" s="170"/>
      <c r="D38" s="579" t="s">
        <v>268</v>
      </c>
      <c r="E38" s="49"/>
      <c r="F38" s="200"/>
      <c r="G38" s="200"/>
      <c r="H38" s="200" t="s">
        <v>230</v>
      </c>
      <c r="I38" s="200"/>
      <c r="J38" s="200"/>
      <c r="K38" s="200"/>
      <c r="L38" s="476"/>
      <c r="M38" s="200" t="s">
        <v>230</v>
      </c>
      <c r="N38" s="200"/>
      <c r="O38" s="200"/>
      <c r="P38" s="200"/>
      <c r="Q38" s="476"/>
      <c r="R38" s="200" t="s">
        <v>230</v>
      </c>
      <c r="S38" s="200"/>
      <c r="T38" s="200"/>
      <c r="U38" s="200"/>
      <c r="V38" s="476"/>
      <c r="W38" s="200" t="s">
        <v>230</v>
      </c>
      <c r="X38" s="200"/>
      <c r="Y38" s="200"/>
      <c r="Z38" s="200"/>
      <c r="AA38" s="476"/>
      <c r="AB38" s="200" t="s">
        <v>230</v>
      </c>
      <c r="AC38" s="200"/>
      <c r="AD38" s="200"/>
      <c r="AE38" s="200"/>
      <c r="AF38" s="200"/>
      <c r="AG38" s="200" t="s">
        <v>230</v>
      </c>
      <c r="AH38" s="200"/>
      <c r="AI38" s="200"/>
      <c r="AJ38" s="200"/>
      <c r="AK38" s="476"/>
      <c r="AL38" s="200" t="s">
        <v>230</v>
      </c>
      <c r="AM38" s="200"/>
      <c r="AN38" s="200"/>
      <c r="AO38" s="200"/>
      <c r="AP38" s="476"/>
      <c r="AQ38" s="200" t="s">
        <v>230</v>
      </c>
      <c r="AR38" s="200"/>
      <c r="AS38" s="200"/>
      <c r="AT38" s="200"/>
      <c r="AU38" s="425"/>
      <c r="AV38" s="545" t="s">
        <v>230</v>
      </c>
      <c r="AW38" s="425"/>
      <c r="AX38" s="49"/>
      <c r="AY38" s="296"/>
      <c r="AZ38" s="541"/>
      <c r="BA38" s="554" t="s">
        <v>230</v>
      </c>
      <c r="BB38" s="541"/>
      <c r="BC38" s="49"/>
      <c r="BD38" s="327"/>
      <c r="BE38" s="556"/>
      <c r="BF38" s="557" t="s">
        <v>230</v>
      </c>
      <c r="BG38" s="556"/>
      <c r="BH38" s="49"/>
      <c r="BI38" s="346"/>
      <c r="BJ38" s="535"/>
      <c r="BK38" s="525" t="s">
        <v>230</v>
      </c>
      <c r="BL38" s="535"/>
      <c r="BM38" s="49"/>
      <c r="BN38" s="429" t="str">
        <f>IFERROR(__xludf.DUMMYFUNCTION("""COMPUTED_VALUE"""),"")</f>
        <v/>
      </c>
      <c r="BO38" s="354" t="str">
        <f>IFERROR(__xludf.DUMMYFUNCTION("""COMPUTED_VALUE"""),"Umbreon")</f>
        <v>Umbreon</v>
      </c>
      <c r="BP38" s="479" t="s">
        <v>216</v>
      </c>
      <c r="BQ38" s="486">
        <v>8.0</v>
      </c>
      <c r="BR38" s="49"/>
      <c r="BS38" s="353"/>
      <c r="BT38" s="535"/>
      <c r="BU38" s="525" t="s">
        <v>230</v>
      </c>
      <c r="BV38" s="535"/>
      <c r="BW38" s="49"/>
      <c r="BX38" s="368"/>
      <c r="BY38" s="578"/>
      <c r="BZ38" s="525" t="s">
        <v>230</v>
      </c>
      <c r="CA38" s="525"/>
      <c r="CB38" s="49"/>
      <c r="CC38" s="388"/>
      <c r="CD38" s="488"/>
      <c r="CE38" s="525" t="s">
        <v>230</v>
      </c>
      <c r="CF38" s="525"/>
      <c r="CG38" s="49"/>
      <c r="CH38" s="402" t="str">
        <f>IFERROR(__xludf.DUMMYFUNCTION("""COMPUTED_VALUE"""),"")</f>
        <v/>
      </c>
      <c r="CI38" s="439" t="str">
        <f>IFERROR(__xludf.DUMMYFUNCTION("""COMPUTED_VALUE"""),"Thwackey")</f>
        <v>Thwackey</v>
      </c>
      <c r="CJ38" s="426" t="s">
        <v>216</v>
      </c>
      <c r="CK38" s="456">
        <v>4.0</v>
      </c>
      <c r="CL38" s="49"/>
      <c r="CM38" s="402" t="str">
        <f>IFERROR(__xludf.DUMMYFUNCTION("""COMPUTED_VALUE"""),"")</f>
        <v/>
      </c>
      <c r="CN38" s="439" t="str">
        <f>IFERROR(__xludf.DUMMYFUNCTION("""COMPUTED_VALUE"""),"Klawf")</f>
        <v>Klawf</v>
      </c>
      <c r="CO38" s="426" t="s">
        <v>216</v>
      </c>
      <c r="CP38" s="486">
        <v>3.0</v>
      </c>
      <c r="CQ38" s="49"/>
      <c r="CR38" s="419" t="str">
        <f>IFERROR(__xludf.DUMMYFUNCTION("""COMPUTED_VALUE"""),"")</f>
        <v/>
      </c>
      <c r="CS38" s="487" t="str">
        <f>IFERROR(__xludf.DUMMYFUNCTION("""COMPUTED_VALUE"""),"Hakamo-o")</f>
        <v>Hakamo-o</v>
      </c>
      <c r="CT38" s="575" t="s">
        <v>216</v>
      </c>
      <c r="CU38" s="486">
        <v>2.0</v>
      </c>
      <c r="CV38" s="49"/>
      <c r="CW38" s="453"/>
      <c r="CX38" s="455"/>
      <c r="CY38" s="525"/>
      <c r="CZ38" s="525"/>
      <c r="DA38" s="49"/>
      <c r="DB38" s="457"/>
      <c r="DC38" s="475"/>
      <c r="DD38" s="525"/>
      <c r="DE38" s="525"/>
      <c r="DF38" s="49"/>
      <c r="DG38" s="458"/>
      <c r="DH38" s="459"/>
      <c r="DI38" s="525"/>
      <c r="DJ38" s="525"/>
      <c r="DK38" s="49"/>
      <c r="DL38" s="198"/>
      <c r="DM38" s="460"/>
      <c r="DN38" s="525"/>
      <c r="DO38" s="525"/>
      <c r="DP38" s="49"/>
      <c r="DQ38" s="461"/>
      <c r="DR38" s="462"/>
      <c r="DS38" s="525"/>
      <c r="DT38" s="525"/>
      <c r="DU38" s="49"/>
      <c r="DV38" s="463"/>
      <c r="DW38" s="464"/>
      <c r="DX38" s="426"/>
      <c r="DY38" s="456"/>
      <c r="DZ38" s="49"/>
      <c r="EA38" s="465"/>
      <c r="EB38" s="466"/>
      <c r="EC38" s="426"/>
      <c r="ED38" s="456"/>
      <c r="EE38" s="576"/>
      <c r="EF38" s="577"/>
    </row>
    <row r="39" ht="17.25" customHeight="1">
      <c r="A39" s="443"/>
      <c r="B39" s="444"/>
      <c r="E39" s="49"/>
      <c r="F39" s="200"/>
      <c r="G39" s="200"/>
      <c r="H39" s="200" t="s">
        <v>230</v>
      </c>
      <c r="I39" s="200"/>
      <c r="J39" s="200"/>
      <c r="K39" s="200"/>
      <c r="L39" s="476"/>
      <c r="M39" s="200" t="s">
        <v>230</v>
      </c>
      <c r="N39" s="200"/>
      <c r="O39" s="200"/>
      <c r="P39" s="200"/>
      <c r="Q39" s="476"/>
      <c r="R39" s="200" t="s">
        <v>230</v>
      </c>
      <c r="S39" s="200"/>
      <c r="T39" s="200"/>
      <c r="U39" s="200"/>
      <c r="V39" s="476"/>
      <c r="W39" s="200" t="s">
        <v>230</v>
      </c>
      <c r="X39" s="200"/>
      <c r="Y39" s="200"/>
      <c r="Z39" s="200"/>
      <c r="AA39" s="476"/>
      <c r="AB39" s="200" t="s">
        <v>230</v>
      </c>
      <c r="AC39" s="200"/>
      <c r="AD39" s="200"/>
      <c r="AE39" s="200"/>
      <c r="AF39" s="200"/>
      <c r="AG39" s="200" t="s">
        <v>230</v>
      </c>
      <c r="AH39" s="200"/>
      <c r="AI39" s="200"/>
      <c r="AJ39" s="200"/>
      <c r="AK39" s="476"/>
      <c r="AL39" s="200" t="s">
        <v>230</v>
      </c>
      <c r="AM39" s="200"/>
      <c r="AN39" s="200"/>
      <c r="AO39" s="200"/>
      <c r="AP39" s="476"/>
      <c r="AQ39" s="200" t="s">
        <v>230</v>
      </c>
      <c r="AR39" s="200"/>
      <c r="AS39" s="200"/>
      <c r="AT39" s="200"/>
      <c r="AU39" s="425"/>
      <c r="AV39" s="545" t="s">
        <v>230</v>
      </c>
      <c r="AW39" s="425"/>
      <c r="AX39" s="49"/>
      <c r="AY39" s="296"/>
      <c r="AZ39" s="541"/>
      <c r="BA39" s="554" t="s">
        <v>230</v>
      </c>
      <c r="BB39" s="541"/>
      <c r="BC39" s="49"/>
      <c r="BD39" s="327"/>
      <c r="BE39" s="556"/>
      <c r="BF39" s="557" t="s">
        <v>230</v>
      </c>
      <c r="BG39" s="556"/>
      <c r="BH39" s="49"/>
      <c r="BI39" s="346"/>
      <c r="BJ39" s="582"/>
      <c r="BK39" s="525" t="s">
        <v>230</v>
      </c>
      <c r="BL39" s="535"/>
      <c r="BM39" s="49"/>
      <c r="BN39" s="429" t="str">
        <f>IFERROR(__xludf.DUMMYFUNCTION("""COMPUTED_VALUE"""),"")</f>
        <v/>
      </c>
      <c r="BO39" s="354" t="str">
        <f>IFERROR(__xludf.DUMMYFUNCTION("""COMPUTED_VALUE"""),"Vaporeon")</f>
        <v>Vaporeon</v>
      </c>
      <c r="BP39" s="479" t="s">
        <v>216</v>
      </c>
      <c r="BQ39" s="486">
        <v>8.0</v>
      </c>
      <c r="BR39" s="49"/>
      <c r="BS39" s="353"/>
      <c r="BT39" s="583"/>
      <c r="BU39" s="525" t="s">
        <v>230</v>
      </c>
      <c r="BV39" s="535"/>
      <c r="BW39" s="49"/>
      <c r="BX39" s="368"/>
      <c r="BY39" s="578"/>
      <c r="BZ39" s="525" t="s">
        <v>230</v>
      </c>
      <c r="CA39" s="525"/>
      <c r="CB39" s="49"/>
      <c r="CC39" s="388"/>
      <c r="CD39" s="488"/>
      <c r="CE39" s="525" t="s">
        <v>230</v>
      </c>
      <c r="CF39" s="525"/>
      <c r="CG39" s="49"/>
      <c r="CH39" s="402" t="str">
        <f>IFERROR(__xludf.DUMMYFUNCTION("""COMPUTED_VALUE"""),"")</f>
        <v/>
      </c>
      <c r="CI39" s="439" t="str">
        <f>IFERROR(__xludf.DUMMYFUNCTION("""COMPUTED_VALUE"""),"Victreebel")</f>
        <v>Victreebel</v>
      </c>
      <c r="CJ39" s="426" t="s">
        <v>216</v>
      </c>
      <c r="CK39" s="456">
        <v>4.0</v>
      </c>
      <c r="CL39" s="49"/>
      <c r="CM39" s="402" t="str">
        <f>IFERROR(__xludf.DUMMYFUNCTION("""COMPUTED_VALUE"""),"")</f>
        <v/>
      </c>
      <c r="CN39" s="439" t="str">
        <f>IFERROR(__xludf.DUMMYFUNCTION("""COMPUTED_VALUE"""),"Komala")</f>
        <v>Komala</v>
      </c>
      <c r="CO39" s="426" t="s">
        <v>216</v>
      </c>
      <c r="CP39" s="486">
        <v>3.0</v>
      </c>
      <c r="CQ39" s="49"/>
      <c r="CR39" s="419" t="str">
        <f>IFERROR(__xludf.DUMMYFUNCTION("""COMPUTED_VALUE"""),"")</f>
        <v/>
      </c>
      <c r="CS39" s="487" t="str">
        <f>IFERROR(__xludf.DUMMYFUNCTION("""COMPUTED_VALUE"""),"Hattrem")</f>
        <v>Hattrem</v>
      </c>
      <c r="CT39" s="575" t="s">
        <v>216</v>
      </c>
      <c r="CU39" s="486">
        <v>1.0</v>
      </c>
      <c r="CV39" s="49"/>
      <c r="CW39" s="453"/>
      <c r="CX39" s="455"/>
      <c r="CY39" s="525"/>
      <c r="CZ39" s="525"/>
      <c r="DA39" s="49"/>
      <c r="DB39" s="457"/>
      <c r="DC39" s="475"/>
      <c r="DD39" s="525"/>
      <c r="DE39" s="525"/>
      <c r="DF39" s="49"/>
      <c r="DG39" s="458"/>
      <c r="DH39" s="459"/>
      <c r="DI39" s="525"/>
      <c r="DJ39" s="525"/>
      <c r="DK39" s="49"/>
      <c r="DL39" s="198"/>
      <c r="DM39" s="460"/>
      <c r="DN39" s="525"/>
      <c r="DO39" s="525"/>
      <c r="DP39" s="49"/>
      <c r="DQ39" s="461"/>
      <c r="DR39" s="462"/>
      <c r="DS39" s="525"/>
      <c r="DT39" s="525"/>
      <c r="DU39" s="49"/>
      <c r="DV39" s="463"/>
      <c r="DW39" s="464"/>
      <c r="DX39" s="426"/>
      <c r="DY39" s="456"/>
      <c r="DZ39" s="49"/>
      <c r="EA39" s="465"/>
      <c r="EB39" s="466"/>
      <c r="EC39" s="426"/>
      <c r="ED39" s="456"/>
      <c r="EE39" s="576"/>
      <c r="EF39" s="577"/>
    </row>
    <row r="40" ht="17.25" customHeight="1">
      <c r="A40" s="16"/>
      <c r="B40" s="47"/>
      <c r="C40" s="170"/>
      <c r="D40" s="171"/>
      <c r="E40" s="49"/>
      <c r="F40" s="200"/>
      <c r="G40" s="200"/>
      <c r="H40" s="200" t="s">
        <v>230</v>
      </c>
      <c r="I40" s="200"/>
      <c r="J40" s="200"/>
      <c r="K40" s="200"/>
      <c r="L40" s="476"/>
      <c r="M40" s="200" t="s">
        <v>230</v>
      </c>
      <c r="N40" s="200"/>
      <c r="O40" s="200"/>
      <c r="P40" s="200"/>
      <c r="Q40" s="476"/>
      <c r="R40" s="200" t="s">
        <v>230</v>
      </c>
      <c r="S40" s="200"/>
      <c r="T40" s="200"/>
      <c r="U40" s="200"/>
      <c r="V40" s="476"/>
      <c r="W40" s="200" t="s">
        <v>230</v>
      </c>
      <c r="X40" s="200"/>
      <c r="Y40" s="200"/>
      <c r="Z40" s="200"/>
      <c r="AA40" s="476"/>
      <c r="AB40" s="200" t="s">
        <v>230</v>
      </c>
      <c r="AC40" s="200"/>
      <c r="AD40" s="200"/>
      <c r="AE40" s="200"/>
      <c r="AF40" s="200"/>
      <c r="AG40" s="200" t="s">
        <v>230</v>
      </c>
      <c r="AH40" s="200"/>
      <c r="AI40" s="200"/>
      <c r="AJ40" s="200"/>
      <c r="AK40" s="476"/>
      <c r="AL40" s="200" t="s">
        <v>230</v>
      </c>
      <c r="AM40" s="200"/>
      <c r="AN40" s="200"/>
      <c r="AO40" s="200"/>
      <c r="AP40" s="476"/>
      <c r="AQ40" s="200" t="s">
        <v>230</v>
      </c>
      <c r="AR40" s="200"/>
      <c r="AS40" s="200"/>
      <c r="AT40" s="200"/>
      <c r="AU40" s="425"/>
      <c r="AV40" s="545" t="s">
        <v>230</v>
      </c>
      <c r="AW40" s="425"/>
      <c r="AX40" s="49"/>
      <c r="AY40" s="296"/>
      <c r="AZ40" s="541"/>
      <c r="BA40" s="554" t="s">
        <v>230</v>
      </c>
      <c r="BB40" s="541"/>
      <c r="BC40" s="49"/>
      <c r="BD40" s="327"/>
      <c r="BE40" s="556"/>
      <c r="BF40" s="557" t="s">
        <v>230</v>
      </c>
      <c r="BG40" s="556"/>
      <c r="BH40" s="49"/>
      <c r="BI40" s="346"/>
      <c r="BJ40" s="535"/>
      <c r="BK40" s="525" t="s">
        <v>230</v>
      </c>
      <c r="BL40" s="535"/>
      <c r="BM40" s="49"/>
      <c r="BN40" s="429" t="str">
        <f>IFERROR(__xludf.DUMMYFUNCTION("""COMPUTED_VALUE"""),"")</f>
        <v/>
      </c>
      <c r="BO40" s="354" t="str">
        <f>IFERROR(__xludf.DUMMYFUNCTION("""COMPUTED_VALUE"""),"Venusaur")</f>
        <v>Venusaur</v>
      </c>
      <c r="BP40" s="479" t="s">
        <v>213</v>
      </c>
      <c r="BQ40" s="486">
        <v>9.0</v>
      </c>
      <c r="BR40" s="49"/>
      <c r="BS40" s="353"/>
      <c r="BT40" s="535"/>
      <c r="BU40" s="525" t="s">
        <v>230</v>
      </c>
      <c r="BV40" s="535"/>
      <c r="BW40" s="49"/>
      <c r="BX40" s="368"/>
      <c r="BY40" s="578"/>
      <c r="BZ40" s="426" t="s">
        <v>230</v>
      </c>
      <c r="CA40" s="456"/>
      <c r="CB40" s="49"/>
      <c r="CC40" s="388"/>
      <c r="CD40" s="488"/>
      <c r="CE40" s="525" t="s">
        <v>230</v>
      </c>
      <c r="CF40" s="525"/>
      <c r="CG40" s="49"/>
      <c r="CH40" s="402" t="str">
        <f>IFERROR(__xludf.DUMMYFUNCTION("""COMPUTED_VALUE"""),"")</f>
        <v/>
      </c>
      <c r="CI40" s="439" t="str">
        <f>IFERROR(__xludf.DUMMYFUNCTION("""COMPUTED_VALUE"""),"Wyrdeer")</f>
        <v>Wyrdeer</v>
      </c>
      <c r="CJ40" s="426" t="s">
        <v>216</v>
      </c>
      <c r="CK40" s="456">
        <v>4.0</v>
      </c>
      <c r="CL40" s="49"/>
      <c r="CM40" s="402" t="str">
        <f>IFERROR(__xludf.DUMMYFUNCTION("""COMPUTED_VALUE"""),"")</f>
        <v/>
      </c>
      <c r="CN40" s="439" t="str">
        <f>IFERROR(__xludf.DUMMYFUNCTION("""COMPUTED_VALUE"""),"Leavanny")</f>
        <v>Leavanny</v>
      </c>
      <c r="CO40" s="426" t="s">
        <v>216</v>
      </c>
      <c r="CP40" s="486">
        <v>3.0</v>
      </c>
      <c r="CQ40" s="49"/>
      <c r="CR40" s="419" t="str">
        <f>IFERROR(__xludf.DUMMYFUNCTION("""COMPUTED_VALUE"""),"")</f>
        <v/>
      </c>
      <c r="CS40" s="487" t="str">
        <f>IFERROR(__xludf.DUMMYFUNCTION("""COMPUTED_VALUE"""),"Haunter")</f>
        <v>Haunter</v>
      </c>
      <c r="CT40" s="575" t="s">
        <v>216</v>
      </c>
      <c r="CU40" s="486">
        <v>2.0</v>
      </c>
      <c r="CV40" s="49"/>
      <c r="CW40" s="453"/>
      <c r="CX40" s="455"/>
      <c r="CY40" s="525"/>
      <c r="CZ40" s="525"/>
      <c r="DA40" s="49"/>
      <c r="DB40" s="457"/>
      <c r="DC40" s="475"/>
      <c r="DD40" s="525"/>
      <c r="DE40" s="525"/>
      <c r="DF40" s="49"/>
      <c r="DG40" s="458"/>
      <c r="DH40" s="459"/>
      <c r="DI40" s="525"/>
      <c r="DJ40" s="525"/>
      <c r="DK40" s="49"/>
      <c r="DL40" s="198"/>
      <c r="DM40" s="460"/>
      <c r="DN40" s="525"/>
      <c r="DO40" s="525"/>
      <c r="DP40" s="49"/>
      <c r="DQ40" s="461"/>
      <c r="DR40" s="462"/>
      <c r="DS40" s="525"/>
      <c r="DT40" s="525"/>
      <c r="DU40" s="49"/>
      <c r="DV40" s="463"/>
      <c r="DW40" s="464"/>
      <c r="DX40" s="426"/>
      <c r="DY40" s="456"/>
      <c r="DZ40" s="49"/>
      <c r="EA40" s="465"/>
      <c r="EB40" s="466"/>
      <c r="EC40" s="426"/>
      <c r="ED40" s="456"/>
      <c r="EE40" s="576"/>
      <c r="EF40" s="577"/>
    </row>
    <row r="41" ht="17.25" customHeight="1">
      <c r="A41" s="468"/>
      <c r="B41" s="469"/>
      <c r="C41" s="170"/>
      <c r="D41" s="171"/>
      <c r="E41" s="49"/>
      <c r="F41" s="200"/>
      <c r="G41" s="200"/>
      <c r="H41" s="200" t="s">
        <v>230</v>
      </c>
      <c r="I41" s="200"/>
      <c r="J41" s="200"/>
      <c r="K41" s="200"/>
      <c r="L41" s="476"/>
      <c r="M41" s="200" t="s">
        <v>230</v>
      </c>
      <c r="N41" s="200"/>
      <c r="O41" s="200"/>
      <c r="P41" s="200"/>
      <c r="Q41" s="476"/>
      <c r="R41" s="200" t="s">
        <v>230</v>
      </c>
      <c r="S41" s="200"/>
      <c r="T41" s="200"/>
      <c r="U41" s="200"/>
      <c r="V41" s="476"/>
      <c r="W41" s="200" t="s">
        <v>230</v>
      </c>
      <c r="X41" s="200"/>
      <c r="Y41" s="200"/>
      <c r="Z41" s="200"/>
      <c r="AA41" s="476"/>
      <c r="AB41" s="200" t="s">
        <v>230</v>
      </c>
      <c r="AC41" s="200"/>
      <c r="AD41" s="200"/>
      <c r="AE41" s="200"/>
      <c r="AF41" s="200"/>
      <c r="AG41" s="200" t="s">
        <v>230</v>
      </c>
      <c r="AH41" s="200"/>
      <c r="AI41" s="200"/>
      <c r="AJ41" s="200"/>
      <c r="AK41" s="476"/>
      <c r="AL41" s="200" t="s">
        <v>230</v>
      </c>
      <c r="AM41" s="200"/>
      <c r="AN41" s="200"/>
      <c r="AO41" s="200"/>
      <c r="AP41" s="476"/>
      <c r="AQ41" s="200" t="s">
        <v>230</v>
      </c>
      <c r="AR41" s="200"/>
      <c r="AS41" s="200"/>
      <c r="AT41" s="200"/>
      <c r="AU41" s="425"/>
      <c r="AV41" s="545" t="s">
        <v>230</v>
      </c>
      <c r="AW41" s="425"/>
      <c r="AX41" s="49"/>
      <c r="AY41" s="296"/>
      <c r="AZ41" s="541"/>
      <c r="BA41" s="554" t="s">
        <v>230</v>
      </c>
      <c r="BB41" s="541"/>
      <c r="BC41" s="49"/>
      <c r="BD41" s="327"/>
      <c r="BE41" s="556"/>
      <c r="BF41" s="557" t="s">
        <v>230</v>
      </c>
      <c r="BG41" s="556"/>
      <c r="BH41" s="49"/>
      <c r="BI41" s="346"/>
      <c r="BJ41" s="535"/>
      <c r="BK41" s="525" t="s">
        <v>230</v>
      </c>
      <c r="BL41" s="535"/>
      <c r="BM41" s="49"/>
      <c r="BN41" s="429" t="str">
        <f>IFERROR(__xludf.DUMMYFUNCTION("""COMPUTED_VALUE"""),"")</f>
        <v/>
      </c>
      <c r="BO41" s="354" t="str">
        <f>IFERROR(__xludf.DUMMYFUNCTION("""COMPUTED_VALUE"""),"Whimsicott")</f>
        <v>Whimsicott</v>
      </c>
      <c r="BP41" s="479" t="s">
        <v>216</v>
      </c>
      <c r="BQ41" s="486">
        <v>8.0</v>
      </c>
      <c r="BR41" s="49"/>
      <c r="BS41" s="353"/>
      <c r="BT41" s="535"/>
      <c r="BU41" s="525" t="s">
        <v>230</v>
      </c>
      <c r="BV41" s="535"/>
      <c r="BW41" s="49"/>
      <c r="BX41" s="446"/>
      <c r="BY41" s="535"/>
      <c r="BZ41" s="525" t="s">
        <v>230</v>
      </c>
      <c r="CA41" s="535"/>
      <c r="CB41" s="49"/>
      <c r="CC41" s="388"/>
      <c r="CD41" s="535"/>
      <c r="CE41" s="525" t="s">
        <v>230</v>
      </c>
      <c r="CF41" s="525"/>
      <c r="CG41" s="49"/>
      <c r="CH41" s="402"/>
      <c r="CI41" s="439"/>
      <c r="CJ41" s="426" t="s">
        <v>230</v>
      </c>
      <c r="CK41" s="439"/>
      <c r="CL41" s="49"/>
      <c r="CM41" s="402" t="str">
        <f>IFERROR(__xludf.DUMMYFUNCTION("""COMPUTED_VALUE"""),"")</f>
        <v/>
      </c>
      <c r="CN41" s="439" t="str">
        <f>IFERROR(__xludf.DUMMYFUNCTION("""COMPUTED_VALUE"""),"Lilligant")</f>
        <v>Lilligant</v>
      </c>
      <c r="CO41" s="426" t="s">
        <v>216</v>
      </c>
      <c r="CP41" s="486">
        <v>5.0</v>
      </c>
      <c r="CQ41" s="49"/>
      <c r="CR41" s="419" t="str">
        <f>IFERROR(__xludf.DUMMYFUNCTION("""COMPUTED_VALUE"""),"")</f>
        <v/>
      </c>
      <c r="CS41" s="487" t="str">
        <f>IFERROR(__xludf.DUMMYFUNCTION("""COMPUTED_VALUE"""),"Hippopotas")</f>
        <v>Hippopotas</v>
      </c>
      <c r="CT41" s="575" t="s">
        <v>216</v>
      </c>
      <c r="CU41" s="486">
        <v>1.0</v>
      </c>
      <c r="CV41" s="49"/>
      <c r="CW41" s="453"/>
      <c r="CX41" s="455"/>
      <c r="CY41" s="525"/>
      <c r="CZ41" s="525"/>
      <c r="DA41" s="49"/>
      <c r="DB41" s="457"/>
      <c r="DC41" s="475"/>
      <c r="DD41" s="525"/>
      <c r="DE41" s="525"/>
      <c r="DF41" s="49"/>
      <c r="DG41" s="458"/>
      <c r="DH41" s="459"/>
      <c r="DI41" s="525"/>
      <c r="DJ41" s="525"/>
      <c r="DK41" s="49"/>
      <c r="DL41" s="198"/>
      <c r="DM41" s="460"/>
      <c r="DN41" s="525"/>
      <c r="DO41" s="525"/>
      <c r="DP41" s="49"/>
      <c r="DQ41" s="461"/>
      <c r="DR41" s="462"/>
      <c r="DS41" s="525"/>
      <c r="DT41" s="525"/>
      <c r="DU41" s="49"/>
      <c r="DV41" s="463"/>
      <c r="DW41" s="464"/>
      <c r="DX41" s="426"/>
      <c r="DY41" s="456"/>
      <c r="DZ41" s="49"/>
      <c r="EA41" s="465"/>
      <c r="EB41" s="466"/>
      <c r="EC41" s="426"/>
      <c r="ED41" s="456"/>
      <c r="EE41" s="576"/>
      <c r="EF41" s="577"/>
    </row>
    <row r="42" ht="17.25" customHeight="1">
      <c r="A42" s="16"/>
      <c r="B42" s="47"/>
      <c r="C42" s="170"/>
      <c r="D42" s="171"/>
      <c r="E42" s="49"/>
      <c r="F42" s="200"/>
      <c r="G42" s="200"/>
      <c r="H42" s="200" t="s">
        <v>230</v>
      </c>
      <c r="I42" s="200"/>
      <c r="J42" s="200"/>
      <c r="K42" s="200"/>
      <c r="L42" s="476"/>
      <c r="M42" s="200" t="s">
        <v>230</v>
      </c>
      <c r="N42" s="200"/>
      <c r="O42" s="200"/>
      <c r="P42" s="200"/>
      <c r="Q42" s="476"/>
      <c r="R42" s="200" t="s">
        <v>230</v>
      </c>
      <c r="S42" s="200"/>
      <c r="T42" s="200"/>
      <c r="U42" s="200"/>
      <c r="V42" s="476"/>
      <c r="W42" s="200" t="s">
        <v>230</v>
      </c>
      <c r="X42" s="200"/>
      <c r="Y42" s="200"/>
      <c r="Z42" s="200"/>
      <c r="AA42" s="476"/>
      <c r="AB42" s="200" t="s">
        <v>230</v>
      </c>
      <c r="AC42" s="200"/>
      <c r="AD42" s="200"/>
      <c r="AE42" s="200"/>
      <c r="AF42" s="200"/>
      <c r="AG42" s="200" t="s">
        <v>230</v>
      </c>
      <c r="AH42" s="200"/>
      <c r="AI42" s="200"/>
      <c r="AJ42" s="200"/>
      <c r="AK42" s="476"/>
      <c r="AL42" s="200" t="s">
        <v>230</v>
      </c>
      <c r="AM42" s="200"/>
      <c r="AN42" s="200"/>
      <c r="AO42" s="200"/>
      <c r="AP42" s="476"/>
      <c r="AQ42" s="200" t="s">
        <v>230</v>
      </c>
      <c r="AR42" s="200"/>
      <c r="AS42" s="200"/>
      <c r="AT42" s="200"/>
      <c r="AU42" s="425"/>
      <c r="AV42" s="545" t="s">
        <v>230</v>
      </c>
      <c r="AW42" s="425"/>
      <c r="AX42" s="49"/>
      <c r="AY42" s="296"/>
      <c r="AZ42" s="541"/>
      <c r="BA42" s="554" t="s">
        <v>230</v>
      </c>
      <c r="BB42" s="541"/>
      <c r="BC42" s="49"/>
      <c r="BD42" s="327"/>
      <c r="BE42" s="556"/>
      <c r="BF42" s="557" t="s">
        <v>230</v>
      </c>
      <c r="BG42" s="556"/>
      <c r="BH42" s="49"/>
      <c r="BI42" s="346"/>
      <c r="BJ42" s="535"/>
      <c r="BK42" s="525" t="s">
        <v>230</v>
      </c>
      <c r="BL42" s="535"/>
      <c r="BM42" s="49"/>
      <c r="BN42" s="429" t="str">
        <f>IFERROR(__xludf.DUMMYFUNCTION("""COMPUTED_VALUE"""),"")</f>
        <v/>
      </c>
      <c r="BO42" s="354" t="str">
        <f>IFERROR(__xludf.DUMMYFUNCTION("""COMPUTED_VALUE"""),"Wo-Chien")</f>
        <v>Wo-Chien</v>
      </c>
      <c r="BP42" s="479" t="s">
        <v>216</v>
      </c>
      <c r="BQ42" s="486">
        <v>8.0</v>
      </c>
      <c r="BR42" s="49"/>
      <c r="BS42" s="353"/>
      <c r="BT42" s="472"/>
      <c r="BU42" s="586" t="s">
        <v>230</v>
      </c>
      <c r="BV42" s="472"/>
      <c r="BW42" s="49"/>
      <c r="BX42" s="446"/>
      <c r="BY42" s="535"/>
      <c r="BZ42" s="525" t="s">
        <v>230</v>
      </c>
      <c r="CA42" s="535"/>
      <c r="CB42" s="49"/>
      <c r="CC42" s="388"/>
      <c r="CD42" s="535"/>
      <c r="CE42" s="525" t="s">
        <v>230</v>
      </c>
      <c r="CF42" s="525"/>
      <c r="CG42" s="49"/>
      <c r="CH42" s="402"/>
      <c r="CI42" s="439"/>
      <c r="CJ42" s="426" t="s">
        <v>230</v>
      </c>
      <c r="CK42" s="439"/>
      <c r="CL42" s="49"/>
      <c r="CM42" s="402" t="str">
        <f>IFERROR(__xludf.DUMMYFUNCTION("""COMPUTED_VALUE"""),"")</f>
        <v/>
      </c>
      <c r="CN42" s="439" t="str">
        <f>IFERROR(__xludf.DUMMYFUNCTION("""COMPUTED_VALUE"""),"Luxray")</f>
        <v>Luxray</v>
      </c>
      <c r="CO42" s="426" t="s">
        <v>216</v>
      </c>
      <c r="CP42" s="486">
        <v>3.0</v>
      </c>
      <c r="CQ42" s="49"/>
      <c r="CR42" s="419" t="str">
        <f>IFERROR(__xludf.DUMMYFUNCTION("""COMPUTED_VALUE"""),"")</f>
        <v/>
      </c>
      <c r="CS42" s="487" t="str">
        <f>IFERROR(__xludf.DUMMYFUNCTION("""COMPUTED_VALUE"""),"Hisuian Sliggoo")</f>
        <v>Hisuian Sliggoo</v>
      </c>
      <c r="CT42" s="575" t="s">
        <v>216</v>
      </c>
      <c r="CU42" s="486">
        <v>1.0</v>
      </c>
      <c r="CV42" s="49"/>
      <c r="CW42" s="453"/>
      <c r="CX42" s="455"/>
      <c r="CY42" s="525"/>
      <c r="CZ42" s="525"/>
      <c r="DA42" s="49"/>
      <c r="DB42" s="457"/>
      <c r="DC42" s="475"/>
      <c r="DD42" s="525"/>
      <c r="DE42" s="525"/>
      <c r="DF42" s="49"/>
      <c r="DG42" s="458"/>
      <c r="DH42" s="459"/>
      <c r="DI42" s="525"/>
      <c r="DJ42" s="525"/>
      <c r="DK42" s="49"/>
      <c r="DL42" s="198"/>
      <c r="DM42" s="460"/>
      <c r="DN42" s="525"/>
      <c r="DO42" s="525"/>
      <c r="DP42" s="49"/>
      <c r="DQ42" s="461"/>
      <c r="DR42" s="462"/>
      <c r="DS42" s="525"/>
      <c r="DT42" s="525"/>
      <c r="DU42" s="49"/>
      <c r="DV42" s="463"/>
      <c r="DW42" s="464"/>
      <c r="DX42" s="426"/>
      <c r="DY42" s="456"/>
      <c r="DZ42" s="49"/>
      <c r="EA42" s="465"/>
      <c r="EB42" s="466"/>
      <c r="EC42" s="426"/>
      <c r="ED42" s="456"/>
      <c r="EE42" s="576"/>
      <c r="EF42" s="577"/>
    </row>
    <row r="43" ht="17.25" customHeight="1">
      <c r="A43" s="443"/>
      <c r="B43" s="444"/>
      <c r="C43" s="170"/>
      <c r="D43" s="171"/>
      <c r="E43" s="49"/>
      <c r="F43" s="200"/>
      <c r="G43" s="200"/>
      <c r="H43" s="200" t="s">
        <v>230</v>
      </c>
      <c r="I43" s="200"/>
      <c r="J43" s="200"/>
      <c r="K43" s="200"/>
      <c r="L43" s="476"/>
      <c r="M43" s="200" t="s">
        <v>230</v>
      </c>
      <c r="N43" s="200"/>
      <c r="O43" s="200"/>
      <c r="P43" s="200"/>
      <c r="Q43" s="476"/>
      <c r="R43" s="200" t="s">
        <v>230</v>
      </c>
      <c r="S43" s="200"/>
      <c r="T43" s="200"/>
      <c r="U43" s="200"/>
      <c r="V43" s="476"/>
      <c r="W43" s="200" t="s">
        <v>230</v>
      </c>
      <c r="X43" s="200"/>
      <c r="Y43" s="200"/>
      <c r="Z43" s="200"/>
      <c r="AA43" s="476"/>
      <c r="AB43" s="200" t="s">
        <v>230</v>
      </c>
      <c r="AC43" s="200"/>
      <c r="AD43" s="200"/>
      <c r="AE43" s="200"/>
      <c r="AF43" s="200"/>
      <c r="AG43" s="200" t="s">
        <v>230</v>
      </c>
      <c r="AH43" s="200"/>
      <c r="AI43" s="200"/>
      <c r="AJ43" s="200"/>
      <c r="AK43" s="476"/>
      <c r="AL43" s="200" t="s">
        <v>230</v>
      </c>
      <c r="AM43" s="200"/>
      <c r="AN43" s="200"/>
      <c r="AO43" s="200"/>
      <c r="AP43" s="476"/>
      <c r="AQ43" s="200" t="s">
        <v>230</v>
      </c>
      <c r="AR43" s="200"/>
      <c r="AS43" s="200"/>
      <c r="AT43" s="200"/>
      <c r="AU43" s="425"/>
      <c r="AV43" s="545" t="s">
        <v>230</v>
      </c>
      <c r="AW43" s="425"/>
      <c r="AX43" s="49"/>
      <c r="AY43" s="296"/>
      <c r="AZ43" s="541"/>
      <c r="BA43" s="554" t="s">
        <v>230</v>
      </c>
      <c r="BB43" s="541"/>
      <c r="BC43" s="49"/>
      <c r="BD43" s="327"/>
      <c r="BE43" s="556"/>
      <c r="BF43" s="557" t="s">
        <v>230</v>
      </c>
      <c r="BG43" s="556"/>
      <c r="BH43" s="49"/>
      <c r="BI43" s="346"/>
      <c r="BJ43" s="558"/>
      <c r="BK43" s="587" t="s">
        <v>230</v>
      </c>
      <c r="BL43" s="558"/>
      <c r="BM43" s="49"/>
      <c r="BN43" s="429" t="str">
        <f>IFERROR(__xludf.DUMMYFUNCTION("""COMPUTED_VALUE"""),"")</f>
        <v/>
      </c>
      <c r="BO43" s="354" t="str">
        <f>IFERROR(__xludf.DUMMYFUNCTION("""COMPUTED_VALUE"""),"Zoroark")</f>
        <v>Zoroark</v>
      </c>
      <c r="BP43" s="479" t="s">
        <v>216</v>
      </c>
      <c r="BQ43" s="486">
        <v>8.0</v>
      </c>
      <c r="BR43" s="49"/>
      <c r="BS43" s="353"/>
      <c r="BT43" s="472"/>
      <c r="BU43" s="586" t="s">
        <v>230</v>
      </c>
      <c r="BV43" s="472"/>
      <c r="BW43" s="49"/>
      <c r="BX43" s="446"/>
      <c r="BY43" s="535"/>
      <c r="BZ43" s="525" t="s">
        <v>230</v>
      </c>
      <c r="CA43" s="535"/>
      <c r="CB43" s="49"/>
      <c r="CC43" s="388"/>
      <c r="CD43" s="535"/>
      <c r="CE43" s="525" t="s">
        <v>230</v>
      </c>
      <c r="CF43" s="525"/>
      <c r="CG43" s="49"/>
      <c r="CH43" s="402"/>
      <c r="CI43" s="439"/>
      <c r="CJ43" s="426" t="s">
        <v>230</v>
      </c>
      <c r="CK43" s="439"/>
      <c r="CL43" s="49"/>
      <c r="CM43" s="402" t="str">
        <f>IFERROR(__xludf.DUMMYFUNCTION("""COMPUTED_VALUE"""),"")</f>
        <v/>
      </c>
      <c r="CN43" s="439" t="str">
        <f>IFERROR(__xludf.DUMMYFUNCTION("""COMPUTED_VALUE"""),"Lycanroc-Midnight")</f>
        <v>Lycanroc-Midnight</v>
      </c>
      <c r="CO43" s="426" t="s">
        <v>216</v>
      </c>
      <c r="CP43" s="456">
        <v>3.0</v>
      </c>
      <c r="CQ43" s="49"/>
      <c r="CR43" s="419" t="str">
        <f>IFERROR(__xludf.DUMMYFUNCTION("""COMPUTED_VALUE"""),"")</f>
        <v/>
      </c>
      <c r="CS43" s="487" t="str">
        <f>IFERROR(__xludf.DUMMYFUNCTION("""COMPUTED_VALUE"""),"Hisuian Sneasel")</f>
        <v>Hisuian Sneasel</v>
      </c>
      <c r="CT43" s="575" t="s">
        <v>216</v>
      </c>
      <c r="CU43" s="456">
        <v>2.0</v>
      </c>
      <c r="CV43" s="49"/>
      <c r="CW43" s="453"/>
      <c r="CX43" s="455"/>
      <c r="CY43" s="525"/>
      <c r="CZ43" s="525"/>
      <c r="DA43" s="49"/>
      <c r="DB43" s="457"/>
      <c r="DC43" s="475"/>
      <c r="DD43" s="525"/>
      <c r="DE43" s="525"/>
      <c r="DF43" s="49"/>
      <c r="DG43" s="458"/>
      <c r="DH43" s="459"/>
      <c r="DI43" s="525"/>
      <c r="DJ43" s="525"/>
      <c r="DK43" s="49"/>
      <c r="DL43" s="198"/>
      <c r="DM43" s="460"/>
      <c r="DN43" s="525"/>
      <c r="DO43" s="525"/>
      <c r="DP43" s="49"/>
      <c r="DQ43" s="461"/>
      <c r="DR43" s="462"/>
      <c r="DS43" s="525"/>
      <c r="DT43" s="525"/>
      <c r="DU43" s="49"/>
      <c r="DV43" s="463"/>
      <c r="DW43" s="464"/>
      <c r="DX43" s="525"/>
      <c r="DY43" s="525"/>
      <c r="DZ43" s="49"/>
      <c r="EA43" s="465"/>
      <c r="EB43" s="466"/>
      <c r="EC43" s="426"/>
      <c r="ED43" s="456"/>
      <c r="EE43" s="41"/>
      <c r="EF43" s="5"/>
    </row>
    <row r="44" ht="17.25" customHeight="1">
      <c r="A44" s="443"/>
      <c r="B44" s="444"/>
      <c r="C44" s="170"/>
      <c r="D44" s="171"/>
      <c r="E44" s="49"/>
      <c r="F44" s="200"/>
      <c r="G44" s="200"/>
      <c r="H44" s="200" t="s">
        <v>230</v>
      </c>
      <c r="I44" s="200"/>
      <c r="J44" s="200"/>
      <c r="K44" s="200"/>
      <c r="L44" s="476"/>
      <c r="M44" s="200" t="s">
        <v>230</v>
      </c>
      <c r="N44" s="200"/>
      <c r="O44" s="200"/>
      <c r="P44" s="200"/>
      <c r="Q44" s="476"/>
      <c r="R44" s="200" t="s">
        <v>230</v>
      </c>
      <c r="S44" s="200"/>
      <c r="T44" s="200"/>
      <c r="U44" s="200"/>
      <c r="V44" s="476"/>
      <c r="W44" s="200" t="s">
        <v>230</v>
      </c>
      <c r="X44" s="200"/>
      <c r="Y44" s="200"/>
      <c r="Z44" s="200"/>
      <c r="AA44" s="476"/>
      <c r="AB44" s="200" t="s">
        <v>230</v>
      </c>
      <c r="AC44" s="200"/>
      <c r="AD44" s="200"/>
      <c r="AE44" s="200"/>
      <c r="AF44" s="200"/>
      <c r="AG44" s="200" t="s">
        <v>230</v>
      </c>
      <c r="AH44" s="200"/>
      <c r="AI44" s="200"/>
      <c r="AJ44" s="200"/>
      <c r="AK44" s="476"/>
      <c r="AL44" s="200" t="s">
        <v>230</v>
      </c>
      <c r="AM44" s="200"/>
      <c r="AN44" s="200"/>
      <c r="AO44" s="200"/>
      <c r="AP44" s="476"/>
      <c r="AQ44" s="200" t="s">
        <v>230</v>
      </c>
      <c r="AR44" s="200"/>
      <c r="AS44" s="200"/>
      <c r="AT44" s="200"/>
      <c r="AU44" s="425"/>
      <c r="AV44" s="545" t="s">
        <v>230</v>
      </c>
      <c r="AW44" s="425"/>
      <c r="AX44" s="49"/>
      <c r="AY44" s="296"/>
      <c r="AZ44" s="541"/>
      <c r="BA44" s="554" t="s">
        <v>230</v>
      </c>
      <c r="BB44" s="541"/>
      <c r="BC44" s="49"/>
      <c r="BD44" s="327"/>
      <c r="BE44" s="556"/>
      <c r="BF44" s="557" t="s">
        <v>230</v>
      </c>
      <c r="BG44" s="556"/>
      <c r="BH44" s="49"/>
      <c r="BI44" s="346"/>
      <c r="BJ44" s="558"/>
      <c r="BK44" s="587" t="s">
        <v>230</v>
      </c>
      <c r="BL44" s="558"/>
      <c r="BM44" s="49"/>
      <c r="BN44" s="591"/>
      <c r="BO44" s="592"/>
      <c r="BP44" s="525" t="s">
        <v>230</v>
      </c>
      <c r="BQ44" s="525"/>
      <c r="BR44" s="49"/>
      <c r="BS44" s="353"/>
      <c r="BT44" s="472"/>
      <c r="BU44" s="586" t="s">
        <v>230</v>
      </c>
      <c r="BV44" s="472"/>
      <c r="BW44" s="49"/>
      <c r="BX44" s="446"/>
      <c r="BY44" s="535"/>
      <c r="BZ44" s="525" t="s">
        <v>230</v>
      </c>
      <c r="CA44" s="535"/>
      <c r="CB44" s="49"/>
      <c r="CC44" s="388"/>
      <c r="CD44" s="535"/>
      <c r="CE44" s="525" t="s">
        <v>230</v>
      </c>
      <c r="CF44" s="525"/>
      <c r="CG44" s="49"/>
      <c r="CH44" s="402"/>
      <c r="CI44" s="439"/>
      <c r="CJ44" s="426" t="s">
        <v>230</v>
      </c>
      <c r="CK44" s="439"/>
      <c r="CL44" s="49"/>
      <c r="CM44" s="402" t="str">
        <f>IFERROR(__xludf.DUMMYFUNCTION("""COMPUTED_VALUE"""),"")</f>
        <v/>
      </c>
      <c r="CN44" s="439" t="str">
        <f>IFERROR(__xludf.DUMMYFUNCTION("""COMPUTED_VALUE"""),"Malamar")</f>
        <v>Malamar</v>
      </c>
      <c r="CO44" s="426" t="s">
        <v>216</v>
      </c>
      <c r="CP44" s="456">
        <v>3.0</v>
      </c>
      <c r="CQ44" s="49"/>
      <c r="CR44" s="419" t="str">
        <f>IFERROR(__xludf.DUMMYFUNCTION("""COMPUTED_VALUE"""),"")</f>
        <v/>
      </c>
      <c r="CS44" s="487" t="str">
        <f>IFERROR(__xludf.DUMMYFUNCTION("""COMPUTED_VALUE"""),"Hisuian Zorua")</f>
        <v>Hisuian Zorua</v>
      </c>
      <c r="CT44" s="575" t="s">
        <v>216</v>
      </c>
      <c r="CU44" s="456">
        <v>1.0</v>
      </c>
      <c r="CV44" s="49"/>
      <c r="CW44" s="453"/>
      <c r="CX44" s="455"/>
      <c r="CY44" s="525"/>
      <c r="CZ44" s="525"/>
      <c r="DA44" s="49"/>
      <c r="DB44" s="457"/>
      <c r="DC44" s="475"/>
      <c r="DD44" s="525"/>
      <c r="DE44" s="525"/>
      <c r="DF44" s="49"/>
      <c r="DG44" s="458"/>
      <c r="DH44" s="459"/>
      <c r="DI44" s="525"/>
      <c r="DJ44" s="525"/>
      <c r="DK44" s="49"/>
      <c r="DL44" s="198"/>
      <c r="DM44" s="460"/>
      <c r="DN44" s="525"/>
      <c r="DO44" s="525"/>
      <c r="DP44" s="49"/>
      <c r="DQ44" s="461"/>
      <c r="DR44" s="462"/>
      <c r="DS44" s="525"/>
      <c r="DT44" s="525"/>
      <c r="DU44" s="49"/>
      <c r="DV44" s="463"/>
      <c r="DW44" s="464"/>
      <c r="DX44" s="525"/>
      <c r="DY44" s="525"/>
      <c r="DZ44" s="49"/>
      <c r="EA44" s="465"/>
      <c r="EB44" s="466"/>
      <c r="EC44" s="426"/>
      <c r="ED44" s="456"/>
      <c r="EE44" s="41"/>
      <c r="EF44" s="5"/>
    </row>
    <row r="45" ht="17.25" customHeight="1">
      <c r="A45" s="443"/>
      <c r="B45" s="444"/>
      <c r="C45" s="170"/>
      <c r="D45" s="171"/>
      <c r="E45" s="49"/>
      <c r="F45" s="200"/>
      <c r="G45" s="200"/>
      <c r="H45" s="200" t="s">
        <v>230</v>
      </c>
      <c r="I45" s="200"/>
      <c r="J45" s="200"/>
      <c r="K45" s="200"/>
      <c r="L45" s="476"/>
      <c r="M45" s="200" t="s">
        <v>230</v>
      </c>
      <c r="N45" s="200"/>
      <c r="O45" s="200"/>
      <c r="P45" s="200"/>
      <c r="Q45" s="476"/>
      <c r="R45" s="200" t="s">
        <v>230</v>
      </c>
      <c r="S45" s="200"/>
      <c r="T45" s="200"/>
      <c r="U45" s="200"/>
      <c r="V45" s="476"/>
      <c r="W45" s="200" t="s">
        <v>230</v>
      </c>
      <c r="X45" s="200"/>
      <c r="Y45" s="200"/>
      <c r="Z45" s="200"/>
      <c r="AA45" s="476"/>
      <c r="AB45" s="200" t="s">
        <v>230</v>
      </c>
      <c r="AC45" s="200"/>
      <c r="AD45" s="200"/>
      <c r="AE45" s="200"/>
      <c r="AF45" s="200"/>
      <c r="AG45" s="200" t="s">
        <v>230</v>
      </c>
      <c r="AH45" s="200"/>
      <c r="AI45" s="200"/>
      <c r="AJ45" s="200"/>
      <c r="AK45" s="476"/>
      <c r="AL45" s="200" t="s">
        <v>230</v>
      </c>
      <c r="AM45" s="200"/>
      <c r="AN45" s="200"/>
      <c r="AO45" s="200"/>
      <c r="AP45" s="476"/>
      <c r="AQ45" s="200" t="s">
        <v>230</v>
      </c>
      <c r="AR45" s="200"/>
      <c r="AS45" s="200"/>
      <c r="AT45" s="200"/>
      <c r="AU45" s="425"/>
      <c r="AV45" s="545" t="s">
        <v>230</v>
      </c>
      <c r="AW45" s="425"/>
      <c r="AX45" s="49"/>
      <c r="AY45" s="296"/>
      <c r="AZ45" s="541"/>
      <c r="BA45" s="554" t="s">
        <v>230</v>
      </c>
      <c r="BB45" s="541"/>
      <c r="BC45" s="49"/>
      <c r="BD45" s="327"/>
      <c r="BE45" s="556"/>
      <c r="BF45" s="557" t="s">
        <v>230</v>
      </c>
      <c r="BG45" s="556"/>
      <c r="BH45" s="49"/>
      <c r="BI45" s="346"/>
      <c r="BJ45" s="558"/>
      <c r="BK45" s="587" t="s">
        <v>230</v>
      </c>
      <c r="BL45" s="558"/>
      <c r="BM45" s="49"/>
      <c r="BN45" s="446"/>
      <c r="BO45" s="535"/>
      <c r="BP45" s="525" t="s">
        <v>230</v>
      </c>
      <c r="BQ45" s="535"/>
      <c r="BR45" s="49"/>
      <c r="BS45" s="353"/>
      <c r="BT45" s="472"/>
      <c r="BU45" s="586" t="s">
        <v>230</v>
      </c>
      <c r="BV45" s="472"/>
      <c r="BW45" s="49"/>
      <c r="BX45" s="368"/>
      <c r="BY45" s="578"/>
      <c r="BZ45" s="593" t="s">
        <v>230</v>
      </c>
      <c r="CA45" s="578"/>
      <c r="CB45" s="49"/>
      <c r="CC45" s="388"/>
      <c r="CD45" s="535"/>
      <c r="CE45" s="525" t="s">
        <v>230</v>
      </c>
      <c r="CF45" s="525"/>
      <c r="CG45" s="49"/>
      <c r="CH45" s="402"/>
      <c r="CI45" s="439"/>
      <c r="CJ45" s="426" t="s">
        <v>230</v>
      </c>
      <c r="CK45" s="439"/>
      <c r="CL45" s="49"/>
      <c r="CM45" s="402" t="str">
        <f>IFERROR(__xludf.DUMMYFUNCTION("""COMPUTED_VALUE"""),"")</f>
        <v/>
      </c>
      <c r="CN45" s="439" t="str">
        <f>IFERROR(__xludf.DUMMYFUNCTION("""COMPUTED_VALUE"""),"Masquerain")</f>
        <v>Masquerain</v>
      </c>
      <c r="CO45" s="426" t="s">
        <v>216</v>
      </c>
      <c r="CP45" s="456">
        <v>3.0</v>
      </c>
      <c r="CQ45" s="49"/>
      <c r="CR45" s="419" t="str">
        <f>IFERROR(__xludf.DUMMYFUNCTION("""COMPUTED_VALUE"""),"")</f>
        <v/>
      </c>
      <c r="CS45" s="487" t="str">
        <f>IFERROR(__xludf.DUMMYFUNCTION("""COMPUTED_VALUE"""),"Hypno")</f>
        <v>Hypno</v>
      </c>
      <c r="CT45" s="575" t="s">
        <v>216</v>
      </c>
      <c r="CU45" s="456">
        <v>2.0</v>
      </c>
      <c r="CV45" s="49"/>
      <c r="CW45" s="453"/>
      <c r="CX45" s="455"/>
      <c r="CY45" s="525"/>
      <c r="CZ45" s="525"/>
      <c r="DA45" s="49"/>
      <c r="DB45" s="457"/>
      <c r="DC45" s="475"/>
      <c r="DD45" s="525"/>
      <c r="DE45" s="525"/>
      <c r="DF45" s="49"/>
      <c r="DG45" s="458"/>
      <c r="DH45" s="459"/>
      <c r="DI45" s="525"/>
      <c r="DJ45" s="525"/>
      <c r="DK45" s="49"/>
      <c r="DL45" s="198"/>
      <c r="DM45" s="460"/>
      <c r="DN45" s="525"/>
      <c r="DO45" s="525"/>
      <c r="DP45" s="49"/>
      <c r="DQ45" s="461"/>
      <c r="DR45" s="462"/>
      <c r="DS45" s="525"/>
      <c r="DT45" s="525"/>
      <c r="DU45" s="49"/>
      <c r="DV45" s="463"/>
      <c r="DW45" s="464"/>
      <c r="DX45" s="525"/>
      <c r="DY45" s="525"/>
      <c r="DZ45" s="49"/>
      <c r="EA45" s="465"/>
      <c r="EB45" s="466"/>
      <c r="EC45" s="426"/>
      <c r="ED45" s="456"/>
      <c r="EE45" s="49"/>
      <c r="EF45" s="17"/>
    </row>
    <row r="46" ht="17.25" customHeight="1">
      <c r="A46" s="17"/>
      <c r="B46" s="49"/>
      <c r="C46" s="170"/>
      <c r="D46" s="171"/>
      <c r="E46" s="49"/>
      <c r="F46" s="200"/>
      <c r="G46" s="200"/>
      <c r="H46" s="200" t="s">
        <v>230</v>
      </c>
      <c r="I46" s="200"/>
      <c r="J46" s="200"/>
      <c r="K46" s="200"/>
      <c r="L46" s="476"/>
      <c r="M46" s="200" t="s">
        <v>230</v>
      </c>
      <c r="N46" s="200"/>
      <c r="O46" s="200"/>
      <c r="P46" s="200"/>
      <c r="Q46" s="476"/>
      <c r="R46" s="200" t="s">
        <v>230</v>
      </c>
      <c r="S46" s="200"/>
      <c r="T46" s="200"/>
      <c r="U46" s="200"/>
      <c r="V46" s="476"/>
      <c r="W46" s="200" t="s">
        <v>230</v>
      </c>
      <c r="X46" s="200"/>
      <c r="Y46" s="200"/>
      <c r="Z46" s="200"/>
      <c r="AA46" s="476"/>
      <c r="AB46" s="200" t="s">
        <v>230</v>
      </c>
      <c r="AC46" s="200"/>
      <c r="AD46" s="200"/>
      <c r="AE46" s="200"/>
      <c r="AF46" s="200"/>
      <c r="AG46" s="200" t="s">
        <v>230</v>
      </c>
      <c r="AH46" s="200"/>
      <c r="AI46" s="200"/>
      <c r="AJ46" s="200"/>
      <c r="AK46" s="476"/>
      <c r="AL46" s="200" t="s">
        <v>230</v>
      </c>
      <c r="AM46" s="200"/>
      <c r="AN46" s="200"/>
      <c r="AO46" s="200"/>
      <c r="AP46" s="476"/>
      <c r="AQ46" s="200" t="s">
        <v>230</v>
      </c>
      <c r="AR46" s="200"/>
      <c r="AS46" s="200"/>
      <c r="AT46" s="200"/>
      <c r="AU46" s="425"/>
      <c r="AV46" s="545" t="s">
        <v>230</v>
      </c>
      <c r="AW46" s="425"/>
      <c r="AX46" s="49"/>
      <c r="AY46" s="296"/>
      <c r="AZ46" s="541"/>
      <c r="BA46" s="554" t="s">
        <v>230</v>
      </c>
      <c r="BB46" s="541"/>
      <c r="BC46" s="49"/>
      <c r="BD46" s="327"/>
      <c r="BE46" s="556"/>
      <c r="BF46" s="557" t="s">
        <v>230</v>
      </c>
      <c r="BG46" s="556"/>
      <c r="BH46" s="49"/>
      <c r="BI46" s="346"/>
      <c r="BJ46" s="558"/>
      <c r="BK46" s="587" t="s">
        <v>230</v>
      </c>
      <c r="BL46" s="558"/>
      <c r="BM46" s="49"/>
      <c r="BN46" s="446"/>
      <c r="BO46" s="535"/>
      <c r="BP46" s="525" t="s">
        <v>230</v>
      </c>
      <c r="BQ46" s="535"/>
      <c r="BR46" s="49"/>
      <c r="BS46" s="353"/>
      <c r="BT46" s="472"/>
      <c r="BU46" s="586" t="s">
        <v>230</v>
      </c>
      <c r="BV46" s="472"/>
      <c r="BW46" s="49"/>
      <c r="BX46" s="368"/>
      <c r="BY46" s="578"/>
      <c r="BZ46" s="593" t="s">
        <v>230</v>
      </c>
      <c r="CA46" s="578"/>
      <c r="CB46" s="49"/>
      <c r="CC46" s="388"/>
      <c r="CD46" s="535"/>
      <c r="CE46" s="525" t="s">
        <v>230</v>
      </c>
      <c r="CF46" s="525"/>
      <c r="CG46" s="49"/>
      <c r="CH46" s="402"/>
      <c r="CI46" s="439"/>
      <c r="CJ46" s="426" t="s">
        <v>230</v>
      </c>
      <c r="CK46" s="439"/>
      <c r="CL46" s="49"/>
      <c r="CM46" s="402" t="str">
        <f>IFERROR(__xludf.DUMMYFUNCTION("""COMPUTED_VALUE"""),"")</f>
        <v/>
      </c>
      <c r="CN46" s="439" t="str">
        <f>IFERROR(__xludf.DUMMYFUNCTION("""COMPUTED_VALUE"""),"Meowstic-female")</f>
        <v>Meowstic-female</v>
      </c>
      <c r="CO46" s="426" t="s">
        <v>216</v>
      </c>
      <c r="CP46" s="456">
        <v>3.0</v>
      </c>
      <c r="CQ46" s="49"/>
      <c r="CR46" s="419" t="str">
        <f>IFERROR(__xludf.DUMMYFUNCTION("""COMPUTED_VALUE"""),"")</f>
        <v/>
      </c>
      <c r="CS46" s="487" t="str">
        <f>IFERROR(__xludf.DUMMYFUNCTION("""COMPUTED_VALUE"""),"Impidimp")</f>
        <v>Impidimp</v>
      </c>
      <c r="CT46" s="575" t="s">
        <v>216</v>
      </c>
      <c r="CU46" s="456">
        <v>1.0</v>
      </c>
      <c r="CV46" s="49"/>
      <c r="CW46" s="453"/>
      <c r="CX46" s="455"/>
      <c r="CY46" s="525"/>
      <c r="CZ46" s="525"/>
      <c r="DA46" s="49"/>
      <c r="DB46" s="457"/>
      <c r="DC46" s="475"/>
      <c r="DD46" s="525"/>
      <c r="DE46" s="535"/>
      <c r="DF46" s="49"/>
      <c r="DG46" s="458"/>
      <c r="DH46" s="459"/>
      <c r="DI46" s="525"/>
      <c r="DJ46" s="525"/>
      <c r="DK46" s="49"/>
      <c r="DL46" s="198"/>
      <c r="DM46" s="460"/>
      <c r="DN46" s="525"/>
      <c r="DO46" s="525"/>
      <c r="DP46" s="49"/>
      <c r="DQ46" s="461"/>
      <c r="DR46" s="462"/>
      <c r="DS46" s="525"/>
      <c r="DT46" s="525"/>
      <c r="DU46" s="49"/>
      <c r="DV46" s="463"/>
      <c r="DW46" s="464"/>
      <c r="DX46" s="525"/>
      <c r="DY46" s="525"/>
      <c r="DZ46" s="49"/>
      <c r="EA46" s="465"/>
      <c r="EB46" s="466"/>
      <c r="EC46" s="426"/>
      <c r="ED46" s="456"/>
      <c r="EE46" s="49"/>
      <c r="EF46" s="17"/>
    </row>
    <row r="47" ht="17.25" customHeight="1">
      <c r="A47" s="468"/>
      <c r="B47" s="469"/>
      <c r="C47" s="170"/>
      <c r="D47" s="171"/>
      <c r="E47" s="49"/>
      <c r="F47" s="200"/>
      <c r="G47" s="200"/>
      <c r="H47" s="200" t="s">
        <v>230</v>
      </c>
      <c r="I47" s="200"/>
      <c r="J47" s="200"/>
      <c r="K47" s="200"/>
      <c r="L47" s="476"/>
      <c r="M47" s="200" t="s">
        <v>230</v>
      </c>
      <c r="N47" s="200"/>
      <c r="O47" s="200"/>
      <c r="P47" s="200"/>
      <c r="Q47" s="476"/>
      <c r="R47" s="200" t="s">
        <v>230</v>
      </c>
      <c r="S47" s="200"/>
      <c r="T47" s="200"/>
      <c r="U47" s="200"/>
      <c r="V47" s="476"/>
      <c r="W47" s="200" t="s">
        <v>230</v>
      </c>
      <c r="X47" s="200"/>
      <c r="Y47" s="200"/>
      <c r="Z47" s="200"/>
      <c r="AA47" s="476"/>
      <c r="AB47" s="200" t="s">
        <v>230</v>
      </c>
      <c r="AC47" s="200"/>
      <c r="AD47" s="200"/>
      <c r="AE47" s="200"/>
      <c r="AF47" s="200"/>
      <c r="AG47" s="200" t="s">
        <v>230</v>
      </c>
      <c r="AH47" s="200"/>
      <c r="AI47" s="200"/>
      <c r="AJ47" s="200"/>
      <c r="AK47" s="476"/>
      <c r="AL47" s="200" t="s">
        <v>230</v>
      </c>
      <c r="AM47" s="200"/>
      <c r="AN47" s="200"/>
      <c r="AO47" s="200"/>
      <c r="AP47" s="476"/>
      <c r="AQ47" s="200" t="s">
        <v>230</v>
      </c>
      <c r="AR47" s="200"/>
      <c r="AS47" s="200"/>
      <c r="AT47" s="200"/>
      <c r="AU47" s="425"/>
      <c r="AV47" s="545" t="s">
        <v>230</v>
      </c>
      <c r="AW47" s="425"/>
      <c r="AX47" s="49"/>
      <c r="AY47" s="296"/>
      <c r="AZ47" s="541"/>
      <c r="BA47" s="554" t="s">
        <v>230</v>
      </c>
      <c r="BB47" s="541"/>
      <c r="BC47" s="49"/>
      <c r="BD47" s="327"/>
      <c r="BE47" s="556"/>
      <c r="BF47" s="557" t="s">
        <v>230</v>
      </c>
      <c r="BG47" s="556"/>
      <c r="BH47" s="49"/>
      <c r="BI47" s="346"/>
      <c r="BJ47" s="558"/>
      <c r="BK47" s="587" t="s">
        <v>230</v>
      </c>
      <c r="BL47" s="558"/>
      <c r="BM47" s="49"/>
      <c r="BN47" s="446"/>
      <c r="BO47" s="535"/>
      <c r="BP47" s="525" t="s">
        <v>230</v>
      </c>
      <c r="BQ47" s="535"/>
      <c r="BR47" s="49"/>
      <c r="BS47" s="353"/>
      <c r="BT47" s="472"/>
      <c r="BU47" s="586" t="s">
        <v>230</v>
      </c>
      <c r="BV47" s="472"/>
      <c r="BW47" s="49"/>
      <c r="BX47" s="368"/>
      <c r="BY47" s="578"/>
      <c r="BZ47" s="593" t="s">
        <v>230</v>
      </c>
      <c r="CA47" s="578"/>
      <c r="CB47" s="49"/>
      <c r="CC47" s="388"/>
      <c r="CD47" s="535"/>
      <c r="CE47" s="525" t="s">
        <v>230</v>
      </c>
      <c r="CF47" s="525"/>
      <c r="CG47" s="49"/>
      <c r="CH47" s="402"/>
      <c r="CI47" s="439"/>
      <c r="CJ47" s="426" t="s">
        <v>230</v>
      </c>
      <c r="CK47" s="439"/>
      <c r="CL47" s="49"/>
      <c r="CM47" s="402" t="str">
        <f>IFERROR(__xludf.DUMMYFUNCTION("""COMPUTED_VALUE"""),"")</f>
        <v/>
      </c>
      <c r="CN47" s="439" t="str">
        <f>IFERROR(__xludf.DUMMYFUNCTION("""COMPUTED_VALUE"""),"Monferno")</f>
        <v>Monferno</v>
      </c>
      <c r="CO47" s="426" t="s">
        <v>216</v>
      </c>
      <c r="CP47" s="456">
        <v>3.0</v>
      </c>
      <c r="CQ47" s="49"/>
      <c r="CR47" s="419" t="str">
        <f>IFERROR(__xludf.DUMMYFUNCTION("""COMPUTED_VALUE"""),"")</f>
        <v/>
      </c>
      <c r="CS47" s="487" t="str">
        <f>IFERROR(__xludf.DUMMYFUNCTION("""COMPUTED_VALUE"""),"Jumpluff")</f>
        <v>Jumpluff</v>
      </c>
      <c r="CT47" s="575" t="s">
        <v>216</v>
      </c>
      <c r="CU47" s="456">
        <v>2.0</v>
      </c>
      <c r="CV47" s="49"/>
      <c r="CW47" s="453"/>
      <c r="CX47" s="455"/>
      <c r="CY47" s="525"/>
      <c r="CZ47" s="525"/>
      <c r="DA47" s="49"/>
      <c r="DB47" s="457"/>
      <c r="DC47" s="535"/>
      <c r="DD47" s="525"/>
      <c r="DE47" s="535"/>
      <c r="DF47" s="49"/>
      <c r="DG47" s="458"/>
      <c r="DH47" s="459"/>
      <c r="DI47" s="525"/>
      <c r="DJ47" s="525"/>
      <c r="DK47" s="49"/>
      <c r="DL47" s="198"/>
      <c r="DM47" s="460"/>
      <c r="DN47" s="525"/>
      <c r="DO47" s="525"/>
      <c r="DP47" s="49"/>
      <c r="DQ47" s="461"/>
      <c r="DR47" s="462"/>
      <c r="DS47" s="525"/>
      <c r="DT47" s="525"/>
      <c r="DU47" s="49"/>
      <c r="DV47" s="463"/>
      <c r="DW47" s="464"/>
      <c r="DX47" s="525"/>
      <c r="DY47" s="525"/>
      <c r="DZ47" s="49"/>
      <c r="EA47" s="465"/>
      <c r="EB47" s="466"/>
      <c r="EC47" s="426"/>
      <c r="ED47" s="456"/>
      <c r="EE47" s="49"/>
      <c r="EF47" s="17"/>
    </row>
    <row r="48" ht="17.25" customHeight="1">
      <c r="A48" s="468"/>
      <c r="B48" s="469"/>
      <c r="C48" s="170"/>
      <c r="D48" s="171"/>
      <c r="E48" s="49"/>
      <c r="F48" s="200"/>
      <c r="G48" s="200"/>
      <c r="H48" s="200" t="s">
        <v>230</v>
      </c>
      <c r="I48" s="200"/>
      <c r="J48" s="200"/>
      <c r="K48" s="200"/>
      <c r="L48" s="476"/>
      <c r="M48" s="200" t="s">
        <v>230</v>
      </c>
      <c r="N48" s="200"/>
      <c r="O48" s="200"/>
      <c r="P48" s="200"/>
      <c r="Q48" s="476"/>
      <c r="R48" s="200" t="s">
        <v>230</v>
      </c>
      <c r="S48" s="200"/>
      <c r="T48" s="200"/>
      <c r="U48" s="200"/>
      <c r="V48" s="476"/>
      <c r="W48" s="200" t="s">
        <v>230</v>
      </c>
      <c r="X48" s="200"/>
      <c r="Y48" s="200"/>
      <c r="Z48" s="200"/>
      <c r="AA48" s="560"/>
      <c r="AB48" s="200" t="s">
        <v>230</v>
      </c>
      <c r="AC48" s="200"/>
      <c r="AD48" s="200"/>
      <c r="AE48" s="200"/>
      <c r="AF48" s="200"/>
      <c r="AG48" s="200" t="s">
        <v>230</v>
      </c>
      <c r="AH48" s="200"/>
      <c r="AI48" s="200"/>
      <c r="AJ48" s="200"/>
      <c r="AK48" s="476"/>
      <c r="AL48" s="200" t="s">
        <v>230</v>
      </c>
      <c r="AM48" s="200"/>
      <c r="AN48" s="200"/>
      <c r="AO48" s="200"/>
      <c r="AP48" s="476"/>
      <c r="AQ48" s="200" t="s">
        <v>230</v>
      </c>
      <c r="AR48" s="200"/>
      <c r="AS48" s="200"/>
      <c r="AT48" s="200"/>
      <c r="AU48" s="425"/>
      <c r="AV48" s="545" t="s">
        <v>230</v>
      </c>
      <c r="AW48" s="425"/>
      <c r="AX48" s="49"/>
      <c r="AY48" s="296"/>
      <c r="AZ48" s="541"/>
      <c r="BA48" s="554" t="s">
        <v>230</v>
      </c>
      <c r="BB48" s="541"/>
      <c r="BC48" s="49"/>
      <c r="BD48" s="327"/>
      <c r="BE48" s="556"/>
      <c r="BF48" s="557" t="s">
        <v>230</v>
      </c>
      <c r="BG48" s="556"/>
      <c r="BH48" s="49"/>
      <c r="BI48" s="346"/>
      <c r="BJ48" s="558"/>
      <c r="BK48" s="587" t="s">
        <v>230</v>
      </c>
      <c r="BL48" s="558"/>
      <c r="BM48" s="49"/>
      <c r="BN48" s="446"/>
      <c r="BO48" s="535"/>
      <c r="BP48" s="525" t="s">
        <v>230</v>
      </c>
      <c r="BQ48" s="535"/>
      <c r="BR48" s="49"/>
      <c r="BS48" s="353"/>
      <c r="BT48" s="472"/>
      <c r="BU48" s="586" t="s">
        <v>230</v>
      </c>
      <c r="BV48" s="472"/>
      <c r="BW48" s="49"/>
      <c r="BX48" s="368"/>
      <c r="BY48" s="578"/>
      <c r="BZ48" s="593" t="s">
        <v>230</v>
      </c>
      <c r="CA48" s="578"/>
      <c r="CB48" s="49"/>
      <c r="CC48" s="388"/>
      <c r="CD48" s="535"/>
      <c r="CE48" s="525" t="s">
        <v>230</v>
      </c>
      <c r="CF48" s="525"/>
      <c r="CG48" s="49"/>
      <c r="CH48" s="402"/>
      <c r="CI48" s="439"/>
      <c r="CJ48" s="426" t="s">
        <v>230</v>
      </c>
      <c r="CK48" s="439"/>
      <c r="CL48" s="49"/>
      <c r="CM48" s="402" t="str">
        <f>IFERROR(__xludf.DUMMYFUNCTION("""COMPUTED_VALUE"""),"")</f>
        <v/>
      </c>
      <c r="CN48" s="439" t="str">
        <f>IFERROR(__xludf.DUMMYFUNCTION("""COMPUTED_VALUE"""),"Morgrem")</f>
        <v>Morgrem</v>
      </c>
      <c r="CO48" s="426" t="s">
        <v>216</v>
      </c>
      <c r="CP48" s="456">
        <v>2.0</v>
      </c>
      <c r="CQ48" s="49"/>
      <c r="CR48" s="419" t="str">
        <f>IFERROR(__xludf.DUMMYFUNCTION("""COMPUTED_VALUE"""),"")</f>
        <v/>
      </c>
      <c r="CS48" s="487" t="str">
        <f>IFERROR(__xludf.DUMMYFUNCTION("""COMPUTED_VALUE"""),"Koffing")</f>
        <v>Koffing</v>
      </c>
      <c r="CT48" s="575" t="s">
        <v>216</v>
      </c>
      <c r="CU48" s="456">
        <v>1.0</v>
      </c>
      <c r="CV48" s="49"/>
      <c r="CW48" s="453"/>
      <c r="CX48" s="455"/>
      <c r="CY48" s="525"/>
      <c r="CZ48" s="525"/>
      <c r="DA48" s="49"/>
      <c r="DB48" s="446"/>
      <c r="DC48" s="535"/>
      <c r="DD48" s="525"/>
      <c r="DE48" s="535"/>
      <c r="DF48" s="446"/>
      <c r="DG48" s="594"/>
      <c r="DH48" s="459"/>
      <c r="DI48" s="525"/>
      <c r="DJ48" s="525"/>
      <c r="DK48" s="49"/>
      <c r="DL48" s="198"/>
      <c r="DM48" s="460"/>
      <c r="DN48" s="525"/>
      <c r="DO48" s="525"/>
      <c r="DP48" s="49"/>
      <c r="DQ48" s="461"/>
      <c r="DR48" s="462"/>
      <c r="DS48" s="525"/>
      <c r="DT48" s="525"/>
      <c r="DU48" s="49"/>
      <c r="DV48" s="463"/>
      <c r="DW48" s="464"/>
      <c r="DX48" s="525"/>
      <c r="DY48" s="525"/>
      <c r="DZ48" s="49"/>
      <c r="EA48" s="465"/>
      <c r="EB48" s="466"/>
      <c r="EC48" s="426"/>
      <c r="ED48" s="456"/>
      <c r="EE48" s="49"/>
      <c r="EF48" s="17"/>
    </row>
    <row r="49" ht="17.25" customHeight="1">
      <c r="A49" s="17"/>
      <c r="B49" s="49"/>
      <c r="C49" s="170"/>
      <c r="D49" s="171"/>
      <c r="E49" s="49"/>
      <c r="F49" s="200"/>
      <c r="G49" s="200"/>
      <c r="H49" s="200" t="s">
        <v>230</v>
      </c>
      <c r="I49" s="200"/>
      <c r="J49" s="200"/>
      <c r="K49" s="200"/>
      <c r="L49" s="476"/>
      <c r="M49" s="200" t="s">
        <v>230</v>
      </c>
      <c r="N49" s="200"/>
      <c r="O49" s="200"/>
      <c r="P49" s="200"/>
      <c r="Q49" s="476"/>
      <c r="R49" s="200" t="s">
        <v>230</v>
      </c>
      <c r="S49" s="200"/>
      <c r="T49" s="200"/>
      <c r="U49" s="200"/>
      <c r="V49" s="476"/>
      <c r="W49" s="200" t="s">
        <v>230</v>
      </c>
      <c r="X49" s="200"/>
      <c r="Y49" s="200"/>
      <c r="Z49" s="200"/>
      <c r="AA49" s="476"/>
      <c r="AB49" s="200" t="s">
        <v>230</v>
      </c>
      <c r="AC49" s="200"/>
      <c r="AD49" s="200"/>
      <c r="AE49" s="200"/>
      <c r="AF49" s="200"/>
      <c r="AG49" s="200" t="s">
        <v>230</v>
      </c>
      <c r="AH49" s="200"/>
      <c r="AI49" s="200"/>
      <c r="AJ49" s="200"/>
      <c r="AK49" s="476"/>
      <c r="AL49" s="200" t="s">
        <v>230</v>
      </c>
      <c r="AM49" s="200"/>
      <c r="AN49" s="200"/>
      <c r="AO49" s="200"/>
      <c r="AP49" s="476"/>
      <c r="AQ49" s="200" t="s">
        <v>230</v>
      </c>
      <c r="AR49" s="200"/>
      <c r="AS49" s="200"/>
      <c r="AT49" s="200"/>
      <c r="AU49" s="425"/>
      <c r="AV49" s="545" t="s">
        <v>230</v>
      </c>
      <c r="AW49" s="425"/>
      <c r="AX49" s="49"/>
      <c r="AY49" s="296"/>
      <c r="AZ49" s="541"/>
      <c r="BA49" s="554" t="s">
        <v>230</v>
      </c>
      <c r="BB49" s="541"/>
      <c r="BC49" s="49"/>
      <c r="BD49" s="327"/>
      <c r="BE49" s="556"/>
      <c r="BF49" s="557" t="s">
        <v>230</v>
      </c>
      <c r="BG49" s="556"/>
      <c r="BH49" s="49"/>
      <c r="BI49" s="346"/>
      <c r="BJ49" s="558"/>
      <c r="BK49" s="587" t="s">
        <v>230</v>
      </c>
      <c r="BL49" s="558"/>
      <c r="BM49" s="49"/>
      <c r="BN49" s="446"/>
      <c r="BO49" s="535"/>
      <c r="BP49" s="525" t="s">
        <v>230</v>
      </c>
      <c r="BQ49" s="535"/>
      <c r="BR49" s="49"/>
      <c r="BS49" s="353"/>
      <c r="BT49" s="472"/>
      <c r="BU49" s="586" t="s">
        <v>230</v>
      </c>
      <c r="BV49" s="472"/>
      <c r="BW49" s="49"/>
      <c r="BX49" s="368"/>
      <c r="BY49" s="578"/>
      <c r="BZ49" s="593" t="s">
        <v>230</v>
      </c>
      <c r="CA49" s="578"/>
      <c r="CB49" s="49"/>
      <c r="CC49" s="388"/>
      <c r="CD49" s="535"/>
      <c r="CE49" s="525" t="s">
        <v>230</v>
      </c>
      <c r="CF49" s="525"/>
      <c r="CG49" s="49"/>
      <c r="CH49" s="402"/>
      <c r="CI49" s="439"/>
      <c r="CJ49" s="426" t="s">
        <v>230</v>
      </c>
      <c r="CK49" s="439"/>
      <c r="CL49" s="49"/>
      <c r="CM49" s="402" t="str">
        <f>IFERROR(__xludf.DUMMYFUNCTION("""COMPUTED_VALUE"""),"")</f>
        <v/>
      </c>
      <c r="CN49" s="439" t="str">
        <f>IFERROR(__xludf.DUMMYFUNCTION("""COMPUTED_VALUE"""),"Munchlax")</f>
        <v>Munchlax</v>
      </c>
      <c r="CO49" s="426" t="s">
        <v>216</v>
      </c>
      <c r="CP49" s="456">
        <v>3.0</v>
      </c>
      <c r="CQ49" s="49"/>
      <c r="CR49" s="419" t="str">
        <f>IFERROR(__xludf.DUMMYFUNCTION("""COMPUTED_VALUE"""),"")</f>
        <v/>
      </c>
      <c r="CS49" s="487" t="str">
        <f>IFERROR(__xludf.DUMMYFUNCTION("""COMPUTED_VALUE"""),"Kricketune")</f>
        <v>Kricketune</v>
      </c>
      <c r="CT49" s="575" t="s">
        <v>216</v>
      </c>
      <c r="CU49" s="456">
        <v>1.0</v>
      </c>
      <c r="CV49" s="49"/>
      <c r="CW49" s="453"/>
      <c r="CX49" s="455"/>
      <c r="CY49" s="525"/>
      <c r="CZ49" s="525"/>
      <c r="DA49" s="49"/>
      <c r="DB49" s="446"/>
      <c r="DC49" s="535"/>
      <c r="DD49" s="525"/>
      <c r="DE49" s="535"/>
      <c r="DF49" s="446"/>
      <c r="DG49" s="594"/>
      <c r="DH49" s="459"/>
      <c r="DI49" s="525"/>
      <c r="DJ49" s="525"/>
      <c r="DK49" s="49"/>
      <c r="DL49" s="198"/>
      <c r="DM49" s="460"/>
      <c r="DN49" s="525"/>
      <c r="DO49" s="525"/>
      <c r="DP49" s="49"/>
      <c r="DQ49" s="461"/>
      <c r="DR49" s="462"/>
      <c r="DS49" s="525"/>
      <c r="DT49" s="525"/>
      <c r="DU49" s="49"/>
      <c r="DV49" s="463"/>
      <c r="DW49" s="464"/>
      <c r="DX49" s="525"/>
      <c r="DY49" s="525"/>
      <c r="DZ49" s="49"/>
      <c r="EA49" s="465"/>
      <c r="EB49" s="466"/>
      <c r="EC49" s="426"/>
      <c r="ED49" s="456"/>
      <c r="EE49" s="49"/>
      <c r="EF49" s="17"/>
    </row>
    <row r="50" ht="17.25" customHeight="1">
      <c r="A50" s="468"/>
      <c r="B50" s="469"/>
      <c r="C50" s="170"/>
      <c r="D50" s="171"/>
      <c r="E50" s="49"/>
      <c r="F50" s="200"/>
      <c r="G50" s="200"/>
      <c r="H50" s="200" t="s">
        <v>230</v>
      </c>
      <c r="I50" s="200"/>
      <c r="J50" s="200"/>
      <c r="K50" s="200"/>
      <c r="L50" s="476"/>
      <c r="M50" s="200" t="s">
        <v>230</v>
      </c>
      <c r="N50" s="200"/>
      <c r="O50" s="200"/>
      <c r="P50" s="200"/>
      <c r="Q50" s="476"/>
      <c r="R50" s="200" t="s">
        <v>230</v>
      </c>
      <c r="S50" s="200"/>
      <c r="T50" s="200"/>
      <c r="U50" s="200"/>
      <c r="V50" s="476"/>
      <c r="W50" s="200" t="s">
        <v>230</v>
      </c>
      <c r="X50" s="200"/>
      <c r="Y50" s="200"/>
      <c r="Z50" s="200"/>
      <c r="AA50" s="476"/>
      <c r="AB50" s="200" t="s">
        <v>230</v>
      </c>
      <c r="AC50" s="200"/>
      <c r="AD50" s="200"/>
      <c r="AE50" s="200"/>
      <c r="AF50" s="200"/>
      <c r="AG50" s="200" t="s">
        <v>230</v>
      </c>
      <c r="AH50" s="200"/>
      <c r="AI50" s="200"/>
      <c r="AJ50" s="200"/>
      <c r="AK50" s="476"/>
      <c r="AL50" s="200" t="s">
        <v>230</v>
      </c>
      <c r="AM50" s="200"/>
      <c r="AN50" s="200"/>
      <c r="AO50" s="200"/>
      <c r="AP50" s="476"/>
      <c r="AQ50" s="200" t="s">
        <v>230</v>
      </c>
      <c r="AR50" s="200"/>
      <c r="AS50" s="200"/>
      <c r="AT50" s="200"/>
      <c r="AU50" s="425"/>
      <c r="AV50" s="545" t="s">
        <v>230</v>
      </c>
      <c r="AW50" s="425"/>
      <c r="AX50" s="49"/>
      <c r="AY50" s="296"/>
      <c r="AZ50" s="541"/>
      <c r="BA50" s="554" t="s">
        <v>230</v>
      </c>
      <c r="BB50" s="541"/>
      <c r="BC50" s="49"/>
      <c r="BD50" s="327"/>
      <c r="BE50" s="556"/>
      <c r="BF50" s="557" t="s">
        <v>230</v>
      </c>
      <c r="BG50" s="556"/>
      <c r="BH50" s="49"/>
      <c r="BI50" s="346"/>
      <c r="BJ50" s="558"/>
      <c r="BK50" s="587" t="s">
        <v>230</v>
      </c>
      <c r="BL50" s="558"/>
      <c r="BM50" s="49"/>
      <c r="BN50" s="446"/>
      <c r="BO50" s="535"/>
      <c r="BP50" s="525" t="s">
        <v>230</v>
      </c>
      <c r="BQ50" s="535"/>
      <c r="BR50" s="49"/>
      <c r="BS50" s="353"/>
      <c r="BT50" s="472"/>
      <c r="BU50" s="586" t="s">
        <v>230</v>
      </c>
      <c r="BV50" s="472"/>
      <c r="BW50" s="49"/>
      <c r="BX50" s="368"/>
      <c r="BY50" s="578"/>
      <c r="BZ50" s="593" t="s">
        <v>230</v>
      </c>
      <c r="CA50" s="578"/>
      <c r="CB50" s="49"/>
      <c r="CC50" s="388"/>
      <c r="CD50" s="535"/>
      <c r="CE50" s="525" t="s">
        <v>230</v>
      </c>
      <c r="CF50" s="525"/>
      <c r="CG50" s="49"/>
      <c r="CH50" s="402"/>
      <c r="CI50" s="439"/>
      <c r="CJ50" s="426" t="s">
        <v>230</v>
      </c>
      <c r="CK50" s="439"/>
      <c r="CL50" s="49"/>
      <c r="CM50" s="402" t="str">
        <f>IFERROR(__xludf.DUMMYFUNCTION("""COMPUTED_VALUE"""),"")</f>
        <v/>
      </c>
      <c r="CN50" s="439" t="str">
        <f>IFERROR(__xludf.DUMMYFUNCTION("""COMPUTED_VALUE"""),"Naclstack")</f>
        <v>Naclstack</v>
      </c>
      <c r="CO50" s="426" t="s">
        <v>216</v>
      </c>
      <c r="CP50" s="456">
        <v>4.0</v>
      </c>
      <c r="CQ50" s="49"/>
      <c r="CR50" s="419" t="str">
        <f>IFERROR(__xludf.DUMMYFUNCTION("""COMPUTED_VALUE"""),"")</f>
        <v/>
      </c>
      <c r="CS50" s="487" t="str">
        <f>IFERROR(__xludf.DUMMYFUNCTION("""COMPUTED_VALUE"""),"Krokorok")</f>
        <v>Krokorok</v>
      </c>
      <c r="CT50" s="575" t="s">
        <v>216</v>
      </c>
      <c r="CU50" s="456">
        <v>1.0</v>
      </c>
      <c r="CV50" s="49"/>
      <c r="CW50" s="453"/>
      <c r="CX50" s="455"/>
      <c r="CY50" s="525"/>
      <c r="CZ50" s="525"/>
      <c r="DA50" s="49"/>
      <c r="DB50" s="446"/>
      <c r="DC50" s="535"/>
      <c r="DD50" s="525"/>
      <c r="DE50" s="535"/>
      <c r="DF50" s="446"/>
      <c r="DG50" s="594"/>
      <c r="DH50" s="459"/>
      <c r="DI50" s="525"/>
      <c r="DJ50" s="525"/>
      <c r="DK50" s="49"/>
      <c r="DL50" s="198"/>
      <c r="DM50" s="460"/>
      <c r="DN50" s="525"/>
      <c r="DO50" s="525"/>
      <c r="DP50" s="49"/>
      <c r="DQ50" s="461"/>
      <c r="DR50" s="462"/>
      <c r="DS50" s="525"/>
      <c r="DT50" s="525"/>
      <c r="DU50" s="49"/>
      <c r="DV50" s="463"/>
      <c r="DW50" s="464"/>
      <c r="DX50" s="525"/>
      <c r="DY50" s="525"/>
      <c r="DZ50" s="49"/>
      <c r="EA50" s="465"/>
      <c r="EB50" s="466"/>
      <c r="EC50" s="426"/>
      <c r="ED50" s="456"/>
      <c r="EE50" s="49"/>
      <c r="EF50" s="17"/>
    </row>
    <row r="51" ht="17.25" customHeight="1">
      <c r="A51" s="16"/>
      <c r="B51" s="47"/>
      <c r="C51" s="170"/>
      <c r="D51" s="171"/>
      <c r="E51" s="49"/>
      <c r="F51" s="200"/>
      <c r="G51" s="200"/>
      <c r="H51" s="200" t="s">
        <v>230</v>
      </c>
      <c r="I51" s="200"/>
      <c r="J51" s="200"/>
      <c r="K51" s="200"/>
      <c r="L51" s="476"/>
      <c r="M51" s="200" t="s">
        <v>230</v>
      </c>
      <c r="N51" s="200"/>
      <c r="O51" s="200"/>
      <c r="P51" s="200"/>
      <c r="Q51" s="476"/>
      <c r="R51" s="200" t="s">
        <v>230</v>
      </c>
      <c r="S51" s="200"/>
      <c r="T51" s="200"/>
      <c r="U51" s="200"/>
      <c r="V51" s="476"/>
      <c r="W51" s="200" t="s">
        <v>230</v>
      </c>
      <c r="X51" s="200"/>
      <c r="Y51" s="200"/>
      <c r="Z51" s="200"/>
      <c r="AA51" s="476"/>
      <c r="AB51" s="200" t="s">
        <v>230</v>
      </c>
      <c r="AC51" s="200"/>
      <c r="AD51" s="200"/>
      <c r="AE51" s="200"/>
      <c r="AF51" s="200"/>
      <c r="AG51" s="200" t="s">
        <v>230</v>
      </c>
      <c r="AH51" s="200"/>
      <c r="AI51" s="200"/>
      <c r="AJ51" s="200"/>
      <c r="AK51" s="476"/>
      <c r="AL51" s="200" t="s">
        <v>230</v>
      </c>
      <c r="AM51" s="200"/>
      <c r="AN51" s="200"/>
      <c r="AO51" s="200"/>
      <c r="AP51" s="476"/>
      <c r="AQ51" s="200" t="s">
        <v>230</v>
      </c>
      <c r="AR51" s="200"/>
      <c r="AS51" s="200"/>
      <c r="AT51" s="200"/>
      <c r="AU51" s="425"/>
      <c r="AV51" s="545" t="s">
        <v>230</v>
      </c>
      <c r="AW51" s="425"/>
      <c r="AX51" s="49"/>
      <c r="AY51" s="296"/>
      <c r="AZ51" s="541"/>
      <c r="BA51" s="554" t="s">
        <v>230</v>
      </c>
      <c r="BB51" s="541"/>
      <c r="BC51" s="49"/>
      <c r="BD51" s="327"/>
      <c r="BE51" s="556"/>
      <c r="BF51" s="557" t="s">
        <v>230</v>
      </c>
      <c r="BG51" s="556"/>
      <c r="BH51" s="49"/>
      <c r="BI51" s="346"/>
      <c r="BJ51" s="558"/>
      <c r="BK51" s="587" t="s">
        <v>230</v>
      </c>
      <c r="BL51" s="558"/>
      <c r="BM51" s="49"/>
      <c r="BN51" s="446"/>
      <c r="BO51" s="535"/>
      <c r="BP51" s="525" t="s">
        <v>230</v>
      </c>
      <c r="BQ51" s="535"/>
      <c r="BR51" s="49"/>
      <c r="BS51" s="353"/>
      <c r="BT51" s="472"/>
      <c r="BU51" s="586" t="s">
        <v>230</v>
      </c>
      <c r="BV51" s="472"/>
      <c r="BW51" s="49"/>
      <c r="BX51" s="368"/>
      <c r="BY51" s="578"/>
      <c r="BZ51" s="593" t="s">
        <v>230</v>
      </c>
      <c r="CA51" s="578"/>
      <c r="CB51" s="49"/>
      <c r="CC51" s="388"/>
      <c r="CD51" s="535"/>
      <c r="CE51" s="525" t="s">
        <v>230</v>
      </c>
      <c r="CF51" s="525"/>
      <c r="CG51" s="49"/>
      <c r="CH51" s="402"/>
      <c r="CI51" s="439"/>
      <c r="CJ51" s="426" t="s">
        <v>230</v>
      </c>
      <c r="CK51" s="439"/>
      <c r="CL51" s="49"/>
      <c r="CM51" s="402" t="str">
        <f>IFERROR(__xludf.DUMMYFUNCTION("""COMPUTED_VALUE"""),"")</f>
        <v/>
      </c>
      <c r="CN51" s="439" t="str">
        <f>IFERROR(__xludf.DUMMYFUNCTION("""COMPUTED_VALUE"""),"Oinkologne")</f>
        <v>Oinkologne</v>
      </c>
      <c r="CO51" s="426" t="s">
        <v>216</v>
      </c>
      <c r="CP51" s="456">
        <v>3.0</v>
      </c>
      <c r="CQ51" s="49"/>
      <c r="CR51" s="419" t="str">
        <f>IFERROR(__xludf.DUMMYFUNCTION("""COMPUTED_VALUE"""),"")</f>
        <v/>
      </c>
      <c r="CS51" s="487" t="str">
        <f>IFERROR(__xludf.DUMMYFUNCTION("""COMPUTED_VALUE"""),"Lumineon")</f>
        <v>Lumineon</v>
      </c>
      <c r="CT51" s="575" t="s">
        <v>216</v>
      </c>
      <c r="CU51" s="456">
        <v>2.0</v>
      </c>
      <c r="CV51" s="49"/>
      <c r="CW51" s="453"/>
      <c r="CX51" s="455"/>
      <c r="CY51" s="525"/>
      <c r="CZ51" s="525"/>
      <c r="DA51" s="49"/>
      <c r="DB51" s="446"/>
      <c r="DC51" s="535"/>
      <c r="DD51" s="525"/>
      <c r="DE51" s="535"/>
      <c r="DF51" s="446"/>
      <c r="DG51" s="446"/>
      <c r="DH51" s="535"/>
      <c r="DI51" s="525"/>
      <c r="DJ51" s="535"/>
      <c r="DK51" s="49"/>
      <c r="DL51" s="198"/>
      <c r="DM51" s="460"/>
      <c r="DN51" s="525"/>
      <c r="DO51" s="525"/>
      <c r="DP51" s="49"/>
      <c r="DQ51" s="461"/>
      <c r="DR51" s="462"/>
      <c r="DS51" s="525"/>
      <c r="DT51" s="525"/>
      <c r="DU51" s="49"/>
      <c r="DV51" s="463"/>
      <c r="DW51" s="464"/>
      <c r="DX51" s="525"/>
      <c r="DY51" s="525"/>
      <c r="DZ51" s="49"/>
      <c r="EA51" s="465"/>
      <c r="EB51" s="466"/>
      <c r="EC51" s="426"/>
      <c r="ED51" s="456"/>
      <c r="EE51" s="49"/>
      <c r="EF51" s="17"/>
    </row>
    <row r="52" ht="17.25" customHeight="1">
      <c r="A52" s="468"/>
      <c r="B52" s="469"/>
      <c r="C52" s="170"/>
      <c r="D52" s="171"/>
      <c r="E52" s="49"/>
      <c r="F52" s="200"/>
      <c r="G52" s="200"/>
      <c r="H52" s="200" t="s">
        <v>230</v>
      </c>
      <c r="I52" s="200"/>
      <c r="J52" s="200"/>
      <c r="K52" s="200"/>
      <c r="L52" s="476"/>
      <c r="M52" s="200" t="s">
        <v>230</v>
      </c>
      <c r="N52" s="200"/>
      <c r="O52" s="200"/>
      <c r="P52" s="200"/>
      <c r="Q52" s="476"/>
      <c r="R52" s="200" t="s">
        <v>230</v>
      </c>
      <c r="S52" s="200"/>
      <c r="T52" s="200"/>
      <c r="U52" s="200"/>
      <c r="V52" s="476"/>
      <c r="W52" s="200" t="s">
        <v>230</v>
      </c>
      <c r="X52" s="200"/>
      <c r="Y52" s="200"/>
      <c r="Z52" s="200"/>
      <c r="AA52" s="476"/>
      <c r="AB52" s="200" t="s">
        <v>230</v>
      </c>
      <c r="AC52" s="200"/>
      <c r="AD52" s="200"/>
      <c r="AE52" s="200"/>
      <c r="AF52" s="200"/>
      <c r="AG52" s="200" t="s">
        <v>230</v>
      </c>
      <c r="AH52" s="200"/>
      <c r="AI52" s="200"/>
      <c r="AJ52" s="200"/>
      <c r="AK52" s="476"/>
      <c r="AL52" s="200" t="s">
        <v>230</v>
      </c>
      <c r="AM52" s="200"/>
      <c r="AN52" s="200"/>
      <c r="AO52" s="200"/>
      <c r="AP52" s="476"/>
      <c r="AQ52" s="200" t="s">
        <v>230</v>
      </c>
      <c r="AR52" s="200"/>
      <c r="AS52" s="200"/>
      <c r="AT52" s="200"/>
      <c r="AU52" s="425"/>
      <c r="AV52" s="545" t="s">
        <v>230</v>
      </c>
      <c r="AW52" s="425"/>
      <c r="AX52" s="49"/>
      <c r="AY52" s="296"/>
      <c r="AZ52" s="541"/>
      <c r="BA52" s="554" t="s">
        <v>230</v>
      </c>
      <c r="BB52" s="541"/>
      <c r="BC52" s="49"/>
      <c r="BD52" s="327"/>
      <c r="BE52" s="556"/>
      <c r="BF52" s="557" t="s">
        <v>230</v>
      </c>
      <c r="BG52" s="556"/>
      <c r="BH52" s="49"/>
      <c r="BI52" s="346"/>
      <c r="BJ52" s="558"/>
      <c r="BK52" s="587" t="s">
        <v>230</v>
      </c>
      <c r="BL52" s="558"/>
      <c r="BM52" s="49"/>
      <c r="BN52" s="446"/>
      <c r="BO52" s="535"/>
      <c r="BP52" s="525" t="s">
        <v>230</v>
      </c>
      <c r="BQ52" s="535"/>
      <c r="BR52" s="49"/>
      <c r="BS52" s="353"/>
      <c r="BT52" s="472"/>
      <c r="BU52" s="586" t="s">
        <v>230</v>
      </c>
      <c r="BV52" s="472"/>
      <c r="BW52" s="49"/>
      <c r="BX52" s="368"/>
      <c r="BY52" s="578"/>
      <c r="BZ52" s="593" t="s">
        <v>230</v>
      </c>
      <c r="CA52" s="578"/>
      <c r="CB52" s="49"/>
      <c r="CC52" s="388"/>
      <c r="CD52" s="488"/>
      <c r="CE52" s="595" t="s">
        <v>230</v>
      </c>
      <c r="CF52" s="595"/>
      <c r="CG52" s="49"/>
      <c r="CH52" s="402"/>
      <c r="CI52" s="439"/>
      <c r="CJ52" s="426" t="s">
        <v>230</v>
      </c>
      <c r="CK52" s="439"/>
      <c r="CL52" s="49"/>
      <c r="CM52" s="402" t="str">
        <f>IFERROR(__xludf.DUMMYFUNCTION("""COMPUTED_VALUE"""),"")</f>
        <v/>
      </c>
      <c r="CN52" s="439" t="str">
        <f>IFERROR(__xludf.DUMMYFUNCTION("""COMPUTED_VALUE"""),"Oranguru")</f>
        <v>Oranguru</v>
      </c>
      <c r="CO52" s="426" t="s">
        <v>216</v>
      </c>
      <c r="CP52" s="456">
        <v>3.0</v>
      </c>
      <c r="CQ52" s="49"/>
      <c r="CR52" s="419" t="str">
        <f>IFERROR(__xludf.DUMMYFUNCTION("""COMPUTED_VALUE"""),"")</f>
        <v/>
      </c>
      <c r="CS52" s="487" t="str">
        <f>IFERROR(__xludf.DUMMYFUNCTION("""COMPUTED_VALUE"""),"Magcargo")</f>
        <v>Magcargo</v>
      </c>
      <c r="CT52" s="575" t="s">
        <v>216</v>
      </c>
      <c r="CU52" s="456">
        <v>2.0</v>
      </c>
      <c r="CV52" s="49"/>
      <c r="CW52" s="453"/>
      <c r="CX52" s="535"/>
      <c r="CY52" s="525"/>
      <c r="CZ52" s="535"/>
      <c r="DA52" s="49"/>
      <c r="DB52" s="446"/>
      <c r="DC52" s="535"/>
      <c r="DD52" s="525"/>
      <c r="DE52" s="535"/>
      <c r="DF52" s="446"/>
      <c r="DG52" s="446"/>
      <c r="DH52" s="535"/>
      <c r="DI52" s="525"/>
      <c r="DJ52" s="535"/>
      <c r="DK52" s="49"/>
      <c r="DL52" s="198"/>
      <c r="DM52" s="460"/>
      <c r="DN52" s="525"/>
      <c r="DO52" s="525"/>
      <c r="DP52" s="49"/>
      <c r="DQ52" s="461"/>
      <c r="DR52" s="462"/>
      <c r="DS52" s="525"/>
      <c r="DT52" s="525"/>
      <c r="DU52" s="49"/>
      <c r="DV52" s="463"/>
      <c r="DW52" s="464"/>
      <c r="DX52" s="525"/>
      <c r="DY52" s="525"/>
      <c r="DZ52" s="49"/>
      <c r="EA52" s="465"/>
      <c r="EB52" s="466"/>
      <c r="EC52" s="426"/>
      <c r="ED52" s="456"/>
      <c r="EE52" s="49"/>
      <c r="EF52" s="17"/>
    </row>
    <row r="53" ht="17.25" customHeight="1">
      <c r="A53" s="16"/>
      <c r="B53" s="47"/>
      <c r="C53" s="170"/>
      <c r="D53" s="171"/>
      <c r="E53" s="49"/>
      <c r="F53" s="200"/>
      <c r="G53" s="200"/>
      <c r="H53" s="200" t="s">
        <v>230</v>
      </c>
      <c r="I53" s="200"/>
      <c r="J53" s="200"/>
      <c r="K53" s="200"/>
      <c r="L53" s="476"/>
      <c r="M53" s="200" t="s">
        <v>230</v>
      </c>
      <c r="N53" s="200"/>
      <c r="O53" s="200"/>
      <c r="P53" s="200"/>
      <c r="Q53" s="476"/>
      <c r="R53" s="200" t="s">
        <v>230</v>
      </c>
      <c r="S53" s="200"/>
      <c r="T53" s="200"/>
      <c r="U53" s="200"/>
      <c r="V53" s="476"/>
      <c r="W53" s="200" t="s">
        <v>230</v>
      </c>
      <c r="X53" s="200"/>
      <c r="Y53" s="200"/>
      <c r="Z53" s="200"/>
      <c r="AA53" s="476"/>
      <c r="AB53" s="200" t="s">
        <v>230</v>
      </c>
      <c r="AC53" s="200"/>
      <c r="AD53" s="200"/>
      <c r="AE53" s="200"/>
      <c r="AF53" s="200"/>
      <c r="AG53" s="200" t="s">
        <v>230</v>
      </c>
      <c r="AH53" s="200"/>
      <c r="AI53" s="200"/>
      <c r="AJ53" s="200"/>
      <c r="AK53" s="476"/>
      <c r="AL53" s="200" t="s">
        <v>230</v>
      </c>
      <c r="AM53" s="200"/>
      <c r="AN53" s="200"/>
      <c r="AO53" s="200"/>
      <c r="AP53" s="476"/>
      <c r="AQ53" s="200" t="s">
        <v>230</v>
      </c>
      <c r="AR53" s="200"/>
      <c r="AS53" s="200"/>
      <c r="AT53" s="200"/>
      <c r="AU53" s="425"/>
      <c r="AV53" s="545" t="s">
        <v>230</v>
      </c>
      <c r="AW53" s="425"/>
      <c r="AX53" s="49"/>
      <c r="AY53" s="296"/>
      <c r="AZ53" s="541"/>
      <c r="BA53" s="554" t="s">
        <v>230</v>
      </c>
      <c r="BB53" s="541"/>
      <c r="BC53" s="49"/>
      <c r="BD53" s="327"/>
      <c r="BE53" s="556"/>
      <c r="BF53" s="557" t="s">
        <v>230</v>
      </c>
      <c r="BG53" s="556"/>
      <c r="BH53" s="49"/>
      <c r="BI53" s="346"/>
      <c r="BJ53" s="558"/>
      <c r="BK53" s="587" t="s">
        <v>230</v>
      </c>
      <c r="BL53" s="558"/>
      <c r="BM53" s="49"/>
      <c r="BN53" s="429"/>
      <c r="BO53" s="485"/>
      <c r="BP53" s="596" t="s">
        <v>230</v>
      </c>
      <c r="BQ53" s="485"/>
      <c r="BR53" s="49"/>
      <c r="BS53" s="353"/>
      <c r="BT53" s="472"/>
      <c r="BU53" s="586" t="s">
        <v>230</v>
      </c>
      <c r="BV53" s="472"/>
      <c r="BW53" s="49"/>
      <c r="BX53" s="368"/>
      <c r="BY53" s="578"/>
      <c r="BZ53" s="593" t="s">
        <v>230</v>
      </c>
      <c r="CA53" s="578"/>
      <c r="CB53" s="49"/>
      <c r="CC53" s="388"/>
      <c r="CD53" s="488"/>
      <c r="CE53" s="595" t="s">
        <v>230</v>
      </c>
      <c r="CF53" s="595"/>
      <c r="CG53" s="49"/>
      <c r="CH53" s="402"/>
      <c r="CI53" s="439"/>
      <c r="CJ53" s="426" t="s">
        <v>230</v>
      </c>
      <c r="CK53" s="439"/>
      <c r="CL53" s="49"/>
      <c r="CM53" s="402" t="str">
        <f>IFERROR(__xludf.DUMMYFUNCTION("""COMPUTED_VALUE"""),"")</f>
        <v/>
      </c>
      <c r="CN53" s="439" t="str">
        <f>IFERROR(__xludf.DUMMYFUNCTION("""COMPUTED_VALUE"""),"Phione")</f>
        <v>Phione</v>
      </c>
      <c r="CO53" s="426" t="s">
        <v>216</v>
      </c>
      <c r="CP53" s="456">
        <v>3.0</v>
      </c>
      <c r="CQ53" s="49"/>
      <c r="CR53" s="419" t="str">
        <f>IFERROR(__xludf.DUMMYFUNCTION("""COMPUTED_VALUE"""),"")</f>
        <v/>
      </c>
      <c r="CS53" s="487" t="str">
        <f>IFERROR(__xludf.DUMMYFUNCTION("""COMPUTED_VALUE"""),"Magmar")</f>
        <v>Magmar</v>
      </c>
      <c r="CT53" s="575" t="s">
        <v>216</v>
      </c>
      <c r="CU53" s="456">
        <v>2.0</v>
      </c>
      <c r="CV53" s="49"/>
      <c r="CW53" s="453"/>
      <c r="CX53" s="535"/>
      <c r="CY53" s="525"/>
      <c r="CZ53" s="535"/>
      <c r="DA53" s="49"/>
      <c r="DB53" s="446"/>
      <c r="DC53" s="535"/>
      <c r="DD53" s="525"/>
      <c r="DE53" s="535"/>
      <c r="DF53" s="446"/>
      <c r="DG53" s="446"/>
      <c r="DH53" s="535"/>
      <c r="DI53" s="525"/>
      <c r="DJ53" s="535"/>
      <c r="DK53" s="49"/>
      <c r="DL53" s="198"/>
      <c r="DM53" s="460"/>
      <c r="DN53" s="525"/>
      <c r="DO53" s="525"/>
      <c r="DP53" s="49"/>
      <c r="DQ53" s="461"/>
      <c r="DR53" s="462"/>
      <c r="DS53" s="525"/>
      <c r="DT53" s="525"/>
      <c r="DU53" s="49"/>
      <c r="DV53" s="463"/>
      <c r="DW53" s="464"/>
      <c r="DX53" s="525"/>
      <c r="DY53" s="525"/>
      <c r="DZ53" s="49"/>
      <c r="EA53" s="465"/>
      <c r="EB53" s="466"/>
      <c r="EC53" s="426"/>
      <c r="ED53" s="456"/>
      <c r="EE53" s="49"/>
      <c r="EF53" s="17"/>
    </row>
    <row r="54" ht="17.25" customHeight="1">
      <c r="A54" s="468"/>
      <c r="B54" s="469"/>
      <c r="C54" s="170"/>
      <c r="D54" s="171"/>
      <c r="E54" s="49"/>
      <c r="F54" s="200"/>
      <c r="G54" s="200"/>
      <c r="H54" s="200" t="s">
        <v>230</v>
      </c>
      <c r="I54" s="200"/>
      <c r="J54" s="200"/>
      <c r="K54" s="200"/>
      <c r="L54" s="476"/>
      <c r="M54" s="200" t="s">
        <v>230</v>
      </c>
      <c r="N54" s="200"/>
      <c r="O54" s="200"/>
      <c r="P54" s="200"/>
      <c r="Q54" s="476"/>
      <c r="R54" s="200" t="s">
        <v>230</v>
      </c>
      <c r="S54" s="200"/>
      <c r="T54" s="200"/>
      <c r="U54" s="200"/>
      <c r="V54" s="476"/>
      <c r="W54" s="200" t="s">
        <v>230</v>
      </c>
      <c r="X54" s="200"/>
      <c r="Y54" s="200"/>
      <c r="Z54" s="200"/>
      <c r="AA54" s="476"/>
      <c r="AB54" s="200" t="s">
        <v>230</v>
      </c>
      <c r="AC54" s="200"/>
      <c r="AD54" s="200"/>
      <c r="AE54" s="200"/>
      <c r="AF54" s="200"/>
      <c r="AG54" s="200" t="s">
        <v>230</v>
      </c>
      <c r="AH54" s="200"/>
      <c r="AI54" s="200"/>
      <c r="AJ54" s="200"/>
      <c r="AK54" s="476"/>
      <c r="AL54" s="200" t="s">
        <v>230</v>
      </c>
      <c r="AM54" s="200"/>
      <c r="AN54" s="200"/>
      <c r="AO54" s="200"/>
      <c r="AP54" s="476"/>
      <c r="AQ54" s="200" t="s">
        <v>230</v>
      </c>
      <c r="AR54" s="200"/>
      <c r="AS54" s="200"/>
      <c r="AT54" s="200"/>
      <c r="AU54" s="425"/>
      <c r="AV54" s="545" t="s">
        <v>230</v>
      </c>
      <c r="AW54" s="425"/>
      <c r="AX54" s="49"/>
      <c r="AY54" s="296"/>
      <c r="AZ54" s="541"/>
      <c r="BA54" s="554" t="s">
        <v>230</v>
      </c>
      <c r="BB54" s="541"/>
      <c r="BC54" s="49"/>
      <c r="BD54" s="327"/>
      <c r="BE54" s="556"/>
      <c r="BF54" s="557" t="s">
        <v>230</v>
      </c>
      <c r="BG54" s="556"/>
      <c r="BH54" s="49"/>
      <c r="BI54" s="346"/>
      <c r="BJ54" s="558"/>
      <c r="BK54" s="587" t="s">
        <v>230</v>
      </c>
      <c r="BL54" s="558"/>
      <c r="BM54" s="49"/>
      <c r="BN54" s="429"/>
      <c r="BO54" s="485"/>
      <c r="BP54" s="596" t="s">
        <v>230</v>
      </c>
      <c r="BQ54" s="485"/>
      <c r="BR54" s="49"/>
      <c r="BS54" s="353"/>
      <c r="BT54" s="472"/>
      <c r="BU54" s="586" t="s">
        <v>230</v>
      </c>
      <c r="BV54" s="472"/>
      <c r="BW54" s="49"/>
      <c r="BX54" s="368"/>
      <c r="BY54" s="578"/>
      <c r="BZ54" s="593" t="s">
        <v>230</v>
      </c>
      <c r="CA54" s="578"/>
      <c r="CB54" s="49"/>
      <c r="CC54" s="388"/>
      <c r="CD54" s="488"/>
      <c r="CE54" s="595" t="s">
        <v>230</v>
      </c>
      <c r="CF54" s="595"/>
      <c r="CG54" s="49"/>
      <c r="CH54" s="402"/>
      <c r="CI54" s="439"/>
      <c r="CJ54" s="426" t="s">
        <v>230</v>
      </c>
      <c r="CK54" s="439"/>
      <c r="CL54" s="49"/>
      <c r="CM54" s="402" t="str">
        <f>IFERROR(__xludf.DUMMYFUNCTION("""COMPUTED_VALUE"""),"")</f>
        <v/>
      </c>
      <c r="CN54" s="439" t="str">
        <f>IFERROR(__xludf.DUMMYFUNCTION("""COMPUTED_VALUE"""),"Prinplup")</f>
        <v>Prinplup</v>
      </c>
      <c r="CO54" s="426" t="s">
        <v>216</v>
      </c>
      <c r="CP54" s="456">
        <v>3.0</v>
      </c>
      <c r="CQ54" s="49"/>
      <c r="CR54" s="419" t="str">
        <f>IFERROR(__xludf.DUMMYFUNCTION("""COMPUTED_VALUE"""),"")</f>
        <v/>
      </c>
      <c r="CS54" s="487" t="str">
        <f>IFERROR(__xludf.DUMMYFUNCTION("""COMPUTED_VALUE"""),"Mareanie")</f>
        <v>Mareanie</v>
      </c>
      <c r="CT54" s="575" t="s">
        <v>216</v>
      </c>
      <c r="CU54" s="456">
        <v>1.0</v>
      </c>
      <c r="CV54" s="49"/>
      <c r="CW54" s="453"/>
      <c r="CX54" s="535"/>
      <c r="CY54" s="525"/>
      <c r="CZ54" s="535"/>
      <c r="DA54" s="49"/>
      <c r="DB54" s="446"/>
      <c r="DC54" s="535"/>
      <c r="DD54" s="525"/>
      <c r="DE54" s="535"/>
      <c r="DF54" s="446"/>
      <c r="DG54" s="446"/>
      <c r="DH54" s="535"/>
      <c r="DI54" s="525"/>
      <c r="DJ54" s="535"/>
      <c r="DK54" s="49"/>
      <c r="DL54" s="198"/>
      <c r="DM54" s="460"/>
      <c r="DN54" s="525"/>
      <c r="DO54" s="525"/>
      <c r="DP54" s="49"/>
      <c r="DQ54" s="461"/>
      <c r="DR54" s="462"/>
      <c r="DS54" s="525"/>
      <c r="DT54" s="525"/>
      <c r="DU54" s="49"/>
      <c r="DV54" s="463"/>
      <c r="DW54" s="464"/>
      <c r="DX54" s="525"/>
      <c r="DY54" s="525"/>
      <c r="DZ54" s="49"/>
      <c r="EA54" s="465"/>
      <c r="EB54" s="466"/>
      <c r="EC54" s="426"/>
      <c r="ED54" s="456"/>
      <c r="EE54" s="49"/>
      <c r="EF54" s="17"/>
    </row>
    <row r="55" ht="17.25" customHeight="1">
      <c r="A55" s="468"/>
      <c r="B55" s="469"/>
      <c r="C55" s="170"/>
      <c r="D55" s="171"/>
      <c r="E55" s="49"/>
      <c r="F55" s="200"/>
      <c r="G55" s="200"/>
      <c r="H55" s="200" t="s">
        <v>230</v>
      </c>
      <c r="I55" s="200"/>
      <c r="J55" s="200"/>
      <c r="K55" s="200"/>
      <c r="L55" s="476"/>
      <c r="M55" s="200" t="s">
        <v>230</v>
      </c>
      <c r="N55" s="200"/>
      <c r="O55" s="200"/>
      <c r="P55" s="200"/>
      <c r="Q55" s="476"/>
      <c r="R55" s="200" t="s">
        <v>230</v>
      </c>
      <c r="S55" s="200"/>
      <c r="T55" s="200"/>
      <c r="U55" s="200"/>
      <c r="V55" s="476"/>
      <c r="W55" s="200" t="s">
        <v>230</v>
      </c>
      <c r="X55" s="200"/>
      <c r="Y55" s="200"/>
      <c r="Z55" s="200"/>
      <c r="AA55" s="476"/>
      <c r="AB55" s="200" t="s">
        <v>230</v>
      </c>
      <c r="AC55" s="200"/>
      <c r="AD55" s="200"/>
      <c r="AE55" s="200"/>
      <c r="AF55" s="200"/>
      <c r="AG55" s="200" t="s">
        <v>230</v>
      </c>
      <c r="AH55" s="200"/>
      <c r="AI55" s="200"/>
      <c r="AJ55" s="200"/>
      <c r="AK55" s="476"/>
      <c r="AL55" s="200" t="s">
        <v>230</v>
      </c>
      <c r="AM55" s="200"/>
      <c r="AN55" s="200"/>
      <c r="AO55" s="200"/>
      <c r="AP55" s="476"/>
      <c r="AQ55" s="200" t="s">
        <v>230</v>
      </c>
      <c r="AR55" s="200"/>
      <c r="AS55" s="200"/>
      <c r="AT55" s="200"/>
      <c r="AU55" s="425"/>
      <c r="AV55" s="545" t="s">
        <v>230</v>
      </c>
      <c r="AW55" s="425"/>
      <c r="AX55" s="49"/>
      <c r="AY55" s="296"/>
      <c r="AZ55" s="541"/>
      <c r="BA55" s="554" t="s">
        <v>230</v>
      </c>
      <c r="BB55" s="541"/>
      <c r="BC55" s="49"/>
      <c r="BD55" s="327"/>
      <c r="BE55" s="556"/>
      <c r="BF55" s="557" t="s">
        <v>230</v>
      </c>
      <c r="BG55" s="556"/>
      <c r="BH55" s="49"/>
      <c r="BI55" s="346"/>
      <c r="BJ55" s="558"/>
      <c r="BK55" s="587" t="s">
        <v>230</v>
      </c>
      <c r="BL55" s="558"/>
      <c r="BM55" s="49"/>
      <c r="BN55" s="429"/>
      <c r="BO55" s="485"/>
      <c r="BP55" s="596" t="s">
        <v>230</v>
      </c>
      <c r="BQ55" s="485"/>
      <c r="BR55" s="49"/>
      <c r="BS55" s="353"/>
      <c r="BT55" s="472"/>
      <c r="BU55" s="586" t="s">
        <v>230</v>
      </c>
      <c r="BV55" s="472"/>
      <c r="BW55" s="49"/>
      <c r="BX55" s="368"/>
      <c r="BY55" s="578"/>
      <c r="BZ55" s="593" t="s">
        <v>230</v>
      </c>
      <c r="CA55" s="578"/>
      <c r="CB55" s="49"/>
      <c r="CC55" s="388"/>
      <c r="CD55" s="488"/>
      <c r="CE55" s="595" t="s">
        <v>230</v>
      </c>
      <c r="CF55" s="595"/>
      <c r="CG55" s="49"/>
      <c r="CH55" s="402"/>
      <c r="CI55" s="439"/>
      <c r="CJ55" s="426" t="s">
        <v>230</v>
      </c>
      <c r="CK55" s="439"/>
      <c r="CL55" s="49"/>
      <c r="CM55" s="402" t="str">
        <f>IFERROR(__xludf.DUMMYFUNCTION("""COMPUTED_VALUE"""),"")</f>
        <v/>
      </c>
      <c r="CN55" s="439" t="str">
        <f>IFERROR(__xludf.DUMMYFUNCTION("""COMPUTED_VALUE"""),"Quaxwell")</f>
        <v>Quaxwell</v>
      </c>
      <c r="CO55" s="426" t="s">
        <v>216</v>
      </c>
      <c r="CP55" s="456">
        <v>3.0</v>
      </c>
      <c r="CQ55" s="49"/>
      <c r="CR55" s="419" t="str">
        <f>IFERROR(__xludf.DUMMYFUNCTION("""COMPUTED_VALUE"""),"")</f>
        <v/>
      </c>
      <c r="CS55" s="487" t="str">
        <f>IFERROR(__xludf.DUMMYFUNCTION("""COMPUTED_VALUE"""),"Marill")</f>
        <v>Marill</v>
      </c>
      <c r="CT55" s="575" t="s">
        <v>216</v>
      </c>
      <c r="CU55" s="456">
        <v>1.0</v>
      </c>
      <c r="CV55" s="49"/>
      <c r="CW55" s="453"/>
      <c r="CX55" s="535"/>
      <c r="CY55" s="525"/>
      <c r="CZ55" s="535"/>
      <c r="DA55" s="49"/>
      <c r="DB55" s="446"/>
      <c r="DC55" s="535"/>
      <c r="DD55" s="525"/>
      <c r="DE55" s="535"/>
      <c r="DF55" s="446"/>
      <c r="DG55" s="446"/>
      <c r="DH55" s="535"/>
      <c r="DI55" s="525"/>
      <c r="DJ55" s="535"/>
      <c r="DK55" s="49"/>
      <c r="DL55" s="198"/>
      <c r="DM55" s="460"/>
      <c r="DN55" s="525"/>
      <c r="DO55" s="525"/>
      <c r="DP55" s="49"/>
      <c r="DQ55" s="461"/>
      <c r="DR55" s="462"/>
      <c r="DS55" s="525"/>
      <c r="DT55" s="525"/>
      <c r="DU55" s="49"/>
      <c r="DV55" s="463"/>
      <c r="DW55" s="464"/>
      <c r="DX55" s="525"/>
      <c r="DY55" s="525"/>
      <c r="DZ55" s="49"/>
      <c r="EA55" s="465"/>
      <c r="EB55" s="466"/>
      <c r="EC55" s="426"/>
      <c r="ED55" s="456"/>
      <c r="EE55" s="49"/>
      <c r="EF55" s="17"/>
    </row>
    <row r="56" ht="17.25" customHeight="1">
      <c r="A56" s="468"/>
      <c r="B56" s="469"/>
      <c r="C56" s="170"/>
      <c r="D56" s="171"/>
      <c r="E56" s="49"/>
      <c r="F56" s="200"/>
      <c r="G56" s="200"/>
      <c r="H56" s="200" t="s">
        <v>230</v>
      </c>
      <c r="I56" s="200"/>
      <c r="J56" s="200"/>
      <c r="K56" s="200"/>
      <c r="L56" s="560"/>
      <c r="M56" s="200" t="s">
        <v>230</v>
      </c>
      <c r="N56" s="200"/>
      <c r="O56" s="200"/>
      <c r="P56" s="200"/>
      <c r="Q56" s="560"/>
      <c r="R56" s="200" t="s">
        <v>230</v>
      </c>
      <c r="S56" s="200"/>
      <c r="T56" s="200"/>
      <c r="U56" s="200"/>
      <c r="V56" s="476"/>
      <c r="W56" s="200" t="s">
        <v>230</v>
      </c>
      <c r="X56" s="200"/>
      <c r="Y56" s="200"/>
      <c r="Z56" s="200"/>
      <c r="AA56" s="476"/>
      <c r="AB56" s="200" t="s">
        <v>230</v>
      </c>
      <c r="AC56" s="200"/>
      <c r="AD56" s="200"/>
      <c r="AE56" s="200"/>
      <c r="AF56" s="200"/>
      <c r="AG56" s="200" t="s">
        <v>230</v>
      </c>
      <c r="AH56" s="200"/>
      <c r="AI56" s="200"/>
      <c r="AJ56" s="200"/>
      <c r="AK56" s="476"/>
      <c r="AL56" s="200" t="s">
        <v>230</v>
      </c>
      <c r="AM56" s="200"/>
      <c r="AN56" s="200"/>
      <c r="AO56" s="200"/>
      <c r="AP56" s="476"/>
      <c r="AQ56" s="200" t="s">
        <v>230</v>
      </c>
      <c r="AR56" s="200"/>
      <c r="AS56" s="200"/>
      <c r="AT56" s="200"/>
      <c r="AU56" s="425"/>
      <c r="AV56" s="545" t="s">
        <v>230</v>
      </c>
      <c r="AW56" s="425"/>
      <c r="AX56" s="49"/>
      <c r="AY56" s="296"/>
      <c r="AZ56" s="541"/>
      <c r="BA56" s="554" t="s">
        <v>230</v>
      </c>
      <c r="BB56" s="541"/>
      <c r="BC56" s="49"/>
      <c r="BD56" s="327"/>
      <c r="BE56" s="556"/>
      <c r="BF56" s="557" t="s">
        <v>230</v>
      </c>
      <c r="BG56" s="556"/>
      <c r="BH56" s="49"/>
      <c r="BI56" s="346"/>
      <c r="BJ56" s="558"/>
      <c r="BK56" s="587" t="s">
        <v>230</v>
      </c>
      <c r="BL56" s="558"/>
      <c r="BM56" s="49"/>
      <c r="BN56" s="429"/>
      <c r="BO56" s="485"/>
      <c r="BP56" s="596" t="s">
        <v>230</v>
      </c>
      <c r="BQ56" s="485"/>
      <c r="BR56" s="49"/>
      <c r="BS56" s="353"/>
      <c r="BT56" s="472"/>
      <c r="BU56" s="586" t="s">
        <v>230</v>
      </c>
      <c r="BV56" s="472"/>
      <c r="BW56" s="49"/>
      <c r="BX56" s="368"/>
      <c r="BY56" s="578"/>
      <c r="BZ56" s="593" t="s">
        <v>230</v>
      </c>
      <c r="CA56" s="578"/>
      <c r="CB56" s="49"/>
      <c r="CC56" s="388"/>
      <c r="CD56" s="488"/>
      <c r="CE56" s="595" t="s">
        <v>230</v>
      </c>
      <c r="CF56" s="595"/>
      <c r="CG56" s="49"/>
      <c r="CH56" s="402"/>
      <c r="CI56" s="439"/>
      <c r="CJ56" s="426" t="s">
        <v>230</v>
      </c>
      <c r="CK56" s="439"/>
      <c r="CL56" s="49"/>
      <c r="CM56" s="402" t="str">
        <f>IFERROR(__xludf.DUMMYFUNCTION("""COMPUTED_VALUE"""),"")</f>
        <v/>
      </c>
      <c r="CN56" s="439" t="str">
        <f>IFERROR(__xludf.DUMMYFUNCTION("""COMPUTED_VALUE"""),"Raboot")</f>
        <v>Raboot</v>
      </c>
      <c r="CO56" s="426" t="s">
        <v>216</v>
      </c>
      <c r="CP56" s="456">
        <v>2.0</v>
      </c>
      <c r="CQ56" s="49"/>
      <c r="CR56" s="419" t="str">
        <f>IFERROR(__xludf.DUMMYFUNCTION("""COMPUTED_VALUE"""),"")</f>
        <v/>
      </c>
      <c r="CS56" s="487" t="str">
        <f>IFERROR(__xludf.DUMMYFUNCTION("""COMPUTED_VALUE"""),"Meditite")</f>
        <v>Meditite</v>
      </c>
      <c r="CT56" s="575" t="s">
        <v>216</v>
      </c>
      <c r="CU56" s="456">
        <v>1.0</v>
      </c>
      <c r="CV56" s="49"/>
      <c r="CW56" s="453"/>
      <c r="CX56" s="535"/>
      <c r="CY56" s="525"/>
      <c r="CZ56" s="535"/>
      <c r="DA56" s="49"/>
      <c r="DB56" s="446"/>
      <c r="DC56" s="535"/>
      <c r="DD56" s="525"/>
      <c r="DE56" s="535"/>
      <c r="DF56" s="446"/>
      <c r="DG56" s="446"/>
      <c r="DH56" s="535"/>
      <c r="DI56" s="525"/>
      <c r="DJ56" s="535"/>
      <c r="DK56" s="49"/>
      <c r="DL56" s="198"/>
      <c r="DM56" s="460"/>
      <c r="DN56" s="525"/>
      <c r="DO56" s="525"/>
      <c r="DP56" s="49"/>
      <c r="DQ56" s="461"/>
      <c r="DR56" s="462"/>
      <c r="DS56" s="525"/>
      <c r="DT56" s="525"/>
      <c r="DU56" s="49"/>
      <c r="DV56" s="463"/>
      <c r="DW56" s="464"/>
      <c r="DX56" s="525"/>
      <c r="DY56" s="525"/>
      <c r="DZ56" s="49"/>
      <c r="EA56" s="465"/>
      <c r="EB56" s="466"/>
      <c r="EC56" s="426"/>
      <c r="ED56" s="456"/>
      <c r="EE56" s="49"/>
      <c r="EF56" s="17"/>
    </row>
    <row r="57" ht="17.25" customHeight="1">
      <c r="A57" s="443"/>
      <c r="B57" s="444"/>
      <c r="C57" s="170"/>
      <c r="D57" s="171"/>
      <c r="E57" s="49"/>
      <c r="F57" s="200"/>
      <c r="G57" s="200"/>
      <c r="H57" s="200" t="s">
        <v>230</v>
      </c>
      <c r="I57" s="200"/>
      <c r="J57" s="200"/>
      <c r="K57" s="200"/>
      <c r="L57" s="476"/>
      <c r="M57" s="200" t="s">
        <v>230</v>
      </c>
      <c r="N57" s="200"/>
      <c r="O57" s="200"/>
      <c r="P57" s="200"/>
      <c r="Q57" s="476"/>
      <c r="R57" s="200" t="s">
        <v>230</v>
      </c>
      <c r="S57" s="200"/>
      <c r="T57" s="200"/>
      <c r="U57" s="200"/>
      <c r="V57" s="476"/>
      <c r="W57" s="200" t="s">
        <v>230</v>
      </c>
      <c r="X57" s="200"/>
      <c r="Y57" s="200"/>
      <c r="Z57" s="200"/>
      <c r="AA57" s="476"/>
      <c r="AB57" s="200" t="s">
        <v>230</v>
      </c>
      <c r="AC57" s="200"/>
      <c r="AD57" s="200"/>
      <c r="AE57" s="200"/>
      <c r="AF57" s="200"/>
      <c r="AG57" s="200" t="s">
        <v>230</v>
      </c>
      <c r="AH57" s="200"/>
      <c r="AI57" s="200"/>
      <c r="AJ57" s="200"/>
      <c r="AK57" s="476"/>
      <c r="AL57" s="200" t="s">
        <v>230</v>
      </c>
      <c r="AM57" s="200"/>
      <c r="AN57" s="200"/>
      <c r="AO57" s="200"/>
      <c r="AP57" s="476"/>
      <c r="AQ57" s="200" t="s">
        <v>230</v>
      </c>
      <c r="AR57" s="200"/>
      <c r="AS57" s="200"/>
      <c r="AT57" s="200"/>
      <c r="AU57" s="425"/>
      <c r="AV57" s="545" t="s">
        <v>230</v>
      </c>
      <c r="AW57" s="425"/>
      <c r="AX57" s="49"/>
      <c r="AY57" s="296"/>
      <c r="AZ57" s="541"/>
      <c r="BA57" s="554" t="s">
        <v>230</v>
      </c>
      <c r="BB57" s="541"/>
      <c r="BC57" s="49"/>
      <c r="BD57" s="327"/>
      <c r="BE57" s="556"/>
      <c r="BF57" s="557" t="s">
        <v>230</v>
      </c>
      <c r="BG57" s="556"/>
      <c r="BH57" s="49"/>
      <c r="BI57" s="346"/>
      <c r="BJ57" s="558"/>
      <c r="BK57" s="587" t="s">
        <v>230</v>
      </c>
      <c r="BL57" s="558"/>
      <c r="BM57" s="49"/>
      <c r="BN57" s="429"/>
      <c r="BO57" s="485"/>
      <c r="BP57" s="596" t="s">
        <v>230</v>
      </c>
      <c r="BQ57" s="485"/>
      <c r="BR57" s="49"/>
      <c r="BS57" s="353"/>
      <c r="BT57" s="472"/>
      <c r="BU57" s="586" t="s">
        <v>230</v>
      </c>
      <c r="BV57" s="472"/>
      <c r="BW57" s="49"/>
      <c r="BX57" s="368"/>
      <c r="BY57" s="578"/>
      <c r="BZ57" s="593" t="s">
        <v>230</v>
      </c>
      <c r="CA57" s="578"/>
      <c r="CB57" s="49"/>
      <c r="CC57" s="388"/>
      <c r="CD57" s="488"/>
      <c r="CE57" s="595" t="s">
        <v>230</v>
      </c>
      <c r="CF57" s="595"/>
      <c r="CG57" s="49"/>
      <c r="CH57" s="402"/>
      <c r="CI57" s="439"/>
      <c r="CJ57" s="426" t="s">
        <v>230</v>
      </c>
      <c r="CK57" s="439"/>
      <c r="CL57" s="49"/>
      <c r="CM57" s="402" t="str">
        <f>IFERROR(__xludf.DUMMYFUNCTION("""COMPUTED_VALUE"""),"")</f>
        <v/>
      </c>
      <c r="CN57" s="439" t="str">
        <f>IFERROR(__xludf.DUMMYFUNCTION("""COMPUTED_VALUE"""),"Rampardos")</f>
        <v>Rampardos</v>
      </c>
      <c r="CO57" s="426" t="s">
        <v>216</v>
      </c>
      <c r="CP57" s="456">
        <v>3.0</v>
      </c>
      <c r="CQ57" s="49"/>
      <c r="CR57" s="419" t="str">
        <f>IFERROR(__xludf.DUMMYFUNCTION("""COMPUTED_VALUE"""),"")</f>
        <v/>
      </c>
      <c r="CS57" s="487" t="str">
        <f>IFERROR(__xludf.DUMMYFUNCTION("""COMPUTED_VALUE"""),"Metang")</f>
        <v>Metang</v>
      </c>
      <c r="CT57" s="575" t="s">
        <v>216</v>
      </c>
      <c r="CU57" s="456">
        <v>1.0</v>
      </c>
      <c r="CV57" s="49"/>
      <c r="CW57" s="453"/>
      <c r="CX57" s="535"/>
      <c r="CY57" s="525"/>
      <c r="CZ57" s="535"/>
      <c r="DA57" s="49"/>
      <c r="DB57" s="446"/>
      <c r="DC57" s="535"/>
      <c r="DD57" s="525"/>
      <c r="DE57" s="535"/>
      <c r="DF57" s="446"/>
      <c r="DG57" s="446"/>
      <c r="DH57" s="535"/>
      <c r="DI57" s="525"/>
      <c r="DJ57" s="535"/>
      <c r="DK57" s="49"/>
      <c r="DL57" s="198"/>
      <c r="DM57" s="460"/>
      <c r="DN57" s="525"/>
      <c r="DO57" s="525"/>
      <c r="DP57" s="49"/>
      <c r="DQ57" s="461"/>
      <c r="DR57" s="462"/>
      <c r="DS57" s="525"/>
      <c r="DT57" s="525"/>
      <c r="DU57" s="49"/>
      <c r="DV57" s="463"/>
      <c r="DW57" s="610"/>
      <c r="DX57" s="525"/>
      <c r="DY57" s="525"/>
      <c r="DZ57" s="49"/>
      <c r="EA57" s="465"/>
      <c r="EB57" s="466"/>
      <c r="EC57" s="426"/>
      <c r="ED57" s="456"/>
      <c r="EE57" s="49"/>
      <c r="EF57" s="17"/>
    </row>
    <row r="58" ht="17.25" customHeight="1">
      <c r="A58" s="468"/>
      <c r="B58" s="469"/>
      <c r="C58" s="170"/>
      <c r="D58" s="171"/>
      <c r="E58" s="49"/>
      <c r="F58" s="200"/>
      <c r="G58" s="200"/>
      <c r="H58" s="200" t="s">
        <v>230</v>
      </c>
      <c r="I58" s="200"/>
      <c r="J58" s="200"/>
      <c r="K58" s="200"/>
      <c r="L58" s="476"/>
      <c r="M58" s="200" t="s">
        <v>230</v>
      </c>
      <c r="N58" s="200"/>
      <c r="O58" s="200"/>
      <c r="P58" s="200"/>
      <c r="Q58" s="476"/>
      <c r="R58" s="200" t="s">
        <v>230</v>
      </c>
      <c r="S58" s="200"/>
      <c r="T58" s="200"/>
      <c r="U58" s="200"/>
      <c r="V58" s="476"/>
      <c r="W58" s="200" t="s">
        <v>230</v>
      </c>
      <c r="X58" s="200"/>
      <c r="Y58" s="200"/>
      <c r="Z58" s="200"/>
      <c r="AA58" s="476"/>
      <c r="AB58" s="200" t="s">
        <v>230</v>
      </c>
      <c r="AC58" s="200"/>
      <c r="AD58" s="200"/>
      <c r="AE58" s="200"/>
      <c r="AF58" s="200"/>
      <c r="AG58" s="200" t="s">
        <v>230</v>
      </c>
      <c r="AH58" s="200"/>
      <c r="AI58" s="200"/>
      <c r="AJ58" s="200"/>
      <c r="AK58" s="476"/>
      <c r="AL58" s="200" t="s">
        <v>230</v>
      </c>
      <c r="AM58" s="200"/>
      <c r="AN58" s="200"/>
      <c r="AO58" s="200"/>
      <c r="AP58" s="476"/>
      <c r="AQ58" s="200" t="s">
        <v>230</v>
      </c>
      <c r="AR58" s="200"/>
      <c r="AS58" s="200"/>
      <c r="AT58" s="200"/>
      <c r="AU58" s="425"/>
      <c r="AV58" s="545" t="s">
        <v>230</v>
      </c>
      <c r="AW58" s="425"/>
      <c r="AX58" s="49"/>
      <c r="AY58" s="296"/>
      <c r="AZ58" s="541"/>
      <c r="BA58" s="554" t="s">
        <v>230</v>
      </c>
      <c r="BB58" s="541"/>
      <c r="BC58" s="49"/>
      <c r="BD58" s="327"/>
      <c r="BE58" s="556"/>
      <c r="BF58" s="557" t="s">
        <v>230</v>
      </c>
      <c r="BG58" s="556"/>
      <c r="BH58" s="49"/>
      <c r="BI58" s="346"/>
      <c r="BJ58" s="558"/>
      <c r="BK58" s="587" t="s">
        <v>230</v>
      </c>
      <c r="BL58" s="558"/>
      <c r="BM58" s="49"/>
      <c r="BN58" s="429"/>
      <c r="BO58" s="485"/>
      <c r="BP58" s="596" t="s">
        <v>230</v>
      </c>
      <c r="BQ58" s="485"/>
      <c r="BR58" s="49"/>
      <c r="BS58" s="353"/>
      <c r="BT58" s="472"/>
      <c r="BU58" s="586" t="s">
        <v>230</v>
      </c>
      <c r="BV58" s="472"/>
      <c r="BW58" s="49"/>
      <c r="BX58" s="368"/>
      <c r="BY58" s="578"/>
      <c r="BZ58" s="593" t="s">
        <v>230</v>
      </c>
      <c r="CA58" s="578"/>
      <c r="CB58" s="49"/>
      <c r="CC58" s="388"/>
      <c r="CD58" s="488"/>
      <c r="CE58" s="595" t="s">
        <v>230</v>
      </c>
      <c r="CF58" s="595"/>
      <c r="CG58" s="49"/>
      <c r="CH58" s="402"/>
      <c r="CI58" s="439"/>
      <c r="CJ58" s="426" t="s">
        <v>230</v>
      </c>
      <c r="CK58" s="439"/>
      <c r="CL58" s="49"/>
      <c r="CM58" s="402" t="str">
        <f>IFERROR(__xludf.DUMMYFUNCTION("""COMPUTED_VALUE"""),"")</f>
        <v/>
      </c>
      <c r="CN58" s="439" t="str">
        <f>IFERROR(__xludf.DUMMYFUNCTION("""COMPUTED_VALUE"""),"Regice")</f>
        <v>Regice</v>
      </c>
      <c r="CO58" s="426" t="s">
        <v>216</v>
      </c>
      <c r="CP58" s="456">
        <v>3.0</v>
      </c>
      <c r="CQ58" s="49"/>
      <c r="CR58" s="419" t="str">
        <f>IFERROR(__xludf.DUMMYFUNCTION("""COMPUTED_VALUE"""),"")</f>
        <v/>
      </c>
      <c r="CS58" s="487" t="str">
        <f>IFERROR(__xludf.DUMMYFUNCTION("""COMPUTED_VALUE"""),"Mightyena")</f>
        <v>Mightyena</v>
      </c>
      <c r="CT58" s="575" t="s">
        <v>216</v>
      </c>
      <c r="CU58" s="456">
        <v>2.0</v>
      </c>
      <c r="CV58" s="49"/>
      <c r="CW58" s="453"/>
      <c r="CX58" s="535"/>
      <c r="CY58" s="525"/>
      <c r="CZ58" s="535"/>
      <c r="DA58" s="49"/>
      <c r="DB58" s="446"/>
      <c r="DC58" s="535"/>
      <c r="DD58" s="525"/>
      <c r="DE58" s="535"/>
      <c r="DF58" s="446"/>
      <c r="DG58" s="446"/>
      <c r="DH58" s="535"/>
      <c r="DI58" s="525"/>
      <c r="DJ58" s="535"/>
      <c r="DK58" s="49"/>
      <c r="DL58" s="620"/>
      <c r="DM58" s="460"/>
      <c r="DN58" s="525"/>
      <c r="DO58" s="525"/>
      <c r="DP58" s="49"/>
      <c r="DQ58" s="461"/>
      <c r="DR58" s="462"/>
      <c r="DS58" s="525"/>
      <c r="DT58" s="525"/>
      <c r="DU58" s="49"/>
      <c r="DV58" s="463"/>
      <c r="DW58" s="535"/>
      <c r="DX58" s="525"/>
      <c r="DY58" s="525"/>
      <c r="DZ58" s="49"/>
      <c r="EA58" s="465"/>
      <c r="EB58" s="466"/>
      <c r="EC58" s="426"/>
      <c r="ED58" s="456"/>
      <c r="EE58" s="49"/>
      <c r="EF58" s="17"/>
    </row>
    <row r="59" ht="17.25" customHeight="1">
      <c r="A59" s="468"/>
      <c r="B59" s="469"/>
      <c r="C59" s="170"/>
      <c r="D59" s="171"/>
      <c r="E59" s="49"/>
      <c r="F59" s="200"/>
      <c r="G59" s="200"/>
      <c r="H59" s="200" t="s">
        <v>230</v>
      </c>
      <c r="I59" s="200"/>
      <c r="J59" s="200"/>
      <c r="K59" s="200"/>
      <c r="L59" s="476"/>
      <c r="M59" s="200" t="s">
        <v>230</v>
      </c>
      <c r="N59" s="200"/>
      <c r="O59" s="200"/>
      <c r="P59" s="200"/>
      <c r="Q59" s="476"/>
      <c r="R59" s="200" t="s">
        <v>230</v>
      </c>
      <c r="S59" s="200"/>
      <c r="T59" s="200"/>
      <c r="U59" s="200"/>
      <c r="V59" s="476"/>
      <c r="W59" s="200" t="s">
        <v>230</v>
      </c>
      <c r="X59" s="200"/>
      <c r="Y59" s="200"/>
      <c r="Z59" s="200"/>
      <c r="AA59" s="476"/>
      <c r="AB59" s="200" t="s">
        <v>230</v>
      </c>
      <c r="AC59" s="200"/>
      <c r="AD59" s="200"/>
      <c r="AE59" s="200"/>
      <c r="AF59" s="200"/>
      <c r="AG59" s="200" t="s">
        <v>230</v>
      </c>
      <c r="AH59" s="200"/>
      <c r="AI59" s="200"/>
      <c r="AJ59" s="200"/>
      <c r="AK59" s="476"/>
      <c r="AL59" s="200" t="s">
        <v>230</v>
      </c>
      <c r="AM59" s="200"/>
      <c r="AN59" s="200"/>
      <c r="AO59" s="200"/>
      <c r="AP59" s="476"/>
      <c r="AQ59" s="200" t="s">
        <v>230</v>
      </c>
      <c r="AR59" s="200"/>
      <c r="AS59" s="200"/>
      <c r="AT59" s="200"/>
      <c r="AU59" s="425"/>
      <c r="AV59" s="545" t="s">
        <v>230</v>
      </c>
      <c r="AW59" s="425"/>
      <c r="AX59" s="49"/>
      <c r="AY59" s="296"/>
      <c r="AZ59" s="541"/>
      <c r="BA59" s="554" t="s">
        <v>230</v>
      </c>
      <c r="BB59" s="541"/>
      <c r="BC59" s="49"/>
      <c r="BD59" s="327"/>
      <c r="BE59" s="556"/>
      <c r="BF59" s="557" t="s">
        <v>230</v>
      </c>
      <c r="BG59" s="556"/>
      <c r="BH59" s="49"/>
      <c r="BI59" s="346"/>
      <c r="BJ59" s="558"/>
      <c r="BK59" s="587" t="s">
        <v>230</v>
      </c>
      <c r="BL59" s="558"/>
      <c r="BM59" s="49"/>
      <c r="BN59" s="429"/>
      <c r="BO59" s="485"/>
      <c r="BP59" s="596" t="s">
        <v>230</v>
      </c>
      <c r="BQ59" s="485"/>
      <c r="BR59" s="49"/>
      <c r="BS59" s="353"/>
      <c r="BT59" s="472"/>
      <c r="BU59" s="586" t="s">
        <v>230</v>
      </c>
      <c r="BV59" s="472"/>
      <c r="BW59" s="49"/>
      <c r="BX59" s="368"/>
      <c r="BY59" s="578"/>
      <c r="BZ59" s="593" t="s">
        <v>230</v>
      </c>
      <c r="CA59" s="578"/>
      <c r="CB59" s="49"/>
      <c r="CC59" s="388"/>
      <c r="CD59" s="488"/>
      <c r="CE59" s="595" t="s">
        <v>230</v>
      </c>
      <c r="CF59" s="595"/>
      <c r="CG59" s="49"/>
      <c r="CH59" s="402"/>
      <c r="CI59" s="439"/>
      <c r="CJ59" s="426" t="s">
        <v>230</v>
      </c>
      <c r="CK59" s="439"/>
      <c r="CL59" s="49"/>
      <c r="CM59" s="402" t="str">
        <f>IFERROR(__xludf.DUMMYFUNCTION("""COMPUTED_VALUE"""),"")</f>
        <v/>
      </c>
      <c r="CN59" s="439" t="str">
        <f>IFERROR(__xludf.DUMMYFUNCTION("""COMPUTED_VALUE"""),"Sandslash")</f>
        <v>Sandslash</v>
      </c>
      <c r="CO59" s="426" t="s">
        <v>216</v>
      </c>
      <c r="CP59" s="456">
        <v>3.0</v>
      </c>
      <c r="CQ59" s="49"/>
      <c r="CR59" s="419" t="str">
        <f>IFERROR(__xludf.DUMMYFUNCTION("""COMPUTED_VALUE"""),"")</f>
        <v/>
      </c>
      <c r="CS59" s="487" t="str">
        <f>IFERROR(__xludf.DUMMYFUNCTION("""COMPUTED_VALUE"""),"Minun")</f>
        <v>Minun</v>
      </c>
      <c r="CT59" s="575" t="s">
        <v>216</v>
      </c>
      <c r="CU59" s="456">
        <v>1.0</v>
      </c>
      <c r="CV59" s="49"/>
      <c r="CW59" s="453"/>
      <c r="CX59" s="535"/>
      <c r="CY59" s="525"/>
      <c r="CZ59" s="535"/>
      <c r="DA59" s="49"/>
      <c r="DB59" s="446"/>
      <c r="DC59" s="535"/>
      <c r="DD59" s="525"/>
      <c r="DE59" s="535"/>
      <c r="DF59" s="446"/>
      <c r="DG59" s="446"/>
      <c r="DH59" s="535"/>
      <c r="DI59" s="525"/>
      <c r="DJ59" s="535"/>
      <c r="DK59" s="49"/>
      <c r="DL59" s="620"/>
      <c r="DM59" s="535"/>
      <c r="DN59" s="535"/>
      <c r="DO59" s="535"/>
      <c r="DP59" s="49"/>
      <c r="DQ59" s="461"/>
      <c r="DR59" s="462"/>
      <c r="DS59" s="525"/>
      <c r="DT59" s="525"/>
      <c r="DU59" s="49"/>
      <c r="DV59" s="463"/>
      <c r="DW59" s="535"/>
      <c r="DX59" s="525"/>
      <c r="DY59" s="525"/>
      <c r="DZ59" s="49"/>
      <c r="EA59" s="465"/>
      <c r="EB59" s="466"/>
      <c r="EC59" s="426"/>
      <c r="ED59" s="456"/>
      <c r="EE59" s="49"/>
      <c r="EF59" s="17"/>
    </row>
    <row r="60" ht="17.25" customHeight="1">
      <c r="A60" s="468"/>
      <c r="B60" s="469"/>
      <c r="C60" s="170"/>
      <c r="D60" s="171"/>
      <c r="E60" s="49"/>
      <c r="F60" s="200"/>
      <c r="G60" s="200"/>
      <c r="H60" s="200" t="s">
        <v>230</v>
      </c>
      <c r="I60" s="200"/>
      <c r="J60" s="200"/>
      <c r="K60" s="200"/>
      <c r="L60" s="476"/>
      <c r="M60" s="200" t="s">
        <v>230</v>
      </c>
      <c r="N60" s="200"/>
      <c r="O60" s="200"/>
      <c r="P60" s="200"/>
      <c r="Q60" s="476"/>
      <c r="R60" s="200" t="s">
        <v>230</v>
      </c>
      <c r="S60" s="200"/>
      <c r="T60" s="200"/>
      <c r="U60" s="200"/>
      <c r="V60" s="476"/>
      <c r="W60" s="200" t="s">
        <v>230</v>
      </c>
      <c r="X60" s="200"/>
      <c r="Y60" s="200"/>
      <c r="Z60" s="200"/>
      <c r="AA60" s="476"/>
      <c r="AB60" s="200" t="s">
        <v>230</v>
      </c>
      <c r="AC60" s="200"/>
      <c r="AD60" s="200"/>
      <c r="AE60" s="200"/>
      <c r="AF60" s="200"/>
      <c r="AG60" s="200" t="s">
        <v>230</v>
      </c>
      <c r="AH60" s="200"/>
      <c r="AI60" s="200"/>
      <c r="AJ60" s="200"/>
      <c r="AK60" s="476"/>
      <c r="AL60" s="200" t="s">
        <v>230</v>
      </c>
      <c r="AM60" s="200"/>
      <c r="AN60" s="200"/>
      <c r="AO60" s="200"/>
      <c r="AP60" s="476"/>
      <c r="AQ60" s="200" t="s">
        <v>230</v>
      </c>
      <c r="AR60" s="200"/>
      <c r="AS60" s="200"/>
      <c r="AT60" s="200"/>
      <c r="AU60" s="425"/>
      <c r="AV60" s="545" t="s">
        <v>230</v>
      </c>
      <c r="AW60" s="425"/>
      <c r="AX60" s="49"/>
      <c r="AY60" s="296"/>
      <c r="AZ60" s="541"/>
      <c r="BA60" s="554" t="s">
        <v>230</v>
      </c>
      <c r="BB60" s="541"/>
      <c r="BC60" s="49"/>
      <c r="BD60" s="327"/>
      <c r="BE60" s="556"/>
      <c r="BF60" s="557" t="s">
        <v>230</v>
      </c>
      <c r="BG60" s="556"/>
      <c r="BH60" s="49"/>
      <c r="BI60" s="346"/>
      <c r="BJ60" s="558"/>
      <c r="BK60" s="587" t="s">
        <v>230</v>
      </c>
      <c r="BL60" s="558"/>
      <c r="BM60" s="49"/>
      <c r="BN60" s="429"/>
      <c r="BO60" s="485"/>
      <c r="BP60" s="596" t="s">
        <v>230</v>
      </c>
      <c r="BQ60" s="485"/>
      <c r="BR60" s="49"/>
      <c r="BS60" s="353"/>
      <c r="BT60" s="472"/>
      <c r="BU60" s="586" t="s">
        <v>230</v>
      </c>
      <c r="BV60" s="472"/>
      <c r="BW60" s="49"/>
      <c r="BX60" s="368"/>
      <c r="BY60" s="578"/>
      <c r="BZ60" s="593" t="s">
        <v>230</v>
      </c>
      <c r="CA60" s="578"/>
      <c r="CB60" s="49"/>
      <c r="CC60" s="388"/>
      <c r="CD60" s="488"/>
      <c r="CE60" s="595" t="s">
        <v>230</v>
      </c>
      <c r="CF60" s="595"/>
      <c r="CG60" s="49"/>
      <c r="CH60" s="402"/>
      <c r="CI60" s="439"/>
      <c r="CJ60" s="426" t="s">
        <v>230</v>
      </c>
      <c r="CK60" s="439"/>
      <c r="CL60" s="49"/>
      <c r="CM60" s="402" t="str">
        <f>IFERROR(__xludf.DUMMYFUNCTION("""COMPUTED_VALUE"""),"")</f>
        <v/>
      </c>
      <c r="CN60" s="439" t="str">
        <f>IFERROR(__xludf.DUMMYFUNCTION("""COMPUTED_VALUE"""),"Sawsbuck")</f>
        <v>Sawsbuck</v>
      </c>
      <c r="CO60" s="426" t="s">
        <v>216</v>
      </c>
      <c r="CP60" s="456">
        <v>3.0</v>
      </c>
      <c r="CQ60" s="49"/>
      <c r="CR60" s="419" t="str">
        <f>IFERROR(__xludf.DUMMYFUNCTION("""COMPUTED_VALUE"""),"")</f>
        <v/>
      </c>
      <c r="CS60" s="487" t="str">
        <f>IFERROR(__xludf.DUMMYFUNCTION("""COMPUTED_VALUE"""),"Mudbray")</f>
        <v>Mudbray</v>
      </c>
      <c r="CT60" s="575" t="s">
        <v>216</v>
      </c>
      <c r="CU60" s="456">
        <v>1.0</v>
      </c>
      <c r="CV60" s="49"/>
      <c r="CW60" s="453"/>
      <c r="CX60" s="535"/>
      <c r="CY60" s="525"/>
      <c r="CZ60" s="535"/>
      <c r="DA60" s="49"/>
      <c r="DB60" s="446"/>
      <c r="DC60" s="535"/>
      <c r="DD60" s="525"/>
      <c r="DE60" s="535"/>
      <c r="DF60" s="446"/>
      <c r="DG60" s="446"/>
      <c r="DH60" s="535"/>
      <c r="DI60" s="525"/>
      <c r="DJ60" s="535"/>
      <c r="DK60" s="49"/>
      <c r="DL60" s="620"/>
      <c r="DM60" s="535"/>
      <c r="DN60" s="535"/>
      <c r="DO60" s="535"/>
      <c r="DP60" s="49"/>
      <c r="DQ60" s="461"/>
      <c r="DR60" s="462"/>
      <c r="DS60" s="525"/>
      <c r="DT60" s="525"/>
      <c r="DU60" s="49"/>
      <c r="DV60" s="463"/>
      <c r="DW60" s="535"/>
      <c r="DX60" s="525"/>
      <c r="DY60" s="525"/>
      <c r="DZ60" s="49"/>
      <c r="EA60" s="465"/>
      <c r="EB60" s="466"/>
      <c r="EC60" s="426"/>
      <c r="ED60" s="456"/>
      <c r="EE60" s="49"/>
      <c r="EF60" s="17"/>
    </row>
    <row r="61" ht="17.25" customHeight="1">
      <c r="A61" s="16"/>
      <c r="B61" s="47"/>
      <c r="C61" s="170"/>
      <c r="D61" s="171"/>
      <c r="E61" s="49"/>
      <c r="F61" s="200"/>
      <c r="G61" s="200"/>
      <c r="H61" s="200" t="s">
        <v>230</v>
      </c>
      <c r="I61" s="200"/>
      <c r="J61" s="200"/>
      <c r="K61" s="200"/>
      <c r="L61" s="476"/>
      <c r="M61" s="200" t="s">
        <v>230</v>
      </c>
      <c r="N61" s="200"/>
      <c r="O61" s="200"/>
      <c r="P61" s="200"/>
      <c r="Q61" s="476"/>
      <c r="R61" s="200" t="s">
        <v>230</v>
      </c>
      <c r="S61" s="200"/>
      <c r="T61" s="200"/>
      <c r="U61" s="200"/>
      <c r="V61" s="476"/>
      <c r="W61" s="200" t="s">
        <v>230</v>
      </c>
      <c r="X61" s="200"/>
      <c r="Y61" s="200"/>
      <c r="Z61" s="200"/>
      <c r="AA61" s="476"/>
      <c r="AB61" s="200" t="s">
        <v>230</v>
      </c>
      <c r="AC61" s="200"/>
      <c r="AD61" s="200"/>
      <c r="AE61" s="200"/>
      <c r="AF61" s="200"/>
      <c r="AG61" s="200" t="s">
        <v>230</v>
      </c>
      <c r="AH61" s="200"/>
      <c r="AI61" s="200"/>
      <c r="AJ61" s="200"/>
      <c r="AK61" s="476"/>
      <c r="AL61" s="200" t="s">
        <v>230</v>
      </c>
      <c r="AM61" s="200"/>
      <c r="AN61" s="200"/>
      <c r="AO61" s="200"/>
      <c r="AP61" s="476"/>
      <c r="AQ61" s="200" t="s">
        <v>230</v>
      </c>
      <c r="AR61" s="200"/>
      <c r="AS61" s="200"/>
      <c r="AT61" s="200"/>
      <c r="AU61" s="425"/>
      <c r="AV61" s="545" t="s">
        <v>230</v>
      </c>
      <c r="AW61" s="425"/>
      <c r="AX61" s="49"/>
      <c r="AY61" s="296"/>
      <c r="AZ61" s="541"/>
      <c r="BA61" s="554" t="s">
        <v>230</v>
      </c>
      <c r="BB61" s="541"/>
      <c r="BC61" s="49"/>
      <c r="BD61" s="327"/>
      <c r="BE61" s="556"/>
      <c r="BF61" s="557" t="s">
        <v>230</v>
      </c>
      <c r="BG61" s="556"/>
      <c r="BH61" s="49"/>
      <c r="BI61" s="346"/>
      <c r="BJ61" s="558"/>
      <c r="BK61" s="587" t="s">
        <v>230</v>
      </c>
      <c r="BL61" s="558"/>
      <c r="BM61" s="49"/>
      <c r="BN61" s="429"/>
      <c r="BO61" s="485"/>
      <c r="BP61" s="596" t="s">
        <v>230</v>
      </c>
      <c r="BQ61" s="485"/>
      <c r="BR61" s="49"/>
      <c r="BS61" s="353"/>
      <c r="BT61" s="472"/>
      <c r="BU61" s="586" t="s">
        <v>230</v>
      </c>
      <c r="BV61" s="472"/>
      <c r="BW61" s="49"/>
      <c r="BX61" s="368"/>
      <c r="BY61" s="578"/>
      <c r="BZ61" s="593" t="s">
        <v>230</v>
      </c>
      <c r="CA61" s="578"/>
      <c r="CB61" s="49"/>
      <c r="CC61" s="388"/>
      <c r="CD61" s="488"/>
      <c r="CE61" s="595" t="s">
        <v>230</v>
      </c>
      <c r="CF61" s="595"/>
      <c r="CG61" s="49"/>
      <c r="CH61" s="402"/>
      <c r="CI61" s="439"/>
      <c r="CJ61" s="426" t="s">
        <v>230</v>
      </c>
      <c r="CK61" s="439"/>
      <c r="CL61" s="49"/>
      <c r="CM61" s="402" t="str">
        <f>IFERROR(__xludf.DUMMYFUNCTION("""COMPUTED_VALUE"""),"")</f>
        <v/>
      </c>
      <c r="CN61" s="439" t="str">
        <f>IFERROR(__xludf.DUMMYFUNCTION("""COMPUTED_VALUE"""),"Servine")</f>
        <v>Servine</v>
      </c>
      <c r="CO61" s="426" t="s">
        <v>216</v>
      </c>
      <c r="CP61" s="456">
        <v>3.0</v>
      </c>
      <c r="CQ61" s="49"/>
      <c r="CR61" s="419" t="str">
        <f>IFERROR(__xludf.DUMMYFUNCTION("""COMPUTED_VALUE"""),"")</f>
        <v/>
      </c>
      <c r="CS61" s="487" t="str">
        <f>IFERROR(__xludf.DUMMYFUNCTION("""COMPUTED_VALUE"""),"Murkrow")</f>
        <v>Murkrow</v>
      </c>
      <c r="CT61" s="575" t="s">
        <v>216</v>
      </c>
      <c r="CU61" s="456">
        <v>1.0</v>
      </c>
      <c r="CV61" s="49"/>
      <c r="CW61" s="453"/>
      <c r="CX61" s="455"/>
      <c r="CY61" s="631"/>
      <c r="CZ61" s="455"/>
      <c r="DA61" s="49"/>
      <c r="DB61" s="457"/>
      <c r="DC61" s="475"/>
      <c r="DD61" s="632"/>
      <c r="DE61" s="475"/>
      <c r="DF61" s="49"/>
      <c r="DG61" s="458"/>
      <c r="DH61" s="459"/>
      <c r="DI61" s="633"/>
      <c r="DJ61" s="459"/>
      <c r="DK61" s="49"/>
      <c r="DL61" s="620"/>
      <c r="DM61" s="535"/>
      <c r="DN61" s="535"/>
      <c r="DO61" s="535"/>
      <c r="DP61" s="49"/>
      <c r="DQ61" s="461"/>
      <c r="DR61" s="462"/>
      <c r="DS61" s="525"/>
      <c r="DT61" s="525"/>
      <c r="DU61" s="49"/>
      <c r="DV61" s="463"/>
      <c r="DW61" s="535"/>
      <c r="DX61" s="525"/>
      <c r="DY61" s="525"/>
      <c r="DZ61" s="49"/>
      <c r="EA61" s="465"/>
      <c r="EB61" s="466"/>
      <c r="EC61" s="426"/>
      <c r="ED61" s="456"/>
      <c r="EE61" s="49"/>
      <c r="EF61" s="17"/>
    </row>
    <row r="62" ht="17.25" customHeight="1">
      <c r="A62" s="468"/>
      <c r="B62" s="469"/>
      <c r="C62" s="170"/>
      <c r="D62" s="171"/>
      <c r="E62" s="49"/>
      <c r="F62" s="200"/>
      <c r="G62" s="200"/>
      <c r="H62" s="200" t="s">
        <v>230</v>
      </c>
      <c r="I62" s="200"/>
      <c r="J62" s="200"/>
      <c r="K62" s="200"/>
      <c r="L62" s="476"/>
      <c r="M62" s="200" t="s">
        <v>230</v>
      </c>
      <c r="N62" s="200"/>
      <c r="O62" s="200"/>
      <c r="P62" s="200"/>
      <c r="Q62" s="476"/>
      <c r="R62" s="200" t="s">
        <v>230</v>
      </c>
      <c r="S62" s="200"/>
      <c r="T62" s="200"/>
      <c r="U62" s="200"/>
      <c r="V62" s="476"/>
      <c r="W62" s="200" t="s">
        <v>230</v>
      </c>
      <c r="X62" s="200"/>
      <c r="Y62" s="200"/>
      <c r="Z62" s="200"/>
      <c r="AA62" s="476"/>
      <c r="AB62" s="200" t="s">
        <v>230</v>
      </c>
      <c r="AC62" s="200"/>
      <c r="AD62" s="200"/>
      <c r="AE62" s="200"/>
      <c r="AF62" s="200"/>
      <c r="AG62" s="200" t="s">
        <v>230</v>
      </c>
      <c r="AH62" s="200"/>
      <c r="AI62" s="200"/>
      <c r="AJ62" s="200"/>
      <c r="AK62" s="476"/>
      <c r="AL62" s="200" t="s">
        <v>230</v>
      </c>
      <c r="AM62" s="200"/>
      <c r="AN62" s="200"/>
      <c r="AO62" s="200"/>
      <c r="AP62" s="476"/>
      <c r="AQ62" s="200" t="s">
        <v>230</v>
      </c>
      <c r="AR62" s="200"/>
      <c r="AS62" s="200"/>
      <c r="AT62" s="200"/>
      <c r="AU62" s="425"/>
      <c r="AV62" s="545" t="s">
        <v>230</v>
      </c>
      <c r="AW62" s="425"/>
      <c r="AX62" s="49"/>
      <c r="AY62" s="296"/>
      <c r="AZ62" s="541"/>
      <c r="BA62" s="554" t="s">
        <v>230</v>
      </c>
      <c r="BB62" s="541"/>
      <c r="BC62" s="49"/>
      <c r="BD62" s="327"/>
      <c r="BE62" s="556"/>
      <c r="BF62" s="557" t="s">
        <v>230</v>
      </c>
      <c r="BG62" s="556"/>
      <c r="BH62" s="49"/>
      <c r="BI62" s="346"/>
      <c r="BJ62" s="558"/>
      <c r="BK62" s="587" t="s">
        <v>230</v>
      </c>
      <c r="BL62" s="558"/>
      <c r="BM62" s="49"/>
      <c r="BN62" s="429"/>
      <c r="BO62" s="485"/>
      <c r="BP62" s="596" t="s">
        <v>230</v>
      </c>
      <c r="BQ62" s="485"/>
      <c r="BR62" s="49"/>
      <c r="BS62" s="353"/>
      <c r="BT62" s="472"/>
      <c r="BU62" s="586" t="s">
        <v>230</v>
      </c>
      <c r="BV62" s="472"/>
      <c r="BW62" s="49"/>
      <c r="BX62" s="368"/>
      <c r="BY62" s="578"/>
      <c r="BZ62" s="593" t="s">
        <v>230</v>
      </c>
      <c r="CA62" s="578"/>
      <c r="CB62" s="49"/>
      <c r="CC62" s="388"/>
      <c r="CD62" s="488"/>
      <c r="CE62" s="595" t="s">
        <v>230</v>
      </c>
      <c r="CF62" s="595"/>
      <c r="CG62" s="49"/>
      <c r="CH62" s="402"/>
      <c r="CI62" s="439"/>
      <c r="CJ62" s="426" t="s">
        <v>230</v>
      </c>
      <c r="CK62" s="439"/>
      <c r="CL62" s="49"/>
      <c r="CM62" s="402" t="str">
        <f>IFERROR(__xludf.DUMMYFUNCTION("""COMPUTED_VALUE"""),"")</f>
        <v/>
      </c>
      <c r="CN62" s="439" t="str">
        <f>IFERROR(__xludf.DUMMYFUNCTION("""COMPUTED_VALUE"""),"Slaking")</f>
        <v>Slaking</v>
      </c>
      <c r="CO62" s="426" t="s">
        <v>216</v>
      </c>
      <c r="CP62" s="456">
        <v>3.0</v>
      </c>
      <c r="CQ62" s="49"/>
      <c r="CR62" s="419" t="str">
        <f>IFERROR(__xludf.DUMMYFUNCTION("""COMPUTED_VALUE"""),"")</f>
        <v/>
      </c>
      <c r="CS62" s="487" t="str">
        <f>IFERROR(__xludf.DUMMYFUNCTION("""COMPUTED_VALUE"""),"Noctowl")</f>
        <v>Noctowl</v>
      </c>
      <c r="CT62" s="575" t="s">
        <v>216</v>
      </c>
      <c r="CU62" s="456">
        <v>2.0</v>
      </c>
      <c r="CV62" s="49"/>
      <c r="CW62" s="453"/>
      <c r="CX62" s="455"/>
      <c r="CY62" s="631"/>
      <c r="CZ62" s="455"/>
      <c r="DA62" s="49"/>
      <c r="DB62" s="457"/>
      <c r="DC62" s="475"/>
      <c r="DD62" s="632"/>
      <c r="DE62" s="475"/>
      <c r="DF62" s="49"/>
      <c r="DG62" s="458"/>
      <c r="DH62" s="459"/>
      <c r="DI62" s="633"/>
      <c r="DJ62" s="459"/>
      <c r="DK62" s="49"/>
      <c r="DL62" s="620"/>
      <c r="DM62" s="535"/>
      <c r="DN62" s="535"/>
      <c r="DO62" s="535"/>
      <c r="DP62" s="49"/>
      <c r="DQ62" s="461"/>
      <c r="DR62" s="462"/>
      <c r="DS62" s="525"/>
      <c r="DT62" s="525"/>
      <c r="DU62" s="49"/>
      <c r="DV62" s="463"/>
      <c r="DW62" s="464"/>
      <c r="DX62" s="634"/>
      <c r="DY62" s="635"/>
      <c r="DZ62" s="49"/>
      <c r="EA62" s="465"/>
      <c r="EB62" s="466"/>
      <c r="EC62" s="426"/>
      <c r="ED62" s="456"/>
      <c r="EE62" s="49"/>
      <c r="EF62" s="17"/>
    </row>
    <row r="63" ht="17.25" customHeight="1">
      <c r="A63" s="16"/>
      <c r="B63" s="47"/>
      <c r="C63" s="170"/>
      <c r="D63" s="171"/>
      <c r="E63" s="49"/>
      <c r="F63" s="200"/>
      <c r="G63" s="200"/>
      <c r="H63" s="200" t="s">
        <v>230</v>
      </c>
      <c r="I63" s="200"/>
      <c r="J63" s="200"/>
      <c r="K63" s="200"/>
      <c r="L63" s="476"/>
      <c r="M63" s="200" t="s">
        <v>230</v>
      </c>
      <c r="N63" s="200"/>
      <c r="O63" s="200"/>
      <c r="P63" s="200"/>
      <c r="Q63" s="476"/>
      <c r="R63" s="200" t="s">
        <v>230</v>
      </c>
      <c r="S63" s="200"/>
      <c r="T63" s="200"/>
      <c r="U63" s="200"/>
      <c r="V63" s="476"/>
      <c r="W63" s="200" t="s">
        <v>230</v>
      </c>
      <c r="X63" s="200"/>
      <c r="Y63" s="200"/>
      <c r="Z63" s="200"/>
      <c r="AA63" s="476"/>
      <c r="AB63" s="200" t="s">
        <v>230</v>
      </c>
      <c r="AC63" s="200"/>
      <c r="AD63" s="200"/>
      <c r="AE63" s="200"/>
      <c r="AF63" s="200"/>
      <c r="AG63" s="200" t="s">
        <v>230</v>
      </c>
      <c r="AH63" s="200"/>
      <c r="AI63" s="200"/>
      <c r="AJ63" s="200"/>
      <c r="AK63" s="476"/>
      <c r="AL63" s="200" t="s">
        <v>230</v>
      </c>
      <c r="AM63" s="200"/>
      <c r="AN63" s="200"/>
      <c r="AO63" s="200"/>
      <c r="AP63" s="476"/>
      <c r="AQ63" s="200" t="s">
        <v>230</v>
      </c>
      <c r="AR63" s="200"/>
      <c r="AS63" s="200"/>
      <c r="AT63" s="200"/>
      <c r="AU63" s="425"/>
      <c r="AV63" s="545" t="s">
        <v>230</v>
      </c>
      <c r="AW63" s="425"/>
      <c r="AX63" s="49"/>
      <c r="AY63" s="296"/>
      <c r="AZ63" s="541"/>
      <c r="BA63" s="554" t="s">
        <v>230</v>
      </c>
      <c r="BB63" s="541"/>
      <c r="BC63" s="49"/>
      <c r="BD63" s="327"/>
      <c r="BE63" s="556"/>
      <c r="BF63" s="557" t="s">
        <v>230</v>
      </c>
      <c r="BG63" s="556"/>
      <c r="BH63" s="49"/>
      <c r="BI63" s="346"/>
      <c r="BJ63" s="558"/>
      <c r="BK63" s="587" t="s">
        <v>230</v>
      </c>
      <c r="BL63" s="558"/>
      <c r="BM63" s="49"/>
      <c r="BN63" s="429"/>
      <c r="BO63" s="485"/>
      <c r="BP63" s="596" t="s">
        <v>230</v>
      </c>
      <c r="BQ63" s="485"/>
      <c r="BR63" s="49"/>
      <c r="BS63" s="353"/>
      <c r="BT63" s="472"/>
      <c r="BU63" s="586" t="s">
        <v>230</v>
      </c>
      <c r="BV63" s="472"/>
      <c r="BW63" s="49"/>
      <c r="BX63" s="368"/>
      <c r="BY63" s="578"/>
      <c r="BZ63" s="593" t="s">
        <v>230</v>
      </c>
      <c r="CA63" s="578"/>
      <c r="CB63" s="49"/>
      <c r="CC63" s="388"/>
      <c r="CD63" s="488"/>
      <c r="CE63" s="595" t="s">
        <v>230</v>
      </c>
      <c r="CF63" s="595"/>
      <c r="CG63" s="49"/>
      <c r="CH63" s="402"/>
      <c r="CI63" s="439"/>
      <c r="CJ63" s="426" t="s">
        <v>230</v>
      </c>
      <c r="CK63" s="439"/>
      <c r="CL63" s="49"/>
      <c r="CM63" s="402" t="str">
        <f>IFERROR(__xludf.DUMMYFUNCTION("""COMPUTED_VALUE"""),"")</f>
        <v/>
      </c>
      <c r="CN63" s="439" t="str">
        <f>IFERROR(__xludf.DUMMYFUNCTION("""COMPUTED_VALUE"""),"Spidops")</f>
        <v>Spidops</v>
      </c>
      <c r="CO63" s="426" t="s">
        <v>216</v>
      </c>
      <c r="CP63" s="456">
        <v>3.0</v>
      </c>
      <c r="CQ63" s="49"/>
      <c r="CR63" s="419" t="str">
        <f>IFERROR(__xludf.DUMMYFUNCTION("""COMPUTED_VALUE"""),"")</f>
        <v/>
      </c>
      <c r="CS63" s="487" t="str">
        <f>IFERROR(__xludf.DUMMYFUNCTION("""COMPUTED_VALUE"""),"Pachirisu")</f>
        <v>Pachirisu</v>
      </c>
      <c r="CT63" s="575" t="s">
        <v>216</v>
      </c>
      <c r="CU63" s="456">
        <v>1.0</v>
      </c>
      <c r="CV63" s="49"/>
      <c r="CW63" s="453"/>
      <c r="CX63" s="455"/>
      <c r="CY63" s="631"/>
      <c r="CZ63" s="455"/>
      <c r="DA63" s="49"/>
      <c r="DB63" s="457"/>
      <c r="DC63" s="475"/>
      <c r="DD63" s="632"/>
      <c r="DE63" s="475"/>
      <c r="DF63" s="49"/>
      <c r="DG63" s="458"/>
      <c r="DH63" s="459"/>
      <c r="DI63" s="633"/>
      <c r="DJ63" s="459"/>
      <c r="DK63" s="49"/>
      <c r="DL63" s="620"/>
      <c r="DM63" s="637"/>
      <c r="DN63" s="637"/>
      <c r="DO63" s="637"/>
      <c r="DP63" s="49"/>
      <c r="DQ63" s="461"/>
      <c r="DR63" s="462"/>
      <c r="DS63" s="525"/>
      <c r="DT63" s="525"/>
      <c r="DU63" s="49"/>
      <c r="DV63" s="463"/>
      <c r="DW63" s="464"/>
      <c r="DX63" s="634"/>
      <c r="DY63" s="635"/>
      <c r="DZ63" s="49"/>
      <c r="EA63" s="465"/>
      <c r="EB63" s="466"/>
      <c r="EC63" s="426"/>
      <c r="ED63" s="456"/>
      <c r="EE63" s="47"/>
      <c r="EF63" s="16"/>
    </row>
    <row r="64" ht="17.25" customHeight="1">
      <c r="A64" s="443"/>
      <c r="B64" s="444"/>
      <c r="C64" s="170"/>
      <c r="D64" s="171"/>
      <c r="E64" s="49"/>
      <c r="F64" s="200"/>
      <c r="G64" s="200"/>
      <c r="H64" s="200" t="s">
        <v>230</v>
      </c>
      <c r="I64" s="200"/>
      <c r="J64" s="200"/>
      <c r="K64" s="200"/>
      <c r="L64" s="476"/>
      <c r="M64" s="200" t="s">
        <v>230</v>
      </c>
      <c r="N64" s="200"/>
      <c r="O64" s="200"/>
      <c r="P64" s="200"/>
      <c r="Q64" s="476"/>
      <c r="R64" s="200" t="s">
        <v>230</v>
      </c>
      <c r="S64" s="200"/>
      <c r="T64" s="200"/>
      <c r="U64" s="200"/>
      <c r="V64" s="476"/>
      <c r="W64" s="200" t="s">
        <v>230</v>
      </c>
      <c r="X64" s="200"/>
      <c r="Y64" s="200"/>
      <c r="Z64" s="200"/>
      <c r="AA64" s="476"/>
      <c r="AB64" s="200" t="s">
        <v>230</v>
      </c>
      <c r="AC64" s="200"/>
      <c r="AD64" s="200"/>
      <c r="AE64" s="200"/>
      <c r="AF64" s="200"/>
      <c r="AG64" s="200" t="s">
        <v>230</v>
      </c>
      <c r="AH64" s="200"/>
      <c r="AI64" s="200"/>
      <c r="AJ64" s="200"/>
      <c r="AK64" s="476"/>
      <c r="AL64" s="200" t="s">
        <v>230</v>
      </c>
      <c r="AM64" s="200"/>
      <c r="AN64" s="200"/>
      <c r="AO64" s="200"/>
      <c r="AP64" s="476"/>
      <c r="AQ64" s="200" t="s">
        <v>230</v>
      </c>
      <c r="AR64" s="200"/>
      <c r="AS64" s="200"/>
      <c r="AT64" s="200"/>
      <c r="AU64" s="425"/>
      <c r="AV64" s="545" t="s">
        <v>230</v>
      </c>
      <c r="AW64" s="425"/>
      <c r="AX64" s="49"/>
      <c r="AY64" s="296"/>
      <c r="AZ64" s="541"/>
      <c r="BA64" s="554" t="s">
        <v>230</v>
      </c>
      <c r="BB64" s="541"/>
      <c r="BC64" s="49"/>
      <c r="BD64" s="327"/>
      <c r="BE64" s="556"/>
      <c r="BF64" s="557" t="s">
        <v>230</v>
      </c>
      <c r="BG64" s="556"/>
      <c r="BH64" s="49"/>
      <c r="BI64" s="346"/>
      <c r="BJ64" s="558"/>
      <c r="BK64" s="587" t="s">
        <v>230</v>
      </c>
      <c r="BL64" s="558"/>
      <c r="BM64" s="49"/>
      <c r="BN64" s="429"/>
      <c r="BO64" s="485"/>
      <c r="BP64" s="596" t="s">
        <v>230</v>
      </c>
      <c r="BQ64" s="485"/>
      <c r="BR64" s="49"/>
      <c r="BS64" s="353"/>
      <c r="BT64" s="472"/>
      <c r="BU64" s="586" t="s">
        <v>230</v>
      </c>
      <c r="BV64" s="472"/>
      <c r="BW64" s="49"/>
      <c r="BX64" s="368"/>
      <c r="BY64" s="578"/>
      <c r="BZ64" s="593" t="s">
        <v>230</v>
      </c>
      <c r="CA64" s="578"/>
      <c r="CB64" s="49"/>
      <c r="CC64" s="388"/>
      <c r="CD64" s="488"/>
      <c r="CE64" s="595" t="s">
        <v>230</v>
      </c>
      <c r="CF64" s="595"/>
      <c r="CG64" s="49"/>
      <c r="CH64" s="402"/>
      <c r="CI64" s="439"/>
      <c r="CJ64" s="426" t="s">
        <v>230</v>
      </c>
      <c r="CK64" s="439"/>
      <c r="CL64" s="49"/>
      <c r="CM64" s="402" t="str">
        <f>IFERROR(__xludf.DUMMYFUNCTION("""COMPUTED_VALUE"""),"")</f>
        <v/>
      </c>
      <c r="CN64" s="439" t="str">
        <f>IFERROR(__xludf.DUMMYFUNCTION("""COMPUTED_VALUE"""),"Squawkabilly")</f>
        <v>Squawkabilly</v>
      </c>
      <c r="CO64" s="426" t="s">
        <v>216</v>
      </c>
      <c r="CP64" s="456">
        <v>3.0</v>
      </c>
      <c r="CQ64" s="49"/>
      <c r="CR64" s="419" t="str">
        <f>IFERROR(__xludf.DUMMYFUNCTION("""COMPUTED_VALUE"""),"")</f>
        <v/>
      </c>
      <c r="CS64" s="487" t="str">
        <f>IFERROR(__xludf.DUMMYFUNCTION("""COMPUTED_VALUE"""),"Pawniard")</f>
        <v>Pawniard</v>
      </c>
      <c r="CT64" s="575" t="s">
        <v>216</v>
      </c>
      <c r="CU64" s="456">
        <v>1.0</v>
      </c>
      <c r="CV64" s="49"/>
      <c r="CW64" s="453"/>
      <c r="CX64" s="455"/>
      <c r="CY64" s="631"/>
      <c r="CZ64" s="455"/>
      <c r="DA64" s="49"/>
      <c r="DB64" s="457"/>
      <c r="DC64" s="475"/>
      <c r="DD64" s="632"/>
      <c r="DE64" s="475"/>
      <c r="DF64" s="49"/>
      <c r="DG64" s="458"/>
      <c r="DH64" s="459"/>
      <c r="DI64" s="633"/>
      <c r="DJ64" s="459"/>
      <c r="DK64" s="49"/>
      <c r="DL64" s="620"/>
      <c r="DM64" s="637"/>
      <c r="DN64" s="637"/>
      <c r="DO64" s="637"/>
      <c r="DP64" s="49"/>
      <c r="DQ64" s="461"/>
      <c r="DR64" s="462"/>
      <c r="DS64" s="525"/>
      <c r="DT64" s="525"/>
      <c r="DU64" s="49"/>
      <c r="DV64" s="463"/>
      <c r="DW64" s="464"/>
      <c r="DX64" s="634"/>
      <c r="DY64" s="635"/>
      <c r="DZ64" s="49"/>
      <c r="EA64" s="465"/>
      <c r="EB64" s="466"/>
      <c r="EC64" s="426"/>
      <c r="ED64" s="456"/>
      <c r="EE64" s="47"/>
      <c r="EF64" s="16"/>
    </row>
    <row r="65" ht="17.25" customHeight="1">
      <c r="A65" s="468"/>
      <c r="B65" s="469"/>
      <c r="C65" s="170"/>
      <c r="D65" s="171"/>
      <c r="E65" s="49"/>
      <c r="F65" s="200"/>
      <c r="G65" s="200"/>
      <c r="H65" s="200" t="s">
        <v>230</v>
      </c>
      <c r="I65" s="200"/>
      <c r="J65" s="200"/>
      <c r="K65" s="200"/>
      <c r="L65" s="476"/>
      <c r="M65" s="200" t="s">
        <v>230</v>
      </c>
      <c r="N65" s="200"/>
      <c r="O65" s="200"/>
      <c r="P65" s="200"/>
      <c r="Q65" s="476"/>
      <c r="R65" s="200" t="s">
        <v>230</v>
      </c>
      <c r="S65" s="200"/>
      <c r="T65" s="200"/>
      <c r="U65" s="200"/>
      <c r="V65" s="476"/>
      <c r="W65" s="200" t="s">
        <v>230</v>
      </c>
      <c r="X65" s="200"/>
      <c r="Y65" s="200"/>
      <c r="Z65" s="200"/>
      <c r="AA65" s="476"/>
      <c r="AB65" s="200" t="s">
        <v>230</v>
      </c>
      <c r="AC65" s="200"/>
      <c r="AD65" s="200"/>
      <c r="AE65" s="200"/>
      <c r="AF65" s="200"/>
      <c r="AG65" s="200" t="s">
        <v>230</v>
      </c>
      <c r="AH65" s="200"/>
      <c r="AI65" s="200"/>
      <c r="AJ65" s="200"/>
      <c r="AK65" s="476"/>
      <c r="AL65" s="200" t="s">
        <v>230</v>
      </c>
      <c r="AM65" s="200"/>
      <c r="AN65" s="200"/>
      <c r="AO65" s="200"/>
      <c r="AP65" s="476"/>
      <c r="AQ65" s="200" t="s">
        <v>230</v>
      </c>
      <c r="AR65" s="200"/>
      <c r="AS65" s="200"/>
      <c r="AT65" s="200"/>
      <c r="AU65" s="425"/>
      <c r="AV65" s="545" t="s">
        <v>230</v>
      </c>
      <c r="AW65" s="425"/>
      <c r="AX65" s="49"/>
      <c r="AY65" s="296"/>
      <c r="AZ65" s="541"/>
      <c r="BA65" s="554" t="s">
        <v>230</v>
      </c>
      <c r="BB65" s="541"/>
      <c r="BC65" s="49"/>
      <c r="BD65" s="327"/>
      <c r="BE65" s="556"/>
      <c r="BF65" s="557" t="s">
        <v>230</v>
      </c>
      <c r="BG65" s="556"/>
      <c r="BH65" s="49"/>
      <c r="BI65" s="346"/>
      <c r="BJ65" s="558"/>
      <c r="BK65" s="587" t="s">
        <v>230</v>
      </c>
      <c r="BL65" s="558"/>
      <c r="BM65" s="49"/>
      <c r="BN65" s="429"/>
      <c r="BO65" s="485"/>
      <c r="BP65" s="596" t="s">
        <v>230</v>
      </c>
      <c r="BQ65" s="485"/>
      <c r="BR65" s="49"/>
      <c r="BS65" s="353"/>
      <c r="BT65" s="472"/>
      <c r="BU65" s="586" t="s">
        <v>230</v>
      </c>
      <c r="BV65" s="472"/>
      <c r="BW65" s="49"/>
      <c r="BX65" s="368"/>
      <c r="BY65" s="578"/>
      <c r="BZ65" s="593" t="s">
        <v>230</v>
      </c>
      <c r="CA65" s="578"/>
      <c r="CB65" s="49"/>
      <c r="CC65" s="388"/>
      <c r="CD65" s="488"/>
      <c r="CE65" s="595" t="s">
        <v>230</v>
      </c>
      <c r="CF65" s="595"/>
      <c r="CG65" s="49"/>
      <c r="CH65" s="402"/>
      <c r="CI65" s="439"/>
      <c r="CJ65" s="426" t="s">
        <v>230</v>
      </c>
      <c r="CK65" s="439"/>
      <c r="CL65" s="49"/>
      <c r="CM65" s="402" t="str">
        <f>IFERROR(__xludf.DUMMYFUNCTION("""COMPUTED_VALUE"""),"")</f>
        <v/>
      </c>
      <c r="CN65" s="439" t="str">
        <f>IFERROR(__xludf.DUMMYFUNCTION("""COMPUTED_VALUE"""),"Stonjourner")</f>
        <v>Stonjourner</v>
      </c>
      <c r="CO65" s="426" t="s">
        <v>216</v>
      </c>
      <c r="CP65" s="456">
        <v>3.0</v>
      </c>
      <c r="CQ65" s="49"/>
      <c r="CR65" s="419" t="str">
        <f>IFERROR(__xludf.DUMMYFUNCTION("""COMPUTED_VALUE"""),"")</f>
        <v/>
      </c>
      <c r="CS65" s="487" t="str">
        <f>IFERROR(__xludf.DUMMYFUNCTION("""COMPUTED_VALUE"""),"Persian")</f>
        <v>Persian</v>
      </c>
      <c r="CT65" s="575" t="s">
        <v>216</v>
      </c>
      <c r="CU65" s="456">
        <v>1.0</v>
      </c>
      <c r="CV65" s="49"/>
      <c r="CW65" s="453"/>
      <c r="CX65" s="455"/>
      <c r="CY65" s="631"/>
      <c r="CZ65" s="455"/>
      <c r="DA65" s="49"/>
      <c r="DB65" s="457"/>
      <c r="DC65" s="475"/>
      <c r="DD65" s="632"/>
      <c r="DE65" s="475"/>
      <c r="DF65" s="49"/>
      <c r="DG65" s="458"/>
      <c r="DH65" s="459"/>
      <c r="DI65" s="633"/>
      <c r="DJ65" s="459"/>
      <c r="DK65" s="49"/>
      <c r="DL65" s="620"/>
      <c r="DM65" s="637"/>
      <c r="DN65" s="637"/>
      <c r="DO65" s="637"/>
      <c r="DP65" s="49"/>
      <c r="DQ65" s="461"/>
      <c r="DR65" s="462"/>
      <c r="DS65" s="525"/>
      <c r="DT65" s="525"/>
      <c r="DU65" s="49"/>
      <c r="DV65" s="463"/>
      <c r="DW65" s="464"/>
      <c r="DX65" s="634"/>
      <c r="DY65" s="635"/>
      <c r="DZ65" s="49"/>
      <c r="EA65" s="465"/>
      <c r="EB65" s="466"/>
      <c r="EC65" s="426"/>
      <c r="ED65" s="456"/>
      <c r="EE65" s="47"/>
      <c r="EF65" s="16"/>
    </row>
    <row r="66" ht="17.25" customHeight="1">
      <c r="A66" s="16"/>
      <c r="B66" s="47"/>
      <c r="C66" s="170"/>
      <c r="D66" s="171"/>
      <c r="E66" s="49"/>
      <c r="F66" s="200"/>
      <c r="G66" s="200"/>
      <c r="H66" s="200" t="s">
        <v>230</v>
      </c>
      <c r="I66" s="200"/>
      <c r="J66" s="200"/>
      <c r="K66" s="200"/>
      <c r="L66" s="476"/>
      <c r="M66" s="200" t="s">
        <v>230</v>
      </c>
      <c r="N66" s="200"/>
      <c r="O66" s="200"/>
      <c r="P66" s="200"/>
      <c r="Q66" s="476"/>
      <c r="R66" s="200" t="s">
        <v>230</v>
      </c>
      <c r="S66" s="200"/>
      <c r="T66" s="200"/>
      <c r="U66" s="200"/>
      <c r="V66" s="476"/>
      <c r="W66" s="200" t="s">
        <v>230</v>
      </c>
      <c r="X66" s="200"/>
      <c r="Y66" s="200"/>
      <c r="Z66" s="200"/>
      <c r="AA66" s="476"/>
      <c r="AB66" s="200" t="s">
        <v>230</v>
      </c>
      <c r="AC66" s="200"/>
      <c r="AD66" s="200"/>
      <c r="AE66" s="200"/>
      <c r="AF66" s="200"/>
      <c r="AG66" s="200" t="s">
        <v>230</v>
      </c>
      <c r="AH66" s="200"/>
      <c r="AI66" s="200"/>
      <c r="AJ66" s="200"/>
      <c r="AK66" s="476"/>
      <c r="AL66" s="200" t="s">
        <v>230</v>
      </c>
      <c r="AM66" s="200"/>
      <c r="AN66" s="200"/>
      <c r="AO66" s="200"/>
      <c r="AP66" s="476"/>
      <c r="AQ66" s="200" t="s">
        <v>230</v>
      </c>
      <c r="AR66" s="200"/>
      <c r="AS66" s="200"/>
      <c r="AT66" s="200"/>
      <c r="AU66" s="425"/>
      <c r="AV66" s="545" t="s">
        <v>230</v>
      </c>
      <c r="AW66" s="425"/>
      <c r="AX66" s="49"/>
      <c r="AY66" s="296"/>
      <c r="AZ66" s="541"/>
      <c r="BA66" s="554" t="s">
        <v>230</v>
      </c>
      <c r="BB66" s="541"/>
      <c r="BC66" s="49"/>
      <c r="BD66" s="327"/>
      <c r="BE66" s="556"/>
      <c r="BF66" s="557" t="s">
        <v>230</v>
      </c>
      <c r="BG66" s="556"/>
      <c r="BH66" s="49"/>
      <c r="BI66" s="346"/>
      <c r="BJ66" s="558"/>
      <c r="BK66" s="587" t="s">
        <v>230</v>
      </c>
      <c r="BL66" s="558"/>
      <c r="BM66" s="49"/>
      <c r="BN66" s="429"/>
      <c r="BO66" s="485"/>
      <c r="BP66" s="596" t="s">
        <v>230</v>
      </c>
      <c r="BQ66" s="485"/>
      <c r="BR66" s="49"/>
      <c r="BS66" s="353"/>
      <c r="BT66" s="472"/>
      <c r="BU66" s="586" t="s">
        <v>230</v>
      </c>
      <c r="BV66" s="472"/>
      <c r="BW66" s="49"/>
      <c r="BX66" s="368"/>
      <c r="BY66" s="578"/>
      <c r="BZ66" s="593" t="s">
        <v>230</v>
      </c>
      <c r="CA66" s="578"/>
      <c r="CB66" s="49"/>
      <c r="CC66" s="388"/>
      <c r="CD66" s="488"/>
      <c r="CE66" s="595" t="s">
        <v>230</v>
      </c>
      <c r="CF66" s="595"/>
      <c r="CG66" s="49"/>
      <c r="CH66" s="402"/>
      <c r="CI66" s="439"/>
      <c r="CJ66" s="426" t="s">
        <v>230</v>
      </c>
      <c r="CK66" s="439"/>
      <c r="CL66" s="49"/>
      <c r="CM66" s="402" t="str">
        <f>IFERROR(__xludf.DUMMYFUNCTION("""COMPUTED_VALUE"""),"")</f>
        <v/>
      </c>
      <c r="CN66" s="439" t="str">
        <f>IFERROR(__xludf.DUMMYFUNCTION("""COMPUTED_VALUE"""),"Toucannon")</f>
        <v>Toucannon</v>
      </c>
      <c r="CO66" s="426" t="s">
        <v>216</v>
      </c>
      <c r="CP66" s="456">
        <v>3.0</v>
      </c>
      <c r="CQ66" s="49"/>
      <c r="CR66" s="419" t="str">
        <f>IFERROR(__xludf.DUMMYFUNCTION("""COMPUTED_VALUE"""),"")</f>
        <v/>
      </c>
      <c r="CS66" s="487" t="str">
        <f>IFERROR(__xludf.DUMMYFUNCTION("""COMPUTED_VALUE"""),"Pignite")</f>
        <v>Pignite</v>
      </c>
      <c r="CT66" s="575" t="s">
        <v>216</v>
      </c>
      <c r="CU66" s="456">
        <v>1.0</v>
      </c>
      <c r="CV66" s="49"/>
      <c r="CW66" s="453"/>
      <c r="CX66" s="455"/>
      <c r="CY66" s="631"/>
      <c r="CZ66" s="455"/>
      <c r="DA66" s="49"/>
      <c r="DB66" s="457"/>
      <c r="DC66" s="475"/>
      <c r="DD66" s="632"/>
      <c r="DE66" s="475"/>
      <c r="DF66" s="49"/>
      <c r="DG66" s="458"/>
      <c r="DH66" s="459"/>
      <c r="DI66" s="633"/>
      <c r="DJ66" s="459"/>
      <c r="DK66" s="49"/>
      <c r="DL66" s="620"/>
      <c r="DM66" s="637"/>
      <c r="DN66" s="637"/>
      <c r="DO66" s="637"/>
      <c r="DP66" s="49"/>
      <c r="DQ66" s="461"/>
      <c r="DR66" s="462"/>
      <c r="DS66" s="525"/>
      <c r="DT66" s="525"/>
      <c r="DU66" s="49"/>
      <c r="DV66" s="463"/>
      <c r="DW66" s="464"/>
      <c r="DX66" s="634"/>
      <c r="DY66" s="635"/>
      <c r="DZ66" s="49"/>
      <c r="EA66" s="465"/>
      <c r="EB66" s="466"/>
      <c r="EC66" s="426"/>
      <c r="ED66" s="456"/>
      <c r="EE66" s="47"/>
      <c r="EF66" s="16"/>
    </row>
    <row r="67" ht="17.25" customHeight="1">
      <c r="A67" s="16"/>
      <c r="B67" s="47"/>
      <c r="C67" s="170"/>
      <c r="D67" s="171"/>
      <c r="E67" s="49"/>
      <c r="F67" s="200"/>
      <c r="G67" s="200"/>
      <c r="H67" s="200" t="s">
        <v>230</v>
      </c>
      <c r="I67" s="200"/>
      <c r="J67" s="200"/>
      <c r="K67" s="200"/>
      <c r="L67" s="476"/>
      <c r="M67" s="200" t="s">
        <v>230</v>
      </c>
      <c r="N67" s="200"/>
      <c r="O67" s="200"/>
      <c r="P67" s="200"/>
      <c r="Q67" s="476"/>
      <c r="R67" s="200" t="s">
        <v>230</v>
      </c>
      <c r="S67" s="200"/>
      <c r="T67" s="200"/>
      <c r="U67" s="200"/>
      <c r="V67" s="476"/>
      <c r="W67" s="200" t="s">
        <v>230</v>
      </c>
      <c r="X67" s="200"/>
      <c r="Y67" s="200"/>
      <c r="Z67" s="200"/>
      <c r="AA67" s="476"/>
      <c r="AB67" s="200" t="s">
        <v>230</v>
      </c>
      <c r="AC67" s="200"/>
      <c r="AD67" s="200"/>
      <c r="AE67" s="200"/>
      <c r="AF67" s="200"/>
      <c r="AG67" s="200" t="s">
        <v>230</v>
      </c>
      <c r="AH67" s="200"/>
      <c r="AI67" s="200"/>
      <c r="AJ67" s="200"/>
      <c r="AK67" s="476"/>
      <c r="AL67" s="200" t="s">
        <v>230</v>
      </c>
      <c r="AM67" s="200"/>
      <c r="AN67" s="200"/>
      <c r="AO67" s="200"/>
      <c r="AP67" s="476"/>
      <c r="AQ67" s="200" t="s">
        <v>230</v>
      </c>
      <c r="AR67" s="200"/>
      <c r="AS67" s="200"/>
      <c r="AT67" s="200"/>
      <c r="AU67" s="425"/>
      <c r="AV67" s="545" t="s">
        <v>230</v>
      </c>
      <c r="AW67" s="425"/>
      <c r="AX67" s="49"/>
      <c r="AY67" s="296"/>
      <c r="AZ67" s="541"/>
      <c r="BA67" s="554" t="s">
        <v>230</v>
      </c>
      <c r="BB67" s="541"/>
      <c r="BC67" s="49"/>
      <c r="BD67" s="327"/>
      <c r="BE67" s="556"/>
      <c r="BF67" s="557" t="s">
        <v>230</v>
      </c>
      <c r="BG67" s="556"/>
      <c r="BH67" s="49"/>
      <c r="BI67" s="346"/>
      <c r="BJ67" s="558"/>
      <c r="BK67" s="587" t="s">
        <v>230</v>
      </c>
      <c r="BL67" s="558"/>
      <c r="BM67" s="49"/>
      <c r="BN67" s="429"/>
      <c r="BO67" s="485"/>
      <c r="BP67" s="596" t="s">
        <v>230</v>
      </c>
      <c r="BQ67" s="485"/>
      <c r="BR67" s="49"/>
      <c r="BS67" s="353"/>
      <c r="BT67" s="472"/>
      <c r="BU67" s="586" t="s">
        <v>230</v>
      </c>
      <c r="BV67" s="472"/>
      <c r="BW67" s="49"/>
      <c r="BX67" s="368"/>
      <c r="BY67" s="578"/>
      <c r="BZ67" s="593" t="s">
        <v>230</v>
      </c>
      <c r="CA67" s="578"/>
      <c r="CB67" s="49"/>
      <c r="CC67" s="388"/>
      <c r="CD67" s="488"/>
      <c r="CE67" s="595" t="s">
        <v>230</v>
      </c>
      <c r="CF67" s="595"/>
      <c r="CG67" s="49"/>
      <c r="CH67" s="402"/>
      <c r="CI67" s="439"/>
      <c r="CJ67" s="426" t="s">
        <v>230</v>
      </c>
      <c r="CK67" s="439"/>
      <c r="CL67" s="49"/>
      <c r="CM67" s="402" t="str">
        <f>IFERROR(__xludf.DUMMYFUNCTION("""COMPUTED_VALUE"""),"")</f>
        <v/>
      </c>
      <c r="CN67" s="439" t="str">
        <f>IFERROR(__xludf.DUMMYFUNCTION("""COMPUTED_VALUE"""),"Trevenant")</f>
        <v>Trevenant</v>
      </c>
      <c r="CO67" s="426" t="s">
        <v>216</v>
      </c>
      <c r="CP67" s="456">
        <v>3.0</v>
      </c>
      <c r="CQ67" s="49"/>
      <c r="CR67" s="419" t="str">
        <f>IFERROR(__xludf.DUMMYFUNCTION("""COMPUTED_VALUE"""),"")</f>
        <v/>
      </c>
      <c r="CS67" s="487" t="str">
        <f>IFERROR(__xludf.DUMMYFUNCTION("""COMPUTED_VALUE"""),"Pikachu")</f>
        <v>Pikachu</v>
      </c>
      <c r="CT67" s="575" t="s">
        <v>216</v>
      </c>
      <c r="CU67" s="456">
        <v>1.0</v>
      </c>
      <c r="CV67" s="49"/>
      <c r="CW67" s="453"/>
      <c r="CX67" s="455"/>
      <c r="CY67" s="631"/>
      <c r="CZ67" s="455"/>
      <c r="DA67" s="49"/>
      <c r="DB67" s="457"/>
      <c r="DC67" s="475"/>
      <c r="DD67" s="632"/>
      <c r="DE67" s="475"/>
      <c r="DF67" s="49"/>
      <c r="DG67" s="458"/>
      <c r="DH67" s="459"/>
      <c r="DI67" s="633"/>
      <c r="DJ67" s="459"/>
      <c r="DK67" s="49"/>
      <c r="DL67" s="620"/>
      <c r="DM67" s="637"/>
      <c r="DN67" s="637"/>
      <c r="DO67" s="637"/>
      <c r="DP67" s="49"/>
      <c r="DQ67" s="461"/>
      <c r="DR67" s="462"/>
      <c r="DS67" s="525"/>
      <c r="DT67" s="525"/>
      <c r="DU67" s="49"/>
      <c r="DV67" s="463"/>
      <c r="DW67" s="464"/>
      <c r="DX67" s="634"/>
      <c r="DY67" s="635"/>
      <c r="DZ67" s="49"/>
      <c r="EA67" s="465"/>
      <c r="EB67" s="466"/>
      <c r="EC67" s="426"/>
      <c r="ED67" s="456"/>
      <c r="EE67" s="47"/>
      <c r="EF67" s="16"/>
    </row>
    <row r="68" ht="17.25" customHeight="1">
      <c r="A68" s="16"/>
      <c r="B68" s="47"/>
      <c r="C68" s="170"/>
      <c r="D68" s="171"/>
      <c r="E68" s="49"/>
      <c r="F68" s="200"/>
      <c r="G68" s="200"/>
      <c r="H68" s="200" t="s">
        <v>230</v>
      </c>
      <c r="I68" s="200"/>
      <c r="J68" s="200"/>
      <c r="K68" s="200"/>
      <c r="L68" s="476"/>
      <c r="M68" s="200" t="s">
        <v>230</v>
      </c>
      <c r="N68" s="200"/>
      <c r="O68" s="200"/>
      <c r="P68" s="200"/>
      <c r="Q68" s="476"/>
      <c r="R68" s="200" t="s">
        <v>230</v>
      </c>
      <c r="S68" s="200"/>
      <c r="T68" s="200"/>
      <c r="U68" s="200"/>
      <c r="V68" s="476"/>
      <c r="W68" s="200" t="s">
        <v>230</v>
      </c>
      <c r="X68" s="200"/>
      <c r="Y68" s="200"/>
      <c r="Z68" s="200"/>
      <c r="AA68" s="476"/>
      <c r="AB68" s="200" t="s">
        <v>230</v>
      </c>
      <c r="AC68" s="200"/>
      <c r="AD68" s="200"/>
      <c r="AE68" s="200"/>
      <c r="AF68" s="200"/>
      <c r="AG68" s="200" t="s">
        <v>230</v>
      </c>
      <c r="AH68" s="200"/>
      <c r="AI68" s="200"/>
      <c r="AJ68" s="200"/>
      <c r="AK68" s="476"/>
      <c r="AL68" s="200" t="s">
        <v>230</v>
      </c>
      <c r="AM68" s="200"/>
      <c r="AN68" s="200"/>
      <c r="AO68" s="200"/>
      <c r="AP68" s="476"/>
      <c r="AQ68" s="200" t="s">
        <v>230</v>
      </c>
      <c r="AR68" s="200"/>
      <c r="AS68" s="200"/>
      <c r="AT68" s="200"/>
      <c r="AU68" s="425"/>
      <c r="AV68" s="545" t="s">
        <v>230</v>
      </c>
      <c r="AW68" s="425"/>
      <c r="AX68" s="49"/>
      <c r="AY68" s="296"/>
      <c r="AZ68" s="541"/>
      <c r="BA68" s="554" t="s">
        <v>230</v>
      </c>
      <c r="BB68" s="541"/>
      <c r="BC68" s="49"/>
      <c r="BD68" s="327"/>
      <c r="BE68" s="556"/>
      <c r="BF68" s="557" t="s">
        <v>230</v>
      </c>
      <c r="BG68" s="556"/>
      <c r="BH68" s="49"/>
      <c r="BI68" s="346"/>
      <c r="BJ68" s="558"/>
      <c r="BK68" s="587" t="s">
        <v>230</v>
      </c>
      <c r="BL68" s="558"/>
      <c r="BM68" s="49"/>
      <c r="BN68" s="429"/>
      <c r="BO68" s="485"/>
      <c r="BP68" s="596" t="s">
        <v>230</v>
      </c>
      <c r="BQ68" s="485"/>
      <c r="BR68" s="49"/>
      <c r="BS68" s="353"/>
      <c r="BT68" s="472"/>
      <c r="BU68" s="586" t="s">
        <v>230</v>
      </c>
      <c r="BV68" s="472"/>
      <c r="BW68" s="49"/>
      <c r="BX68" s="368"/>
      <c r="BY68" s="578"/>
      <c r="BZ68" s="593" t="s">
        <v>230</v>
      </c>
      <c r="CA68" s="578"/>
      <c r="CB68" s="49"/>
      <c r="CC68" s="388"/>
      <c r="CD68" s="488"/>
      <c r="CE68" s="595" t="s">
        <v>230</v>
      </c>
      <c r="CF68" s="595"/>
      <c r="CG68" s="49"/>
      <c r="CH68" s="402"/>
      <c r="CI68" s="439"/>
      <c r="CJ68" s="426" t="s">
        <v>230</v>
      </c>
      <c r="CK68" s="439"/>
      <c r="CL68" s="49"/>
      <c r="CM68" s="402" t="str">
        <f>IFERROR(__xludf.DUMMYFUNCTION("""COMPUTED_VALUE"""),"")</f>
        <v/>
      </c>
      <c r="CN68" s="439" t="str">
        <f>IFERROR(__xludf.DUMMYFUNCTION("""COMPUTED_VALUE"""),"Veluza")</f>
        <v>Veluza</v>
      </c>
      <c r="CO68" s="426" t="s">
        <v>216</v>
      </c>
      <c r="CP68" s="456">
        <v>3.0</v>
      </c>
      <c r="CQ68" s="49"/>
      <c r="CR68" s="419" t="str">
        <f>IFERROR(__xludf.DUMMYFUNCTION("""COMPUTED_VALUE"""),"")</f>
        <v/>
      </c>
      <c r="CS68" s="487" t="str">
        <f>IFERROR(__xludf.DUMMYFUNCTION("""COMPUTED_VALUE"""),"Pineco")</f>
        <v>Pineco</v>
      </c>
      <c r="CT68" s="575" t="s">
        <v>216</v>
      </c>
      <c r="CU68" s="456">
        <v>1.0</v>
      </c>
      <c r="CV68" s="49"/>
      <c r="CW68" s="453"/>
      <c r="CX68" s="455"/>
      <c r="CY68" s="631"/>
      <c r="CZ68" s="455"/>
      <c r="DA68" s="49"/>
      <c r="DB68" s="457"/>
      <c r="DC68" s="475"/>
      <c r="DD68" s="632"/>
      <c r="DE68" s="475"/>
      <c r="DF68" s="49"/>
      <c r="DG68" s="458"/>
      <c r="DH68" s="459"/>
      <c r="DI68" s="633"/>
      <c r="DJ68" s="459"/>
      <c r="DK68" s="49"/>
      <c r="DL68" s="620"/>
      <c r="DM68" s="637"/>
      <c r="DN68" s="637"/>
      <c r="DO68" s="637"/>
      <c r="DP68" s="49"/>
      <c r="DQ68" s="461"/>
      <c r="DR68" s="462"/>
      <c r="DS68" s="525"/>
      <c r="DT68" s="525"/>
      <c r="DU68" s="49"/>
      <c r="DV68" s="463"/>
      <c r="DW68" s="464"/>
      <c r="DX68" s="634"/>
      <c r="DY68" s="635"/>
      <c r="DZ68" s="49"/>
      <c r="EA68" s="465"/>
      <c r="EB68" s="466"/>
      <c r="EC68" s="426"/>
      <c r="ED68" s="456"/>
      <c r="EE68" s="47"/>
      <c r="EF68" s="16"/>
    </row>
    <row r="69" ht="17.25" customHeight="1">
      <c r="A69" s="16"/>
      <c r="B69" s="47"/>
      <c r="C69" s="170"/>
      <c r="D69" s="171"/>
      <c r="E69" s="49"/>
      <c r="F69" s="200"/>
      <c r="G69" s="200"/>
      <c r="H69" s="200" t="s">
        <v>230</v>
      </c>
      <c r="I69" s="200"/>
      <c r="J69" s="200"/>
      <c r="K69" s="200"/>
      <c r="L69" s="476"/>
      <c r="M69" s="200" t="s">
        <v>230</v>
      </c>
      <c r="N69" s="200"/>
      <c r="O69" s="200"/>
      <c r="P69" s="200"/>
      <c r="Q69" s="476"/>
      <c r="R69" s="200" t="s">
        <v>230</v>
      </c>
      <c r="S69" s="200"/>
      <c r="T69" s="200"/>
      <c r="U69" s="200"/>
      <c r="V69" s="476"/>
      <c r="W69" s="200" t="s">
        <v>230</v>
      </c>
      <c r="X69" s="200"/>
      <c r="Y69" s="200"/>
      <c r="Z69" s="200"/>
      <c r="AA69" s="476"/>
      <c r="AB69" s="200" t="s">
        <v>230</v>
      </c>
      <c r="AC69" s="200"/>
      <c r="AD69" s="200"/>
      <c r="AE69" s="200"/>
      <c r="AF69" s="200"/>
      <c r="AG69" s="200" t="s">
        <v>230</v>
      </c>
      <c r="AH69" s="200"/>
      <c r="AI69" s="200"/>
      <c r="AJ69" s="200"/>
      <c r="AK69" s="476"/>
      <c r="AL69" s="200" t="s">
        <v>230</v>
      </c>
      <c r="AM69" s="200"/>
      <c r="AN69" s="200"/>
      <c r="AO69" s="200"/>
      <c r="AP69" s="476"/>
      <c r="AQ69" s="200" t="s">
        <v>230</v>
      </c>
      <c r="AR69" s="200"/>
      <c r="AS69" s="200"/>
      <c r="AT69" s="200"/>
      <c r="AU69" s="425"/>
      <c r="AV69" s="545" t="s">
        <v>230</v>
      </c>
      <c r="AW69" s="425"/>
      <c r="AX69" s="49"/>
      <c r="AY69" s="296"/>
      <c r="AZ69" s="541"/>
      <c r="BA69" s="554" t="s">
        <v>230</v>
      </c>
      <c r="BB69" s="541"/>
      <c r="BC69" s="49"/>
      <c r="BD69" s="327"/>
      <c r="BE69" s="556"/>
      <c r="BF69" s="557" t="s">
        <v>230</v>
      </c>
      <c r="BG69" s="556"/>
      <c r="BH69" s="49"/>
      <c r="BI69" s="346"/>
      <c r="BJ69" s="558"/>
      <c r="BK69" s="587" t="s">
        <v>230</v>
      </c>
      <c r="BL69" s="558"/>
      <c r="BM69" s="49"/>
      <c r="BN69" s="429"/>
      <c r="BO69" s="485"/>
      <c r="BP69" s="596" t="s">
        <v>230</v>
      </c>
      <c r="BQ69" s="485"/>
      <c r="BR69" s="49"/>
      <c r="BS69" s="353"/>
      <c r="BT69" s="472"/>
      <c r="BU69" s="586" t="s">
        <v>230</v>
      </c>
      <c r="BV69" s="472"/>
      <c r="BW69" s="49"/>
      <c r="BX69" s="368"/>
      <c r="BY69" s="578"/>
      <c r="BZ69" s="593" t="s">
        <v>230</v>
      </c>
      <c r="CA69" s="578"/>
      <c r="CB69" s="49"/>
      <c r="CC69" s="388"/>
      <c r="CD69" s="488"/>
      <c r="CE69" s="595" t="s">
        <v>230</v>
      </c>
      <c r="CF69" s="595"/>
      <c r="CG69" s="49"/>
      <c r="CH69" s="402"/>
      <c r="CI69" s="439"/>
      <c r="CJ69" s="426" t="s">
        <v>230</v>
      </c>
      <c r="CK69" s="439"/>
      <c r="CL69" s="49"/>
      <c r="CM69" s="402" t="str">
        <f>IFERROR(__xludf.DUMMYFUNCTION("""COMPUTED_VALUE"""),"")</f>
        <v/>
      </c>
      <c r="CN69" s="439" t="str">
        <f>IFERROR(__xludf.DUMMYFUNCTION("""COMPUTED_VALUE"""),"Vivillon")</f>
        <v>Vivillon</v>
      </c>
      <c r="CO69" s="426" t="s">
        <v>216</v>
      </c>
      <c r="CP69" s="456">
        <v>3.0</v>
      </c>
      <c r="CQ69" s="49"/>
      <c r="CR69" s="419" t="str">
        <f>IFERROR(__xludf.DUMMYFUNCTION("""COMPUTED_VALUE"""),"")</f>
        <v/>
      </c>
      <c r="CS69" s="487" t="str">
        <f>IFERROR(__xludf.DUMMYFUNCTION("""COMPUTED_VALUE"""),"Plusle")</f>
        <v>Plusle</v>
      </c>
      <c r="CT69" s="575" t="s">
        <v>216</v>
      </c>
      <c r="CU69" s="456">
        <v>1.0</v>
      </c>
      <c r="CV69" s="49"/>
      <c r="CW69" s="453"/>
      <c r="CX69" s="455"/>
      <c r="CY69" s="631"/>
      <c r="CZ69" s="455"/>
      <c r="DA69" s="49"/>
      <c r="DB69" s="457"/>
      <c r="DC69" s="475"/>
      <c r="DD69" s="632"/>
      <c r="DE69" s="475"/>
      <c r="DF69" s="49"/>
      <c r="DG69" s="458"/>
      <c r="DH69" s="459"/>
      <c r="DI69" s="633"/>
      <c r="DJ69" s="459"/>
      <c r="DK69" s="49"/>
      <c r="DL69" s="620"/>
      <c r="DM69" s="637"/>
      <c r="DN69" s="637"/>
      <c r="DO69" s="637"/>
      <c r="DP69" s="49"/>
      <c r="DQ69" s="461"/>
      <c r="DR69" s="462"/>
      <c r="DS69" s="525"/>
      <c r="DT69" s="525"/>
      <c r="DU69" s="49"/>
      <c r="DV69" s="463"/>
      <c r="DW69" s="464"/>
      <c r="DX69" s="634"/>
      <c r="DY69" s="635"/>
      <c r="DZ69" s="49"/>
      <c r="EA69" s="465"/>
      <c r="EB69" s="466"/>
      <c r="EC69" s="426"/>
      <c r="ED69" s="456"/>
      <c r="EE69" s="47"/>
      <c r="EF69" s="16"/>
    </row>
    <row r="70" ht="17.25" customHeight="1">
      <c r="A70" s="16"/>
      <c r="B70" s="47"/>
      <c r="C70" s="170"/>
      <c r="D70" s="171"/>
      <c r="E70" s="444" t="s">
        <v>228</v>
      </c>
      <c r="F70" s="200"/>
      <c r="G70" s="200"/>
      <c r="H70" s="200" t="s">
        <v>230</v>
      </c>
      <c r="I70" s="200"/>
      <c r="J70" s="200"/>
      <c r="K70" s="200"/>
      <c r="L70" s="476"/>
      <c r="M70" s="200" t="s">
        <v>230</v>
      </c>
      <c r="N70" s="200"/>
      <c r="O70" s="200"/>
      <c r="P70" s="200"/>
      <c r="Q70" s="476"/>
      <c r="R70" s="200" t="s">
        <v>230</v>
      </c>
      <c r="S70" s="200"/>
      <c r="T70" s="200"/>
      <c r="U70" s="200"/>
      <c r="V70" s="476"/>
      <c r="W70" s="200" t="s">
        <v>230</v>
      </c>
      <c r="X70" s="200"/>
      <c r="Y70" s="200"/>
      <c r="Z70" s="200"/>
      <c r="AA70" s="476"/>
      <c r="AB70" s="200" t="s">
        <v>230</v>
      </c>
      <c r="AC70" s="200"/>
      <c r="AD70" s="200"/>
      <c r="AE70" s="200"/>
      <c r="AF70" s="200"/>
      <c r="AG70" s="200" t="s">
        <v>230</v>
      </c>
      <c r="AH70" s="200"/>
      <c r="AI70" s="200"/>
      <c r="AJ70" s="200"/>
      <c r="AK70" s="476"/>
      <c r="AL70" s="200" t="s">
        <v>230</v>
      </c>
      <c r="AM70" s="200"/>
      <c r="AN70" s="200"/>
      <c r="AO70" s="200"/>
      <c r="AP70" s="476"/>
      <c r="AQ70" s="200" t="s">
        <v>230</v>
      </c>
      <c r="AR70" s="200"/>
      <c r="AS70" s="200"/>
      <c r="AT70" s="200"/>
      <c r="AU70" s="425"/>
      <c r="AV70" s="545" t="s">
        <v>230</v>
      </c>
      <c r="AW70" s="425"/>
      <c r="AX70" s="49"/>
      <c r="AY70" s="296"/>
      <c r="AZ70" s="541"/>
      <c r="BA70" s="554" t="s">
        <v>230</v>
      </c>
      <c r="BB70" s="541"/>
      <c r="BC70" s="49"/>
      <c r="BD70" s="327"/>
      <c r="BE70" s="556"/>
      <c r="BF70" s="557" t="s">
        <v>230</v>
      </c>
      <c r="BG70" s="556"/>
      <c r="BH70" s="49"/>
      <c r="BI70" s="346"/>
      <c r="BJ70" s="558"/>
      <c r="BK70" s="587" t="s">
        <v>230</v>
      </c>
      <c r="BL70" s="558"/>
      <c r="BM70" s="49"/>
      <c r="BN70" s="429"/>
      <c r="BO70" s="485"/>
      <c r="BP70" s="596" t="s">
        <v>230</v>
      </c>
      <c r="BQ70" s="485"/>
      <c r="BR70" s="49"/>
      <c r="BS70" s="353"/>
      <c r="BT70" s="472"/>
      <c r="BU70" s="586" t="s">
        <v>230</v>
      </c>
      <c r="BV70" s="472"/>
      <c r="BW70" s="49"/>
      <c r="BX70" s="368"/>
      <c r="BY70" s="578"/>
      <c r="BZ70" s="593" t="s">
        <v>230</v>
      </c>
      <c r="CA70" s="578"/>
      <c r="CB70" s="49"/>
      <c r="CC70" s="388"/>
      <c r="CD70" s="488"/>
      <c r="CE70" s="595" t="s">
        <v>230</v>
      </c>
      <c r="CF70" s="595"/>
      <c r="CG70" s="49"/>
      <c r="CH70" s="402"/>
      <c r="CI70" s="439"/>
      <c r="CJ70" s="426" t="s">
        <v>230</v>
      </c>
      <c r="CK70" s="439"/>
      <c r="CL70" s="49"/>
      <c r="CM70" s="402" t="str">
        <f>IFERROR(__xludf.DUMMYFUNCTION("""COMPUTED_VALUE"""),"")</f>
        <v/>
      </c>
      <c r="CN70" s="439" t="str">
        <f>IFERROR(__xludf.DUMMYFUNCTION("""COMPUTED_VALUE"""),"Volbeat")</f>
        <v>Volbeat</v>
      </c>
      <c r="CO70" s="426" t="s">
        <v>216</v>
      </c>
      <c r="CP70" s="456">
        <v>3.0</v>
      </c>
      <c r="CQ70" s="49"/>
      <c r="CR70" s="419" t="str">
        <f>IFERROR(__xludf.DUMMYFUNCTION("""COMPUTED_VALUE"""),"")</f>
        <v/>
      </c>
      <c r="CS70" s="487" t="str">
        <f>IFERROR(__xludf.DUMMYFUNCTION("""COMPUTED_VALUE"""),"Poltchageist")</f>
        <v>Poltchageist</v>
      </c>
      <c r="CT70" s="575" t="s">
        <v>216</v>
      </c>
      <c r="CU70" s="456">
        <v>1.0</v>
      </c>
      <c r="CV70" s="49"/>
      <c r="CW70" s="453"/>
      <c r="CX70" s="455"/>
      <c r="CY70" s="631"/>
      <c r="CZ70" s="455"/>
      <c r="DA70" s="49"/>
      <c r="DB70" s="457"/>
      <c r="DC70" s="475"/>
      <c r="DD70" s="632"/>
      <c r="DE70" s="475"/>
      <c r="DF70" s="49"/>
      <c r="DG70" s="458"/>
      <c r="DH70" s="459"/>
      <c r="DI70" s="633"/>
      <c r="DJ70" s="459"/>
      <c r="DK70" s="49"/>
      <c r="DL70" s="620"/>
      <c r="DM70" s="637"/>
      <c r="DN70" s="637"/>
      <c r="DO70" s="637"/>
      <c r="DP70" s="49"/>
      <c r="DQ70" s="461"/>
      <c r="DR70" s="462"/>
      <c r="DS70" s="525"/>
      <c r="DT70" s="525"/>
      <c r="DU70" s="49"/>
      <c r="DV70" s="463"/>
      <c r="DW70" s="464"/>
      <c r="DX70" s="634"/>
      <c r="DY70" s="635"/>
      <c r="DZ70" s="49"/>
      <c r="EA70" s="465"/>
      <c r="EB70" s="466"/>
      <c r="EC70" s="426"/>
      <c r="ED70" s="456"/>
      <c r="EE70" s="47"/>
      <c r="EF70" s="16"/>
    </row>
    <row r="71" ht="17.25" customHeight="1">
      <c r="A71" s="16"/>
      <c r="B71" s="47"/>
      <c r="C71" s="170"/>
      <c r="D71" s="171"/>
      <c r="E71" s="49"/>
      <c r="F71" s="200"/>
      <c r="G71" s="200"/>
      <c r="H71" s="200" t="s">
        <v>230</v>
      </c>
      <c r="I71" s="200"/>
      <c r="J71" s="200"/>
      <c r="K71" s="200"/>
      <c r="L71" s="476"/>
      <c r="M71" s="200" t="s">
        <v>230</v>
      </c>
      <c r="N71" s="200"/>
      <c r="O71" s="200"/>
      <c r="P71" s="200"/>
      <c r="Q71" s="476"/>
      <c r="R71" s="200" t="s">
        <v>230</v>
      </c>
      <c r="S71" s="200"/>
      <c r="T71" s="200"/>
      <c r="U71" s="200"/>
      <c r="V71" s="476"/>
      <c r="W71" s="200" t="s">
        <v>230</v>
      </c>
      <c r="X71" s="200"/>
      <c r="Y71" s="200"/>
      <c r="Z71" s="200"/>
      <c r="AA71" s="476"/>
      <c r="AB71" s="200" t="s">
        <v>230</v>
      </c>
      <c r="AC71" s="200"/>
      <c r="AD71" s="200"/>
      <c r="AE71" s="200"/>
      <c r="AF71" s="200"/>
      <c r="AG71" s="200" t="s">
        <v>230</v>
      </c>
      <c r="AH71" s="200"/>
      <c r="AI71" s="200"/>
      <c r="AJ71" s="200"/>
      <c r="AK71" s="476"/>
      <c r="AL71" s="200" t="s">
        <v>230</v>
      </c>
      <c r="AM71" s="200"/>
      <c r="AN71" s="200"/>
      <c r="AO71" s="200"/>
      <c r="AP71" s="476"/>
      <c r="AQ71" s="200" t="s">
        <v>230</v>
      </c>
      <c r="AR71" s="200"/>
      <c r="AS71" s="200"/>
      <c r="AT71" s="200"/>
      <c r="AU71" s="425"/>
      <c r="AV71" s="545" t="s">
        <v>230</v>
      </c>
      <c r="AW71" s="425"/>
      <c r="AX71" s="49"/>
      <c r="AY71" s="296"/>
      <c r="AZ71" s="541"/>
      <c r="BA71" s="554" t="s">
        <v>230</v>
      </c>
      <c r="BB71" s="541"/>
      <c r="BC71" s="49"/>
      <c r="BD71" s="327"/>
      <c r="BE71" s="556"/>
      <c r="BF71" s="557" t="s">
        <v>230</v>
      </c>
      <c r="BG71" s="556"/>
      <c r="BH71" s="49"/>
      <c r="BI71" s="346"/>
      <c r="BJ71" s="558"/>
      <c r="BK71" s="587" t="s">
        <v>230</v>
      </c>
      <c r="BL71" s="558"/>
      <c r="BM71" s="49"/>
      <c r="BN71" s="429"/>
      <c r="BO71" s="485"/>
      <c r="BP71" s="596" t="s">
        <v>230</v>
      </c>
      <c r="BQ71" s="485"/>
      <c r="BR71" s="49"/>
      <c r="BS71" s="353"/>
      <c r="BT71" s="472"/>
      <c r="BU71" s="586" t="s">
        <v>230</v>
      </c>
      <c r="BV71" s="472"/>
      <c r="BW71" s="49"/>
      <c r="BX71" s="368"/>
      <c r="BY71" s="578"/>
      <c r="BZ71" s="593" t="s">
        <v>230</v>
      </c>
      <c r="CA71" s="578"/>
      <c r="CB71" s="49"/>
      <c r="CC71" s="388"/>
      <c r="CD71" s="488"/>
      <c r="CE71" s="595" t="s">
        <v>230</v>
      </c>
      <c r="CF71" s="595"/>
      <c r="CG71" s="49"/>
      <c r="CH71" s="402"/>
      <c r="CI71" s="439"/>
      <c r="CJ71" s="426" t="s">
        <v>230</v>
      </c>
      <c r="CK71" s="439"/>
      <c r="CL71" s="49"/>
      <c r="CM71" s="402" t="str">
        <f>IFERROR(__xludf.DUMMYFUNCTION("""COMPUTED_VALUE"""),"")</f>
        <v/>
      </c>
      <c r="CN71" s="439" t="str">
        <f>IFERROR(__xludf.DUMMYFUNCTION("""COMPUTED_VALUE"""),"Whiscash")</f>
        <v>Whiscash</v>
      </c>
      <c r="CO71" s="426" t="s">
        <v>216</v>
      </c>
      <c r="CP71" s="456">
        <v>3.0</v>
      </c>
      <c r="CQ71" s="49"/>
      <c r="CR71" s="419" t="str">
        <f>IFERROR(__xludf.DUMMYFUNCTION("""COMPUTED_VALUE"""),"")</f>
        <v/>
      </c>
      <c r="CS71" s="487" t="str">
        <f>IFERROR(__xludf.DUMMYFUNCTION("""COMPUTED_VALUE"""),"Porygon")</f>
        <v>Porygon</v>
      </c>
      <c r="CT71" s="575" t="s">
        <v>216</v>
      </c>
      <c r="CU71" s="456">
        <v>2.0</v>
      </c>
      <c r="CV71" s="49"/>
      <c r="CW71" s="453"/>
      <c r="CX71" s="455"/>
      <c r="CY71" s="631"/>
      <c r="CZ71" s="455"/>
      <c r="DA71" s="49"/>
      <c r="DB71" s="457"/>
      <c r="DC71" s="475"/>
      <c r="DD71" s="632"/>
      <c r="DE71" s="475"/>
      <c r="DF71" s="49"/>
      <c r="DG71" s="458"/>
      <c r="DH71" s="459"/>
      <c r="DI71" s="633"/>
      <c r="DJ71" s="459"/>
      <c r="DK71" s="49"/>
      <c r="DL71" s="620"/>
      <c r="DM71" s="637"/>
      <c r="DN71" s="637"/>
      <c r="DO71" s="637"/>
      <c r="DP71" s="49"/>
      <c r="DQ71" s="461"/>
      <c r="DR71" s="462"/>
      <c r="DS71" s="462"/>
      <c r="DT71" s="462"/>
      <c r="DU71" s="49"/>
      <c r="DV71" s="463"/>
      <c r="DW71" s="464"/>
      <c r="DX71" s="634"/>
      <c r="DY71" s="635"/>
      <c r="DZ71" s="49"/>
      <c r="EA71" s="465"/>
      <c r="EB71" s="466"/>
      <c r="EC71" s="426"/>
      <c r="ED71" s="456"/>
      <c r="EE71" s="47"/>
      <c r="EF71" s="16"/>
    </row>
    <row r="72" ht="17.25" customHeight="1">
      <c r="A72" s="16"/>
      <c r="B72" s="47"/>
      <c r="C72" s="170"/>
      <c r="D72" s="171"/>
      <c r="E72" s="49"/>
      <c r="F72" s="200"/>
      <c r="G72" s="200"/>
      <c r="H72" s="200" t="s">
        <v>230</v>
      </c>
      <c r="I72" s="200"/>
      <c r="J72" s="200"/>
      <c r="K72" s="200"/>
      <c r="L72" s="476"/>
      <c r="M72" s="200" t="s">
        <v>230</v>
      </c>
      <c r="N72" s="200"/>
      <c r="O72" s="200"/>
      <c r="P72" s="200"/>
      <c r="Q72" s="476"/>
      <c r="R72" s="200" t="s">
        <v>230</v>
      </c>
      <c r="S72" s="200"/>
      <c r="T72" s="200"/>
      <c r="U72" s="200"/>
      <c r="V72" s="476"/>
      <c r="W72" s="200" t="s">
        <v>230</v>
      </c>
      <c r="X72" s="200"/>
      <c r="Y72" s="200"/>
      <c r="Z72" s="200"/>
      <c r="AA72" s="476"/>
      <c r="AB72" s="200" t="s">
        <v>230</v>
      </c>
      <c r="AC72" s="200"/>
      <c r="AD72" s="200"/>
      <c r="AE72" s="200"/>
      <c r="AF72" s="200"/>
      <c r="AG72" s="200" t="s">
        <v>230</v>
      </c>
      <c r="AH72" s="200"/>
      <c r="AI72" s="200"/>
      <c r="AJ72" s="200"/>
      <c r="AK72" s="476"/>
      <c r="AL72" s="200" t="s">
        <v>230</v>
      </c>
      <c r="AM72" s="200"/>
      <c r="AN72" s="200"/>
      <c r="AO72" s="200"/>
      <c r="AP72" s="476"/>
      <c r="AQ72" s="200" t="s">
        <v>230</v>
      </c>
      <c r="AR72" s="200"/>
      <c r="AS72" s="200"/>
      <c r="AT72" s="200"/>
      <c r="AU72" s="425"/>
      <c r="AV72" s="545" t="s">
        <v>230</v>
      </c>
      <c r="AW72" s="425"/>
      <c r="AX72" s="49"/>
      <c r="AY72" s="296"/>
      <c r="AZ72" s="541"/>
      <c r="BA72" s="554" t="s">
        <v>230</v>
      </c>
      <c r="BB72" s="541"/>
      <c r="BC72" s="49"/>
      <c r="BD72" s="327"/>
      <c r="BE72" s="556"/>
      <c r="BF72" s="557" t="s">
        <v>230</v>
      </c>
      <c r="BG72" s="556"/>
      <c r="BH72" s="49"/>
      <c r="BI72" s="346"/>
      <c r="BJ72" s="558"/>
      <c r="BK72" s="587" t="s">
        <v>230</v>
      </c>
      <c r="BL72" s="558"/>
      <c r="BM72" s="49"/>
      <c r="BN72" s="429"/>
      <c r="BO72" s="485"/>
      <c r="BP72" s="596" t="s">
        <v>230</v>
      </c>
      <c r="BQ72" s="485"/>
      <c r="BR72" s="49"/>
      <c r="BS72" s="353"/>
      <c r="BT72" s="472"/>
      <c r="BU72" s="586" t="s">
        <v>230</v>
      </c>
      <c r="BV72" s="472"/>
      <c r="BW72" s="49"/>
      <c r="BX72" s="368"/>
      <c r="BY72" s="578"/>
      <c r="BZ72" s="593" t="s">
        <v>230</v>
      </c>
      <c r="CA72" s="578"/>
      <c r="CB72" s="49"/>
      <c r="CC72" s="388"/>
      <c r="CD72" s="488"/>
      <c r="CE72" s="595" t="s">
        <v>230</v>
      </c>
      <c r="CF72" s="595"/>
      <c r="CG72" s="49"/>
      <c r="CH72" s="402"/>
      <c r="CI72" s="439"/>
      <c r="CJ72" s="426" t="s">
        <v>230</v>
      </c>
      <c r="CK72" s="439"/>
      <c r="CL72" s="49"/>
      <c r="CM72" s="402" t="str">
        <f>IFERROR(__xludf.DUMMYFUNCTION("""COMPUTED_VALUE"""),"")</f>
        <v/>
      </c>
      <c r="CN72" s="439" t="str">
        <f>IFERROR(__xludf.DUMMYFUNCTION("""COMPUTED_VALUE"""),"Wigglytuff")</f>
        <v>Wigglytuff</v>
      </c>
      <c r="CO72" s="426" t="s">
        <v>216</v>
      </c>
      <c r="CP72" s="456">
        <v>3.0</v>
      </c>
      <c r="CQ72" s="49"/>
      <c r="CR72" s="419" t="str">
        <f>IFERROR(__xludf.DUMMYFUNCTION("""COMPUTED_VALUE"""),"")</f>
        <v/>
      </c>
      <c r="CS72" s="487" t="str">
        <f>IFERROR(__xludf.DUMMYFUNCTION("""COMPUTED_VALUE"""),"Probopass")</f>
        <v>Probopass</v>
      </c>
      <c r="CT72" s="575" t="s">
        <v>216</v>
      </c>
      <c r="CU72" s="456">
        <v>2.0</v>
      </c>
      <c r="CV72" s="49"/>
      <c r="CW72" s="453"/>
      <c r="CX72" s="455"/>
      <c r="CY72" s="631"/>
      <c r="CZ72" s="455"/>
      <c r="DA72" s="49"/>
      <c r="DB72" s="457"/>
      <c r="DC72" s="475"/>
      <c r="DD72" s="632"/>
      <c r="DE72" s="475"/>
      <c r="DF72" s="49"/>
      <c r="DG72" s="458"/>
      <c r="DH72" s="459"/>
      <c r="DI72" s="633"/>
      <c r="DJ72" s="459"/>
      <c r="DK72" s="49"/>
      <c r="DL72" s="620"/>
      <c r="DM72" s="637"/>
      <c r="DN72" s="637"/>
      <c r="DO72" s="637"/>
      <c r="DP72" s="49"/>
      <c r="DQ72" s="461"/>
      <c r="DR72" s="462"/>
      <c r="DS72" s="462"/>
      <c r="DT72" s="462"/>
      <c r="DU72" s="49"/>
      <c r="DV72" s="463"/>
      <c r="DW72" s="464"/>
      <c r="DX72" s="634"/>
      <c r="DY72" s="635"/>
      <c r="DZ72" s="49"/>
      <c r="EA72" s="465"/>
      <c r="EB72" s="466"/>
      <c r="EC72" s="426"/>
      <c r="ED72" s="456"/>
      <c r="EE72" s="47"/>
      <c r="EF72" s="16"/>
    </row>
    <row r="73" ht="17.25" customHeight="1">
      <c r="A73" s="16"/>
      <c r="B73" s="47"/>
      <c r="C73" s="170"/>
      <c r="D73" s="171"/>
      <c r="E73" s="49"/>
      <c r="F73" s="200"/>
      <c r="G73" s="200"/>
      <c r="H73" s="200" t="s">
        <v>230</v>
      </c>
      <c r="I73" s="200"/>
      <c r="J73" s="200"/>
      <c r="K73" s="200"/>
      <c r="L73" s="476"/>
      <c r="M73" s="200" t="s">
        <v>230</v>
      </c>
      <c r="N73" s="200"/>
      <c r="O73" s="200"/>
      <c r="P73" s="200"/>
      <c r="Q73" s="476"/>
      <c r="R73" s="200" t="s">
        <v>230</v>
      </c>
      <c r="S73" s="200"/>
      <c r="T73" s="200"/>
      <c r="U73" s="200"/>
      <c r="V73" s="476"/>
      <c r="W73" s="200" t="s">
        <v>230</v>
      </c>
      <c r="X73" s="200"/>
      <c r="Y73" s="200"/>
      <c r="Z73" s="200"/>
      <c r="AA73" s="476"/>
      <c r="AB73" s="200" t="s">
        <v>230</v>
      </c>
      <c r="AC73" s="200"/>
      <c r="AD73" s="200"/>
      <c r="AE73" s="200"/>
      <c r="AF73" s="200"/>
      <c r="AG73" s="200" t="s">
        <v>230</v>
      </c>
      <c r="AH73" s="200"/>
      <c r="AI73" s="200"/>
      <c r="AJ73" s="200"/>
      <c r="AK73" s="476"/>
      <c r="AL73" s="200" t="s">
        <v>230</v>
      </c>
      <c r="AM73" s="200"/>
      <c r="AN73" s="200"/>
      <c r="AO73" s="200"/>
      <c r="AP73" s="476"/>
      <c r="AQ73" s="200" t="s">
        <v>230</v>
      </c>
      <c r="AR73" s="200"/>
      <c r="AS73" s="200"/>
      <c r="AT73" s="200"/>
      <c r="AU73" s="425"/>
      <c r="AV73" s="545" t="s">
        <v>230</v>
      </c>
      <c r="AW73" s="425"/>
      <c r="AX73" s="49"/>
      <c r="AY73" s="296"/>
      <c r="AZ73" s="541"/>
      <c r="BA73" s="554" t="s">
        <v>230</v>
      </c>
      <c r="BB73" s="541"/>
      <c r="BC73" s="49"/>
      <c r="BD73" s="327"/>
      <c r="BE73" s="556"/>
      <c r="BF73" s="557" t="s">
        <v>230</v>
      </c>
      <c r="BG73" s="556"/>
      <c r="BH73" s="49"/>
      <c r="BI73" s="346"/>
      <c r="BJ73" s="558"/>
      <c r="BK73" s="587" t="s">
        <v>230</v>
      </c>
      <c r="BL73" s="558"/>
      <c r="BM73" s="49"/>
      <c r="BN73" s="429"/>
      <c r="BO73" s="485"/>
      <c r="BP73" s="596" t="s">
        <v>230</v>
      </c>
      <c r="BQ73" s="485"/>
      <c r="BR73" s="49"/>
      <c r="BS73" s="353"/>
      <c r="BT73" s="472"/>
      <c r="BU73" s="586" t="s">
        <v>230</v>
      </c>
      <c r="BV73" s="472"/>
      <c r="BW73" s="49"/>
      <c r="BX73" s="368"/>
      <c r="BY73" s="578"/>
      <c r="BZ73" s="593" t="s">
        <v>230</v>
      </c>
      <c r="CA73" s="578"/>
      <c r="CB73" s="49"/>
      <c r="CC73" s="388"/>
      <c r="CD73" s="488"/>
      <c r="CE73" s="595" t="s">
        <v>230</v>
      </c>
      <c r="CF73" s="595"/>
      <c r="CG73" s="49"/>
      <c r="CH73" s="402"/>
      <c r="CI73" s="439"/>
      <c r="CJ73" s="426" t="s">
        <v>230</v>
      </c>
      <c r="CK73" s="439"/>
      <c r="CL73" s="49"/>
      <c r="CM73" s="402" t="str">
        <f>IFERROR(__xludf.DUMMYFUNCTION("""COMPUTED_VALUE"""),"")</f>
        <v/>
      </c>
      <c r="CN73" s="439" t="str">
        <f>IFERROR(__xludf.DUMMYFUNCTION("""COMPUTED_VALUE"""),"Zebstrika")</f>
        <v>Zebstrika</v>
      </c>
      <c r="CO73" s="426" t="s">
        <v>216</v>
      </c>
      <c r="CP73" s="456">
        <v>3.0</v>
      </c>
      <c r="CQ73" s="49"/>
      <c r="CR73" s="419" t="str">
        <f>IFERROR(__xludf.DUMMYFUNCTION("""COMPUTED_VALUE"""),"")</f>
        <v/>
      </c>
      <c r="CS73" s="487" t="str">
        <f>IFERROR(__xludf.DUMMYFUNCTION("""COMPUTED_VALUE"""),"Quilava")</f>
        <v>Quilava</v>
      </c>
      <c r="CT73" s="575" t="s">
        <v>216</v>
      </c>
      <c r="CU73" s="456">
        <v>1.0</v>
      </c>
      <c r="CV73" s="49"/>
      <c r="CW73" s="453"/>
      <c r="CX73" s="455"/>
      <c r="CY73" s="631"/>
      <c r="CZ73" s="455"/>
      <c r="DA73" s="49"/>
      <c r="DB73" s="457"/>
      <c r="DC73" s="475"/>
      <c r="DD73" s="632"/>
      <c r="DE73" s="475"/>
      <c r="DF73" s="49"/>
      <c r="DG73" s="458"/>
      <c r="DH73" s="459"/>
      <c r="DI73" s="633"/>
      <c r="DJ73" s="459"/>
      <c r="DK73" s="49"/>
      <c r="DL73" s="620"/>
      <c r="DM73" s="637"/>
      <c r="DN73" s="637"/>
      <c r="DO73" s="637"/>
      <c r="DP73" s="49"/>
      <c r="DQ73" s="461"/>
      <c r="DR73" s="462"/>
      <c r="DS73" s="462"/>
      <c r="DT73" s="462"/>
      <c r="DU73" s="49"/>
      <c r="DV73" s="463"/>
      <c r="DW73" s="464"/>
      <c r="DX73" s="634"/>
      <c r="DY73" s="635"/>
      <c r="DZ73" s="49"/>
      <c r="EA73" s="465"/>
      <c r="EB73" s="466"/>
      <c r="EC73" s="426"/>
      <c r="ED73" s="456"/>
      <c r="EE73" s="47"/>
      <c r="EF73" s="16"/>
    </row>
    <row r="74" ht="17.25" customHeight="1">
      <c r="A74" s="16"/>
      <c r="B74" s="47"/>
      <c r="C74" s="170"/>
      <c r="D74" s="171"/>
      <c r="E74" s="49"/>
      <c r="F74" s="200"/>
      <c r="G74" s="200"/>
      <c r="H74" s="200" t="s">
        <v>230</v>
      </c>
      <c r="I74" s="200"/>
      <c r="J74" s="200"/>
      <c r="K74" s="200"/>
      <c r="L74" s="476"/>
      <c r="M74" s="200" t="s">
        <v>230</v>
      </c>
      <c r="N74" s="200"/>
      <c r="O74" s="200"/>
      <c r="P74" s="200"/>
      <c r="Q74" s="476"/>
      <c r="R74" s="200" t="s">
        <v>230</v>
      </c>
      <c r="S74" s="200"/>
      <c r="T74" s="200"/>
      <c r="U74" s="200"/>
      <c r="V74" s="476"/>
      <c r="W74" s="200" t="s">
        <v>230</v>
      </c>
      <c r="X74" s="200"/>
      <c r="Y74" s="200"/>
      <c r="Z74" s="200"/>
      <c r="AA74" s="476"/>
      <c r="AB74" s="200" t="s">
        <v>230</v>
      </c>
      <c r="AC74" s="200"/>
      <c r="AD74" s="200"/>
      <c r="AE74" s="200"/>
      <c r="AF74" s="200"/>
      <c r="AG74" s="200" t="s">
        <v>230</v>
      </c>
      <c r="AH74" s="200"/>
      <c r="AI74" s="200"/>
      <c r="AJ74" s="200"/>
      <c r="AK74" s="476"/>
      <c r="AL74" s="200" t="s">
        <v>230</v>
      </c>
      <c r="AM74" s="200"/>
      <c r="AN74" s="200"/>
      <c r="AO74" s="200"/>
      <c r="AP74" s="476"/>
      <c r="AQ74" s="200" t="s">
        <v>230</v>
      </c>
      <c r="AR74" s="200"/>
      <c r="AS74" s="200"/>
      <c r="AT74" s="200"/>
      <c r="AU74" s="425"/>
      <c r="AV74" s="545" t="s">
        <v>230</v>
      </c>
      <c r="AW74" s="425"/>
      <c r="AX74" s="49"/>
      <c r="AY74" s="296"/>
      <c r="AZ74" s="541"/>
      <c r="BA74" s="554" t="s">
        <v>230</v>
      </c>
      <c r="BB74" s="541"/>
      <c r="BC74" s="49"/>
      <c r="BD74" s="327"/>
      <c r="BE74" s="556"/>
      <c r="BF74" s="557" t="s">
        <v>230</v>
      </c>
      <c r="BG74" s="556"/>
      <c r="BH74" s="49"/>
      <c r="BI74" s="346"/>
      <c r="BJ74" s="558"/>
      <c r="BK74" s="587" t="s">
        <v>230</v>
      </c>
      <c r="BL74" s="558"/>
      <c r="BM74" s="49"/>
      <c r="BN74" s="429"/>
      <c r="BO74" s="485"/>
      <c r="BP74" s="596" t="s">
        <v>230</v>
      </c>
      <c r="BQ74" s="485"/>
      <c r="BR74" s="49"/>
      <c r="BS74" s="353"/>
      <c r="BT74" s="472"/>
      <c r="BU74" s="586" t="s">
        <v>230</v>
      </c>
      <c r="BV74" s="472"/>
      <c r="BW74" s="49"/>
      <c r="BX74" s="368"/>
      <c r="BY74" s="578"/>
      <c r="BZ74" s="593" t="s">
        <v>230</v>
      </c>
      <c r="CA74" s="578"/>
      <c r="CB74" s="49"/>
      <c r="CC74" s="388"/>
      <c r="CD74" s="488"/>
      <c r="CE74" s="595" t="s">
        <v>230</v>
      </c>
      <c r="CF74" s="595"/>
      <c r="CG74" s="49"/>
      <c r="CH74" s="402"/>
      <c r="CI74" s="439"/>
      <c r="CJ74" s="426" t="s">
        <v>230</v>
      </c>
      <c r="CK74" s="439"/>
      <c r="CL74" s="49"/>
      <c r="CM74" s="402"/>
      <c r="CN74" s="439"/>
      <c r="CO74" s="426" t="s">
        <v>230</v>
      </c>
      <c r="CP74" s="672"/>
      <c r="CQ74" s="49"/>
      <c r="CR74" s="419" t="str">
        <f>IFERROR(__xludf.DUMMYFUNCTION("""COMPUTED_VALUE"""),"")</f>
        <v/>
      </c>
      <c r="CS74" s="487" t="str">
        <f>IFERROR(__xludf.DUMMYFUNCTION("""COMPUTED_VALUE"""),"Riolu")</f>
        <v>Riolu</v>
      </c>
      <c r="CT74" s="575" t="s">
        <v>216</v>
      </c>
      <c r="CU74" s="456">
        <v>1.0</v>
      </c>
      <c r="CV74" s="49"/>
      <c r="CW74" s="453"/>
      <c r="CX74" s="455"/>
      <c r="CY74" s="631"/>
      <c r="CZ74" s="455"/>
      <c r="DA74" s="49"/>
      <c r="DB74" s="457"/>
      <c r="DC74" s="475"/>
      <c r="DD74" s="632"/>
      <c r="DE74" s="475"/>
      <c r="DF74" s="49"/>
      <c r="DG74" s="458"/>
      <c r="DH74" s="459"/>
      <c r="DI74" s="633"/>
      <c r="DJ74" s="459"/>
      <c r="DK74" s="49"/>
      <c r="DL74" s="620"/>
      <c r="DM74" s="637"/>
      <c r="DN74" s="637"/>
      <c r="DO74" s="637"/>
      <c r="DP74" s="49"/>
      <c r="DQ74" s="461"/>
      <c r="DR74" s="462"/>
      <c r="DS74" s="462"/>
      <c r="DT74" s="462"/>
      <c r="DU74" s="49"/>
      <c r="DV74" s="463"/>
      <c r="DW74" s="464"/>
      <c r="DX74" s="464"/>
      <c r="DY74" s="464"/>
      <c r="DZ74" s="49"/>
      <c r="EA74" s="465"/>
      <c r="EB74" s="466"/>
      <c r="EC74" s="426"/>
      <c r="ED74" s="456"/>
      <c r="EE74" s="47"/>
      <c r="EF74" s="16"/>
    </row>
    <row r="75" ht="17.25" customHeight="1">
      <c r="A75" s="16"/>
      <c r="B75" s="47"/>
      <c r="C75" s="170"/>
      <c r="D75" s="171"/>
      <c r="E75" s="49"/>
      <c r="F75" s="200"/>
      <c r="G75" s="200"/>
      <c r="H75" s="200" t="s">
        <v>230</v>
      </c>
      <c r="I75" s="200"/>
      <c r="J75" s="200"/>
      <c r="K75" s="200"/>
      <c r="L75" s="476"/>
      <c r="M75" s="200" t="s">
        <v>230</v>
      </c>
      <c r="N75" s="200"/>
      <c r="O75" s="200"/>
      <c r="P75" s="200"/>
      <c r="Q75" s="476"/>
      <c r="R75" s="200" t="s">
        <v>230</v>
      </c>
      <c r="S75" s="200"/>
      <c r="T75" s="200"/>
      <c r="U75" s="200"/>
      <c r="V75" s="476"/>
      <c r="W75" s="200" t="s">
        <v>230</v>
      </c>
      <c r="X75" s="200"/>
      <c r="Y75" s="200"/>
      <c r="Z75" s="200"/>
      <c r="AA75" s="476"/>
      <c r="AB75" s="200" t="s">
        <v>230</v>
      </c>
      <c r="AC75" s="200"/>
      <c r="AD75" s="200"/>
      <c r="AE75" s="200"/>
      <c r="AF75" s="200"/>
      <c r="AG75" s="200" t="s">
        <v>230</v>
      </c>
      <c r="AH75" s="200"/>
      <c r="AI75" s="200"/>
      <c r="AJ75" s="200"/>
      <c r="AK75" s="476"/>
      <c r="AL75" s="200" t="s">
        <v>230</v>
      </c>
      <c r="AM75" s="200"/>
      <c r="AN75" s="200"/>
      <c r="AO75" s="200"/>
      <c r="AP75" s="476"/>
      <c r="AQ75" s="200" t="s">
        <v>230</v>
      </c>
      <c r="AR75" s="200"/>
      <c r="AS75" s="200"/>
      <c r="AT75" s="200"/>
      <c r="AU75" s="425"/>
      <c r="AV75" s="545" t="s">
        <v>230</v>
      </c>
      <c r="AW75" s="425"/>
      <c r="AX75" s="49"/>
      <c r="AY75" s="296"/>
      <c r="AZ75" s="541"/>
      <c r="BA75" s="554" t="s">
        <v>230</v>
      </c>
      <c r="BB75" s="541"/>
      <c r="BC75" s="49"/>
      <c r="BD75" s="327"/>
      <c r="BE75" s="556"/>
      <c r="BF75" s="557" t="s">
        <v>230</v>
      </c>
      <c r="BG75" s="556"/>
      <c r="BH75" s="49"/>
      <c r="BI75" s="346"/>
      <c r="BJ75" s="558"/>
      <c r="BK75" s="587" t="s">
        <v>230</v>
      </c>
      <c r="BL75" s="558"/>
      <c r="BM75" s="49"/>
      <c r="BN75" s="429"/>
      <c r="BO75" s="485"/>
      <c r="BP75" s="596" t="s">
        <v>230</v>
      </c>
      <c r="BQ75" s="485"/>
      <c r="BR75" s="49"/>
      <c r="BS75" s="353"/>
      <c r="BT75" s="472"/>
      <c r="BU75" s="586" t="s">
        <v>230</v>
      </c>
      <c r="BV75" s="472"/>
      <c r="BW75" s="49"/>
      <c r="BX75" s="368"/>
      <c r="BY75" s="578"/>
      <c r="BZ75" s="593" t="s">
        <v>230</v>
      </c>
      <c r="CA75" s="578"/>
      <c r="CB75" s="49"/>
      <c r="CC75" s="388"/>
      <c r="CD75" s="488"/>
      <c r="CE75" s="595" t="s">
        <v>230</v>
      </c>
      <c r="CF75" s="595"/>
      <c r="CG75" s="49"/>
      <c r="CH75" s="402"/>
      <c r="CI75" s="439"/>
      <c r="CJ75" s="426" t="s">
        <v>230</v>
      </c>
      <c r="CK75" s="439"/>
      <c r="CL75" s="49"/>
      <c r="CM75" s="402"/>
      <c r="CN75" s="439"/>
      <c r="CO75" s="426" t="s">
        <v>230</v>
      </c>
      <c r="CP75" s="672"/>
      <c r="CQ75" s="49"/>
      <c r="CR75" s="419" t="str">
        <f>IFERROR(__xludf.DUMMYFUNCTION("""COMPUTED_VALUE"""),"")</f>
        <v/>
      </c>
      <c r="CS75" s="487" t="str">
        <f>IFERROR(__xludf.DUMMYFUNCTION("""COMPUTED_VALUE"""),"Rufflet")</f>
        <v>Rufflet</v>
      </c>
      <c r="CT75" s="575" t="s">
        <v>216</v>
      </c>
      <c r="CU75" s="456">
        <v>1.0</v>
      </c>
      <c r="CV75" s="49"/>
      <c r="CW75" s="453"/>
      <c r="CX75" s="455"/>
      <c r="CY75" s="631"/>
      <c r="CZ75" s="455"/>
      <c r="DA75" s="49"/>
      <c r="DB75" s="457"/>
      <c r="DC75" s="475"/>
      <c r="DD75" s="632"/>
      <c r="DE75" s="475"/>
      <c r="DF75" s="49"/>
      <c r="DG75" s="458"/>
      <c r="DH75" s="459"/>
      <c r="DI75" s="633"/>
      <c r="DJ75" s="459"/>
      <c r="DK75" s="49"/>
      <c r="DL75" s="620"/>
      <c r="DM75" s="637"/>
      <c r="DN75" s="637"/>
      <c r="DO75" s="637"/>
      <c r="DP75" s="49"/>
      <c r="DQ75" s="461"/>
      <c r="DR75" s="462"/>
      <c r="DS75" s="462"/>
      <c r="DT75" s="462"/>
      <c r="DU75" s="49"/>
      <c r="DV75" s="463"/>
      <c r="DW75" s="464"/>
      <c r="DX75" s="464"/>
      <c r="DY75" s="464"/>
      <c r="DZ75" s="49"/>
      <c r="EA75" s="465"/>
      <c r="EB75" s="466"/>
      <c r="EC75" s="426"/>
      <c r="ED75" s="456"/>
      <c r="EE75" s="47"/>
      <c r="EF75" s="16"/>
    </row>
    <row r="76" ht="17.25" customHeight="1">
      <c r="A76" s="16"/>
      <c r="B76" s="47"/>
      <c r="C76" s="170"/>
      <c r="D76" s="171"/>
      <c r="E76" s="49"/>
      <c r="F76" s="200"/>
      <c r="G76" s="200"/>
      <c r="H76" s="200" t="s">
        <v>230</v>
      </c>
      <c r="I76" s="200"/>
      <c r="J76" s="200"/>
      <c r="K76" s="200"/>
      <c r="L76" s="476"/>
      <c r="M76" s="200" t="s">
        <v>230</v>
      </c>
      <c r="N76" s="200"/>
      <c r="O76" s="200"/>
      <c r="P76" s="200"/>
      <c r="Q76" s="476"/>
      <c r="R76" s="200" t="s">
        <v>230</v>
      </c>
      <c r="S76" s="200"/>
      <c r="T76" s="200"/>
      <c r="U76" s="200"/>
      <c r="V76" s="476"/>
      <c r="W76" s="200" t="s">
        <v>230</v>
      </c>
      <c r="X76" s="200"/>
      <c r="Y76" s="200"/>
      <c r="Z76" s="200"/>
      <c r="AA76" s="476"/>
      <c r="AB76" s="200" t="s">
        <v>230</v>
      </c>
      <c r="AC76" s="200"/>
      <c r="AD76" s="200"/>
      <c r="AE76" s="200"/>
      <c r="AF76" s="200"/>
      <c r="AG76" s="200" t="s">
        <v>230</v>
      </c>
      <c r="AH76" s="200"/>
      <c r="AI76" s="200"/>
      <c r="AJ76" s="200"/>
      <c r="AK76" s="476"/>
      <c r="AL76" s="200" t="s">
        <v>230</v>
      </c>
      <c r="AM76" s="200"/>
      <c r="AN76" s="200"/>
      <c r="AO76" s="200"/>
      <c r="AP76" s="476"/>
      <c r="AQ76" s="200" t="s">
        <v>230</v>
      </c>
      <c r="AR76" s="200"/>
      <c r="AS76" s="200"/>
      <c r="AT76" s="200"/>
      <c r="AU76" s="425"/>
      <c r="AV76" s="545" t="s">
        <v>230</v>
      </c>
      <c r="AW76" s="425"/>
      <c r="AX76" s="49"/>
      <c r="AY76" s="296"/>
      <c r="AZ76" s="541"/>
      <c r="BA76" s="554" t="s">
        <v>230</v>
      </c>
      <c r="BB76" s="541"/>
      <c r="BC76" s="49"/>
      <c r="BD76" s="327"/>
      <c r="BE76" s="556"/>
      <c r="BF76" s="557" t="s">
        <v>230</v>
      </c>
      <c r="BG76" s="556"/>
      <c r="BH76" s="49"/>
      <c r="BI76" s="346"/>
      <c r="BJ76" s="558"/>
      <c r="BK76" s="587" t="s">
        <v>230</v>
      </c>
      <c r="BL76" s="558"/>
      <c r="BM76" s="49"/>
      <c r="BN76" s="429"/>
      <c r="BO76" s="485"/>
      <c r="BP76" s="596" t="s">
        <v>230</v>
      </c>
      <c r="BQ76" s="485"/>
      <c r="BR76" s="49"/>
      <c r="BS76" s="353"/>
      <c r="BT76" s="472"/>
      <c r="BU76" s="586" t="s">
        <v>230</v>
      </c>
      <c r="BV76" s="472"/>
      <c r="BW76" s="49"/>
      <c r="BX76" s="368"/>
      <c r="BY76" s="578"/>
      <c r="BZ76" s="593" t="s">
        <v>230</v>
      </c>
      <c r="CA76" s="578"/>
      <c r="CB76" s="49"/>
      <c r="CC76" s="388"/>
      <c r="CD76" s="488"/>
      <c r="CE76" s="595" t="s">
        <v>230</v>
      </c>
      <c r="CF76" s="595"/>
      <c r="CG76" s="49"/>
      <c r="CH76" s="402"/>
      <c r="CI76" s="439"/>
      <c r="CJ76" s="426" t="s">
        <v>230</v>
      </c>
      <c r="CK76" s="439"/>
      <c r="CL76" s="49"/>
      <c r="CM76" s="402"/>
      <c r="CN76" s="439"/>
      <c r="CO76" s="426" t="s">
        <v>230</v>
      </c>
      <c r="CP76" s="672"/>
      <c r="CQ76" s="49"/>
      <c r="CR76" s="419" t="str">
        <f>IFERROR(__xludf.DUMMYFUNCTION("""COMPUTED_VALUE"""),"")</f>
        <v/>
      </c>
      <c r="CS76" s="487" t="str">
        <f>IFERROR(__xludf.DUMMYFUNCTION("""COMPUTED_VALUE"""),"Seviper")</f>
        <v>Seviper</v>
      </c>
      <c r="CT76" s="575" t="s">
        <v>216</v>
      </c>
      <c r="CU76" s="456">
        <v>2.0</v>
      </c>
      <c r="CV76" s="49"/>
      <c r="CW76" s="453"/>
      <c r="CX76" s="455"/>
      <c r="CY76" s="631"/>
      <c r="CZ76" s="455"/>
      <c r="DA76" s="49"/>
      <c r="DB76" s="457"/>
      <c r="DC76" s="475"/>
      <c r="DD76" s="632"/>
      <c r="DE76" s="475"/>
      <c r="DF76" s="49"/>
      <c r="DG76" s="458"/>
      <c r="DH76" s="459"/>
      <c r="DI76" s="633"/>
      <c r="DJ76" s="459"/>
      <c r="DK76" s="49"/>
      <c r="DL76" s="620"/>
      <c r="DM76" s="637"/>
      <c r="DN76" s="637"/>
      <c r="DO76" s="637"/>
      <c r="DP76" s="49"/>
      <c r="DQ76" s="461"/>
      <c r="DR76" s="462"/>
      <c r="DS76" s="462"/>
      <c r="DT76" s="462"/>
      <c r="DU76" s="49"/>
      <c r="DV76" s="463"/>
      <c r="DW76" s="464"/>
      <c r="DX76" s="464"/>
      <c r="DY76" s="464"/>
      <c r="DZ76" s="49"/>
      <c r="EA76" s="465"/>
      <c r="EB76" s="466"/>
      <c r="EC76" s="426"/>
      <c r="ED76" s="456"/>
      <c r="EE76" s="47"/>
      <c r="EF76" s="16"/>
    </row>
    <row r="77" ht="17.25" customHeight="1">
      <c r="A77" s="16"/>
      <c r="B77" s="47"/>
      <c r="C77" s="170"/>
      <c r="D77" s="171"/>
      <c r="E77" s="49"/>
      <c r="F77" s="200"/>
      <c r="G77" s="200"/>
      <c r="H77" s="200" t="s">
        <v>230</v>
      </c>
      <c r="I77" s="200"/>
      <c r="J77" s="200"/>
      <c r="K77" s="200"/>
      <c r="L77" s="476"/>
      <c r="M77" s="200" t="s">
        <v>230</v>
      </c>
      <c r="N77" s="200"/>
      <c r="O77" s="200"/>
      <c r="P77" s="200"/>
      <c r="Q77" s="476"/>
      <c r="R77" s="200" t="s">
        <v>230</v>
      </c>
      <c r="S77" s="200"/>
      <c r="T77" s="200"/>
      <c r="U77" s="200"/>
      <c r="V77" s="476"/>
      <c r="W77" s="200" t="s">
        <v>230</v>
      </c>
      <c r="X77" s="200"/>
      <c r="Y77" s="200"/>
      <c r="Z77" s="200"/>
      <c r="AA77" s="476"/>
      <c r="AB77" s="200" t="s">
        <v>230</v>
      </c>
      <c r="AC77" s="200"/>
      <c r="AD77" s="200"/>
      <c r="AE77" s="200"/>
      <c r="AF77" s="200"/>
      <c r="AG77" s="200" t="s">
        <v>230</v>
      </c>
      <c r="AH77" s="200"/>
      <c r="AI77" s="200"/>
      <c r="AJ77" s="200"/>
      <c r="AK77" s="476"/>
      <c r="AL77" s="200" t="s">
        <v>230</v>
      </c>
      <c r="AM77" s="200"/>
      <c r="AN77" s="200"/>
      <c r="AO77" s="200"/>
      <c r="AP77" s="476"/>
      <c r="AQ77" s="200" t="s">
        <v>230</v>
      </c>
      <c r="AR77" s="200"/>
      <c r="AS77" s="200"/>
      <c r="AT77" s="200"/>
      <c r="AU77" s="425"/>
      <c r="AV77" s="545" t="s">
        <v>230</v>
      </c>
      <c r="AW77" s="425"/>
      <c r="AX77" s="49"/>
      <c r="AY77" s="296"/>
      <c r="AZ77" s="541"/>
      <c r="BA77" s="554" t="s">
        <v>230</v>
      </c>
      <c r="BB77" s="541"/>
      <c r="BC77" s="49"/>
      <c r="BD77" s="327"/>
      <c r="BE77" s="556"/>
      <c r="BF77" s="557" t="s">
        <v>230</v>
      </c>
      <c r="BG77" s="556"/>
      <c r="BH77" s="49"/>
      <c r="BI77" s="346"/>
      <c r="BJ77" s="558"/>
      <c r="BK77" s="587" t="s">
        <v>230</v>
      </c>
      <c r="BL77" s="558"/>
      <c r="BM77" s="49"/>
      <c r="BN77" s="429"/>
      <c r="BO77" s="485"/>
      <c r="BP77" s="596" t="s">
        <v>230</v>
      </c>
      <c r="BQ77" s="485"/>
      <c r="BR77" s="49"/>
      <c r="BS77" s="353"/>
      <c r="BT77" s="472"/>
      <c r="BU77" s="586" t="s">
        <v>230</v>
      </c>
      <c r="BV77" s="472"/>
      <c r="BW77" s="49"/>
      <c r="BX77" s="368"/>
      <c r="BY77" s="578"/>
      <c r="BZ77" s="593" t="s">
        <v>230</v>
      </c>
      <c r="CA77" s="578"/>
      <c r="CB77" s="49"/>
      <c r="CC77" s="388"/>
      <c r="CD77" s="488"/>
      <c r="CE77" s="595" t="s">
        <v>230</v>
      </c>
      <c r="CF77" s="595"/>
      <c r="CG77" s="49"/>
      <c r="CH77" s="402"/>
      <c r="CI77" s="439"/>
      <c r="CJ77" s="426" t="s">
        <v>230</v>
      </c>
      <c r="CK77" s="439"/>
      <c r="CL77" s="49"/>
      <c r="CM77" s="402"/>
      <c r="CN77" s="439"/>
      <c r="CO77" s="426" t="s">
        <v>230</v>
      </c>
      <c r="CP77" s="672"/>
      <c r="CQ77" s="49"/>
      <c r="CR77" s="419" t="str">
        <f>IFERROR(__xludf.DUMMYFUNCTION("""COMPUTED_VALUE"""),"")</f>
        <v/>
      </c>
      <c r="CS77" s="487" t="str">
        <f>IFERROR(__xludf.DUMMYFUNCTION("""COMPUTED_VALUE"""),"Shelgon")</f>
        <v>Shelgon</v>
      </c>
      <c r="CT77" s="575" t="s">
        <v>216</v>
      </c>
      <c r="CU77" s="456">
        <v>1.0</v>
      </c>
      <c r="CV77" s="49"/>
      <c r="CW77" s="453"/>
      <c r="CX77" s="455"/>
      <c r="CY77" s="631"/>
      <c r="CZ77" s="455"/>
      <c r="DA77" s="49"/>
      <c r="DB77" s="457"/>
      <c r="DC77" s="475"/>
      <c r="DD77" s="632"/>
      <c r="DE77" s="475"/>
      <c r="DF77" s="49"/>
      <c r="DG77" s="458"/>
      <c r="DH77" s="459"/>
      <c r="DI77" s="633"/>
      <c r="DJ77" s="459"/>
      <c r="DK77" s="49"/>
      <c r="DL77" s="620"/>
      <c r="DM77" s="637"/>
      <c r="DN77" s="637"/>
      <c r="DO77" s="637"/>
      <c r="DP77" s="49"/>
      <c r="DQ77" s="461"/>
      <c r="DR77" s="462"/>
      <c r="DS77" s="462"/>
      <c r="DT77" s="462"/>
      <c r="DU77" s="49"/>
      <c r="DV77" s="463"/>
      <c r="DW77" s="464"/>
      <c r="DX77" s="464"/>
      <c r="DY77" s="464"/>
      <c r="DZ77" s="49"/>
      <c r="EA77" s="465"/>
      <c r="EB77" s="466"/>
      <c r="EC77" s="426"/>
      <c r="ED77" s="456"/>
      <c r="EE77" s="47"/>
      <c r="EF77" s="16"/>
    </row>
    <row r="78" ht="17.25" customHeight="1">
      <c r="A78" s="16"/>
      <c r="B78" s="47"/>
      <c r="C78" s="170"/>
      <c r="D78" s="171"/>
      <c r="E78" s="49"/>
      <c r="F78" s="200"/>
      <c r="G78" s="200"/>
      <c r="H78" s="200" t="s">
        <v>230</v>
      </c>
      <c r="I78" s="200"/>
      <c r="J78" s="200"/>
      <c r="K78" s="200"/>
      <c r="L78" s="476"/>
      <c r="M78" s="200" t="s">
        <v>230</v>
      </c>
      <c r="N78" s="200"/>
      <c r="O78" s="200"/>
      <c r="P78" s="200"/>
      <c r="Q78" s="476"/>
      <c r="R78" s="200" t="s">
        <v>230</v>
      </c>
      <c r="S78" s="200"/>
      <c r="T78" s="200"/>
      <c r="U78" s="200"/>
      <c r="V78" s="476"/>
      <c r="W78" s="200" t="s">
        <v>230</v>
      </c>
      <c r="X78" s="200"/>
      <c r="Y78" s="200"/>
      <c r="Z78" s="200"/>
      <c r="AA78" s="476"/>
      <c r="AB78" s="200" t="s">
        <v>230</v>
      </c>
      <c r="AC78" s="200"/>
      <c r="AD78" s="200"/>
      <c r="AE78" s="200"/>
      <c r="AF78" s="200"/>
      <c r="AG78" s="200" t="s">
        <v>230</v>
      </c>
      <c r="AH78" s="200"/>
      <c r="AI78" s="200"/>
      <c r="AJ78" s="200"/>
      <c r="AK78" s="476"/>
      <c r="AL78" s="200" t="s">
        <v>230</v>
      </c>
      <c r="AM78" s="200"/>
      <c r="AN78" s="200"/>
      <c r="AO78" s="200"/>
      <c r="AP78" s="476"/>
      <c r="AQ78" s="200" t="s">
        <v>230</v>
      </c>
      <c r="AR78" s="200"/>
      <c r="AS78" s="200"/>
      <c r="AT78" s="200"/>
      <c r="AU78" s="425"/>
      <c r="AV78" s="545" t="s">
        <v>230</v>
      </c>
      <c r="AW78" s="425"/>
      <c r="AX78" s="49"/>
      <c r="AY78" s="296"/>
      <c r="AZ78" s="541"/>
      <c r="BA78" s="554" t="s">
        <v>230</v>
      </c>
      <c r="BB78" s="541"/>
      <c r="BC78" s="49"/>
      <c r="BD78" s="327"/>
      <c r="BE78" s="556"/>
      <c r="BF78" s="557" t="s">
        <v>230</v>
      </c>
      <c r="BG78" s="556"/>
      <c r="BH78" s="49"/>
      <c r="BI78" s="346"/>
      <c r="BJ78" s="558"/>
      <c r="BK78" s="587" t="s">
        <v>230</v>
      </c>
      <c r="BL78" s="558"/>
      <c r="BM78" s="49"/>
      <c r="BN78" s="429"/>
      <c r="BO78" s="485"/>
      <c r="BP78" s="596" t="s">
        <v>230</v>
      </c>
      <c r="BQ78" s="485"/>
      <c r="BR78" s="49"/>
      <c r="BS78" s="353"/>
      <c r="BT78" s="472"/>
      <c r="BU78" s="586" t="s">
        <v>230</v>
      </c>
      <c r="BV78" s="472"/>
      <c r="BW78" s="49"/>
      <c r="BX78" s="368"/>
      <c r="BY78" s="578"/>
      <c r="BZ78" s="593" t="s">
        <v>230</v>
      </c>
      <c r="CA78" s="578"/>
      <c r="CB78" s="49"/>
      <c r="CC78" s="388"/>
      <c r="CD78" s="488"/>
      <c r="CE78" s="595" t="s">
        <v>230</v>
      </c>
      <c r="CF78" s="595"/>
      <c r="CG78" s="49"/>
      <c r="CH78" s="402"/>
      <c r="CI78" s="439"/>
      <c r="CJ78" s="426" t="s">
        <v>230</v>
      </c>
      <c r="CK78" s="439"/>
      <c r="CL78" s="49"/>
      <c r="CM78" s="402"/>
      <c r="CN78" s="439"/>
      <c r="CO78" s="426" t="s">
        <v>230</v>
      </c>
      <c r="CP78" s="672"/>
      <c r="CQ78" s="49"/>
      <c r="CR78" s="419" t="str">
        <f>IFERROR(__xludf.DUMMYFUNCTION("""COMPUTED_VALUE"""),"")</f>
        <v/>
      </c>
      <c r="CS78" s="487" t="str">
        <f>IFERROR(__xludf.DUMMYFUNCTION("""COMPUTED_VALUE"""),"Sliggoo")</f>
        <v>Sliggoo</v>
      </c>
      <c r="CT78" s="575" t="s">
        <v>216</v>
      </c>
      <c r="CU78" s="456">
        <v>1.0</v>
      </c>
      <c r="CV78" s="49"/>
      <c r="CW78" s="453"/>
      <c r="CX78" s="455"/>
      <c r="CY78" s="631"/>
      <c r="CZ78" s="455"/>
      <c r="DA78" s="49"/>
      <c r="DB78" s="457"/>
      <c r="DC78" s="475"/>
      <c r="DD78" s="632"/>
      <c r="DE78" s="475"/>
      <c r="DF78" s="49"/>
      <c r="DG78" s="458"/>
      <c r="DH78" s="459"/>
      <c r="DI78" s="633"/>
      <c r="DJ78" s="459"/>
      <c r="DK78" s="49"/>
      <c r="DL78" s="620"/>
      <c r="DM78" s="637"/>
      <c r="DN78" s="637"/>
      <c r="DO78" s="637"/>
      <c r="DP78" s="49"/>
      <c r="DQ78" s="461"/>
      <c r="DR78" s="462"/>
      <c r="DS78" s="462"/>
      <c r="DT78" s="462"/>
      <c r="DU78" s="49"/>
      <c r="DV78" s="463"/>
      <c r="DW78" s="464"/>
      <c r="DX78" s="464"/>
      <c r="DY78" s="464"/>
      <c r="DZ78" s="49"/>
      <c r="EA78" s="465"/>
      <c r="EB78" s="466"/>
      <c r="EC78" s="426"/>
      <c r="ED78" s="456"/>
      <c r="EE78" s="47"/>
      <c r="EF78" s="16"/>
    </row>
    <row r="79" ht="17.25" customHeight="1">
      <c r="A79" s="16"/>
      <c r="B79" s="47"/>
      <c r="C79" s="170"/>
      <c r="D79" s="171"/>
      <c r="E79" s="49"/>
      <c r="F79" s="200"/>
      <c r="G79" s="200"/>
      <c r="H79" s="200" t="s">
        <v>230</v>
      </c>
      <c r="I79" s="200"/>
      <c r="J79" s="200"/>
      <c r="K79" s="200"/>
      <c r="L79" s="476"/>
      <c r="M79" s="200" t="s">
        <v>230</v>
      </c>
      <c r="N79" s="200"/>
      <c r="O79" s="200"/>
      <c r="P79" s="200"/>
      <c r="Q79" s="476"/>
      <c r="R79" s="200" t="s">
        <v>230</v>
      </c>
      <c r="S79" s="200"/>
      <c r="T79" s="200"/>
      <c r="U79" s="200"/>
      <c r="V79" s="476"/>
      <c r="W79" s="200" t="s">
        <v>230</v>
      </c>
      <c r="X79" s="200"/>
      <c r="Y79" s="200"/>
      <c r="Z79" s="200"/>
      <c r="AA79" s="476"/>
      <c r="AB79" s="200" t="s">
        <v>230</v>
      </c>
      <c r="AC79" s="200"/>
      <c r="AD79" s="200"/>
      <c r="AE79" s="200"/>
      <c r="AF79" s="200"/>
      <c r="AG79" s="200" t="s">
        <v>230</v>
      </c>
      <c r="AH79" s="200"/>
      <c r="AI79" s="200"/>
      <c r="AJ79" s="200"/>
      <c r="AK79" s="476"/>
      <c r="AL79" s="200" t="s">
        <v>230</v>
      </c>
      <c r="AM79" s="200"/>
      <c r="AN79" s="200"/>
      <c r="AO79" s="200"/>
      <c r="AP79" s="476"/>
      <c r="AQ79" s="200" t="s">
        <v>230</v>
      </c>
      <c r="AR79" s="200"/>
      <c r="AS79" s="200"/>
      <c r="AT79" s="200"/>
      <c r="AU79" s="425"/>
      <c r="AV79" s="545" t="s">
        <v>230</v>
      </c>
      <c r="AW79" s="425"/>
      <c r="AX79" s="49"/>
      <c r="AY79" s="296"/>
      <c r="AZ79" s="541"/>
      <c r="BA79" s="554" t="s">
        <v>230</v>
      </c>
      <c r="BB79" s="541"/>
      <c r="BC79" s="49"/>
      <c r="BD79" s="327"/>
      <c r="BE79" s="556"/>
      <c r="BF79" s="557" t="s">
        <v>230</v>
      </c>
      <c r="BG79" s="556"/>
      <c r="BH79" s="49"/>
      <c r="BI79" s="346"/>
      <c r="BJ79" s="558"/>
      <c r="BK79" s="587" t="s">
        <v>230</v>
      </c>
      <c r="BL79" s="558"/>
      <c r="BM79" s="49"/>
      <c r="BN79" s="429"/>
      <c r="BO79" s="485"/>
      <c r="BP79" s="596" t="s">
        <v>230</v>
      </c>
      <c r="BQ79" s="485"/>
      <c r="BR79" s="49"/>
      <c r="BS79" s="353"/>
      <c r="BT79" s="472"/>
      <c r="BU79" s="586" t="s">
        <v>230</v>
      </c>
      <c r="BV79" s="472"/>
      <c r="BW79" s="49"/>
      <c r="BX79" s="368"/>
      <c r="BY79" s="578"/>
      <c r="BZ79" s="593" t="s">
        <v>230</v>
      </c>
      <c r="CA79" s="578"/>
      <c r="CB79" s="49"/>
      <c r="CC79" s="388"/>
      <c r="CD79" s="488"/>
      <c r="CE79" s="595" t="s">
        <v>230</v>
      </c>
      <c r="CF79" s="595"/>
      <c r="CG79" s="49"/>
      <c r="CH79" s="402"/>
      <c r="CI79" s="439"/>
      <c r="CJ79" s="426" t="s">
        <v>230</v>
      </c>
      <c r="CK79" s="439"/>
      <c r="CL79" s="49"/>
      <c r="CM79" s="402"/>
      <c r="CN79" s="439"/>
      <c r="CO79" s="426" t="s">
        <v>230</v>
      </c>
      <c r="CP79" s="672"/>
      <c r="CQ79" s="49"/>
      <c r="CR79" s="419" t="str">
        <f>IFERROR(__xludf.DUMMYFUNCTION("""COMPUTED_VALUE"""),"")</f>
        <v/>
      </c>
      <c r="CS79" s="487" t="str">
        <f>IFERROR(__xludf.DUMMYFUNCTION("""COMPUTED_VALUE"""),"Slowpoke")</f>
        <v>Slowpoke</v>
      </c>
      <c r="CT79" s="575" t="s">
        <v>216</v>
      </c>
      <c r="CU79" s="456">
        <v>1.0</v>
      </c>
      <c r="CV79" s="49"/>
      <c r="CW79" s="453"/>
      <c r="CX79" s="455"/>
      <c r="CY79" s="631"/>
      <c r="CZ79" s="455"/>
      <c r="DA79" s="49"/>
      <c r="DB79" s="457"/>
      <c r="DC79" s="475"/>
      <c r="DD79" s="632"/>
      <c r="DE79" s="475"/>
      <c r="DF79" s="49"/>
      <c r="DG79" s="458"/>
      <c r="DH79" s="459"/>
      <c r="DI79" s="633"/>
      <c r="DJ79" s="459"/>
      <c r="DK79" s="49"/>
      <c r="DL79" s="620"/>
      <c r="DM79" s="637"/>
      <c r="DN79" s="637"/>
      <c r="DO79" s="637"/>
      <c r="DP79" s="49"/>
      <c r="DQ79" s="461"/>
      <c r="DR79" s="462"/>
      <c r="DS79" s="462"/>
      <c r="DT79" s="462"/>
      <c r="DU79" s="49"/>
      <c r="DV79" s="463"/>
      <c r="DW79" s="464"/>
      <c r="DX79" s="464"/>
      <c r="DY79" s="464"/>
      <c r="DZ79" s="49"/>
      <c r="EA79" s="465"/>
      <c r="EB79" s="466"/>
      <c r="EC79" s="426"/>
      <c r="ED79" s="456"/>
      <c r="EE79" s="47"/>
      <c r="EF79" s="16"/>
    </row>
    <row r="80" ht="17.25" customHeight="1">
      <c r="A80" s="16"/>
      <c r="B80" s="47"/>
      <c r="C80" s="170"/>
      <c r="D80" s="171"/>
      <c r="E80" s="49"/>
      <c r="F80" s="200"/>
      <c r="G80" s="200"/>
      <c r="H80" s="200" t="s">
        <v>230</v>
      </c>
      <c r="I80" s="200"/>
      <c r="J80" s="200"/>
      <c r="K80" s="200"/>
      <c r="L80" s="476"/>
      <c r="M80" s="200" t="s">
        <v>230</v>
      </c>
      <c r="N80" s="200"/>
      <c r="O80" s="200"/>
      <c r="P80" s="200"/>
      <c r="Q80" s="476"/>
      <c r="R80" s="200" t="s">
        <v>230</v>
      </c>
      <c r="S80" s="200"/>
      <c r="T80" s="200"/>
      <c r="U80" s="200"/>
      <c r="V80" s="476"/>
      <c r="W80" s="200" t="s">
        <v>230</v>
      </c>
      <c r="X80" s="200"/>
      <c r="Y80" s="200"/>
      <c r="Z80" s="200"/>
      <c r="AA80" s="476"/>
      <c r="AB80" s="200" t="s">
        <v>230</v>
      </c>
      <c r="AC80" s="200"/>
      <c r="AD80" s="200"/>
      <c r="AE80" s="200"/>
      <c r="AF80" s="200"/>
      <c r="AG80" s="200" t="s">
        <v>230</v>
      </c>
      <c r="AH80" s="200"/>
      <c r="AI80" s="200"/>
      <c r="AJ80" s="200"/>
      <c r="AK80" s="476"/>
      <c r="AL80" s="200" t="s">
        <v>230</v>
      </c>
      <c r="AM80" s="200"/>
      <c r="AN80" s="200"/>
      <c r="AO80" s="200"/>
      <c r="AP80" s="476"/>
      <c r="AQ80" s="200" t="s">
        <v>230</v>
      </c>
      <c r="AR80" s="200"/>
      <c r="AS80" s="200"/>
      <c r="AT80" s="200"/>
      <c r="AU80" s="425"/>
      <c r="AV80" s="545" t="s">
        <v>230</v>
      </c>
      <c r="AW80" s="425"/>
      <c r="AX80" s="49"/>
      <c r="AY80" s="296"/>
      <c r="AZ80" s="541"/>
      <c r="BA80" s="554" t="s">
        <v>230</v>
      </c>
      <c r="BB80" s="541"/>
      <c r="BC80" s="49"/>
      <c r="BD80" s="327"/>
      <c r="BE80" s="556"/>
      <c r="BF80" s="557" t="s">
        <v>230</v>
      </c>
      <c r="BG80" s="556"/>
      <c r="BH80" s="49"/>
      <c r="BI80" s="346"/>
      <c r="BJ80" s="558"/>
      <c r="BK80" s="587" t="s">
        <v>230</v>
      </c>
      <c r="BL80" s="558"/>
      <c r="BM80" s="49"/>
      <c r="BN80" s="429"/>
      <c r="BO80" s="485"/>
      <c r="BP80" s="596" t="s">
        <v>230</v>
      </c>
      <c r="BQ80" s="485"/>
      <c r="BR80" s="49"/>
      <c r="BS80" s="353"/>
      <c r="BT80" s="472"/>
      <c r="BU80" s="586" t="s">
        <v>230</v>
      </c>
      <c r="BV80" s="472"/>
      <c r="BW80" s="49"/>
      <c r="BX80" s="368"/>
      <c r="BY80" s="578"/>
      <c r="BZ80" s="593" t="s">
        <v>230</v>
      </c>
      <c r="CA80" s="578"/>
      <c r="CB80" s="49"/>
      <c r="CC80" s="388"/>
      <c r="CD80" s="488"/>
      <c r="CE80" s="595" t="s">
        <v>230</v>
      </c>
      <c r="CF80" s="595"/>
      <c r="CG80" s="49"/>
      <c r="CH80" s="402"/>
      <c r="CI80" s="439"/>
      <c r="CJ80" s="426" t="s">
        <v>230</v>
      </c>
      <c r="CK80" s="439"/>
      <c r="CL80" s="49"/>
      <c r="CM80" s="402"/>
      <c r="CN80" s="439"/>
      <c r="CO80" s="426" t="s">
        <v>230</v>
      </c>
      <c r="CP80" s="672"/>
      <c r="CQ80" s="49"/>
      <c r="CR80" s="419" t="str">
        <f>IFERROR(__xludf.DUMMYFUNCTION("""COMPUTED_VALUE"""),"")</f>
        <v/>
      </c>
      <c r="CS80" s="487" t="str">
        <f>IFERROR(__xludf.DUMMYFUNCTION("""COMPUTED_VALUE"""),"Snover")</f>
        <v>Snover</v>
      </c>
      <c r="CT80" s="575" t="s">
        <v>216</v>
      </c>
      <c r="CU80" s="456">
        <v>1.0</v>
      </c>
      <c r="CV80" s="49"/>
      <c r="CW80" s="453"/>
      <c r="CX80" s="455"/>
      <c r="CY80" s="631"/>
      <c r="CZ80" s="455"/>
      <c r="DA80" s="49"/>
      <c r="DB80" s="457"/>
      <c r="DC80" s="475"/>
      <c r="DD80" s="632"/>
      <c r="DE80" s="475"/>
      <c r="DF80" s="49"/>
      <c r="DG80" s="458"/>
      <c r="DH80" s="459"/>
      <c r="DI80" s="633"/>
      <c r="DJ80" s="459"/>
      <c r="DK80" s="49"/>
      <c r="DL80" s="620"/>
      <c r="DM80" s="637"/>
      <c r="DN80" s="637"/>
      <c r="DO80" s="637"/>
      <c r="DP80" s="49"/>
      <c r="DQ80" s="461"/>
      <c r="DR80" s="462"/>
      <c r="DS80" s="462"/>
      <c r="DT80" s="462"/>
      <c r="DU80" s="49"/>
      <c r="DV80" s="463"/>
      <c r="DW80" s="464"/>
      <c r="DX80" s="464"/>
      <c r="DY80" s="464"/>
      <c r="DZ80" s="49"/>
      <c r="EA80" s="465"/>
      <c r="EB80" s="466"/>
      <c r="EC80" s="426"/>
      <c r="ED80" s="456"/>
      <c r="EE80" s="47"/>
      <c r="EF80" s="16"/>
    </row>
    <row r="81" ht="17.25" customHeight="1">
      <c r="A81" s="16"/>
      <c r="B81" s="47"/>
      <c r="C81" s="170"/>
      <c r="D81" s="171"/>
      <c r="E81" s="49"/>
      <c r="F81" s="200"/>
      <c r="G81" s="200"/>
      <c r="H81" s="200" t="s">
        <v>230</v>
      </c>
      <c r="I81" s="200"/>
      <c r="J81" s="200"/>
      <c r="K81" s="200"/>
      <c r="L81" s="476"/>
      <c r="M81" s="200" t="s">
        <v>230</v>
      </c>
      <c r="N81" s="200"/>
      <c r="O81" s="200"/>
      <c r="P81" s="200"/>
      <c r="Q81" s="476"/>
      <c r="R81" s="200" t="s">
        <v>230</v>
      </c>
      <c r="S81" s="200"/>
      <c r="T81" s="200"/>
      <c r="U81" s="200"/>
      <c r="V81" s="476"/>
      <c r="W81" s="200" t="s">
        <v>230</v>
      </c>
      <c r="X81" s="200"/>
      <c r="Y81" s="200"/>
      <c r="Z81" s="200"/>
      <c r="AA81" s="476"/>
      <c r="AB81" s="200" t="s">
        <v>230</v>
      </c>
      <c r="AC81" s="200"/>
      <c r="AD81" s="200"/>
      <c r="AE81" s="200"/>
      <c r="AF81" s="200"/>
      <c r="AG81" s="200" t="s">
        <v>230</v>
      </c>
      <c r="AH81" s="200"/>
      <c r="AI81" s="200"/>
      <c r="AJ81" s="200"/>
      <c r="AK81" s="476"/>
      <c r="AL81" s="200" t="s">
        <v>230</v>
      </c>
      <c r="AM81" s="200"/>
      <c r="AN81" s="200"/>
      <c r="AO81" s="200"/>
      <c r="AP81" s="476"/>
      <c r="AQ81" s="200" t="s">
        <v>230</v>
      </c>
      <c r="AR81" s="200"/>
      <c r="AS81" s="200"/>
      <c r="AT81" s="200"/>
      <c r="AU81" s="425"/>
      <c r="AV81" s="545" t="s">
        <v>230</v>
      </c>
      <c r="AW81" s="425"/>
      <c r="AX81" s="49"/>
      <c r="AY81" s="296"/>
      <c r="AZ81" s="541"/>
      <c r="BA81" s="554" t="s">
        <v>230</v>
      </c>
      <c r="BB81" s="541"/>
      <c r="BC81" s="49"/>
      <c r="BD81" s="327"/>
      <c r="BE81" s="556"/>
      <c r="BF81" s="557" t="s">
        <v>230</v>
      </c>
      <c r="BG81" s="556"/>
      <c r="BH81" s="49"/>
      <c r="BI81" s="346"/>
      <c r="BJ81" s="558"/>
      <c r="BK81" s="587" t="s">
        <v>230</v>
      </c>
      <c r="BL81" s="558"/>
      <c r="BM81" s="49"/>
      <c r="BN81" s="429"/>
      <c r="BO81" s="485"/>
      <c r="BP81" s="596" t="s">
        <v>230</v>
      </c>
      <c r="BQ81" s="485"/>
      <c r="BR81" s="49"/>
      <c r="BS81" s="353"/>
      <c r="BT81" s="472"/>
      <c r="BU81" s="586" t="s">
        <v>230</v>
      </c>
      <c r="BV81" s="472"/>
      <c r="BW81" s="49"/>
      <c r="BX81" s="368"/>
      <c r="BY81" s="578"/>
      <c r="BZ81" s="593" t="s">
        <v>230</v>
      </c>
      <c r="CA81" s="578"/>
      <c r="CB81" s="49"/>
      <c r="CC81" s="388"/>
      <c r="CD81" s="488"/>
      <c r="CE81" s="595" t="s">
        <v>230</v>
      </c>
      <c r="CF81" s="595"/>
      <c r="CG81" s="49"/>
      <c r="CH81" s="402"/>
      <c r="CI81" s="439"/>
      <c r="CJ81" s="426" t="s">
        <v>230</v>
      </c>
      <c r="CK81" s="439"/>
      <c r="CL81" s="49"/>
      <c r="CM81" s="402"/>
      <c r="CN81" s="439"/>
      <c r="CO81" s="426" t="s">
        <v>230</v>
      </c>
      <c r="CP81" s="672"/>
      <c r="CQ81" s="49"/>
      <c r="CR81" s="419" t="str">
        <f>IFERROR(__xludf.DUMMYFUNCTION("""COMPUTED_VALUE"""),"")</f>
        <v/>
      </c>
      <c r="CS81" s="487" t="str">
        <f>IFERROR(__xludf.DUMMYFUNCTION("""COMPUTED_VALUE"""),"Stantler")</f>
        <v>Stantler</v>
      </c>
      <c r="CT81" s="575" t="s">
        <v>216</v>
      </c>
      <c r="CU81" s="456">
        <v>2.0</v>
      </c>
      <c r="CV81" s="49"/>
      <c r="CW81" s="453"/>
      <c r="CX81" s="455"/>
      <c r="CY81" s="631"/>
      <c r="CZ81" s="455"/>
      <c r="DA81" s="49"/>
      <c r="DB81" s="457"/>
      <c r="DC81" s="475"/>
      <c r="DD81" s="632"/>
      <c r="DE81" s="475"/>
      <c r="DF81" s="49"/>
      <c r="DG81" s="458"/>
      <c r="DH81" s="459"/>
      <c r="DI81" s="633"/>
      <c r="DJ81" s="459"/>
      <c r="DK81" s="49"/>
      <c r="DL81" s="620"/>
      <c r="DM81" s="637"/>
      <c r="DN81" s="637"/>
      <c r="DO81" s="637"/>
      <c r="DP81" s="49"/>
      <c r="DQ81" s="461"/>
      <c r="DR81" s="462"/>
      <c r="DS81" s="462"/>
      <c r="DT81" s="462"/>
      <c r="DU81" s="49"/>
      <c r="DV81" s="463"/>
      <c r="DW81" s="464"/>
      <c r="DX81" s="464"/>
      <c r="DY81" s="464"/>
      <c r="DZ81" s="49"/>
      <c r="EA81" s="465"/>
      <c r="EB81" s="466"/>
      <c r="EC81" s="426"/>
      <c r="ED81" s="456"/>
      <c r="EE81" s="47"/>
      <c r="EF81" s="16"/>
    </row>
    <row r="82" ht="17.25" customHeight="1">
      <c r="A82" s="16"/>
      <c r="B82" s="47"/>
      <c r="C82" s="170"/>
      <c r="D82" s="171"/>
      <c r="E82" s="49"/>
      <c r="F82" s="200"/>
      <c r="G82" s="200"/>
      <c r="H82" s="200" t="s">
        <v>230</v>
      </c>
      <c r="I82" s="200"/>
      <c r="J82" s="200"/>
      <c r="K82" s="200"/>
      <c r="L82" s="476"/>
      <c r="M82" s="200" t="s">
        <v>230</v>
      </c>
      <c r="N82" s="200"/>
      <c r="O82" s="200"/>
      <c r="P82" s="200"/>
      <c r="Q82" s="476"/>
      <c r="R82" s="200" t="s">
        <v>230</v>
      </c>
      <c r="S82" s="200"/>
      <c r="T82" s="200"/>
      <c r="U82" s="200"/>
      <c r="V82" s="476"/>
      <c r="W82" s="200" t="s">
        <v>230</v>
      </c>
      <c r="X82" s="200"/>
      <c r="Y82" s="200"/>
      <c r="Z82" s="200"/>
      <c r="AA82" s="476"/>
      <c r="AB82" s="200" t="s">
        <v>230</v>
      </c>
      <c r="AC82" s="200"/>
      <c r="AD82" s="200"/>
      <c r="AE82" s="200"/>
      <c r="AF82" s="200"/>
      <c r="AG82" s="200" t="s">
        <v>230</v>
      </c>
      <c r="AH82" s="200"/>
      <c r="AI82" s="200"/>
      <c r="AJ82" s="200"/>
      <c r="AK82" s="476"/>
      <c r="AL82" s="200" t="s">
        <v>230</v>
      </c>
      <c r="AM82" s="200"/>
      <c r="AN82" s="200"/>
      <c r="AO82" s="200"/>
      <c r="AP82" s="476"/>
      <c r="AQ82" s="200" t="s">
        <v>230</v>
      </c>
      <c r="AR82" s="200"/>
      <c r="AS82" s="200"/>
      <c r="AT82" s="200"/>
      <c r="AU82" s="425"/>
      <c r="AV82" s="545" t="s">
        <v>230</v>
      </c>
      <c r="AW82" s="425"/>
      <c r="AX82" s="49"/>
      <c r="AY82" s="296"/>
      <c r="AZ82" s="541"/>
      <c r="BA82" s="554" t="s">
        <v>230</v>
      </c>
      <c r="BB82" s="541"/>
      <c r="BC82" s="49"/>
      <c r="BD82" s="327"/>
      <c r="BE82" s="556"/>
      <c r="BF82" s="557" t="s">
        <v>230</v>
      </c>
      <c r="BG82" s="556"/>
      <c r="BH82" s="49"/>
      <c r="BI82" s="346"/>
      <c r="BJ82" s="558"/>
      <c r="BK82" s="587" t="s">
        <v>230</v>
      </c>
      <c r="BL82" s="558"/>
      <c r="BM82" s="49"/>
      <c r="BN82" s="429"/>
      <c r="BO82" s="485"/>
      <c r="BP82" s="596" t="s">
        <v>230</v>
      </c>
      <c r="BQ82" s="485"/>
      <c r="BR82" s="49"/>
      <c r="BS82" s="353"/>
      <c r="BT82" s="472"/>
      <c r="BU82" s="586" t="s">
        <v>230</v>
      </c>
      <c r="BV82" s="472"/>
      <c r="BW82" s="49"/>
      <c r="BX82" s="368"/>
      <c r="BY82" s="578"/>
      <c r="BZ82" s="593" t="s">
        <v>230</v>
      </c>
      <c r="CA82" s="578"/>
      <c r="CB82" s="49"/>
      <c r="CC82" s="388"/>
      <c r="CD82" s="488"/>
      <c r="CE82" s="595" t="s">
        <v>230</v>
      </c>
      <c r="CF82" s="595"/>
      <c r="CG82" s="49"/>
      <c r="CH82" s="402"/>
      <c r="CI82" s="439"/>
      <c r="CJ82" s="426" t="s">
        <v>230</v>
      </c>
      <c r="CK82" s="439"/>
      <c r="CL82" s="49"/>
      <c r="CM82" s="402"/>
      <c r="CN82" s="439"/>
      <c r="CO82" s="426" t="s">
        <v>230</v>
      </c>
      <c r="CP82" s="672"/>
      <c r="CQ82" s="49"/>
      <c r="CR82" s="419" t="str">
        <f>IFERROR(__xludf.DUMMYFUNCTION("""COMPUTED_VALUE"""),"")</f>
        <v/>
      </c>
      <c r="CS82" s="487" t="str">
        <f>IFERROR(__xludf.DUMMYFUNCTION("""COMPUTED_VALUE"""),"Staravia")</f>
        <v>Staravia</v>
      </c>
      <c r="CT82" s="575" t="s">
        <v>216</v>
      </c>
      <c r="CU82" s="456">
        <v>1.0</v>
      </c>
      <c r="CV82" s="49"/>
      <c r="CW82" s="453"/>
      <c r="CX82" s="455"/>
      <c r="CY82" s="631"/>
      <c r="CZ82" s="455"/>
      <c r="DA82" s="49"/>
      <c r="DB82" s="457"/>
      <c r="DC82" s="475"/>
      <c r="DD82" s="632"/>
      <c r="DE82" s="475"/>
      <c r="DF82" s="49"/>
      <c r="DG82" s="458"/>
      <c r="DH82" s="459"/>
      <c r="DI82" s="633"/>
      <c r="DJ82" s="459"/>
      <c r="DK82" s="49"/>
      <c r="DL82" s="620"/>
      <c r="DM82" s="637"/>
      <c r="DN82" s="637"/>
      <c r="DO82" s="637"/>
      <c r="DP82" s="49"/>
      <c r="DQ82" s="461"/>
      <c r="DR82" s="462"/>
      <c r="DS82" s="462"/>
      <c r="DT82" s="462"/>
      <c r="DU82" s="49"/>
      <c r="DV82" s="463"/>
      <c r="DW82" s="464"/>
      <c r="DX82" s="464"/>
      <c r="DY82" s="464"/>
      <c r="DZ82" s="49"/>
      <c r="EA82" s="465"/>
      <c r="EB82" s="466"/>
      <c r="EC82" s="426"/>
      <c r="ED82" s="456"/>
      <c r="EE82" s="47"/>
      <c r="EF82" s="16"/>
    </row>
    <row r="83" ht="17.25" customHeight="1">
      <c r="A83" s="16"/>
      <c r="B83" s="47"/>
      <c r="C83" s="170"/>
      <c r="D83" s="171"/>
      <c r="E83" s="49"/>
      <c r="F83" s="200"/>
      <c r="G83" s="200"/>
      <c r="H83" s="200" t="s">
        <v>230</v>
      </c>
      <c r="I83" s="200"/>
      <c r="J83" s="200"/>
      <c r="K83" s="200"/>
      <c r="L83" s="476"/>
      <c r="M83" s="200" t="s">
        <v>230</v>
      </c>
      <c r="N83" s="200"/>
      <c r="O83" s="200"/>
      <c r="P83" s="200"/>
      <c r="Q83" s="476"/>
      <c r="R83" s="200" t="s">
        <v>230</v>
      </c>
      <c r="S83" s="200"/>
      <c r="T83" s="200"/>
      <c r="U83" s="200"/>
      <c r="V83" s="476"/>
      <c r="W83" s="200" t="s">
        <v>230</v>
      </c>
      <c r="X83" s="200"/>
      <c r="Y83" s="200"/>
      <c r="Z83" s="200"/>
      <c r="AA83" s="476"/>
      <c r="AB83" s="200" t="s">
        <v>230</v>
      </c>
      <c r="AC83" s="200"/>
      <c r="AD83" s="200"/>
      <c r="AE83" s="200"/>
      <c r="AF83" s="200"/>
      <c r="AG83" s="200" t="s">
        <v>230</v>
      </c>
      <c r="AH83" s="200"/>
      <c r="AI83" s="200"/>
      <c r="AJ83" s="200"/>
      <c r="AK83" s="476"/>
      <c r="AL83" s="200" t="s">
        <v>230</v>
      </c>
      <c r="AM83" s="200"/>
      <c r="AN83" s="200"/>
      <c r="AO83" s="200"/>
      <c r="AP83" s="476"/>
      <c r="AQ83" s="200" t="s">
        <v>230</v>
      </c>
      <c r="AR83" s="200"/>
      <c r="AS83" s="200"/>
      <c r="AT83" s="200"/>
      <c r="AU83" s="425"/>
      <c r="AV83" s="545" t="s">
        <v>230</v>
      </c>
      <c r="AW83" s="425"/>
      <c r="AX83" s="49"/>
      <c r="AY83" s="296"/>
      <c r="AZ83" s="541"/>
      <c r="BA83" s="554" t="s">
        <v>230</v>
      </c>
      <c r="BB83" s="541"/>
      <c r="BC83" s="49"/>
      <c r="BD83" s="327"/>
      <c r="BE83" s="556"/>
      <c r="BF83" s="557" t="s">
        <v>230</v>
      </c>
      <c r="BG83" s="556"/>
      <c r="BH83" s="49"/>
      <c r="BI83" s="346"/>
      <c r="BJ83" s="558"/>
      <c r="BK83" s="587" t="s">
        <v>230</v>
      </c>
      <c r="BL83" s="558"/>
      <c r="BM83" s="49"/>
      <c r="BN83" s="429"/>
      <c r="BO83" s="485"/>
      <c r="BP83" s="596" t="s">
        <v>230</v>
      </c>
      <c r="BQ83" s="485"/>
      <c r="BR83" s="49"/>
      <c r="BS83" s="353"/>
      <c r="BT83" s="472"/>
      <c r="BU83" s="586" t="s">
        <v>230</v>
      </c>
      <c r="BV83" s="472"/>
      <c r="BW83" s="49"/>
      <c r="BX83" s="368"/>
      <c r="BY83" s="578"/>
      <c r="BZ83" s="593" t="s">
        <v>230</v>
      </c>
      <c r="CA83" s="578"/>
      <c r="CB83" s="49"/>
      <c r="CC83" s="388"/>
      <c r="CD83" s="488"/>
      <c r="CE83" s="595" t="s">
        <v>230</v>
      </c>
      <c r="CF83" s="595"/>
      <c r="CG83" s="49"/>
      <c r="CH83" s="402"/>
      <c r="CI83" s="439"/>
      <c r="CJ83" s="426" t="s">
        <v>230</v>
      </c>
      <c r="CK83" s="439"/>
      <c r="CL83" s="49"/>
      <c r="CM83" s="402"/>
      <c r="CN83" s="439"/>
      <c r="CO83" s="426" t="s">
        <v>230</v>
      </c>
      <c r="CP83" s="672"/>
      <c r="CQ83" s="49"/>
      <c r="CR83" s="419" t="str">
        <f>IFERROR(__xludf.DUMMYFUNCTION("""COMPUTED_VALUE"""),"")</f>
        <v/>
      </c>
      <c r="CS83" s="487" t="str">
        <f>IFERROR(__xludf.DUMMYFUNCTION("""COMPUTED_VALUE"""),"Sudowoodo")</f>
        <v>Sudowoodo</v>
      </c>
      <c r="CT83" s="575" t="s">
        <v>216</v>
      </c>
      <c r="CU83" s="456">
        <v>2.0</v>
      </c>
      <c r="CV83" s="49"/>
      <c r="CW83" s="453"/>
      <c r="CX83" s="455"/>
      <c r="CY83" s="631"/>
      <c r="CZ83" s="455"/>
      <c r="DA83" s="49"/>
      <c r="DB83" s="457"/>
      <c r="DC83" s="475"/>
      <c r="DD83" s="632"/>
      <c r="DE83" s="475"/>
      <c r="DF83" s="49"/>
      <c r="DG83" s="458"/>
      <c r="DH83" s="459"/>
      <c r="DI83" s="633"/>
      <c r="DJ83" s="459"/>
      <c r="DK83" s="49"/>
      <c r="DL83" s="620"/>
      <c r="DM83" s="637"/>
      <c r="DN83" s="637"/>
      <c r="DO83" s="637"/>
      <c r="DP83" s="49"/>
      <c r="DQ83" s="461"/>
      <c r="DR83" s="462"/>
      <c r="DS83" s="462"/>
      <c r="DT83" s="462"/>
      <c r="DU83" s="49"/>
      <c r="DV83" s="463"/>
      <c r="DW83" s="464"/>
      <c r="DX83" s="464"/>
      <c r="DY83" s="464"/>
      <c r="DZ83" s="49"/>
      <c r="EA83" s="465"/>
      <c r="EB83" s="466"/>
      <c r="EC83" s="426"/>
      <c r="ED83" s="456"/>
      <c r="EE83" s="47"/>
      <c r="EF83" s="16"/>
    </row>
    <row r="84" ht="17.25" customHeight="1">
      <c r="A84" s="16"/>
      <c r="B84" s="47"/>
      <c r="C84" s="170"/>
      <c r="D84" s="171"/>
      <c r="E84" s="49"/>
      <c r="F84" s="200"/>
      <c r="G84" s="200"/>
      <c r="H84" s="200" t="s">
        <v>230</v>
      </c>
      <c r="I84" s="200"/>
      <c r="J84" s="200"/>
      <c r="K84" s="200"/>
      <c r="L84" s="476"/>
      <c r="M84" s="200" t="s">
        <v>230</v>
      </c>
      <c r="N84" s="200"/>
      <c r="O84" s="200"/>
      <c r="P84" s="200"/>
      <c r="Q84" s="476"/>
      <c r="R84" s="200" t="s">
        <v>230</v>
      </c>
      <c r="S84" s="200"/>
      <c r="T84" s="200"/>
      <c r="U84" s="200"/>
      <c r="V84" s="476"/>
      <c r="W84" s="200" t="s">
        <v>230</v>
      </c>
      <c r="X84" s="200"/>
      <c r="Y84" s="200"/>
      <c r="Z84" s="200"/>
      <c r="AA84" s="476"/>
      <c r="AB84" s="200" t="s">
        <v>230</v>
      </c>
      <c r="AC84" s="200"/>
      <c r="AD84" s="200"/>
      <c r="AE84" s="200"/>
      <c r="AF84" s="200"/>
      <c r="AG84" s="200" t="s">
        <v>230</v>
      </c>
      <c r="AH84" s="200"/>
      <c r="AI84" s="200"/>
      <c r="AJ84" s="200"/>
      <c r="AK84" s="476"/>
      <c r="AL84" s="200" t="s">
        <v>230</v>
      </c>
      <c r="AM84" s="200"/>
      <c r="AN84" s="200"/>
      <c r="AO84" s="200"/>
      <c r="AP84" s="476"/>
      <c r="AQ84" s="200" t="s">
        <v>230</v>
      </c>
      <c r="AR84" s="200"/>
      <c r="AS84" s="200"/>
      <c r="AT84" s="200"/>
      <c r="AU84" s="425"/>
      <c r="AV84" s="545" t="s">
        <v>230</v>
      </c>
      <c r="AW84" s="425"/>
      <c r="AX84" s="49"/>
      <c r="AY84" s="296"/>
      <c r="AZ84" s="541"/>
      <c r="BA84" s="554" t="s">
        <v>230</v>
      </c>
      <c r="BB84" s="541"/>
      <c r="BC84" s="49"/>
      <c r="BD84" s="327"/>
      <c r="BE84" s="556"/>
      <c r="BF84" s="557" t="s">
        <v>230</v>
      </c>
      <c r="BG84" s="556"/>
      <c r="BH84" s="49"/>
      <c r="BI84" s="346"/>
      <c r="BJ84" s="558"/>
      <c r="BK84" s="587" t="s">
        <v>230</v>
      </c>
      <c r="BL84" s="558"/>
      <c r="BM84" s="49"/>
      <c r="BN84" s="429"/>
      <c r="BO84" s="485"/>
      <c r="BP84" s="596" t="s">
        <v>230</v>
      </c>
      <c r="BQ84" s="485"/>
      <c r="BR84" s="49"/>
      <c r="BS84" s="353"/>
      <c r="BT84" s="472"/>
      <c r="BU84" s="586" t="s">
        <v>230</v>
      </c>
      <c r="BV84" s="472"/>
      <c r="BW84" s="49"/>
      <c r="BX84" s="368"/>
      <c r="BY84" s="578"/>
      <c r="BZ84" s="593" t="s">
        <v>230</v>
      </c>
      <c r="CA84" s="578"/>
      <c r="CB84" s="49"/>
      <c r="CC84" s="388"/>
      <c r="CD84" s="488"/>
      <c r="CE84" s="595" t="s">
        <v>230</v>
      </c>
      <c r="CF84" s="595"/>
      <c r="CG84" s="49"/>
      <c r="CH84" s="402"/>
      <c r="CI84" s="439"/>
      <c r="CJ84" s="426" t="s">
        <v>230</v>
      </c>
      <c r="CK84" s="439"/>
      <c r="CL84" s="49"/>
      <c r="CM84" s="402"/>
      <c r="CN84" s="439"/>
      <c r="CO84" s="426" t="s">
        <v>230</v>
      </c>
      <c r="CP84" s="672"/>
      <c r="CQ84" s="49"/>
      <c r="CR84" s="419" t="str">
        <f>IFERROR(__xludf.DUMMYFUNCTION("""COMPUTED_VALUE"""),"")</f>
        <v/>
      </c>
      <c r="CS84" s="487" t="str">
        <f>IFERROR(__xludf.DUMMYFUNCTION("""COMPUTED_VALUE"""),"Sunflora")</f>
        <v>Sunflora</v>
      </c>
      <c r="CT84" s="575" t="s">
        <v>216</v>
      </c>
      <c r="CU84" s="456">
        <v>1.0</v>
      </c>
      <c r="CV84" s="49"/>
      <c r="CW84" s="453"/>
      <c r="CX84" s="455"/>
      <c r="CY84" s="631"/>
      <c r="CZ84" s="455"/>
      <c r="DA84" s="49"/>
      <c r="DB84" s="457"/>
      <c r="DC84" s="475"/>
      <c r="DD84" s="632"/>
      <c r="DE84" s="475"/>
      <c r="DF84" s="49"/>
      <c r="DG84" s="458"/>
      <c r="DH84" s="459"/>
      <c r="DI84" s="633"/>
      <c r="DJ84" s="459"/>
      <c r="DK84" s="49"/>
      <c r="DL84" s="620"/>
      <c r="DM84" s="637"/>
      <c r="DN84" s="637"/>
      <c r="DO84" s="637"/>
      <c r="DP84" s="49"/>
      <c r="DQ84" s="461"/>
      <c r="DR84" s="462"/>
      <c r="DS84" s="462"/>
      <c r="DT84" s="462"/>
      <c r="DU84" s="49"/>
      <c r="DV84" s="463"/>
      <c r="DW84" s="464"/>
      <c r="DX84" s="464"/>
      <c r="DY84" s="464"/>
      <c r="DZ84" s="49"/>
      <c r="EA84" s="465"/>
      <c r="EB84" s="466"/>
      <c r="EC84" s="426"/>
      <c r="ED84" s="456"/>
      <c r="EE84" s="47"/>
      <c r="EF84" s="16"/>
    </row>
    <row r="85" ht="17.25" customHeight="1">
      <c r="A85" s="16"/>
      <c r="B85" s="47"/>
      <c r="C85" s="170"/>
      <c r="D85" s="171"/>
      <c r="E85" s="49"/>
      <c r="F85" s="200"/>
      <c r="G85" s="200"/>
      <c r="H85" s="200" t="s">
        <v>230</v>
      </c>
      <c r="I85" s="200"/>
      <c r="J85" s="200"/>
      <c r="K85" s="200"/>
      <c r="L85" s="476"/>
      <c r="M85" s="200" t="s">
        <v>230</v>
      </c>
      <c r="N85" s="200"/>
      <c r="O85" s="200"/>
      <c r="P85" s="200"/>
      <c r="Q85" s="476"/>
      <c r="R85" s="200" t="s">
        <v>230</v>
      </c>
      <c r="S85" s="200"/>
      <c r="T85" s="200"/>
      <c r="U85" s="200"/>
      <c r="V85" s="476"/>
      <c r="W85" s="200" t="s">
        <v>230</v>
      </c>
      <c r="X85" s="200"/>
      <c r="Y85" s="200"/>
      <c r="Z85" s="200"/>
      <c r="AA85" s="476"/>
      <c r="AB85" s="200" t="s">
        <v>230</v>
      </c>
      <c r="AC85" s="200"/>
      <c r="AD85" s="200"/>
      <c r="AE85" s="200"/>
      <c r="AF85" s="200"/>
      <c r="AG85" s="200" t="s">
        <v>230</v>
      </c>
      <c r="AH85" s="200"/>
      <c r="AI85" s="200"/>
      <c r="AJ85" s="200"/>
      <c r="AK85" s="476"/>
      <c r="AL85" s="200" t="s">
        <v>230</v>
      </c>
      <c r="AM85" s="200"/>
      <c r="AN85" s="200"/>
      <c r="AO85" s="200"/>
      <c r="AP85" s="476"/>
      <c r="AQ85" s="200" t="s">
        <v>230</v>
      </c>
      <c r="AR85" s="200"/>
      <c r="AS85" s="200"/>
      <c r="AT85" s="200"/>
      <c r="AU85" s="425"/>
      <c r="AV85" s="545" t="s">
        <v>230</v>
      </c>
      <c r="AW85" s="425"/>
      <c r="AX85" s="49"/>
      <c r="AY85" s="296"/>
      <c r="AZ85" s="541"/>
      <c r="BA85" s="554" t="s">
        <v>230</v>
      </c>
      <c r="BB85" s="541"/>
      <c r="BC85" s="49"/>
      <c r="BD85" s="327"/>
      <c r="BE85" s="556"/>
      <c r="BF85" s="557" t="s">
        <v>230</v>
      </c>
      <c r="BG85" s="556"/>
      <c r="BH85" s="49"/>
      <c r="BI85" s="346"/>
      <c r="BJ85" s="558"/>
      <c r="BK85" s="587" t="s">
        <v>230</v>
      </c>
      <c r="BL85" s="558"/>
      <c r="BM85" s="49"/>
      <c r="BN85" s="429"/>
      <c r="BO85" s="485"/>
      <c r="BP85" s="596" t="s">
        <v>230</v>
      </c>
      <c r="BQ85" s="485"/>
      <c r="BR85" s="49"/>
      <c r="BS85" s="353"/>
      <c r="BT85" s="472"/>
      <c r="BU85" s="586" t="s">
        <v>230</v>
      </c>
      <c r="BV85" s="472"/>
      <c r="BW85" s="49"/>
      <c r="BX85" s="368"/>
      <c r="BY85" s="578"/>
      <c r="BZ85" s="593" t="s">
        <v>230</v>
      </c>
      <c r="CA85" s="578"/>
      <c r="CB85" s="49"/>
      <c r="CC85" s="388"/>
      <c r="CD85" s="488"/>
      <c r="CE85" s="595" t="s">
        <v>230</v>
      </c>
      <c r="CF85" s="595"/>
      <c r="CG85" s="49"/>
      <c r="CH85" s="402"/>
      <c r="CI85" s="439"/>
      <c r="CJ85" s="426" t="s">
        <v>230</v>
      </c>
      <c r="CK85" s="439"/>
      <c r="CL85" s="49"/>
      <c r="CM85" s="402"/>
      <c r="CN85" s="439"/>
      <c r="CO85" s="426" t="s">
        <v>230</v>
      </c>
      <c r="CP85" s="672"/>
      <c r="CQ85" s="49"/>
      <c r="CR85" s="419" t="str">
        <f>IFERROR(__xludf.DUMMYFUNCTION("""COMPUTED_VALUE"""),"")</f>
        <v/>
      </c>
      <c r="CS85" s="487" t="str">
        <f>IFERROR(__xludf.DUMMYFUNCTION("""COMPUTED_VALUE"""),"Swanna")</f>
        <v>Swanna</v>
      </c>
      <c r="CT85" s="575" t="s">
        <v>216</v>
      </c>
      <c r="CU85" s="456">
        <v>2.0</v>
      </c>
      <c r="CV85" s="49"/>
      <c r="CW85" s="453"/>
      <c r="CX85" s="455"/>
      <c r="CY85" s="631"/>
      <c r="CZ85" s="455"/>
      <c r="DA85" s="49"/>
      <c r="DB85" s="457"/>
      <c r="DC85" s="475"/>
      <c r="DD85" s="632"/>
      <c r="DE85" s="475"/>
      <c r="DF85" s="49"/>
      <c r="DG85" s="458"/>
      <c r="DH85" s="459"/>
      <c r="DI85" s="633"/>
      <c r="DJ85" s="459"/>
      <c r="DK85" s="49"/>
      <c r="DL85" s="620"/>
      <c r="DM85" s="637"/>
      <c r="DN85" s="637"/>
      <c r="DO85" s="637"/>
      <c r="DP85" s="49"/>
      <c r="DQ85" s="461"/>
      <c r="DR85" s="462"/>
      <c r="DS85" s="462"/>
      <c r="DT85" s="462"/>
      <c r="DU85" s="49"/>
      <c r="DV85" s="463"/>
      <c r="DW85" s="464"/>
      <c r="DX85" s="464"/>
      <c r="DY85" s="464"/>
      <c r="DZ85" s="49"/>
      <c r="EA85" s="465"/>
      <c r="EB85" s="466"/>
      <c r="EC85" s="426"/>
      <c r="ED85" s="456"/>
      <c r="EE85" s="47"/>
      <c r="EF85" s="16"/>
    </row>
    <row r="86" ht="17.25" customHeight="1">
      <c r="A86" s="16"/>
      <c r="B86" s="47"/>
      <c r="C86" s="170"/>
      <c r="D86" s="171"/>
      <c r="E86" s="49"/>
      <c r="F86" s="200"/>
      <c r="G86" s="200"/>
      <c r="H86" s="200" t="s">
        <v>230</v>
      </c>
      <c r="I86" s="200"/>
      <c r="J86" s="200"/>
      <c r="K86" s="200"/>
      <c r="L86" s="476"/>
      <c r="M86" s="200" t="s">
        <v>230</v>
      </c>
      <c r="N86" s="200"/>
      <c r="O86" s="200"/>
      <c r="P86" s="200"/>
      <c r="Q86" s="476"/>
      <c r="R86" s="200" t="s">
        <v>230</v>
      </c>
      <c r="S86" s="200"/>
      <c r="T86" s="200"/>
      <c r="U86" s="200"/>
      <c r="V86" s="476"/>
      <c r="W86" s="200" t="s">
        <v>230</v>
      </c>
      <c r="X86" s="200"/>
      <c r="Y86" s="200"/>
      <c r="Z86" s="200"/>
      <c r="AA86" s="476"/>
      <c r="AB86" s="200" t="s">
        <v>230</v>
      </c>
      <c r="AC86" s="200"/>
      <c r="AD86" s="200"/>
      <c r="AE86" s="200"/>
      <c r="AF86" s="200"/>
      <c r="AG86" s="200" t="s">
        <v>230</v>
      </c>
      <c r="AH86" s="200"/>
      <c r="AI86" s="200"/>
      <c r="AJ86" s="200"/>
      <c r="AK86" s="476"/>
      <c r="AL86" s="200" t="s">
        <v>230</v>
      </c>
      <c r="AM86" s="200"/>
      <c r="AN86" s="200"/>
      <c r="AO86" s="200"/>
      <c r="AP86" s="476"/>
      <c r="AQ86" s="200" t="s">
        <v>230</v>
      </c>
      <c r="AR86" s="200"/>
      <c r="AS86" s="200"/>
      <c r="AT86" s="200"/>
      <c r="AU86" s="425"/>
      <c r="AV86" s="545" t="s">
        <v>230</v>
      </c>
      <c r="AW86" s="425"/>
      <c r="AX86" s="49"/>
      <c r="AY86" s="296"/>
      <c r="AZ86" s="541"/>
      <c r="BA86" s="554" t="s">
        <v>230</v>
      </c>
      <c r="BB86" s="541"/>
      <c r="BC86" s="49"/>
      <c r="BD86" s="327"/>
      <c r="BE86" s="556"/>
      <c r="BF86" s="557" t="s">
        <v>230</v>
      </c>
      <c r="BG86" s="556"/>
      <c r="BH86" s="49"/>
      <c r="BI86" s="346"/>
      <c r="BJ86" s="558"/>
      <c r="BK86" s="587" t="s">
        <v>230</v>
      </c>
      <c r="BL86" s="558"/>
      <c r="BM86" s="49"/>
      <c r="BN86" s="429"/>
      <c r="BO86" s="485"/>
      <c r="BP86" s="596" t="s">
        <v>230</v>
      </c>
      <c r="BQ86" s="485"/>
      <c r="BR86" s="49"/>
      <c r="BS86" s="353"/>
      <c r="BT86" s="472"/>
      <c r="BU86" s="586" t="s">
        <v>230</v>
      </c>
      <c r="BV86" s="472"/>
      <c r="BW86" s="49"/>
      <c r="BX86" s="368"/>
      <c r="BY86" s="578"/>
      <c r="BZ86" s="593" t="s">
        <v>230</v>
      </c>
      <c r="CA86" s="578"/>
      <c r="CB86" s="49"/>
      <c r="CC86" s="388"/>
      <c r="CD86" s="488"/>
      <c r="CE86" s="595" t="s">
        <v>230</v>
      </c>
      <c r="CF86" s="595"/>
      <c r="CG86" s="49"/>
      <c r="CH86" s="402"/>
      <c r="CI86" s="439"/>
      <c r="CJ86" s="426" t="s">
        <v>230</v>
      </c>
      <c r="CK86" s="439"/>
      <c r="CL86" s="49"/>
      <c r="CM86" s="402"/>
      <c r="CN86" s="439"/>
      <c r="CO86" s="426" t="s">
        <v>230</v>
      </c>
      <c r="CP86" s="672"/>
      <c r="CQ86" s="49"/>
      <c r="CR86" s="419" t="str">
        <f>IFERROR(__xludf.DUMMYFUNCTION("""COMPUTED_VALUE"""),"")</f>
        <v/>
      </c>
      <c r="CS86" s="487" t="str">
        <f>IFERROR(__xludf.DUMMYFUNCTION("""COMPUTED_VALUE"""),"Tinkatuff")</f>
        <v>Tinkatuff</v>
      </c>
      <c r="CT86" s="575" t="s">
        <v>216</v>
      </c>
      <c r="CU86" s="456">
        <v>1.0</v>
      </c>
      <c r="CV86" s="49"/>
      <c r="CW86" s="453"/>
      <c r="CX86" s="455"/>
      <c r="CY86" s="631"/>
      <c r="CZ86" s="455"/>
      <c r="DA86" s="49"/>
      <c r="DB86" s="457"/>
      <c r="DC86" s="475"/>
      <c r="DD86" s="632"/>
      <c r="DE86" s="475"/>
      <c r="DF86" s="49"/>
      <c r="DG86" s="458"/>
      <c r="DH86" s="459"/>
      <c r="DI86" s="633"/>
      <c r="DJ86" s="459"/>
      <c r="DK86" s="49"/>
      <c r="DL86" s="620"/>
      <c r="DM86" s="637"/>
      <c r="DN86" s="637"/>
      <c r="DO86" s="637"/>
      <c r="DP86" s="49"/>
      <c r="DQ86" s="461"/>
      <c r="DR86" s="462"/>
      <c r="DS86" s="462"/>
      <c r="DT86" s="462"/>
      <c r="DU86" s="49"/>
      <c r="DV86" s="463"/>
      <c r="DW86" s="464"/>
      <c r="DX86" s="464"/>
      <c r="DY86" s="464"/>
      <c r="DZ86" s="49"/>
      <c r="EA86" s="465"/>
      <c r="EB86" s="466"/>
      <c r="EC86" s="426"/>
      <c r="ED86" s="456"/>
      <c r="EE86" s="47"/>
      <c r="EF86" s="16"/>
    </row>
    <row r="87" ht="17.25" customHeight="1">
      <c r="A87" s="16"/>
      <c r="B87" s="47"/>
      <c r="C87" s="170"/>
      <c r="D87" s="171"/>
      <c r="E87" s="49"/>
      <c r="F87" s="200"/>
      <c r="G87" s="200"/>
      <c r="H87" s="200" t="s">
        <v>230</v>
      </c>
      <c r="I87" s="200"/>
      <c r="J87" s="200"/>
      <c r="K87" s="200"/>
      <c r="L87" s="476"/>
      <c r="M87" s="200" t="s">
        <v>230</v>
      </c>
      <c r="N87" s="200"/>
      <c r="O87" s="200"/>
      <c r="P87" s="200"/>
      <c r="Q87" s="476"/>
      <c r="R87" s="200" t="s">
        <v>230</v>
      </c>
      <c r="S87" s="200"/>
      <c r="T87" s="200"/>
      <c r="U87" s="200"/>
      <c r="V87" s="476"/>
      <c r="W87" s="200" t="s">
        <v>230</v>
      </c>
      <c r="X87" s="200"/>
      <c r="Y87" s="200"/>
      <c r="Z87" s="200"/>
      <c r="AA87" s="476"/>
      <c r="AB87" s="200" t="s">
        <v>230</v>
      </c>
      <c r="AC87" s="200"/>
      <c r="AD87" s="200"/>
      <c r="AE87" s="200"/>
      <c r="AF87" s="200"/>
      <c r="AG87" s="200" t="s">
        <v>230</v>
      </c>
      <c r="AH87" s="200"/>
      <c r="AI87" s="200"/>
      <c r="AJ87" s="200"/>
      <c r="AK87" s="476"/>
      <c r="AL87" s="200" t="s">
        <v>230</v>
      </c>
      <c r="AM87" s="200"/>
      <c r="AN87" s="200"/>
      <c r="AO87" s="200"/>
      <c r="AP87" s="476"/>
      <c r="AQ87" s="200" t="s">
        <v>230</v>
      </c>
      <c r="AR87" s="200"/>
      <c r="AS87" s="200"/>
      <c r="AT87" s="200"/>
      <c r="AU87" s="425"/>
      <c r="AV87" s="545" t="s">
        <v>230</v>
      </c>
      <c r="AW87" s="425"/>
      <c r="AX87" s="49"/>
      <c r="AY87" s="296"/>
      <c r="AZ87" s="541"/>
      <c r="BA87" s="554" t="s">
        <v>230</v>
      </c>
      <c r="BB87" s="541"/>
      <c r="BC87" s="49"/>
      <c r="BD87" s="327"/>
      <c r="BE87" s="556"/>
      <c r="BF87" s="557" t="s">
        <v>230</v>
      </c>
      <c r="BG87" s="556"/>
      <c r="BH87" s="49"/>
      <c r="BI87" s="346"/>
      <c r="BJ87" s="558"/>
      <c r="BK87" s="587" t="s">
        <v>230</v>
      </c>
      <c r="BL87" s="558"/>
      <c r="BM87" s="49"/>
      <c r="BN87" s="429"/>
      <c r="BO87" s="485"/>
      <c r="BP87" s="596" t="s">
        <v>230</v>
      </c>
      <c r="BQ87" s="485"/>
      <c r="BR87" s="49"/>
      <c r="BS87" s="353"/>
      <c r="BT87" s="472"/>
      <c r="BU87" s="586" t="s">
        <v>230</v>
      </c>
      <c r="BV87" s="472"/>
      <c r="BW87" s="49"/>
      <c r="BX87" s="368"/>
      <c r="BY87" s="578"/>
      <c r="BZ87" s="593" t="s">
        <v>230</v>
      </c>
      <c r="CA87" s="578"/>
      <c r="CB87" s="49"/>
      <c r="CC87" s="388"/>
      <c r="CD87" s="488"/>
      <c r="CE87" s="595" t="s">
        <v>230</v>
      </c>
      <c r="CF87" s="595"/>
      <c r="CG87" s="49"/>
      <c r="CH87" s="402"/>
      <c r="CI87" s="439"/>
      <c r="CJ87" s="426" t="s">
        <v>230</v>
      </c>
      <c r="CK87" s="439"/>
      <c r="CL87" s="49"/>
      <c r="CM87" s="402"/>
      <c r="CN87" s="439"/>
      <c r="CO87" s="426" t="s">
        <v>230</v>
      </c>
      <c r="CP87" s="672"/>
      <c r="CQ87" s="49"/>
      <c r="CR87" s="419" t="str">
        <f>IFERROR(__xludf.DUMMYFUNCTION("""COMPUTED_VALUE"""),"")</f>
        <v/>
      </c>
      <c r="CS87" s="487" t="str">
        <f>IFERROR(__xludf.DUMMYFUNCTION("""COMPUTED_VALUE"""),"Torracat")</f>
        <v>Torracat</v>
      </c>
      <c r="CT87" s="575" t="s">
        <v>216</v>
      </c>
      <c r="CU87" s="456">
        <v>1.0</v>
      </c>
      <c r="CV87" s="49"/>
      <c r="CW87" s="453"/>
      <c r="CX87" s="455"/>
      <c r="CY87" s="631"/>
      <c r="CZ87" s="455"/>
      <c r="DA87" s="49"/>
      <c r="DB87" s="457"/>
      <c r="DC87" s="475"/>
      <c r="DD87" s="632"/>
      <c r="DE87" s="475"/>
      <c r="DF87" s="49"/>
      <c r="DG87" s="458"/>
      <c r="DH87" s="459"/>
      <c r="DI87" s="633"/>
      <c r="DJ87" s="459"/>
      <c r="DK87" s="49"/>
      <c r="DL87" s="620"/>
      <c r="DM87" s="637"/>
      <c r="DN87" s="637"/>
      <c r="DO87" s="637"/>
      <c r="DP87" s="49"/>
      <c r="DQ87" s="461"/>
      <c r="DR87" s="462"/>
      <c r="DS87" s="462"/>
      <c r="DT87" s="462"/>
      <c r="DU87" s="49"/>
      <c r="DV87" s="463"/>
      <c r="DW87" s="464"/>
      <c r="DX87" s="464"/>
      <c r="DY87" s="464"/>
      <c r="DZ87" s="49"/>
      <c r="EA87" s="465"/>
      <c r="EB87" s="466"/>
      <c r="EC87" s="426"/>
      <c r="ED87" s="456"/>
      <c r="EE87" s="47"/>
      <c r="EF87" s="16"/>
    </row>
    <row r="88" ht="17.25" customHeight="1">
      <c r="A88" s="16"/>
      <c r="B88" s="47"/>
      <c r="C88" s="170"/>
      <c r="D88" s="171"/>
      <c r="E88" s="49"/>
      <c r="F88" s="200"/>
      <c r="G88" s="200"/>
      <c r="H88" s="200" t="s">
        <v>230</v>
      </c>
      <c r="I88" s="200"/>
      <c r="J88" s="200"/>
      <c r="K88" s="200"/>
      <c r="L88" s="476"/>
      <c r="M88" s="200" t="s">
        <v>230</v>
      </c>
      <c r="N88" s="200"/>
      <c r="O88" s="200"/>
      <c r="P88" s="200"/>
      <c r="Q88" s="476"/>
      <c r="R88" s="200" t="s">
        <v>230</v>
      </c>
      <c r="S88" s="200"/>
      <c r="T88" s="200"/>
      <c r="U88" s="200"/>
      <c r="V88" s="476"/>
      <c r="W88" s="200" t="s">
        <v>230</v>
      </c>
      <c r="X88" s="200"/>
      <c r="Y88" s="200"/>
      <c r="Z88" s="200"/>
      <c r="AA88" s="476"/>
      <c r="AB88" s="200" t="s">
        <v>230</v>
      </c>
      <c r="AC88" s="200"/>
      <c r="AD88" s="200"/>
      <c r="AE88" s="200"/>
      <c r="AF88" s="200"/>
      <c r="AG88" s="200" t="s">
        <v>230</v>
      </c>
      <c r="AH88" s="200"/>
      <c r="AI88" s="200"/>
      <c r="AJ88" s="200"/>
      <c r="AK88" s="476"/>
      <c r="AL88" s="200" t="s">
        <v>230</v>
      </c>
      <c r="AM88" s="200"/>
      <c r="AN88" s="200"/>
      <c r="AO88" s="200"/>
      <c r="AP88" s="476"/>
      <c r="AQ88" s="200" t="s">
        <v>230</v>
      </c>
      <c r="AR88" s="200"/>
      <c r="AS88" s="200"/>
      <c r="AT88" s="200"/>
      <c r="AU88" s="425"/>
      <c r="AV88" s="545" t="s">
        <v>230</v>
      </c>
      <c r="AW88" s="425"/>
      <c r="AX88" s="49"/>
      <c r="AY88" s="296"/>
      <c r="AZ88" s="541"/>
      <c r="BA88" s="554" t="s">
        <v>230</v>
      </c>
      <c r="BB88" s="541"/>
      <c r="BC88" s="49"/>
      <c r="BD88" s="327"/>
      <c r="BE88" s="556"/>
      <c r="BF88" s="557" t="s">
        <v>230</v>
      </c>
      <c r="BG88" s="556"/>
      <c r="BH88" s="49"/>
      <c r="BI88" s="346"/>
      <c r="BJ88" s="558"/>
      <c r="BK88" s="587" t="s">
        <v>230</v>
      </c>
      <c r="BL88" s="558"/>
      <c r="BM88" s="49"/>
      <c r="BN88" s="429"/>
      <c r="BO88" s="485"/>
      <c r="BP88" s="596" t="s">
        <v>230</v>
      </c>
      <c r="BQ88" s="485"/>
      <c r="BR88" s="49"/>
      <c r="BS88" s="353"/>
      <c r="BT88" s="472"/>
      <c r="BU88" s="586" t="s">
        <v>230</v>
      </c>
      <c r="BV88" s="472"/>
      <c r="BW88" s="49"/>
      <c r="BX88" s="368"/>
      <c r="BY88" s="578"/>
      <c r="BZ88" s="593" t="s">
        <v>230</v>
      </c>
      <c r="CA88" s="578"/>
      <c r="CB88" s="49"/>
      <c r="CC88" s="388"/>
      <c r="CD88" s="488"/>
      <c r="CE88" s="595" t="s">
        <v>230</v>
      </c>
      <c r="CF88" s="595"/>
      <c r="CG88" s="49"/>
      <c r="CH88" s="402"/>
      <c r="CI88" s="439"/>
      <c r="CJ88" s="426" t="s">
        <v>230</v>
      </c>
      <c r="CK88" s="439"/>
      <c r="CL88" s="49"/>
      <c r="CM88" s="402"/>
      <c r="CN88" s="439"/>
      <c r="CO88" s="426" t="s">
        <v>230</v>
      </c>
      <c r="CP88" s="672"/>
      <c r="CQ88" s="49"/>
      <c r="CR88" s="419" t="str">
        <f>IFERROR(__xludf.DUMMYFUNCTION("""COMPUTED_VALUE"""),"")</f>
        <v/>
      </c>
      <c r="CS88" s="487" t="str">
        <f>IFERROR(__xludf.DUMMYFUNCTION("""COMPUTED_VALUE"""),"Trapinch")</f>
        <v>Trapinch</v>
      </c>
      <c r="CT88" s="575" t="s">
        <v>216</v>
      </c>
      <c r="CU88" s="456">
        <v>2.0</v>
      </c>
      <c r="CV88" s="49"/>
      <c r="CW88" s="453"/>
      <c r="CX88" s="455"/>
      <c r="CY88" s="631"/>
      <c r="CZ88" s="455"/>
      <c r="DA88" s="49"/>
      <c r="DB88" s="457"/>
      <c r="DC88" s="475"/>
      <c r="DD88" s="632"/>
      <c r="DE88" s="475"/>
      <c r="DF88" s="49"/>
      <c r="DG88" s="458"/>
      <c r="DH88" s="459"/>
      <c r="DI88" s="633"/>
      <c r="DJ88" s="459"/>
      <c r="DK88" s="49"/>
      <c r="DL88" s="620"/>
      <c r="DM88" s="637"/>
      <c r="DN88" s="637"/>
      <c r="DO88" s="637"/>
      <c r="DP88" s="49"/>
      <c r="DQ88" s="461"/>
      <c r="DR88" s="462"/>
      <c r="DS88" s="462"/>
      <c r="DT88" s="462"/>
      <c r="DU88" s="49"/>
      <c r="DV88" s="463"/>
      <c r="DW88" s="464"/>
      <c r="DX88" s="464"/>
      <c r="DY88" s="464"/>
      <c r="DZ88" s="49"/>
      <c r="EA88" s="465"/>
      <c r="EB88" s="466"/>
      <c r="EC88" s="426"/>
      <c r="ED88" s="456"/>
      <c r="EE88" s="47"/>
      <c r="EF88" s="16"/>
    </row>
    <row r="89" ht="17.25" customHeight="1">
      <c r="A89" s="16"/>
      <c r="B89" s="47"/>
      <c r="C89" s="170"/>
      <c r="D89" s="171"/>
      <c r="E89" s="49"/>
      <c r="F89" s="200"/>
      <c r="G89" s="200"/>
      <c r="H89" s="200" t="s">
        <v>230</v>
      </c>
      <c r="I89" s="200"/>
      <c r="J89" s="200"/>
      <c r="K89" s="200"/>
      <c r="L89" s="476"/>
      <c r="M89" s="200" t="s">
        <v>230</v>
      </c>
      <c r="N89" s="200"/>
      <c r="O89" s="200"/>
      <c r="P89" s="200"/>
      <c r="Q89" s="476"/>
      <c r="R89" s="200" t="s">
        <v>230</v>
      </c>
      <c r="S89" s="200"/>
      <c r="T89" s="200"/>
      <c r="U89" s="200"/>
      <c r="V89" s="476"/>
      <c r="W89" s="200" t="s">
        <v>230</v>
      </c>
      <c r="X89" s="200"/>
      <c r="Y89" s="200"/>
      <c r="Z89" s="200"/>
      <c r="AA89" s="476"/>
      <c r="AB89" s="200" t="s">
        <v>230</v>
      </c>
      <c r="AC89" s="200"/>
      <c r="AD89" s="200"/>
      <c r="AE89" s="200"/>
      <c r="AF89" s="200"/>
      <c r="AG89" s="200" t="s">
        <v>230</v>
      </c>
      <c r="AH89" s="200"/>
      <c r="AI89" s="200"/>
      <c r="AJ89" s="200"/>
      <c r="AK89" s="476"/>
      <c r="AL89" s="200" t="s">
        <v>230</v>
      </c>
      <c r="AM89" s="200"/>
      <c r="AN89" s="200"/>
      <c r="AO89" s="200"/>
      <c r="AP89" s="476"/>
      <c r="AQ89" s="200" t="s">
        <v>230</v>
      </c>
      <c r="AR89" s="200"/>
      <c r="AS89" s="200"/>
      <c r="AT89" s="200"/>
      <c r="AU89" s="425"/>
      <c r="AV89" s="545" t="s">
        <v>230</v>
      </c>
      <c r="AW89" s="425"/>
      <c r="AX89" s="49"/>
      <c r="AY89" s="296"/>
      <c r="AZ89" s="541"/>
      <c r="BA89" s="554" t="s">
        <v>230</v>
      </c>
      <c r="BB89" s="541"/>
      <c r="BC89" s="49"/>
      <c r="BD89" s="327"/>
      <c r="BE89" s="556"/>
      <c r="BF89" s="557" t="s">
        <v>230</v>
      </c>
      <c r="BG89" s="556"/>
      <c r="BH89" s="49"/>
      <c r="BI89" s="346"/>
      <c r="BJ89" s="558"/>
      <c r="BK89" s="587" t="s">
        <v>230</v>
      </c>
      <c r="BL89" s="558"/>
      <c r="BM89" s="49"/>
      <c r="BN89" s="429"/>
      <c r="BO89" s="485"/>
      <c r="BP89" s="596" t="s">
        <v>230</v>
      </c>
      <c r="BQ89" s="485"/>
      <c r="BR89" s="49"/>
      <c r="BS89" s="353"/>
      <c r="BT89" s="472"/>
      <c r="BU89" s="586" t="s">
        <v>230</v>
      </c>
      <c r="BV89" s="472"/>
      <c r="BW89" s="49"/>
      <c r="BX89" s="368"/>
      <c r="BY89" s="578"/>
      <c r="BZ89" s="593" t="s">
        <v>230</v>
      </c>
      <c r="CA89" s="578"/>
      <c r="CB89" s="49"/>
      <c r="CC89" s="388"/>
      <c r="CD89" s="488"/>
      <c r="CE89" s="595" t="s">
        <v>230</v>
      </c>
      <c r="CF89" s="595"/>
      <c r="CG89" s="49"/>
      <c r="CH89" s="402"/>
      <c r="CI89" s="439"/>
      <c r="CJ89" s="426" t="s">
        <v>230</v>
      </c>
      <c r="CK89" s="439"/>
      <c r="CL89" s="49"/>
      <c r="CM89" s="402"/>
      <c r="CN89" s="439"/>
      <c r="CO89" s="426" t="s">
        <v>230</v>
      </c>
      <c r="CP89" s="672"/>
      <c r="CQ89" s="49"/>
      <c r="CR89" s="419" t="str">
        <f>IFERROR(__xludf.DUMMYFUNCTION("""COMPUTED_VALUE"""),"")</f>
        <v/>
      </c>
      <c r="CS89" s="487" t="str">
        <f>IFERROR(__xludf.DUMMYFUNCTION("""COMPUTED_VALUE"""),"Tropius")</f>
        <v>Tropius</v>
      </c>
      <c r="CT89" s="575" t="s">
        <v>216</v>
      </c>
      <c r="CU89" s="456">
        <v>2.0</v>
      </c>
      <c r="CV89" s="49"/>
      <c r="CW89" s="453"/>
      <c r="CX89" s="455"/>
      <c r="CY89" s="631"/>
      <c r="CZ89" s="455"/>
      <c r="DA89" s="49"/>
      <c r="DB89" s="457"/>
      <c r="DC89" s="475"/>
      <c r="DD89" s="632"/>
      <c r="DE89" s="475"/>
      <c r="DF89" s="49"/>
      <c r="DG89" s="458"/>
      <c r="DH89" s="459"/>
      <c r="DI89" s="633"/>
      <c r="DJ89" s="459"/>
      <c r="DK89" s="49"/>
      <c r="DL89" s="620"/>
      <c r="DM89" s="637"/>
      <c r="DN89" s="637"/>
      <c r="DO89" s="637"/>
      <c r="DP89" s="49"/>
      <c r="DQ89" s="461"/>
      <c r="DR89" s="462"/>
      <c r="DS89" s="462"/>
      <c r="DT89" s="462"/>
      <c r="DU89" s="49"/>
      <c r="DV89" s="463"/>
      <c r="DW89" s="464"/>
      <c r="DX89" s="464"/>
      <c r="DY89" s="464"/>
      <c r="DZ89" s="49"/>
      <c r="EA89" s="465"/>
      <c r="EB89" s="466"/>
      <c r="EC89" s="426"/>
      <c r="ED89" s="456"/>
      <c r="EE89" s="47"/>
      <c r="EF89" s="16"/>
    </row>
    <row r="90" ht="17.25" customHeight="1">
      <c r="A90" s="16"/>
      <c r="B90" s="47"/>
      <c r="C90" s="170"/>
      <c r="D90" s="171"/>
      <c r="E90" s="49"/>
      <c r="F90" s="200"/>
      <c r="G90" s="200"/>
      <c r="H90" s="200" t="s">
        <v>230</v>
      </c>
      <c r="I90" s="200"/>
      <c r="J90" s="200"/>
      <c r="K90" s="200"/>
      <c r="L90" s="476"/>
      <c r="M90" s="200" t="s">
        <v>230</v>
      </c>
      <c r="N90" s="200"/>
      <c r="O90" s="200"/>
      <c r="P90" s="200"/>
      <c r="Q90" s="476"/>
      <c r="R90" s="200" t="s">
        <v>230</v>
      </c>
      <c r="S90" s="200"/>
      <c r="T90" s="200"/>
      <c r="U90" s="200"/>
      <c r="V90" s="476"/>
      <c r="W90" s="200" t="s">
        <v>230</v>
      </c>
      <c r="X90" s="200"/>
      <c r="Y90" s="200"/>
      <c r="Z90" s="200"/>
      <c r="AA90" s="476"/>
      <c r="AB90" s="200" t="s">
        <v>230</v>
      </c>
      <c r="AC90" s="200"/>
      <c r="AD90" s="200"/>
      <c r="AE90" s="200"/>
      <c r="AF90" s="200"/>
      <c r="AG90" s="200" t="s">
        <v>230</v>
      </c>
      <c r="AH90" s="200"/>
      <c r="AI90" s="200"/>
      <c r="AJ90" s="200"/>
      <c r="AK90" s="476"/>
      <c r="AL90" s="200" t="s">
        <v>230</v>
      </c>
      <c r="AM90" s="200"/>
      <c r="AN90" s="200"/>
      <c r="AO90" s="200"/>
      <c r="AP90" s="476"/>
      <c r="AQ90" s="200" t="s">
        <v>230</v>
      </c>
      <c r="AR90" s="200"/>
      <c r="AS90" s="200"/>
      <c r="AT90" s="200"/>
      <c r="AU90" s="425"/>
      <c r="AV90" s="545" t="s">
        <v>230</v>
      </c>
      <c r="AW90" s="425"/>
      <c r="AX90" s="49"/>
      <c r="AY90" s="296"/>
      <c r="AZ90" s="541"/>
      <c r="BA90" s="554" t="s">
        <v>230</v>
      </c>
      <c r="BB90" s="541"/>
      <c r="BC90" s="49"/>
      <c r="BD90" s="327"/>
      <c r="BE90" s="556"/>
      <c r="BF90" s="557" t="s">
        <v>230</v>
      </c>
      <c r="BG90" s="556"/>
      <c r="BH90" s="49"/>
      <c r="BI90" s="346"/>
      <c r="BJ90" s="558"/>
      <c r="BK90" s="587" t="s">
        <v>230</v>
      </c>
      <c r="BL90" s="558"/>
      <c r="BM90" s="49"/>
      <c r="BN90" s="429"/>
      <c r="BO90" s="485"/>
      <c r="BP90" s="596" t="s">
        <v>230</v>
      </c>
      <c r="BQ90" s="485"/>
      <c r="BR90" s="49"/>
      <c r="BS90" s="353"/>
      <c r="BT90" s="472"/>
      <c r="BU90" s="586" t="s">
        <v>230</v>
      </c>
      <c r="BV90" s="472"/>
      <c r="BW90" s="49"/>
      <c r="BX90" s="368"/>
      <c r="BY90" s="578"/>
      <c r="BZ90" s="593" t="s">
        <v>230</v>
      </c>
      <c r="CA90" s="578"/>
      <c r="CB90" s="49"/>
      <c r="CC90" s="388"/>
      <c r="CD90" s="488"/>
      <c r="CE90" s="595" t="s">
        <v>230</v>
      </c>
      <c r="CF90" s="595"/>
      <c r="CG90" s="49"/>
      <c r="CH90" s="402"/>
      <c r="CI90" s="439"/>
      <c r="CJ90" s="426" t="s">
        <v>230</v>
      </c>
      <c r="CK90" s="439"/>
      <c r="CL90" s="49"/>
      <c r="CM90" s="402"/>
      <c r="CN90" s="439"/>
      <c r="CO90" s="426" t="s">
        <v>230</v>
      </c>
      <c r="CP90" s="672"/>
      <c r="CQ90" s="49"/>
      <c r="CR90" s="419" t="str">
        <f>IFERROR(__xludf.DUMMYFUNCTION("""COMPUTED_VALUE"""),"")</f>
        <v/>
      </c>
      <c r="CS90" s="487" t="str">
        <f>IFERROR(__xludf.DUMMYFUNCTION("""COMPUTED_VALUE"""),"Vespiquen")</f>
        <v>Vespiquen</v>
      </c>
      <c r="CT90" s="575" t="s">
        <v>216</v>
      </c>
      <c r="CU90" s="456">
        <v>2.0</v>
      </c>
      <c r="CV90" s="49"/>
      <c r="CW90" s="453"/>
      <c r="CX90" s="455"/>
      <c r="CY90" s="631"/>
      <c r="CZ90" s="455"/>
      <c r="DA90" s="49"/>
      <c r="DB90" s="457"/>
      <c r="DC90" s="475"/>
      <c r="DD90" s="632"/>
      <c r="DE90" s="475"/>
      <c r="DF90" s="49"/>
      <c r="DG90" s="458"/>
      <c r="DH90" s="459"/>
      <c r="DI90" s="633"/>
      <c r="DJ90" s="459"/>
      <c r="DK90" s="49"/>
      <c r="DL90" s="620"/>
      <c r="DM90" s="637"/>
      <c r="DN90" s="637"/>
      <c r="DO90" s="637"/>
      <c r="DP90" s="49"/>
      <c r="DQ90" s="461"/>
      <c r="DR90" s="462"/>
      <c r="DS90" s="462"/>
      <c r="DT90" s="462"/>
      <c r="DU90" s="49"/>
      <c r="DV90" s="463"/>
      <c r="DW90" s="464"/>
      <c r="DX90" s="464"/>
      <c r="DY90" s="464"/>
      <c r="DZ90" s="49"/>
      <c r="EA90" s="465"/>
      <c r="EB90" s="466"/>
      <c r="EC90" s="426"/>
      <c r="ED90" s="456"/>
      <c r="EE90" s="47"/>
      <c r="EF90" s="16"/>
    </row>
    <row r="91" ht="17.25" customHeight="1">
      <c r="A91" s="16"/>
      <c r="B91" s="47"/>
      <c r="C91" s="170"/>
      <c r="D91" s="171"/>
      <c r="E91" s="49"/>
      <c r="F91" s="200"/>
      <c r="G91" s="200"/>
      <c r="H91" s="200" t="s">
        <v>230</v>
      </c>
      <c r="I91" s="200"/>
      <c r="J91" s="200"/>
      <c r="K91" s="200"/>
      <c r="L91" s="476"/>
      <c r="M91" s="200" t="s">
        <v>230</v>
      </c>
      <c r="N91" s="200"/>
      <c r="O91" s="200"/>
      <c r="P91" s="200"/>
      <c r="Q91" s="476"/>
      <c r="R91" s="200" t="s">
        <v>230</v>
      </c>
      <c r="S91" s="200"/>
      <c r="T91" s="200"/>
      <c r="U91" s="200"/>
      <c r="V91" s="476"/>
      <c r="W91" s="200" t="s">
        <v>230</v>
      </c>
      <c r="X91" s="200"/>
      <c r="Y91" s="200"/>
      <c r="Z91" s="200"/>
      <c r="AA91" s="476"/>
      <c r="AB91" s="200" t="s">
        <v>230</v>
      </c>
      <c r="AC91" s="200"/>
      <c r="AD91" s="200"/>
      <c r="AE91" s="200"/>
      <c r="AF91" s="200"/>
      <c r="AG91" s="200" t="s">
        <v>230</v>
      </c>
      <c r="AH91" s="200"/>
      <c r="AI91" s="200"/>
      <c r="AJ91" s="200"/>
      <c r="AK91" s="476"/>
      <c r="AL91" s="200" t="s">
        <v>230</v>
      </c>
      <c r="AM91" s="200"/>
      <c r="AN91" s="200"/>
      <c r="AO91" s="200"/>
      <c r="AP91" s="476"/>
      <c r="AQ91" s="200" t="s">
        <v>230</v>
      </c>
      <c r="AR91" s="200"/>
      <c r="AS91" s="200"/>
      <c r="AT91" s="200"/>
      <c r="AU91" s="425"/>
      <c r="AV91" s="545" t="s">
        <v>230</v>
      </c>
      <c r="AW91" s="425"/>
      <c r="AX91" s="49"/>
      <c r="AY91" s="296"/>
      <c r="AZ91" s="541"/>
      <c r="BA91" s="554" t="s">
        <v>230</v>
      </c>
      <c r="BB91" s="541"/>
      <c r="BC91" s="49"/>
      <c r="BD91" s="327"/>
      <c r="BE91" s="556"/>
      <c r="BF91" s="557" t="s">
        <v>230</v>
      </c>
      <c r="BG91" s="556"/>
      <c r="BH91" s="49"/>
      <c r="BI91" s="346"/>
      <c r="BJ91" s="558"/>
      <c r="BK91" s="587" t="s">
        <v>230</v>
      </c>
      <c r="BL91" s="558"/>
      <c r="BM91" s="49"/>
      <c r="BN91" s="429"/>
      <c r="BO91" s="485"/>
      <c r="BP91" s="596" t="s">
        <v>230</v>
      </c>
      <c r="BQ91" s="485"/>
      <c r="BR91" s="49"/>
      <c r="BS91" s="353"/>
      <c r="BT91" s="472"/>
      <c r="BU91" s="586" t="s">
        <v>230</v>
      </c>
      <c r="BV91" s="472"/>
      <c r="BW91" s="49"/>
      <c r="BX91" s="368"/>
      <c r="BY91" s="578"/>
      <c r="BZ91" s="593" t="s">
        <v>230</v>
      </c>
      <c r="CA91" s="578"/>
      <c r="CB91" s="49"/>
      <c r="CC91" s="388"/>
      <c r="CD91" s="488"/>
      <c r="CE91" s="595" t="s">
        <v>230</v>
      </c>
      <c r="CF91" s="595"/>
      <c r="CG91" s="49"/>
      <c r="CH91" s="402"/>
      <c r="CI91" s="439"/>
      <c r="CJ91" s="426" t="s">
        <v>230</v>
      </c>
      <c r="CK91" s="439"/>
      <c r="CL91" s="49"/>
      <c r="CM91" s="402"/>
      <c r="CN91" s="439"/>
      <c r="CO91" s="426" t="s">
        <v>230</v>
      </c>
      <c r="CP91" s="672"/>
      <c r="CQ91" s="49"/>
      <c r="CR91" s="419" t="str">
        <f>IFERROR(__xludf.DUMMYFUNCTION("""COMPUTED_VALUE"""),"")</f>
        <v/>
      </c>
      <c r="CS91" s="487" t="str">
        <f>IFERROR(__xludf.DUMMYFUNCTION("""COMPUTED_VALUE"""),"Vigoroth")</f>
        <v>Vigoroth</v>
      </c>
      <c r="CT91" s="575" t="s">
        <v>216</v>
      </c>
      <c r="CU91" s="456">
        <v>2.0</v>
      </c>
      <c r="CV91" s="49"/>
      <c r="CW91" s="453"/>
      <c r="CX91" s="455"/>
      <c r="CY91" s="631"/>
      <c r="CZ91" s="455"/>
      <c r="DA91" s="49"/>
      <c r="DB91" s="457"/>
      <c r="DC91" s="475"/>
      <c r="DD91" s="632"/>
      <c r="DE91" s="475"/>
      <c r="DF91" s="49"/>
      <c r="DG91" s="458"/>
      <c r="DH91" s="459"/>
      <c r="DI91" s="633"/>
      <c r="DJ91" s="459"/>
      <c r="DK91" s="49"/>
      <c r="DL91" s="620"/>
      <c r="DM91" s="637"/>
      <c r="DN91" s="637"/>
      <c r="DO91" s="637"/>
      <c r="DP91" s="49"/>
      <c r="DQ91" s="461"/>
      <c r="DR91" s="462"/>
      <c r="DS91" s="462"/>
      <c r="DT91" s="462"/>
      <c r="DU91" s="49"/>
      <c r="DV91" s="463"/>
      <c r="DW91" s="464"/>
      <c r="DX91" s="464"/>
      <c r="DY91" s="464"/>
      <c r="DZ91" s="49"/>
      <c r="EA91" s="465"/>
      <c r="EB91" s="466"/>
      <c r="EC91" s="426"/>
      <c r="ED91" s="456"/>
      <c r="EE91" s="47"/>
      <c r="EF91" s="16"/>
    </row>
    <row r="92" ht="17.25" customHeight="1">
      <c r="A92" s="16"/>
      <c r="B92" s="47"/>
      <c r="C92" s="170"/>
      <c r="D92" s="171"/>
      <c r="E92" s="49"/>
      <c r="F92" s="200"/>
      <c r="G92" s="200"/>
      <c r="H92" s="200" t="s">
        <v>230</v>
      </c>
      <c r="I92" s="200"/>
      <c r="J92" s="200"/>
      <c r="K92" s="200"/>
      <c r="L92" s="476"/>
      <c r="M92" s="200" t="s">
        <v>230</v>
      </c>
      <c r="N92" s="200"/>
      <c r="O92" s="200"/>
      <c r="P92" s="200"/>
      <c r="Q92" s="476"/>
      <c r="R92" s="200" t="s">
        <v>230</v>
      </c>
      <c r="S92" s="200"/>
      <c r="T92" s="200"/>
      <c r="U92" s="200"/>
      <c r="V92" s="476"/>
      <c r="W92" s="200" t="s">
        <v>230</v>
      </c>
      <c r="X92" s="200"/>
      <c r="Y92" s="200"/>
      <c r="Z92" s="200"/>
      <c r="AA92" s="476"/>
      <c r="AB92" s="200" t="s">
        <v>230</v>
      </c>
      <c r="AC92" s="200"/>
      <c r="AD92" s="200"/>
      <c r="AE92" s="200"/>
      <c r="AF92" s="200"/>
      <c r="AG92" s="200" t="s">
        <v>230</v>
      </c>
      <c r="AH92" s="200"/>
      <c r="AI92" s="200"/>
      <c r="AJ92" s="200"/>
      <c r="AK92" s="476"/>
      <c r="AL92" s="200" t="s">
        <v>230</v>
      </c>
      <c r="AM92" s="200"/>
      <c r="AN92" s="200"/>
      <c r="AO92" s="200"/>
      <c r="AP92" s="476"/>
      <c r="AQ92" s="200" t="s">
        <v>230</v>
      </c>
      <c r="AR92" s="200"/>
      <c r="AS92" s="200"/>
      <c r="AT92" s="200"/>
      <c r="AU92" s="425"/>
      <c r="AV92" s="545" t="s">
        <v>230</v>
      </c>
      <c r="AW92" s="425"/>
      <c r="AX92" s="49"/>
      <c r="AY92" s="296"/>
      <c r="AZ92" s="541"/>
      <c r="BA92" s="554" t="s">
        <v>230</v>
      </c>
      <c r="BB92" s="541"/>
      <c r="BC92" s="49"/>
      <c r="BD92" s="327"/>
      <c r="BE92" s="556"/>
      <c r="BF92" s="557" t="s">
        <v>230</v>
      </c>
      <c r="BG92" s="556"/>
      <c r="BH92" s="49"/>
      <c r="BI92" s="346"/>
      <c r="BJ92" s="558"/>
      <c r="BK92" s="587" t="s">
        <v>230</v>
      </c>
      <c r="BL92" s="558"/>
      <c r="BM92" s="49"/>
      <c r="BN92" s="429"/>
      <c r="BO92" s="485"/>
      <c r="BP92" s="596" t="s">
        <v>230</v>
      </c>
      <c r="BQ92" s="485"/>
      <c r="BR92" s="49"/>
      <c r="BS92" s="353"/>
      <c r="BT92" s="472"/>
      <c r="BU92" s="586" t="s">
        <v>230</v>
      </c>
      <c r="BV92" s="472"/>
      <c r="BW92" s="49"/>
      <c r="BX92" s="368"/>
      <c r="BY92" s="578"/>
      <c r="BZ92" s="593" t="s">
        <v>230</v>
      </c>
      <c r="CA92" s="578"/>
      <c r="CB92" s="49"/>
      <c r="CC92" s="388"/>
      <c r="CD92" s="488"/>
      <c r="CE92" s="595" t="s">
        <v>230</v>
      </c>
      <c r="CF92" s="595"/>
      <c r="CG92" s="49"/>
      <c r="CH92" s="402"/>
      <c r="CI92" s="439"/>
      <c r="CJ92" s="426" t="s">
        <v>230</v>
      </c>
      <c r="CK92" s="439"/>
      <c r="CL92" s="49"/>
      <c r="CM92" s="402"/>
      <c r="CN92" s="439"/>
      <c r="CO92" s="426" t="s">
        <v>230</v>
      </c>
      <c r="CP92" s="672"/>
      <c r="CQ92" s="49"/>
      <c r="CR92" s="419" t="str">
        <f>IFERROR(__xludf.DUMMYFUNCTION("""COMPUTED_VALUE"""),"")</f>
        <v/>
      </c>
      <c r="CS92" s="487" t="str">
        <f>IFERROR(__xludf.DUMMYFUNCTION("""COMPUTED_VALUE"""),"Vullaby")</f>
        <v>Vullaby</v>
      </c>
      <c r="CT92" s="575" t="s">
        <v>216</v>
      </c>
      <c r="CU92" s="456">
        <v>2.0</v>
      </c>
      <c r="CV92" s="49"/>
      <c r="CW92" s="453"/>
      <c r="CX92" s="455"/>
      <c r="CY92" s="631"/>
      <c r="CZ92" s="455"/>
      <c r="DA92" s="49"/>
      <c r="DB92" s="457"/>
      <c r="DC92" s="475"/>
      <c r="DD92" s="632"/>
      <c r="DE92" s="475"/>
      <c r="DF92" s="49"/>
      <c r="DG92" s="458"/>
      <c r="DH92" s="459"/>
      <c r="DI92" s="633"/>
      <c r="DJ92" s="459"/>
      <c r="DK92" s="49"/>
      <c r="DL92" s="620"/>
      <c r="DM92" s="637"/>
      <c r="DN92" s="637"/>
      <c r="DO92" s="637"/>
      <c r="DP92" s="49"/>
      <c r="DQ92" s="461"/>
      <c r="DR92" s="462"/>
      <c r="DS92" s="462"/>
      <c r="DT92" s="462"/>
      <c r="DU92" s="49"/>
      <c r="DV92" s="463"/>
      <c r="DW92" s="464"/>
      <c r="DX92" s="464"/>
      <c r="DY92" s="464"/>
      <c r="DZ92" s="49"/>
      <c r="EA92" s="465"/>
      <c r="EB92" s="466"/>
      <c r="EC92" s="426"/>
      <c r="ED92" s="456"/>
      <c r="EE92" s="47"/>
      <c r="EF92" s="16"/>
    </row>
    <row r="93" ht="17.25" customHeight="1">
      <c r="A93" s="16"/>
      <c r="B93" s="47"/>
      <c r="C93" s="170"/>
      <c r="D93" s="171"/>
      <c r="E93" s="49"/>
      <c r="F93" s="200"/>
      <c r="G93" s="200"/>
      <c r="H93" s="200" t="s">
        <v>230</v>
      </c>
      <c r="I93" s="200"/>
      <c r="J93" s="200"/>
      <c r="K93" s="200"/>
      <c r="L93" s="476"/>
      <c r="M93" s="200" t="s">
        <v>230</v>
      </c>
      <c r="N93" s="200"/>
      <c r="O93" s="200"/>
      <c r="P93" s="200"/>
      <c r="Q93" s="476"/>
      <c r="R93" s="200" t="s">
        <v>230</v>
      </c>
      <c r="S93" s="200"/>
      <c r="T93" s="200"/>
      <c r="U93" s="200"/>
      <c r="V93" s="476"/>
      <c r="W93" s="200" t="s">
        <v>230</v>
      </c>
      <c r="X93" s="200"/>
      <c r="Y93" s="200"/>
      <c r="Z93" s="200"/>
      <c r="AA93" s="476"/>
      <c r="AB93" s="200" t="s">
        <v>230</v>
      </c>
      <c r="AC93" s="200"/>
      <c r="AD93" s="200"/>
      <c r="AE93" s="200"/>
      <c r="AF93" s="200"/>
      <c r="AG93" s="200" t="s">
        <v>230</v>
      </c>
      <c r="AH93" s="200"/>
      <c r="AI93" s="200"/>
      <c r="AJ93" s="200"/>
      <c r="AK93" s="476"/>
      <c r="AL93" s="200" t="s">
        <v>230</v>
      </c>
      <c r="AM93" s="200"/>
      <c r="AN93" s="200"/>
      <c r="AO93" s="200"/>
      <c r="AP93" s="476"/>
      <c r="AQ93" s="200" t="s">
        <v>230</v>
      </c>
      <c r="AR93" s="200"/>
      <c r="AS93" s="200"/>
      <c r="AT93" s="200"/>
      <c r="AU93" s="425"/>
      <c r="AV93" s="545" t="s">
        <v>230</v>
      </c>
      <c r="AW93" s="425"/>
      <c r="AX93" s="49"/>
      <c r="AY93" s="296"/>
      <c r="AZ93" s="541"/>
      <c r="BA93" s="554" t="s">
        <v>230</v>
      </c>
      <c r="BB93" s="541"/>
      <c r="BC93" s="49"/>
      <c r="BD93" s="327"/>
      <c r="BE93" s="556"/>
      <c r="BF93" s="557" t="s">
        <v>230</v>
      </c>
      <c r="BG93" s="556"/>
      <c r="BH93" s="49"/>
      <c r="BI93" s="346"/>
      <c r="BJ93" s="558"/>
      <c r="BK93" s="587" t="s">
        <v>230</v>
      </c>
      <c r="BL93" s="558"/>
      <c r="BM93" s="49"/>
      <c r="BN93" s="429"/>
      <c r="BO93" s="485"/>
      <c r="BP93" s="596" t="s">
        <v>230</v>
      </c>
      <c r="BQ93" s="485"/>
      <c r="BR93" s="49"/>
      <c r="BS93" s="353"/>
      <c r="BT93" s="472"/>
      <c r="BU93" s="586" t="s">
        <v>230</v>
      </c>
      <c r="BV93" s="472"/>
      <c r="BW93" s="49"/>
      <c r="BX93" s="368"/>
      <c r="BY93" s="578"/>
      <c r="BZ93" s="593" t="s">
        <v>230</v>
      </c>
      <c r="CA93" s="578"/>
      <c r="CB93" s="49"/>
      <c r="CC93" s="388"/>
      <c r="CD93" s="488"/>
      <c r="CE93" s="595" t="s">
        <v>230</v>
      </c>
      <c r="CF93" s="595"/>
      <c r="CG93" s="49"/>
      <c r="CH93" s="402"/>
      <c r="CI93" s="439"/>
      <c r="CJ93" s="426" t="s">
        <v>230</v>
      </c>
      <c r="CK93" s="439"/>
      <c r="CL93" s="49"/>
      <c r="CM93" s="402"/>
      <c r="CN93" s="439"/>
      <c r="CO93" s="426" t="s">
        <v>230</v>
      </c>
      <c r="CP93" s="672"/>
      <c r="CQ93" s="49"/>
      <c r="CR93" s="419" t="str">
        <f>IFERROR(__xludf.DUMMYFUNCTION("""COMPUTED_VALUE"""),"")</f>
        <v/>
      </c>
      <c r="CS93" s="487" t="str">
        <f>IFERROR(__xludf.DUMMYFUNCTION("""COMPUTED_VALUE"""),"Vulpix")</f>
        <v>Vulpix</v>
      </c>
      <c r="CT93" s="575" t="s">
        <v>216</v>
      </c>
      <c r="CU93" s="456">
        <v>2.0</v>
      </c>
      <c r="CV93" s="49"/>
      <c r="CW93" s="453"/>
      <c r="CX93" s="455"/>
      <c r="CY93" s="631"/>
      <c r="CZ93" s="455"/>
      <c r="DA93" s="49"/>
      <c r="DB93" s="457"/>
      <c r="DC93" s="475"/>
      <c r="DD93" s="632"/>
      <c r="DE93" s="475"/>
      <c r="DF93" s="49"/>
      <c r="DG93" s="458"/>
      <c r="DH93" s="459"/>
      <c r="DI93" s="633"/>
      <c r="DJ93" s="459"/>
      <c r="DK93" s="49"/>
      <c r="DL93" s="620"/>
      <c r="DM93" s="637"/>
      <c r="DN93" s="637"/>
      <c r="DO93" s="637"/>
      <c r="DP93" s="49"/>
      <c r="DQ93" s="461"/>
      <c r="DR93" s="462"/>
      <c r="DS93" s="462"/>
      <c r="DT93" s="462"/>
      <c r="DU93" s="49"/>
      <c r="DV93" s="463"/>
      <c r="DW93" s="464"/>
      <c r="DX93" s="464"/>
      <c r="DY93" s="464"/>
      <c r="DZ93" s="49"/>
      <c r="EA93" s="465"/>
      <c r="EB93" s="466"/>
      <c r="EC93" s="426"/>
      <c r="ED93" s="456"/>
      <c r="EE93" s="47"/>
      <c r="EF93" s="16"/>
    </row>
    <row r="94" ht="17.25" customHeight="1">
      <c r="A94" s="16"/>
      <c r="B94" s="47"/>
      <c r="C94" s="170"/>
      <c r="D94" s="171"/>
      <c r="E94" s="49"/>
      <c r="F94" s="200"/>
      <c r="G94" s="200"/>
      <c r="H94" s="200" t="s">
        <v>230</v>
      </c>
      <c r="I94" s="200"/>
      <c r="J94" s="200"/>
      <c r="K94" s="200"/>
      <c r="L94" s="476"/>
      <c r="M94" s="200" t="s">
        <v>230</v>
      </c>
      <c r="N94" s="200"/>
      <c r="O94" s="200"/>
      <c r="P94" s="200"/>
      <c r="Q94" s="476"/>
      <c r="R94" s="200" t="s">
        <v>230</v>
      </c>
      <c r="S94" s="200"/>
      <c r="T94" s="200"/>
      <c r="U94" s="200"/>
      <c r="V94" s="476"/>
      <c r="W94" s="200" t="s">
        <v>230</v>
      </c>
      <c r="X94" s="200"/>
      <c r="Y94" s="200"/>
      <c r="Z94" s="200"/>
      <c r="AA94" s="476"/>
      <c r="AB94" s="200" t="s">
        <v>230</v>
      </c>
      <c r="AC94" s="200"/>
      <c r="AD94" s="200"/>
      <c r="AE94" s="200"/>
      <c r="AF94" s="200"/>
      <c r="AG94" s="200" t="s">
        <v>230</v>
      </c>
      <c r="AH94" s="200"/>
      <c r="AI94" s="200"/>
      <c r="AJ94" s="200"/>
      <c r="AK94" s="476"/>
      <c r="AL94" s="200" t="s">
        <v>230</v>
      </c>
      <c r="AM94" s="200"/>
      <c r="AN94" s="200"/>
      <c r="AO94" s="200"/>
      <c r="AP94" s="476"/>
      <c r="AQ94" s="200" t="s">
        <v>230</v>
      </c>
      <c r="AR94" s="200"/>
      <c r="AS94" s="200"/>
      <c r="AT94" s="200"/>
      <c r="AU94" s="425"/>
      <c r="AV94" s="545" t="s">
        <v>230</v>
      </c>
      <c r="AW94" s="425"/>
      <c r="AX94" s="49"/>
      <c r="AY94" s="296"/>
      <c r="AZ94" s="541"/>
      <c r="BA94" s="554" t="s">
        <v>230</v>
      </c>
      <c r="BB94" s="541"/>
      <c r="BC94" s="49"/>
      <c r="BD94" s="327"/>
      <c r="BE94" s="556"/>
      <c r="BF94" s="557" t="s">
        <v>230</v>
      </c>
      <c r="BG94" s="556"/>
      <c r="BH94" s="49"/>
      <c r="BI94" s="346"/>
      <c r="BJ94" s="558"/>
      <c r="BK94" s="587" t="s">
        <v>230</v>
      </c>
      <c r="BL94" s="558"/>
      <c r="BM94" s="49"/>
      <c r="BN94" s="429"/>
      <c r="BO94" s="485"/>
      <c r="BP94" s="596" t="s">
        <v>230</v>
      </c>
      <c r="BQ94" s="485"/>
      <c r="BR94" s="49"/>
      <c r="BS94" s="353"/>
      <c r="BT94" s="472"/>
      <c r="BU94" s="586" t="s">
        <v>230</v>
      </c>
      <c r="BV94" s="472"/>
      <c r="BW94" s="49"/>
      <c r="BX94" s="368"/>
      <c r="BY94" s="578"/>
      <c r="BZ94" s="593" t="s">
        <v>230</v>
      </c>
      <c r="CA94" s="578"/>
      <c r="CB94" s="49"/>
      <c r="CC94" s="388"/>
      <c r="CD94" s="488"/>
      <c r="CE94" s="595" t="s">
        <v>230</v>
      </c>
      <c r="CF94" s="595"/>
      <c r="CG94" s="49"/>
      <c r="CH94" s="402"/>
      <c r="CI94" s="439"/>
      <c r="CJ94" s="426" t="s">
        <v>230</v>
      </c>
      <c r="CK94" s="439"/>
      <c r="CL94" s="49"/>
      <c r="CM94" s="402"/>
      <c r="CN94" s="439"/>
      <c r="CO94" s="426" t="s">
        <v>230</v>
      </c>
      <c r="CP94" s="672"/>
      <c r="CQ94" s="49"/>
      <c r="CR94" s="419" t="str">
        <f>IFERROR(__xludf.DUMMYFUNCTION("""COMPUTED_VALUE"""),"")</f>
        <v/>
      </c>
      <c r="CS94" s="487" t="str">
        <f>IFERROR(__xludf.DUMMYFUNCTION("""COMPUTED_VALUE"""),"Wugtrio")</f>
        <v>Wugtrio</v>
      </c>
      <c r="CT94" s="575" t="s">
        <v>216</v>
      </c>
      <c r="CU94" s="456">
        <v>2.0</v>
      </c>
      <c r="CV94" s="49"/>
      <c r="CW94" s="453"/>
      <c r="CX94" s="455"/>
      <c r="CY94" s="631"/>
      <c r="CZ94" s="455"/>
      <c r="DA94" s="49"/>
      <c r="DB94" s="457"/>
      <c r="DC94" s="475"/>
      <c r="DD94" s="632"/>
      <c r="DE94" s="475"/>
      <c r="DF94" s="49"/>
      <c r="DG94" s="458"/>
      <c r="DH94" s="459"/>
      <c r="DI94" s="633"/>
      <c r="DJ94" s="459"/>
      <c r="DK94" s="49"/>
      <c r="DL94" s="620"/>
      <c r="DM94" s="637"/>
      <c r="DN94" s="637"/>
      <c r="DO94" s="637"/>
      <c r="DP94" s="49"/>
      <c r="DQ94" s="461"/>
      <c r="DR94" s="462"/>
      <c r="DS94" s="462"/>
      <c r="DT94" s="462"/>
      <c r="DU94" s="49"/>
      <c r="DV94" s="463"/>
      <c r="DW94" s="464"/>
      <c r="DX94" s="464"/>
      <c r="DY94" s="464"/>
      <c r="DZ94" s="49"/>
      <c r="EA94" s="465"/>
      <c r="EB94" s="466"/>
      <c r="EC94" s="426"/>
      <c r="ED94" s="456"/>
      <c r="EE94" s="47"/>
      <c r="EF94" s="16"/>
    </row>
    <row r="95" ht="17.25" customHeight="1">
      <c r="A95" s="16"/>
      <c r="B95" s="47"/>
      <c r="C95" s="170"/>
      <c r="D95" s="171"/>
      <c r="E95" s="49"/>
      <c r="F95" s="200"/>
      <c r="G95" s="200"/>
      <c r="H95" s="200" t="s">
        <v>230</v>
      </c>
      <c r="I95" s="200"/>
      <c r="J95" s="200"/>
      <c r="K95" s="200"/>
      <c r="L95" s="476"/>
      <c r="M95" s="200" t="s">
        <v>230</v>
      </c>
      <c r="N95" s="200"/>
      <c r="O95" s="200"/>
      <c r="P95" s="200"/>
      <c r="Q95" s="476"/>
      <c r="R95" s="200" t="s">
        <v>230</v>
      </c>
      <c r="S95" s="200"/>
      <c r="T95" s="200"/>
      <c r="U95" s="200"/>
      <c r="V95" s="476"/>
      <c r="W95" s="200" t="s">
        <v>230</v>
      </c>
      <c r="X95" s="200"/>
      <c r="Y95" s="200"/>
      <c r="Z95" s="200"/>
      <c r="AA95" s="476"/>
      <c r="AB95" s="200" t="s">
        <v>230</v>
      </c>
      <c r="AC95" s="200"/>
      <c r="AD95" s="200"/>
      <c r="AE95" s="200"/>
      <c r="AF95" s="200"/>
      <c r="AG95" s="200" t="s">
        <v>230</v>
      </c>
      <c r="AH95" s="200"/>
      <c r="AI95" s="200"/>
      <c r="AJ95" s="200"/>
      <c r="AK95" s="476"/>
      <c r="AL95" s="200" t="s">
        <v>230</v>
      </c>
      <c r="AM95" s="200"/>
      <c r="AN95" s="200"/>
      <c r="AO95" s="200"/>
      <c r="AP95" s="476"/>
      <c r="AQ95" s="200" t="s">
        <v>230</v>
      </c>
      <c r="AR95" s="200"/>
      <c r="AS95" s="200"/>
      <c r="AT95" s="200"/>
      <c r="AU95" s="425"/>
      <c r="AV95" s="545" t="s">
        <v>230</v>
      </c>
      <c r="AW95" s="425"/>
      <c r="AX95" s="49"/>
      <c r="AY95" s="296"/>
      <c r="AZ95" s="541"/>
      <c r="BA95" s="554" t="s">
        <v>230</v>
      </c>
      <c r="BB95" s="541"/>
      <c r="BC95" s="49"/>
      <c r="BD95" s="327"/>
      <c r="BE95" s="556"/>
      <c r="BF95" s="557" t="s">
        <v>230</v>
      </c>
      <c r="BG95" s="556"/>
      <c r="BH95" s="49"/>
      <c r="BI95" s="346"/>
      <c r="BJ95" s="558"/>
      <c r="BK95" s="587" t="s">
        <v>230</v>
      </c>
      <c r="BL95" s="558"/>
      <c r="BM95" s="49"/>
      <c r="BN95" s="429"/>
      <c r="BO95" s="485"/>
      <c r="BP95" s="596" t="s">
        <v>230</v>
      </c>
      <c r="BQ95" s="485"/>
      <c r="BR95" s="49"/>
      <c r="BS95" s="353"/>
      <c r="BT95" s="472"/>
      <c r="BU95" s="586" t="s">
        <v>230</v>
      </c>
      <c r="BV95" s="472"/>
      <c r="BW95" s="49"/>
      <c r="BX95" s="368"/>
      <c r="BY95" s="578"/>
      <c r="BZ95" s="593" t="s">
        <v>230</v>
      </c>
      <c r="CA95" s="578"/>
      <c r="CB95" s="49"/>
      <c r="CC95" s="388"/>
      <c r="CD95" s="488"/>
      <c r="CE95" s="595" t="s">
        <v>230</v>
      </c>
      <c r="CF95" s="595"/>
      <c r="CG95" s="49"/>
      <c r="CH95" s="402"/>
      <c r="CI95" s="439"/>
      <c r="CJ95" s="426" t="s">
        <v>230</v>
      </c>
      <c r="CK95" s="439"/>
      <c r="CL95" s="49"/>
      <c r="CM95" s="402"/>
      <c r="CN95" s="439"/>
      <c r="CO95" s="426" t="s">
        <v>230</v>
      </c>
      <c r="CP95" s="672"/>
      <c r="CQ95" s="49"/>
      <c r="CR95" s="419" t="str">
        <f>IFERROR(__xludf.DUMMYFUNCTION("""COMPUTED_VALUE"""),"")</f>
        <v/>
      </c>
      <c r="CS95" s="487" t="str">
        <f>IFERROR(__xludf.DUMMYFUNCTION("""COMPUTED_VALUE"""),"Zweilous")</f>
        <v>Zweilous</v>
      </c>
      <c r="CT95" s="575" t="s">
        <v>213</v>
      </c>
      <c r="CU95" s="456">
        <v>1.0</v>
      </c>
      <c r="CV95" s="49"/>
      <c r="CW95" s="453"/>
      <c r="CX95" s="455"/>
      <c r="CY95" s="631"/>
      <c r="CZ95" s="455"/>
      <c r="DA95" s="49"/>
      <c r="DB95" s="457"/>
      <c r="DC95" s="475"/>
      <c r="DD95" s="632"/>
      <c r="DE95" s="475"/>
      <c r="DF95" s="49"/>
      <c r="DG95" s="458"/>
      <c r="DH95" s="459"/>
      <c r="DI95" s="633"/>
      <c r="DJ95" s="459"/>
      <c r="DK95" s="49"/>
      <c r="DL95" s="620"/>
      <c r="DM95" s="637"/>
      <c r="DN95" s="637"/>
      <c r="DO95" s="637"/>
      <c r="DP95" s="49"/>
      <c r="DQ95" s="461"/>
      <c r="DR95" s="462"/>
      <c r="DS95" s="462"/>
      <c r="DT95" s="462"/>
      <c r="DU95" s="49"/>
      <c r="DV95" s="463"/>
      <c r="DW95" s="464"/>
      <c r="DX95" s="464"/>
      <c r="DY95" s="464"/>
      <c r="DZ95" s="49"/>
      <c r="EA95" s="465"/>
      <c r="EB95" s="466"/>
      <c r="EC95" s="426"/>
      <c r="ED95" s="456"/>
      <c r="EE95" s="47"/>
      <c r="EF95" s="16"/>
    </row>
    <row r="96" ht="17.25" customHeight="1">
      <c r="A96" s="16"/>
      <c r="B96" s="47"/>
      <c r="C96" s="170"/>
      <c r="D96" s="171"/>
      <c r="E96" s="49"/>
      <c r="F96" s="200"/>
      <c r="G96" s="200"/>
      <c r="H96" s="200" t="s">
        <v>230</v>
      </c>
      <c r="I96" s="200"/>
      <c r="J96" s="200"/>
      <c r="K96" s="200"/>
      <c r="L96" s="476"/>
      <c r="M96" s="200" t="s">
        <v>230</v>
      </c>
      <c r="N96" s="200"/>
      <c r="O96" s="200"/>
      <c r="P96" s="200"/>
      <c r="Q96" s="476"/>
      <c r="R96" s="200" t="s">
        <v>230</v>
      </c>
      <c r="S96" s="200"/>
      <c r="T96" s="200"/>
      <c r="U96" s="200"/>
      <c r="V96" s="476"/>
      <c r="W96" s="200" t="s">
        <v>230</v>
      </c>
      <c r="X96" s="200"/>
      <c r="Y96" s="200"/>
      <c r="Z96" s="200"/>
      <c r="AA96" s="476"/>
      <c r="AB96" s="200" t="s">
        <v>230</v>
      </c>
      <c r="AC96" s="200"/>
      <c r="AD96" s="200"/>
      <c r="AE96" s="200"/>
      <c r="AF96" s="200"/>
      <c r="AG96" s="200" t="s">
        <v>230</v>
      </c>
      <c r="AH96" s="200"/>
      <c r="AI96" s="200"/>
      <c r="AJ96" s="200"/>
      <c r="AK96" s="476"/>
      <c r="AL96" s="200" t="s">
        <v>230</v>
      </c>
      <c r="AM96" s="200"/>
      <c r="AN96" s="200"/>
      <c r="AO96" s="200"/>
      <c r="AP96" s="476"/>
      <c r="AQ96" s="200" t="s">
        <v>230</v>
      </c>
      <c r="AR96" s="200"/>
      <c r="AS96" s="200"/>
      <c r="AT96" s="200"/>
      <c r="AU96" s="425"/>
      <c r="AV96" s="545" t="s">
        <v>230</v>
      </c>
      <c r="AW96" s="425"/>
      <c r="AX96" s="49"/>
      <c r="AY96" s="296"/>
      <c r="AZ96" s="541"/>
      <c r="BA96" s="554" t="s">
        <v>230</v>
      </c>
      <c r="BB96" s="541"/>
      <c r="BC96" s="49"/>
      <c r="BD96" s="327"/>
      <c r="BE96" s="556"/>
      <c r="BF96" s="557" t="s">
        <v>230</v>
      </c>
      <c r="BG96" s="556"/>
      <c r="BH96" s="49"/>
      <c r="BI96" s="346"/>
      <c r="BJ96" s="558"/>
      <c r="BK96" s="587" t="s">
        <v>230</v>
      </c>
      <c r="BL96" s="558"/>
      <c r="BM96" s="49"/>
      <c r="BN96" s="429"/>
      <c r="BO96" s="485"/>
      <c r="BP96" s="596" t="s">
        <v>230</v>
      </c>
      <c r="BQ96" s="485"/>
      <c r="BR96" s="49"/>
      <c r="BS96" s="353"/>
      <c r="BT96" s="472"/>
      <c r="BU96" s="586" t="s">
        <v>230</v>
      </c>
      <c r="BV96" s="472"/>
      <c r="BW96" s="49"/>
      <c r="BX96" s="368"/>
      <c r="BY96" s="578"/>
      <c r="BZ96" s="593" t="s">
        <v>230</v>
      </c>
      <c r="CA96" s="578"/>
      <c r="CB96" s="49"/>
      <c r="CC96" s="388"/>
      <c r="CD96" s="488"/>
      <c r="CE96" s="595" t="s">
        <v>230</v>
      </c>
      <c r="CF96" s="595"/>
      <c r="CG96" s="49"/>
      <c r="CH96" s="402"/>
      <c r="CI96" s="439"/>
      <c r="CJ96" s="426" t="s">
        <v>230</v>
      </c>
      <c r="CK96" s="439"/>
      <c r="CL96" s="49"/>
      <c r="CM96" s="402"/>
      <c r="CN96" s="439"/>
      <c r="CO96" s="426" t="s">
        <v>230</v>
      </c>
      <c r="CP96" s="672"/>
      <c r="CQ96" s="49"/>
      <c r="CR96" s="419"/>
      <c r="CS96" s="487"/>
      <c r="CT96" s="575" t="s">
        <v>230</v>
      </c>
      <c r="CU96" s="456"/>
      <c r="CV96" s="49"/>
      <c r="CW96" s="453"/>
      <c r="CX96" s="455"/>
      <c r="CY96" s="631"/>
      <c r="CZ96" s="455"/>
      <c r="DA96" s="49"/>
      <c r="DB96" s="457"/>
      <c r="DC96" s="475"/>
      <c r="DD96" s="632"/>
      <c r="DE96" s="475"/>
      <c r="DF96" s="49"/>
      <c r="DG96" s="458"/>
      <c r="DH96" s="459"/>
      <c r="DI96" s="633"/>
      <c r="DJ96" s="459"/>
      <c r="DK96" s="49"/>
      <c r="DL96" s="620"/>
      <c r="DM96" s="637"/>
      <c r="DN96" s="637"/>
      <c r="DO96" s="637"/>
      <c r="DP96" s="49"/>
      <c r="DQ96" s="461"/>
      <c r="DR96" s="462"/>
      <c r="DS96" s="462"/>
      <c r="DT96" s="462"/>
      <c r="DU96" s="49"/>
      <c r="DV96" s="463"/>
      <c r="DW96" s="464"/>
      <c r="DX96" s="464"/>
      <c r="DY96" s="464"/>
      <c r="DZ96" s="49"/>
      <c r="EA96" s="465"/>
      <c r="EB96" s="466"/>
      <c r="EC96" s="426"/>
      <c r="ED96" s="456"/>
      <c r="EE96" s="47"/>
      <c r="EF96" s="16"/>
    </row>
    <row r="97" ht="17.25" customHeight="1">
      <c r="A97" s="16"/>
      <c r="B97" s="47"/>
      <c r="C97" s="170"/>
      <c r="D97" s="171"/>
      <c r="E97" s="49"/>
      <c r="F97" s="200"/>
      <c r="G97" s="200"/>
      <c r="H97" s="200" t="s">
        <v>230</v>
      </c>
      <c r="I97" s="200"/>
      <c r="J97" s="200"/>
      <c r="K97" s="200"/>
      <c r="L97" s="476"/>
      <c r="M97" s="200" t="s">
        <v>230</v>
      </c>
      <c r="N97" s="200"/>
      <c r="O97" s="200"/>
      <c r="P97" s="200"/>
      <c r="Q97" s="476"/>
      <c r="R97" s="200" t="s">
        <v>230</v>
      </c>
      <c r="S97" s="200"/>
      <c r="T97" s="200"/>
      <c r="U97" s="200"/>
      <c r="V97" s="476"/>
      <c r="W97" s="200" t="s">
        <v>230</v>
      </c>
      <c r="X97" s="200"/>
      <c r="Y97" s="200"/>
      <c r="Z97" s="200"/>
      <c r="AA97" s="476"/>
      <c r="AB97" s="200" t="s">
        <v>230</v>
      </c>
      <c r="AC97" s="200"/>
      <c r="AD97" s="200"/>
      <c r="AE97" s="200"/>
      <c r="AF97" s="200"/>
      <c r="AG97" s="200" t="s">
        <v>230</v>
      </c>
      <c r="AH97" s="200"/>
      <c r="AI97" s="200"/>
      <c r="AJ97" s="200"/>
      <c r="AK97" s="476"/>
      <c r="AL97" s="200" t="s">
        <v>230</v>
      </c>
      <c r="AM97" s="200"/>
      <c r="AN97" s="200"/>
      <c r="AO97" s="200"/>
      <c r="AP97" s="476"/>
      <c r="AQ97" s="200" t="s">
        <v>230</v>
      </c>
      <c r="AR97" s="200"/>
      <c r="AS97" s="200"/>
      <c r="AT97" s="200"/>
      <c r="AU97" s="425"/>
      <c r="AV97" s="545" t="s">
        <v>230</v>
      </c>
      <c r="AW97" s="425"/>
      <c r="AX97" s="49"/>
      <c r="AY97" s="296"/>
      <c r="AZ97" s="541"/>
      <c r="BA97" s="554" t="s">
        <v>230</v>
      </c>
      <c r="BB97" s="541"/>
      <c r="BC97" s="49"/>
      <c r="BD97" s="327"/>
      <c r="BE97" s="556"/>
      <c r="BF97" s="557" t="s">
        <v>230</v>
      </c>
      <c r="BG97" s="556"/>
      <c r="BH97" s="49"/>
      <c r="BI97" s="346"/>
      <c r="BJ97" s="558"/>
      <c r="BK97" s="587" t="s">
        <v>230</v>
      </c>
      <c r="BL97" s="558"/>
      <c r="BM97" s="49"/>
      <c r="BN97" s="429"/>
      <c r="BO97" s="485"/>
      <c r="BP97" s="596" t="s">
        <v>230</v>
      </c>
      <c r="BQ97" s="485"/>
      <c r="BR97" s="49"/>
      <c r="BS97" s="353"/>
      <c r="BT97" s="472"/>
      <c r="BU97" s="586" t="s">
        <v>230</v>
      </c>
      <c r="BV97" s="472"/>
      <c r="BW97" s="49"/>
      <c r="BX97" s="368"/>
      <c r="BY97" s="578"/>
      <c r="BZ97" s="593" t="s">
        <v>230</v>
      </c>
      <c r="CA97" s="578"/>
      <c r="CB97" s="49"/>
      <c r="CC97" s="388"/>
      <c r="CD97" s="488"/>
      <c r="CE97" s="595" t="s">
        <v>230</v>
      </c>
      <c r="CF97" s="595"/>
      <c r="CG97" s="49"/>
      <c r="CH97" s="402"/>
      <c r="CI97" s="439"/>
      <c r="CJ97" s="426" t="s">
        <v>230</v>
      </c>
      <c r="CK97" s="439"/>
      <c r="CL97" s="49"/>
      <c r="CM97" s="402"/>
      <c r="CN97" s="439"/>
      <c r="CO97" s="426" t="s">
        <v>230</v>
      </c>
      <c r="CP97" s="672"/>
      <c r="CQ97" s="49"/>
      <c r="CR97" s="419"/>
      <c r="CS97" s="487"/>
      <c r="CT97" s="575" t="s">
        <v>230</v>
      </c>
      <c r="CU97" s="729"/>
      <c r="CV97" s="49"/>
      <c r="CW97" s="453"/>
      <c r="CX97" s="455"/>
      <c r="CY97" s="631"/>
      <c r="CZ97" s="455"/>
      <c r="DA97" s="49"/>
      <c r="DB97" s="457"/>
      <c r="DC97" s="475"/>
      <c r="DD97" s="632"/>
      <c r="DE97" s="475"/>
      <c r="DF97" s="49"/>
      <c r="DG97" s="458"/>
      <c r="DH97" s="459"/>
      <c r="DI97" s="633"/>
      <c r="DJ97" s="459"/>
      <c r="DK97" s="49"/>
      <c r="DL97" s="620"/>
      <c r="DM97" s="637"/>
      <c r="DN97" s="637"/>
      <c r="DO97" s="637"/>
      <c r="DP97" s="49"/>
      <c r="DQ97" s="461"/>
      <c r="DR97" s="462"/>
      <c r="DS97" s="462"/>
      <c r="DT97" s="462"/>
      <c r="DU97" s="49"/>
      <c r="DV97" s="463"/>
      <c r="DW97" s="464"/>
      <c r="DX97" s="464"/>
      <c r="DY97" s="464"/>
      <c r="DZ97" s="49"/>
      <c r="EA97" s="465"/>
      <c r="EB97" s="466"/>
      <c r="EC97" s="426"/>
      <c r="ED97" s="456"/>
      <c r="EE97" s="47"/>
      <c r="EF97" s="16"/>
    </row>
    <row r="98" ht="17.25" customHeight="1">
      <c r="A98" s="16"/>
      <c r="B98" s="47"/>
      <c r="C98" s="170"/>
      <c r="D98" s="171"/>
      <c r="E98" s="49"/>
      <c r="F98" s="200"/>
      <c r="G98" s="200"/>
      <c r="H98" s="200" t="s">
        <v>230</v>
      </c>
      <c r="I98" s="200"/>
      <c r="J98" s="200"/>
      <c r="K98" s="200"/>
      <c r="L98" s="476"/>
      <c r="M98" s="200" t="s">
        <v>230</v>
      </c>
      <c r="N98" s="200"/>
      <c r="O98" s="200"/>
      <c r="P98" s="200"/>
      <c r="Q98" s="476"/>
      <c r="R98" s="200" t="s">
        <v>230</v>
      </c>
      <c r="S98" s="200"/>
      <c r="T98" s="200"/>
      <c r="U98" s="200"/>
      <c r="V98" s="476"/>
      <c r="W98" s="200" t="s">
        <v>230</v>
      </c>
      <c r="X98" s="200"/>
      <c r="Y98" s="200"/>
      <c r="Z98" s="200"/>
      <c r="AA98" s="476"/>
      <c r="AB98" s="200" t="s">
        <v>230</v>
      </c>
      <c r="AC98" s="200"/>
      <c r="AD98" s="200"/>
      <c r="AE98" s="200"/>
      <c r="AF98" s="200"/>
      <c r="AG98" s="200" t="s">
        <v>230</v>
      </c>
      <c r="AH98" s="200"/>
      <c r="AI98" s="200"/>
      <c r="AJ98" s="200"/>
      <c r="AK98" s="476"/>
      <c r="AL98" s="200" t="s">
        <v>230</v>
      </c>
      <c r="AM98" s="200"/>
      <c r="AN98" s="200"/>
      <c r="AO98" s="200"/>
      <c r="AP98" s="476"/>
      <c r="AQ98" s="200" t="s">
        <v>230</v>
      </c>
      <c r="AR98" s="200"/>
      <c r="AS98" s="200"/>
      <c r="AT98" s="200"/>
      <c r="AU98" s="425"/>
      <c r="AV98" s="545" t="s">
        <v>230</v>
      </c>
      <c r="AW98" s="425"/>
      <c r="AX98" s="49"/>
      <c r="AY98" s="296"/>
      <c r="AZ98" s="541"/>
      <c r="BA98" s="554" t="s">
        <v>230</v>
      </c>
      <c r="BB98" s="541"/>
      <c r="BC98" s="49"/>
      <c r="BD98" s="327"/>
      <c r="BE98" s="556"/>
      <c r="BF98" s="557" t="s">
        <v>230</v>
      </c>
      <c r="BG98" s="556"/>
      <c r="BH98" s="49"/>
      <c r="BI98" s="346"/>
      <c r="BJ98" s="558"/>
      <c r="BK98" s="587" t="s">
        <v>230</v>
      </c>
      <c r="BL98" s="558"/>
      <c r="BM98" s="49"/>
      <c r="BN98" s="429"/>
      <c r="BO98" s="485"/>
      <c r="BP98" s="596" t="s">
        <v>230</v>
      </c>
      <c r="BQ98" s="485"/>
      <c r="BR98" s="49"/>
      <c r="BS98" s="353"/>
      <c r="BT98" s="472"/>
      <c r="BU98" s="586" t="s">
        <v>230</v>
      </c>
      <c r="BV98" s="472"/>
      <c r="BW98" s="49"/>
      <c r="BX98" s="368"/>
      <c r="BY98" s="578"/>
      <c r="BZ98" s="593" t="s">
        <v>230</v>
      </c>
      <c r="CA98" s="578"/>
      <c r="CB98" s="49"/>
      <c r="CC98" s="388"/>
      <c r="CD98" s="488"/>
      <c r="CE98" s="595" t="s">
        <v>230</v>
      </c>
      <c r="CF98" s="595"/>
      <c r="CG98" s="49"/>
      <c r="CH98" s="402"/>
      <c r="CI98" s="439"/>
      <c r="CJ98" s="426" t="s">
        <v>230</v>
      </c>
      <c r="CK98" s="439"/>
      <c r="CL98" s="49"/>
      <c r="CM98" s="402"/>
      <c r="CN98" s="439"/>
      <c r="CO98" s="426" t="s">
        <v>230</v>
      </c>
      <c r="CP98" s="672"/>
      <c r="CQ98" s="49"/>
      <c r="CR98" s="419"/>
      <c r="CS98" s="487"/>
      <c r="CT98" s="575" t="s">
        <v>230</v>
      </c>
      <c r="CU98" s="729"/>
      <c r="CV98" s="49"/>
      <c r="CW98" s="453"/>
      <c r="CX98" s="455"/>
      <c r="CY98" s="631"/>
      <c r="CZ98" s="455"/>
      <c r="DA98" s="49"/>
      <c r="DB98" s="457"/>
      <c r="DC98" s="475"/>
      <c r="DD98" s="632"/>
      <c r="DE98" s="475"/>
      <c r="DF98" s="49"/>
      <c r="DG98" s="458"/>
      <c r="DH98" s="459"/>
      <c r="DI98" s="633"/>
      <c r="DJ98" s="459"/>
      <c r="DK98" s="49"/>
      <c r="DL98" s="620"/>
      <c r="DM98" s="637"/>
      <c r="DN98" s="637"/>
      <c r="DO98" s="637"/>
      <c r="DP98" s="49"/>
      <c r="DQ98" s="461"/>
      <c r="DR98" s="462"/>
      <c r="DS98" s="462"/>
      <c r="DT98" s="462"/>
      <c r="DU98" s="49"/>
      <c r="DV98" s="463"/>
      <c r="DW98" s="464"/>
      <c r="DX98" s="464"/>
      <c r="DY98" s="464"/>
      <c r="DZ98" s="49"/>
      <c r="EA98" s="465"/>
      <c r="EB98" s="466"/>
      <c r="EC98" s="426"/>
      <c r="ED98" s="456"/>
      <c r="EE98" s="47"/>
      <c r="EF98" s="16"/>
    </row>
    <row r="99" ht="17.25" customHeight="1">
      <c r="A99" s="16"/>
      <c r="B99" s="47"/>
      <c r="C99" s="170"/>
      <c r="D99" s="171"/>
      <c r="E99" s="49"/>
      <c r="F99" s="200"/>
      <c r="G99" s="200"/>
      <c r="H99" s="200" t="s">
        <v>230</v>
      </c>
      <c r="I99" s="200"/>
      <c r="J99" s="200"/>
      <c r="K99" s="200"/>
      <c r="L99" s="476"/>
      <c r="M99" s="200" t="s">
        <v>230</v>
      </c>
      <c r="N99" s="200"/>
      <c r="O99" s="200"/>
      <c r="P99" s="200"/>
      <c r="Q99" s="476"/>
      <c r="R99" s="200" t="s">
        <v>230</v>
      </c>
      <c r="S99" s="200"/>
      <c r="T99" s="200"/>
      <c r="U99" s="200"/>
      <c r="V99" s="476"/>
      <c r="W99" s="200" t="s">
        <v>230</v>
      </c>
      <c r="X99" s="200"/>
      <c r="Y99" s="200"/>
      <c r="Z99" s="200"/>
      <c r="AA99" s="476"/>
      <c r="AB99" s="200" t="s">
        <v>230</v>
      </c>
      <c r="AC99" s="200"/>
      <c r="AD99" s="200"/>
      <c r="AE99" s="200"/>
      <c r="AF99" s="200"/>
      <c r="AG99" s="200" t="s">
        <v>230</v>
      </c>
      <c r="AH99" s="200"/>
      <c r="AI99" s="200"/>
      <c r="AJ99" s="200"/>
      <c r="AK99" s="476"/>
      <c r="AL99" s="200" t="s">
        <v>230</v>
      </c>
      <c r="AM99" s="200"/>
      <c r="AN99" s="200"/>
      <c r="AO99" s="200"/>
      <c r="AP99" s="476"/>
      <c r="AQ99" s="200" t="s">
        <v>230</v>
      </c>
      <c r="AR99" s="200"/>
      <c r="AS99" s="200"/>
      <c r="AT99" s="200"/>
      <c r="AU99" s="425"/>
      <c r="AV99" s="545" t="s">
        <v>230</v>
      </c>
      <c r="AW99" s="425"/>
      <c r="AX99" s="49"/>
      <c r="AY99" s="296"/>
      <c r="AZ99" s="541"/>
      <c r="BA99" s="554" t="s">
        <v>230</v>
      </c>
      <c r="BB99" s="541"/>
      <c r="BC99" s="49"/>
      <c r="BD99" s="327"/>
      <c r="BE99" s="556"/>
      <c r="BF99" s="557" t="s">
        <v>230</v>
      </c>
      <c r="BG99" s="556"/>
      <c r="BH99" s="49"/>
      <c r="BI99" s="346"/>
      <c r="BJ99" s="558"/>
      <c r="BK99" s="587" t="s">
        <v>230</v>
      </c>
      <c r="BL99" s="558"/>
      <c r="BM99" s="49"/>
      <c r="BN99" s="429"/>
      <c r="BO99" s="485"/>
      <c r="BP99" s="596" t="s">
        <v>230</v>
      </c>
      <c r="BQ99" s="485"/>
      <c r="BR99" s="49"/>
      <c r="BS99" s="353"/>
      <c r="BT99" s="472"/>
      <c r="BU99" s="586" t="s">
        <v>230</v>
      </c>
      <c r="BV99" s="472"/>
      <c r="BW99" s="49"/>
      <c r="BX99" s="368"/>
      <c r="BY99" s="578"/>
      <c r="BZ99" s="593" t="s">
        <v>230</v>
      </c>
      <c r="CA99" s="578"/>
      <c r="CB99" s="49"/>
      <c r="CC99" s="388"/>
      <c r="CD99" s="488"/>
      <c r="CE99" s="595" t="s">
        <v>230</v>
      </c>
      <c r="CF99" s="595"/>
      <c r="CG99" s="49"/>
      <c r="CH99" s="402"/>
      <c r="CI99" s="439"/>
      <c r="CJ99" s="426" t="s">
        <v>230</v>
      </c>
      <c r="CK99" s="439"/>
      <c r="CL99" s="49"/>
      <c r="CM99" s="402"/>
      <c r="CN99" s="439"/>
      <c r="CO99" s="426" t="s">
        <v>230</v>
      </c>
      <c r="CP99" s="672"/>
      <c r="CQ99" s="49"/>
      <c r="CR99" s="419"/>
      <c r="CS99" s="487"/>
      <c r="CT99" s="575" t="s">
        <v>230</v>
      </c>
      <c r="CU99" s="729"/>
      <c r="CV99" s="49"/>
      <c r="CW99" s="453"/>
      <c r="CX99" s="455"/>
      <c r="CY99" s="631"/>
      <c r="CZ99" s="455"/>
      <c r="DA99" s="49"/>
      <c r="DB99" s="457"/>
      <c r="DC99" s="475"/>
      <c r="DD99" s="632"/>
      <c r="DE99" s="475"/>
      <c r="DF99" s="49"/>
      <c r="DG99" s="458"/>
      <c r="DH99" s="459"/>
      <c r="DI99" s="633"/>
      <c r="DJ99" s="459"/>
      <c r="DK99" s="49"/>
      <c r="DL99" s="620"/>
      <c r="DM99" s="637"/>
      <c r="DN99" s="637"/>
      <c r="DO99" s="637"/>
      <c r="DP99" s="49"/>
      <c r="DQ99" s="461"/>
      <c r="DR99" s="462"/>
      <c r="DS99" s="462"/>
      <c r="DT99" s="462"/>
      <c r="DU99" s="49"/>
      <c r="DV99" s="463"/>
      <c r="DW99" s="464"/>
      <c r="DX99" s="464"/>
      <c r="DY99" s="464"/>
      <c r="DZ99" s="49"/>
      <c r="EA99" s="465"/>
      <c r="EB99" s="466"/>
      <c r="EC99" s="426"/>
      <c r="ED99" s="456"/>
      <c r="EE99" s="47"/>
      <c r="EF99" s="16"/>
    </row>
    <row r="100" ht="17.25" customHeight="1">
      <c r="A100" s="16"/>
      <c r="B100" s="47"/>
      <c r="C100" s="170"/>
      <c r="D100" s="171"/>
      <c r="E100" s="49"/>
      <c r="F100" s="200"/>
      <c r="G100" s="200"/>
      <c r="H100" s="200" t="s">
        <v>230</v>
      </c>
      <c r="I100" s="200"/>
      <c r="J100" s="200"/>
      <c r="K100" s="200"/>
      <c r="L100" s="476"/>
      <c r="M100" s="200" t="s">
        <v>230</v>
      </c>
      <c r="N100" s="200"/>
      <c r="O100" s="200"/>
      <c r="P100" s="200"/>
      <c r="Q100" s="476"/>
      <c r="R100" s="200" t="s">
        <v>230</v>
      </c>
      <c r="S100" s="200"/>
      <c r="T100" s="200"/>
      <c r="U100" s="200"/>
      <c r="V100" s="476"/>
      <c r="W100" s="200" t="s">
        <v>230</v>
      </c>
      <c r="X100" s="200"/>
      <c r="Y100" s="200"/>
      <c r="Z100" s="200"/>
      <c r="AA100" s="476"/>
      <c r="AB100" s="200" t="s">
        <v>230</v>
      </c>
      <c r="AC100" s="200"/>
      <c r="AD100" s="200"/>
      <c r="AE100" s="200"/>
      <c r="AF100" s="200"/>
      <c r="AG100" s="200" t="s">
        <v>230</v>
      </c>
      <c r="AH100" s="200"/>
      <c r="AI100" s="200"/>
      <c r="AJ100" s="200"/>
      <c r="AK100" s="476"/>
      <c r="AL100" s="200" t="s">
        <v>230</v>
      </c>
      <c r="AM100" s="200"/>
      <c r="AN100" s="200"/>
      <c r="AO100" s="200"/>
      <c r="AP100" s="476"/>
      <c r="AQ100" s="200" t="s">
        <v>230</v>
      </c>
      <c r="AR100" s="200"/>
      <c r="AS100" s="200"/>
      <c r="AT100" s="200"/>
      <c r="AU100" s="425"/>
      <c r="AV100" s="545" t="s">
        <v>230</v>
      </c>
      <c r="AW100" s="425"/>
      <c r="AX100" s="49"/>
      <c r="AY100" s="296"/>
      <c r="AZ100" s="541"/>
      <c r="BA100" s="554" t="s">
        <v>230</v>
      </c>
      <c r="BB100" s="541"/>
      <c r="BC100" s="49"/>
      <c r="BD100" s="327"/>
      <c r="BE100" s="556"/>
      <c r="BF100" s="557" t="s">
        <v>230</v>
      </c>
      <c r="BG100" s="556"/>
      <c r="BH100" s="49"/>
      <c r="BI100" s="346"/>
      <c r="BJ100" s="558"/>
      <c r="BK100" s="587" t="s">
        <v>230</v>
      </c>
      <c r="BL100" s="558"/>
      <c r="BM100" s="49"/>
      <c r="BN100" s="429"/>
      <c r="BO100" s="485"/>
      <c r="BP100" s="596" t="s">
        <v>230</v>
      </c>
      <c r="BQ100" s="485"/>
      <c r="BR100" s="49"/>
      <c r="BS100" s="353"/>
      <c r="BT100" s="472"/>
      <c r="BU100" s="586" t="s">
        <v>230</v>
      </c>
      <c r="BV100" s="472"/>
      <c r="BW100" s="49"/>
      <c r="BX100" s="368"/>
      <c r="BY100" s="578"/>
      <c r="BZ100" s="593" t="s">
        <v>230</v>
      </c>
      <c r="CA100" s="578"/>
      <c r="CB100" s="49"/>
      <c r="CC100" s="388"/>
      <c r="CD100" s="488"/>
      <c r="CE100" s="595" t="s">
        <v>230</v>
      </c>
      <c r="CF100" s="595"/>
      <c r="CG100" s="49"/>
      <c r="CH100" s="402"/>
      <c r="CI100" s="439"/>
      <c r="CJ100" s="426" t="s">
        <v>230</v>
      </c>
      <c r="CK100" s="439"/>
      <c r="CL100" s="49"/>
      <c r="CM100" s="402"/>
      <c r="CN100" s="439"/>
      <c r="CO100" s="426" t="s">
        <v>230</v>
      </c>
      <c r="CP100" s="672"/>
      <c r="CQ100" s="49"/>
      <c r="CR100" s="419"/>
      <c r="CS100" s="487"/>
      <c r="CT100" s="575" t="s">
        <v>230</v>
      </c>
      <c r="CU100" s="729"/>
      <c r="CV100" s="49"/>
      <c r="CW100" s="453"/>
      <c r="CX100" s="455"/>
      <c r="CY100" s="631"/>
      <c r="CZ100" s="455"/>
      <c r="DA100" s="49"/>
      <c r="DB100" s="457"/>
      <c r="DC100" s="475"/>
      <c r="DD100" s="632"/>
      <c r="DE100" s="475"/>
      <c r="DF100" s="49"/>
      <c r="DG100" s="458"/>
      <c r="DH100" s="459"/>
      <c r="DI100" s="633"/>
      <c r="DJ100" s="459"/>
      <c r="DK100" s="49"/>
      <c r="DL100" s="620"/>
      <c r="DM100" s="637"/>
      <c r="DN100" s="637"/>
      <c r="DO100" s="637"/>
      <c r="DP100" s="49"/>
      <c r="DQ100" s="461"/>
      <c r="DR100" s="462"/>
      <c r="DS100" s="462"/>
      <c r="DT100" s="462"/>
      <c r="DU100" s="49"/>
      <c r="DV100" s="463"/>
      <c r="DW100" s="464"/>
      <c r="DX100" s="464"/>
      <c r="DY100" s="464"/>
      <c r="DZ100" s="49"/>
      <c r="EA100" s="465"/>
      <c r="EB100" s="466"/>
      <c r="EC100" s="426"/>
      <c r="ED100" s="456"/>
      <c r="EE100" s="47"/>
      <c r="EF100" s="16"/>
    </row>
    <row r="101" ht="17.25" customHeight="1">
      <c r="A101" s="16"/>
      <c r="B101" s="47"/>
      <c r="C101" s="170"/>
      <c r="D101" s="171"/>
      <c r="E101" s="49"/>
      <c r="F101" s="200"/>
      <c r="G101" s="200"/>
      <c r="H101" s="200" t="s">
        <v>230</v>
      </c>
      <c r="I101" s="200"/>
      <c r="J101" s="200"/>
      <c r="K101" s="200"/>
      <c r="L101" s="476"/>
      <c r="M101" s="200" t="s">
        <v>230</v>
      </c>
      <c r="N101" s="200"/>
      <c r="O101" s="200"/>
      <c r="P101" s="200"/>
      <c r="Q101" s="476"/>
      <c r="R101" s="200" t="s">
        <v>230</v>
      </c>
      <c r="S101" s="200"/>
      <c r="T101" s="200"/>
      <c r="U101" s="200"/>
      <c r="V101" s="476"/>
      <c r="W101" s="200" t="s">
        <v>230</v>
      </c>
      <c r="X101" s="200"/>
      <c r="Y101" s="200"/>
      <c r="Z101" s="200"/>
      <c r="AA101" s="476"/>
      <c r="AB101" s="200" t="s">
        <v>230</v>
      </c>
      <c r="AC101" s="200"/>
      <c r="AD101" s="200"/>
      <c r="AE101" s="200"/>
      <c r="AF101" s="200"/>
      <c r="AG101" s="200" t="s">
        <v>230</v>
      </c>
      <c r="AH101" s="200"/>
      <c r="AI101" s="200"/>
      <c r="AJ101" s="200"/>
      <c r="AK101" s="476"/>
      <c r="AL101" s="200" t="s">
        <v>230</v>
      </c>
      <c r="AM101" s="200"/>
      <c r="AN101" s="200"/>
      <c r="AO101" s="200"/>
      <c r="AP101" s="476"/>
      <c r="AQ101" s="200" t="s">
        <v>230</v>
      </c>
      <c r="AR101" s="200"/>
      <c r="AS101" s="200"/>
      <c r="AT101" s="200"/>
      <c r="AU101" s="425"/>
      <c r="AV101" s="545" t="s">
        <v>230</v>
      </c>
      <c r="AW101" s="425"/>
      <c r="AX101" s="49"/>
      <c r="AY101" s="296"/>
      <c r="AZ101" s="541"/>
      <c r="BA101" s="554" t="s">
        <v>230</v>
      </c>
      <c r="BB101" s="541"/>
      <c r="BC101" s="49"/>
      <c r="BD101" s="327"/>
      <c r="BE101" s="556"/>
      <c r="BF101" s="557" t="s">
        <v>230</v>
      </c>
      <c r="BG101" s="556"/>
      <c r="BH101" s="49"/>
      <c r="BI101" s="346"/>
      <c r="BJ101" s="558"/>
      <c r="BK101" s="587" t="s">
        <v>230</v>
      </c>
      <c r="BL101" s="558"/>
      <c r="BM101" s="49"/>
      <c r="BN101" s="429"/>
      <c r="BO101" s="485"/>
      <c r="BP101" s="596" t="s">
        <v>230</v>
      </c>
      <c r="BQ101" s="485"/>
      <c r="BR101" s="49"/>
      <c r="BS101" s="353"/>
      <c r="BT101" s="472"/>
      <c r="BU101" s="586" t="s">
        <v>230</v>
      </c>
      <c r="BV101" s="472"/>
      <c r="BW101" s="49"/>
      <c r="BX101" s="368"/>
      <c r="BY101" s="578"/>
      <c r="BZ101" s="593" t="s">
        <v>230</v>
      </c>
      <c r="CA101" s="578"/>
      <c r="CB101" s="49"/>
      <c r="CC101" s="388"/>
      <c r="CD101" s="488"/>
      <c r="CE101" s="595" t="s">
        <v>230</v>
      </c>
      <c r="CF101" s="595"/>
      <c r="CG101" s="49"/>
      <c r="CH101" s="402"/>
      <c r="CI101" s="439"/>
      <c r="CJ101" s="426" t="s">
        <v>230</v>
      </c>
      <c r="CK101" s="439"/>
      <c r="CL101" s="49"/>
      <c r="CM101" s="402"/>
      <c r="CN101" s="439"/>
      <c r="CO101" s="426" t="s">
        <v>230</v>
      </c>
      <c r="CP101" s="672"/>
      <c r="CQ101" s="49"/>
      <c r="CR101" s="419"/>
      <c r="CS101" s="487"/>
      <c r="CT101" s="575" t="s">
        <v>230</v>
      </c>
      <c r="CU101" s="729"/>
      <c r="CV101" s="49"/>
      <c r="CW101" s="453"/>
      <c r="CX101" s="455"/>
      <c r="CY101" s="631"/>
      <c r="CZ101" s="455"/>
      <c r="DA101" s="49"/>
      <c r="DB101" s="457"/>
      <c r="DC101" s="475"/>
      <c r="DD101" s="632"/>
      <c r="DE101" s="475"/>
      <c r="DF101" s="49"/>
      <c r="DG101" s="458"/>
      <c r="DH101" s="459"/>
      <c r="DI101" s="633"/>
      <c r="DJ101" s="459"/>
      <c r="DK101" s="49"/>
      <c r="DL101" s="620"/>
      <c r="DM101" s="637"/>
      <c r="DN101" s="637"/>
      <c r="DO101" s="637"/>
      <c r="DP101" s="49"/>
      <c r="DQ101" s="461"/>
      <c r="DR101" s="462"/>
      <c r="DS101" s="462"/>
      <c r="DT101" s="462"/>
      <c r="DU101" s="49"/>
      <c r="DV101" s="463"/>
      <c r="DW101" s="464"/>
      <c r="DX101" s="464"/>
      <c r="DY101" s="464"/>
      <c r="DZ101" s="49"/>
      <c r="EA101" s="465"/>
      <c r="EB101" s="466"/>
      <c r="EC101" s="426"/>
      <c r="ED101" s="456"/>
      <c r="EE101" s="47"/>
      <c r="EF101" s="16"/>
    </row>
    <row r="102" ht="17.25" customHeight="1">
      <c r="A102" s="16"/>
      <c r="B102" s="47"/>
      <c r="C102" s="170"/>
      <c r="D102" s="171"/>
      <c r="E102" s="49"/>
      <c r="F102" s="200"/>
      <c r="G102" s="200"/>
      <c r="H102" s="200" t="s">
        <v>230</v>
      </c>
      <c r="I102" s="200"/>
      <c r="J102" s="200"/>
      <c r="K102" s="200"/>
      <c r="L102" s="476"/>
      <c r="M102" s="200" t="s">
        <v>230</v>
      </c>
      <c r="N102" s="200"/>
      <c r="O102" s="200"/>
      <c r="P102" s="200"/>
      <c r="Q102" s="476"/>
      <c r="R102" s="200" t="s">
        <v>230</v>
      </c>
      <c r="S102" s="200"/>
      <c r="T102" s="200"/>
      <c r="U102" s="200"/>
      <c r="V102" s="476"/>
      <c r="W102" s="200" t="s">
        <v>230</v>
      </c>
      <c r="X102" s="200"/>
      <c r="Y102" s="200"/>
      <c r="Z102" s="200"/>
      <c r="AA102" s="476"/>
      <c r="AB102" s="200" t="s">
        <v>230</v>
      </c>
      <c r="AC102" s="200"/>
      <c r="AD102" s="200"/>
      <c r="AE102" s="200"/>
      <c r="AF102" s="200"/>
      <c r="AG102" s="200" t="s">
        <v>230</v>
      </c>
      <c r="AH102" s="200"/>
      <c r="AI102" s="200"/>
      <c r="AJ102" s="200"/>
      <c r="AK102" s="476"/>
      <c r="AL102" s="200" t="s">
        <v>230</v>
      </c>
      <c r="AM102" s="200"/>
      <c r="AN102" s="200"/>
      <c r="AO102" s="200"/>
      <c r="AP102" s="476"/>
      <c r="AQ102" s="200" t="s">
        <v>230</v>
      </c>
      <c r="AR102" s="200"/>
      <c r="AS102" s="200"/>
      <c r="AT102" s="200"/>
      <c r="AU102" s="425"/>
      <c r="AV102" s="545" t="s">
        <v>230</v>
      </c>
      <c r="AW102" s="425"/>
      <c r="AX102" s="49"/>
      <c r="AY102" s="296"/>
      <c r="AZ102" s="541"/>
      <c r="BA102" s="554" t="s">
        <v>230</v>
      </c>
      <c r="BB102" s="541"/>
      <c r="BC102" s="49"/>
      <c r="BD102" s="327"/>
      <c r="BE102" s="556"/>
      <c r="BF102" s="557" t="s">
        <v>230</v>
      </c>
      <c r="BG102" s="556"/>
      <c r="BH102" s="49"/>
      <c r="BI102" s="346"/>
      <c r="BJ102" s="558"/>
      <c r="BK102" s="587" t="s">
        <v>230</v>
      </c>
      <c r="BL102" s="558"/>
      <c r="BM102" s="49"/>
      <c r="BN102" s="429"/>
      <c r="BO102" s="485"/>
      <c r="BP102" s="596" t="s">
        <v>230</v>
      </c>
      <c r="BQ102" s="485"/>
      <c r="BR102" s="49"/>
      <c r="BS102" s="353"/>
      <c r="BT102" s="472"/>
      <c r="BU102" s="586" t="s">
        <v>230</v>
      </c>
      <c r="BV102" s="472"/>
      <c r="BW102" s="49"/>
      <c r="BX102" s="368"/>
      <c r="BY102" s="578"/>
      <c r="BZ102" s="593" t="s">
        <v>230</v>
      </c>
      <c r="CA102" s="578"/>
      <c r="CB102" s="49"/>
      <c r="CC102" s="388"/>
      <c r="CD102" s="488"/>
      <c r="CE102" s="595" t="s">
        <v>230</v>
      </c>
      <c r="CF102" s="595"/>
      <c r="CG102" s="49"/>
      <c r="CH102" s="402"/>
      <c r="CI102" s="439"/>
      <c r="CJ102" s="426" t="s">
        <v>230</v>
      </c>
      <c r="CK102" s="439"/>
      <c r="CL102" s="49"/>
      <c r="CM102" s="402"/>
      <c r="CN102" s="439"/>
      <c r="CO102" s="426" t="s">
        <v>230</v>
      </c>
      <c r="CP102" s="672"/>
      <c r="CQ102" s="49"/>
      <c r="CR102" s="419"/>
      <c r="CS102" s="487"/>
      <c r="CT102" s="575" t="s">
        <v>230</v>
      </c>
      <c r="CU102" s="729"/>
      <c r="CV102" s="49"/>
      <c r="CW102" s="453"/>
      <c r="CX102" s="455"/>
      <c r="CY102" s="631"/>
      <c r="CZ102" s="455"/>
      <c r="DA102" s="49"/>
      <c r="DB102" s="457"/>
      <c r="DC102" s="475"/>
      <c r="DD102" s="632"/>
      <c r="DE102" s="475"/>
      <c r="DF102" s="49"/>
      <c r="DG102" s="458"/>
      <c r="DH102" s="459"/>
      <c r="DI102" s="633"/>
      <c r="DJ102" s="459"/>
      <c r="DK102" s="49"/>
      <c r="DL102" s="620"/>
      <c r="DM102" s="637"/>
      <c r="DN102" s="637"/>
      <c r="DO102" s="637"/>
      <c r="DP102" s="49"/>
      <c r="DQ102" s="461"/>
      <c r="DR102" s="462"/>
      <c r="DS102" s="462"/>
      <c r="DT102" s="462"/>
      <c r="DU102" s="49"/>
      <c r="DV102" s="463"/>
      <c r="DW102" s="464"/>
      <c r="DX102" s="464"/>
      <c r="DY102" s="464"/>
      <c r="DZ102" s="49"/>
      <c r="EA102" s="465"/>
      <c r="EB102" s="466"/>
      <c r="EC102" s="426"/>
      <c r="ED102" s="456"/>
      <c r="EE102" s="47"/>
      <c r="EF102" s="16"/>
    </row>
    <row r="103" ht="17.25" customHeight="1">
      <c r="A103" s="16"/>
      <c r="B103" s="47"/>
      <c r="C103" s="170"/>
      <c r="D103" s="171"/>
      <c r="E103" s="49"/>
      <c r="F103" s="200"/>
      <c r="G103" s="200"/>
      <c r="H103" s="200" t="s">
        <v>230</v>
      </c>
      <c r="I103" s="200"/>
      <c r="J103" s="200"/>
      <c r="K103" s="200"/>
      <c r="L103" s="476"/>
      <c r="M103" s="200" t="s">
        <v>230</v>
      </c>
      <c r="N103" s="200"/>
      <c r="O103" s="200"/>
      <c r="P103" s="200"/>
      <c r="Q103" s="476"/>
      <c r="R103" s="200" t="s">
        <v>230</v>
      </c>
      <c r="S103" s="200"/>
      <c r="T103" s="200"/>
      <c r="U103" s="200"/>
      <c r="V103" s="476"/>
      <c r="W103" s="200" t="s">
        <v>230</v>
      </c>
      <c r="X103" s="200"/>
      <c r="Y103" s="200"/>
      <c r="Z103" s="200"/>
      <c r="AA103" s="476"/>
      <c r="AB103" s="200" t="s">
        <v>230</v>
      </c>
      <c r="AC103" s="200"/>
      <c r="AD103" s="200"/>
      <c r="AE103" s="200"/>
      <c r="AF103" s="200"/>
      <c r="AG103" s="200" t="s">
        <v>230</v>
      </c>
      <c r="AH103" s="200"/>
      <c r="AI103" s="200"/>
      <c r="AJ103" s="200"/>
      <c r="AK103" s="476"/>
      <c r="AL103" s="200" t="s">
        <v>230</v>
      </c>
      <c r="AM103" s="200"/>
      <c r="AN103" s="200"/>
      <c r="AO103" s="200"/>
      <c r="AP103" s="476"/>
      <c r="AQ103" s="200" t="s">
        <v>230</v>
      </c>
      <c r="AR103" s="200"/>
      <c r="AS103" s="200"/>
      <c r="AT103" s="200"/>
      <c r="AU103" s="425"/>
      <c r="AV103" s="545" t="s">
        <v>230</v>
      </c>
      <c r="AW103" s="425"/>
      <c r="AX103" s="49"/>
      <c r="AY103" s="296"/>
      <c r="AZ103" s="541"/>
      <c r="BA103" s="554" t="s">
        <v>230</v>
      </c>
      <c r="BB103" s="541"/>
      <c r="BC103" s="49"/>
      <c r="BD103" s="327"/>
      <c r="BE103" s="556"/>
      <c r="BF103" s="557" t="s">
        <v>230</v>
      </c>
      <c r="BG103" s="556"/>
      <c r="BH103" s="49"/>
      <c r="BI103" s="346"/>
      <c r="BJ103" s="558"/>
      <c r="BK103" s="587" t="s">
        <v>230</v>
      </c>
      <c r="BL103" s="558"/>
      <c r="BM103" s="49"/>
      <c r="BN103" s="429"/>
      <c r="BO103" s="485"/>
      <c r="BP103" s="596" t="s">
        <v>230</v>
      </c>
      <c r="BQ103" s="485"/>
      <c r="BR103" s="49"/>
      <c r="BS103" s="353"/>
      <c r="BT103" s="472"/>
      <c r="BU103" s="586" t="s">
        <v>230</v>
      </c>
      <c r="BV103" s="472"/>
      <c r="BW103" s="49"/>
      <c r="BX103" s="368"/>
      <c r="BY103" s="578"/>
      <c r="BZ103" s="593" t="s">
        <v>230</v>
      </c>
      <c r="CA103" s="578"/>
      <c r="CB103" s="49"/>
      <c r="CC103" s="388"/>
      <c r="CD103" s="488"/>
      <c r="CE103" s="595" t="s">
        <v>230</v>
      </c>
      <c r="CF103" s="595"/>
      <c r="CG103" s="49"/>
      <c r="CH103" s="402"/>
      <c r="CI103" s="439"/>
      <c r="CJ103" s="426" t="s">
        <v>230</v>
      </c>
      <c r="CK103" s="439"/>
      <c r="CL103" s="49"/>
      <c r="CM103" s="402"/>
      <c r="CN103" s="439"/>
      <c r="CO103" s="426" t="s">
        <v>230</v>
      </c>
      <c r="CP103" s="672"/>
      <c r="CQ103" s="49"/>
      <c r="CR103" s="419"/>
      <c r="CS103" s="487"/>
      <c r="CT103" s="575" t="s">
        <v>230</v>
      </c>
      <c r="CU103" s="729"/>
      <c r="CV103" s="49"/>
      <c r="CW103" s="453"/>
      <c r="CX103" s="455"/>
      <c r="CY103" s="631"/>
      <c r="CZ103" s="455"/>
      <c r="DA103" s="49"/>
      <c r="DB103" s="457"/>
      <c r="DC103" s="475"/>
      <c r="DD103" s="632"/>
      <c r="DE103" s="475"/>
      <c r="DF103" s="49"/>
      <c r="DG103" s="458"/>
      <c r="DH103" s="459"/>
      <c r="DI103" s="633"/>
      <c r="DJ103" s="459"/>
      <c r="DK103" s="49"/>
      <c r="DL103" s="620"/>
      <c r="DM103" s="637"/>
      <c r="DN103" s="637"/>
      <c r="DO103" s="637"/>
      <c r="DP103" s="49"/>
      <c r="DQ103" s="461"/>
      <c r="DR103" s="462"/>
      <c r="DS103" s="462"/>
      <c r="DT103" s="462"/>
      <c r="DU103" s="49"/>
      <c r="DV103" s="463"/>
      <c r="DW103" s="464"/>
      <c r="DX103" s="464"/>
      <c r="DY103" s="464"/>
      <c r="DZ103" s="49"/>
      <c r="EA103" s="465"/>
      <c r="EB103" s="466"/>
      <c r="EC103" s="426"/>
      <c r="ED103" s="456"/>
      <c r="EE103" s="47"/>
      <c r="EF103" s="16"/>
    </row>
    <row r="104" ht="17.25" customHeight="1">
      <c r="A104" s="16"/>
      <c r="B104" s="47"/>
      <c r="C104" s="170"/>
      <c r="D104" s="171"/>
      <c r="E104" s="49"/>
      <c r="F104" s="200"/>
      <c r="G104" s="200"/>
      <c r="H104" s="200" t="s">
        <v>230</v>
      </c>
      <c r="I104" s="200"/>
      <c r="J104" s="200"/>
      <c r="K104" s="200"/>
      <c r="L104" s="476"/>
      <c r="M104" s="200" t="s">
        <v>230</v>
      </c>
      <c r="N104" s="200"/>
      <c r="O104" s="200"/>
      <c r="P104" s="200"/>
      <c r="Q104" s="476"/>
      <c r="R104" s="200" t="s">
        <v>230</v>
      </c>
      <c r="S104" s="200"/>
      <c r="T104" s="200"/>
      <c r="U104" s="200"/>
      <c r="V104" s="476"/>
      <c r="W104" s="200" t="s">
        <v>230</v>
      </c>
      <c r="X104" s="200"/>
      <c r="Y104" s="200"/>
      <c r="Z104" s="200"/>
      <c r="AA104" s="476"/>
      <c r="AB104" s="200" t="s">
        <v>230</v>
      </c>
      <c r="AC104" s="200"/>
      <c r="AD104" s="200"/>
      <c r="AE104" s="200"/>
      <c r="AF104" s="200"/>
      <c r="AG104" s="200" t="s">
        <v>230</v>
      </c>
      <c r="AH104" s="200"/>
      <c r="AI104" s="200"/>
      <c r="AJ104" s="200"/>
      <c r="AK104" s="476"/>
      <c r="AL104" s="200" t="s">
        <v>230</v>
      </c>
      <c r="AM104" s="200"/>
      <c r="AN104" s="200"/>
      <c r="AO104" s="200"/>
      <c r="AP104" s="476"/>
      <c r="AQ104" s="200" t="s">
        <v>230</v>
      </c>
      <c r="AR104" s="200"/>
      <c r="AS104" s="200"/>
      <c r="AT104" s="200"/>
      <c r="AU104" s="425"/>
      <c r="AV104" s="545" t="s">
        <v>230</v>
      </c>
      <c r="AW104" s="425"/>
      <c r="AX104" s="49"/>
      <c r="AY104" s="296"/>
      <c r="AZ104" s="541"/>
      <c r="BA104" s="554" t="s">
        <v>230</v>
      </c>
      <c r="BB104" s="541"/>
      <c r="BC104" s="49"/>
      <c r="BD104" s="327"/>
      <c r="BE104" s="556"/>
      <c r="BF104" s="557" t="s">
        <v>230</v>
      </c>
      <c r="BG104" s="556"/>
      <c r="BH104" s="49"/>
      <c r="BI104" s="346"/>
      <c r="BJ104" s="558"/>
      <c r="BK104" s="587" t="s">
        <v>230</v>
      </c>
      <c r="BL104" s="558"/>
      <c r="BM104" s="49"/>
      <c r="BN104" s="429"/>
      <c r="BO104" s="485"/>
      <c r="BP104" s="596" t="s">
        <v>230</v>
      </c>
      <c r="BQ104" s="485"/>
      <c r="BR104" s="49"/>
      <c r="BS104" s="353"/>
      <c r="BT104" s="472"/>
      <c r="BU104" s="586" t="s">
        <v>230</v>
      </c>
      <c r="BV104" s="472"/>
      <c r="BW104" s="49"/>
      <c r="BX104" s="368"/>
      <c r="BY104" s="578"/>
      <c r="BZ104" s="593" t="s">
        <v>230</v>
      </c>
      <c r="CA104" s="578"/>
      <c r="CB104" s="49"/>
      <c r="CC104" s="388"/>
      <c r="CD104" s="488"/>
      <c r="CE104" s="595" t="s">
        <v>230</v>
      </c>
      <c r="CF104" s="595"/>
      <c r="CG104" s="49"/>
      <c r="CH104" s="402"/>
      <c r="CI104" s="439"/>
      <c r="CJ104" s="426" t="s">
        <v>230</v>
      </c>
      <c r="CK104" s="439"/>
      <c r="CL104" s="49"/>
      <c r="CM104" s="402"/>
      <c r="CN104" s="439"/>
      <c r="CO104" s="426" t="s">
        <v>230</v>
      </c>
      <c r="CP104" s="672"/>
      <c r="CQ104" s="49"/>
      <c r="CR104" s="419"/>
      <c r="CS104" s="487"/>
      <c r="CT104" s="575" t="s">
        <v>230</v>
      </c>
      <c r="CU104" s="729"/>
      <c r="CV104" s="49"/>
      <c r="CW104" s="453"/>
      <c r="CX104" s="455"/>
      <c r="CY104" s="631"/>
      <c r="CZ104" s="455"/>
      <c r="DA104" s="49"/>
      <c r="DB104" s="457"/>
      <c r="DC104" s="475"/>
      <c r="DD104" s="632"/>
      <c r="DE104" s="475"/>
      <c r="DF104" s="49"/>
      <c r="DG104" s="458"/>
      <c r="DH104" s="459"/>
      <c r="DI104" s="633"/>
      <c r="DJ104" s="459"/>
      <c r="DK104" s="49"/>
      <c r="DL104" s="620"/>
      <c r="DM104" s="637"/>
      <c r="DN104" s="637"/>
      <c r="DO104" s="637"/>
      <c r="DP104" s="49"/>
      <c r="DQ104" s="461"/>
      <c r="DR104" s="462"/>
      <c r="DS104" s="462"/>
      <c r="DT104" s="462"/>
      <c r="DU104" s="49"/>
      <c r="DV104" s="463"/>
      <c r="DW104" s="464"/>
      <c r="DX104" s="464"/>
      <c r="DY104" s="464"/>
      <c r="DZ104" s="49"/>
      <c r="EA104" s="465"/>
      <c r="EB104" s="466"/>
      <c r="EC104" s="426"/>
      <c r="ED104" s="456"/>
      <c r="EE104" s="47"/>
      <c r="EF104" s="16"/>
    </row>
    <row r="105" ht="17.25" customHeight="1">
      <c r="A105" s="16"/>
      <c r="B105" s="47"/>
      <c r="C105" s="170"/>
      <c r="D105" s="171"/>
      <c r="E105" s="49"/>
      <c r="F105" s="200"/>
      <c r="G105" s="200"/>
      <c r="H105" s="200" t="s">
        <v>230</v>
      </c>
      <c r="I105" s="200"/>
      <c r="J105" s="200"/>
      <c r="K105" s="200"/>
      <c r="L105" s="476"/>
      <c r="M105" s="200" t="s">
        <v>230</v>
      </c>
      <c r="N105" s="200"/>
      <c r="O105" s="200"/>
      <c r="P105" s="200"/>
      <c r="Q105" s="476"/>
      <c r="R105" s="200" t="s">
        <v>230</v>
      </c>
      <c r="S105" s="200"/>
      <c r="T105" s="200"/>
      <c r="U105" s="200"/>
      <c r="V105" s="476"/>
      <c r="W105" s="200" t="s">
        <v>230</v>
      </c>
      <c r="X105" s="200"/>
      <c r="Y105" s="200"/>
      <c r="Z105" s="200"/>
      <c r="AA105" s="476"/>
      <c r="AB105" s="200" t="s">
        <v>230</v>
      </c>
      <c r="AC105" s="200"/>
      <c r="AD105" s="200"/>
      <c r="AE105" s="200"/>
      <c r="AF105" s="200"/>
      <c r="AG105" s="200" t="s">
        <v>230</v>
      </c>
      <c r="AH105" s="200"/>
      <c r="AI105" s="200"/>
      <c r="AJ105" s="200"/>
      <c r="AK105" s="476"/>
      <c r="AL105" s="200" t="s">
        <v>230</v>
      </c>
      <c r="AM105" s="200"/>
      <c r="AN105" s="200"/>
      <c r="AO105" s="200"/>
      <c r="AP105" s="476"/>
      <c r="AQ105" s="200" t="s">
        <v>230</v>
      </c>
      <c r="AR105" s="200"/>
      <c r="AS105" s="200"/>
      <c r="AT105" s="200"/>
      <c r="AU105" s="425"/>
      <c r="AV105" s="545" t="s">
        <v>230</v>
      </c>
      <c r="AW105" s="425"/>
      <c r="AX105" s="49"/>
      <c r="AY105" s="296"/>
      <c r="AZ105" s="541"/>
      <c r="BA105" s="554" t="s">
        <v>230</v>
      </c>
      <c r="BB105" s="541"/>
      <c r="BC105" s="49"/>
      <c r="BD105" s="327"/>
      <c r="BE105" s="556"/>
      <c r="BF105" s="557" t="s">
        <v>230</v>
      </c>
      <c r="BG105" s="556"/>
      <c r="BH105" s="49"/>
      <c r="BI105" s="346"/>
      <c r="BJ105" s="558"/>
      <c r="BK105" s="587" t="s">
        <v>230</v>
      </c>
      <c r="BL105" s="558"/>
      <c r="BM105" s="49"/>
      <c r="BN105" s="429"/>
      <c r="BO105" s="485"/>
      <c r="BP105" s="596" t="s">
        <v>230</v>
      </c>
      <c r="BQ105" s="485"/>
      <c r="BR105" s="49"/>
      <c r="BS105" s="353"/>
      <c r="BT105" s="472"/>
      <c r="BU105" s="586" t="s">
        <v>230</v>
      </c>
      <c r="BV105" s="472"/>
      <c r="BW105" s="49"/>
      <c r="BX105" s="368"/>
      <c r="BY105" s="578"/>
      <c r="BZ105" s="593" t="s">
        <v>230</v>
      </c>
      <c r="CA105" s="578"/>
      <c r="CB105" s="49"/>
      <c r="CC105" s="388"/>
      <c r="CD105" s="488"/>
      <c r="CE105" s="595" t="s">
        <v>230</v>
      </c>
      <c r="CF105" s="595"/>
      <c r="CG105" s="49"/>
      <c r="CH105" s="402"/>
      <c r="CI105" s="439"/>
      <c r="CJ105" s="426" t="s">
        <v>230</v>
      </c>
      <c r="CK105" s="439"/>
      <c r="CL105" s="49"/>
      <c r="CM105" s="402"/>
      <c r="CN105" s="439"/>
      <c r="CO105" s="426" t="s">
        <v>230</v>
      </c>
      <c r="CP105" s="672"/>
      <c r="CQ105" s="49"/>
      <c r="CR105" s="419"/>
      <c r="CS105" s="487"/>
      <c r="CT105" s="575" t="s">
        <v>230</v>
      </c>
      <c r="CU105" s="729"/>
      <c r="CV105" s="49"/>
      <c r="CW105" s="453"/>
      <c r="CX105" s="455"/>
      <c r="CY105" s="631"/>
      <c r="CZ105" s="455"/>
      <c r="DA105" s="49"/>
      <c r="DB105" s="457"/>
      <c r="DC105" s="475"/>
      <c r="DD105" s="632"/>
      <c r="DE105" s="475"/>
      <c r="DF105" s="49"/>
      <c r="DG105" s="458"/>
      <c r="DH105" s="459"/>
      <c r="DI105" s="633"/>
      <c r="DJ105" s="459"/>
      <c r="DK105" s="49"/>
      <c r="DL105" s="620"/>
      <c r="DM105" s="637"/>
      <c r="DN105" s="637"/>
      <c r="DO105" s="637"/>
      <c r="DP105" s="49"/>
      <c r="DQ105" s="461"/>
      <c r="DR105" s="462"/>
      <c r="DS105" s="462"/>
      <c r="DT105" s="462"/>
      <c r="DU105" s="49"/>
      <c r="DV105" s="463"/>
      <c r="DW105" s="464"/>
      <c r="DX105" s="464"/>
      <c r="DY105" s="464"/>
      <c r="DZ105" s="49"/>
      <c r="EA105" s="465"/>
      <c r="EB105" s="466"/>
      <c r="EC105" s="426"/>
      <c r="ED105" s="456"/>
      <c r="EE105" s="47"/>
      <c r="EF105" s="16"/>
    </row>
    <row r="106" ht="17.25" customHeight="1">
      <c r="A106" s="16"/>
      <c r="B106" s="47"/>
      <c r="C106" s="170"/>
      <c r="D106" s="171"/>
      <c r="E106" s="49"/>
      <c r="F106" s="200"/>
      <c r="G106" s="200"/>
      <c r="H106" s="200" t="s">
        <v>230</v>
      </c>
      <c r="I106" s="200"/>
      <c r="J106" s="200"/>
      <c r="K106" s="200"/>
      <c r="L106" s="476"/>
      <c r="M106" s="200" t="s">
        <v>230</v>
      </c>
      <c r="N106" s="200"/>
      <c r="O106" s="200"/>
      <c r="P106" s="200"/>
      <c r="Q106" s="476"/>
      <c r="R106" s="200" t="s">
        <v>230</v>
      </c>
      <c r="S106" s="200"/>
      <c r="T106" s="200"/>
      <c r="U106" s="200"/>
      <c r="V106" s="476"/>
      <c r="W106" s="200" t="s">
        <v>230</v>
      </c>
      <c r="X106" s="200"/>
      <c r="Y106" s="200"/>
      <c r="Z106" s="200"/>
      <c r="AA106" s="476"/>
      <c r="AB106" s="200" t="s">
        <v>230</v>
      </c>
      <c r="AC106" s="200"/>
      <c r="AD106" s="200"/>
      <c r="AE106" s="200"/>
      <c r="AF106" s="200"/>
      <c r="AG106" s="200" t="s">
        <v>230</v>
      </c>
      <c r="AH106" s="200"/>
      <c r="AI106" s="200"/>
      <c r="AJ106" s="200"/>
      <c r="AK106" s="476"/>
      <c r="AL106" s="200" t="s">
        <v>230</v>
      </c>
      <c r="AM106" s="200"/>
      <c r="AN106" s="200"/>
      <c r="AO106" s="200"/>
      <c r="AP106" s="476"/>
      <c r="AQ106" s="200" t="s">
        <v>230</v>
      </c>
      <c r="AR106" s="200"/>
      <c r="AS106" s="200"/>
      <c r="AT106" s="200"/>
      <c r="AU106" s="425"/>
      <c r="AV106" s="545" t="s">
        <v>230</v>
      </c>
      <c r="AW106" s="425"/>
      <c r="AX106" s="49"/>
      <c r="AY106" s="296"/>
      <c r="AZ106" s="541"/>
      <c r="BA106" s="554" t="s">
        <v>230</v>
      </c>
      <c r="BB106" s="541"/>
      <c r="BC106" s="49"/>
      <c r="BD106" s="327"/>
      <c r="BE106" s="556"/>
      <c r="BF106" s="557" t="s">
        <v>230</v>
      </c>
      <c r="BG106" s="556"/>
      <c r="BH106" s="49"/>
      <c r="BI106" s="346"/>
      <c r="BJ106" s="558"/>
      <c r="BK106" s="587" t="s">
        <v>230</v>
      </c>
      <c r="BL106" s="558"/>
      <c r="BM106" s="49"/>
      <c r="BN106" s="429"/>
      <c r="BO106" s="485"/>
      <c r="BP106" s="596" t="s">
        <v>230</v>
      </c>
      <c r="BQ106" s="485"/>
      <c r="BR106" s="49"/>
      <c r="BS106" s="353"/>
      <c r="BT106" s="472"/>
      <c r="BU106" s="586" t="s">
        <v>230</v>
      </c>
      <c r="BV106" s="472"/>
      <c r="BW106" s="49"/>
      <c r="BX106" s="368"/>
      <c r="BY106" s="578"/>
      <c r="BZ106" s="593" t="s">
        <v>230</v>
      </c>
      <c r="CA106" s="578"/>
      <c r="CB106" s="49"/>
      <c r="CC106" s="388"/>
      <c r="CD106" s="488"/>
      <c r="CE106" s="595" t="s">
        <v>230</v>
      </c>
      <c r="CF106" s="595"/>
      <c r="CG106" s="49"/>
      <c r="CH106" s="402"/>
      <c r="CI106" s="439"/>
      <c r="CJ106" s="426" t="s">
        <v>230</v>
      </c>
      <c r="CK106" s="439"/>
      <c r="CL106" s="49"/>
      <c r="CM106" s="402"/>
      <c r="CN106" s="439"/>
      <c r="CO106" s="426" t="s">
        <v>230</v>
      </c>
      <c r="CP106" s="672"/>
      <c r="CQ106" s="49"/>
      <c r="CR106" s="419"/>
      <c r="CS106" s="487"/>
      <c r="CT106" s="575" t="s">
        <v>230</v>
      </c>
      <c r="CU106" s="729"/>
      <c r="CV106" s="49"/>
      <c r="CW106" s="453"/>
      <c r="CX106" s="455"/>
      <c r="CY106" s="631"/>
      <c r="CZ106" s="455"/>
      <c r="DA106" s="49"/>
      <c r="DB106" s="457"/>
      <c r="DC106" s="475"/>
      <c r="DD106" s="632"/>
      <c r="DE106" s="475"/>
      <c r="DF106" s="49"/>
      <c r="DG106" s="458"/>
      <c r="DH106" s="459"/>
      <c r="DI106" s="633"/>
      <c r="DJ106" s="459"/>
      <c r="DK106" s="49"/>
      <c r="DL106" s="620"/>
      <c r="DM106" s="637"/>
      <c r="DN106" s="637"/>
      <c r="DO106" s="637"/>
      <c r="DP106" s="49"/>
      <c r="DQ106" s="461"/>
      <c r="DR106" s="462"/>
      <c r="DS106" s="462"/>
      <c r="DT106" s="462"/>
      <c r="DU106" s="49"/>
      <c r="DV106" s="463"/>
      <c r="DW106" s="464"/>
      <c r="DX106" s="464"/>
      <c r="DY106" s="464"/>
      <c r="DZ106" s="49"/>
      <c r="EA106" s="465"/>
      <c r="EB106" s="466"/>
      <c r="EC106" s="426"/>
      <c r="ED106" s="456"/>
      <c r="EE106" s="47"/>
      <c r="EF106" s="16"/>
    </row>
    <row r="107" ht="17.25" customHeight="1">
      <c r="A107" s="16"/>
      <c r="B107" s="47"/>
      <c r="C107" s="170"/>
      <c r="D107" s="171"/>
      <c r="E107" s="49"/>
      <c r="F107" s="200"/>
      <c r="G107" s="200"/>
      <c r="H107" s="200" t="s">
        <v>230</v>
      </c>
      <c r="I107" s="200"/>
      <c r="J107" s="200"/>
      <c r="K107" s="200"/>
      <c r="L107" s="476"/>
      <c r="M107" s="200" t="s">
        <v>230</v>
      </c>
      <c r="N107" s="200"/>
      <c r="O107" s="200"/>
      <c r="P107" s="200"/>
      <c r="Q107" s="476"/>
      <c r="R107" s="200" t="s">
        <v>230</v>
      </c>
      <c r="S107" s="200"/>
      <c r="T107" s="200"/>
      <c r="U107" s="200"/>
      <c r="V107" s="476"/>
      <c r="W107" s="200" t="s">
        <v>230</v>
      </c>
      <c r="X107" s="200"/>
      <c r="Y107" s="200"/>
      <c r="Z107" s="200"/>
      <c r="AA107" s="476"/>
      <c r="AB107" s="200" t="s">
        <v>230</v>
      </c>
      <c r="AC107" s="200"/>
      <c r="AD107" s="200"/>
      <c r="AE107" s="200"/>
      <c r="AF107" s="200"/>
      <c r="AG107" s="200" t="s">
        <v>230</v>
      </c>
      <c r="AH107" s="200"/>
      <c r="AI107" s="200"/>
      <c r="AJ107" s="200"/>
      <c r="AK107" s="476"/>
      <c r="AL107" s="200" t="s">
        <v>230</v>
      </c>
      <c r="AM107" s="200"/>
      <c r="AN107" s="200"/>
      <c r="AO107" s="200"/>
      <c r="AP107" s="476"/>
      <c r="AQ107" s="200" t="s">
        <v>230</v>
      </c>
      <c r="AR107" s="200"/>
      <c r="AS107" s="200"/>
      <c r="AT107" s="200"/>
      <c r="AU107" s="425"/>
      <c r="AV107" s="545" t="s">
        <v>230</v>
      </c>
      <c r="AW107" s="425"/>
      <c r="AX107" s="49"/>
      <c r="AY107" s="296"/>
      <c r="AZ107" s="541"/>
      <c r="BA107" s="554" t="s">
        <v>230</v>
      </c>
      <c r="BB107" s="541"/>
      <c r="BC107" s="49"/>
      <c r="BD107" s="327"/>
      <c r="BE107" s="556"/>
      <c r="BF107" s="557" t="s">
        <v>230</v>
      </c>
      <c r="BG107" s="556"/>
      <c r="BH107" s="49"/>
      <c r="BI107" s="346"/>
      <c r="BJ107" s="558"/>
      <c r="BK107" s="587" t="s">
        <v>230</v>
      </c>
      <c r="BL107" s="558"/>
      <c r="BM107" s="49"/>
      <c r="BN107" s="429"/>
      <c r="BO107" s="485"/>
      <c r="BP107" s="596" t="s">
        <v>230</v>
      </c>
      <c r="BQ107" s="485"/>
      <c r="BR107" s="49"/>
      <c r="BS107" s="353"/>
      <c r="BT107" s="472"/>
      <c r="BU107" s="586" t="s">
        <v>230</v>
      </c>
      <c r="BV107" s="472"/>
      <c r="BW107" s="49"/>
      <c r="BX107" s="368"/>
      <c r="BY107" s="578"/>
      <c r="BZ107" s="593" t="s">
        <v>230</v>
      </c>
      <c r="CA107" s="578"/>
      <c r="CB107" s="49"/>
      <c r="CC107" s="388"/>
      <c r="CD107" s="488"/>
      <c r="CE107" s="595" t="s">
        <v>230</v>
      </c>
      <c r="CF107" s="595"/>
      <c r="CG107" s="49"/>
      <c r="CH107" s="402"/>
      <c r="CI107" s="439"/>
      <c r="CJ107" s="426" t="s">
        <v>230</v>
      </c>
      <c r="CK107" s="439"/>
      <c r="CL107" s="49"/>
      <c r="CM107" s="402"/>
      <c r="CN107" s="439"/>
      <c r="CO107" s="426" t="s">
        <v>230</v>
      </c>
      <c r="CP107" s="672"/>
      <c r="CQ107" s="49"/>
      <c r="CR107" s="419"/>
      <c r="CS107" s="487"/>
      <c r="CT107" s="575" t="s">
        <v>230</v>
      </c>
      <c r="CU107" s="729"/>
      <c r="CV107" s="49"/>
      <c r="CW107" s="453"/>
      <c r="CX107" s="455"/>
      <c r="CY107" s="631"/>
      <c r="CZ107" s="455"/>
      <c r="DA107" s="49"/>
      <c r="DB107" s="457"/>
      <c r="DC107" s="475"/>
      <c r="DD107" s="632"/>
      <c r="DE107" s="475"/>
      <c r="DF107" s="49"/>
      <c r="DG107" s="458"/>
      <c r="DH107" s="459"/>
      <c r="DI107" s="633"/>
      <c r="DJ107" s="459"/>
      <c r="DK107" s="49"/>
      <c r="DL107" s="620"/>
      <c r="DM107" s="637"/>
      <c r="DN107" s="637"/>
      <c r="DO107" s="637"/>
      <c r="DP107" s="49"/>
      <c r="DQ107" s="461"/>
      <c r="DR107" s="462"/>
      <c r="DS107" s="462"/>
      <c r="DT107" s="462"/>
      <c r="DU107" s="49"/>
      <c r="DV107" s="463"/>
      <c r="DW107" s="464"/>
      <c r="DX107" s="464"/>
      <c r="DY107" s="464"/>
      <c r="DZ107" s="49"/>
      <c r="EA107" s="465"/>
      <c r="EB107" s="466"/>
      <c r="EC107" s="426"/>
      <c r="ED107" s="456"/>
      <c r="EE107" s="47"/>
      <c r="EF107" s="16"/>
    </row>
    <row r="108" ht="17.25" customHeight="1">
      <c r="A108" s="16"/>
      <c r="B108" s="47"/>
      <c r="C108" s="170"/>
      <c r="D108" s="171"/>
      <c r="E108" s="49"/>
      <c r="F108" s="200"/>
      <c r="G108" s="200"/>
      <c r="H108" s="200" t="s">
        <v>230</v>
      </c>
      <c r="I108" s="200"/>
      <c r="J108" s="200"/>
      <c r="K108" s="200"/>
      <c r="L108" s="476"/>
      <c r="M108" s="200" t="s">
        <v>230</v>
      </c>
      <c r="N108" s="200"/>
      <c r="O108" s="200"/>
      <c r="P108" s="200"/>
      <c r="Q108" s="476"/>
      <c r="R108" s="200" t="s">
        <v>230</v>
      </c>
      <c r="S108" s="200"/>
      <c r="T108" s="200"/>
      <c r="U108" s="200"/>
      <c r="V108" s="476"/>
      <c r="W108" s="200" t="s">
        <v>230</v>
      </c>
      <c r="X108" s="200"/>
      <c r="Y108" s="200"/>
      <c r="Z108" s="200"/>
      <c r="AA108" s="476"/>
      <c r="AB108" s="200" t="s">
        <v>230</v>
      </c>
      <c r="AC108" s="200"/>
      <c r="AD108" s="200"/>
      <c r="AE108" s="200"/>
      <c r="AF108" s="200"/>
      <c r="AG108" s="200" t="s">
        <v>230</v>
      </c>
      <c r="AH108" s="200"/>
      <c r="AI108" s="200"/>
      <c r="AJ108" s="200"/>
      <c r="AK108" s="476"/>
      <c r="AL108" s="200" t="s">
        <v>230</v>
      </c>
      <c r="AM108" s="200"/>
      <c r="AN108" s="200"/>
      <c r="AO108" s="200"/>
      <c r="AP108" s="476"/>
      <c r="AQ108" s="200" t="s">
        <v>230</v>
      </c>
      <c r="AR108" s="200"/>
      <c r="AS108" s="200"/>
      <c r="AT108" s="200"/>
      <c r="AU108" s="425"/>
      <c r="AV108" s="545" t="s">
        <v>230</v>
      </c>
      <c r="AW108" s="425"/>
      <c r="AX108" s="49"/>
      <c r="AY108" s="296"/>
      <c r="AZ108" s="541"/>
      <c r="BA108" s="554" t="s">
        <v>230</v>
      </c>
      <c r="BB108" s="541"/>
      <c r="BC108" s="49"/>
      <c r="BD108" s="327"/>
      <c r="BE108" s="556"/>
      <c r="BF108" s="557" t="s">
        <v>230</v>
      </c>
      <c r="BG108" s="556"/>
      <c r="BH108" s="49"/>
      <c r="BI108" s="346"/>
      <c r="BJ108" s="558"/>
      <c r="BK108" s="587" t="s">
        <v>230</v>
      </c>
      <c r="BL108" s="558"/>
      <c r="BM108" s="49"/>
      <c r="BN108" s="429"/>
      <c r="BO108" s="485"/>
      <c r="BP108" s="596" t="s">
        <v>230</v>
      </c>
      <c r="BQ108" s="485"/>
      <c r="BR108" s="49"/>
      <c r="BS108" s="353"/>
      <c r="BT108" s="472"/>
      <c r="BU108" s="586" t="s">
        <v>230</v>
      </c>
      <c r="BV108" s="472"/>
      <c r="BW108" s="49"/>
      <c r="BX108" s="368"/>
      <c r="BY108" s="578"/>
      <c r="BZ108" s="593" t="s">
        <v>230</v>
      </c>
      <c r="CA108" s="578"/>
      <c r="CB108" s="49"/>
      <c r="CC108" s="388"/>
      <c r="CD108" s="488"/>
      <c r="CE108" s="595" t="s">
        <v>230</v>
      </c>
      <c r="CF108" s="595"/>
      <c r="CG108" s="49"/>
      <c r="CH108" s="402"/>
      <c r="CI108" s="439"/>
      <c r="CJ108" s="426" t="s">
        <v>230</v>
      </c>
      <c r="CK108" s="439"/>
      <c r="CL108" s="49"/>
      <c r="CM108" s="402"/>
      <c r="CN108" s="439"/>
      <c r="CO108" s="426" t="s">
        <v>230</v>
      </c>
      <c r="CP108" s="672"/>
      <c r="CQ108" s="49"/>
      <c r="CR108" s="419"/>
      <c r="CS108" s="487"/>
      <c r="CT108" s="575" t="s">
        <v>230</v>
      </c>
      <c r="CU108" s="729"/>
      <c r="CV108" s="49"/>
      <c r="CW108" s="453"/>
      <c r="CX108" s="455"/>
      <c r="CY108" s="631"/>
      <c r="CZ108" s="455"/>
      <c r="DA108" s="49"/>
      <c r="DB108" s="457"/>
      <c r="DC108" s="475"/>
      <c r="DD108" s="632"/>
      <c r="DE108" s="475"/>
      <c r="DF108" s="49"/>
      <c r="DG108" s="458"/>
      <c r="DH108" s="459"/>
      <c r="DI108" s="633"/>
      <c r="DJ108" s="459"/>
      <c r="DK108" s="49"/>
      <c r="DL108" s="620"/>
      <c r="DM108" s="637"/>
      <c r="DN108" s="637"/>
      <c r="DO108" s="637"/>
      <c r="DP108" s="49"/>
      <c r="DQ108" s="461"/>
      <c r="DR108" s="462"/>
      <c r="DS108" s="462"/>
      <c r="DT108" s="462"/>
      <c r="DU108" s="49"/>
      <c r="DV108" s="463"/>
      <c r="DW108" s="464"/>
      <c r="DX108" s="464"/>
      <c r="DY108" s="464"/>
      <c r="DZ108" s="49"/>
      <c r="EA108" s="465"/>
      <c r="EB108" s="466"/>
      <c r="EC108" s="426"/>
      <c r="ED108" s="456"/>
      <c r="EE108" s="47"/>
      <c r="EF108" s="16"/>
    </row>
    <row r="109" ht="17.25" customHeight="1">
      <c r="A109" s="16"/>
      <c r="B109" s="47"/>
      <c r="C109" s="170"/>
      <c r="D109" s="171"/>
      <c r="E109" s="49"/>
      <c r="F109" s="200"/>
      <c r="G109" s="200"/>
      <c r="H109" s="200" t="s">
        <v>230</v>
      </c>
      <c r="I109" s="200"/>
      <c r="J109" s="200"/>
      <c r="K109" s="200"/>
      <c r="L109" s="476"/>
      <c r="M109" s="200" t="s">
        <v>230</v>
      </c>
      <c r="N109" s="200"/>
      <c r="O109" s="200"/>
      <c r="P109" s="200"/>
      <c r="Q109" s="476"/>
      <c r="R109" s="200" t="s">
        <v>230</v>
      </c>
      <c r="S109" s="200"/>
      <c r="T109" s="200"/>
      <c r="U109" s="200"/>
      <c r="V109" s="476"/>
      <c r="W109" s="200" t="s">
        <v>230</v>
      </c>
      <c r="X109" s="200"/>
      <c r="Y109" s="200"/>
      <c r="Z109" s="200"/>
      <c r="AA109" s="476"/>
      <c r="AB109" s="200" t="s">
        <v>230</v>
      </c>
      <c r="AC109" s="200"/>
      <c r="AD109" s="200"/>
      <c r="AE109" s="200"/>
      <c r="AF109" s="200"/>
      <c r="AG109" s="200" t="s">
        <v>230</v>
      </c>
      <c r="AH109" s="200"/>
      <c r="AI109" s="200"/>
      <c r="AJ109" s="200"/>
      <c r="AK109" s="476"/>
      <c r="AL109" s="200" t="s">
        <v>230</v>
      </c>
      <c r="AM109" s="200"/>
      <c r="AN109" s="200"/>
      <c r="AO109" s="200"/>
      <c r="AP109" s="476"/>
      <c r="AQ109" s="200" t="s">
        <v>230</v>
      </c>
      <c r="AR109" s="200"/>
      <c r="AS109" s="200"/>
      <c r="AT109" s="200"/>
      <c r="AU109" s="425"/>
      <c r="AV109" s="545" t="s">
        <v>230</v>
      </c>
      <c r="AW109" s="425"/>
      <c r="AX109" s="49"/>
      <c r="AY109" s="296"/>
      <c r="AZ109" s="541"/>
      <c r="BA109" s="554" t="s">
        <v>230</v>
      </c>
      <c r="BB109" s="541"/>
      <c r="BC109" s="49"/>
      <c r="BD109" s="327"/>
      <c r="BE109" s="556"/>
      <c r="BF109" s="557" t="s">
        <v>230</v>
      </c>
      <c r="BG109" s="556"/>
      <c r="BH109" s="49"/>
      <c r="BI109" s="346"/>
      <c r="BJ109" s="558"/>
      <c r="BK109" s="587" t="s">
        <v>230</v>
      </c>
      <c r="BL109" s="558"/>
      <c r="BM109" s="49"/>
      <c r="BN109" s="429"/>
      <c r="BO109" s="485"/>
      <c r="BP109" s="596" t="s">
        <v>230</v>
      </c>
      <c r="BQ109" s="485"/>
      <c r="BR109" s="49"/>
      <c r="BS109" s="353"/>
      <c r="BT109" s="472"/>
      <c r="BU109" s="586" t="s">
        <v>230</v>
      </c>
      <c r="BV109" s="472"/>
      <c r="BW109" s="49"/>
      <c r="BX109" s="368"/>
      <c r="BY109" s="578"/>
      <c r="BZ109" s="593" t="s">
        <v>230</v>
      </c>
      <c r="CA109" s="578"/>
      <c r="CB109" s="49"/>
      <c r="CC109" s="388"/>
      <c r="CD109" s="488"/>
      <c r="CE109" s="595" t="s">
        <v>230</v>
      </c>
      <c r="CF109" s="595"/>
      <c r="CG109" s="49"/>
      <c r="CH109" s="402"/>
      <c r="CI109" s="439"/>
      <c r="CJ109" s="426" t="s">
        <v>230</v>
      </c>
      <c r="CK109" s="439"/>
      <c r="CL109" s="49"/>
      <c r="CM109" s="402"/>
      <c r="CN109" s="439"/>
      <c r="CO109" s="426" t="s">
        <v>230</v>
      </c>
      <c r="CP109" s="672"/>
      <c r="CQ109" s="49"/>
      <c r="CR109" s="419"/>
      <c r="CS109" s="487"/>
      <c r="CT109" s="575" t="s">
        <v>230</v>
      </c>
      <c r="CU109" s="729"/>
      <c r="CV109" s="49"/>
      <c r="CW109" s="453"/>
      <c r="CX109" s="455"/>
      <c r="CY109" s="631"/>
      <c r="CZ109" s="455"/>
      <c r="DA109" s="49"/>
      <c r="DB109" s="457"/>
      <c r="DC109" s="475"/>
      <c r="DD109" s="632"/>
      <c r="DE109" s="475"/>
      <c r="DF109" s="49"/>
      <c r="DG109" s="458"/>
      <c r="DH109" s="459"/>
      <c r="DI109" s="633"/>
      <c r="DJ109" s="459"/>
      <c r="DK109" s="49"/>
      <c r="DL109" s="620"/>
      <c r="DM109" s="637"/>
      <c r="DN109" s="637"/>
      <c r="DO109" s="637"/>
      <c r="DP109" s="49"/>
      <c r="DQ109" s="461"/>
      <c r="DR109" s="462"/>
      <c r="DS109" s="462"/>
      <c r="DT109" s="462"/>
      <c r="DU109" s="49"/>
      <c r="DV109" s="463"/>
      <c r="DW109" s="464"/>
      <c r="DX109" s="464"/>
      <c r="DY109" s="464"/>
      <c r="DZ109" s="49"/>
      <c r="EA109" s="465"/>
      <c r="EB109" s="466"/>
      <c r="EC109" s="426"/>
      <c r="ED109" s="456"/>
      <c r="EE109" s="47"/>
      <c r="EF109" s="16"/>
    </row>
    <row r="110" ht="17.25" customHeight="1">
      <c r="A110" s="16"/>
      <c r="B110" s="47"/>
      <c r="C110" s="170"/>
      <c r="D110" s="171"/>
      <c r="E110" s="49"/>
      <c r="F110" s="200"/>
      <c r="G110" s="200"/>
      <c r="H110" s="200" t="s">
        <v>230</v>
      </c>
      <c r="I110" s="200"/>
      <c r="J110" s="200"/>
      <c r="K110" s="200"/>
      <c r="L110" s="476"/>
      <c r="M110" s="200" t="s">
        <v>230</v>
      </c>
      <c r="N110" s="200"/>
      <c r="O110" s="200"/>
      <c r="P110" s="200"/>
      <c r="Q110" s="476"/>
      <c r="R110" s="200" t="s">
        <v>230</v>
      </c>
      <c r="S110" s="200"/>
      <c r="T110" s="200"/>
      <c r="U110" s="200"/>
      <c r="V110" s="476"/>
      <c r="W110" s="200" t="s">
        <v>230</v>
      </c>
      <c r="X110" s="200"/>
      <c r="Y110" s="200"/>
      <c r="Z110" s="200"/>
      <c r="AA110" s="476"/>
      <c r="AB110" s="200" t="s">
        <v>230</v>
      </c>
      <c r="AC110" s="200"/>
      <c r="AD110" s="200"/>
      <c r="AE110" s="200"/>
      <c r="AF110" s="200"/>
      <c r="AG110" s="200" t="s">
        <v>230</v>
      </c>
      <c r="AH110" s="200"/>
      <c r="AI110" s="200"/>
      <c r="AJ110" s="200"/>
      <c r="AK110" s="476"/>
      <c r="AL110" s="200" t="s">
        <v>230</v>
      </c>
      <c r="AM110" s="200"/>
      <c r="AN110" s="200"/>
      <c r="AO110" s="200"/>
      <c r="AP110" s="476"/>
      <c r="AQ110" s="200" t="s">
        <v>230</v>
      </c>
      <c r="AR110" s="200"/>
      <c r="AS110" s="200"/>
      <c r="AT110" s="200"/>
      <c r="AU110" s="425"/>
      <c r="AV110" s="545" t="s">
        <v>230</v>
      </c>
      <c r="AW110" s="425"/>
      <c r="AX110" s="49"/>
      <c r="AY110" s="296"/>
      <c r="AZ110" s="541"/>
      <c r="BA110" s="554" t="s">
        <v>230</v>
      </c>
      <c r="BB110" s="541"/>
      <c r="BC110" s="49"/>
      <c r="BD110" s="327"/>
      <c r="BE110" s="556"/>
      <c r="BF110" s="557" t="s">
        <v>230</v>
      </c>
      <c r="BG110" s="556"/>
      <c r="BH110" s="49"/>
      <c r="BI110" s="346"/>
      <c r="BJ110" s="558"/>
      <c r="BK110" s="587" t="s">
        <v>230</v>
      </c>
      <c r="BL110" s="558"/>
      <c r="BM110" s="49"/>
      <c r="BN110" s="429"/>
      <c r="BO110" s="485"/>
      <c r="BP110" s="596" t="s">
        <v>230</v>
      </c>
      <c r="BQ110" s="485"/>
      <c r="BR110" s="49"/>
      <c r="BS110" s="353"/>
      <c r="BT110" s="472"/>
      <c r="BU110" s="586" t="s">
        <v>230</v>
      </c>
      <c r="BV110" s="472"/>
      <c r="BW110" s="49"/>
      <c r="BX110" s="368"/>
      <c r="BY110" s="578"/>
      <c r="BZ110" s="593" t="s">
        <v>230</v>
      </c>
      <c r="CA110" s="578"/>
      <c r="CB110" s="49"/>
      <c r="CC110" s="388"/>
      <c r="CD110" s="488"/>
      <c r="CE110" s="595" t="s">
        <v>230</v>
      </c>
      <c r="CF110" s="595"/>
      <c r="CG110" s="49"/>
      <c r="CH110" s="402"/>
      <c r="CI110" s="439"/>
      <c r="CJ110" s="426" t="s">
        <v>230</v>
      </c>
      <c r="CK110" s="439"/>
      <c r="CL110" s="49"/>
      <c r="CM110" s="402"/>
      <c r="CN110" s="439"/>
      <c r="CO110" s="426" t="s">
        <v>230</v>
      </c>
      <c r="CP110" s="672"/>
      <c r="CQ110" s="49"/>
      <c r="CR110" s="419"/>
      <c r="CS110" s="487"/>
      <c r="CT110" s="575" t="s">
        <v>230</v>
      </c>
      <c r="CU110" s="729"/>
      <c r="CV110" s="49"/>
      <c r="CW110" s="453"/>
      <c r="CX110" s="455"/>
      <c r="CY110" s="631"/>
      <c r="CZ110" s="455"/>
      <c r="DA110" s="49"/>
      <c r="DB110" s="457"/>
      <c r="DC110" s="475"/>
      <c r="DD110" s="632"/>
      <c r="DE110" s="475"/>
      <c r="DF110" s="49"/>
      <c r="DG110" s="458"/>
      <c r="DH110" s="459"/>
      <c r="DI110" s="633"/>
      <c r="DJ110" s="459"/>
      <c r="DK110" s="49"/>
      <c r="DL110" s="620"/>
      <c r="DM110" s="637"/>
      <c r="DN110" s="637"/>
      <c r="DO110" s="637"/>
      <c r="DP110" s="49"/>
      <c r="DQ110" s="461"/>
      <c r="DR110" s="462"/>
      <c r="DS110" s="462"/>
      <c r="DT110" s="462"/>
      <c r="DU110" s="49"/>
      <c r="DV110" s="463"/>
      <c r="DW110" s="464"/>
      <c r="DX110" s="464"/>
      <c r="DY110" s="464"/>
      <c r="DZ110" s="49"/>
      <c r="EA110" s="465"/>
      <c r="EB110" s="466"/>
      <c r="EC110" s="426"/>
      <c r="ED110" s="456"/>
      <c r="EE110" s="47"/>
      <c r="EF110" s="16"/>
    </row>
    <row r="111" ht="17.25" customHeight="1">
      <c r="A111" s="16"/>
      <c r="B111" s="47"/>
      <c r="C111" s="170"/>
      <c r="D111" s="171"/>
      <c r="E111" s="49"/>
      <c r="F111" s="200"/>
      <c r="G111" s="200"/>
      <c r="H111" s="200" t="s">
        <v>230</v>
      </c>
      <c r="I111" s="200"/>
      <c r="J111" s="200"/>
      <c r="K111" s="200"/>
      <c r="L111" s="476"/>
      <c r="M111" s="200" t="s">
        <v>230</v>
      </c>
      <c r="N111" s="200"/>
      <c r="O111" s="200"/>
      <c r="P111" s="200"/>
      <c r="Q111" s="476"/>
      <c r="R111" s="200" t="s">
        <v>230</v>
      </c>
      <c r="S111" s="200"/>
      <c r="T111" s="200"/>
      <c r="U111" s="200"/>
      <c r="V111" s="476"/>
      <c r="W111" s="200" t="s">
        <v>230</v>
      </c>
      <c r="X111" s="200"/>
      <c r="Y111" s="200"/>
      <c r="Z111" s="200"/>
      <c r="AA111" s="476"/>
      <c r="AB111" s="200" t="s">
        <v>230</v>
      </c>
      <c r="AC111" s="200"/>
      <c r="AD111" s="200"/>
      <c r="AE111" s="200"/>
      <c r="AF111" s="200"/>
      <c r="AG111" s="200" t="s">
        <v>230</v>
      </c>
      <c r="AH111" s="200"/>
      <c r="AI111" s="200"/>
      <c r="AJ111" s="200"/>
      <c r="AK111" s="476"/>
      <c r="AL111" s="200" t="s">
        <v>230</v>
      </c>
      <c r="AM111" s="200"/>
      <c r="AN111" s="200"/>
      <c r="AO111" s="200"/>
      <c r="AP111" s="476"/>
      <c r="AQ111" s="200" t="s">
        <v>230</v>
      </c>
      <c r="AR111" s="200"/>
      <c r="AS111" s="200"/>
      <c r="AT111" s="200"/>
      <c r="AU111" s="425"/>
      <c r="AV111" s="545" t="s">
        <v>230</v>
      </c>
      <c r="AW111" s="425"/>
      <c r="AX111" s="49"/>
      <c r="AY111" s="296"/>
      <c r="AZ111" s="541"/>
      <c r="BA111" s="554" t="s">
        <v>230</v>
      </c>
      <c r="BB111" s="541"/>
      <c r="BC111" s="49"/>
      <c r="BD111" s="327"/>
      <c r="BE111" s="556"/>
      <c r="BF111" s="557" t="s">
        <v>230</v>
      </c>
      <c r="BG111" s="556"/>
      <c r="BH111" s="49"/>
      <c r="BI111" s="346"/>
      <c r="BJ111" s="558"/>
      <c r="BK111" s="587" t="s">
        <v>230</v>
      </c>
      <c r="BL111" s="558"/>
      <c r="BM111" s="49"/>
      <c r="BN111" s="429"/>
      <c r="BO111" s="485"/>
      <c r="BP111" s="596" t="s">
        <v>230</v>
      </c>
      <c r="BQ111" s="485"/>
      <c r="BR111" s="49"/>
      <c r="BS111" s="353"/>
      <c r="BT111" s="472"/>
      <c r="BU111" s="586" t="s">
        <v>230</v>
      </c>
      <c r="BV111" s="472"/>
      <c r="BW111" s="49"/>
      <c r="BX111" s="368"/>
      <c r="BY111" s="578"/>
      <c r="BZ111" s="593" t="s">
        <v>230</v>
      </c>
      <c r="CA111" s="578"/>
      <c r="CB111" s="49"/>
      <c r="CC111" s="388"/>
      <c r="CD111" s="488"/>
      <c r="CE111" s="595" t="s">
        <v>230</v>
      </c>
      <c r="CF111" s="595"/>
      <c r="CG111" s="49"/>
      <c r="CH111" s="402"/>
      <c r="CI111" s="439"/>
      <c r="CJ111" s="426" t="s">
        <v>230</v>
      </c>
      <c r="CK111" s="439"/>
      <c r="CL111" s="49"/>
      <c r="CM111" s="402"/>
      <c r="CN111" s="439"/>
      <c r="CO111" s="426" t="s">
        <v>230</v>
      </c>
      <c r="CP111" s="672"/>
      <c r="CQ111" s="49"/>
      <c r="CR111" s="419"/>
      <c r="CS111" s="487"/>
      <c r="CT111" s="575" t="s">
        <v>230</v>
      </c>
      <c r="CU111" s="729"/>
      <c r="CV111" s="49"/>
      <c r="CW111" s="453"/>
      <c r="CX111" s="455"/>
      <c r="CY111" s="631"/>
      <c r="CZ111" s="455"/>
      <c r="DA111" s="49"/>
      <c r="DB111" s="457"/>
      <c r="DC111" s="475"/>
      <c r="DD111" s="632"/>
      <c r="DE111" s="475"/>
      <c r="DF111" s="49"/>
      <c r="DG111" s="458"/>
      <c r="DH111" s="459"/>
      <c r="DI111" s="633"/>
      <c r="DJ111" s="459"/>
      <c r="DK111" s="49"/>
      <c r="DL111" s="620"/>
      <c r="DM111" s="637"/>
      <c r="DN111" s="637"/>
      <c r="DO111" s="637"/>
      <c r="DP111" s="49"/>
      <c r="DQ111" s="461"/>
      <c r="DR111" s="462"/>
      <c r="DS111" s="462"/>
      <c r="DT111" s="462"/>
      <c r="DU111" s="49"/>
      <c r="DV111" s="463"/>
      <c r="DW111" s="464"/>
      <c r="DX111" s="464"/>
      <c r="DY111" s="464"/>
      <c r="DZ111" s="49"/>
      <c r="EA111" s="465"/>
      <c r="EB111" s="466"/>
      <c r="EC111" s="426"/>
      <c r="ED111" s="456"/>
      <c r="EE111" s="47"/>
      <c r="EF111" s="16"/>
    </row>
    <row r="112" ht="17.25" customHeight="1">
      <c r="A112" s="16"/>
      <c r="B112" s="47"/>
      <c r="C112" s="170"/>
      <c r="D112" s="171"/>
      <c r="E112" s="49"/>
      <c r="F112" s="200"/>
      <c r="G112" s="200"/>
      <c r="H112" s="200" t="s">
        <v>230</v>
      </c>
      <c r="I112" s="200"/>
      <c r="J112" s="200"/>
      <c r="K112" s="200"/>
      <c r="L112" s="476"/>
      <c r="M112" s="200" t="s">
        <v>230</v>
      </c>
      <c r="N112" s="200"/>
      <c r="O112" s="200"/>
      <c r="P112" s="200"/>
      <c r="Q112" s="476"/>
      <c r="R112" s="200" t="s">
        <v>230</v>
      </c>
      <c r="S112" s="200"/>
      <c r="T112" s="200"/>
      <c r="U112" s="200"/>
      <c r="V112" s="476"/>
      <c r="W112" s="200" t="s">
        <v>230</v>
      </c>
      <c r="X112" s="200"/>
      <c r="Y112" s="200"/>
      <c r="Z112" s="200"/>
      <c r="AA112" s="476"/>
      <c r="AB112" s="200" t="s">
        <v>230</v>
      </c>
      <c r="AC112" s="200"/>
      <c r="AD112" s="200"/>
      <c r="AE112" s="200"/>
      <c r="AF112" s="200"/>
      <c r="AG112" s="200" t="s">
        <v>230</v>
      </c>
      <c r="AH112" s="200"/>
      <c r="AI112" s="200"/>
      <c r="AJ112" s="200"/>
      <c r="AK112" s="476"/>
      <c r="AL112" s="200" t="s">
        <v>230</v>
      </c>
      <c r="AM112" s="200"/>
      <c r="AN112" s="200"/>
      <c r="AO112" s="200"/>
      <c r="AP112" s="476"/>
      <c r="AQ112" s="200" t="s">
        <v>230</v>
      </c>
      <c r="AR112" s="200"/>
      <c r="AS112" s="200"/>
      <c r="AT112" s="200"/>
      <c r="AU112" s="425"/>
      <c r="AV112" s="545" t="s">
        <v>230</v>
      </c>
      <c r="AW112" s="425"/>
      <c r="AX112" s="49"/>
      <c r="AY112" s="296"/>
      <c r="AZ112" s="541"/>
      <c r="BA112" s="554" t="s">
        <v>230</v>
      </c>
      <c r="BB112" s="541"/>
      <c r="BC112" s="49"/>
      <c r="BD112" s="327"/>
      <c r="BE112" s="556"/>
      <c r="BF112" s="557" t="s">
        <v>230</v>
      </c>
      <c r="BG112" s="556"/>
      <c r="BH112" s="49"/>
      <c r="BI112" s="346"/>
      <c r="BJ112" s="558"/>
      <c r="BK112" s="587" t="s">
        <v>230</v>
      </c>
      <c r="BL112" s="558"/>
      <c r="BM112" s="49"/>
      <c r="BN112" s="429"/>
      <c r="BO112" s="485"/>
      <c r="BP112" s="596" t="s">
        <v>230</v>
      </c>
      <c r="BQ112" s="485"/>
      <c r="BR112" s="49"/>
      <c r="BS112" s="353"/>
      <c r="BT112" s="472"/>
      <c r="BU112" s="586" t="s">
        <v>230</v>
      </c>
      <c r="BV112" s="472"/>
      <c r="BW112" s="49"/>
      <c r="BX112" s="368"/>
      <c r="BY112" s="578"/>
      <c r="BZ112" s="593" t="s">
        <v>230</v>
      </c>
      <c r="CA112" s="578"/>
      <c r="CB112" s="49"/>
      <c r="CC112" s="388"/>
      <c r="CD112" s="488"/>
      <c r="CE112" s="595" t="s">
        <v>230</v>
      </c>
      <c r="CF112" s="595"/>
      <c r="CG112" s="49"/>
      <c r="CH112" s="402"/>
      <c r="CI112" s="439"/>
      <c r="CJ112" s="426" t="s">
        <v>230</v>
      </c>
      <c r="CK112" s="439"/>
      <c r="CL112" s="49"/>
      <c r="CM112" s="402"/>
      <c r="CN112" s="439"/>
      <c r="CO112" s="426" t="s">
        <v>230</v>
      </c>
      <c r="CP112" s="672"/>
      <c r="CQ112" s="49"/>
      <c r="CR112" s="419"/>
      <c r="CS112" s="487"/>
      <c r="CT112" s="575" t="s">
        <v>230</v>
      </c>
      <c r="CU112" s="729"/>
      <c r="CV112" s="49"/>
      <c r="CW112" s="453"/>
      <c r="CX112" s="455"/>
      <c r="CY112" s="631"/>
      <c r="CZ112" s="455"/>
      <c r="DA112" s="49"/>
      <c r="DB112" s="457"/>
      <c r="DC112" s="475"/>
      <c r="DD112" s="632"/>
      <c r="DE112" s="475"/>
      <c r="DF112" s="49"/>
      <c r="DG112" s="458"/>
      <c r="DH112" s="459"/>
      <c r="DI112" s="633"/>
      <c r="DJ112" s="459"/>
      <c r="DK112" s="49"/>
      <c r="DL112" s="620"/>
      <c r="DM112" s="637"/>
      <c r="DN112" s="637"/>
      <c r="DO112" s="637"/>
      <c r="DP112" s="49"/>
      <c r="DQ112" s="461"/>
      <c r="DR112" s="462"/>
      <c r="DS112" s="462"/>
      <c r="DT112" s="462"/>
      <c r="DU112" s="49"/>
      <c r="DV112" s="463"/>
      <c r="DW112" s="464"/>
      <c r="DX112" s="464"/>
      <c r="DY112" s="464"/>
      <c r="DZ112" s="49"/>
      <c r="EA112" s="465"/>
      <c r="EB112" s="466"/>
      <c r="EC112" s="426"/>
      <c r="ED112" s="456"/>
      <c r="EE112" s="47"/>
      <c r="EF112" s="16"/>
    </row>
    <row r="113" ht="17.25" customHeight="1">
      <c r="A113" s="16"/>
      <c r="B113" s="47"/>
      <c r="C113" s="170"/>
      <c r="D113" s="171"/>
      <c r="E113" s="49"/>
      <c r="F113" s="200"/>
      <c r="G113" s="200"/>
      <c r="H113" s="200" t="s">
        <v>230</v>
      </c>
      <c r="I113" s="200"/>
      <c r="J113" s="200"/>
      <c r="K113" s="200"/>
      <c r="L113" s="476"/>
      <c r="M113" s="200" t="s">
        <v>230</v>
      </c>
      <c r="N113" s="200"/>
      <c r="O113" s="200"/>
      <c r="P113" s="200"/>
      <c r="Q113" s="476"/>
      <c r="R113" s="200" t="s">
        <v>230</v>
      </c>
      <c r="S113" s="200"/>
      <c r="T113" s="200"/>
      <c r="U113" s="200"/>
      <c r="V113" s="476"/>
      <c r="W113" s="200" t="s">
        <v>230</v>
      </c>
      <c r="X113" s="200"/>
      <c r="Y113" s="200"/>
      <c r="Z113" s="200"/>
      <c r="AA113" s="476"/>
      <c r="AB113" s="200" t="s">
        <v>230</v>
      </c>
      <c r="AC113" s="200"/>
      <c r="AD113" s="200"/>
      <c r="AE113" s="200"/>
      <c r="AF113" s="200"/>
      <c r="AG113" s="200" t="s">
        <v>230</v>
      </c>
      <c r="AH113" s="200"/>
      <c r="AI113" s="200"/>
      <c r="AJ113" s="200"/>
      <c r="AK113" s="476"/>
      <c r="AL113" s="200" t="s">
        <v>230</v>
      </c>
      <c r="AM113" s="200"/>
      <c r="AN113" s="200"/>
      <c r="AO113" s="200"/>
      <c r="AP113" s="476"/>
      <c r="AQ113" s="200" t="s">
        <v>230</v>
      </c>
      <c r="AR113" s="200"/>
      <c r="AS113" s="200"/>
      <c r="AT113" s="200"/>
      <c r="AU113" s="425"/>
      <c r="AV113" s="545" t="s">
        <v>230</v>
      </c>
      <c r="AW113" s="425"/>
      <c r="AX113" s="49"/>
      <c r="AY113" s="296"/>
      <c r="AZ113" s="541"/>
      <c r="BA113" s="554" t="s">
        <v>230</v>
      </c>
      <c r="BB113" s="541"/>
      <c r="BC113" s="49"/>
      <c r="BD113" s="327"/>
      <c r="BE113" s="556"/>
      <c r="BF113" s="557" t="s">
        <v>230</v>
      </c>
      <c r="BG113" s="556"/>
      <c r="BH113" s="49"/>
      <c r="BI113" s="346"/>
      <c r="BJ113" s="558"/>
      <c r="BK113" s="587" t="s">
        <v>230</v>
      </c>
      <c r="BL113" s="558"/>
      <c r="BM113" s="49"/>
      <c r="BN113" s="429"/>
      <c r="BO113" s="485"/>
      <c r="BP113" s="596" t="s">
        <v>230</v>
      </c>
      <c r="BQ113" s="485"/>
      <c r="BR113" s="49"/>
      <c r="BS113" s="353"/>
      <c r="BT113" s="472"/>
      <c r="BU113" s="586" t="s">
        <v>230</v>
      </c>
      <c r="BV113" s="472"/>
      <c r="BW113" s="49"/>
      <c r="BX113" s="368"/>
      <c r="BY113" s="578"/>
      <c r="BZ113" s="593" t="s">
        <v>230</v>
      </c>
      <c r="CA113" s="578"/>
      <c r="CB113" s="49"/>
      <c r="CC113" s="388"/>
      <c r="CD113" s="488"/>
      <c r="CE113" s="595" t="s">
        <v>230</v>
      </c>
      <c r="CF113" s="595"/>
      <c r="CG113" s="49"/>
      <c r="CH113" s="402"/>
      <c r="CI113" s="439"/>
      <c r="CJ113" s="426" t="s">
        <v>230</v>
      </c>
      <c r="CK113" s="439"/>
      <c r="CL113" s="49"/>
      <c r="CM113" s="402"/>
      <c r="CN113" s="439"/>
      <c r="CO113" s="426" t="s">
        <v>230</v>
      </c>
      <c r="CP113" s="672"/>
      <c r="CQ113" s="49"/>
      <c r="CR113" s="419"/>
      <c r="CS113" s="487"/>
      <c r="CT113" s="575" t="s">
        <v>230</v>
      </c>
      <c r="CU113" s="729"/>
      <c r="CV113" s="49"/>
      <c r="CW113" s="453"/>
      <c r="CX113" s="455"/>
      <c r="CY113" s="631"/>
      <c r="CZ113" s="455"/>
      <c r="DA113" s="49"/>
      <c r="DB113" s="457"/>
      <c r="DC113" s="475"/>
      <c r="DD113" s="632"/>
      <c r="DE113" s="475"/>
      <c r="DF113" s="49"/>
      <c r="DG113" s="458"/>
      <c r="DH113" s="459"/>
      <c r="DI113" s="633"/>
      <c r="DJ113" s="459"/>
      <c r="DK113" s="49"/>
      <c r="DL113" s="620"/>
      <c r="DM113" s="637"/>
      <c r="DN113" s="637"/>
      <c r="DO113" s="637"/>
      <c r="DP113" s="49"/>
      <c r="DQ113" s="461"/>
      <c r="DR113" s="462"/>
      <c r="DS113" s="462"/>
      <c r="DT113" s="462"/>
      <c r="DU113" s="49"/>
      <c r="DV113" s="463"/>
      <c r="DW113" s="464"/>
      <c r="DX113" s="464"/>
      <c r="DY113" s="464"/>
      <c r="DZ113" s="49"/>
      <c r="EA113" s="465"/>
      <c r="EB113" s="466"/>
      <c r="EC113" s="426"/>
      <c r="ED113" s="456"/>
      <c r="EE113" s="47"/>
      <c r="EF113" s="16"/>
    </row>
    <row r="114" ht="17.25" customHeight="1">
      <c r="A114" s="16"/>
      <c r="B114" s="47"/>
      <c r="C114" s="170"/>
      <c r="D114" s="171"/>
      <c r="E114" s="49"/>
      <c r="F114" s="200"/>
      <c r="G114" s="200"/>
      <c r="H114" s="200" t="s">
        <v>230</v>
      </c>
      <c r="I114" s="200"/>
      <c r="J114" s="200"/>
      <c r="K114" s="200"/>
      <c r="L114" s="476"/>
      <c r="M114" s="200" t="s">
        <v>230</v>
      </c>
      <c r="N114" s="200"/>
      <c r="O114" s="200"/>
      <c r="P114" s="200"/>
      <c r="Q114" s="476"/>
      <c r="R114" s="200" t="s">
        <v>230</v>
      </c>
      <c r="S114" s="200"/>
      <c r="T114" s="200"/>
      <c r="U114" s="200"/>
      <c r="V114" s="476"/>
      <c r="W114" s="200" t="s">
        <v>230</v>
      </c>
      <c r="X114" s="200"/>
      <c r="Y114" s="200"/>
      <c r="Z114" s="200"/>
      <c r="AA114" s="476"/>
      <c r="AB114" s="200" t="s">
        <v>230</v>
      </c>
      <c r="AC114" s="200"/>
      <c r="AD114" s="200"/>
      <c r="AE114" s="200"/>
      <c r="AF114" s="200"/>
      <c r="AG114" s="200" t="s">
        <v>230</v>
      </c>
      <c r="AH114" s="200"/>
      <c r="AI114" s="200"/>
      <c r="AJ114" s="200"/>
      <c r="AK114" s="476"/>
      <c r="AL114" s="200" t="s">
        <v>230</v>
      </c>
      <c r="AM114" s="200"/>
      <c r="AN114" s="200"/>
      <c r="AO114" s="200"/>
      <c r="AP114" s="476"/>
      <c r="AQ114" s="200" t="s">
        <v>230</v>
      </c>
      <c r="AR114" s="200"/>
      <c r="AS114" s="200"/>
      <c r="AT114" s="200"/>
      <c r="AU114" s="425"/>
      <c r="AV114" s="545" t="s">
        <v>230</v>
      </c>
      <c r="AW114" s="425"/>
      <c r="AX114" s="49"/>
      <c r="AY114" s="296"/>
      <c r="AZ114" s="541"/>
      <c r="BA114" s="554" t="s">
        <v>230</v>
      </c>
      <c r="BB114" s="541"/>
      <c r="BC114" s="49"/>
      <c r="BD114" s="327"/>
      <c r="BE114" s="556"/>
      <c r="BF114" s="557" t="s">
        <v>230</v>
      </c>
      <c r="BG114" s="556"/>
      <c r="BH114" s="49"/>
      <c r="BI114" s="346"/>
      <c r="BJ114" s="558"/>
      <c r="BK114" s="587" t="s">
        <v>230</v>
      </c>
      <c r="BL114" s="558"/>
      <c r="BM114" s="49"/>
      <c r="BN114" s="429"/>
      <c r="BO114" s="485"/>
      <c r="BP114" s="596" t="s">
        <v>230</v>
      </c>
      <c r="BQ114" s="485"/>
      <c r="BR114" s="49"/>
      <c r="BS114" s="353"/>
      <c r="BT114" s="472"/>
      <c r="BU114" s="586" t="s">
        <v>230</v>
      </c>
      <c r="BV114" s="472"/>
      <c r="BW114" s="49"/>
      <c r="BX114" s="368"/>
      <c r="BY114" s="578"/>
      <c r="BZ114" s="593" t="s">
        <v>230</v>
      </c>
      <c r="CA114" s="578"/>
      <c r="CB114" s="49"/>
      <c r="CC114" s="388"/>
      <c r="CD114" s="488"/>
      <c r="CE114" s="595" t="s">
        <v>230</v>
      </c>
      <c r="CF114" s="595"/>
      <c r="CG114" s="49"/>
      <c r="CH114" s="402"/>
      <c r="CI114" s="439"/>
      <c r="CJ114" s="426" t="s">
        <v>230</v>
      </c>
      <c r="CK114" s="439"/>
      <c r="CL114" s="49"/>
      <c r="CM114" s="402"/>
      <c r="CN114" s="439"/>
      <c r="CO114" s="426" t="s">
        <v>230</v>
      </c>
      <c r="CP114" s="672"/>
      <c r="CQ114" s="49"/>
      <c r="CR114" s="419"/>
      <c r="CS114" s="487"/>
      <c r="CT114" s="575" t="s">
        <v>230</v>
      </c>
      <c r="CU114" s="729"/>
      <c r="CV114" s="49"/>
      <c r="CW114" s="453"/>
      <c r="CX114" s="455"/>
      <c r="CY114" s="631"/>
      <c r="CZ114" s="455"/>
      <c r="DA114" s="49"/>
      <c r="DB114" s="457"/>
      <c r="DC114" s="475"/>
      <c r="DD114" s="632"/>
      <c r="DE114" s="475"/>
      <c r="DF114" s="49"/>
      <c r="DG114" s="458"/>
      <c r="DH114" s="459"/>
      <c r="DI114" s="633"/>
      <c r="DJ114" s="459"/>
      <c r="DK114" s="49"/>
      <c r="DL114" s="620"/>
      <c r="DM114" s="637"/>
      <c r="DN114" s="637"/>
      <c r="DO114" s="637"/>
      <c r="DP114" s="49"/>
      <c r="DQ114" s="461"/>
      <c r="DR114" s="462"/>
      <c r="DS114" s="462"/>
      <c r="DT114" s="462"/>
      <c r="DU114" s="49"/>
      <c r="DV114" s="463"/>
      <c r="DW114" s="464"/>
      <c r="DX114" s="464"/>
      <c r="DY114" s="464"/>
      <c r="DZ114" s="49"/>
      <c r="EA114" s="465"/>
      <c r="EB114" s="466"/>
      <c r="EC114" s="426"/>
      <c r="ED114" s="456"/>
      <c r="EE114" s="47"/>
      <c r="EF114" s="16"/>
    </row>
    <row r="115" ht="17.25" customHeight="1">
      <c r="A115" s="16"/>
      <c r="B115" s="47"/>
      <c r="C115" s="170"/>
      <c r="D115" s="171"/>
      <c r="E115" s="49"/>
      <c r="F115" s="200"/>
      <c r="G115" s="200"/>
      <c r="H115" s="200" t="s">
        <v>230</v>
      </c>
      <c r="I115" s="200"/>
      <c r="J115" s="200"/>
      <c r="K115" s="200"/>
      <c r="L115" s="476"/>
      <c r="M115" s="200" t="s">
        <v>230</v>
      </c>
      <c r="N115" s="200"/>
      <c r="O115" s="200"/>
      <c r="P115" s="200"/>
      <c r="Q115" s="476"/>
      <c r="R115" s="200" t="s">
        <v>230</v>
      </c>
      <c r="S115" s="200"/>
      <c r="T115" s="200"/>
      <c r="U115" s="200"/>
      <c r="V115" s="476"/>
      <c r="W115" s="200" t="s">
        <v>230</v>
      </c>
      <c r="X115" s="200"/>
      <c r="Y115" s="200"/>
      <c r="Z115" s="200"/>
      <c r="AA115" s="476"/>
      <c r="AB115" s="200" t="s">
        <v>230</v>
      </c>
      <c r="AC115" s="200"/>
      <c r="AD115" s="200"/>
      <c r="AE115" s="200"/>
      <c r="AF115" s="200"/>
      <c r="AG115" s="200" t="s">
        <v>230</v>
      </c>
      <c r="AH115" s="200"/>
      <c r="AI115" s="200"/>
      <c r="AJ115" s="200"/>
      <c r="AK115" s="476"/>
      <c r="AL115" s="200" t="s">
        <v>230</v>
      </c>
      <c r="AM115" s="200"/>
      <c r="AN115" s="200"/>
      <c r="AO115" s="200"/>
      <c r="AP115" s="476"/>
      <c r="AQ115" s="200" t="s">
        <v>230</v>
      </c>
      <c r="AR115" s="200"/>
      <c r="AS115" s="200"/>
      <c r="AT115" s="200"/>
      <c r="AU115" s="425"/>
      <c r="AV115" s="545" t="s">
        <v>230</v>
      </c>
      <c r="AW115" s="425"/>
      <c r="AX115" s="49"/>
      <c r="AY115" s="296"/>
      <c r="AZ115" s="541"/>
      <c r="BA115" s="554" t="s">
        <v>230</v>
      </c>
      <c r="BB115" s="541"/>
      <c r="BC115" s="49"/>
      <c r="BD115" s="327"/>
      <c r="BE115" s="556"/>
      <c r="BF115" s="557" t="s">
        <v>230</v>
      </c>
      <c r="BG115" s="556"/>
      <c r="BH115" s="49"/>
      <c r="BI115" s="346"/>
      <c r="BJ115" s="558"/>
      <c r="BK115" s="587" t="s">
        <v>230</v>
      </c>
      <c r="BL115" s="558"/>
      <c r="BM115" s="49"/>
      <c r="BN115" s="429"/>
      <c r="BO115" s="485"/>
      <c r="BP115" s="596" t="s">
        <v>230</v>
      </c>
      <c r="BQ115" s="485"/>
      <c r="BR115" s="49"/>
      <c r="BS115" s="353"/>
      <c r="BT115" s="472"/>
      <c r="BU115" s="586" t="s">
        <v>230</v>
      </c>
      <c r="BV115" s="472"/>
      <c r="BW115" s="49"/>
      <c r="BX115" s="368"/>
      <c r="BY115" s="578"/>
      <c r="BZ115" s="593" t="s">
        <v>230</v>
      </c>
      <c r="CA115" s="578"/>
      <c r="CB115" s="49"/>
      <c r="CC115" s="388"/>
      <c r="CD115" s="488"/>
      <c r="CE115" s="595" t="s">
        <v>230</v>
      </c>
      <c r="CF115" s="595"/>
      <c r="CG115" s="49"/>
      <c r="CH115" s="402"/>
      <c r="CI115" s="439"/>
      <c r="CJ115" s="426" t="s">
        <v>230</v>
      </c>
      <c r="CK115" s="439"/>
      <c r="CL115" s="49"/>
      <c r="CM115" s="402"/>
      <c r="CN115" s="439"/>
      <c r="CO115" s="426" t="s">
        <v>230</v>
      </c>
      <c r="CP115" s="672"/>
      <c r="CQ115" s="49"/>
      <c r="CR115" s="419"/>
      <c r="CS115" s="487"/>
      <c r="CT115" s="575" t="s">
        <v>230</v>
      </c>
      <c r="CU115" s="729"/>
      <c r="CV115" s="49"/>
      <c r="CW115" s="453"/>
      <c r="CX115" s="455"/>
      <c r="CY115" s="631"/>
      <c r="CZ115" s="455"/>
      <c r="DA115" s="49"/>
      <c r="DB115" s="457"/>
      <c r="DC115" s="475"/>
      <c r="DD115" s="632"/>
      <c r="DE115" s="475"/>
      <c r="DF115" s="49"/>
      <c r="DG115" s="458"/>
      <c r="DH115" s="459"/>
      <c r="DI115" s="633"/>
      <c r="DJ115" s="459"/>
      <c r="DK115" s="49"/>
      <c r="DL115" s="620"/>
      <c r="DM115" s="637"/>
      <c r="DN115" s="637"/>
      <c r="DO115" s="637"/>
      <c r="DP115" s="49"/>
      <c r="DQ115" s="461"/>
      <c r="DR115" s="462"/>
      <c r="DS115" s="462"/>
      <c r="DT115" s="462"/>
      <c r="DU115" s="49"/>
      <c r="DV115" s="463"/>
      <c r="DW115" s="464"/>
      <c r="DX115" s="464"/>
      <c r="DY115" s="464"/>
      <c r="DZ115" s="49"/>
      <c r="EA115" s="465"/>
      <c r="EB115" s="466"/>
      <c r="EC115" s="426"/>
      <c r="ED115" s="456"/>
      <c r="EE115" s="47"/>
      <c r="EF115" s="16"/>
    </row>
    <row r="116" ht="17.25" customHeight="1">
      <c r="A116" s="16"/>
      <c r="B116" s="47"/>
      <c r="C116" s="170"/>
      <c r="D116" s="171"/>
      <c r="E116" s="49"/>
      <c r="F116" s="200"/>
      <c r="G116" s="200"/>
      <c r="H116" s="200" t="s">
        <v>230</v>
      </c>
      <c r="I116" s="200"/>
      <c r="J116" s="200"/>
      <c r="K116" s="200"/>
      <c r="L116" s="476"/>
      <c r="M116" s="200" t="s">
        <v>230</v>
      </c>
      <c r="N116" s="200"/>
      <c r="O116" s="200"/>
      <c r="P116" s="200"/>
      <c r="Q116" s="476"/>
      <c r="R116" s="200" t="s">
        <v>230</v>
      </c>
      <c r="S116" s="200"/>
      <c r="T116" s="200"/>
      <c r="U116" s="200"/>
      <c r="V116" s="476"/>
      <c r="W116" s="200" t="s">
        <v>230</v>
      </c>
      <c r="X116" s="200"/>
      <c r="Y116" s="200"/>
      <c r="Z116" s="200"/>
      <c r="AA116" s="476"/>
      <c r="AB116" s="200" t="s">
        <v>230</v>
      </c>
      <c r="AC116" s="200"/>
      <c r="AD116" s="200"/>
      <c r="AE116" s="200"/>
      <c r="AF116" s="200"/>
      <c r="AG116" s="200" t="s">
        <v>230</v>
      </c>
      <c r="AH116" s="200"/>
      <c r="AI116" s="200"/>
      <c r="AJ116" s="200"/>
      <c r="AK116" s="476"/>
      <c r="AL116" s="200" t="s">
        <v>230</v>
      </c>
      <c r="AM116" s="200"/>
      <c r="AN116" s="200"/>
      <c r="AO116" s="200"/>
      <c r="AP116" s="476"/>
      <c r="AQ116" s="200" t="s">
        <v>230</v>
      </c>
      <c r="AR116" s="200"/>
      <c r="AS116" s="200"/>
      <c r="AT116" s="200"/>
      <c r="AU116" s="425"/>
      <c r="AV116" s="545" t="s">
        <v>230</v>
      </c>
      <c r="AW116" s="425"/>
      <c r="AX116" s="49"/>
      <c r="AY116" s="296"/>
      <c r="AZ116" s="541"/>
      <c r="BA116" s="554" t="s">
        <v>230</v>
      </c>
      <c r="BB116" s="541"/>
      <c r="BC116" s="49"/>
      <c r="BD116" s="327"/>
      <c r="BE116" s="556"/>
      <c r="BF116" s="557" t="s">
        <v>230</v>
      </c>
      <c r="BG116" s="556"/>
      <c r="BH116" s="49"/>
      <c r="BI116" s="346"/>
      <c r="BJ116" s="558"/>
      <c r="BK116" s="587" t="s">
        <v>230</v>
      </c>
      <c r="BL116" s="558"/>
      <c r="BM116" s="49"/>
      <c r="BN116" s="429"/>
      <c r="BO116" s="485"/>
      <c r="BP116" s="596" t="s">
        <v>230</v>
      </c>
      <c r="BQ116" s="485"/>
      <c r="BR116" s="49"/>
      <c r="BS116" s="353"/>
      <c r="BT116" s="472"/>
      <c r="BU116" s="586" t="s">
        <v>230</v>
      </c>
      <c r="BV116" s="472"/>
      <c r="BW116" s="49"/>
      <c r="BX116" s="368"/>
      <c r="BY116" s="578"/>
      <c r="BZ116" s="593" t="s">
        <v>230</v>
      </c>
      <c r="CA116" s="578"/>
      <c r="CB116" s="49"/>
      <c r="CC116" s="388"/>
      <c r="CD116" s="488"/>
      <c r="CE116" s="595" t="s">
        <v>230</v>
      </c>
      <c r="CF116" s="595"/>
      <c r="CG116" s="49"/>
      <c r="CH116" s="402"/>
      <c r="CI116" s="439"/>
      <c r="CJ116" s="426" t="s">
        <v>230</v>
      </c>
      <c r="CK116" s="439"/>
      <c r="CL116" s="49"/>
      <c r="CM116" s="402"/>
      <c r="CN116" s="439"/>
      <c r="CO116" s="426" t="s">
        <v>230</v>
      </c>
      <c r="CP116" s="672"/>
      <c r="CQ116" s="49"/>
      <c r="CR116" s="419"/>
      <c r="CS116" s="487"/>
      <c r="CT116" s="575" t="s">
        <v>230</v>
      </c>
      <c r="CU116" s="729"/>
      <c r="CV116" s="49"/>
      <c r="CW116" s="453"/>
      <c r="CX116" s="455"/>
      <c r="CY116" s="631"/>
      <c r="CZ116" s="455"/>
      <c r="DA116" s="49"/>
      <c r="DB116" s="457"/>
      <c r="DC116" s="475"/>
      <c r="DD116" s="632"/>
      <c r="DE116" s="475"/>
      <c r="DF116" s="49"/>
      <c r="DG116" s="458"/>
      <c r="DH116" s="459"/>
      <c r="DI116" s="633"/>
      <c r="DJ116" s="459"/>
      <c r="DK116" s="49"/>
      <c r="DL116" s="620"/>
      <c r="DM116" s="637"/>
      <c r="DN116" s="637"/>
      <c r="DO116" s="637"/>
      <c r="DP116" s="49"/>
      <c r="DQ116" s="461"/>
      <c r="DR116" s="462"/>
      <c r="DS116" s="462"/>
      <c r="DT116" s="462"/>
      <c r="DU116" s="49"/>
      <c r="DV116" s="463"/>
      <c r="DW116" s="464"/>
      <c r="DX116" s="464"/>
      <c r="DY116" s="464"/>
      <c r="DZ116" s="49"/>
      <c r="EA116" s="465"/>
      <c r="EB116" s="466"/>
      <c r="EC116" s="426"/>
      <c r="ED116" s="456"/>
      <c r="EE116" s="47"/>
      <c r="EF116" s="16"/>
    </row>
    <row r="117" ht="17.25" customHeight="1">
      <c r="A117" s="16"/>
      <c r="B117" s="47"/>
      <c r="C117" s="170"/>
      <c r="D117" s="171"/>
      <c r="E117" s="49"/>
      <c r="F117" s="200"/>
      <c r="G117" s="200"/>
      <c r="H117" s="200" t="s">
        <v>230</v>
      </c>
      <c r="I117" s="200"/>
      <c r="J117" s="200"/>
      <c r="K117" s="200"/>
      <c r="L117" s="476"/>
      <c r="M117" s="200" t="s">
        <v>230</v>
      </c>
      <c r="N117" s="200"/>
      <c r="O117" s="200"/>
      <c r="P117" s="200"/>
      <c r="Q117" s="476"/>
      <c r="R117" s="200" t="s">
        <v>230</v>
      </c>
      <c r="S117" s="200"/>
      <c r="T117" s="200"/>
      <c r="U117" s="200"/>
      <c r="V117" s="476"/>
      <c r="W117" s="200" t="s">
        <v>230</v>
      </c>
      <c r="X117" s="200"/>
      <c r="Y117" s="200"/>
      <c r="Z117" s="200"/>
      <c r="AA117" s="476"/>
      <c r="AB117" s="200" t="s">
        <v>230</v>
      </c>
      <c r="AC117" s="200"/>
      <c r="AD117" s="200"/>
      <c r="AE117" s="200"/>
      <c r="AF117" s="200"/>
      <c r="AG117" s="200" t="s">
        <v>230</v>
      </c>
      <c r="AH117" s="200"/>
      <c r="AI117" s="200"/>
      <c r="AJ117" s="200"/>
      <c r="AK117" s="476"/>
      <c r="AL117" s="200" t="s">
        <v>230</v>
      </c>
      <c r="AM117" s="200"/>
      <c r="AN117" s="200"/>
      <c r="AO117" s="200"/>
      <c r="AP117" s="476"/>
      <c r="AQ117" s="200" t="s">
        <v>230</v>
      </c>
      <c r="AR117" s="200"/>
      <c r="AS117" s="200"/>
      <c r="AT117" s="200"/>
      <c r="AU117" s="425"/>
      <c r="AV117" s="545" t="s">
        <v>230</v>
      </c>
      <c r="AW117" s="425"/>
      <c r="AX117" s="49"/>
      <c r="AY117" s="296"/>
      <c r="AZ117" s="541"/>
      <c r="BA117" s="554" t="s">
        <v>230</v>
      </c>
      <c r="BB117" s="541"/>
      <c r="BC117" s="49"/>
      <c r="BD117" s="327"/>
      <c r="BE117" s="556"/>
      <c r="BF117" s="557" t="s">
        <v>230</v>
      </c>
      <c r="BG117" s="556"/>
      <c r="BH117" s="49"/>
      <c r="BI117" s="346"/>
      <c r="BJ117" s="558"/>
      <c r="BK117" s="587" t="s">
        <v>230</v>
      </c>
      <c r="BL117" s="558"/>
      <c r="BM117" s="49"/>
      <c r="BN117" s="429"/>
      <c r="BO117" s="485"/>
      <c r="BP117" s="596" t="s">
        <v>230</v>
      </c>
      <c r="BQ117" s="485"/>
      <c r="BR117" s="49"/>
      <c r="BS117" s="353"/>
      <c r="BT117" s="472"/>
      <c r="BU117" s="586" t="s">
        <v>230</v>
      </c>
      <c r="BV117" s="472"/>
      <c r="BW117" s="49"/>
      <c r="BX117" s="368"/>
      <c r="BY117" s="578"/>
      <c r="BZ117" s="593" t="s">
        <v>230</v>
      </c>
      <c r="CA117" s="578"/>
      <c r="CB117" s="49"/>
      <c r="CC117" s="388"/>
      <c r="CD117" s="488"/>
      <c r="CE117" s="595" t="s">
        <v>230</v>
      </c>
      <c r="CF117" s="595"/>
      <c r="CG117" s="49"/>
      <c r="CH117" s="402"/>
      <c r="CI117" s="439"/>
      <c r="CJ117" s="426" t="s">
        <v>230</v>
      </c>
      <c r="CK117" s="439"/>
      <c r="CL117" s="49"/>
      <c r="CM117" s="402"/>
      <c r="CN117" s="439"/>
      <c r="CO117" s="426" t="s">
        <v>230</v>
      </c>
      <c r="CP117" s="672"/>
      <c r="CQ117" s="49"/>
      <c r="CR117" s="419"/>
      <c r="CS117" s="487"/>
      <c r="CT117" s="575" t="s">
        <v>230</v>
      </c>
      <c r="CU117" s="729"/>
      <c r="CV117" s="49"/>
      <c r="CW117" s="453"/>
      <c r="CX117" s="455"/>
      <c r="CY117" s="631"/>
      <c r="CZ117" s="455"/>
      <c r="DA117" s="49"/>
      <c r="DB117" s="457"/>
      <c r="DC117" s="475"/>
      <c r="DD117" s="632"/>
      <c r="DE117" s="475"/>
      <c r="DF117" s="49"/>
      <c r="DG117" s="458"/>
      <c r="DH117" s="459"/>
      <c r="DI117" s="633"/>
      <c r="DJ117" s="459"/>
      <c r="DK117" s="49"/>
      <c r="DL117" s="620"/>
      <c r="DM117" s="637"/>
      <c r="DN117" s="637"/>
      <c r="DO117" s="637"/>
      <c r="DP117" s="49"/>
      <c r="DQ117" s="461"/>
      <c r="DR117" s="462"/>
      <c r="DS117" s="462"/>
      <c r="DT117" s="462"/>
      <c r="DU117" s="49"/>
      <c r="DV117" s="463"/>
      <c r="DW117" s="464"/>
      <c r="DX117" s="464"/>
      <c r="DY117" s="464"/>
      <c r="DZ117" s="49"/>
      <c r="EA117" s="465"/>
      <c r="EB117" s="466"/>
      <c r="EC117" s="426"/>
      <c r="ED117" s="456"/>
      <c r="EE117" s="47"/>
      <c r="EF117" s="16"/>
    </row>
    <row r="118" ht="17.25" customHeight="1">
      <c r="A118" s="16"/>
      <c r="B118" s="47"/>
      <c r="C118" s="170"/>
      <c r="D118" s="171"/>
      <c r="E118" s="49"/>
      <c r="F118" s="200"/>
      <c r="G118" s="200"/>
      <c r="H118" s="200" t="s">
        <v>230</v>
      </c>
      <c r="I118" s="200"/>
      <c r="J118" s="200"/>
      <c r="K118" s="200"/>
      <c r="L118" s="476"/>
      <c r="M118" s="200" t="s">
        <v>230</v>
      </c>
      <c r="N118" s="200"/>
      <c r="O118" s="200"/>
      <c r="P118" s="200"/>
      <c r="Q118" s="476"/>
      <c r="R118" s="200" t="s">
        <v>230</v>
      </c>
      <c r="S118" s="200"/>
      <c r="T118" s="200"/>
      <c r="U118" s="200"/>
      <c r="V118" s="476"/>
      <c r="W118" s="200" t="s">
        <v>230</v>
      </c>
      <c r="X118" s="200"/>
      <c r="Y118" s="200"/>
      <c r="Z118" s="200"/>
      <c r="AA118" s="476"/>
      <c r="AB118" s="200" t="s">
        <v>230</v>
      </c>
      <c r="AC118" s="200"/>
      <c r="AD118" s="200"/>
      <c r="AE118" s="200"/>
      <c r="AF118" s="200"/>
      <c r="AG118" s="200" t="s">
        <v>230</v>
      </c>
      <c r="AH118" s="200"/>
      <c r="AI118" s="200"/>
      <c r="AJ118" s="200"/>
      <c r="AK118" s="476"/>
      <c r="AL118" s="200" t="s">
        <v>230</v>
      </c>
      <c r="AM118" s="200"/>
      <c r="AN118" s="200"/>
      <c r="AO118" s="200"/>
      <c r="AP118" s="476"/>
      <c r="AQ118" s="200" t="s">
        <v>230</v>
      </c>
      <c r="AR118" s="200"/>
      <c r="AS118" s="200"/>
      <c r="AT118" s="200"/>
      <c r="AU118" s="425"/>
      <c r="AV118" s="545" t="s">
        <v>230</v>
      </c>
      <c r="AW118" s="425"/>
      <c r="AX118" s="49"/>
      <c r="AY118" s="296"/>
      <c r="AZ118" s="541"/>
      <c r="BA118" s="554" t="s">
        <v>230</v>
      </c>
      <c r="BB118" s="541"/>
      <c r="BC118" s="49"/>
      <c r="BD118" s="327"/>
      <c r="BE118" s="556"/>
      <c r="BF118" s="557" t="s">
        <v>230</v>
      </c>
      <c r="BG118" s="556"/>
      <c r="BH118" s="49"/>
      <c r="BI118" s="346"/>
      <c r="BJ118" s="558"/>
      <c r="BK118" s="587" t="s">
        <v>230</v>
      </c>
      <c r="BL118" s="558"/>
      <c r="BM118" s="49"/>
      <c r="BN118" s="429"/>
      <c r="BO118" s="485"/>
      <c r="BP118" s="596" t="s">
        <v>230</v>
      </c>
      <c r="BQ118" s="485"/>
      <c r="BR118" s="49"/>
      <c r="BS118" s="353"/>
      <c r="BT118" s="472"/>
      <c r="BU118" s="586" t="s">
        <v>230</v>
      </c>
      <c r="BV118" s="472"/>
      <c r="BW118" s="49"/>
      <c r="BX118" s="368"/>
      <c r="BY118" s="578"/>
      <c r="BZ118" s="593" t="s">
        <v>230</v>
      </c>
      <c r="CA118" s="578"/>
      <c r="CB118" s="49"/>
      <c r="CC118" s="388"/>
      <c r="CD118" s="488"/>
      <c r="CE118" s="595" t="s">
        <v>230</v>
      </c>
      <c r="CF118" s="595"/>
      <c r="CG118" s="49"/>
      <c r="CH118" s="402"/>
      <c r="CI118" s="439"/>
      <c r="CJ118" s="426" t="s">
        <v>230</v>
      </c>
      <c r="CK118" s="439"/>
      <c r="CL118" s="49"/>
      <c r="CM118" s="402"/>
      <c r="CN118" s="439"/>
      <c r="CO118" s="426" t="s">
        <v>230</v>
      </c>
      <c r="CP118" s="672"/>
      <c r="CQ118" s="49"/>
      <c r="CR118" s="419"/>
      <c r="CS118" s="487"/>
      <c r="CT118" s="575" t="s">
        <v>230</v>
      </c>
      <c r="CU118" s="729"/>
      <c r="CV118" s="49"/>
      <c r="CW118" s="453"/>
      <c r="CX118" s="455"/>
      <c r="CY118" s="631"/>
      <c r="CZ118" s="455"/>
      <c r="DA118" s="49"/>
      <c r="DB118" s="457"/>
      <c r="DC118" s="475"/>
      <c r="DD118" s="632"/>
      <c r="DE118" s="475"/>
      <c r="DF118" s="49"/>
      <c r="DG118" s="458"/>
      <c r="DH118" s="459"/>
      <c r="DI118" s="633"/>
      <c r="DJ118" s="459"/>
      <c r="DK118" s="49"/>
      <c r="DL118" s="620"/>
      <c r="DM118" s="637"/>
      <c r="DN118" s="637"/>
      <c r="DO118" s="637"/>
      <c r="DP118" s="49"/>
      <c r="DQ118" s="461"/>
      <c r="DR118" s="462"/>
      <c r="DS118" s="462"/>
      <c r="DT118" s="462"/>
      <c r="DU118" s="49"/>
      <c r="DV118" s="463"/>
      <c r="DW118" s="464"/>
      <c r="DX118" s="464"/>
      <c r="DY118" s="464"/>
      <c r="DZ118" s="49"/>
      <c r="EA118" s="465"/>
      <c r="EB118" s="466"/>
      <c r="EC118" s="426"/>
      <c r="ED118" s="456"/>
      <c r="EE118" s="47"/>
      <c r="EF118" s="16"/>
    </row>
    <row r="119" ht="17.25" customHeight="1">
      <c r="A119" s="16"/>
      <c r="B119" s="47"/>
      <c r="C119" s="170"/>
      <c r="D119" s="171"/>
      <c r="E119" s="49"/>
      <c r="F119" s="200"/>
      <c r="G119" s="200"/>
      <c r="H119" s="200" t="s">
        <v>230</v>
      </c>
      <c r="I119" s="200"/>
      <c r="J119" s="200"/>
      <c r="K119" s="200"/>
      <c r="L119" s="476"/>
      <c r="M119" s="200" t="s">
        <v>230</v>
      </c>
      <c r="N119" s="200"/>
      <c r="O119" s="200"/>
      <c r="P119" s="200"/>
      <c r="Q119" s="476"/>
      <c r="R119" s="200" t="s">
        <v>230</v>
      </c>
      <c r="S119" s="200"/>
      <c r="T119" s="200"/>
      <c r="U119" s="200"/>
      <c r="V119" s="476"/>
      <c r="W119" s="200" t="s">
        <v>230</v>
      </c>
      <c r="X119" s="200"/>
      <c r="Y119" s="200"/>
      <c r="Z119" s="200"/>
      <c r="AA119" s="476"/>
      <c r="AB119" s="200" t="s">
        <v>230</v>
      </c>
      <c r="AC119" s="200"/>
      <c r="AD119" s="200"/>
      <c r="AE119" s="200"/>
      <c r="AF119" s="200"/>
      <c r="AG119" s="200" t="s">
        <v>230</v>
      </c>
      <c r="AH119" s="200"/>
      <c r="AI119" s="200"/>
      <c r="AJ119" s="200"/>
      <c r="AK119" s="476"/>
      <c r="AL119" s="200" t="s">
        <v>230</v>
      </c>
      <c r="AM119" s="200"/>
      <c r="AN119" s="200"/>
      <c r="AO119" s="200"/>
      <c r="AP119" s="476"/>
      <c r="AQ119" s="200" t="s">
        <v>230</v>
      </c>
      <c r="AR119" s="200"/>
      <c r="AS119" s="200"/>
      <c r="AT119" s="200"/>
      <c r="AU119" s="425"/>
      <c r="AV119" s="545" t="s">
        <v>230</v>
      </c>
      <c r="AW119" s="425"/>
      <c r="AX119" s="49"/>
      <c r="AY119" s="296"/>
      <c r="AZ119" s="541"/>
      <c r="BA119" s="554" t="s">
        <v>230</v>
      </c>
      <c r="BB119" s="541"/>
      <c r="BC119" s="49"/>
      <c r="BD119" s="327"/>
      <c r="BE119" s="556"/>
      <c r="BF119" s="557" t="s">
        <v>230</v>
      </c>
      <c r="BG119" s="556"/>
      <c r="BH119" s="49"/>
      <c r="BI119" s="346"/>
      <c r="BJ119" s="558"/>
      <c r="BK119" s="587" t="s">
        <v>230</v>
      </c>
      <c r="BL119" s="558"/>
      <c r="BM119" s="49"/>
      <c r="BN119" s="429"/>
      <c r="BO119" s="485"/>
      <c r="BP119" s="596" t="s">
        <v>230</v>
      </c>
      <c r="BQ119" s="485"/>
      <c r="BR119" s="49"/>
      <c r="BS119" s="353"/>
      <c r="BT119" s="472"/>
      <c r="BU119" s="586" t="s">
        <v>230</v>
      </c>
      <c r="BV119" s="472"/>
      <c r="BW119" s="49"/>
      <c r="BX119" s="368"/>
      <c r="BY119" s="578"/>
      <c r="BZ119" s="593" t="s">
        <v>230</v>
      </c>
      <c r="CA119" s="578"/>
      <c r="CB119" s="49"/>
      <c r="CC119" s="388"/>
      <c r="CD119" s="488"/>
      <c r="CE119" s="595" t="s">
        <v>230</v>
      </c>
      <c r="CF119" s="595"/>
      <c r="CG119" s="49"/>
      <c r="CH119" s="402"/>
      <c r="CI119" s="439"/>
      <c r="CJ119" s="426" t="s">
        <v>230</v>
      </c>
      <c r="CK119" s="439"/>
      <c r="CL119" s="49"/>
      <c r="CM119" s="402"/>
      <c r="CN119" s="439"/>
      <c r="CO119" s="426" t="s">
        <v>230</v>
      </c>
      <c r="CP119" s="672"/>
      <c r="CQ119" s="49"/>
      <c r="CR119" s="419"/>
      <c r="CS119" s="487"/>
      <c r="CT119" s="575" t="s">
        <v>230</v>
      </c>
      <c r="CU119" s="729"/>
      <c r="CV119" s="49"/>
      <c r="CW119" s="453"/>
      <c r="CX119" s="455"/>
      <c r="CY119" s="631"/>
      <c r="CZ119" s="455"/>
      <c r="DA119" s="49"/>
      <c r="DB119" s="457"/>
      <c r="DC119" s="475"/>
      <c r="DD119" s="632"/>
      <c r="DE119" s="475"/>
      <c r="DF119" s="49"/>
      <c r="DG119" s="458"/>
      <c r="DH119" s="459"/>
      <c r="DI119" s="633"/>
      <c r="DJ119" s="459"/>
      <c r="DK119" s="49"/>
      <c r="DL119" s="620"/>
      <c r="DM119" s="637"/>
      <c r="DN119" s="637"/>
      <c r="DO119" s="637"/>
      <c r="DP119" s="49"/>
      <c r="DQ119" s="461"/>
      <c r="DR119" s="462"/>
      <c r="DS119" s="462"/>
      <c r="DT119" s="462"/>
      <c r="DU119" s="49"/>
      <c r="DV119" s="463"/>
      <c r="DW119" s="464"/>
      <c r="DX119" s="464"/>
      <c r="DY119" s="464"/>
      <c r="DZ119" s="49"/>
      <c r="EA119" s="465"/>
      <c r="EB119" s="466"/>
      <c r="EC119" s="426"/>
      <c r="ED119" s="456"/>
      <c r="EE119" s="47"/>
      <c r="EF119" s="16"/>
    </row>
    <row r="120" ht="17.25" customHeight="1">
      <c r="A120" s="16"/>
      <c r="B120" s="47"/>
      <c r="C120" s="170"/>
      <c r="D120" s="171"/>
      <c r="E120" s="49"/>
      <c r="F120" s="200"/>
      <c r="G120" s="200"/>
      <c r="H120" s="200" t="s">
        <v>230</v>
      </c>
      <c r="I120" s="200"/>
      <c r="J120" s="200"/>
      <c r="K120" s="200"/>
      <c r="L120" s="476"/>
      <c r="M120" s="200" t="s">
        <v>230</v>
      </c>
      <c r="N120" s="200"/>
      <c r="O120" s="200"/>
      <c r="P120" s="200"/>
      <c r="Q120" s="476"/>
      <c r="R120" s="200" t="s">
        <v>230</v>
      </c>
      <c r="S120" s="200"/>
      <c r="T120" s="200"/>
      <c r="U120" s="200"/>
      <c r="V120" s="476"/>
      <c r="W120" s="200" t="s">
        <v>230</v>
      </c>
      <c r="X120" s="200"/>
      <c r="Y120" s="200"/>
      <c r="Z120" s="200"/>
      <c r="AA120" s="476"/>
      <c r="AB120" s="200" t="s">
        <v>230</v>
      </c>
      <c r="AC120" s="200"/>
      <c r="AD120" s="200"/>
      <c r="AE120" s="200"/>
      <c r="AF120" s="200"/>
      <c r="AG120" s="200" t="s">
        <v>230</v>
      </c>
      <c r="AH120" s="200"/>
      <c r="AI120" s="200"/>
      <c r="AJ120" s="200"/>
      <c r="AK120" s="476"/>
      <c r="AL120" s="200" t="s">
        <v>230</v>
      </c>
      <c r="AM120" s="200"/>
      <c r="AN120" s="200"/>
      <c r="AO120" s="200"/>
      <c r="AP120" s="476"/>
      <c r="AQ120" s="200" t="s">
        <v>230</v>
      </c>
      <c r="AR120" s="200"/>
      <c r="AS120" s="200"/>
      <c r="AT120" s="200"/>
      <c r="AU120" s="425"/>
      <c r="AV120" s="545" t="s">
        <v>230</v>
      </c>
      <c r="AW120" s="425"/>
      <c r="AX120" s="49"/>
      <c r="AY120" s="296"/>
      <c r="AZ120" s="541"/>
      <c r="BA120" s="554" t="s">
        <v>230</v>
      </c>
      <c r="BB120" s="541"/>
      <c r="BC120" s="49"/>
      <c r="BD120" s="327"/>
      <c r="BE120" s="556"/>
      <c r="BF120" s="557" t="s">
        <v>230</v>
      </c>
      <c r="BG120" s="556"/>
      <c r="BH120" s="49"/>
      <c r="BI120" s="346"/>
      <c r="BJ120" s="558"/>
      <c r="BK120" s="587" t="s">
        <v>230</v>
      </c>
      <c r="BL120" s="558"/>
      <c r="BM120" s="49"/>
      <c r="BN120" s="429"/>
      <c r="BO120" s="485"/>
      <c r="BP120" s="596" t="s">
        <v>230</v>
      </c>
      <c r="BQ120" s="485"/>
      <c r="BR120" s="49"/>
      <c r="BS120" s="353"/>
      <c r="BT120" s="472"/>
      <c r="BU120" s="586" t="s">
        <v>230</v>
      </c>
      <c r="BV120" s="472"/>
      <c r="BW120" s="49"/>
      <c r="BX120" s="368"/>
      <c r="BY120" s="578"/>
      <c r="BZ120" s="593" t="s">
        <v>230</v>
      </c>
      <c r="CA120" s="578"/>
      <c r="CB120" s="49"/>
      <c r="CC120" s="388"/>
      <c r="CD120" s="488"/>
      <c r="CE120" s="595" t="s">
        <v>230</v>
      </c>
      <c r="CF120" s="595"/>
      <c r="CG120" s="49"/>
      <c r="CH120" s="402"/>
      <c r="CI120" s="439"/>
      <c r="CJ120" s="426" t="s">
        <v>230</v>
      </c>
      <c r="CK120" s="439"/>
      <c r="CL120" s="49"/>
      <c r="CM120" s="402"/>
      <c r="CN120" s="439"/>
      <c r="CO120" s="426" t="s">
        <v>230</v>
      </c>
      <c r="CP120" s="672"/>
      <c r="CQ120" s="49"/>
      <c r="CR120" s="419"/>
      <c r="CS120" s="487"/>
      <c r="CT120" s="575" t="s">
        <v>230</v>
      </c>
      <c r="CU120" s="729"/>
      <c r="CV120" s="49"/>
      <c r="CW120" s="453"/>
      <c r="CX120" s="455"/>
      <c r="CY120" s="631"/>
      <c r="CZ120" s="455"/>
      <c r="DA120" s="49"/>
      <c r="DB120" s="457"/>
      <c r="DC120" s="475"/>
      <c r="DD120" s="632"/>
      <c r="DE120" s="475"/>
      <c r="DF120" s="49"/>
      <c r="DG120" s="458"/>
      <c r="DH120" s="459"/>
      <c r="DI120" s="633"/>
      <c r="DJ120" s="459"/>
      <c r="DK120" s="49"/>
      <c r="DL120" s="620"/>
      <c r="DM120" s="637"/>
      <c r="DN120" s="637"/>
      <c r="DO120" s="637"/>
      <c r="DP120" s="49"/>
      <c r="DQ120" s="461"/>
      <c r="DR120" s="462"/>
      <c r="DS120" s="462"/>
      <c r="DT120" s="462"/>
      <c r="DU120" s="49"/>
      <c r="DV120" s="463"/>
      <c r="DW120" s="464"/>
      <c r="DX120" s="464"/>
      <c r="DY120" s="464"/>
      <c r="DZ120" s="49"/>
      <c r="EA120" s="465"/>
      <c r="EB120" s="466"/>
      <c r="EC120" s="426"/>
      <c r="ED120" s="456"/>
      <c r="EE120" s="47"/>
      <c r="EF120" s="16"/>
    </row>
    <row r="121" ht="17.25" customHeight="1">
      <c r="A121" s="16"/>
      <c r="B121" s="47"/>
      <c r="C121" s="170"/>
      <c r="D121" s="171"/>
      <c r="E121" s="49"/>
      <c r="F121" s="200"/>
      <c r="G121" s="200"/>
      <c r="H121" s="200" t="s">
        <v>230</v>
      </c>
      <c r="I121" s="200"/>
      <c r="J121" s="200"/>
      <c r="K121" s="200"/>
      <c r="L121" s="476"/>
      <c r="M121" s="200" t="s">
        <v>230</v>
      </c>
      <c r="N121" s="200"/>
      <c r="O121" s="200"/>
      <c r="P121" s="200"/>
      <c r="Q121" s="476"/>
      <c r="R121" s="200" t="s">
        <v>230</v>
      </c>
      <c r="S121" s="200"/>
      <c r="T121" s="200"/>
      <c r="U121" s="200"/>
      <c r="V121" s="476"/>
      <c r="W121" s="200" t="s">
        <v>230</v>
      </c>
      <c r="X121" s="200"/>
      <c r="Y121" s="200"/>
      <c r="Z121" s="200"/>
      <c r="AA121" s="476"/>
      <c r="AB121" s="200" t="s">
        <v>230</v>
      </c>
      <c r="AC121" s="200"/>
      <c r="AD121" s="200"/>
      <c r="AE121" s="200"/>
      <c r="AF121" s="200"/>
      <c r="AG121" s="200" t="s">
        <v>230</v>
      </c>
      <c r="AH121" s="200"/>
      <c r="AI121" s="200"/>
      <c r="AJ121" s="200"/>
      <c r="AK121" s="476"/>
      <c r="AL121" s="200" t="s">
        <v>230</v>
      </c>
      <c r="AM121" s="200"/>
      <c r="AN121" s="200"/>
      <c r="AO121" s="200"/>
      <c r="AP121" s="476"/>
      <c r="AQ121" s="200" t="s">
        <v>230</v>
      </c>
      <c r="AR121" s="200"/>
      <c r="AS121" s="200"/>
      <c r="AT121" s="200"/>
      <c r="AU121" s="425"/>
      <c r="AV121" s="545" t="s">
        <v>230</v>
      </c>
      <c r="AW121" s="425"/>
      <c r="AX121" s="49"/>
      <c r="AY121" s="296"/>
      <c r="AZ121" s="541"/>
      <c r="BA121" s="554" t="s">
        <v>230</v>
      </c>
      <c r="BB121" s="541"/>
      <c r="BC121" s="49"/>
      <c r="BD121" s="327"/>
      <c r="BE121" s="556"/>
      <c r="BF121" s="557" t="s">
        <v>230</v>
      </c>
      <c r="BG121" s="556"/>
      <c r="BH121" s="49"/>
      <c r="BI121" s="346"/>
      <c r="BJ121" s="558"/>
      <c r="BK121" s="587" t="s">
        <v>230</v>
      </c>
      <c r="BL121" s="558"/>
      <c r="BM121" s="49"/>
      <c r="BN121" s="429"/>
      <c r="BO121" s="485"/>
      <c r="BP121" s="596" t="s">
        <v>230</v>
      </c>
      <c r="BQ121" s="485"/>
      <c r="BR121" s="49"/>
      <c r="BS121" s="353"/>
      <c r="BT121" s="472"/>
      <c r="BU121" s="586" t="s">
        <v>230</v>
      </c>
      <c r="BV121" s="472"/>
      <c r="BW121" s="49"/>
      <c r="BX121" s="368"/>
      <c r="BY121" s="578"/>
      <c r="BZ121" s="593" t="s">
        <v>230</v>
      </c>
      <c r="CA121" s="578"/>
      <c r="CB121" s="49"/>
      <c r="CC121" s="388"/>
      <c r="CD121" s="488"/>
      <c r="CE121" s="595" t="s">
        <v>230</v>
      </c>
      <c r="CF121" s="595"/>
      <c r="CG121" s="49"/>
      <c r="CH121" s="402"/>
      <c r="CI121" s="439"/>
      <c r="CJ121" s="426" t="s">
        <v>230</v>
      </c>
      <c r="CK121" s="439"/>
      <c r="CL121" s="49"/>
      <c r="CM121" s="402"/>
      <c r="CN121" s="439"/>
      <c r="CO121" s="426" t="s">
        <v>230</v>
      </c>
      <c r="CP121" s="672"/>
      <c r="CQ121" s="49"/>
      <c r="CR121" s="419"/>
      <c r="CS121" s="487"/>
      <c r="CT121" s="575" t="s">
        <v>230</v>
      </c>
      <c r="CU121" s="729"/>
      <c r="CV121" s="49"/>
      <c r="CW121" s="453"/>
      <c r="CX121" s="455"/>
      <c r="CY121" s="631"/>
      <c r="CZ121" s="455"/>
      <c r="DA121" s="49"/>
      <c r="DB121" s="457"/>
      <c r="DC121" s="475"/>
      <c r="DD121" s="632"/>
      <c r="DE121" s="475"/>
      <c r="DF121" s="49"/>
      <c r="DG121" s="458"/>
      <c r="DH121" s="459"/>
      <c r="DI121" s="633"/>
      <c r="DJ121" s="459"/>
      <c r="DK121" s="49"/>
      <c r="DL121" s="620"/>
      <c r="DM121" s="637"/>
      <c r="DN121" s="637"/>
      <c r="DO121" s="637"/>
      <c r="DP121" s="49"/>
      <c r="DQ121" s="461"/>
      <c r="DR121" s="462"/>
      <c r="DS121" s="462"/>
      <c r="DT121" s="462"/>
      <c r="DU121" s="49"/>
      <c r="DV121" s="463"/>
      <c r="DW121" s="464"/>
      <c r="DX121" s="464"/>
      <c r="DY121" s="464"/>
      <c r="DZ121" s="49"/>
      <c r="EA121" s="465"/>
      <c r="EB121" s="466"/>
      <c r="EC121" s="426"/>
      <c r="ED121" s="456"/>
      <c r="EE121" s="47"/>
      <c r="EF121" s="16"/>
    </row>
    <row r="122" ht="17.25" customHeight="1">
      <c r="A122" s="16"/>
      <c r="B122" s="47"/>
      <c r="C122" s="170"/>
      <c r="D122" s="171"/>
      <c r="E122" s="49"/>
      <c r="F122" s="200"/>
      <c r="G122" s="200"/>
      <c r="H122" s="200" t="s">
        <v>230</v>
      </c>
      <c r="I122" s="200"/>
      <c r="J122" s="200"/>
      <c r="K122" s="200"/>
      <c r="L122" s="476"/>
      <c r="M122" s="200" t="s">
        <v>230</v>
      </c>
      <c r="N122" s="200"/>
      <c r="O122" s="200"/>
      <c r="P122" s="200"/>
      <c r="Q122" s="476"/>
      <c r="R122" s="200" t="s">
        <v>230</v>
      </c>
      <c r="S122" s="200"/>
      <c r="T122" s="200"/>
      <c r="U122" s="200"/>
      <c r="V122" s="476"/>
      <c r="W122" s="200" t="s">
        <v>230</v>
      </c>
      <c r="X122" s="200"/>
      <c r="Y122" s="200"/>
      <c r="Z122" s="200"/>
      <c r="AA122" s="476"/>
      <c r="AB122" s="200" t="s">
        <v>230</v>
      </c>
      <c r="AC122" s="200"/>
      <c r="AD122" s="200"/>
      <c r="AE122" s="200"/>
      <c r="AF122" s="200"/>
      <c r="AG122" s="200" t="s">
        <v>230</v>
      </c>
      <c r="AH122" s="200"/>
      <c r="AI122" s="200"/>
      <c r="AJ122" s="200"/>
      <c r="AK122" s="476"/>
      <c r="AL122" s="200" t="s">
        <v>230</v>
      </c>
      <c r="AM122" s="200"/>
      <c r="AN122" s="200"/>
      <c r="AO122" s="200"/>
      <c r="AP122" s="476"/>
      <c r="AQ122" s="200" t="s">
        <v>230</v>
      </c>
      <c r="AR122" s="200"/>
      <c r="AS122" s="200"/>
      <c r="AT122" s="200"/>
      <c r="AU122" s="425"/>
      <c r="AV122" s="545" t="s">
        <v>230</v>
      </c>
      <c r="AW122" s="425"/>
      <c r="AX122" s="49"/>
      <c r="AY122" s="296"/>
      <c r="AZ122" s="541"/>
      <c r="BA122" s="554" t="s">
        <v>230</v>
      </c>
      <c r="BB122" s="541"/>
      <c r="BC122" s="49"/>
      <c r="BD122" s="327"/>
      <c r="BE122" s="556"/>
      <c r="BF122" s="557" t="s">
        <v>230</v>
      </c>
      <c r="BG122" s="556"/>
      <c r="BH122" s="49"/>
      <c r="BI122" s="346"/>
      <c r="BJ122" s="558"/>
      <c r="BK122" s="587" t="s">
        <v>230</v>
      </c>
      <c r="BL122" s="558"/>
      <c r="BM122" s="49"/>
      <c r="BN122" s="429"/>
      <c r="BO122" s="485"/>
      <c r="BP122" s="596" t="s">
        <v>230</v>
      </c>
      <c r="BQ122" s="485"/>
      <c r="BR122" s="49"/>
      <c r="BS122" s="353"/>
      <c r="BT122" s="472"/>
      <c r="BU122" s="586" t="s">
        <v>230</v>
      </c>
      <c r="BV122" s="472"/>
      <c r="BW122" s="49"/>
      <c r="BX122" s="368"/>
      <c r="BY122" s="578"/>
      <c r="BZ122" s="593" t="s">
        <v>230</v>
      </c>
      <c r="CA122" s="578"/>
      <c r="CB122" s="49"/>
      <c r="CC122" s="388"/>
      <c r="CD122" s="488"/>
      <c r="CE122" s="595" t="s">
        <v>230</v>
      </c>
      <c r="CF122" s="595"/>
      <c r="CG122" s="49"/>
      <c r="CH122" s="402"/>
      <c r="CI122" s="439"/>
      <c r="CJ122" s="426" t="s">
        <v>230</v>
      </c>
      <c r="CK122" s="439"/>
      <c r="CL122" s="49"/>
      <c r="CM122" s="402"/>
      <c r="CN122" s="439"/>
      <c r="CO122" s="426" t="s">
        <v>230</v>
      </c>
      <c r="CP122" s="672"/>
      <c r="CQ122" s="49"/>
      <c r="CR122" s="419"/>
      <c r="CS122" s="487"/>
      <c r="CT122" s="575" t="s">
        <v>230</v>
      </c>
      <c r="CU122" s="729"/>
      <c r="CV122" s="49"/>
      <c r="CW122" s="453"/>
      <c r="CX122" s="455"/>
      <c r="CY122" s="631"/>
      <c r="CZ122" s="455"/>
      <c r="DA122" s="49"/>
      <c r="DB122" s="457"/>
      <c r="DC122" s="475"/>
      <c r="DD122" s="632"/>
      <c r="DE122" s="475"/>
      <c r="DF122" s="49"/>
      <c r="DG122" s="458"/>
      <c r="DH122" s="459"/>
      <c r="DI122" s="633"/>
      <c r="DJ122" s="459"/>
      <c r="DK122" s="49"/>
      <c r="DL122" s="620"/>
      <c r="DM122" s="637"/>
      <c r="DN122" s="637"/>
      <c r="DO122" s="637"/>
      <c r="DP122" s="49"/>
      <c r="DQ122" s="461"/>
      <c r="DR122" s="462"/>
      <c r="DS122" s="462"/>
      <c r="DT122" s="462"/>
      <c r="DU122" s="49"/>
      <c r="DV122" s="463"/>
      <c r="DW122" s="464"/>
      <c r="DX122" s="464"/>
      <c r="DY122" s="464"/>
      <c r="DZ122" s="49"/>
      <c r="EA122" s="465"/>
      <c r="EB122" s="466"/>
      <c r="EC122" s="426"/>
      <c r="ED122" s="456"/>
      <c r="EE122" s="47"/>
      <c r="EF122" s="16"/>
    </row>
    <row r="123" ht="17.25" customHeight="1">
      <c r="A123" s="16"/>
      <c r="B123" s="47"/>
      <c r="C123" s="170"/>
      <c r="D123" s="171"/>
      <c r="E123" s="49"/>
      <c r="F123" s="200"/>
      <c r="G123" s="200"/>
      <c r="H123" s="200" t="s">
        <v>230</v>
      </c>
      <c r="I123" s="200"/>
      <c r="J123" s="200"/>
      <c r="K123" s="200"/>
      <c r="L123" s="476"/>
      <c r="M123" s="200" t="s">
        <v>230</v>
      </c>
      <c r="N123" s="200"/>
      <c r="O123" s="200"/>
      <c r="P123" s="200"/>
      <c r="Q123" s="476"/>
      <c r="R123" s="200" t="s">
        <v>230</v>
      </c>
      <c r="S123" s="200"/>
      <c r="T123" s="200"/>
      <c r="U123" s="200"/>
      <c r="V123" s="476"/>
      <c r="W123" s="200" t="s">
        <v>230</v>
      </c>
      <c r="X123" s="200"/>
      <c r="Y123" s="200"/>
      <c r="Z123" s="200"/>
      <c r="AA123" s="476"/>
      <c r="AB123" s="200" t="s">
        <v>230</v>
      </c>
      <c r="AC123" s="200"/>
      <c r="AD123" s="200"/>
      <c r="AE123" s="200"/>
      <c r="AF123" s="200"/>
      <c r="AG123" s="200" t="s">
        <v>230</v>
      </c>
      <c r="AH123" s="200"/>
      <c r="AI123" s="200"/>
      <c r="AJ123" s="200"/>
      <c r="AK123" s="476"/>
      <c r="AL123" s="200" t="s">
        <v>230</v>
      </c>
      <c r="AM123" s="200"/>
      <c r="AN123" s="200"/>
      <c r="AO123" s="200"/>
      <c r="AP123" s="476"/>
      <c r="AQ123" s="200" t="s">
        <v>230</v>
      </c>
      <c r="AR123" s="200"/>
      <c r="AS123" s="200"/>
      <c r="AT123" s="200"/>
      <c r="AU123" s="425"/>
      <c r="AV123" s="545" t="s">
        <v>230</v>
      </c>
      <c r="AW123" s="425"/>
      <c r="AX123" s="49"/>
      <c r="AY123" s="296"/>
      <c r="AZ123" s="541"/>
      <c r="BA123" s="554" t="s">
        <v>230</v>
      </c>
      <c r="BB123" s="541"/>
      <c r="BC123" s="49"/>
      <c r="BD123" s="327"/>
      <c r="BE123" s="556"/>
      <c r="BF123" s="557" t="s">
        <v>230</v>
      </c>
      <c r="BG123" s="556"/>
      <c r="BH123" s="49"/>
      <c r="BI123" s="346"/>
      <c r="BJ123" s="558"/>
      <c r="BK123" s="587" t="s">
        <v>230</v>
      </c>
      <c r="BL123" s="558"/>
      <c r="BM123" s="49"/>
      <c r="BN123" s="429"/>
      <c r="BO123" s="485"/>
      <c r="BP123" s="596" t="s">
        <v>230</v>
      </c>
      <c r="BQ123" s="485"/>
      <c r="BR123" s="49"/>
      <c r="BS123" s="353"/>
      <c r="BT123" s="472"/>
      <c r="BU123" s="586" t="s">
        <v>230</v>
      </c>
      <c r="BV123" s="472"/>
      <c r="BW123" s="49"/>
      <c r="BX123" s="368"/>
      <c r="BY123" s="578"/>
      <c r="BZ123" s="593" t="s">
        <v>230</v>
      </c>
      <c r="CA123" s="578"/>
      <c r="CB123" s="49"/>
      <c r="CC123" s="388"/>
      <c r="CD123" s="488"/>
      <c r="CE123" s="595" t="s">
        <v>230</v>
      </c>
      <c r="CF123" s="595"/>
      <c r="CG123" s="49"/>
      <c r="CH123" s="402"/>
      <c r="CI123" s="439"/>
      <c r="CJ123" s="426" t="s">
        <v>230</v>
      </c>
      <c r="CK123" s="439"/>
      <c r="CL123" s="49"/>
      <c r="CM123" s="402"/>
      <c r="CN123" s="439"/>
      <c r="CO123" s="426" t="s">
        <v>230</v>
      </c>
      <c r="CP123" s="672"/>
      <c r="CQ123" s="49"/>
      <c r="CR123" s="419"/>
      <c r="CS123" s="487"/>
      <c r="CT123" s="575" t="s">
        <v>230</v>
      </c>
      <c r="CU123" s="729"/>
      <c r="CV123" s="49"/>
      <c r="CW123" s="453"/>
      <c r="CX123" s="455"/>
      <c r="CY123" s="631"/>
      <c r="CZ123" s="455"/>
      <c r="DA123" s="49"/>
      <c r="DB123" s="457"/>
      <c r="DC123" s="475"/>
      <c r="DD123" s="632"/>
      <c r="DE123" s="475"/>
      <c r="DF123" s="49"/>
      <c r="DG123" s="458"/>
      <c r="DH123" s="459"/>
      <c r="DI123" s="633"/>
      <c r="DJ123" s="459"/>
      <c r="DK123" s="49"/>
      <c r="DL123" s="620"/>
      <c r="DM123" s="637"/>
      <c r="DN123" s="637"/>
      <c r="DO123" s="637"/>
      <c r="DP123" s="49"/>
      <c r="DQ123" s="461"/>
      <c r="DR123" s="462"/>
      <c r="DS123" s="462"/>
      <c r="DT123" s="462"/>
      <c r="DU123" s="49"/>
      <c r="DV123" s="463"/>
      <c r="DW123" s="464"/>
      <c r="DX123" s="464"/>
      <c r="DY123" s="464"/>
      <c r="DZ123" s="49"/>
      <c r="EA123" s="465"/>
      <c r="EB123" s="466"/>
      <c r="EC123" s="426"/>
      <c r="ED123" s="456"/>
      <c r="EE123" s="47"/>
      <c r="EF123" s="16"/>
    </row>
    <row r="124" ht="17.25" customHeight="1">
      <c r="A124" s="16"/>
      <c r="B124" s="47"/>
      <c r="C124" s="170"/>
      <c r="D124" s="171"/>
      <c r="E124" s="49"/>
      <c r="F124" s="200"/>
      <c r="G124" s="200"/>
      <c r="H124" s="200" t="s">
        <v>230</v>
      </c>
      <c r="I124" s="200"/>
      <c r="J124" s="200"/>
      <c r="K124" s="200"/>
      <c r="L124" s="476"/>
      <c r="M124" s="200" t="s">
        <v>230</v>
      </c>
      <c r="N124" s="200"/>
      <c r="O124" s="200"/>
      <c r="P124" s="200"/>
      <c r="Q124" s="476"/>
      <c r="R124" s="200" t="s">
        <v>230</v>
      </c>
      <c r="S124" s="200"/>
      <c r="T124" s="200"/>
      <c r="U124" s="200"/>
      <c r="V124" s="476"/>
      <c r="W124" s="200" t="s">
        <v>230</v>
      </c>
      <c r="X124" s="200"/>
      <c r="Y124" s="200"/>
      <c r="Z124" s="200"/>
      <c r="AA124" s="476"/>
      <c r="AB124" s="200" t="s">
        <v>230</v>
      </c>
      <c r="AC124" s="200"/>
      <c r="AD124" s="200"/>
      <c r="AE124" s="200"/>
      <c r="AF124" s="200"/>
      <c r="AG124" s="200" t="s">
        <v>230</v>
      </c>
      <c r="AH124" s="200"/>
      <c r="AI124" s="200"/>
      <c r="AJ124" s="200"/>
      <c r="AK124" s="476"/>
      <c r="AL124" s="200" t="s">
        <v>230</v>
      </c>
      <c r="AM124" s="200"/>
      <c r="AN124" s="200"/>
      <c r="AO124" s="200"/>
      <c r="AP124" s="476"/>
      <c r="AQ124" s="200" t="s">
        <v>230</v>
      </c>
      <c r="AR124" s="200"/>
      <c r="AS124" s="200"/>
      <c r="AT124" s="200"/>
      <c r="AU124" s="425"/>
      <c r="AV124" s="545" t="s">
        <v>230</v>
      </c>
      <c r="AW124" s="425"/>
      <c r="AX124" s="49"/>
      <c r="AY124" s="296"/>
      <c r="AZ124" s="541"/>
      <c r="BA124" s="554" t="s">
        <v>230</v>
      </c>
      <c r="BB124" s="541"/>
      <c r="BC124" s="49"/>
      <c r="BD124" s="327"/>
      <c r="BE124" s="556"/>
      <c r="BF124" s="557" t="s">
        <v>230</v>
      </c>
      <c r="BG124" s="556"/>
      <c r="BH124" s="49"/>
      <c r="BI124" s="346"/>
      <c r="BJ124" s="558"/>
      <c r="BK124" s="587" t="s">
        <v>230</v>
      </c>
      <c r="BL124" s="558"/>
      <c r="BM124" s="49"/>
      <c r="BN124" s="429"/>
      <c r="BO124" s="485"/>
      <c r="BP124" s="596" t="s">
        <v>230</v>
      </c>
      <c r="BQ124" s="485"/>
      <c r="BR124" s="49"/>
      <c r="BS124" s="353"/>
      <c r="BT124" s="472"/>
      <c r="BU124" s="586" t="s">
        <v>230</v>
      </c>
      <c r="BV124" s="472"/>
      <c r="BW124" s="49"/>
      <c r="BX124" s="368"/>
      <c r="BY124" s="578"/>
      <c r="BZ124" s="593" t="s">
        <v>230</v>
      </c>
      <c r="CA124" s="578"/>
      <c r="CB124" s="49"/>
      <c r="CC124" s="388"/>
      <c r="CD124" s="488"/>
      <c r="CE124" s="595" t="s">
        <v>230</v>
      </c>
      <c r="CF124" s="595"/>
      <c r="CG124" s="49"/>
      <c r="CH124" s="402"/>
      <c r="CI124" s="439"/>
      <c r="CJ124" s="426" t="s">
        <v>230</v>
      </c>
      <c r="CK124" s="439"/>
      <c r="CL124" s="49"/>
      <c r="CM124" s="402"/>
      <c r="CN124" s="439"/>
      <c r="CO124" s="426" t="s">
        <v>230</v>
      </c>
      <c r="CP124" s="672"/>
      <c r="CQ124" s="49"/>
      <c r="CR124" s="419"/>
      <c r="CS124" s="487"/>
      <c r="CT124" s="575" t="s">
        <v>230</v>
      </c>
      <c r="CU124" s="729"/>
      <c r="CV124" s="49"/>
      <c r="CW124" s="453"/>
      <c r="CX124" s="455"/>
      <c r="CY124" s="631"/>
      <c r="CZ124" s="455"/>
      <c r="DA124" s="49"/>
      <c r="DB124" s="457"/>
      <c r="DC124" s="475"/>
      <c r="DD124" s="632"/>
      <c r="DE124" s="475"/>
      <c r="DF124" s="49"/>
      <c r="DG124" s="458"/>
      <c r="DH124" s="459"/>
      <c r="DI124" s="633"/>
      <c r="DJ124" s="459"/>
      <c r="DK124" s="49"/>
      <c r="DL124" s="620"/>
      <c r="DM124" s="637"/>
      <c r="DN124" s="637"/>
      <c r="DO124" s="637"/>
      <c r="DP124" s="49"/>
      <c r="DQ124" s="461"/>
      <c r="DR124" s="462"/>
      <c r="DS124" s="462"/>
      <c r="DT124" s="462"/>
      <c r="DU124" s="49"/>
      <c r="DV124" s="463"/>
      <c r="DW124" s="464"/>
      <c r="DX124" s="464"/>
      <c r="DY124" s="464"/>
      <c r="DZ124" s="49"/>
      <c r="EA124" s="465"/>
      <c r="EB124" s="466"/>
      <c r="EC124" s="426"/>
      <c r="ED124" s="456"/>
      <c r="EE124" s="47"/>
      <c r="EF124" s="16"/>
    </row>
    <row r="125" ht="17.25" customHeight="1">
      <c r="A125" s="16"/>
      <c r="B125" s="47"/>
      <c r="C125" s="170"/>
      <c r="D125" s="171"/>
      <c r="E125" s="49"/>
      <c r="F125" s="200"/>
      <c r="G125" s="200"/>
      <c r="H125" s="200" t="s">
        <v>230</v>
      </c>
      <c r="I125" s="200"/>
      <c r="J125" s="200"/>
      <c r="K125" s="200"/>
      <c r="L125" s="476"/>
      <c r="M125" s="200" t="s">
        <v>230</v>
      </c>
      <c r="N125" s="200"/>
      <c r="O125" s="200"/>
      <c r="P125" s="200"/>
      <c r="Q125" s="476"/>
      <c r="R125" s="200" t="s">
        <v>230</v>
      </c>
      <c r="S125" s="200"/>
      <c r="T125" s="200"/>
      <c r="U125" s="200"/>
      <c r="V125" s="476"/>
      <c r="W125" s="200" t="s">
        <v>230</v>
      </c>
      <c r="X125" s="200"/>
      <c r="Y125" s="200"/>
      <c r="Z125" s="200"/>
      <c r="AA125" s="476"/>
      <c r="AB125" s="200" t="s">
        <v>230</v>
      </c>
      <c r="AC125" s="200"/>
      <c r="AD125" s="200"/>
      <c r="AE125" s="200"/>
      <c r="AF125" s="200"/>
      <c r="AG125" s="200" t="s">
        <v>230</v>
      </c>
      <c r="AH125" s="200"/>
      <c r="AI125" s="200"/>
      <c r="AJ125" s="200"/>
      <c r="AK125" s="476"/>
      <c r="AL125" s="200" t="s">
        <v>230</v>
      </c>
      <c r="AM125" s="200"/>
      <c r="AN125" s="200"/>
      <c r="AO125" s="200"/>
      <c r="AP125" s="476"/>
      <c r="AQ125" s="200" t="s">
        <v>230</v>
      </c>
      <c r="AR125" s="200"/>
      <c r="AS125" s="200"/>
      <c r="AT125" s="200"/>
      <c r="AU125" s="425"/>
      <c r="AV125" s="545" t="s">
        <v>230</v>
      </c>
      <c r="AW125" s="425"/>
      <c r="AX125" s="49"/>
      <c r="AY125" s="296"/>
      <c r="AZ125" s="541"/>
      <c r="BA125" s="554" t="s">
        <v>230</v>
      </c>
      <c r="BB125" s="541"/>
      <c r="BC125" s="49"/>
      <c r="BD125" s="327"/>
      <c r="BE125" s="556"/>
      <c r="BF125" s="557" t="s">
        <v>230</v>
      </c>
      <c r="BG125" s="556"/>
      <c r="BH125" s="49"/>
      <c r="BI125" s="346"/>
      <c r="BJ125" s="558"/>
      <c r="BK125" s="587" t="s">
        <v>230</v>
      </c>
      <c r="BL125" s="558"/>
      <c r="BM125" s="49"/>
      <c r="BN125" s="429"/>
      <c r="BO125" s="485"/>
      <c r="BP125" s="596" t="s">
        <v>230</v>
      </c>
      <c r="BQ125" s="485"/>
      <c r="BR125" s="49"/>
      <c r="BS125" s="353"/>
      <c r="BT125" s="472"/>
      <c r="BU125" s="586" t="s">
        <v>230</v>
      </c>
      <c r="BV125" s="472"/>
      <c r="BW125" s="49"/>
      <c r="BX125" s="368"/>
      <c r="BY125" s="578"/>
      <c r="BZ125" s="593" t="s">
        <v>230</v>
      </c>
      <c r="CA125" s="578"/>
      <c r="CB125" s="49"/>
      <c r="CC125" s="388"/>
      <c r="CD125" s="488"/>
      <c r="CE125" s="595" t="s">
        <v>230</v>
      </c>
      <c r="CF125" s="595"/>
      <c r="CG125" s="49"/>
      <c r="CH125" s="402"/>
      <c r="CI125" s="439"/>
      <c r="CJ125" s="426" t="s">
        <v>230</v>
      </c>
      <c r="CK125" s="439"/>
      <c r="CL125" s="49"/>
      <c r="CM125" s="402"/>
      <c r="CN125" s="439"/>
      <c r="CO125" s="426" t="s">
        <v>230</v>
      </c>
      <c r="CP125" s="672"/>
      <c r="CQ125" s="49"/>
      <c r="CR125" s="419"/>
      <c r="CS125" s="487"/>
      <c r="CT125" s="575" t="s">
        <v>230</v>
      </c>
      <c r="CU125" s="729"/>
      <c r="CV125" s="49"/>
      <c r="CW125" s="453"/>
      <c r="CX125" s="455"/>
      <c r="CY125" s="631"/>
      <c r="CZ125" s="455"/>
      <c r="DA125" s="49"/>
      <c r="DB125" s="457"/>
      <c r="DC125" s="475"/>
      <c r="DD125" s="632"/>
      <c r="DE125" s="475"/>
      <c r="DF125" s="49"/>
      <c r="DG125" s="458"/>
      <c r="DH125" s="459"/>
      <c r="DI125" s="633"/>
      <c r="DJ125" s="459"/>
      <c r="DK125" s="49"/>
      <c r="DL125" s="620"/>
      <c r="DM125" s="637"/>
      <c r="DN125" s="637"/>
      <c r="DO125" s="637"/>
      <c r="DP125" s="49"/>
      <c r="DQ125" s="461"/>
      <c r="DR125" s="462"/>
      <c r="DS125" s="462"/>
      <c r="DT125" s="462"/>
      <c r="DU125" s="49"/>
      <c r="DV125" s="463"/>
      <c r="DW125" s="464"/>
      <c r="DX125" s="464"/>
      <c r="DY125" s="464"/>
      <c r="DZ125" s="49"/>
      <c r="EA125" s="465"/>
      <c r="EB125" s="466"/>
      <c r="EC125" s="426"/>
      <c r="ED125" s="456"/>
      <c r="EE125" s="47"/>
      <c r="EF125" s="16"/>
    </row>
    <row r="126" ht="17.25" customHeight="1">
      <c r="A126" s="16"/>
      <c r="B126" s="47"/>
      <c r="C126" s="170"/>
      <c r="D126" s="171"/>
      <c r="E126" s="49"/>
      <c r="F126" s="200"/>
      <c r="G126" s="200"/>
      <c r="H126" s="200" t="s">
        <v>230</v>
      </c>
      <c r="I126" s="200"/>
      <c r="J126" s="200"/>
      <c r="K126" s="200"/>
      <c r="L126" s="476"/>
      <c r="M126" s="200" t="s">
        <v>230</v>
      </c>
      <c r="N126" s="200"/>
      <c r="O126" s="200"/>
      <c r="P126" s="200"/>
      <c r="Q126" s="476"/>
      <c r="R126" s="200" t="s">
        <v>230</v>
      </c>
      <c r="S126" s="200"/>
      <c r="T126" s="200"/>
      <c r="U126" s="200"/>
      <c r="V126" s="476"/>
      <c r="W126" s="200" t="s">
        <v>230</v>
      </c>
      <c r="X126" s="200"/>
      <c r="Y126" s="200"/>
      <c r="Z126" s="200"/>
      <c r="AA126" s="476"/>
      <c r="AB126" s="200" t="s">
        <v>230</v>
      </c>
      <c r="AC126" s="200"/>
      <c r="AD126" s="200"/>
      <c r="AE126" s="200"/>
      <c r="AF126" s="200"/>
      <c r="AG126" s="200" t="s">
        <v>230</v>
      </c>
      <c r="AH126" s="200"/>
      <c r="AI126" s="200"/>
      <c r="AJ126" s="200"/>
      <c r="AK126" s="476"/>
      <c r="AL126" s="200" t="s">
        <v>230</v>
      </c>
      <c r="AM126" s="200"/>
      <c r="AN126" s="200"/>
      <c r="AO126" s="200"/>
      <c r="AP126" s="476"/>
      <c r="AQ126" s="200" t="s">
        <v>230</v>
      </c>
      <c r="AR126" s="200"/>
      <c r="AS126" s="200"/>
      <c r="AT126" s="200"/>
      <c r="AU126" s="425"/>
      <c r="AV126" s="545" t="s">
        <v>230</v>
      </c>
      <c r="AW126" s="425"/>
      <c r="AX126" s="49"/>
      <c r="AY126" s="296"/>
      <c r="AZ126" s="541"/>
      <c r="BA126" s="554" t="s">
        <v>230</v>
      </c>
      <c r="BB126" s="541"/>
      <c r="BC126" s="49"/>
      <c r="BD126" s="327"/>
      <c r="BE126" s="556"/>
      <c r="BF126" s="557" t="s">
        <v>230</v>
      </c>
      <c r="BG126" s="556"/>
      <c r="BH126" s="49"/>
      <c r="BI126" s="346"/>
      <c r="BJ126" s="558"/>
      <c r="BK126" s="587" t="s">
        <v>230</v>
      </c>
      <c r="BL126" s="558"/>
      <c r="BM126" s="49"/>
      <c r="BN126" s="429"/>
      <c r="BO126" s="485"/>
      <c r="BP126" s="596" t="s">
        <v>230</v>
      </c>
      <c r="BQ126" s="485"/>
      <c r="BR126" s="49"/>
      <c r="BS126" s="353"/>
      <c r="BT126" s="472"/>
      <c r="BU126" s="586" t="s">
        <v>230</v>
      </c>
      <c r="BV126" s="472"/>
      <c r="BW126" s="49"/>
      <c r="BX126" s="368"/>
      <c r="BY126" s="578"/>
      <c r="BZ126" s="593" t="s">
        <v>230</v>
      </c>
      <c r="CA126" s="578"/>
      <c r="CB126" s="49"/>
      <c r="CC126" s="388"/>
      <c r="CD126" s="488"/>
      <c r="CE126" s="595" t="s">
        <v>230</v>
      </c>
      <c r="CF126" s="595"/>
      <c r="CG126" s="49"/>
      <c r="CH126" s="402"/>
      <c r="CI126" s="439"/>
      <c r="CJ126" s="426" t="s">
        <v>230</v>
      </c>
      <c r="CK126" s="439"/>
      <c r="CL126" s="49"/>
      <c r="CM126" s="402"/>
      <c r="CN126" s="439"/>
      <c r="CO126" s="426" t="s">
        <v>230</v>
      </c>
      <c r="CP126" s="672"/>
      <c r="CQ126" s="49"/>
      <c r="CR126" s="419"/>
      <c r="CS126" s="487"/>
      <c r="CT126" s="575" t="s">
        <v>230</v>
      </c>
      <c r="CU126" s="729"/>
      <c r="CV126" s="49"/>
      <c r="CW126" s="453"/>
      <c r="CX126" s="455"/>
      <c r="CY126" s="631"/>
      <c r="CZ126" s="455"/>
      <c r="DA126" s="49"/>
      <c r="DB126" s="457"/>
      <c r="DC126" s="475"/>
      <c r="DD126" s="632"/>
      <c r="DE126" s="475"/>
      <c r="DF126" s="49"/>
      <c r="DG126" s="458"/>
      <c r="DH126" s="459"/>
      <c r="DI126" s="633"/>
      <c r="DJ126" s="459"/>
      <c r="DK126" s="49"/>
      <c r="DL126" s="620"/>
      <c r="DM126" s="637"/>
      <c r="DN126" s="637"/>
      <c r="DO126" s="637"/>
      <c r="DP126" s="49"/>
      <c r="DQ126" s="461"/>
      <c r="DR126" s="462"/>
      <c r="DS126" s="462"/>
      <c r="DT126" s="462"/>
      <c r="DU126" s="49"/>
      <c r="DV126" s="463"/>
      <c r="DW126" s="464"/>
      <c r="DX126" s="464"/>
      <c r="DY126" s="464"/>
      <c r="DZ126" s="49"/>
      <c r="EA126" s="465"/>
      <c r="EB126" s="466"/>
      <c r="EC126" s="426"/>
      <c r="ED126" s="456"/>
      <c r="EE126" s="47"/>
      <c r="EF126" s="16"/>
    </row>
    <row r="127" ht="17.25" customHeight="1">
      <c r="A127" s="16"/>
      <c r="B127" s="47"/>
      <c r="C127" s="170"/>
      <c r="D127" s="171"/>
      <c r="E127" s="49"/>
      <c r="F127" s="200"/>
      <c r="G127" s="200"/>
      <c r="H127" s="200" t="s">
        <v>230</v>
      </c>
      <c r="I127" s="200"/>
      <c r="J127" s="200"/>
      <c r="K127" s="200"/>
      <c r="L127" s="476"/>
      <c r="M127" s="200" t="s">
        <v>230</v>
      </c>
      <c r="N127" s="200"/>
      <c r="O127" s="200"/>
      <c r="P127" s="200"/>
      <c r="Q127" s="476"/>
      <c r="R127" s="200" t="s">
        <v>230</v>
      </c>
      <c r="S127" s="200"/>
      <c r="T127" s="200"/>
      <c r="U127" s="200"/>
      <c r="V127" s="476"/>
      <c r="W127" s="200" t="s">
        <v>230</v>
      </c>
      <c r="X127" s="200"/>
      <c r="Y127" s="200"/>
      <c r="Z127" s="200"/>
      <c r="AA127" s="476"/>
      <c r="AB127" s="200" t="s">
        <v>230</v>
      </c>
      <c r="AC127" s="200"/>
      <c r="AD127" s="200"/>
      <c r="AE127" s="200"/>
      <c r="AF127" s="200"/>
      <c r="AG127" s="200" t="s">
        <v>230</v>
      </c>
      <c r="AH127" s="200"/>
      <c r="AI127" s="200"/>
      <c r="AJ127" s="200"/>
      <c r="AK127" s="476"/>
      <c r="AL127" s="200" t="s">
        <v>230</v>
      </c>
      <c r="AM127" s="200"/>
      <c r="AN127" s="200"/>
      <c r="AO127" s="200"/>
      <c r="AP127" s="476"/>
      <c r="AQ127" s="200" t="s">
        <v>230</v>
      </c>
      <c r="AR127" s="200"/>
      <c r="AS127" s="200"/>
      <c r="AT127" s="200"/>
      <c r="AU127" s="425"/>
      <c r="AV127" s="545" t="s">
        <v>230</v>
      </c>
      <c r="AW127" s="425"/>
      <c r="AX127" s="49"/>
      <c r="AY127" s="296"/>
      <c r="AZ127" s="541"/>
      <c r="BA127" s="554" t="s">
        <v>230</v>
      </c>
      <c r="BB127" s="541"/>
      <c r="BC127" s="49"/>
      <c r="BD127" s="327"/>
      <c r="BE127" s="556"/>
      <c r="BF127" s="557" t="s">
        <v>230</v>
      </c>
      <c r="BG127" s="556"/>
      <c r="BH127" s="49"/>
      <c r="BI127" s="346"/>
      <c r="BJ127" s="558"/>
      <c r="BK127" s="587" t="s">
        <v>230</v>
      </c>
      <c r="BL127" s="558"/>
      <c r="BM127" s="49"/>
      <c r="BN127" s="429"/>
      <c r="BO127" s="485"/>
      <c r="BP127" s="596" t="s">
        <v>230</v>
      </c>
      <c r="BQ127" s="485"/>
      <c r="BR127" s="49"/>
      <c r="BS127" s="353"/>
      <c r="BT127" s="472"/>
      <c r="BU127" s="586" t="s">
        <v>230</v>
      </c>
      <c r="BV127" s="472"/>
      <c r="BW127" s="49"/>
      <c r="BX127" s="368"/>
      <c r="BY127" s="578"/>
      <c r="BZ127" s="593" t="s">
        <v>230</v>
      </c>
      <c r="CA127" s="578"/>
      <c r="CB127" s="49"/>
      <c r="CC127" s="388"/>
      <c r="CD127" s="488"/>
      <c r="CE127" s="595" t="s">
        <v>230</v>
      </c>
      <c r="CF127" s="595"/>
      <c r="CG127" s="49"/>
      <c r="CH127" s="402"/>
      <c r="CI127" s="439"/>
      <c r="CJ127" s="426" t="s">
        <v>230</v>
      </c>
      <c r="CK127" s="439"/>
      <c r="CL127" s="49"/>
      <c r="CM127" s="402"/>
      <c r="CN127" s="439"/>
      <c r="CO127" s="426" t="s">
        <v>230</v>
      </c>
      <c r="CP127" s="672"/>
      <c r="CQ127" s="49"/>
      <c r="CR127" s="419"/>
      <c r="CS127" s="487"/>
      <c r="CT127" s="575" t="s">
        <v>230</v>
      </c>
      <c r="CU127" s="729"/>
      <c r="CV127" s="49"/>
      <c r="CW127" s="453"/>
      <c r="CX127" s="455"/>
      <c r="CY127" s="631"/>
      <c r="CZ127" s="455"/>
      <c r="DA127" s="49"/>
      <c r="DB127" s="457"/>
      <c r="DC127" s="475"/>
      <c r="DD127" s="632"/>
      <c r="DE127" s="475"/>
      <c r="DF127" s="49"/>
      <c r="DG127" s="458"/>
      <c r="DH127" s="459"/>
      <c r="DI127" s="633"/>
      <c r="DJ127" s="459"/>
      <c r="DK127" s="49"/>
      <c r="DL127" s="620"/>
      <c r="DM127" s="637"/>
      <c r="DN127" s="637"/>
      <c r="DO127" s="637"/>
      <c r="DP127" s="49"/>
      <c r="DQ127" s="461"/>
      <c r="DR127" s="462"/>
      <c r="DS127" s="462"/>
      <c r="DT127" s="462"/>
      <c r="DU127" s="49"/>
      <c r="DV127" s="463"/>
      <c r="DW127" s="464"/>
      <c r="DX127" s="464"/>
      <c r="DY127" s="464"/>
      <c r="DZ127" s="49"/>
      <c r="EA127" s="465"/>
      <c r="EB127" s="466"/>
      <c r="EC127" s="426"/>
      <c r="ED127" s="456"/>
      <c r="EE127" s="47"/>
      <c r="EF127" s="16"/>
    </row>
    <row r="128" ht="17.25" customHeight="1">
      <c r="A128" s="16"/>
      <c r="B128" s="47"/>
      <c r="C128" s="170"/>
      <c r="D128" s="171"/>
      <c r="E128" s="49"/>
      <c r="F128" s="200"/>
      <c r="G128" s="200"/>
      <c r="H128" s="200" t="s">
        <v>230</v>
      </c>
      <c r="I128" s="200"/>
      <c r="J128" s="200"/>
      <c r="K128" s="200"/>
      <c r="L128" s="476"/>
      <c r="M128" s="200" t="s">
        <v>230</v>
      </c>
      <c r="N128" s="200"/>
      <c r="O128" s="200"/>
      <c r="P128" s="200"/>
      <c r="Q128" s="476"/>
      <c r="R128" s="200" t="s">
        <v>230</v>
      </c>
      <c r="S128" s="200"/>
      <c r="T128" s="200"/>
      <c r="U128" s="200"/>
      <c r="V128" s="476"/>
      <c r="W128" s="200" t="s">
        <v>230</v>
      </c>
      <c r="X128" s="200"/>
      <c r="Y128" s="200"/>
      <c r="Z128" s="200"/>
      <c r="AA128" s="476"/>
      <c r="AB128" s="200" t="s">
        <v>230</v>
      </c>
      <c r="AC128" s="200"/>
      <c r="AD128" s="200"/>
      <c r="AE128" s="200"/>
      <c r="AF128" s="200"/>
      <c r="AG128" s="200" t="s">
        <v>230</v>
      </c>
      <c r="AH128" s="200"/>
      <c r="AI128" s="200"/>
      <c r="AJ128" s="200"/>
      <c r="AK128" s="476"/>
      <c r="AL128" s="200" t="s">
        <v>230</v>
      </c>
      <c r="AM128" s="200"/>
      <c r="AN128" s="200"/>
      <c r="AO128" s="200"/>
      <c r="AP128" s="476"/>
      <c r="AQ128" s="200" t="s">
        <v>230</v>
      </c>
      <c r="AR128" s="200"/>
      <c r="AS128" s="200"/>
      <c r="AT128" s="200"/>
      <c r="AU128" s="425"/>
      <c r="AV128" s="545" t="s">
        <v>230</v>
      </c>
      <c r="AW128" s="425"/>
      <c r="AX128" s="49"/>
      <c r="AY128" s="296"/>
      <c r="AZ128" s="541"/>
      <c r="BA128" s="554" t="s">
        <v>230</v>
      </c>
      <c r="BB128" s="541"/>
      <c r="BC128" s="49"/>
      <c r="BD128" s="327"/>
      <c r="BE128" s="556"/>
      <c r="BF128" s="557" t="s">
        <v>230</v>
      </c>
      <c r="BG128" s="556"/>
      <c r="BH128" s="49"/>
      <c r="BI128" s="346"/>
      <c r="BJ128" s="558"/>
      <c r="BK128" s="587" t="s">
        <v>230</v>
      </c>
      <c r="BL128" s="558"/>
      <c r="BM128" s="49"/>
      <c r="BN128" s="429"/>
      <c r="BO128" s="485"/>
      <c r="BP128" s="596" t="s">
        <v>230</v>
      </c>
      <c r="BQ128" s="485"/>
      <c r="BR128" s="49"/>
      <c r="BS128" s="353"/>
      <c r="BT128" s="472"/>
      <c r="BU128" s="586" t="s">
        <v>230</v>
      </c>
      <c r="BV128" s="472"/>
      <c r="BW128" s="49"/>
      <c r="BX128" s="368"/>
      <c r="BY128" s="578"/>
      <c r="BZ128" s="593" t="s">
        <v>230</v>
      </c>
      <c r="CA128" s="578"/>
      <c r="CB128" s="49"/>
      <c r="CC128" s="388"/>
      <c r="CD128" s="488"/>
      <c r="CE128" s="595" t="s">
        <v>230</v>
      </c>
      <c r="CF128" s="595"/>
      <c r="CG128" s="49"/>
      <c r="CH128" s="402"/>
      <c r="CI128" s="439"/>
      <c r="CJ128" s="426" t="s">
        <v>230</v>
      </c>
      <c r="CK128" s="439"/>
      <c r="CL128" s="49"/>
      <c r="CM128" s="402"/>
      <c r="CN128" s="439"/>
      <c r="CO128" s="426" t="s">
        <v>230</v>
      </c>
      <c r="CP128" s="672"/>
      <c r="CQ128" s="49"/>
      <c r="CR128" s="419"/>
      <c r="CS128" s="487"/>
      <c r="CT128" s="575" t="s">
        <v>230</v>
      </c>
      <c r="CU128" s="729"/>
      <c r="CV128" s="49"/>
      <c r="CW128" s="453"/>
      <c r="CX128" s="455"/>
      <c r="CY128" s="631"/>
      <c r="CZ128" s="455"/>
      <c r="DA128" s="49"/>
      <c r="DB128" s="457"/>
      <c r="DC128" s="475"/>
      <c r="DD128" s="632"/>
      <c r="DE128" s="475"/>
      <c r="DF128" s="49"/>
      <c r="DG128" s="458"/>
      <c r="DH128" s="459"/>
      <c r="DI128" s="633"/>
      <c r="DJ128" s="459"/>
      <c r="DK128" s="49"/>
      <c r="DL128" s="620"/>
      <c r="DM128" s="637"/>
      <c r="DN128" s="637"/>
      <c r="DO128" s="637"/>
      <c r="DP128" s="49"/>
      <c r="DQ128" s="461"/>
      <c r="DR128" s="462"/>
      <c r="DS128" s="462"/>
      <c r="DT128" s="462"/>
      <c r="DU128" s="49"/>
      <c r="DV128" s="463"/>
      <c r="DW128" s="464"/>
      <c r="DX128" s="464"/>
      <c r="DY128" s="464"/>
      <c r="DZ128" s="49"/>
      <c r="EA128" s="465"/>
      <c r="EB128" s="466"/>
      <c r="EC128" s="426"/>
      <c r="ED128" s="456"/>
      <c r="EE128" s="47"/>
      <c r="EF128" s="16"/>
    </row>
    <row r="129" ht="17.25" customHeight="1">
      <c r="A129" s="16"/>
      <c r="B129" s="47"/>
      <c r="C129" s="170"/>
      <c r="D129" s="171"/>
      <c r="E129" s="49"/>
      <c r="F129" s="200"/>
      <c r="G129" s="200"/>
      <c r="H129" s="200" t="s">
        <v>230</v>
      </c>
      <c r="I129" s="200"/>
      <c r="J129" s="200"/>
      <c r="K129" s="200"/>
      <c r="L129" s="476"/>
      <c r="M129" s="200" t="s">
        <v>230</v>
      </c>
      <c r="N129" s="200"/>
      <c r="O129" s="200"/>
      <c r="P129" s="200"/>
      <c r="Q129" s="476"/>
      <c r="R129" s="200" t="s">
        <v>230</v>
      </c>
      <c r="S129" s="200"/>
      <c r="T129" s="200"/>
      <c r="U129" s="200"/>
      <c r="V129" s="476"/>
      <c r="W129" s="200" t="s">
        <v>230</v>
      </c>
      <c r="X129" s="200"/>
      <c r="Y129" s="200"/>
      <c r="Z129" s="200"/>
      <c r="AA129" s="476"/>
      <c r="AB129" s="200" t="s">
        <v>230</v>
      </c>
      <c r="AC129" s="200"/>
      <c r="AD129" s="200"/>
      <c r="AE129" s="200"/>
      <c r="AF129" s="200"/>
      <c r="AG129" s="200" t="s">
        <v>230</v>
      </c>
      <c r="AH129" s="200"/>
      <c r="AI129" s="200"/>
      <c r="AJ129" s="200"/>
      <c r="AK129" s="476"/>
      <c r="AL129" s="200" t="s">
        <v>230</v>
      </c>
      <c r="AM129" s="200"/>
      <c r="AN129" s="200"/>
      <c r="AO129" s="200"/>
      <c r="AP129" s="476"/>
      <c r="AQ129" s="200" t="s">
        <v>230</v>
      </c>
      <c r="AR129" s="200"/>
      <c r="AS129" s="200"/>
      <c r="AT129" s="200"/>
      <c r="AU129" s="425"/>
      <c r="AV129" s="545" t="s">
        <v>230</v>
      </c>
      <c r="AW129" s="425"/>
      <c r="AX129" s="49"/>
      <c r="AY129" s="296"/>
      <c r="AZ129" s="541"/>
      <c r="BA129" s="554" t="s">
        <v>230</v>
      </c>
      <c r="BB129" s="541"/>
      <c r="BC129" s="49"/>
      <c r="BD129" s="327"/>
      <c r="BE129" s="556"/>
      <c r="BF129" s="557" t="s">
        <v>230</v>
      </c>
      <c r="BG129" s="556"/>
      <c r="BH129" s="49"/>
      <c r="BI129" s="346"/>
      <c r="BJ129" s="558"/>
      <c r="BK129" s="587" t="s">
        <v>230</v>
      </c>
      <c r="BL129" s="558"/>
      <c r="BM129" s="49"/>
      <c r="BN129" s="429"/>
      <c r="BO129" s="485"/>
      <c r="BP129" s="596" t="s">
        <v>230</v>
      </c>
      <c r="BQ129" s="485"/>
      <c r="BR129" s="49"/>
      <c r="BS129" s="353"/>
      <c r="BT129" s="472"/>
      <c r="BU129" s="586" t="s">
        <v>230</v>
      </c>
      <c r="BV129" s="472"/>
      <c r="BW129" s="49"/>
      <c r="BX129" s="368"/>
      <c r="BY129" s="578"/>
      <c r="BZ129" s="593" t="s">
        <v>230</v>
      </c>
      <c r="CA129" s="578"/>
      <c r="CB129" s="49"/>
      <c r="CC129" s="388"/>
      <c r="CD129" s="488"/>
      <c r="CE129" s="595" t="s">
        <v>230</v>
      </c>
      <c r="CF129" s="595"/>
      <c r="CG129" s="49"/>
      <c r="CH129" s="402"/>
      <c r="CI129" s="439"/>
      <c r="CJ129" s="426" t="s">
        <v>230</v>
      </c>
      <c r="CK129" s="439"/>
      <c r="CL129" s="49"/>
      <c r="CM129" s="402"/>
      <c r="CN129" s="439"/>
      <c r="CO129" s="426" t="s">
        <v>230</v>
      </c>
      <c r="CP129" s="672"/>
      <c r="CQ129" s="49"/>
      <c r="CR129" s="419"/>
      <c r="CS129" s="487"/>
      <c r="CT129" s="575" t="s">
        <v>230</v>
      </c>
      <c r="CU129" s="729"/>
      <c r="CV129" s="49"/>
      <c r="CW129" s="453"/>
      <c r="CX129" s="455"/>
      <c r="CY129" s="631"/>
      <c r="CZ129" s="455"/>
      <c r="DA129" s="49"/>
      <c r="DB129" s="457"/>
      <c r="DC129" s="475"/>
      <c r="DD129" s="632"/>
      <c r="DE129" s="475"/>
      <c r="DF129" s="49"/>
      <c r="DG129" s="458"/>
      <c r="DH129" s="459"/>
      <c r="DI129" s="633"/>
      <c r="DJ129" s="459"/>
      <c r="DK129" s="49"/>
      <c r="DL129" s="620"/>
      <c r="DM129" s="637"/>
      <c r="DN129" s="637"/>
      <c r="DO129" s="637"/>
      <c r="DP129" s="49"/>
      <c r="DQ129" s="461"/>
      <c r="DR129" s="462"/>
      <c r="DS129" s="462"/>
      <c r="DT129" s="462"/>
      <c r="DU129" s="49"/>
      <c r="DV129" s="463"/>
      <c r="DW129" s="464"/>
      <c r="DX129" s="464"/>
      <c r="DY129" s="464"/>
      <c r="DZ129" s="49"/>
      <c r="EA129" s="465"/>
      <c r="EB129" s="466"/>
      <c r="EC129" s="426"/>
      <c r="ED129" s="456"/>
      <c r="EE129" s="47"/>
      <c r="EF129" s="16"/>
    </row>
    <row r="130" ht="17.25" customHeight="1">
      <c r="A130" s="16"/>
      <c r="B130" s="47"/>
      <c r="C130" s="170"/>
      <c r="D130" s="171"/>
      <c r="E130" s="49"/>
      <c r="F130" s="200"/>
      <c r="G130" s="200"/>
      <c r="H130" s="200" t="s">
        <v>230</v>
      </c>
      <c r="I130" s="200"/>
      <c r="J130" s="200"/>
      <c r="K130" s="200"/>
      <c r="L130" s="476"/>
      <c r="M130" s="200" t="s">
        <v>230</v>
      </c>
      <c r="N130" s="200"/>
      <c r="O130" s="200"/>
      <c r="P130" s="200"/>
      <c r="Q130" s="476"/>
      <c r="R130" s="200" t="s">
        <v>230</v>
      </c>
      <c r="S130" s="200"/>
      <c r="T130" s="200"/>
      <c r="U130" s="200"/>
      <c r="V130" s="476"/>
      <c r="W130" s="200" t="s">
        <v>230</v>
      </c>
      <c r="X130" s="200"/>
      <c r="Y130" s="200"/>
      <c r="Z130" s="200"/>
      <c r="AA130" s="476"/>
      <c r="AB130" s="200" t="s">
        <v>230</v>
      </c>
      <c r="AC130" s="200"/>
      <c r="AD130" s="200"/>
      <c r="AE130" s="200"/>
      <c r="AF130" s="200"/>
      <c r="AG130" s="200" t="s">
        <v>230</v>
      </c>
      <c r="AH130" s="200"/>
      <c r="AI130" s="200"/>
      <c r="AJ130" s="200"/>
      <c r="AK130" s="476"/>
      <c r="AL130" s="200" t="s">
        <v>230</v>
      </c>
      <c r="AM130" s="200"/>
      <c r="AN130" s="200"/>
      <c r="AO130" s="200"/>
      <c r="AP130" s="476"/>
      <c r="AQ130" s="200" t="s">
        <v>230</v>
      </c>
      <c r="AR130" s="200"/>
      <c r="AS130" s="200"/>
      <c r="AT130" s="200"/>
      <c r="AU130" s="425"/>
      <c r="AV130" s="545" t="s">
        <v>230</v>
      </c>
      <c r="AW130" s="425"/>
      <c r="AX130" s="49"/>
      <c r="AY130" s="296"/>
      <c r="AZ130" s="541"/>
      <c r="BA130" s="554" t="s">
        <v>230</v>
      </c>
      <c r="BB130" s="541"/>
      <c r="BC130" s="49"/>
      <c r="BD130" s="327"/>
      <c r="BE130" s="556"/>
      <c r="BF130" s="557" t="s">
        <v>230</v>
      </c>
      <c r="BG130" s="556"/>
      <c r="BH130" s="49"/>
      <c r="BI130" s="346"/>
      <c r="BJ130" s="558"/>
      <c r="BK130" s="587" t="s">
        <v>230</v>
      </c>
      <c r="BL130" s="558"/>
      <c r="BM130" s="49"/>
      <c r="BN130" s="429"/>
      <c r="BO130" s="485"/>
      <c r="BP130" s="596" t="s">
        <v>230</v>
      </c>
      <c r="BQ130" s="485"/>
      <c r="BR130" s="49"/>
      <c r="BS130" s="353"/>
      <c r="BT130" s="472"/>
      <c r="BU130" s="586" t="s">
        <v>230</v>
      </c>
      <c r="BV130" s="472"/>
      <c r="BW130" s="49"/>
      <c r="BX130" s="368"/>
      <c r="BY130" s="578"/>
      <c r="BZ130" s="593" t="s">
        <v>230</v>
      </c>
      <c r="CA130" s="578"/>
      <c r="CB130" s="49"/>
      <c r="CC130" s="388"/>
      <c r="CD130" s="488"/>
      <c r="CE130" s="595" t="s">
        <v>230</v>
      </c>
      <c r="CF130" s="595"/>
      <c r="CG130" s="49"/>
      <c r="CH130" s="402"/>
      <c r="CI130" s="439"/>
      <c r="CJ130" s="426" t="s">
        <v>230</v>
      </c>
      <c r="CK130" s="439"/>
      <c r="CL130" s="49"/>
      <c r="CM130" s="402"/>
      <c r="CN130" s="439"/>
      <c r="CO130" s="426" t="s">
        <v>230</v>
      </c>
      <c r="CP130" s="672"/>
      <c r="CQ130" s="49"/>
      <c r="CR130" s="419"/>
      <c r="CS130" s="487"/>
      <c r="CT130" s="575" t="s">
        <v>230</v>
      </c>
      <c r="CU130" s="729"/>
      <c r="CV130" s="49"/>
      <c r="CW130" s="453"/>
      <c r="CX130" s="455"/>
      <c r="CY130" s="631"/>
      <c r="CZ130" s="455"/>
      <c r="DA130" s="49"/>
      <c r="DB130" s="457"/>
      <c r="DC130" s="475"/>
      <c r="DD130" s="632"/>
      <c r="DE130" s="475"/>
      <c r="DF130" s="49"/>
      <c r="DG130" s="458"/>
      <c r="DH130" s="459"/>
      <c r="DI130" s="633"/>
      <c r="DJ130" s="459"/>
      <c r="DK130" s="49"/>
      <c r="DL130" s="620"/>
      <c r="DM130" s="637"/>
      <c r="DN130" s="637"/>
      <c r="DO130" s="637"/>
      <c r="DP130" s="49"/>
      <c r="DQ130" s="461"/>
      <c r="DR130" s="462"/>
      <c r="DS130" s="462"/>
      <c r="DT130" s="462"/>
      <c r="DU130" s="49"/>
      <c r="DV130" s="463"/>
      <c r="DW130" s="464"/>
      <c r="DX130" s="464"/>
      <c r="DY130" s="464"/>
      <c r="DZ130" s="49"/>
      <c r="EA130" s="465"/>
      <c r="EB130" s="466"/>
      <c r="EC130" s="426"/>
      <c r="ED130" s="456"/>
      <c r="EE130" s="47"/>
      <c r="EF130" s="16"/>
    </row>
    <row r="131" ht="17.25" customHeight="1">
      <c r="A131" s="16"/>
      <c r="B131" s="47"/>
      <c r="C131" s="170"/>
      <c r="D131" s="171"/>
      <c r="E131" s="49"/>
      <c r="F131" s="200"/>
      <c r="G131" s="200"/>
      <c r="H131" s="200" t="s">
        <v>230</v>
      </c>
      <c r="I131" s="200"/>
      <c r="J131" s="200"/>
      <c r="K131" s="200"/>
      <c r="L131" s="476"/>
      <c r="M131" s="200" t="s">
        <v>230</v>
      </c>
      <c r="N131" s="200"/>
      <c r="O131" s="200"/>
      <c r="P131" s="200"/>
      <c r="Q131" s="476"/>
      <c r="R131" s="200" t="s">
        <v>230</v>
      </c>
      <c r="S131" s="200"/>
      <c r="T131" s="200"/>
      <c r="U131" s="200"/>
      <c r="V131" s="476"/>
      <c r="W131" s="200" t="s">
        <v>230</v>
      </c>
      <c r="X131" s="200"/>
      <c r="Y131" s="200"/>
      <c r="Z131" s="200"/>
      <c r="AA131" s="476"/>
      <c r="AB131" s="200" t="s">
        <v>230</v>
      </c>
      <c r="AC131" s="200"/>
      <c r="AD131" s="200"/>
      <c r="AE131" s="200"/>
      <c r="AF131" s="200"/>
      <c r="AG131" s="200" t="s">
        <v>230</v>
      </c>
      <c r="AH131" s="200"/>
      <c r="AI131" s="200"/>
      <c r="AJ131" s="200"/>
      <c r="AK131" s="476"/>
      <c r="AL131" s="200" t="s">
        <v>230</v>
      </c>
      <c r="AM131" s="200"/>
      <c r="AN131" s="200"/>
      <c r="AO131" s="200"/>
      <c r="AP131" s="476"/>
      <c r="AQ131" s="200" t="s">
        <v>230</v>
      </c>
      <c r="AR131" s="200"/>
      <c r="AS131" s="200"/>
      <c r="AT131" s="200"/>
      <c r="AU131" s="425"/>
      <c r="AV131" s="545" t="s">
        <v>230</v>
      </c>
      <c r="AW131" s="425"/>
      <c r="AX131" s="49"/>
      <c r="AY131" s="296"/>
      <c r="AZ131" s="541"/>
      <c r="BA131" s="554" t="s">
        <v>230</v>
      </c>
      <c r="BB131" s="541"/>
      <c r="BC131" s="49"/>
      <c r="BD131" s="327"/>
      <c r="BE131" s="556"/>
      <c r="BF131" s="557" t="s">
        <v>230</v>
      </c>
      <c r="BG131" s="556"/>
      <c r="BH131" s="49"/>
      <c r="BI131" s="346"/>
      <c r="BJ131" s="558"/>
      <c r="BK131" s="587" t="s">
        <v>230</v>
      </c>
      <c r="BL131" s="558"/>
      <c r="BM131" s="49"/>
      <c r="BN131" s="429"/>
      <c r="BO131" s="485"/>
      <c r="BP131" s="596" t="s">
        <v>230</v>
      </c>
      <c r="BQ131" s="485"/>
      <c r="BR131" s="49"/>
      <c r="BS131" s="353"/>
      <c r="BT131" s="472"/>
      <c r="BU131" s="586" t="s">
        <v>230</v>
      </c>
      <c r="BV131" s="472"/>
      <c r="BW131" s="49"/>
      <c r="BX131" s="368"/>
      <c r="BY131" s="578"/>
      <c r="BZ131" s="593" t="s">
        <v>230</v>
      </c>
      <c r="CA131" s="578"/>
      <c r="CB131" s="49"/>
      <c r="CC131" s="388"/>
      <c r="CD131" s="488"/>
      <c r="CE131" s="595" t="s">
        <v>230</v>
      </c>
      <c r="CF131" s="595"/>
      <c r="CG131" s="49"/>
      <c r="CH131" s="402"/>
      <c r="CI131" s="439"/>
      <c r="CJ131" s="426" t="s">
        <v>230</v>
      </c>
      <c r="CK131" s="439"/>
      <c r="CL131" s="49"/>
      <c r="CM131" s="402"/>
      <c r="CN131" s="439"/>
      <c r="CO131" s="426" t="s">
        <v>230</v>
      </c>
      <c r="CP131" s="672"/>
      <c r="CQ131" s="49"/>
      <c r="CR131" s="419"/>
      <c r="CS131" s="487"/>
      <c r="CT131" s="575" t="s">
        <v>230</v>
      </c>
      <c r="CU131" s="729"/>
      <c r="CV131" s="49"/>
      <c r="CW131" s="453"/>
      <c r="CX131" s="455"/>
      <c r="CY131" s="631"/>
      <c r="CZ131" s="455"/>
      <c r="DA131" s="49"/>
      <c r="DB131" s="457"/>
      <c r="DC131" s="475"/>
      <c r="DD131" s="632"/>
      <c r="DE131" s="475"/>
      <c r="DF131" s="49"/>
      <c r="DG131" s="458"/>
      <c r="DH131" s="459"/>
      <c r="DI131" s="633"/>
      <c r="DJ131" s="459"/>
      <c r="DK131" s="49"/>
      <c r="DL131" s="620"/>
      <c r="DM131" s="637"/>
      <c r="DN131" s="637"/>
      <c r="DO131" s="637"/>
      <c r="DP131" s="49"/>
      <c r="DQ131" s="461"/>
      <c r="DR131" s="462"/>
      <c r="DS131" s="462"/>
      <c r="DT131" s="462"/>
      <c r="DU131" s="49"/>
      <c r="DV131" s="463"/>
      <c r="DW131" s="464"/>
      <c r="DX131" s="464"/>
      <c r="DY131" s="464"/>
      <c r="DZ131" s="49"/>
      <c r="EA131" s="465"/>
      <c r="EB131" s="466"/>
      <c r="EC131" s="426"/>
      <c r="ED131" s="456"/>
      <c r="EE131" s="47"/>
      <c r="EF131" s="16"/>
    </row>
    <row r="132" ht="17.25" customHeight="1">
      <c r="A132" s="16"/>
      <c r="B132" s="47"/>
      <c r="C132" s="170"/>
      <c r="D132" s="171"/>
      <c r="E132" s="49"/>
      <c r="F132" s="200"/>
      <c r="G132" s="200"/>
      <c r="H132" s="200" t="s">
        <v>230</v>
      </c>
      <c r="I132" s="200"/>
      <c r="J132" s="200"/>
      <c r="K132" s="200"/>
      <c r="L132" s="476"/>
      <c r="M132" s="200" t="s">
        <v>230</v>
      </c>
      <c r="N132" s="200"/>
      <c r="O132" s="200"/>
      <c r="P132" s="200"/>
      <c r="Q132" s="476"/>
      <c r="R132" s="200" t="s">
        <v>230</v>
      </c>
      <c r="S132" s="200"/>
      <c r="T132" s="200"/>
      <c r="U132" s="200"/>
      <c r="V132" s="476"/>
      <c r="W132" s="200" t="s">
        <v>230</v>
      </c>
      <c r="X132" s="200"/>
      <c r="Y132" s="200"/>
      <c r="Z132" s="200"/>
      <c r="AA132" s="476"/>
      <c r="AB132" s="200" t="s">
        <v>230</v>
      </c>
      <c r="AC132" s="200"/>
      <c r="AD132" s="200"/>
      <c r="AE132" s="200"/>
      <c r="AF132" s="200"/>
      <c r="AG132" s="200" t="s">
        <v>230</v>
      </c>
      <c r="AH132" s="200"/>
      <c r="AI132" s="200"/>
      <c r="AJ132" s="200"/>
      <c r="AK132" s="476"/>
      <c r="AL132" s="200" t="s">
        <v>230</v>
      </c>
      <c r="AM132" s="200"/>
      <c r="AN132" s="200"/>
      <c r="AO132" s="200"/>
      <c r="AP132" s="476"/>
      <c r="AQ132" s="200" t="s">
        <v>230</v>
      </c>
      <c r="AR132" s="200"/>
      <c r="AS132" s="200"/>
      <c r="AT132" s="200"/>
      <c r="AU132" s="425"/>
      <c r="AV132" s="545" t="s">
        <v>230</v>
      </c>
      <c r="AW132" s="425"/>
      <c r="AX132" s="49"/>
      <c r="AY132" s="296"/>
      <c r="AZ132" s="541"/>
      <c r="BA132" s="554" t="s">
        <v>230</v>
      </c>
      <c r="BB132" s="541"/>
      <c r="BC132" s="49"/>
      <c r="BD132" s="327"/>
      <c r="BE132" s="556"/>
      <c r="BF132" s="557" t="s">
        <v>230</v>
      </c>
      <c r="BG132" s="556"/>
      <c r="BH132" s="49"/>
      <c r="BI132" s="346"/>
      <c r="BJ132" s="558"/>
      <c r="BK132" s="587" t="s">
        <v>230</v>
      </c>
      <c r="BL132" s="558"/>
      <c r="BM132" s="49"/>
      <c r="BN132" s="429"/>
      <c r="BO132" s="485"/>
      <c r="BP132" s="596" t="s">
        <v>230</v>
      </c>
      <c r="BQ132" s="485"/>
      <c r="BR132" s="49"/>
      <c r="BS132" s="353"/>
      <c r="BT132" s="472"/>
      <c r="BU132" s="586" t="s">
        <v>230</v>
      </c>
      <c r="BV132" s="472"/>
      <c r="BW132" s="49"/>
      <c r="BX132" s="368"/>
      <c r="BY132" s="578"/>
      <c r="BZ132" s="593" t="s">
        <v>230</v>
      </c>
      <c r="CA132" s="578"/>
      <c r="CB132" s="49"/>
      <c r="CC132" s="388"/>
      <c r="CD132" s="488"/>
      <c r="CE132" s="595" t="s">
        <v>230</v>
      </c>
      <c r="CF132" s="595"/>
      <c r="CG132" s="49"/>
      <c r="CH132" s="402"/>
      <c r="CI132" s="439"/>
      <c r="CJ132" s="426" t="s">
        <v>230</v>
      </c>
      <c r="CK132" s="439"/>
      <c r="CL132" s="49"/>
      <c r="CM132" s="402"/>
      <c r="CN132" s="439"/>
      <c r="CO132" s="426" t="s">
        <v>230</v>
      </c>
      <c r="CP132" s="672"/>
      <c r="CQ132" s="49"/>
      <c r="CR132" s="419"/>
      <c r="CS132" s="487"/>
      <c r="CT132" s="575" t="s">
        <v>230</v>
      </c>
      <c r="CU132" s="729"/>
      <c r="CV132" s="49"/>
      <c r="CW132" s="453"/>
      <c r="CX132" s="455"/>
      <c r="CY132" s="631"/>
      <c r="CZ132" s="455"/>
      <c r="DA132" s="49"/>
      <c r="DB132" s="457"/>
      <c r="DC132" s="475"/>
      <c r="DD132" s="632"/>
      <c r="DE132" s="475"/>
      <c r="DF132" s="49"/>
      <c r="DG132" s="458"/>
      <c r="DH132" s="459"/>
      <c r="DI132" s="633"/>
      <c r="DJ132" s="459"/>
      <c r="DK132" s="49"/>
      <c r="DL132" s="620"/>
      <c r="DM132" s="637"/>
      <c r="DN132" s="637"/>
      <c r="DO132" s="637"/>
      <c r="DP132" s="49"/>
      <c r="DQ132" s="461"/>
      <c r="DR132" s="462"/>
      <c r="DS132" s="462"/>
      <c r="DT132" s="462"/>
      <c r="DU132" s="49"/>
      <c r="DV132" s="463"/>
      <c r="DW132" s="464"/>
      <c r="DX132" s="464"/>
      <c r="DY132" s="464"/>
      <c r="DZ132" s="49"/>
      <c r="EA132" s="465"/>
      <c r="EB132" s="466"/>
      <c r="EC132" s="426"/>
      <c r="ED132" s="456"/>
      <c r="EE132" s="47"/>
      <c r="EF132" s="16"/>
    </row>
    <row r="133" ht="17.25" customHeight="1">
      <c r="A133" s="16"/>
      <c r="B133" s="47"/>
      <c r="C133" s="170"/>
      <c r="D133" s="171"/>
      <c r="E133" s="49"/>
      <c r="F133" s="200"/>
      <c r="G133" s="200"/>
      <c r="H133" s="200" t="s">
        <v>230</v>
      </c>
      <c r="I133" s="200"/>
      <c r="J133" s="200"/>
      <c r="K133" s="200"/>
      <c r="L133" s="476"/>
      <c r="M133" s="200" t="s">
        <v>230</v>
      </c>
      <c r="N133" s="200"/>
      <c r="O133" s="200"/>
      <c r="P133" s="200"/>
      <c r="Q133" s="476"/>
      <c r="R133" s="200" t="s">
        <v>230</v>
      </c>
      <c r="S133" s="200"/>
      <c r="T133" s="200"/>
      <c r="U133" s="200"/>
      <c r="V133" s="476"/>
      <c r="W133" s="200" t="s">
        <v>230</v>
      </c>
      <c r="X133" s="200"/>
      <c r="Y133" s="200"/>
      <c r="Z133" s="200"/>
      <c r="AA133" s="476"/>
      <c r="AB133" s="200" t="s">
        <v>230</v>
      </c>
      <c r="AC133" s="200"/>
      <c r="AD133" s="200"/>
      <c r="AE133" s="200"/>
      <c r="AF133" s="200"/>
      <c r="AG133" s="200" t="s">
        <v>230</v>
      </c>
      <c r="AH133" s="200"/>
      <c r="AI133" s="200"/>
      <c r="AJ133" s="200"/>
      <c r="AK133" s="476"/>
      <c r="AL133" s="200" t="s">
        <v>230</v>
      </c>
      <c r="AM133" s="200"/>
      <c r="AN133" s="200"/>
      <c r="AO133" s="200"/>
      <c r="AP133" s="476"/>
      <c r="AQ133" s="200" t="s">
        <v>230</v>
      </c>
      <c r="AR133" s="200"/>
      <c r="AS133" s="200"/>
      <c r="AT133" s="200"/>
      <c r="AU133" s="425"/>
      <c r="AV133" s="545" t="s">
        <v>230</v>
      </c>
      <c r="AW133" s="425"/>
      <c r="AX133" s="49"/>
      <c r="AY133" s="296"/>
      <c r="AZ133" s="541"/>
      <c r="BA133" s="554" t="s">
        <v>230</v>
      </c>
      <c r="BB133" s="541"/>
      <c r="BC133" s="49"/>
      <c r="BD133" s="327"/>
      <c r="BE133" s="556"/>
      <c r="BF133" s="557" t="s">
        <v>230</v>
      </c>
      <c r="BG133" s="556"/>
      <c r="BH133" s="49"/>
      <c r="BI133" s="346"/>
      <c r="BJ133" s="558"/>
      <c r="BK133" s="587" t="s">
        <v>230</v>
      </c>
      <c r="BL133" s="558"/>
      <c r="BM133" s="49"/>
      <c r="BN133" s="429"/>
      <c r="BO133" s="485"/>
      <c r="BP133" s="596" t="s">
        <v>230</v>
      </c>
      <c r="BQ133" s="485"/>
      <c r="BR133" s="49"/>
      <c r="BS133" s="353"/>
      <c r="BT133" s="472"/>
      <c r="BU133" s="586" t="s">
        <v>230</v>
      </c>
      <c r="BV133" s="472"/>
      <c r="BW133" s="49"/>
      <c r="BX133" s="368"/>
      <c r="BY133" s="578"/>
      <c r="BZ133" s="593" t="s">
        <v>230</v>
      </c>
      <c r="CA133" s="578"/>
      <c r="CB133" s="49"/>
      <c r="CC133" s="388"/>
      <c r="CD133" s="488"/>
      <c r="CE133" s="595" t="s">
        <v>230</v>
      </c>
      <c r="CF133" s="595"/>
      <c r="CG133" s="49"/>
      <c r="CH133" s="402"/>
      <c r="CI133" s="439"/>
      <c r="CJ133" s="426" t="s">
        <v>230</v>
      </c>
      <c r="CK133" s="439"/>
      <c r="CL133" s="49"/>
      <c r="CM133" s="402"/>
      <c r="CN133" s="439"/>
      <c r="CO133" s="426" t="s">
        <v>230</v>
      </c>
      <c r="CP133" s="672"/>
      <c r="CQ133" s="49"/>
      <c r="CR133" s="419"/>
      <c r="CS133" s="487"/>
      <c r="CT133" s="575" t="s">
        <v>230</v>
      </c>
      <c r="CU133" s="729"/>
      <c r="CV133" s="49"/>
      <c r="CW133" s="453"/>
      <c r="CX133" s="455"/>
      <c r="CY133" s="631"/>
      <c r="CZ133" s="455"/>
      <c r="DA133" s="49"/>
      <c r="DB133" s="457"/>
      <c r="DC133" s="475"/>
      <c r="DD133" s="632"/>
      <c r="DE133" s="475"/>
      <c r="DF133" s="49"/>
      <c r="DG133" s="458"/>
      <c r="DH133" s="459"/>
      <c r="DI133" s="633"/>
      <c r="DJ133" s="459"/>
      <c r="DK133" s="49"/>
      <c r="DL133" s="620"/>
      <c r="DM133" s="637"/>
      <c r="DN133" s="637"/>
      <c r="DO133" s="637"/>
      <c r="DP133" s="49"/>
      <c r="DQ133" s="461"/>
      <c r="DR133" s="462"/>
      <c r="DS133" s="462"/>
      <c r="DT133" s="462"/>
      <c r="DU133" s="49"/>
      <c r="DV133" s="463"/>
      <c r="DW133" s="464"/>
      <c r="DX133" s="464"/>
      <c r="DY133" s="464"/>
      <c r="DZ133" s="49"/>
      <c r="EA133" s="465"/>
      <c r="EB133" s="466"/>
      <c r="EC133" s="426"/>
      <c r="ED133" s="456"/>
      <c r="EE133" s="47"/>
      <c r="EF133" s="16"/>
    </row>
    <row r="134" ht="17.25" customHeight="1">
      <c r="A134" s="16"/>
      <c r="B134" s="47"/>
      <c r="C134" s="170"/>
      <c r="D134" s="171"/>
      <c r="E134" s="49"/>
      <c r="F134" s="200"/>
      <c r="G134" s="200"/>
      <c r="H134" s="200" t="s">
        <v>230</v>
      </c>
      <c r="I134" s="200"/>
      <c r="J134" s="200"/>
      <c r="K134" s="200"/>
      <c r="L134" s="476"/>
      <c r="M134" s="200" t="s">
        <v>230</v>
      </c>
      <c r="N134" s="200"/>
      <c r="O134" s="200"/>
      <c r="P134" s="200"/>
      <c r="Q134" s="476"/>
      <c r="R134" s="200" t="s">
        <v>230</v>
      </c>
      <c r="S134" s="200"/>
      <c r="T134" s="200"/>
      <c r="U134" s="200"/>
      <c r="V134" s="476"/>
      <c r="W134" s="200" t="s">
        <v>230</v>
      </c>
      <c r="X134" s="200"/>
      <c r="Y134" s="200"/>
      <c r="Z134" s="200"/>
      <c r="AA134" s="476"/>
      <c r="AB134" s="200" t="s">
        <v>230</v>
      </c>
      <c r="AC134" s="200"/>
      <c r="AD134" s="200"/>
      <c r="AE134" s="200"/>
      <c r="AF134" s="200"/>
      <c r="AG134" s="200" t="s">
        <v>230</v>
      </c>
      <c r="AH134" s="200"/>
      <c r="AI134" s="200"/>
      <c r="AJ134" s="200"/>
      <c r="AK134" s="476"/>
      <c r="AL134" s="200" t="s">
        <v>230</v>
      </c>
      <c r="AM134" s="200"/>
      <c r="AN134" s="200"/>
      <c r="AO134" s="200"/>
      <c r="AP134" s="476"/>
      <c r="AQ134" s="200" t="s">
        <v>230</v>
      </c>
      <c r="AR134" s="200"/>
      <c r="AS134" s="200"/>
      <c r="AT134" s="200"/>
      <c r="AU134" s="425"/>
      <c r="AV134" s="545" t="s">
        <v>230</v>
      </c>
      <c r="AW134" s="425"/>
      <c r="AX134" s="49"/>
      <c r="AY134" s="296"/>
      <c r="AZ134" s="541"/>
      <c r="BA134" s="554" t="s">
        <v>230</v>
      </c>
      <c r="BB134" s="541"/>
      <c r="BC134" s="49"/>
      <c r="BD134" s="327"/>
      <c r="BE134" s="556"/>
      <c r="BF134" s="557" t="s">
        <v>230</v>
      </c>
      <c r="BG134" s="556"/>
      <c r="BH134" s="49"/>
      <c r="BI134" s="346"/>
      <c r="BJ134" s="558"/>
      <c r="BK134" s="587" t="s">
        <v>230</v>
      </c>
      <c r="BL134" s="558"/>
      <c r="BM134" s="49"/>
      <c r="BN134" s="429"/>
      <c r="BO134" s="485"/>
      <c r="BP134" s="596" t="s">
        <v>230</v>
      </c>
      <c r="BQ134" s="485"/>
      <c r="BR134" s="49"/>
      <c r="BS134" s="353"/>
      <c r="BT134" s="472"/>
      <c r="BU134" s="586" t="s">
        <v>230</v>
      </c>
      <c r="BV134" s="472"/>
      <c r="BW134" s="49"/>
      <c r="BX134" s="368"/>
      <c r="BY134" s="578"/>
      <c r="BZ134" s="593" t="s">
        <v>230</v>
      </c>
      <c r="CA134" s="578"/>
      <c r="CB134" s="49"/>
      <c r="CC134" s="388"/>
      <c r="CD134" s="488"/>
      <c r="CE134" s="595" t="s">
        <v>230</v>
      </c>
      <c r="CF134" s="595"/>
      <c r="CG134" s="49"/>
      <c r="CH134" s="402"/>
      <c r="CI134" s="439"/>
      <c r="CJ134" s="426" t="s">
        <v>230</v>
      </c>
      <c r="CK134" s="439"/>
      <c r="CL134" s="49"/>
      <c r="CM134" s="402"/>
      <c r="CN134" s="439"/>
      <c r="CO134" s="426" t="s">
        <v>230</v>
      </c>
      <c r="CP134" s="672"/>
      <c r="CQ134" s="49"/>
      <c r="CR134" s="419"/>
      <c r="CS134" s="487"/>
      <c r="CT134" s="575" t="s">
        <v>230</v>
      </c>
      <c r="CU134" s="729"/>
      <c r="CV134" s="49"/>
      <c r="CW134" s="453"/>
      <c r="CX134" s="455"/>
      <c r="CY134" s="631"/>
      <c r="CZ134" s="455"/>
      <c r="DA134" s="49"/>
      <c r="DB134" s="457"/>
      <c r="DC134" s="475"/>
      <c r="DD134" s="632"/>
      <c r="DE134" s="475"/>
      <c r="DF134" s="49"/>
      <c r="DG134" s="458"/>
      <c r="DH134" s="459"/>
      <c r="DI134" s="633"/>
      <c r="DJ134" s="459"/>
      <c r="DK134" s="49"/>
      <c r="DL134" s="620"/>
      <c r="DM134" s="637"/>
      <c r="DN134" s="637"/>
      <c r="DO134" s="637"/>
      <c r="DP134" s="49"/>
      <c r="DQ134" s="461"/>
      <c r="DR134" s="462"/>
      <c r="DS134" s="462"/>
      <c r="DT134" s="462"/>
      <c r="DU134" s="49"/>
      <c r="DV134" s="463"/>
      <c r="DW134" s="464"/>
      <c r="DX134" s="464"/>
      <c r="DY134" s="464"/>
      <c r="DZ134" s="49"/>
      <c r="EA134" s="465"/>
      <c r="EB134" s="466"/>
      <c r="EC134" s="426"/>
      <c r="ED134" s="456"/>
      <c r="EE134" s="47"/>
      <c r="EF134" s="16"/>
    </row>
    <row r="135" ht="17.25" customHeight="1">
      <c r="A135" s="16"/>
      <c r="B135" s="47"/>
      <c r="C135" s="170"/>
      <c r="D135" s="171"/>
      <c r="E135" s="49"/>
      <c r="F135" s="200"/>
      <c r="G135" s="200"/>
      <c r="H135" s="200" t="s">
        <v>230</v>
      </c>
      <c r="I135" s="200"/>
      <c r="J135" s="200"/>
      <c r="K135" s="200"/>
      <c r="L135" s="476"/>
      <c r="M135" s="200" t="s">
        <v>230</v>
      </c>
      <c r="N135" s="200"/>
      <c r="O135" s="200"/>
      <c r="P135" s="200"/>
      <c r="Q135" s="476"/>
      <c r="R135" s="200" t="s">
        <v>230</v>
      </c>
      <c r="S135" s="200"/>
      <c r="T135" s="200"/>
      <c r="U135" s="200"/>
      <c r="V135" s="476"/>
      <c r="W135" s="200" t="s">
        <v>230</v>
      </c>
      <c r="X135" s="200"/>
      <c r="Y135" s="200"/>
      <c r="Z135" s="200"/>
      <c r="AA135" s="476"/>
      <c r="AB135" s="200" t="s">
        <v>230</v>
      </c>
      <c r="AC135" s="200"/>
      <c r="AD135" s="200"/>
      <c r="AE135" s="200"/>
      <c r="AF135" s="200"/>
      <c r="AG135" s="200" t="s">
        <v>230</v>
      </c>
      <c r="AH135" s="200"/>
      <c r="AI135" s="200"/>
      <c r="AJ135" s="200"/>
      <c r="AK135" s="476"/>
      <c r="AL135" s="200" t="s">
        <v>230</v>
      </c>
      <c r="AM135" s="200"/>
      <c r="AN135" s="200"/>
      <c r="AO135" s="200"/>
      <c r="AP135" s="476"/>
      <c r="AQ135" s="200" t="s">
        <v>230</v>
      </c>
      <c r="AR135" s="200"/>
      <c r="AS135" s="200"/>
      <c r="AT135" s="200"/>
      <c r="AU135" s="425"/>
      <c r="AV135" s="545" t="s">
        <v>230</v>
      </c>
      <c r="AW135" s="425"/>
      <c r="AX135" s="49"/>
      <c r="AY135" s="296"/>
      <c r="AZ135" s="541"/>
      <c r="BA135" s="554" t="s">
        <v>230</v>
      </c>
      <c r="BB135" s="541"/>
      <c r="BC135" s="49"/>
      <c r="BD135" s="327"/>
      <c r="BE135" s="556"/>
      <c r="BF135" s="557" t="s">
        <v>230</v>
      </c>
      <c r="BG135" s="556"/>
      <c r="BH135" s="49"/>
      <c r="BI135" s="346"/>
      <c r="BJ135" s="558"/>
      <c r="BK135" s="587" t="s">
        <v>230</v>
      </c>
      <c r="BL135" s="558"/>
      <c r="BM135" s="49"/>
      <c r="BN135" s="429"/>
      <c r="BO135" s="485"/>
      <c r="BP135" s="596" t="s">
        <v>230</v>
      </c>
      <c r="BQ135" s="485"/>
      <c r="BR135" s="49"/>
      <c r="BS135" s="353"/>
      <c r="BT135" s="472"/>
      <c r="BU135" s="586" t="s">
        <v>230</v>
      </c>
      <c r="BV135" s="472"/>
      <c r="BW135" s="49"/>
      <c r="BX135" s="368"/>
      <c r="BY135" s="578"/>
      <c r="BZ135" s="593" t="s">
        <v>230</v>
      </c>
      <c r="CA135" s="578"/>
      <c r="CB135" s="49"/>
      <c r="CC135" s="388"/>
      <c r="CD135" s="488"/>
      <c r="CE135" s="595" t="s">
        <v>230</v>
      </c>
      <c r="CF135" s="595"/>
      <c r="CG135" s="49"/>
      <c r="CH135" s="402"/>
      <c r="CI135" s="439"/>
      <c r="CJ135" s="426" t="s">
        <v>230</v>
      </c>
      <c r="CK135" s="439"/>
      <c r="CL135" s="49"/>
      <c r="CM135" s="402"/>
      <c r="CN135" s="439"/>
      <c r="CO135" s="426" t="s">
        <v>230</v>
      </c>
      <c r="CP135" s="672"/>
      <c r="CQ135" s="49"/>
      <c r="CR135" s="419"/>
      <c r="CS135" s="487"/>
      <c r="CT135" s="575" t="s">
        <v>230</v>
      </c>
      <c r="CU135" s="729"/>
      <c r="CV135" s="49"/>
      <c r="CW135" s="453"/>
      <c r="CX135" s="455"/>
      <c r="CY135" s="631"/>
      <c r="CZ135" s="455"/>
      <c r="DA135" s="49"/>
      <c r="DB135" s="457"/>
      <c r="DC135" s="475"/>
      <c r="DD135" s="632"/>
      <c r="DE135" s="475"/>
      <c r="DF135" s="49"/>
      <c r="DG135" s="458"/>
      <c r="DH135" s="459"/>
      <c r="DI135" s="633"/>
      <c r="DJ135" s="459"/>
      <c r="DK135" s="49"/>
      <c r="DL135" s="620"/>
      <c r="DM135" s="637"/>
      <c r="DN135" s="637"/>
      <c r="DO135" s="637"/>
      <c r="DP135" s="49"/>
      <c r="DQ135" s="461"/>
      <c r="DR135" s="462"/>
      <c r="DS135" s="462"/>
      <c r="DT135" s="462"/>
      <c r="DU135" s="49"/>
      <c r="DV135" s="463"/>
      <c r="DW135" s="464"/>
      <c r="DX135" s="464"/>
      <c r="DY135" s="464"/>
      <c r="DZ135" s="49"/>
      <c r="EA135" s="465"/>
      <c r="EB135" s="466"/>
      <c r="EC135" s="426"/>
      <c r="ED135" s="456"/>
      <c r="EE135" s="47"/>
      <c r="EF135" s="16"/>
    </row>
    <row r="136" ht="17.25" customHeight="1">
      <c r="A136" s="16"/>
      <c r="B136" s="47"/>
      <c r="C136" s="170"/>
      <c r="D136" s="171"/>
      <c r="E136" s="49"/>
      <c r="F136" s="200"/>
      <c r="G136" s="200"/>
      <c r="H136" s="200" t="s">
        <v>230</v>
      </c>
      <c r="I136" s="200"/>
      <c r="J136" s="200"/>
      <c r="K136" s="200"/>
      <c r="L136" s="476"/>
      <c r="M136" s="200" t="s">
        <v>230</v>
      </c>
      <c r="N136" s="200"/>
      <c r="O136" s="200"/>
      <c r="P136" s="200"/>
      <c r="Q136" s="476"/>
      <c r="R136" s="200" t="s">
        <v>230</v>
      </c>
      <c r="S136" s="200"/>
      <c r="T136" s="200"/>
      <c r="U136" s="200"/>
      <c r="V136" s="476"/>
      <c r="W136" s="200" t="s">
        <v>230</v>
      </c>
      <c r="X136" s="200"/>
      <c r="Y136" s="200"/>
      <c r="Z136" s="200"/>
      <c r="AA136" s="476"/>
      <c r="AB136" s="200" t="s">
        <v>230</v>
      </c>
      <c r="AC136" s="200"/>
      <c r="AD136" s="200"/>
      <c r="AE136" s="200"/>
      <c r="AF136" s="200"/>
      <c r="AG136" s="200" t="s">
        <v>230</v>
      </c>
      <c r="AH136" s="200"/>
      <c r="AI136" s="200"/>
      <c r="AJ136" s="200"/>
      <c r="AK136" s="476"/>
      <c r="AL136" s="200" t="s">
        <v>230</v>
      </c>
      <c r="AM136" s="200"/>
      <c r="AN136" s="200"/>
      <c r="AO136" s="200"/>
      <c r="AP136" s="476"/>
      <c r="AQ136" s="200" t="s">
        <v>230</v>
      </c>
      <c r="AR136" s="200"/>
      <c r="AS136" s="200"/>
      <c r="AT136" s="200"/>
      <c r="AU136" s="425"/>
      <c r="AV136" s="545" t="s">
        <v>230</v>
      </c>
      <c r="AW136" s="425"/>
      <c r="AX136" s="49"/>
      <c r="AY136" s="296"/>
      <c r="AZ136" s="541"/>
      <c r="BA136" s="554" t="s">
        <v>230</v>
      </c>
      <c r="BB136" s="541"/>
      <c r="BC136" s="49"/>
      <c r="BD136" s="327"/>
      <c r="BE136" s="556"/>
      <c r="BF136" s="557" t="s">
        <v>230</v>
      </c>
      <c r="BG136" s="556"/>
      <c r="BH136" s="49"/>
      <c r="BI136" s="346"/>
      <c r="BJ136" s="558"/>
      <c r="BK136" s="587" t="s">
        <v>230</v>
      </c>
      <c r="BL136" s="558"/>
      <c r="BM136" s="49"/>
      <c r="BN136" s="429"/>
      <c r="BO136" s="485"/>
      <c r="BP136" s="596" t="s">
        <v>230</v>
      </c>
      <c r="BQ136" s="485"/>
      <c r="BR136" s="49"/>
      <c r="BS136" s="353"/>
      <c r="BT136" s="472"/>
      <c r="BU136" s="586" t="s">
        <v>230</v>
      </c>
      <c r="BV136" s="472"/>
      <c r="BW136" s="49"/>
      <c r="BX136" s="368"/>
      <c r="BY136" s="578"/>
      <c r="BZ136" s="593" t="s">
        <v>230</v>
      </c>
      <c r="CA136" s="578"/>
      <c r="CB136" s="49"/>
      <c r="CC136" s="388"/>
      <c r="CD136" s="488"/>
      <c r="CE136" s="595" t="s">
        <v>230</v>
      </c>
      <c r="CF136" s="595"/>
      <c r="CG136" s="49"/>
      <c r="CH136" s="402"/>
      <c r="CI136" s="439"/>
      <c r="CJ136" s="426" t="s">
        <v>230</v>
      </c>
      <c r="CK136" s="439"/>
      <c r="CL136" s="49"/>
      <c r="CM136" s="402"/>
      <c r="CN136" s="439"/>
      <c r="CO136" s="426" t="s">
        <v>230</v>
      </c>
      <c r="CP136" s="672"/>
      <c r="CQ136" s="49"/>
      <c r="CR136" s="419"/>
      <c r="CS136" s="487"/>
      <c r="CT136" s="575" t="s">
        <v>230</v>
      </c>
      <c r="CU136" s="729"/>
      <c r="CV136" s="49"/>
      <c r="CW136" s="453"/>
      <c r="CX136" s="455"/>
      <c r="CY136" s="631"/>
      <c r="CZ136" s="455"/>
      <c r="DA136" s="49"/>
      <c r="DB136" s="457"/>
      <c r="DC136" s="475"/>
      <c r="DD136" s="632"/>
      <c r="DE136" s="475"/>
      <c r="DF136" s="49"/>
      <c r="DG136" s="458"/>
      <c r="DH136" s="459"/>
      <c r="DI136" s="633"/>
      <c r="DJ136" s="459"/>
      <c r="DK136" s="49"/>
      <c r="DL136" s="620"/>
      <c r="DM136" s="637"/>
      <c r="DN136" s="637"/>
      <c r="DO136" s="637"/>
      <c r="DP136" s="49"/>
      <c r="DQ136" s="461"/>
      <c r="DR136" s="462"/>
      <c r="DS136" s="462"/>
      <c r="DT136" s="462"/>
      <c r="DU136" s="49"/>
      <c r="DV136" s="463"/>
      <c r="DW136" s="464"/>
      <c r="DX136" s="464"/>
      <c r="DY136" s="464"/>
      <c r="DZ136" s="49"/>
      <c r="EA136" s="465"/>
      <c r="EB136" s="466"/>
      <c r="EC136" s="426"/>
      <c r="ED136" s="456"/>
      <c r="EE136" s="47"/>
      <c r="EF136" s="16"/>
    </row>
    <row r="137" ht="17.25" customHeight="1">
      <c r="A137" s="16"/>
      <c r="B137" s="47"/>
      <c r="C137" s="170"/>
      <c r="D137" s="171"/>
      <c r="E137" s="49"/>
      <c r="F137" s="200"/>
      <c r="G137" s="200"/>
      <c r="H137" s="200" t="s">
        <v>230</v>
      </c>
      <c r="I137" s="200"/>
      <c r="J137" s="200"/>
      <c r="K137" s="200"/>
      <c r="L137" s="476"/>
      <c r="M137" s="200" t="s">
        <v>230</v>
      </c>
      <c r="N137" s="200"/>
      <c r="O137" s="200"/>
      <c r="P137" s="200"/>
      <c r="Q137" s="476"/>
      <c r="R137" s="200" t="s">
        <v>230</v>
      </c>
      <c r="S137" s="200"/>
      <c r="T137" s="200"/>
      <c r="U137" s="200"/>
      <c r="V137" s="476"/>
      <c r="W137" s="200" t="s">
        <v>230</v>
      </c>
      <c r="X137" s="200"/>
      <c r="Y137" s="200"/>
      <c r="Z137" s="200"/>
      <c r="AA137" s="476"/>
      <c r="AB137" s="200" t="s">
        <v>230</v>
      </c>
      <c r="AC137" s="200"/>
      <c r="AD137" s="200"/>
      <c r="AE137" s="200"/>
      <c r="AF137" s="200"/>
      <c r="AG137" s="200" t="s">
        <v>230</v>
      </c>
      <c r="AH137" s="200"/>
      <c r="AI137" s="200"/>
      <c r="AJ137" s="200"/>
      <c r="AK137" s="476"/>
      <c r="AL137" s="200" t="s">
        <v>230</v>
      </c>
      <c r="AM137" s="200"/>
      <c r="AN137" s="200"/>
      <c r="AO137" s="200"/>
      <c r="AP137" s="476"/>
      <c r="AQ137" s="200" t="s">
        <v>230</v>
      </c>
      <c r="AR137" s="200"/>
      <c r="AS137" s="200"/>
      <c r="AT137" s="200"/>
      <c r="AU137" s="425"/>
      <c r="AV137" s="545" t="s">
        <v>230</v>
      </c>
      <c r="AW137" s="425"/>
      <c r="AX137" s="49"/>
      <c r="AY137" s="296"/>
      <c r="AZ137" s="541"/>
      <c r="BA137" s="554" t="s">
        <v>230</v>
      </c>
      <c r="BB137" s="541"/>
      <c r="BC137" s="49"/>
      <c r="BD137" s="327"/>
      <c r="BE137" s="556"/>
      <c r="BF137" s="557" t="s">
        <v>230</v>
      </c>
      <c r="BG137" s="556"/>
      <c r="BH137" s="49"/>
      <c r="BI137" s="346"/>
      <c r="BJ137" s="558"/>
      <c r="BK137" s="587" t="s">
        <v>230</v>
      </c>
      <c r="BL137" s="558"/>
      <c r="BM137" s="49"/>
      <c r="BN137" s="429"/>
      <c r="BO137" s="485"/>
      <c r="BP137" s="596" t="s">
        <v>230</v>
      </c>
      <c r="BQ137" s="485"/>
      <c r="BR137" s="49"/>
      <c r="BS137" s="353"/>
      <c r="BT137" s="472"/>
      <c r="BU137" s="586" t="s">
        <v>230</v>
      </c>
      <c r="BV137" s="472"/>
      <c r="BW137" s="49"/>
      <c r="BX137" s="368"/>
      <c r="BY137" s="578"/>
      <c r="BZ137" s="593" t="s">
        <v>230</v>
      </c>
      <c r="CA137" s="578"/>
      <c r="CB137" s="49"/>
      <c r="CC137" s="388"/>
      <c r="CD137" s="488"/>
      <c r="CE137" s="595" t="s">
        <v>230</v>
      </c>
      <c r="CF137" s="595"/>
      <c r="CG137" s="49"/>
      <c r="CH137" s="402"/>
      <c r="CI137" s="439"/>
      <c r="CJ137" s="867" t="s">
        <v>230</v>
      </c>
      <c r="CK137" s="439"/>
      <c r="CL137" s="49"/>
      <c r="CM137" s="402"/>
      <c r="CN137" s="439"/>
      <c r="CO137" s="867" t="s">
        <v>230</v>
      </c>
      <c r="CP137" s="672"/>
      <c r="CQ137" s="49"/>
      <c r="CR137" s="419"/>
      <c r="CS137" s="487"/>
      <c r="CT137" s="575" t="s">
        <v>230</v>
      </c>
      <c r="CU137" s="729"/>
      <c r="CV137" s="49"/>
      <c r="CW137" s="453"/>
      <c r="CX137" s="455"/>
      <c r="CY137" s="631"/>
      <c r="CZ137" s="455"/>
      <c r="DA137" s="49"/>
      <c r="DB137" s="457"/>
      <c r="DC137" s="475"/>
      <c r="DD137" s="632"/>
      <c r="DE137" s="475"/>
      <c r="DF137" s="49"/>
      <c r="DG137" s="458"/>
      <c r="DH137" s="459"/>
      <c r="DI137" s="633"/>
      <c r="DJ137" s="459"/>
      <c r="DK137" s="49"/>
      <c r="DL137" s="620"/>
      <c r="DM137" s="637"/>
      <c r="DN137" s="637"/>
      <c r="DO137" s="637"/>
      <c r="DP137" s="49"/>
      <c r="DQ137" s="461"/>
      <c r="DR137" s="462"/>
      <c r="DS137" s="462"/>
      <c r="DT137" s="462"/>
      <c r="DU137" s="49"/>
      <c r="DV137" s="463"/>
      <c r="DW137" s="464"/>
      <c r="DX137" s="464"/>
      <c r="DY137" s="464"/>
      <c r="DZ137" s="49"/>
      <c r="EA137" s="465"/>
      <c r="EB137" s="466"/>
      <c r="EC137" s="426"/>
      <c r="ED137" s="456"/>
      <c r="EE137" s="47"/>
      <c r="EF137" s="16"/>
    </row>
    <row r="138" ht="17.25" customHeight="1">
      <c r="A138" s="16"/>
      <c r="B138" s="47"/>
      <c r="C138" s="170"/>
      <c r="D138" s="171"/>
      <c r="E138" s="49"/>
      <c r="F138" s="200"/>
      <c r="G138" s="200"/>
      <c r="H138" s="200" t="s">
        <v>230</v>
      </c>
      <c r="I138" s="200"/>
      <c r="J138" s="200"/>
      <c r="K138" s="200"/>
      <c r="L138" s="476"/>
      <c r="M138" s="200" t="s">
        <v>230</v>
      </c>
      <c r="N138" s="200"/>
      <c r="O138" s="200"/>
      <c r="P138" s="200"/>
      <c r="Q138" s="476"/>
      <c r="R138" s="200" t="s">
        <v>230</v>
      </c>
      <c r="S138" s="200"/>
      <c r="T138" s="200"/>
      <c r="U138" s="200"/>
      <c r="V138" s="476"/>
      <c r="W138" s="200" t="s">
        <v>230</v>
      </c>
      <c r="X138" s="200"/>
      <c r="Y138" s="200"/>
      <c r="Z138" s="200"/>
      <c r="AA138" s="476"/>
      <c r="AB138" s="200" t="s">
        <v>230</v>
      </c>
      <c r="AC138" s="200"/>
      <c r="AD138" s="200"/>
      <c r="AE138" s="200"/>
      <c r="AF138" s="200"/>
      <c r="AG138" s="200" t="s">
        <v>230</v>
      </c>
      <c r="AH138" s="200"/>
      <c r="AI138" s="200"/>
      <c r="AJ138" s="200"/>
      <c r="AK138" s="476"/>
      <c r="AL138" s="200" t="s">
        <v>230</v>
      </c>
      <c r="AM138" s="200"/>
      <c r="AN138" s="200"/>
      <c r="AO138" s="200"/>
      <c r="AP138" s="476"/>
      <c r="AQ138" s="200" t="s">
        <v>230</v>
      </c>
      <c r="AR138" s="200"/>
      <c r="AS138" s="200"/>
      <c r="AT138" s="200"/>
      <c r="AU138" s="425"/>
      <c r="AV138" s="545" t="s">
        <v>230</v>
      </c>
      <c r="AW138" s="425"/>
      <c r="AX138" s="49"/>
      <c r="AY138" s="296"/>
      <c r="AZ138" s="541"/>
      <c r="BA138" s="554" t="s">
        <v>230</v>
      </c>
      <c r="BB138" s="541"/>
      <c r="BC138" s="49"/>
      <c r="BD138" s="327"/>
      <c r="BE138" s="556"/>
      <c r="BF138" s="557" t="s">
        <v>230</v>
      </c>
      <c r="BG138" s="556"/>
      <c r="BH138" s="49"/>
      <c r="BI138" s="346"/>
      <c r="BJ138" s="558"/>
      <c r="BK138" s="587" t="s">
        <v>230</v>
      </c>
      <c r="BL138" s="558"/>
      <c r="BM138" s="49"/>
      <c r="BN138" s="429"/>
      <c r="BO138" s="485"/>
      <c r="BP138" s="596" t="s">
        <v>230</v>
      </c>
      <c r="BQ138" s="485"/>
      <c r="BR138" s="49"/>
      <c r="BS138" s="353"/>
      <c r="BT138" s="472"/>
      <c r="BU138" s="586" t="s">
        <v>230</v>
      </c>
      <c r="BV138" s="472"/>
      <c r="BW138" s="49"/>
      <c r="BX138" s="368"/>
      <c r="BY138" s="578"/>
      <c r="BZ138" s="593" t="s">
        <v>230</v>
      </c>
      <c r="CA138" s="578"/>
      <c r="CB138" s="49"/>
      <c r="CC138" s="388"/>
      <c r="CD138" s="488"/>
      <c r="CE138" s="595" t="s">
        <v>230</v>
      </c>
      <c r="CF138" s="595"/>
      <c r="CG138" s="49"/>
      <c r="CH138" s="402"/>
      <c r="CI138" s="439"/>
      <c r="CJ138" s="867" t="s">
        <v>230</v>
      </c>
      <c r="CK138" s="439"/>
      <c r="CL138" s="49"/>
      <c r="CM138" s="402"/>
      <c r="CN138" s="439"/>
      <c r="CO138" s="867" t="s">
        <v>230</v>
      </c>
      <c r="CP138" s="672"/>
      <c r="CQ138" s="49"/>
      <c r="CR138" s="419"/>
      <c r="CS138" s="487"/>
      <c r="CT138" s="575" t="s">
        <v>230</v>
      </c>
      <c r="CU138" s="729"/>
      <c r="CV138" s="49"/>
      <c r="CW138" s="453"/>
      <c r="CX138" s="455"/>
      <c r="CY138" s="631"/>
      <c r="CZ138" s="455"/>
      <c r="DA138" s="49"/>
      <c r="DB138" s="457"/>
      <c r="DC138" s="475"/>
      <c r="DD138" s="632"/>
      <c r="DE138" s="475"/>
      <c r="DF138" s="49"/>
      <c r="DG138" s="458"/>
      <c r="DH138" s="459"/>
      <c r="DI138" s="633"/>
      <c r="DJ138" s="459"/>
      <c r="DK138" s="49"/>
      <c r="DL138" s="620"/>
      <c r="DM138" s="637"/>
      <c r="DN138" s="637"/>
      <c r="DO138" s="637"/>
      <c r="DP138" s="49"/>
      <c r="DQ138" s="461"/>
      <c r="DR138" s="462"/>
      <c r="DS138" s="462"/>
      <c r="DT138" s="462"/>
      <c r="DU138" s="49"/>
      <c r="DV138" s="463"/>
      <c r="DW138" s="464"/>
      <c r="DX138" s="464"/>
      <c r="DY138" s="464"/>
      <c r="DZ138" s="49"/>
      <c r="EA138" s="465"/>
      <c r="EB138" s="466"/>
      <c r="EC138" s="426"/>
      <c r="ED138" s="456"/>
      <c r="EE138" s="47"/>
      <c r="EF138" s="16"/>
    </row>
    <row r="139" ht="17.25" customHeight="1">
      <c r="A139" s="16"/>
      <c r="B139" s="47"/>
      <c r="C139" s="170"/>
      <c r="D139" s="171"/>
      <c r="E139" s="49"/>
      <c r="F139" s="200"/>
      <c r="G139" s="200"/>
      <c r="H139" s="200" t="s">
        <v>230</v>
      </c>
      <c r="I139" s="200"/>
      <c r="J139" s="200"/>
      <c r="K139" s="200"/>
      <c r="L139" s="476"/>
      <c r="M139" s="200" t="s">
        <v>230</v>
      </c>
      <c r="N139" s="200"/>
      <c r="O139" s="200"/>
      <c r="P139" s="200"/>
      <c r="Q139" s="476"/>
      <c r="R139" s="200" t="s">
        <v>230</v>
      </c>
      <c r="S139" s="200"/>
      <c r="T139" s="200"/>
      <c r="U139" s="200"/>
      <c r="V139" s="476"/>
      <c r="W139" s="200" t="s">
        <v>230</v>
      </c>
      <c r="X139" s="200"/>
      <c r="Y139" s="200"/>
      <c r="Z139" s="200"/>
      <c r="AA139" s="476"/>
      <c r="AB139" s="200" t="s">
        <v>230</v>
      </c>
      <c r="AC139" s="200"/>
      <c r="AD139" s="200"/>
      <c r="AE139" s="200"/>
      <c r="AF139" s="200"/>
      <c r="AG139" s="200" t="s">
        <v>230</v>
      </c>
      <c r="AH139" s="200"/>
      <c r="AI139" s="200"/>
      <c r="AJ139" s="200"/>
      <c r="AK139" s="476"/>
      <c r="AL139" s="200" t="s">
        <v>230</v>
      </c>
      <c r="AM139" s="200"/>
      <c r="AN139" s="200"/>
      <c r="AO139" s="200"/>
      <c r="AP139" s="476"/>
      <c r="AQ139" s="200" t="s">
        <v>230</v>
      </c>
      <c r="AR139" s="200"/>
      <c r="AS139" s="200"/>
      <c r="AT139" s="200"/>
      <c r="AU139" s="425"/>
      <c r="AV139" s="545" t="s">
        <v>230</v>
      </c>
      <c r="AW139" s="425"/>
      <c r="AX139" s="49"/>
      <c r="AY139" s="296"/>
      <c r="AZ139" s="541"/>
      <c r="BA139" s="554" t="s">
        <v>230</v>
      </c>
      <c r="BB139" s="541"/>
      <c r="BC139" s="49"/>
      <c r="BD139" s="327"/>
      <c r="BE139" s="556"/>
      <c r="BF139" s="557" t="s">
        <v>230</v>
      </c>
      <c r="BG139" s="556"/>
      <c r="BH139" s="49"/>
      <c r="BI139" s="346"/>
      <c r="BJ139" s="558"/>
      <c r="BK139" s="587" t="s">
        <v>230</v>
      </c>
      <c r="BL139" s="558"/>
      <c r="BM139" s="49"/>
      <c r="BN139" s="429"/>
      <c r="BO139" s="485"/>
      <c r="BP139" s="596" t="s">
        <v>230</v>
      </c>
      <c r="BQ139" s="485"/>
      <c r="BR139" s="49"/>
      <c r="BS139" s="353"/>
      <c r="BT139" s="472"/>
      <c r="BU139" s="586" t="s">
        <v>230</v>
      </c>
      <c r="BV139" s="472"/>
      <c r="BW139" s="49"/>
      <c r="BX139" s="368"/>
      <c r="BY139" s="578"/>
      <c r="BZ139" s="593" t="s">
        <v>230</v>
      </c>
      <c r="CA139" s="578"/>
      <c r="CB139" s="49"/>
      <c r="CC139" s="388"/>
      <c r="CD139" s="488"/>
      <c r="CE139" s="595" t="s">
        <v>230</v>
      </c>
      <c r="CF139" s="595"/>
      <c r="CG139" s="49"/>
      <c r="CH139" s="402"/>
      <c r="CI139" s="439"/>
      <c r="CJ139" s="867" t="s">
        <v>230</v>
      </c>
      <c r="CK139" s="439"/>
      <c r="CL139" s="49"/>
      <c r="CM139" s="402"/>
      <c r="CN139" s="439"/>
      <c r="CO139" s="867" t="s">
        <v>230</v>
      </c>
      <c r="CP139" s="672"/>
      <c r="CQ139" s="49"/>
      <c r="CR139" s="419"/>
      <c r="CS139" s="487"/>
      <c r="CT139" s="575" t="s">
        <v>230</v>
      </c>
      <c r="CU139" s="729"/>
      <c r="CV139" s="49"/>
      <c r="CW139" s="453"/>
      <c r="CX139" s="455"/>
      <c r="CY139" s="631"/>
      <c r="CZ139" s="455"/>
      <c r="DA139" s="49"/>
      <c r="DB139" s="457"/>
      <c r="DC139" s="475"/>
      <c r="DD139" s="632"/>
      <c r="DE139" s="475"/>
      <c r="DF139" s="49"/>
      <c r="DG139" s="458"/>
      <c r="DH139" s="459"/>
      <c r="DI139" s="633"/>
      <c r="DJ139" s="459"/>
      <c r="DK139" s="49"/>
      <c r="DL139" s="620"/>
      <c r="DM139" s="637"/>
      <c r="DN139" s="637"/>
      <c r="DO139" s="637"/>
      <c r="DP139" s="49"/>
      <c r="DQ139" s="461"/>
      <c r="DR139" s="462"/>
      <c r="DS139" s="462"/>
      <c r="DT139" s="462"/>
      <c r="DU139" s="49"/>
      <c r="DV139" s="463"/>
      <c r="DW139" s="464"/>
      <c r="DX139" s="464"/>
      <c r="DY139" s="464"/>
      <c r="DZ139" s="49"/>
      <c r="EA139" s="465"/>
      <c r="EB139" s="466"/>
      <c r="EC139" s="426"/>
      <c r="ED139" s="456"/>
      <c r="EE139" s="47"/>
      <c r="EF139" s="16"/>
    </row>
    <row r="140" ht="17.25" customHeight="1">
      <c r="A140" s="16"/>
      <c r="B140" s="47"/>
      <c r="C140" s="170"/>
      <c r="D140" s="171"/>
      <c r="E140" s="49"/>
      <c r="F140" s="200"/>
      <c r="G140" s="200"/>
      <c r="H140" s="200" t="s">
        <v>230</v>
      </c>
      <c r="I140" s="200"/>
      <c r="J140" s="200"/>
      <c r="K140" s="200"/>
      <c r="L140" s="476"/>
      <c r="M140" s="200" t="s">
        <v>230</v>
      </c>
      <c r="N140" s="200"/>
      <c r="O140" s="200"/>
      <c r="P140" s="200"/>
      <c r="Q140" s="476"/>
      <c r="R140" s="200" t="s">
        <v>230</v>
      </c>
      <c r="S140" s="200"/>
      <c r="T140" s="200"/>
      <c r="U140" s="200"/>
      <c r="V140" s="476"/>
      <c r="W140" s="200" t="s">
        <v>230</v>
      </c>
      <c r="X140" s="200"/>
      <c r="Y140" s="200"/>
      <c r="Z140" s="200"/>
      <c r="AA140" s="476"/>
      <c r="AB140" s="200" t="s">
        <v>230</v>
      </c>
      <c r="AC140" s="200"/>
      <c r="AD140" s="200"/>
      <c r="AE140" s="200"/>
      <c r="AF140" s="200"/>
      <c r="AG140" s="200" t="s">
        <v>230</v>
      </c>
      <c r="AH140" s="200"/>
      <c r="AI140" s="200"/>
      <c r="AJ140" s="200"/>
      <c r="AK140" s="476"/>
      <c r="AL140" s="200" t="s">
        <v>230</v>
      </c>
      <c r="AM140" s="200"/>
      <c r="AN140" s="200"/>
      <c r="AO140" s="200"/>
      <c r="AP140" s="476"/>
      <c r="AQ140" s="200" t="s">
        <v>230</v>
      </c>
      <c r="AR140" s="200"/>
      <c r="AS140" s="200"/>
      <c r="AT140" s="200"/>
      <c r="AU140" s="425"/>
      <c r="AV140" s="545" t="s">
        <v>230</v>
      </c>
      <c r="AW140" s="425"/>
      <c r="AX140" s="49"/>
      <c r="AY140" s="296"/>
      <c r="AZ140" s="541"/>
      <c r="BA140" s="554" t="s">
        <v>230</v>
      </c>
      <c r="BB140" s="541"/>
      <c r="BC140" s="49"/>
      <c r="BD140" s="327"/>
      <c r="BE140" s="556"/>
      <c r="BF140" s="557" t="s">
        <v>230</v>
      </c>
      <c r="BG140" s="556"/>
      <c r="BH140" s="49"/>
      <c r="BI140" s="346"/>
      <c r="BJ140" s="558"/>
      <c r="BK140" s="587" t="s">
        <v>230</v>
      </c>
      <c r="BL140" s="558"/>
      <c r="BM140" s="49"/>
      <c r="BN140" s="429"/>
      <c r="BO140" s="485"/>
      <c r="BP140" s="596" t="s">
        <v>230</v>
      </c>
      <c r="BQ140" s="485"/>
      <c r="BR140" s="49"/>
      <c r="BS140" s="353"/>
      <c r="BT140" s="472"/>
      <c r="BU140" s="586" t="s">
        <v>230</v>
      </c>
      <c r="BV140" s="472"/>
      <c r="BW140" s="49"/>
      <c r="BX140" s="368"/>
      <c r="BY140" s="578"/>
      <c r="BZ140" s="593" t="s">
        <v>230</v>
      </c>
      <c r="CA140" s="578"/>
      <c r="CB140" s="49"/>
      <c r="CC140" s="388"/>
      <c r="CD140" s="488"/>
      <c r="CE140" s="595" t="s">
        <v>230</v>
      </c>
      <c r="CF140" s="595"/>
      <c r="CG140" s="49"/>
      <c r="CH140" s="402"/>
      <c r="CI140" s="439"/>
      <c r="CJ140" s="867" t="s">
        <v>230</v>
      </c>
      <c r="CK140" s="439"/>
      <c r="CL140" s="49"/>
      <c r="CM140" s="402"/>
      <c r="CN140" s="439"/>
      <c r="CO140" s="867" t="s">
        <v>230</v>
      </c>
      <c r="CP140" s="672"/>
      <c r="CQ140" s="49"/>
      <c r="CR140" s="419"/>
      <c r="CS140" s="487"/>
      <c r="CT140" s="575" t="s">
        <v>230</v>
      </c>
      <c r="CU140" s="729"/>
      <c r="CV140" s="49"/>
      <c r="CW140" s="453"/>
      <c r="CX140" s="455"/>
      <c r="CY140" s="631"/>
      <c r="CZ140" s="455"/>
      <c r="DA140" s="49"/>
      <c r="DB140" s="457"/>
      <c r="DC140" s="475"/>
      <c r="DD140" s="632"/>
      <c r="DE140" s="475"/>
      <c r="DF140" s="49"/>
      <c r="DG140" s="458"/>
      <c r="DH140" s="459"/>
      <c r="DI140" s="633"/>
      <c r="DJ140" s="459"/>
      <c r="DK140" s="49"/>
      <c r="DL140" s="620"/>
      <c r="DM140" s="637"/>
      <c r="DN140" s="637"/>
      <c r="DO140" s="637"/>
      <c r="DP140" s="49"/>
      <c r="DQ140" s="461"/>
      <c r="DR140" s="462"/>
      <c r="DS140" s="462"/>
      <c r="DT140" s="462"/>
      <c r="DU140" s="49"/>
      <c r="DV140" s="463"/>
      <c r="DW140" s="464"/>
      <c r="DX140" s="464"/>
      <c r="DY140" s="464"/>
      <c r="DZ140" s="49"/>
      <c r="EA140" s="465"/>
      <c r="EB140" s="466"/>
      <c r="EC140" s="426"/>
      <c r="ED140" s="456"/>
      <c r="EE140" s="47"/>
      <c r="EF140" s="16"/>
    </row>
    <row r="141" ht="17.25" customHeight="1">
      <c r="A141" s="16"/>
      <c r="B141" s="47"/>
      <c r="C141" s="170"/>
      <c r="D141" s="171"/>
      <c r="E141" s="49"/>
      <c r="F141" s="200"/>
      <c r="G141" s="200"/>
      <c r="H141" s="200" t="s">
        <v>230</v>
      </c>
      <c r="I141" s="200"/>
      <c r="J141" s="200"/>
      <c r="K141" s="200"/>
      <c r="L141" s="476"/>
      <c r="M141" s="200" t="s">
        <v>230</v>
      </c>
      <c r="N141" s="200"/>
      <c r="O141" s="200"/>
      <c r="P141" s="200"/>
      <c r="Q141" s="476"/>
      <c r="R141" s="200" t="s">
        <v>230</v>
      </c>
      <c r="S141" s="200"/>
      <c r="T141" s="200"/>
      <c r="U141" s="200"/>
      <c r="V141" s="476"/>
      <c r="W141" s="200" t="s">
        <v>230</v>
      </c>
      <c r="X141" s="200"/>
      <c r="Y141" s="200"/>
      <c r="Z141" s="200"/>
      <c r="AA141" s="476"/>
      <c r="AB141" s="200" t="s">
        <v>230</v>
      </c>
      <c r="AC141" s="200"/>
      <c r="AD141" s="200"/>
      <c r="AE141" s="200"/>
      <c r="AF141" s="200"/>
      <c r="AG141" s="200" t="s">
        <v>230</v>
      </c>
      <c r="AH141" s="200"/>
      <c r="AI141" s="200"/>
      <c r="AJ141" s="200"/>
      <c r="AK141" s="476"/>
      <c r="AL141" s="200" t="s">
        <v>230</v>
      </c>
      <c r="AM141" s="200"/>
      <c r="AN141" s="200"/>
      <c r="AO141" s="200"/>
      <c r="AP141" s="476"/>
      <c r="AQ141" s="200" t="s">
        <v>230</v>
      </c>
      <c r="AR141" s="200"/>
      <c r="AS141" s="200"/>
      <c r="AT141" s="200"/>
      <c r="AU141" s="425"/>
      <c r="AV141" s="545" t="s">
        <v>230</v>
      </c>
      <c r="AW141" s="425"/>
      <c r="AX141" s="49"/>
      <c r="AY141" s="296"/>
      <c r="AZ141" s="541"/>
      <c r="BA141" s="554" t="s">
        <v>230</v>
      </c>
      <c r="BB141" s="541"/>
      <c r="BC141" s="49"/>
      <c r="BD141" s="327"/>
      <c r="BE141" s="556"/>
      <c r="BF141" s="557" t="s">
        <v>230</v>
      </c>
      <c r="BG141" s="556"/>
      <c r="BH141" s="49"/>
      <c r="BI141" s="346"/>
      <c r="BJ141" s="558"/>
      <c r="BK141" s="587" t="s">
        <v>230</v>
      </c>
      <c r="BL141" s="558"/>
      <c r="BM141" s="49"/>
      <c r="BN141" s="429"/>
      <c r="BO141" s="485"/>
      <c r="BP141" s="596" t="s">
        <v>230</v>
      </c>
      <c r="BQ141" s="485"/>
      <c r="BR141" s="49"/>
      <c r="BS141" s="353"/>
      <c r="BT141" s="472"/>
      <c r="BU141" s="586" t="s">
        <v>230</v>
      </c>
      <c r="BV141" s="472"/>
      <c r="BW141" s="49"/>
      <c r="BX141" s="368"/>
      <c r="BY141" s="578"/>
      <c r="BZ141" s="593" t="s">
        <v>230</v>
      </c>
      <c r="CA141" s="578"/>
      <c r="CB141" s="49"/>
      <c r="CC141" s="388"/>
      <c r="CD141" s="488"/>
      <c r="CE141" s="595" t="s">
        <v>230</v>
      </c>
      <c r="CF141" s="595"/>
      <c r="CG141" s="49"/>
      <c r="CH141" s="402"/>
      <c r="CI141" s="439"/>
      <c r="CJ141" s="867" t="s">
        <v>230</v>
      </c>
      <c r="CK141" s="439"/>
      <c r="CL141" s="49"/>
      <c r="CM141" s="402"/>
      <c r="CN141" s="439"/>
      <c r="CO141" s="867" t="s">
        <v>230</v>
      </c>
      <c r="CP141" s="672"/>
      <c r="CQ141" s="49"/>
      <c r="CR141" s="419"/>
      <c r="CS141" s="487"/>
      <c r="CT141" s="575" t="s">
        <v>230</v>
      </c>
      <c r="CU141" s="729"/>
      <c r="CV141" s="49"/>
      <c r="CW141" s="453"/>
      <c r="CX141" s="455"/>
      <c r="CY141" s="631"/>
      <c r="CZ141" s="455"/>
      <c r="DA141" s="49"/>
      <c r="DB141" s="457"/>
      <c r="DC141" s="475"/>
      <c r="DD141" s="632"/>
      <c r="DE141" s="475"/>
      <c r="DF141" s="49"/>
      <c r="DG141" s="458"/>
      <c r="DH141" s="459"/>
      <c r="DI141" s="633"/>
      <c r="DJ141" s="459"/>
      <c r="DK141" s="49"/>
      <c r="DL141" s="620"/>
      <c r="DM141" s="637"/>
      <c r="DN141" s="637"/>
      <c r="DO141" s="637"/>
      <c r="DP141" s="49"/>
      <c r="DQ141" s="461"/>
      <c r="DR141" s="462"/>
      <c r="DS141" s="462"/>
      <c r="DT141" s="462"/>
      <c r="DU141" s="49"/>
      <c r="DV141" s="463"/>
      <c r="DW141" s="464"/>
      <c r="DX141" s="464"/>
      <c r="DY141" s="464"/>
      <c r="DZ141" s="49"/>
      <c r="EA141" s="465"/>
      <c r="EB141" s="466"/>
      <c r="EC141" s="426"/>
      <c r="ED141" s="456"/>
      <c r="EE141" s="47"/>
      <c r="EF141" s="16"/>
    </row>
    <row r="142" ht="17.25" customHeight="1">
      <c r="A142" s="16"/>
      <c r="B142" s="47"/>
      <c r="C142" s="170"/>
      <c r="D142" s="171"/>
      <c r="E142" s="49"/>
      <c r="F142" s="200"/>
      <c r="G142" s="200"/>
      <c r="H142" s="200" t="s">
        <v>230</v>
      </c>
      <c r="I142" s="200"/>
      <c r="J142" s="200"/>
      <c r="K142" s="200"/>
      <c r="L142" s="476"/>
      <c r="M142" s="200" t="s">
        <v>230</v>
      </c>
      <c r="N142" s="200"/>
      <c r="O142" s="200"/>
      <c r="P142" s="200"/>
      <c r="Q142" s="476"/>
      <c r="R142" s="200" t="s">
        <v>230</v>
      </c>
      <c r="S142" s="200"/>
      <c r="T142" s="200"/>
      <c r="U142" s="200"/>
      <c r="V142" s="476"/>
      <c r="W142" s="200" t="s">
        <v>230</v>
      </c>
      <c r="X142" s="200"/>
      <c r="Y142" s="200"/>
      <c r="Z142" s="200"/>
      <c r="AA142" s="476"/>
      <c r="AB142" s="200" t="s">
        <v>230</v>
      </c>
      <c r="AC142" s="200"/>
      <c r="AD142" s="200"/>
      <c r="AE142" s="200"/>
      <c r="AF142" s="200"/>
      <c r="AG142" s="200" t="s">
        <v>230</v>
      </c>
      <c r="AH142" s="200"/>
      <c r="AI142" s="200"/>
      <c r="AJ142" s="200"/>
      <c r="AK142" s="476"/>
      <c r="AL142" s="200" t="s">
        <v>230</v>
      </c>
      <c r="AM142" s="200"/>
      <c r="AN142" s="200"/>
      <c r="AO142" s="200"/>
      <c r="AP142" s="476"/>
      <c r="AQ142" s="200" t="s">
        <v>230</v>
      </c>
      <c r="AR142" s="200"/>
      <c r="AS142" s="200"/>
      <c r="AT142" s="200"/>
      <c r="AU142" s="425"/>
      <c r="AV142" s="545" t="s">
        <v>230</v>
      </c>
      <c r="AW142" s="425"/>
      <c r="AX142" s="49"/>
      <c r="AY142" s="296"/>
      <c r="AZ142" s="541"/>
      <c r="BA142" s="554" t="s">
        <v>230</v>
      </c>
      <c r="BB142" s="541"/>
      <c r="BC142" s="49"/>
      <c r="BD142" s="327"/>
      <c r="BE142" s="556"/>
      <c r="BF142" s="557" t="s">
        <v>230</v>
      </c>
      <c r="BG142" s="556"/>
      <c r="BH142" s="49"/>
      <c r="BI142" s="346"/>
      <c r="BJ142" s="558"/>
      <c r="BK142" s="587" t="s">
        <v>230</v>
      </c>
      <c r="BL142" s="558"/>
      <c r="BM142" s="49"/>
      <c r="BN142" s="429"/>
      <c r="BO142" s="485"/>
      <c r="BP142" s="596" t="s">
        <v>230</v>
      </c>
      <c r="BQ142" s="485"/>
      <c r="BR142" s="49"/>
      <c r="BS142" s="353"/>
      <c r="BT142" s="472"/>
      <c r="BU142" s="586" t="s">
        <v>230</v>
      </c>
      <c r="BV142" s="472"/>
      <c r="BW142" s="49"/>
      <c r="BX142" s="368"/>
      <c r="BY142" s="578"/>
      <c r="BZ142" s="593" t="s">
        <v>230</v>
      </c>
      <c r="CA142" s="578"/>
      <c r="CB142" s="49"/>
      <c r="CC142" s="388"/>
      <c r="CD142" s="488"/>
      <c r="CE142" s="595" t="s">
        <v>230</v>
      </c>
      <c r="CF142" s="595"/>
      <c r="CG142" s="49"/>
      <c r="CH142" s="402"/>
      <c r="CI142" s="439"/>
      <c r="CJ142" s="867" t="s">
        <v>230</v>
      </c>
      <c r="CK142" s="439"/>
      <c r="CL142" s="49"/>
      <c r="CM142" s="402"/>
      <c r="CN142" s="439"/>
      <c r="CO142" s="867" t="s">
        <v>230</v>
      </c>
      <c r="CP142" s="672"/>
      <c r="CQ142" s="49"/>
      <c r="CR142" s="419"/>
      <c r="CS142" s="487"/>
      <c r="CT142" s="575" t="s">
        <v>230</v>
      </c>
      <c r="CU142" s="729"/>
      <c r="CV142" s="49"/>
      <c r="CW142" s="453"/>
      <c r="CX142" s="455"/>
      <c r="CY142" s="631"/>
      <c r="CZ142" s="455"/>
      <c r="DA142" s="49"/>
      <c r="DB142" s="457"/>
      <c r="DC142" s="475"/>
      <c r="DD142" s="632"/>
      <c r="DE142" s="475"/>
      <c r="DF142" s="49"/>
      <c r="DG142" s="458"/>
      <c r="DH142" s="459"/>
      <c r="DI142" s="633"/>
      <c r="DJ142" s="459"/>
      <c r="DK142" s="49"/>
      <c r="DL142" s="620"/>
      <c r="DM142" s="637"/>
      <c r="DN142" s="637"/>
      <c r="DO142" s="637"/>
      <c r="DP142" s="49"/>
      <c r="DQ142" s="461"/>
      <c r="DR142" s="462"/>
      <c r="DS142" s="462"/>
      <c r="DT142" s="462"/>
      <c r="DU142" s="49"/>
      <c r="DV142" s="463"/>
      <c r="DW142" s="464"/>
      <c r="DX142" s="464"/>
      <c r="DY142" s="464"/>
      <c r="DZ142" s="49"/>
      <c r="EA142" s="465"/>
      <c r="EB142" s="466"/>
      <c r="EC142" s="426"/>
      <c r="ED142" s="456"/>
      <c r="EE142" s="47"/>
      <c r="EF142" s="16"/>
    </row>
    <row r="143" ht="17.25" customHeight="1">
      <c r="A143" s="16"/>
      <c r="B143" s="47"/>
      <c r="C143" s="170"/>
      <c r="D143" s="171"/>
      <c r="E143" s="49"/>
      <c r="F143" s="200"/>
      <c r="G143" s="200"/>
      <c r="H143" s="200" t="s">
        <v>230</v>
      </c>
      <c r="I143" s="200"/>
      <c r="J143" s="200"/>
      <c r="K143" s="200"/>
      <c r="L143" s="476"/>
      <c r="M143" s="200" t="s">
        <v>230</v>
      </c>
      <c r="N143" s="200"/>
      <c r="O143" s="200"/>
      <c r="P143" s="200"/>
      <c r="Q143" s="476"/>
      <c r="R143" s="200" t="s">
        <v>230</v>
      </c>
      <c r="S143" s="200"/>
      <c r="T143" s="200"/>
      <c r="U143" s="200"/>
      <c r="V143" s="476"/>
      <c r="W143" s="200" t="s">
        <v>230</v>
      </c>
      <c r="X143" s="200"/>
      <c r="Y143" s="200"/>
      <c r="Z143" s="200"/>
      <c r="AA143" s="476"/>
      <c r="AB143" s="200" t="s">
        <v>230</v>
      </c>
      <c r="AC143" s="200"/>
      <c r="AD143" s="200"/>
      <c r="AE143" s="200"/>
      <c r="AF143" s="200"/>
      <c r="AG143" s="200" t="s">
        <v>230</v>
      </c>
      <c r="AH143" s="200"/>
      <c r="AI143" s="200"/>
      <c r="AJ143" s="200"/>
      <c r="AK143" s="476"/>
      <c r="AL143" s="200" t="s">
        <v>230</v>
      </c>
      <c r="AM143" s="200"/>
      <c r="AN143" s="200"/>
      <c r="AO143" s="200"/>
      <c r="AP143" s="476"/>
      <c r="AQ143" s="200" t="s">
        <v>230</v>
      </c>
      <c r="AR143" s="200"/>
      <c r="AS143" s="200"/>
      <c r="AT143" s="200"/>
      <c r="AU143" s="425"/>
      <c r="AV143" s="545" t="s">
        <v>230</v>
      </c>
      <c r="AW143" s="425"/>
      <c r="AX143" s="49"/>
      <c r="AY143" s="296"/>
      <c r="AZ143" s="541"/>
      <c r="BA143" s="554" t="s">
        <v>230</v>
      </c>
      <c r="BB143" s="541"/>
      <c r="BC143" s="49"/>
      <c r="BD143" s="327"/>
      <c r="BE143" s="556"/>
      <c r="BF143" s="557" t="s">
        <v>230</v>
      </c>
      <c r="BG143" s="556"/>
      <c r="BH143" s="49"/>
      <c r="BI143" s="346"/>
      <c r="BJ143" s="558"/>
      <c r="BK143" s="587" t="s">
        <v>230</v>
      </c>
      <c r="BL143" s="558"/>
      <c r="BM143" s="49"/>
      <c r="BN143" s="429"/>
      <c r="BO143" s="485"/>
      <c r="BP143" s="596" t="s">
        <v>230</v>
      </c>
      <c r="BQ143" s="485"/>
      <c r="BR143" s="49"/>
      <c r="BS143" s="353"/>
      <c r="BT143" s="472"/>
      <c r="BU143" s="586" t="s">
        <v>230</v>
      </c>
      <c r="BV143" s="472"/>
      <c r="BW143" s="49"/>
      <c r="BX143" s="368"/>
      <c r="BY143" s="578"/>
      <c r="BZ143" s="593" t="s">
        <v>230</v>
      </c>
      <c r="CA143" s="578"/>
      <c r="CB143" s="49"/>
      <c r="CC143" s="388"/>
      <c r="CD143" s="488"/>
      <c r="CE143" s="595" t="s">
        <v>230</v>
      </c>
      <c r="CF143" s="595"/>
      <c r="CG143" s="49"/>
      <c r="CH143" s="402"/>
      <c r="CI143" s="439"/>
      <c r="CJ143" s="867" t="s">
        <v>230</v>
      </c>
      <c r="CK143" s="439"/>
      <c r="CL143" s="49"/>
      <c r="CM143" s="402"/>
      <c r="CN143" s="439"/>
      <c r="CO143" s="867" t="s">
        <v>230</v>
      </c>
      <c r="CP143" s="672"/>
      <c r="CQ143" s="49"/>
      <c r="CR143" s="419"/>
      <c r="CS143" s="487"/>
      <c r="CT143" s="575" t="s">
        <v>230</v>
      </c>
      <c r="CU143" s="729"/>
      <c r="CV143" s="49"/>
      <c r="CW143" s="453"/>
      <c r="CX143" s="455"/>
      <c r="CY143" s="631"/>
      <c r="CZ143" s="455"/>
      <c r="DA143" s="49"/>
      <c r="DB143" s="457"/>
      <c r="DC143" s="475"/>
      <c r="DD143" s="632"/>
      <c r="DE143" s="475"/>
      <c r="DF143" s="49"/>
      <c r="DG143" s="458"/>
      <c r="DH143" s="459"/>
      <c r="DI143" s="633"/>
      <c r="DJ143" s="459"/>
      <c r="DK143" s="49"/>
      <c r="DL143" s="620"/>
      <c r="DM143" s="637"/>
      <c r="DN143" s="637"/>
      <c r="DO143" s="637"/>
      <c r="DP143" s="49"/>
      <c r="DQ143" s="461"/>
      <c r="DR143" s="462"/>
      <c r="DS143" s="462"/>
      <c r="DT143" s="462"/>
      <c r="DU143" s="49"/>
      <c r="DV143" s="463"/>
      <c r="DW143" s="464"/>
      <c r="DX143" s="464"/>
      <c r="DY143" s="464"/>
      <c r="DZ143" s="49"/>
      <c r="EA143" s="465"/>
      <c r="EB143" s="466"/>
      <c r="EC143" s="426"/>
      <c r="ED143" s="456"/>
      <c r="EE143" s="47"/>
      <c r="EF143" s="16"/>
    </row>
    <row r="144" ht="17.25" customHeight="1">
      <c r="A144" s="16"/>
      <c r="B144" s="47"/>
      <c r="C144" s="170"/>
      <c r="D144" s="171"/>
      <c r="E144" s="49"/>
      <c r="F144" s="200"/>
      <c r="G144" s="200"/>
      <c r="H144" s="200" t="s">
        <v>230</v>
      </c>
      <c r="I144" s="200"/>
      <c r="J144" s="200"/>
      <c r="K144" s="200"/>
      <c r="L144" s="476"/>
      <c r="M144" s="200" t="s">
        <v>230</v>
      </c>
      <c r="N144" s="200"/>
      <c r="O144" s="200"/>
      <c r="P144" s="200"/>
      <c r="Q144" s="476"/>
      <c r="R144" s="200" t="s">
        <v>230</v>
      </c>
      <c r="S144" s="200"/>
      <c r="T144" s="200"/>
      <c r="U144" s="200"/>
      <c r="V144" s="476"/>
      <c r="W144" s="200" t="s">
        <v>230</v>
      </c>
      <c r="X144" s="200"/>
      <c r="Y144" s="200"/>
      <c r="Z144" s="200"/>
      <c r="AA144" s="476"/>
      <c r="AB144" s="200" t="s">
        <v>230</v>
      </c>
      <c r="AC144" s="200"/>
      <c r="AD144" s="200"/>
      <c r="AE144" s="200"/>
      <c r="AF144" s="200"/>
      <c r="AG144" s="200" t="s">
        <v>230</v>
      </c>
      <c r="AH144" s="200"/>
      <c r="AI144" s="200"/>
      <c r="AJ144" s="200"/>
      <c r="AK144" s="476"/>
      <c r="AL144" s="200" t="s">
        <v>230</v>
      </c>
      <c r="AM144" s="200"/>
      <c r="AN144" s="200"/>
      <c r="AO144" s="200"/>
      <c r="AP144" s="476"/>
      <c r="AQ144" s="200" t="s">
        <v>230</v>
      </c>
      <c r="AR144" s="200"/>
      <c r="AS144" s="200"/>
      <c r="AT144" s="200"/>
      <c r="AU144" s="425"/>
      <c r="AV144" s="545" t="s">
        <v>230</v>
      </c>
      <c r="AW144" s="425"/>
      <c r="AX144" s="49"/>
      <c r="AY144" s="296"/>
      <c r="AZ144" s="541"/>
      <c r="BA144" s="554" t="s">
        <v>230</v>
      </c>
      <c r="BB144" s="541"/>
      <c r="BC144" s="49"/>
      <c r="BD144" s="327"/>
      <c r="BE144" s="556"/>
      <c r="BF144" s="557" t="s">
        <v>230</v>
      </c>
      <c r="BG144" s="556"/>
      <c r="BH144" s="49"/>
      <c r="BI144" s="346"/>
      <c r="BJ144" s="558"/>
      <c r="BK144" s="587" t="s">
        <v>230</v>
      </c>
      <c r="BL144" s="558"/>
      <c r="BM144" s="49"/>
      <c r="BN144" s="429"/>
      <c r="BO144" s="485"/>
      <c r="BP144" s="596" t="s">
        <v>230</v>
      </c>
      <c r="BQ144" s="485"/>
      <c r="BR144" s="49"/>
      <c r="BS144" s="353"/>
      <c r="BT144" s="472"/>
      <c r="BU144" s="586" t="s">
        <v>230</v>
      </c>
      <c r="BV144" s="472"/>
      <c r="BW144" s="49"/>
      <c r="BX144" s="368"/>
      <c r="BY144" s="578"/>
      <c r="BZ144" s="593" t="s">
        <v>230</v>
      </c>
      <c r="CA144" s="578"/>
      <c r="CB144" s="49"/>
      <c r="CC144" s="388"/>
      <c r="CD144" s="488"/>
      <c r="CE144" s="595" t="s">
        <v>230</v>
      </c>
      <c r="CF144" s="595"/>
      <c r="CG144" s="49"/>
      <c r="CH144" s="402"/>
      <c r="CI144" s="439"/>
      <c r="CJ144" s="867" t="s">
        <v>230</v>
      </c>
      <c r="CK144" s="439"/>
      <c r="CL144" s="49"/>
      <c r="CM144" s="402"/>
      <c r="CN144" s="439"/>
      <c r="CO144" s="867" t="s">
        <v>230</v>
      </c>
      <c r="CP144" s="672"/>
      <c r="CQ144" s="49"/>
      <c r="CR144" s="419"/>
      <c r="CS144" s="487"/>
      <c r="CT144" s="575" t="s">
        <v>230</v>
      </c>
      <c r="CU144" s="729"/>
      <c r="CV144" s="49"/>
      <c r="CW144" s="453"/>
      <c r="CX144" s="455"/>
      <c r="CY144" s="631"/>
      <c r="CZ144" s="455"/>
      <c r="DA144" s="49"/>
      <c r="DB144" s="457"/>
      <c r="DC144" s="475"/>
      <c r="DD144" s="632"/>
      <c r="DE144" s="475"/>
      <c r="DF144" s="49"/>
      <c r="DG144" s="458"/>
      <c r="DH144" s="459"/>
      <c r="DI144" s="633"/>
      <c r="DJ144" s="459"/>
      <c r="DK144" s="49"/>
      <c r="DL144" s="620"/>
      <c r="DM144" s="637"/>
      <c r="DN144" s="637"/>
      <c r="DO144" s="637"/>
      <c r="DP144" s="49"/>
      <c r="DQ144" s="461"/>
      <c r="DR144" s="462"/>
      <c r="DS144" s="462"/>
      <c r="DT144" s="462"/>
      <c r="DU144" s="49"/>
      <c r="DV144" s="463"/>
      <c r="DW144" s="464"/>
      <c r="DX144" s="464"/>
      <c r="DY144" s="464"/>
      <c r="DZ144" s="49"/>
      <c r="EA144" s="465"/>
      <c r="EB144" s="466"/>
      <c r="EC144" s="426"/>
      <c r="ED144" s="456"/>
      <c r="EE144" s="47"/>
      <c r="EF144" s="16"/>
    </row>
    <row r="145" ht="17.25" customHeight="1">
      <c r="A145" s="16"/>
      <c r="B145" s="47"/>
      <c r="C145" s="170"/>
      <c r="D145" s="171"/>
      <c r="E145" s="49"/>
      <c r="F145" s="200"/>
      <c r="G145" s="200"/>
      <c r="H145" s="200" t="s">
        <v>230</v>
      </c>
      <c r="I145" s="200"/>
      <c r="J145" s="200"/>
      <c r="K145" s="200"/>
      <c r="L145" s="476"/>
      <c r="M145" s="200" t="s">
        <v>230</v>
      </c>
      <c r="N145" s="200"/>
      <c r="O145" s="200"/>
      <c r="P145" s="200"/>
      <c r="Q145" s="476"/>
      <c r="R145" s="200" t="s">
        <v>230</v>
      </c>
      <c r="S145" s="200"/>
      <c r="T145" s="200"/>
      <c r="U145" s="200"/>
      <c r="V145" s="476"/>
      <c r="W145" s="200" t="s">
        <v>230</v>
      </c>
      <c r="X145" s="200"/>
      <c r="Y145" s="200"/>
      <c r="Z145" s="200"/>
      <c r="AA145" s="476"/>
      <c r="AB145" s="200" t="s">
        <v>230</v>
      </c>
      <c r="AC145" s="200"/>
      <c r="AD145" s="200"/>
      <c r="AE145" s="200"/>
      <c r="AF145" s="200"/>
      <c r="AG145" s="200" t="s">
        <v>230</v>
      </c>
      <c r="AH145" s="200"/>
      <c r="AI145" s="200"/>
      <c r="AJ145" s="200"/>
      <c r="AK145" s="476"/>
      <c r="AL145" s="200" t="s">
        <v>230</v>
      </c>
      <c r="AM145" s="200"/>
      <c r="AN145" s="200"/>
      <c r="AO145" s="200"/>
      <c r="AP145" s="476"/>
      <c r="AQ145" s="200" t="s">
        <v>230</v>
      </c>
      <c r="AR145" s="200"/>
      <c r="AS145" s="200"/>
      <c r="AT145" s="200"/>
      <c r="AU145" s="425"/>
      <c r="AV145" s="545" t="s">
        <v>230</v>
      </c>
      <c r="AW145" s="425"/>
      <c r="AX145" s="49"/>
      <c r="AY145" s="296"/>
      <c r="AZ145" s="541"/>
      <c r="BA145" s="554" t="s">
        <v>230</v>
      </c>
      <c r="BB145" s="541"/>
      <c r="BC145" s="49"/>
      <c r="BD145" s="327"/>
      <c r="BE145" s="556"/>
      <c r="BF145" s="557" t="s">
        <v>230</v>
      </c>
      <c r="BG145" s="556"/>
      <c r="BH145" s="49"/>
      <c r="BI145" s="346"/>
      <c r="BJ145" s="558"/>
      <c r="BK145" s="587" t="s">
        <v>230</v>
      </c>
      <c r="BL145" s="558"/>
      <c r="BM145" s="49"/>
      <c r="BN145" s="429"/>
      <c r="BO145" s="485"/>
      <c r="BP145" s="596" t="s">
        <v>230</v>
      </c>
      <c r="BQ145" s="485"/>
      <c r="BR145" s="49"/>
      <c r="BS145" s="353"/>
      <c r="BT145" s="472"/>
      <c r="BU145" s="586" t="s">
        <v>230</v>
      </c>
      <c r="BV145" s="472"/>
      <c r="BW145" s="49"/>
      <c r="BX145" s="368"/>
      <c r="BY145" s="578"/>
      <c r="BZ145" s="593" t="s">
        <v>230</v>
      </c>
      <c r="CA145" s="578"/>
      <c r="CB145" s="49"/>
      <c r="CC145" s="388"/>
      <c r="CD145" s="488"/>
      <c r="CE145" s="595" t="s">
        <v>230</v>
      </c>
      <c r="CF145" s="595"/>
      <c r="CG145" s="49"/>
      <c r="CH145" s="402"/>
      <c r="CI145" s="439"/>
      <c r="CJ145" s="867" t="s">
        <v>230</v>
      </c>
      <c r="CK145" s="439"/>
      <c r="CL145" s="49"/>
      <c r="CM145" s="402"/>
      <c r="CN145" s="439"/>
      <c r="CO145" s="867" t="s">
        <v>230</v>
      </c>
      <c r="CP145" s="672"/>
      <c r="CQ145" s="49"/>
      <c r="CR145" s="419"/>
      <c r="CS145" s="487"/>
      <c r="CT145" s="575" t="s">
        <v>230</v>
      </c>
      <c r="CU145" s="729"/>
      <c r="CV145" s="49"/>
      <c r="CW145" s="453"/>
      <c r="CX145" s="455"/>
      <c r="CY145" s="631"/>
      <c r="CZ145" s="455"/>
      <c r="DA145" s="49"/>
      <c r="DB145" s="457"/>
      <c r="DC145" s="475"/>
      <c r="DD145" s="632"/>
      <c r="DE145" s="475"/>
      <c r="DF145" s="49"/>
      <c r="DG145" s="458"/>
      <c r="DH145" s="459"/>
      <c r="DI145" s="633"/>
      <c r="DJ145" s="459"/>
      <c r="DK145" s="49"/>
      <c r="DL145" s="620"/>
      <c r="DM145" s="637"/>
      <c r="DN145" s="637"/>
      <c r="DO145" s="637"/>
      <c r="DP145" s="49"/>
      <c r="DQ145" s="461"/>
      <c r="DR145" s="462"/>
      <c r="DS145" s="462"/>
      <c r="DT145" s="462"/>
      <c r="DU145" s="49"/>
      <c r="DV145" s="463"/>
      <c r="DW145" s="464"/>
      <c r="DX145" s="464"/>
      <c r="DY145" s="464"/>
      <c r="DZ145" s="49"/>
      <c r="EA145" s="465"/>
      <c r="EB145" s="466"/>
      <c r="EC145" s="426"/>
      <c r="ED145" s="456"/>
      <c r="EE145" s="47"/>
      <c r="EF145" s="16"/>
    </row>
    <row r="146" ht="17.25" customHeight="1">
      <c r="A146" s="16"/>
      <c r="B146" s="47"/>
      <c r="C146" s="170"/>
      <c r="D146" s="171"/>
      <c r="E146" s="49"/>
      <c r="F146" s="200"/>
      <c r="G146" s="200"/>
      <c r="H146" s="200" t="s">
        <v>230</v>
      </c>
      <c r="I146" s="200"/>
      <c r="J146" s="200"/>
      <c r="K146" s="200"/>
      <c r="L146" s="476"/>
      <c r="M146" s="200" t="s">
        <v>230</v>
      </c>
      <c r="N146" s="200"/>
      <c r="O146" s="200"/>
      <c r="P146" s="200"/>
      <c r="Q146" s="476"/>
      <c r="R146" s="200" t="s">
        <v>230</v>
      </c>
      <c r="S146" s="200"/>
      <c r="T146" s="200"/>
      <c r="U146" s="200"/>
      <c r="V146" s="476"/>
      <c r="W146" s="200" t="s">
        <v>230</v>
      </c>
      <c r="X146" s="200"/>
      <c r="Y146" s="200"/>
      <c r="Z146" s="200"/>
      <c r="AA146" s="476"/>
      <c r="AB146" s="200" t="s">
        <v>230</v>
      </c>
      <c r="AC146" s="200"/>
      <c r="AD146" s="200"/>
      <c r="AE146" s="200"/>
      <c r="AF146" s="200"/>
      <c r="AG146" s="200" t="s">
        <v>230</v>
      </c>
      <c r="AH146" s="200"/>
      <c r="AI146" s="200"/>
      <c r="AJ146" s="200"/>
      <c r="AK146" s="476"/>
      <c r="AL146" s="200" t="s">
        <v>230</v>
      </c>
      <c r="AM146" s="200"/>
      <c r="AN146" s="200"/>
      <c r="AO146" s="200"/>
      <c r="AP146" s="476"/>
      <c r="AQ146" s="200" t="s">
        <v>230</v>
      </c>
      <c r="AR146" s="200"/>
      <c r="AS146" s="200"/>
      <c r="AT146" s="200"/>
      <c r="AU146" s="425"/>
      <c r="AV146" s="545" t="s">
        <v>230</v>
      </c>
      <c r="AW146" s="425"/>
      <c r="AX146" s="49"/>
      <c r="AY146" s="296"/>
      <c r="AZ146" s="541"/>
      <c r="BA146" s="554" t="s">
        <v>230</v>
      </c>
      <c r="BB146" s="541"/>
      <c r="BC146" s="49"/>
      <c r="BD146" s="327"/>
      <c r="BE146" s="556"/>
      <c r="BF146" s="557" t="s">
        <v>230</v>
      </c>
      <c r="BG146" s="556"/>
      <c r="BH146" s="49"/>
      <c r="BI146" s="346"/>
      <c r="BJ146" s="558"/>
      <c r="BK146" s="587" t="s">
        <v>230</v>
      </c>
      <c r="BL146" s="558"/>
      <c r="BM146" s="49"/>
      <c r="BN146" s="429"/>
      <c r="BO146" s="485"/>
      <c r="BP146" s="596" t="s">
        <v>230</v>
      </c>
      <c r="BQ146" s="485"/>
      <c r="BR146" s="49"/>
      <c r="BS146" s="353"/>
      <c r="BT146" s="472"/>
      <c r="BU146" s="586" t="s">
        <v>230</v>
      </c>
      <c r="BV146" s="472"/>
      <c r="BW146" s="49"/>
      <c r="BX146" s="368"/>
      <c r="BY146" s="578"/>
      <c r="BZ146" s="593" t="s">
        <v>230</v>
      </c>
      <c r="CA146" s="578"/>
      <c r="CB146" s="49"/>
      <c r="CC146" s="388"/>
      <c r="CD146" s="488"/>
      <c r="CE146" s="595" t="s">
        <v>230</v>
      </c>
      <c r="CF146" s="595"/>
      <c r="CG146" s="49"/>
      <c r="CH146" s="402"/>
      <c r="CI146" s="439"/>
      <c r="CJ146" s="867" t="s">
        <v>230</v>
      </c>
      <c r="CK146" s="439"/>
      <c r="CL146" s="49"/>
      <c r="CM146" s="402"/>
      <c r="CN146" s="439"/>
      <c r="CO146" s="867" t="s">
        <v>230</v>
      </c>
      <c r="CP146" s="672"/>
      <c r="CQ146" s="49"/>
      <c r="CR146" s="419"/>
      <c r="CS146" s="487"/>
      <c r="CT146" s="575" t="s">
        <v>230</v>
      </c>
      <c r="CU146" s="729"/>
      <c r="CV146" s="49"/>
      <c r="CW146" s="453"/>
      <c r="CX146" s="455"/>
      <c r="CY146" s="631"/>
      <c r="CZ146" s="455"/>
      <c r="DA146" s="49"/>
      <c r="DB146" s="457"/>
      <c r="DC146" s="475"/>
      <c r="DD146" s="632"/>
      <c r="DE146" s="475"/>
      <c r="DF146" s="49"/>
      <c r="DG146" s="458"/>
      <c r="DH146" s="459"/>
      <c r="DI146" s="633"/>
      <c r="DJ146" s="459"/>
      <c r="DK146" s="49"/>
      <c r="DL146" s="620"/>
      <c r="DM146" s="637"/>
      <c r="DN146" s="637"/>
      <c r="DO146" s="637"/>
      <c r="DP146" s="49"/>
      <c r="DQ146" s="461"/>
      <c r="DR146" s="462"/>
      <c r="DS146" s="462"/>
      <c r="DT146" s="462"/>
      <c r="DU146" s="49"/>
      <c r="DV146" s="463"/>
      <c r="DW146" s="464"/>
      <c r="DX146" s="464"/>
      <c r="DY146" s="464"/>
      <c r="DZ146" s="49"/>
      <c r="EA146" s="465"/>
      <c r="EB146" s="466"/>
      <c r="EC146" s="426"/>
      <c r="ED146" s="456"/>
      <c r="EE146" s="47"/>
      <c r="EF146" s="16"/>
    </row>
    <row r="147" ht="17.25" customHeight="1">
      <c r="A147" s="16"/>
      <c r="B147" s="47"/>
      <c r="C147" s="170"/>
      <c r="D147" s="171"/>
      <c r="E147" s="49"/>
      <c r="F147" s="200"/>
      <c r="G147" s="200"/>
      <c r="H147" s="200" t="s">
        <v>230</v>
      </c>
      <c r="I147" s="200"/>
      <c r="J147" s="200"/>
      <c r="K147" s="200"/>
      <c r="L147" s="476"/>
      <c r="M147" s="200" t="s">
        <v>230</v>
      </c>
      <c r="N147" s="200"/>
      <c r="O147" s="200"/>
      <c r="P147" s="200"/>
      <c r="Q147" s="476"/>
      <c r="R147" s="200" t="s">
        <v>230</v>
      </c>
      <c r="S147" s="200"/>
      <c r="T147" s="200"/>
      <c r="U147" s="200"/>
      <c r="V147" s="476"/>
      <c r="W147" s="200" t="s">
        <v>230</v>
      </c>
      <c r="X147" s="200"/>
      <c r="Y147" s="200"/>
      <c r="Z147" s="200"/>
      <c r="AA147" s="476"/>
      <c r="AB147" s="200" t="s">
        <v>230</v>
      </c>
      <c r="AC147" s="200"/>
      <c r="AD147" s="200"/>
      <c r="AE147" s="200"/>
      <c r="AF147" s="200"/>
      <c r="AG147" s="200" t="s">
        <v>230</v>
      </c>
      <c r="AH147" s="200"/>
      <c r="AI147" s="200"/>
      <c r="AJ147" s="200"/>
      <c r="AK147" s="476"/>
      <c r="AL147" s="200" t="s">
        <v>230</v>
      </c>
      <c r="AM147" s="200"/>
      <c r="AN147" s="200"/>
      <c r="AO147" s="200"/>
      <c r="AP147" s="476"/>
      <c r="AQ147" s="200" t="s">
        <v>230</v>
      </c>
      <c r="AR147" s="200"/>
      <c r="AS147" s="200"/>
      <c r="AT147" s="200"/>
      <c r="AU147" s="425"/>
      <c r="AV147" s="545" t="s">
        <v>230</v>
      </c>
      <c r="AW147" s="425"/>
      <c r="AX147" s="49"/>
      <c r="AY147" s="296"/>
      <c r="AZ147" s="541"/>
      <c r="BA147" s="554" t="s">
        <v>230</v>
      </c>
      <c r="BB147" s="541"/>
      <c r="BC147" s="49"/>
      <c r="BD147" s="327"/>
      <c r="BE147" s="556"/>
      <c r="BF147" s="557" t="s">
        <v>230</v>
      </c>
      <c r="BG147" s="556"/>
      <c r="BH147" s="49"/>
      <c r="BI147" s="346"/>
      <c r="BJ147" s="558"/>
      <c r="BK147" s="587" t="s">
        <v>230</v>
      </c>
      <c r="BL147" s="558"/>
      <c r="BM147" s="49"/>
      <c r="BN147" s="429"/>
      <c r="BO147" s="485"/>
      <c r="BP147" s="596" t="s">
        <v>230</v>
      </c>
      <c r="BQ147" s="485"/>
      <c r="BR147" s="49"/>
      <c r="BS147" s="353"/>
      <c r="BT147" s="472"/>
      <c r="BU147" s="586" t="s">
        <v>230</v>
      </c>
      <c r="BV147" s="472"/>
      <c r="BW147" s="49"/>
      <c r="BX147" s="368"/>
      <c r="BY147" s="578"/>
      <c r="BZ147" s="593" t="s">
        <v>230</v>
      </c>
      <c r="CA147" s="578"/>
      <c r="CB147" s="49"/>
      <c r="CC147" s="388"/>
      <c r="CD147" s="488"/>
      <c r="CE147" s="595" t="s">
        <v>230</v>
      </c>
      <c r="CF147" s="595"/>
      <c r="CG147" s="49"/>
      <c r="CH147" s="402"/>
      <c r="CI147" s="439"/>
      <c r="CJ147" s="867" t="s">
        <v>230</v>
      </c>
      <c r="CK147" s="439"/>
      <c r="CL147" s="49"/>
      <c r="CM147" s="402"/>
      <c r="CN147" s="439"/>
      <c r="CO147" s="867" t="s">
        <v>230</v>
      </c>
      <c r="CP147" s="672"/>
      <c r="CQ147" s="49"/>
      <c r="CR147" s="419"/>
      <c r="CS147" s="487"/>
      <c r="CT147" s="575" t="s">
        <v>230</v>
      </c>
      <c r="CU147" s="729"/>
      <c r="CV147" s="49"/>
      <c r="CW147" s="453"/>
      <c r="CX147" s="455"/>
      <c r="CY147" s="631"/>
      <c r="CZ147" s="455"/>
      <c r="DA147" s="49"/>
      <c r="DB147" s="457"/>
      <c r="DC147" s="475"/>
      <c r="DD147" s="632"/>
      <c r="DE147" s="475"/>
      <c r="DF147" s="49"/>
      <c r="DG147" s="458"/>
      <c r="DH147" s="459"/>
      <c r="DI147" s="633"/>
      <c r="DJ147" s="459"/>
      <c r="DK147" s="49"/>
      <c r="DL147" s="620"/>
      <c r="DM147" s="637"/>
      <c r="DN147" s="637"/>
      <c r="DO147" s="637"/>
      <c r="DP147" s="49"/>
      <c r="DQ147" s="461"/>
      <c r="DR147" s="462"/>
      <c r="DS147" s="462"/>
      <c r="DT147" s="462"/>
      <c r="DU147" s="49"/>
      <c r="DV147" s="463"/>
      <c r="DW147" s="464"/>
      <c r="DX147" s="464"/>
      <c r="DY147" s="464"/>
      <c r="DZ147" s="49"/>
      <c r="EA147" s="465"/>
      <c r="EB147" s="466"/>
      <c r="EC147" s="426"/>
      <c r="ED147" s="456"/>
      <c r="EE147" s="47"/>
      <c r="EF147" s="16"/>
    </row>
    <row r="148" ht="17.25" customHeight="1">
      <c r="A148" s="16"/>
      <c r="B148" s="47"/>
      <c r="C148" s="170"/>
      <c r="D148" s="171"/>
      <c r="E148" s="49"/>
      <c r="F148" s="200"/>
      <c r="G148" s="200"/>
      <c r="H148" s="200" t="s">
        <v>230</v>
      </c>
      <c r="I148" s="200"/>
      <c r="J148" s="200"/>
      <c r="K148" s="200"/>
      <c r="L148" s="476"/>
      <c r="M148" s="200" t="s">
        <v>230</v>
      </c>
      <c r="N148" s="200"/>
      <c r="O148" s="200"/>
      <c r="P148" s="200"/>
      <c r="Q148" s="476"/>
      <c r="R148" s="200" t="s">
        <v>230</v>
      </c>
      <c r="S148" s="200"/>
      <c r="T148" s="200"/>
      <c r="U148" s="200"/>
      <c r="V148" s="476"/>
      <c r="W148" s="200" t="s">
        <v>230</v>
      </c>
      <c r="X148" s="200"/>
      <c r="Y148" s="200"/>
      <c r="Z148" s="200"/>
      <c r="AA148" s="476"/>
      <c r="AB148" s="200" t="s">
        <v>230</v>
      </c>
      <c r="AC148" s="200"/>
      <c r="AD148" s="200"/>
      <c r="AE148" s="200"/>
      <c r="AF148" s="200"/>
      <c r="AG148" s="200" t="s">
        <v>230</v>
      </c>
      <c r="AH148" s="200"/>
      <c r="AI148" s="200"/>
      <c r="AJ148" s="200"/>
      <c r="AK148" s="476"/>
      <c r="AL148" s="200" t="s">
        <v>230</v>
      </c>
      <c r="AM148" s="200"/>
      <c r="AN148" s="200"/>
      <c r="AO148" s="200"/>
      <c r="AP148" s="476"/>
      <c r="AQ148" s="200" t="s">
        <v>230</v>
      </c>
      <c r="AR148" s="200"/>
      <c r="AS148" s="200"/>
      <c r="AT148" s="200"/>
      <c r="AU148" s="425"/>
      <c r="AV148" s="545" t="s">
        <v>230</v>
      </c>
      <c r="AW148" s="425"/>
      <c r="AX148" s="49"/>
      <c r="AY148" s="296"/>
      <c r="AZ148" s="541"/>
      <c r="BA148" s="554" t="s">
        <v>230</v>
      </c>
      <c r="BB148" s="541"/>
      <c r="BC148" s="49"/>
      <c r="BD148" s="327"/>
      <c r="BE148" s="556"/>
      <c r="BF148" s="557" t="s">
        <v>230</v>
      </c>
      <c r="BG148" s="556"/>
      <c r="BH148" s="49"/>
      <c r="BI148" s="346"/>
      <c r="BJ148" s="558"/>
      <c r="BK148" s="587" t="s">
        <v>230</v>
      </c>
      <c r="BL148" s="558"/>
      <c r="BM148" s="49"/>
      <c r="BN148" s="429"/>
      <c r="BO148" s="485"/>
      <c r="BP148" s="596" t="s">
        <v>230</v>
      </c>
      <c r="BQ148" s="485"/>
      <c r="BR148" s="49"/>
      <c r="BS148" s="353"/>
      <c r="BT148" s="472"/>
      <c r="BU148" s="586" t="s">
        <v>230</v>
      </c>
      <c r="BV148" s="472"/>
      <c r="BW148" s="49"/>
      <c r="BX148" s="368"/>
      <c r="BY148" s="578"/>
      <c r="BZ148" s="593" t="s">
        <v>230</v>
      </c>
      <c r="CA148" s="578"/>
      <c r="CB148" s="49"/>
      <c r="CC148" s="388"/>
      <c r="CD148" s="488"/>
      <c r="CE148" s="595" t="s">
        <v>230</v>
      </c>
      <c r="CF148" s="595"/>
      <c r="CG148" s="49"/>
      <c r="CH148" s="402"/>
      <c r="CI148" s="439"/>
      <c r="CJ148" s="867" t="s">
        <v>230</v>
      </c>
      <c r="CK148" s="439"/>
      <c r="CL148" s="49"/>
      <c r="CM148" s="402"/>
      <c r="CN148" s="439"/>
      <c r="CO148" s="867" t="s">
        <v>230</v>
      </c>
      <c r="CP148" s="672"/>
      <c r="CQ148" s="49"/>
      <c r="CR148" s="419"/>
      <c r="CS148" s="487"/>
      <c r="CT148" s="575" t="s">
        <v>230</v>
      </c>
      <c r="CU148" s="729"/>
      <c r="CV148" s="49"/>
      <c r="CW148" s="453"/>
      <c r="CX148" s="455"/>
      <c r="CY148" s="631"/>
      <c r="CZ148" s="455"/>
      <c r="DA148" s="49"/>
      <c r="DB148" s="457"/>
      <c r="DC148" s="475"/>
      <c r="DD148" s="632"/>
      <c r="DE148" s="475"/>
      <c r="DF148" s="49"/>
      <c r="DG148" s="458"/>
      <c r="DH148" s="459"/>
      <c r="DI148" s="633"/>
      <c r="DJ148" s="459"/>
      <c r="DK148" s="49"/>
      <c r="DL148" s="620"/>
      <c r="DM148" s="637"/>
      <c r="DN148" s="637"/>
      <c r="DO148" s="637"/>
      <c r="DP148" s="49"/>
      <c r="DQ148" s="461"/>
      <c r="DR148" s="462"/>
      <c r="DS148" s="462"/>
      <c r="DT148" s="462"/>
      <c r="DU148" s="49"/>
      <c r="DV148" s="463"/>
      <c r="DW148" s="464"/>
      <c r="DX148" s="464"/>
      <c r="DY148" s="464"/>
      <c r="DZ148" s="49"/>
      <c r="EA148" s="465"/>
      <c r="EB148" s="466"/>
      <c r="EC148" s="426"/>
      <c r="ED148" s="456"/>
      <c r="EE148" s="47"/>
      <c r="EF148" s="16"/>
    </row>
    <row r="149" ht="17.25" customHeight="1">
      <c r="A149" s="16"/>
      <c r="B149" s="47"/>
      <c r="C149" s="170"/>
      <c r="D149" s="171"/>
      <c r="E149" s="49"/>
      <c r="F149" s="200"/>
      <c r="G149" s="200"/>
      <c r="H149" s="200" t="s">
        <v>230</v>
      </c>
      <c r="I149" s="200"/>
      <c r="J149" s="200"/>
      <c r="K149" s="200"/>
      <c r="L149" s="476"/>
      <c r="M149" s="200" t="s">
        <v>230</v>
      </c>
      <c r="N149" s="200"/>
      <c r="O149" s="200"/>
      <c r="P149" s="200"/>
      <c r="Q149" s="476"/>
      <c r="R149" s="200" t="s">
        <v>230</v>
      </c>
      <c r="S149" s="200"/>
      <c r="T149" s="200"/>
      <c r="U149" s="200"/>
      <c r="V149" s="476"/>
      <c r="W149" s="200" t="s">
        <v>230</v>
      </c>
      <c r="X149" s="200"/>
      <c r="Y149" s="200"/>
      <c r="Z149" s="200"/>
      <c r="AA149" s="476"/>
      <c r="AB149" s="200" t="s">
        <v>230</v>
      </c>
      <c r="AC149" s="200"/>
      <c r="AD149" s="200"/>
      <c r="AE149" s="200"/>
      <c r="AF149" s="200"/>
      <c r="AG149" s="200" t="s">
        <v>230</v>
      </c>
      <c r="AH149" s="200"/>
      <c r="AI149" s="200"/>
      <c r="AJ149" s="200"/>
      <c r="AK149" s="476"/>
      <c r="AL149" s="200" t="s">
        <v>230</v>
      </c>
      <c r="AM149" s="200"/>
      <c r="AN149" s="200"/>
      <c r="AO149" s="200"/>
      <c r="AP149" s="476"/>
      <c r="AQ149" s="200" t="s">
        <v>230</v>
      </c>
      <c r="AR149" s="200"/>
      <c r="AS149" s="200"/>
      <c r="AT149" s="200"/>
      <c r="AU149" s="425"/>
      <c r="AV149" s="545" t="s">
        <v>230</v>
      </c>
      <c r="AW149" s="425"/>
      <c r="AX149" s="49"/>
      <c r="AY149" s="296"/>
      <c r="AZ149" s="541"/>
      <c r="BA149" s="554" t="s">
        <v>230</v>
      </c>
      <c r="BB149" s="541"/>
      <c r="BC149" s="49"/>
      <c r="BD149" s="327"/>
      <c r="BE149" s="556"/>
      <c r="BF149" s="557" t="s">
        <v>230</v>
      </c>
      <c r="BG149" s="556"/>
      <c r="BH149" s="49"/>
      <c r="BI149" s="346"/>
      <c r="BJ149" s="558"/>
      <c r="BK149" s="587" t="s">
        <v>230</v>
      </c>
      <c r="BL149" s="558"/>
      <c r="BM149" s="49"/>
      <c r="BN149" s="429"/>
      <c r="BO149" s="485"/>
      <c r="BP149" s="596" t="s">
        <v>230</v>
      </c>
      <c r="BQ149" s="485"/>
      <c r="BR149" s="49"/>
      <c r="BS149" s="353"/>
      <c r="BT149" s="472"/>
      <c r="BU149" s="586" t="s">
        <v>230</v>
      </c>
      <c r="BV149" s="472"/>
      <c r="BW149" s="49"/>
      <c r="BX149" s="368"/>
      <c r="BY149" s="578"/>
      <c r="BZ149" s="593" t="s">
        <v>230</v>
      </c>
      <c r="CA149" s="578"/>
      <c r="CB149" s="49"/>
      <c r="CC149" s="388"/>
      <c r="CD149" s="488"/>
      <c r="CE149" s="595" t="s">
        <v>230</v>
      </c>
      <c r="CF149" s="595"/>
      <c r="CG149" s="49"/>
      <c r="CH149" s="402"/>
      <c r="CI149" s="439"/>
      <c r="CJ149" s="867" t="s">
        <v>230</v>
      </c>
      <c r="CK149" s="439"/>
      <c r="CL149" s="49"/>
      <c r="CM149" s="402"/>
      <c r="CN149" s="439"/>
      <c r="CO149" s="867" t="s">
        <v>230</v>
      </c>
      <c r="CP149" s="672"/>
      <c r="CQ149" s="49"/>
      <c r="CR149" s="419"/>
      <c r="CS149" s="487"/>
      <c r="CT149" s="575" t="s">
        <v>230</v>
      </c>
      <c r="CU149" s="729"/>
      <c r="CV149" s="49"/>
      <c r="CW149" s="453"/>
      <c r="CX149" s="455"/>
      <c r="CY149" s="631"/>
      <c r="CZ149" s="455"/>
      <c r="DA149" s="49"/>
      <c r="DB149" s="457"/>
      <c r="DC149" s="475"/>
      <c r="DD149" s="632"/>
      <c r="DE149" s="475"/>
      <c r="DF149" s="49"/>
      <c r="DG149" s="458"/>
      <c r="DH149" s="459"/>
      <c r="DI149" s="633"/>
      <c r="DJ149" s="459"/>
      <c r="DK149" s="49"/>
      <c r="DL149" s="620"/>
      <c r="DM149" s="637"/>
      <c r="DN149" s="637"/>
      <c r="DO149" s="637"/>
      <c r="DP149" s="49"/>
      <c r="DQ149" s="461"/>
      <c r="DR149" s="462"/>
      <c r="DS149" s="462"/>
      <c r="DT149" s="462"/>
      <c r="DU149" s="49"/>
      <c r="DV149" s="463"/>
      <c r="DW149" s="464"/>
      <c r="DX149" s="464"/>
      <c r="DY149" s="464"/>
      <c r="DZ149" s="49"/>
      <c r="EA149" s="465"/>
      <c r="EB149" s="466"/>
      <c r="EC149" s="426"/>
      <c r="ED149" s="456"/>
      <c r="EE149" s="47"/>
      <c r="EF149" s="16"/>
    </row>
    <row r="150" ht="17.25" customHeight="1">
      <c r="A150" s="16"/>
      <c r="B150" s="47"/>
      <c r="C150" s="170"/>
      <c r="D150" s="171"/>
      <c r="E150" s="49"/>
      <c r="F150" s="200"/>
      <c r="G150" s="200"/>
      <c r="H150" s="200" t="s">
        <v>230</v>
      </c>
      <c r="I150" s="200"/>
      <c r="J150" s="200"/>
      <c r="K150" s="200"/>
      <c r="L150" s="476"/>
      <c r="M150" s="200" t="s">
        <v>230</v>
      </c>
      <c r="N150" s="200"/>
      <c r="O150" s="200"/>
      <c r="P150" s="200"/>
      <c r="Q150" s="476"/>
      <c r="R150" s="200" t="s">
        <v>230</v>
      </c>
      <c r="S150" s="200"/>
      <c r="T150" s="200"/>
      <c r="U150" s="200"/>
      <c r="V150" s="476"/>
      <c r="W150" s="200" t="s">
        <v>230</v>
      </c>
      <c r="X150" s="200"/>
      <c r="Y150" s="200"/>
      <c r="Z150" s="200"/>
      <c r="AA150" s="476"/>
      <c r="AB150" s="200" t="s">
        <v>230</v>
      </c>
      <c r="AC150" s="200"/>
      <c r="AD150" s="200"/>
      <c r="AE150" s="200"/>
      <c r="AF150" s="200"/>
      <c r="AG150" s="200" t="s">
        <v>230</v>
      </c>
      <c r="AH150" s="200"/>
      <c r="AI150" s="200"/>
      <c r="AJ150" s="200"/>
      <c r="AK150" s="476"/>
      <c r="AL150" s="200" t="s">
        <v>230</v>
      </c>
      <c r="AM150" s="200"/>
      <c r="AN150" s="200"/>
      <c r="AO150" s="200"/>
      <c r="AP150" s="476"/>
      <c r="AQ150" s="200" t="s">
        <v>230</v>
      </c>
      <c r="AR150" s="200"/>
      <c r="AS150" s="200"/>
      <c r="AT150" s="200"/>
      <c r="AU150" s="425"/>
      <c r="AV150" s="545" t="s">
        <v>230</v>
      </c>
      <c r="AW150" s="425"/>
      <c r="AX150" s="49"/>
      <c r="AY150" s="296"/>
      <c r="AZ150" s="541"/>
      <c r="BA150" s="554" t="s">
        <v>230</v>
      </c>
      <c r="BB150" s="541"/>
      <c r="BC150" s="49"/>
      <c r="BD150" s="327"/>
      <c r="BE150" s="556"/>
      <c r="BF150" s="557" t="s">
        <v>230</v>
      </c>
      <c r="BG150" s="556"/>
      <c r="BH150" s="49"/>
      <c r="BI150" s="346"/>
      <c r="BJ150" s="558"/>
      <c r="BK150" s="587" t="s">
        <v>230</v>
      </c>
      <c r="BL150" s="558"/>
      <c r="BM150" s="49"/>
      <c r="BN150" s="429"/>
      <c r="BO150" s="485"/>
      <c r="BP150" s="596" t="s">
        <v>230</v>
      </c>
      <c r="BQ150" s="485"/>
      <c r="BR150" s="49"/>
      <c r="BS150" s="353"/>
      <c r="BT150" s="472"/>
      <c r="BU150" s="586" t="s">
        <v>230</v>
      </c>
      <c r="BV150" s="472"/>
      <c r="BW150" s="49"/>
      <c r="BX150" s="368"/>
      <c r="BY150" s="578"/>
      <c r="BZ150" s="593" t="s">
        <v>230</v>
      </c>
      <c r="CA150" s="578"/>
      <c r="CB150" s="49"/>
      <c r="CC150" s="388"/>
      <c r="CD150" s="488"/>
      <c r="CE150" s="595" t="s">
        <v>230</v>
      </c>
      <c r="CF150" s="595"/>
      <c r="CG150" s="49"/>
      <c r="CH150" s="402"/>
      <c r="CI150" s="439"/>
      <c r="CJ150" s="867" t="s">
        <v>230</v>
      </c>
      <c r="CK150" s="439"/>
      <c r="CL150" s="49"/>
      <c r="CM150" s="402"/>
      <c r="CN150" s="439"/>
      <c r="CO150" s="867" t="s">
        <v>230</v>
      </c>
      <c r="CP150" s="672"/>
      <c r="CQ150" s="49"/>
      <c r="CR150" s="419"/>
      <c r="CS150" s="487"/>
      <c r="CT150" s="575" t="s">
        <v>230</v>
      </c>
      <c r="CU150" s="729"/>
      <c r="CV150" s="49"/>
      <c r="CW150" s="453"/>
      <c r="CX150" s="455"/>
      <c r="CY150" s="631"/>
      <c r="CZ150" s="455"/>
      <c r="DA150" s="49"/>
      <c r="DB150" s="457"/>
      <c r="DC150" s="475"/>
      <c r="DD150" s="632"/>
      <c r="DE150" s="475"/>
      <c r="DF150" s="49"/>
      <c r="DG150" s="458"/>
      <c r="DH150" s="459"/>
      <c r="DI150" s="633"/>
      <c r="DJ150" s="459"/>
      <c r="DK150" s="49"/>
      <c r="DL150" s="620"/>
      <c r="DM150" s="637"/>
      <c r="DN150" s="637"/>
      <c r="DO150" s="637"/>
      <c r="DP150" s="49"/>
      <c r="DQ150" s="461"/>
      <c r="DR150" s="462"/>
      <c r="DS150" s="462"/>
      <c r="DT150" s="462"/>
      <c r="DU150" s="49"/>
      <c r="DV150" s="463"/>
      <c r="DW150" s="464"/>
      <c r="DX150" s="464"/>
      <c r="DY150" s="464"/>
      <c r="DZ150" s="49"/>
      <c r="EA150" s="465"/>
      <c r="EB150" s="466"/>
      <c r="EC150" s="426"/>
      <c r="ED150" s="456"/>
      <c r="EE150" s="47"/>
      <c r="EF150" s="16"/>
    </row>
    <row r="151" ht="17.25" customHeight="1">
      <c r="A151" s="16"/>
      <c r="B151" s="47"/>
      <c r="C151" s="170"/>
      <c r="D151" s="171"/>
      <c r="E151" s="49"/>
      <c r="F151" s="200"/>
      <c r="G151" s="200"/>
      <c r="H151" s="200" t="s">
        <v>230</v>
      </c>
      <c r="I151" s="200"/>
      <c r="J151" s="200"/>
      <c r="K151" s="200"/>
      <c r="L151" s="476"/>
      <c r="M151" s="200" t="s">
        <v>230</v>
      </c>
      <c r="N151" s="200"/>
      <c r="O151" s="200"/>
      <c r="P151" s="200"/>
      <c r="Q151" s="476"/>
      <c r="R151" s="200" t="s">
        <v>230</v>
      </c>
      <c r="S151" s="200"/>
      <c r="T151" s="200"/>
      <c r="U151" s="200"/>
      <c r="V151" s="476"/>
      <c r="W151" s="200" t="s">
        <v>230</v>
      </c>
      <c r="X151" s="200"/>
      <c r="Y151" s="200"/>
      <c r="Z151" s="200"/>
      <c r="AA151" s="476"/>
      <c r="AB151" s="200" t="s">
        <v>230</v>
      </c>
      <c r="AC151" s="200"/>
      <c r="AD151" s="200"/>
      <c r="AE151" s="200"/>
      <c r="AF151" s="200"/>
      <c r="AG151" s="200" t="s">
        <v>230</v>
      </c>
      <c r="AH151" s="200"/>
      <c r="AI151" s="200"/>
      <c r="AJ151" s="200"/>
      <c r="AK151" s="476"/>
      <c r="AL151" s="200" t="s">
        <v>230</v>
      </c>
      <c r="AM151" s="200"/>
      <c r="AN151" s="200"/>
      <c r="AO151" s="200"/>
      <c r="AP151" s="476"/>
      <c r="AQ151" s="200" t="s">
        <v>230</v>
      </c>
      <c r="AR151" s="200"/>
      <c r="AS151" s="200"/>
      <c r="AT151" s="200"/>
      <c r="AU151" s="425"/>
      <c r="AV151" s="545" t="s">
        <v>230</v>
      </c>
      <c r="AW151" s="425"/>
      <c r="AX151" s="49"/>
      <c r="AY151" s="296"/>
      <c r="AZ151" s="541"/>
      <c r="BA151" s="554" t="s">
        <v>230</v>
      </c>
      <c r="BB151" s="541"/>
      <c r="BC151" s="49"/>
      <c r="BD151" s="327"/>
      <c r="BE151" s="556"/>
      <c r="BF151" s="557" t="s">
        <v>230</v>
      </c>
      <c r="BG151" s="556"/>
      <c r="BH151" s="49"/>
      <c r="BI151" s="346"/>
      <c r="BJ151" s="558"/>
      <c r="BK151" s="587" t="s">
        <v>230</v>
      </c>
      <c r="BL151" s="558"/>
      <c r="BM151" s="49"/>
      <c r="BN151" s="429"/>
      <c r="BO151" s="485"/>
      <c r="BP151" s="596" t="s">
        <v>230</v>
      </c>
      <c r="BQ151" s="485"/>
      <c r="BR151" s="49"/>
      <c r="BS151" s="353"/>
      <c r="BT151" s="472"/>
      <c r="BU151" s="586" t="s">
        <v>230</v>
      </c>
      <c r="BV151" s="472"/>
      <c r="BW151" s="49"/>
      <c r="BX151" s="368"/>
      <c r="BY151" s="578"/>
      <c r="BZ151" s="593" t="s">
        <v>230</v>
      </c>
      <c r="CA151" s="578"/>
      <c r="CB151" s="49"/>
      <c r="CC151" s="388"/>
      <c r="CD151" s="488"/>
      <c r="CE151" s="595" t="s">
        <v>230</v>
      </c>
      <c r="CF151" s="595"/>
      <c r="CG151" s="49"/>
      <c r="CH151" s="402"/>
      <c r="CI151" s="439"/>
      <c r="CJ151" s="867" t="s">
        <v>230</v>
      </c>
      <c r="CK151" s="439"/>
      <c r="CL151" s="49"/>
      <c r="CM151" s="402"/>
      <c r="CN151" s="439"/>
      <c r="CO151" s="867" t="s">
        <v>230</v>
      </c>
      <c r="CP151" s="672"/>
      <c r="CQ151" s="49"/>
      <c r="CR151" s="419"/>
      <c r="CS151" s="487"/>
      <c r="CT151" s="575" t="s">
        <v>230</v>
      </c>
      <c r="CU151" s="729"/>
      <c r="CV151" s="49"/>
      <c r="CW151" s="453"/>
      <c r="CX151" s="455"/>
      <c r="CY151" s="631"/>
      <c r="CZ151" s="455"/>
      <c r="DA151" s="49"/>
      <c r="DB151" s="457"/>
      <c r="DC151" s="475"/>
      <c r="DD151" s="632"/>
      <c r="DE151" s="475"/>
      <c r="DF151" s="49"/>
      <c r="DG151" s="458"/>
      <c r="DH151" s="459"/>
      <c r="DI151" s="633"/>
      <c r="DJ151" s="459"/>
      <c r="DK151" s="49"/>
      <c r="DL151" s="620"/>
      <c r="DM151" s="637"/>
      <c r="DN151" s="637"/>
      <c r="DO151" s="637"/>
      <c r="DP151" s="49"/>
      <c r="DQ151" s="461"/>
      <c r="DR151" s="462"/>
      <c r="DS151" s="462"/>
      <c r="DT151" s="462"/>
      <c r="DU151" s="49"/>
      <c r="DV151" s="463"/>
      <c r="DW151" s="464"/>
      <c r="DX151" s="464"/>
      <c r="DY151" s="464"/>
      <c r="DZ151" s="49"/>
      <c r="EA151" s="465"/>
      <c r="EB151" s="466"/>
      <c r="EC151" s="426"/>
      <c r="ED151" s="456"/>
      <c r="EE151" s="47"/>
      <c r="EF151" s="16"/>
    </row>
    <row r="152" ht="17.25" customHeight="1">
      <c r="A152" s="16"/>
      <c r="B152" s="47"/>
      <c r="C152" s="170"/>
      <c r="D152" s="171"/>
      <c r="E152" s="49"/>
      <c r="F152" s="200"/>
      <c r="G152" s="200"/>
      <c r="H152" s="200" t="s">
        <v>230</v>
      </c>
      <c r="I152" s="200"/>
      <c r="J152" s="200"/>
      <c r="K152" s="200"/>
      <c r="L152" s="476"/>
      <c r="M152" s="200" t="s">
        <v>230</v>
      </c>
      <c r="N152" s="200"/>
      <c r="O152" s="200"/>
      <c r="P152" s="200"/>
      <c r="Q152" s="476"/>
      <c r="R152" s="200" t="s">
        <v>230</v>
      </c>
      <c r="S152" s="200"/>
      <c r="T152" s="200"/>
      <c r="U152" s="200"/>
      <c r="V152" s="476"/>
      <c r="W152" s="200" t="s">
        <v>230</v>
      </c>
      <c r="X152" s="200"/>
      <c r="Y152" s="200"/>
      <c r="Z152" s="200"/>
      <c r="AA152" s="476"/>
      <c r="AB152" s="200" t="s">
        <v>230</v>
      </c>
      <c r="AC152" s="200"/>
      <c r="AD152" s="200"/>
      <c r="AE152" s="200"/>
      <c r="AF152" s="200"/>
      <c r="AG152" s="200" t="s">
        <v>230</v>
      </c>
      <c r="AH152" s="200"/>
      <c r="AI152" s="200"/>
      <c r="AJ152" s="200"/>
      <c r="AK152" s="476"/>
      <c r="AL152" s="200" t="s">
        <v>230</v>
      </c>
      <c r="AM152" s="200"/>
      <c r="AN152" s="200"/>
      <c r="AO152" s="200"/>
      <c r="AP152" s="476"/>
      <c r="AQ152" s="200" t="s">
        <v>230</v>
      </c>
      <c r="AR152" s="200"/>
      <c r="AS152" s="200"/>
      <c r="AT152" s="200"/>
      <c r="AU152" s="425"/>
      <c r="AV152" s="545" t="s">
        <v>230</v>
      </c>
      <c r="AW152" s="425"/>
      <c r="AX152" s="49"/>
      <c r="AY152" s="296"/>
      <c r="AZ152" s="541"/>
      <c r="BA152" s="554" t="s">
        <v>230</v>
      </c>
      <c r="BB152" s="541"/>
      <c r="BC152" s="49"/>
      <c r="BD152" s="327"/>
      <c r="BE152" s="556"/>
      <c r="BF152" s="557" t="s">
        <v>230</v>
      </c>
      <c r="BG152" s="556"/>
      <c r="BH152" s="49"/>
      <c r="BI152" s="346"/>
      <c r="BJ152" s="558"/>
      <c r="BK152" s="587" t="s">
        <v>230</v>
      </c>
      <c r="BL152" s="558"/>
      <c r="BM152" s="49"/>
      <c r="BN152" s="429"/>
      <c r="BO152" s="485"/>
      <c r="BP152" s="596" t="s">
        <v>230</v>
      </c>
      <c r="BQ152" s="485"/>
      <c r="BR152" s="49"/>
      <c r="BS152" s="353"/>
      <c r="BT152" s="472"/>
      <c r="BU152" s="586" t="s">
        <v>230</v>
      </c>
      <c r="BV152" s="472"/>
      <c r="BW152" s="49"/>
      <c r="BX152" s="368"/>
      <c r="BY152" s="578"/>
      <c r="BZ152" s="593" t="s">
        <v>230</v>
      </c>
      <c r="CA152" s="578"/>
      <c r="CB152" s="49"/>
      <c r="CC152" s="388"/>
      <c r="CD152" s="488"/>
      <c r="CE152" s="595" t="s">
        <v>230</v>
      </c>
      <c r="CF152" s="595"/>
      <c r="CG152" s="49"/>
      <c r="CH152" s="402"/>
      <c r="CI152" s="439"/>
      <c r="CJ152" s="867" t="s">
        <v>230</v>
      </c>
      <c r="CK152" s="439"/>
      <c r="CL152" s="49"/>
      <c r="CM152" s="402"/>
      <c r="CN152" s="439"/>
      <c r="CO152" s="867" t="s">
        <v>230</v>
      </c>
      <c r="CP152" s="672"/>
      <c r="CQ152" s="49"/>
      <c r="CR152" s="419"/>
      <c r="CS152" s="487"/>
      <c r="CT152" s="575" t="s">
        <v>230</v>
      </c>
      <c r="CU152" s="729"/>
      <c r="CV152" s="49"/>
      <c r="CW152" s="453"/>
      <c r="CX152" s="455"/>
      <c r="CY152" s="631"/>
      <c r="CZ152" s="455"/>
      <c r="DA152" s="49"/>
      <c r="DB152" s="457"/>
      <c r="DC152" s="475"/>
      <c r="DD152" s="632"/>
      <c r="DE152" s="475"/>
      <c r="DF152" s="49"/>
      <c r="DG152" s="458"/>
      <c r="DH152" s="459"/>
      <c r="DI152" s="633"/>
      <c r="DJ152" s="459"/>
      <c r="DK152" s="49"/>
      <c r="DL152" s="620"/>
      <c r="DM152" s="637"/>
      <c r="DN152" s="637"/>
      <c r="DO152" s="637"/>
      <c r="DP152" s="49"/>
      <c r="DQ152" s="461"/>
      <c r="DR152" s="462"/>
      <c r="DS152" s="462"/>
      <c r="DT152" s="462"/>
      <c r="DU152" s="49"/>
      <c r="DV152" s="463"/>
      <c r="DW152" s="464"/>
      <c r="DX152" s="464"/>
      <c r="DY152" s="464"/>
      <c r="DZ152" s="49"/>
      <c r="EA152" s="465"/>
      <c r="EB152" s="466"/>
      <c r="EC152" s="426"/>
      <c r="ED152" s="456"/>
      <c r="EE152" s="47"/>
      <c r="EF152" s="16"/>
    </row>
    <row r="153" ht="17.25" customHeight="1">
      <c r="A153" s="16"/>
      <c r="B153" s="47"/>
      <c r="C153" s="170"/>
      <c r="D153" s="171"/>
      <c r="E153" s="49"/>
      <c r="F153" s="200"/>
      <c r="G153" s="200"/>
      <c r="H153" s="200" t="s">
        <v>230</v>
      </c>
      <c r="I153" s="200"/>
      <c r="J153" s="200"/>
      <c r="K153" s="200"/>
      <c r="L153" s="476"/>
      <c r="M153" s="200" t="s">
        <v>230</v>
      </c>
      <c r="N153" s="200"/>
      <c r="O153" s="200"/>
      <c r="P153" s="200"/>
      <c r="Q153" s="476"/>
      <c r="R153" s="200" t="s">
        <v>230</v>
      </c>
      <c r="S153" s="200"/>
      <c r="T153" s="200"/>
      <c r="U153" s="200"/>
      <c r="V153" s="476"/>
      <c r="W153" s="200" t="s">
        <v>230</v>
      </c>
      <c r="X153" s="200"/>
      <c r="Y153" s="200"/>
      <c r="Z153" s="200"/>
      <c r="AA153" s="476"/>
      <c r="AB153" s="200" t="s">
        <v>230</v>
      </c>
      <c r="AC153" s="200"/>
      <c r="AD153" s="200"/>
      <c r="AE153" s="200"/>
      <c r="AF153" s="200"/>
      <c r="AG153" s="200" t="s">
        <v>230</v>
      </c>
      <c r="AH153" s="200"/>
      <c r="AI153" s="200"/>
      <c r="AJ153" s="200"/>
      <c r="AK153" s="476"/>
      <c r="AL153" s="200" t="s">
        <v>230</v>
      </c>
      <c r="AM153" s="200"/>
      <c r="AN153" s="200"/>
      <c r="AO153" s="200"/>
      <c r="AP153" s="476"/>
      <c r="AQ153" s="200" t="s">
        <v>230</v>
      </c>
      <c r="AR153" s="200"/>
      <c r="AS153" s="200"/>
      <c r="AT153" s="200"/>
      <c r="AU153" s="425"/>
      <c r="AV153" s="545" t="s">
        <v>230</v>
      </c>
      <c r="AW153" s="425"/>
      <c r="AX153" s="49"/>
      <c r="AY153" s="296"/>
      <c r="AZ153" s="541"/>
      <c r="BA153" s="554" t="s">
        <v>230</v>
      </c>
      <c r="BB153" s="541"/>
      <c r="BC153" s="49"/>
      <c r="BD153" s="327"/>
      <c r="BE153" s="556"/>
      <c r="BF153" s="557" t="s">
        <v>230</v>
      </c>
      <c r="BG153" s="556"/>
      <c r="BH153" s="49"/>
      <c r="BI153" s="346"/>
      <c r="BJ153" s="558"/>
      <c r="BK153" s="587" t="s">
        <v>230</v>
      </c>
      <c r="BL153" s="558"/>
      <c r="BM153" s="49"/>
      <c r="BN153" s="429"/>
      <c r="BO153" s="485"/>
      <c r="BP153" s="596" t="s">
        <v>230</v>
      </c>
      <c r="BQ153" s="485"/>
      <c r="BR153" s="49"/>
      <c r="BS153" s="353"/>
      <c r="BT153" s="472"/>
      <c r="BU153" s="586" t="s">
        <v>230</v>
      </c>
      <c r="BV153" s="472"/>
      <c r="BW153" s="49"/>
      <c r="BX153" s="368"/>
      <c r="BY153" s="578"/>
      <c r="BZ153" s="593" t="s">
        <v>230</v>
      </c>
      <c r="CA153" s="578"/>
      <c r="CB153" s="49"/>
      <c r="CC153" s="388"/>
      <c r="CD153" s="488"/>
      <c r="CE153" s="595" t="s">
        <v>230</v>
      </c>
      <c r="CF153" s="595"/>
      <c r="CG153" s="49"/>
      <c r="CH153" s="402"/>
      <c r="CI153" s="439"/>
      <c r="CJ153" s="867" t="s">
        <v>230</v>
      </c>
      <c r="CK153" s="439"/>
      <c r="CL153" s="49"/>
      <c r="CM153" s="402"/>
      <c r="CN153" s="439"/>
      <c r="CO153" s="867" t="s">
        <v>230</v>
      </c>
      <c r="CP153" s="672"/>
      <c r="CQ153" s="49"/>
      <c r="CR153" s="419"/>
      <c r="CS153" s="487"/>
      <c r="CT153" s="575" t="s">
        <v>230</v>
      </c>
      <c r="CU153" s="729"/>
      <c r="CV153" s="49"/>
      <c r="CW153" s="453"/>
      <c r="CX153" s="455"/>
      <c r="CY153" s="631"/>
      <c r="CZ153" s="455"/>
      <c r="DA153" s="49"/>
      <c r="DB153" s="457"/>
      <c r="DC153" s="475"/>
      <c r="DD153" s="632"/>
      <c r="DE153" s="475"/>
      <c r="DF153" s="49"/>
      <c r="DG153" s="458"/>
      <c r="DH153" s="459"/>
      <c r="DI153" s="633"/>
      <c r="DJ153" s="459"/>
      <c r="DK153" s="49"/>
      <c r="DL153" s="620"/>
      <c r="DM153" s="637"/>
      <c r="DN153" s="637"/>
      <c r="DO153" s="637"/>
      <c r="DP153" s="49"/>
      <c r="DQ153" s="461"/>
      <c r="DR153" s="462"/>
      <c r="DS153" s="462"/>
      <c r="DT153" s="462"/>
      <c r="DU153" s="49"/>
      <c r="DV153" s="463"/>
      <c r="DW153" s="464"/>
      <c r="DX153" s="464"/>
      <c r="DY153" s="464"/>
      <c r="DZ153" s="49"/>
      <c r="EA153" s="465"/>
      <c r="EB153" s="466"/>
      <c r="EC153" s="426"/>
      <c r="ED153" s="456"/>
      <c r="EE153" s="47"/>
      <c r="EF153" s="16"/>
    </row>
    <row r="154" ht="17.25" customHeight="1">
      <c r="A154" s="16"/>
      <c r="B154" s="47"/>
      <c r="C154" s="170"/>
      <c r="D154" s="171"/>
      <c r="E154" s="49"/>
      <c r="F154" s="200"/>
      <c r="G154" s="200"/>
      <c r="H154" s="200" t="s">
        <v>230</v>
      </c>
      <c r="I154" s="200"/>
      <c r="J154" s="200"/>
      <c r="K154" s="200"/>
      <c r="L154" s="476"/>
      <c r="M154" s="200" t="s">
        <v>230</v>
      </c>
      <c r="N154" s="200"/>
      <c r="O154" s="200"/>
      <c r="P154" s="200"/>
      <c r="Q154" s="476"/>
      <c r="R154" s="200" t="s">
        <v>230</v>
      </c>
      <c r="S154" s="200"/>
      <c r="T154" s="200"/>
      <c r="U154" s="200"/>
      <c r="V154" s="476"/>
      <c r="W154" s="200" t="s">
        <v>230</v>
      </c>
      <c r="X154" s="200"/>
      <c r="Y154" s="200"/>
      <c r="Z154" s="200"/>
      <c r="AA154" s="476"/>
      <c r="AB154" s="200" t="s">
        <v>230</v>
      </c>
      <c r="AC154" s="200"/>
      <c r="AD154" s="200"/>
      <c r="AE154" s="200"/>
      <c r="AF154" s="200"/>
      <c r="AG154" s="200" t="s">
        <v>230</v>
      </c>
      <c r="AH154" s="200"/>
      <c r="AI154" s="200"/>
      <c r="AJ154" s="200"/>
      <c r="AK154" s="476"/>
      <c r="AL154" s="200" t="s">
        <v>230</v>
      </c>
      <c r="AM154" s="200"/>
      <c r="AN154" s="200"/>
      <c r="AO154" s="200"/>
      <c r="AP154" s="476"/>
      <c r="AQ154" s="200" t="s">
        <v>230</v>
      </c>
      <c r="AR154" s="200"/>
      <c r="AS154" s="200"/>
      <c r="AT154" s="200"/>
      <c r="AU154" s="425"/>
      <c r="AV154" s="545" t="s">
        <v>230</v>
      </c>
      <c r="AW154" s="425"/>
      <c r="AX154" s="49"/>
      <c r="AY154" s="296"/>
      <c r="AZ154" s="541"/>
      <c r="BA154" s="554" t="s">
        <v>230</v>
      </c>
      <c r="BB154" s="541"/>
      <c r="BC154" s="49"/>
      <c r="BD154" s="327"/>
      <c r="BE154" s="556"/>
      <c r="BF154" s="557" t="s">
        <v>230</v>
      </c>
      <c r="BG154" s="556"/>
      <c r="BH154" s="49"/>
      <c r="BI154" s="346"/>
      <c r="BJ154" s="558"/>
      <c r="BK154" s="587" t="s">
        <v>230</v>
      </c>
      <c r="BL154" s="558"/>
      <c r="BM154" s="49"/>
      <c r="BN154" s="429"/>
      <c r="BO154" s="485"/>
      <c r="BP154" s="596" t="s">
        <v>230</v>
      </c>
      <c r="BQ154" s="485"/>
      <c r="BR154" s="49"/>
      <c r="BS154" s="353"/>
      <c r="BT154" s="472"/>
      <c r="BU154" s="586" t="s">
        <v>230</v>
      </c>
      <c r="BV154" s="472"/>
      <c r="BW154" s="49"/>
      <c r="BX154" s="368"/>
      <c r="BY154" s="578"/>
      <c r="BZ154" s="593" t="s">
        <v>230</v>
      </c>
      <c r="CA154" s="578"/>
      <c r="CB154" s="49"/>
      <c r="CC154" s="388"/>
      <c r="CD154" s="488"/>
      <c r="CE154" s="595" t="s">
        <v>230</v>
      </c>
      <c r="CF154" s="595"/>
      <c r="CG154" s="49"/>
      <c r="CH154" s="402"/>
      <c r="CI154" s="439"/>
      <c r="CJ154" s="867" t="s">
        <v>230</v>
      </c>
      <c r="CK154" s="439"/>
      <c r="CL154" s="49"/>
      <c r="CM154" s="402"/>
      <c r="CN154" s="439"/>
      <c r="CO154" s="867" t="s">
        <v>230</v>
      </c>
      <c r="CP154" s="672"/>
      <c r="CQ154" s="49"/>
      <c r="CR154" s="419"/>
      <c r="CS154" s="930"/>
      <c r="CT154" s="575" t="s">
        <v>230</v>
      </c>
      <c r="CU154" s="729"/>
      <c r="CV154" s="49"/>
      <c r="CW154" s="453"/>
      <c r="CX154" s="455"/>
      <c r="CY154" s="631"/>
      <c r="CZ154" s="455"/>
      <c r="DA154" s="49"/>
      <c r="DB154" s="457"/>
      <c r="DC154" s="475"/>
      <c r="DD154" s="632"/>
      <c r="DE154" s="475"/>
      <c r="DF154" s="49"/>
      <c r="DG154" s="458"/>
      <c r="DH154" s="459"/>
      <c r="DI154" s="633"/>
      <c r="DJ154" s="459"/>
      <c r="DK154" s="49"/>
      <c r="DL154" s="620"/>
      <c r="DM154" s="637"/>
      <c r="DN154" s="637"/>
      <c r="DO154" s="637"/>
      <c r="DP154" s="49"/>
      <c r="DQ154" s="461"/>
      <c r="DR154" s="462"/>
      <c r="DS154" s="462"/>
      <c r="DT154" s="462"/>
      <c r="DU154" s="49"/>
      <c r="DV154" s="463"/>
      <c r="DW154" s="464"/>
      <c r="DX154" s="464"/>
      <c r="DY154" s="464"/>
      <c r="DZ154" s="49"/>
      <c r="EA154" s="465"/>
      <c r="EB154" s="466"/>
      <c r="EC154" s="426"/>
      <c r="ED154" s="456"/>
      <c r="EE154" s="47"/>
      <c r="EF154" s="16"/>
    </row>
    <row r="155" ht="17.25" customHeight="1">
      <c r="A155" s="16"/>
      <c r="B155" s="47"/>
      <c r="C155" s="170"/>
      <c r="D155" s="171"/>
      <c r="E155" s="49"/>
      <c r="F155" s="200"/>
      <c r="G155" s="200"/>
      <c r="H155" s="200" t="s">
        <v>230</v>
      </c>
      <c r="I155" s="200"/>
      <c r="J155" s="200"/>
      <c r="K155" s="200"/>
      <c r="L155" s="476"/>
      <c r="M155" s="200" t="s">
        <v>230</v>
      </c>
      <c r="N155" s="200"/>
      <c r="O155" s="200"/>
      <c r="P155" s="200"/>
      <c r="Q155" s="476"/>
      <c r="R155" s="200" t="s">
        <v>230</v>
      </c>
      <c r="S155" s="200"/>
      <c r="T155" s="200"/>
      <c r="U155" s="200"/>
      <c r="V155" s="476"/>
      <c r="W155" s="200" t="s">
        <v>230</v>
      </c>
      <c r="X155" s="200"/>
      <c r="Y155" s="200"/>
      <c r="Z155" s="200"/>
      <c r="AA155" s="476"/>
      <c r="AB155" s="200" t="s">
        <v>230</v>
      </c>
      <c r="AC155" s="200"/>
      <c r="AD155" s="200"/>
      <c r="AE155" s="200"/>
      <c r="AF155" s="200"/>
      <c r="AG155" s="200" t="s">
        <v>230</v>
      </c>
      <c r="AH155" s="200"/>
      <c r="AI155" s="200"/>
      <c r="AJ155" s="200"/>
      <c r="AK155" s="476"/>
      <c r="AL155" s="200" t="s">
        <v>230</v>
      </c>
      <c r="AM155" s="200"/>
      <c r="AN155" s="200"/>
      <c r="AO155" s="200"/>
      <c r="AP155" s="476"/>
      <c r="AQ155" s="200" t="s">
        <v>230</v>
      </c>
      <c r="AR155" s="200"/>
      <c r="AS155" s="200"/>
      <c r="AT155" s="200"/>
      <c r="AU155" s="425"/>
      <c r="AV155" s="545" t="s">
        <v>230</v>
      </c>
      <c r="AW155" s="425"/>
      <c r="AX155" s="49"/>
      <c r="AY155" s="296"/>
      <c r="AZ155" s="541"/>
      <c r="BA155" s="554" t="s">
        <v>230</v>
      </c>
      <c r="BB155" s="541"/>
      <c r="BC155" s="49"/>
      <c r="BD155" s="327"/>
      <c r="BE155" s="556"/>
      <c r="BF155" s="557" t="s">
        <v>230</v>
      </c>
      <c r="BG155" s="556"/>
      <c r="BH155" s="49"/>
      <c r="BI155" s="346"/>
      <c r="BJ155" s="558"/>
      <c r="BK155" s="587" t="s">
        <v>230</v>
      </c>
      <c r="BL155" s="558"/>
      <c r="BM155" s="49"/>
      <c r="BN155" s="429"/>
      <c r="BO155" s="485"/>
      <c r="BP155" s="596" t="s">
        <v>230</v>
      </c>
      <c r="BQ155" s="485"/>
      <c r="BR155" s="49"/>
      <c r="BS155" s="353"/>
      <c r="BT155" s="472"/>
      <c r="BU155" s="586" t="s">
        <v>230</v>
      </c>
      <c r="BV155" s="472"/>
      <c r="BW155" s="49"/>
      <c r="BX155" s="368"/>
      <c r="BY155" s="578"/>
      <c r="BZ155" s="593" t="s">
        <v>230</v>
      </c>
      <c r="CA155" s="578"/>
      <c r="CB155" s="49"/>
      <c r="CC155" s="388"/>
      <c r="CD155" s="488"/>
      <c r="CE155" s="595" t="s">
        <v>230</v>
      </c>
      <c r="CF155" s="595"/>
      <c r="CG155" s="49"/>
      <c r="CH155" s="402"/>
      <c r="CI155" s="439"/>
      <c r="CJ155" s="867" t="s">
        <v>230</v>
      </c>
      <c r="CK155" s="439"/>
      <c r="CL155" s="49"/>
      <c r="CM155" s="402"/>
      <c r="CN155" s="439"/>
      <c r="CO155" s="867" t="s">
        <v>230</v>
      </c>
      <c r="CP155" s="672"/>
      <c r="CQ155" s="49"/>
      <c r="CR155" s="419"/>
      <c r="CS155" s="930"/>
      <c r="CT155" s="575" t="s">
        <v>230</v>
      </c>
      <c r="CU155" s="729"/>
      <c r="CV155" s="49"/>
      <c r="CW155" s="453"/>
      <c r="CX155" s="455"/>
      <c r="CY155" s="631"/>
      <c r="CZ155" s="455"/>
      <c r="DA155" s="49"/>
      <c r="DB155" s="457"/>
      <c r="DC155" s="475"/>
      <c r="DD155" s="632"/>
      <c r="DE155" s="475"/>
      <c r="DF155" s="49"/>
      <c r="DG155" s="458"/>
      <c r="DH155" s="459"/>
      <c r="DI155" s="633"/>
      <c r="DJ155" s="459"/>
      <c r="DK155" s="49"/>
      <c r="DL155" s="620"/>
      <c r="DM155" s="637"/>
      <c r="DN155" s="637"/>
      <c r="DO155" s="637"/>
      <c r="DP155" s="49"/>
      <c r="DQ155" s="461"/>
      <c r="DR155" s="462"/>
      <c r="DS155" s="462"/>
      <c r="DT155" s="462"/>
      <c r="DU155" s="49"/>
      <c r="DV155" s="463"/>
      <c r="DW155" s="464"/>
      <c r="DX155" s="464"/>
      <c r="DY155" s="464"/>
      <c r="DZ155" s="49"/>
      <c r="EA155" s="465"/>
      <c r="EB155" s="466"/>
      <c r="EC155" s="426"/>
      <c r="ED155" s="456"/>
      <c r="EE155" s="47"/>
      <c r="EF155" s="16"/>
    </row>
    <row r="156" ht="17.25" customHeight="1">
      <c r="A156" s="16"/>
      <c r="B156" s="47"/>
      <c r="C156" s="170"/>
      <c r="D156" s="171"/>
      <c r="E156" s="49"/>
      <c r="F156" s="200"/>
      <c r="G156" s="200"/>
      <c r="H156" s="200" t="s">
        <v>230</v>
      </c>
      <c r="I156" s="200"/>
      <c r="J156" s="200"/>
      <c r="K156" s="200"/>
      <c r="L156" s="476"/>
      <c r="M156" s="200" t="s">
        <v>230</v>
      </c>
      <c r="N156" s="200"/>
      <c r="O156" s="200"/>
      <c r="P156" s="200"/>
      <c r="Q156" s="476"/>
      <c r="R156" s="200" t="s">
        <v>230</v>
      </c>
      <c r="S156" s="200"/>
      <c r="T156" s="200"/>
      <c r="U156" s="200"/>
      <c r="V156" s="476"/>
      <c r="W156" s="200" t="s">
        <v>230</v>
      </c>
      <c r="X156" s="200"/>
      <c r="Y156" s="200"/>
      <c r="Z156" s="200"/>
      <c r="AA156" s="476"/>
      <c r="AB156" s="200" t="s">
        <v>230</v>
      </c>
      <c r="AC156" s="200"/>
      <c r="AD156" s="200"/>
      <c r="AE156" s="200"/>
      <c r="AF156" s="200"/>
      <c r="AG156" s="200" t="s">
        <v>230</v>
      </c>
      <c r="AH156" s="200"/>
      <c r="AI156" s="200"/>
      <c r="AJ156" s="200"/>
      <c r="AK156" s="476"/>
      <c r="AL156" s="200" t="s">
        <v>230</v>
      </c>
      <c r="AM156" s="200"/>
      <c r="AN156" s="200"/>
      <c r="AO156" s="200"/>
      <c r="AP156" s="476"/>
      <c r="AQ156" s="200" t="s">
        <v>230</v>
      </c>
      <c r="AR156" s="200"/>
      <c r="AS156" s="200"/>
      <c r="AT156" s="200"/>
      <c r="AU156" s="425"/>
      <c r="AV156" s="545" t="s">
        <v>230</v>
      </c>
      <c r="AW156" s="425"/>
      <c r="AX156" s="49"/>
      <c r="AY156" s="296"/>
      <c r="AZ156" s="541"/>
      <c r="BA156" s="554" t="s">
        <v>230</v>
      </c>
      <c r="BB156" s="541"/>
      <c r="BC156" s="49"/>
      <c r="BD156" s="327"/>
      <c r="BE156" s="556"/>
      <c r="BF156" s="557" t="s">
        <v>230</v>
      </c>
      <c r="BG156" s="556"/>
      <c r="BH156" s="49"/>
      <c r="BI156" s="346"/>
      <c r="BJ156" s="558"/>
      <c r="BK156" s="587" t="s">
        <v>230</v>
      </c>
      <c r="BL156" s="558"/>
      <c r="BM156" s="49"/>
      <c r="BN156" s="429"/>
      <c r="BO156" s="485"/>
      <c r="BP156" s="596" t="s">
        <v>230</v>
      </c>
      <c r="BQ156" s="485"/>
      <c r="BR156" s="49"/>
      <c r="BS156" s="353"/>
      <c r="BT156" s="472"/>
      <c r="BU156" s="586" t="s">
        <v>230</v>
      </c>
      <c r="BV156" s="472"/>
      <c r="BW156" s="49"/>
      <c r="BX156" s="368"/>
      <c r="BY156" s="578"/>
      <c r="BZ156" s="593" t="s">
        <v>230</v>
      </c>
      <c r="CA156" s="578"/>
      <c r="CB156" s="49"/>
      <c r="CC156" s="388"/>
      <c r="CD156" s="488"/>
      <c r="CE156" s="595" t="s">
        <v>230</v>
      </c>
      <c r="CF156" s="595"/>
      <c r="CG156" s="49"/>
      <c r="CH156" s="402"/>
      <c r="CI156" s="439"/>
      <c r="CJ156" s="867" t="s">
        <v>230</v>
      </c>
      <c r="CK156" s="439"/>
      <c r="CL156" s="49"/>
      <c r="CM156" s="402"/>
      <c r="CN156" s="439"/>
      <c r="CO156" s="867" t="s">
        <v>230</v>
      </c>
      <c r="CP156" s="672"/>
      <c r="CQ156" s="49"/>
      <c r="CR156" s="419"/>
      <c r="CS156" s="487"/>
      <c r="CT156" s="575" t="s">
        <v>230</v>
      </c>
      <c r="CU156" s="729"/>
      <c r="CV156" s="49"/>
      <c r="CW156" s="453"/>
      <c r="CX156" s="455"/>
      <c r="CY156" s="631"/>
      <c r="CZ156" s="455"/>
      <c r="DA156" s="49"/>
      <c r="DB156" s="457"/>
      <c r="DC156" s="475"/>
      <c r="DD156" s="632"/>
      <c r="DE156" s="475"/>
      <c r="DF156" s="49"/>
      <c r="DG156" s="458"/>
      <c r="DH156" s="459"/>
      <c r="DI156" s="633"/>
      <c r="DJ156" s="459"/>
      <c r="DK156" s="49"/>
      <c r="DL156" s="620"/>
      <c r="DM156" s="637"/>
      <c r="DN156" s="637"/>
      <c r="DO156" s="637"/>
      <c r="DP156" s="49"/>
      <c r="DQ156" s="461"/>
      <c r="DR156" s="462"/>
      <c r="DS156" s="462"/>
      <c r="DT156" s="462"/>
      <c r="DU156" s="49"/>
      <c r="DV156" s="463"/>
      <c r="DW156" s="464"/>
      <c r="DX156" s="464"/>
      <c r="DY156" s="464"/>
      <c r="DZ156" s="49"/>
      <c r="EA156" s="465"/>
      <c r="EB156" s="466"/>
      <c r="EC156" s="426"/>
      <c r="ED156" s="456"/>
      <c r="EE156" s="47"/>
      <c r="EF156" s="16"/>
    </row>
    <row r="157" ht="17.25" customHeight="1">
      <c r="A157" s="16"/>
      <c r="B157" s="47"/>
      <c r="C157" s="170"/>
      <c r="D157" s="171"/>
      <c r="E157" s="49"/>
      <c r="F157" s="200"/>
      <c r="G157" s="200"/>
      <c r="H157" s="200" t="s">
        <v>230</v>
      </c>
      <c r="I157" s="200"/>
      <c r="J157" s="200"/>
      <c r="K157" s="200"/>
      <c r="L157" s="476"/>
      <c r="M157" s="200" t="s">
        <v>230</v>
      </c>
      <c r="N157" s="200"/>
      <c r="O157" s="200"/>
      <c r="P157" s="200"/>
      <c r="Q157" s="476"/>
      <c r="R157" s="200" t="s">
        <v>230</v>
      </c>
      <c r="S157" s="200"/>
      <c r="T157" s="200"/>
      <c r="U157" s="200"/>
      <c r="V157" s="476"/>
      <c r="W157" s="200" t="s">
        <v>230</v>
      </c>
      <c r="X157" s="200"/>
      <c r="Y157" s="200"/>
      <c r="Z157" s="200"/>
      <c r="AA157" s="476"/>
      <c r="AB157" s="200" t="s">
        <v>230</v>
      </c>
      <c r="AC157" s="200"/>
      <c r="AD157" s="200"/>
      <c r="AE157" s="200"/>
      <c r="AF157" s="200"/>
      <c r="AG157" s="200" t="s">
        <v>230</v>
      </c>
      <c r="AH157" s="200"/>
      <c r="AI157" s="200"/>
      <c r="AJ157" s="200"/>
      <c r="AK157" s="476"/>
      <c r="AL157" s="200" t="s">
        <v>230</v>
      </c>
      <c r="AM157" s="200"/>
      <c r="AN157" s="200"/>
      <c r="AO157" s="200"/>
      <c r="AP157" s="476"/>
      <c r="AQ157" s="200" t="s">
        <v>230</v>
      </c>
      <c r="AR157" s="200"/>
      <c r="AS157" s="200"/>
      <c r="AT157" s="200"/>
      <c r="AU157" s="425"/>
      <c r="AV157" s="545" t="s">
        <v>230</v>
      </c>
      <c r="AW157" s="425"/>
      <c r="AX157" s="49"/>
      <c r="AY157" s="296"/>
      <c r="AZ157" s="541"/>
      <c r="BA157" s="554" t="s">
        <v>230</v>
      </c>
      <c r="BB157" s="541"/>
      <c r="BC157" s="49"/>
      <c r="BD157" s="327"/>
      <c r="BE157" s="556"/>
      <c r="BF157" s="557" t="s">
        <v>230</v>
      </c>
      <c r="BG157" s="556"/>
      <c r="BH157" s="49"/>
      <c r="BI157" s="346"/>
      <c r="BJ157" s="558"/>
      <c r="BK157" s="587" t="s">
        <v>230</v>
      </c>
      <c r="BL157" s="558"/>
      <c r="BM157" s="49"/>
      <c r="BN157" s="429"/>
      <c r="BO157" s="485"/>
      <c r="BP157" s="596" t="s">
        <v>230</v>
      </c>
      <c r="BQ157" s="485"/>
      <c r="BR157" s="49"/>
      <c r="BS157" s="353"/>
      <c r="BT157" s="472"/>
      <c r="BU157" s="586" t="s">
        <v>230</v>
      </c>
      <c r="BV157" s="472"/>
      <c r="BW157" s="49"/>
      <c r="BX157" s="368"/>
      <c r="BY157" s="578"/>
      <c r="BZ157" s="593" t="s">
        <v>230</v>
      </c>
      <c r="CA157" s="578"/>
      <c r="CB157" s="49"/>
      <c r="CC157" s="388"/>
      <c r="CD157" s="488"/>
      <c r="CE157" s="595" t="s">
        <v>230</v>
      </c>
      <c r="CF157" s="595"/>
      <c r="CG157" s="49"/>
      <c r="CH157" s="402"/>
      <c r="CI157" s="439"/>
      <c r="CJ157" s="867" t="s">
        <v>230</v>
      </c>
      <c r="CK157" s="439"/>
      <c r="CL157" s="49"/>
      <c r="CM157" s="402"/>
      <c r="CN157" s="439"/>
      <c r="CO157" s="867" t="s">
        <v>230</v>
      </c>
      <c r="CP157" s="672"/>
      <c r="CQ157" s="49"/>
      <c r="CR157" s="419"/>
      <c r="CS157" s="487"/>
      <c r="CT157" s="575" t="s">
        <v>230</v>
      </c>
      <c r="CU157" s="729"/>
      <c r="CV157" s="49"/>
      <c r="CW157" s="453"/>
      <c r="CX157" s="455"/>
      <c r="CY157" s="631"/>
      <c r="CZ157" s="455"/>
      <c r="DA157" s="49"/>
      <c r="DB157" s="457"/>
      <c r="DC157" s="475"/>
      <c r="DD157" s="632"/>
      <c r="DE157" s="475"/>
      <c r="DF157" s="49"/>
      <c r="DG157" s="458"/>
      <c r="DH157" s="459"/>
      <c r="DI157" s="633"/>
      <c r="DJ157" s="459"/>
      <c r="DK157" s="49"/>
      <c r="DL157" s="620"/>
      <c r="DM157" s="637"/>
      <c r="DN157" s="637"/>
      <c r="DO157" s="637"/>
      <c r="DP157" s="49"/>
      <c r="DQ157" s="461"/>
      <c r="DR157" s="462"/>
      <c r="DS157" s="462"/>
      <c r="DT157" s="462"/>
      <c r="DU157" s="49"/>
      <c r="DV157" s="463"/>
      <c r="DW157" s="464"/>
      <c r="DX157" s="464"/>
      <c r="DY157" s="464"/>
      <c r="DZ157" s="49"/>
      <c r="EA157" s="465"/>
      <c r="EB157" s="466"/>
      <c r="EC157" s="426"/>
      <c r="ED157" s="456"/>
      <c r="EE157" s="47"/>
      <c r="EF157" s="16"/>
    </row>
    <row r="158" ht="17.25" customHeight="1">
      <c r="A158" s="16"/>
      <c r="B158" s="47"/>
      <c r="C158" s="170"/>
      <c r="D158" s="171"/>
      <c r="E158" s="49"/>
      <c r="F158" s="200"/>
      <c r="G158" s="200"/>
      <c r="H158" s="200" t="s">
        <v>230</v>
      </c>
      <c r="I158" s="200"/>
      <c r="J158" s="200"/>
      <c r="K158" s="200"/>
      <c r="L158" s="476"/>
      <c r="M158" s="200" t="s">
        <v>230</v>
      </c>
      <c r="N158" s="200"/>
      <c r="O158" s="200"/>
      <c r="P158" s="200"/>
      <c r="Q158" s="476"/>
      <c r="R158" s="200" t="s">
        <v>230</v>
      </c>
      <c r="S158" s="200"/>
      <c r="T158" s="200"/>
      <c r="U158" s="200"/>
      <c r="V158" s="476"/>
      <c r="W158" s="200" t="s">
        <v>230</v>
      </c>
      <c r="X158" s="200"/>
      <c r="Y158" s="200"/>
      <c r="Z158" s="200"/>
      <c r="AA158" s="476"/>
      <c r="AB158" s="200" t="s">
        <v>230</v>
      </c>
      <c r="AC158" s="200"/>
      <c r="AD158" s="200"/>
      <c r="AE158" s="200"/>
      <c r="AF158" s="200"/>
      <c r="AG158" s="200" t="s">
        <v>230</v>
      </c>
      <c r="AH158" s="200"/>
      <c r="AI158" s="200"/>
      <c r="AJ158" s="200"/>
      <c r="AK158" s="476"/>
      <c r="AL158" s="200" t="s">
        <v>230</v>
      </c>
      <c r="AM158" s="200"/>
      <c r="AN158" s="200"/>
      <c r="AO158" s="200"/>
      <c r="AP158" s="476"/>
      <c r="AQ158" s="200" t="s">
        <v>230</v>
      </c>
      <c r="AR158" s="200"/>
      <c r="AS158" s="200"/>
      <c r="AT158" s="200"/>
      <c r="AU158" s="425"/>
      <c r="AV158" s="545" t="s">
        <v>230</v>
      </c>
      <c r="AW158" s="425"/>
      <c r="AX158" s="49"/>
      <c r="AY158" s="296"/>
      <c r="AZ158" s="541"/>
      <c r="BA158" s="554" t="s">
        <v>230</v>
      </c>
      <c r="BB158" s="541"/>
      <c r="BC158" s="49"/>
      <c r="BD158" s="327"/>
      <c r="BE158" s="556"/>
      <c r="BF158" s="557" t="s">
        <v>230</v>
      </c>
      <c r="BG158" s="556"/>
      <c r="BH158" s="49"/>
      <c r="BI158" s="346"/>
      <c r="BJ158" s="558"/>
      <c r="BK158" s="587" t="s">
        <v>230</v>
      </c>
      <c r="BL158" s="558"/>
      <c r="BM158" s="49"/>
      <c r="BN158" s="429"/>
      <c r="BO158" s="485"/>
      <c r="BP158" s="596" t="s">
        <v>230</v>
      </c>
      <c r="BQ158" s="485"/>
      <c r="BR158" s="49"/>
      <c r="BS158" s="353"/>
      <c r="BT158" s="472"/>
      <c r="BU158" s="586" t="s">
        <v>230</v>
      </c>
      <c r="BV158" s="472"/>
      <c r="BW158" s="49"/>
      <c r="BX158" s="368"/>
      <c r="BY158" s="578"/>
      <c r="BZ158" s="593" t="s">
        <v>230</v>
      </c>
      <c r="CA158" s="578"/>
      <c r="CB158" s="49"/>
      <c r="CC158" s="388"/>
      <c r="CD158" s="488"/>
      <c r="CE158" s="595" t="s">
        <v>230</v>
      </c>
      <c r="CF158" s="595"/>
      <c r="CG158" s="49"/>
      <c r="CH158" s="402"/>
      <c r="CI158" s="439"/>
      <c r="CJ158" s="867" t="s">
        <v>230</v>
      </c>
      <c r="CK158" s="439"/>
      <c r="CL158" s="49"/>
      <c r="CM158" s="402"/>
      <c r="CN158" s="439"/>
      <c r="CO158" s="867" t="s">
        <v>230</v>
      </c>
      <c r="CP158" s="672"/>
      <c r="CQ158" s="49"/>
      <c r="CR158" s="419"/>
      <c r="CS158" s="487"/>
      <c r="CT158" s="575" t="s">
        <v>230</v>
      </c>
      <c r="CU158" s="729"/>
      <c r="CV158" s="49"/>
      <c r="CW158" s="453"/>
      <c r="CX158" s="455"/>
      <c r="CY158" s="631"/>
      <c r="CZ158" s="455"/>
      <c r="DA158" s="49"/>
      <c r="DB158" s="457"/>
      <c r="DC158" s="475"/>
      <c r="DD158" s="632"/>
      <c r="DE158" s="475"/>
      <c r="DF158" s="49"/>
      <c r="DG158" s="458"/>
      <c r="DH158" s="459"/>
      <c r="DI158" s="633"/>
      <c r="DJ158" s="459"/>
      <c r="DK158" s="49"/>
      <c r="DL158" s="620"/>
      <c r="DM158" s="637"/>
      <c r="DN158" s="637"/>
      <c r="DO158" s="637"/>
      <c r="DP158" s="49"/>
      <c r="DQ158" s="461"/>
      <c r="DR158" s="462"/>
      <c r="DS158" s="462"/>
      <c r="DT158" s="462"/>
      <c r="DU158" s="49"/>
      <c r="DV158" s="463"/>
      <c r="DW158" s="464"/>
      <c r="DX158" s="464"/>
      <c r="DY158" s="464"/>
      <c r="DZ158" s="49"/>
      <c r="EA158" s="465"/>
      <c r="EB158" s="466"/>
      <c r="EC158" s="426"/>
      <c r="ED158" s="456"/>
      <c r="EE158" s="47"/>
      <c r="EF158" s="16"/>
    </row>
    <row r="159" ht="17.25" customHeight="1">
      <c r="A159" s="16"/>
      <c r="B159" s="47"/>
      <c r="C159" s="170"/>
      <c r="D159" s="171"/>
      <c r="E159" s="49"/>
      <c r="F159" s="200"/>
      <c r="G159" s="200"/>
      <c r="H159" s="200" t="s">
        <v>230</v>
      </c>
      <c r="I159" s="200"/>
      <c r="J159" s="200"/>
      <c r="K159" s="200"/>
      <c r="L159" s="476"/>
      <c r="M159" s="200" t="s">
        <v>230</v>
      </c>
      <c r="N159" s="200"/>
      <c r="O159" s="200"/>
      <c r="P159" s="200"/>
      <c r="Q159" s="476"/>
      <c r="R159" s="200" t="s">
        <v>230</v>
      </c>
      <c r="S159" s="200"/>
      <c r="T159" s="200"/>
      <c r="U159" s="200"/>
      <c r="V159" s="476"/>
      <c r="W159" s="200" t="s">
        <v>230</v>
      </c>
      <c r="X159" s="200"/>
      <c r="Y159" s="200"/>
      <c r="Z159" s="200"/>
      <c r="AA159" s="476"/>
      <c r="AB159" s="200" t="s">
        <v>230</v>
      </c>
      <c r="AC159" s="200"/>
      <c r="AD159" s="200"/>
      <c r="AE159" s="200"/>
      <c r="AF159" s="200"/>
      <c r="AG159" s="200" t="s">
        <v>230</v>
      </c>
      <c r="AH159" s="200"/>
      <c r="AI159" s="200"/>
      <c r="AJ159" s="200"/>
      <c r="AK159" s="476"/>
      <c r="AL159" s="200" t="s">
        <v>230</v>
      </c>
      <c r="AM159" s="200"/>
      <c r="AN159" s="200"/>
      <c r="AO159" s="200"/>
      <c r="AP159" s="476"/>
      <c r="AQ159" s="200" t="s">
        <v>230</v>
      </c>
      <c r="AR159" s="200"/>
      <c r="AS159" s="200"/>
      <c r="AT159" s="200"/>
      <c r="AU159" s="425"/>
      <c r="AV159" s="545" t="s">
        <v>230</v>
      </c>
      <c r="AW159" s="425"/>
      <c r="AX159" s="49"/>
      <c r="AY159" s="296"/>
      <c r="AZ159" s="541"/>
      <c r="BA159" s="554" t="s">
        <v>230</v>
      </c>
      <c r="BB159" s="541"/>
      <c r="BC159" s="49"/>
      <c r="BD159" s="327"/>
      <c r="BE159" s="556"/>
      <c r="BF159" s="557" t="s">
        <v>230</v>
      </c>
      <c r="BG159" s="556"/>
      <c r="BH159" s="49"/>
      <c r="BI159" s="346"/>
      <c r="BJ159" s="558"/>
      <c r="BK159" s="587" t="s">
        <v>230</v>
      </c>
      <c r="BL159" s="558"/>
      <c r="BM159" s="49"/>
      <c r="BN159" s="429"/>
      <c r="BO159" s="485"/>
      <c r="BP159" s="596" t="s">
        <v>230</v>
      </c>
      <c r="BQ159" s="485"/>
      <c r="BR159" s="49"/>
      <c r="BS159" s="353"/>
      <c r="BT159" s="472"/>
      <c r="BU159" s="586" t="s">
        <v>230</v>
      </c>
      <c r="BV159" s="472"/>
      <c r="BW159" s="49"/>
      <c r="BX159" s="368"/>
      <c r="BY159" s="578"/>
      <c r="BZ159" s="593" t="s">
        <v>230</v>
      </c>
      <c r="CA159" s="578"/>
      <c r="CB159" s="49"/>
      <c r="CC159" s="388"/>
      <c r="CD159" s="488"/>
      <c r="CE159" s="595" t="s">
        <v>230</v>
      </c>
      <c r="CF159" s="595"/>
      <c r="CG159" s="49"/>
      <c r="CH159" s="402"/>
      <c r="CI159" s="439"/>
      <c r="CJ159" s="867" t="s">
        <v>230</v>
      </c>
      <c r="CK159" s="439"/>
      <c r="CL159" s="49"/>
      <c r="CM159" s="402"/>
      <c r="CN159" s="439"/>
      <c r="CO159" s="867" t="s">
        <v>230</v>
      </c>
      <c r="CP159" s="672"/>
      <c r="CQ159" s="49"/>
      <c r="CR159" s="419"/>
      <c r="CS159" s="487"/>
      <c r="CT159" s="575" t="s">
        <v>230</v>
      </c>
      <c r="CU159" s="729"/>
      <c r="CV159" s="49"/>
      <c r="CW159" s="453"/>
      <c r="CX159" s="455"/>
      <c r="CY159" s="631"/>
      <c r="CZ159" s="455"/>
      <c r="DA159" s="49"/>
      <c r="DB159" s="457"/>
      <c r="DC159" s="475"/>
      <c r="DD159" s="632"/>
      <c r="DE159" s="475"/>
      <c r="DF159" s="49"/>
      <c r="DG159" s="458"/>
      <c r="DH159" s="459"/>
      <c r="DI159" s="633"/>
      <c r="DJ159" s="459"/>
      <c r="DK159" s="49"/>
      <c r="DL159" s="620"/>
      <c r="DM159" s="637"/>
      <c r="DN159" s="637"/>
      <c r="DO159" s="637"/>
      <c r="DP159" s="49"/>
      <c r="DQ159" s="461"/>
      <c r="DR159" s="462"/>
      <c r="DS159" s="462"/>
      <c r="DT159" s="462"/>
      <c r="DU159" s="49"/>
      <c r="DV159" s="463"/>
      <c r="DW159" s="464"/>
      <c r="DX159" s="464"/>
      <c r="DY159" s="464"/>
      <c r="DZ159" s="49"/>
      <c r="EA159" s="465"/>
      <c r="EB159" s="466"/>
      <c r="EC159" s="426"/>
      <c r="ED159" s="456"/>
      <c r="EE159" s="47"/>
      <c r="EF159" s="16"/>
    </row>
    <row r="160" ht="17.25" customHeight="1">
      <c r="A160" s="16"/>
      <c r="B160" s="47"/>
      <c r="C160" s="170"/>
      <c r="D160" s="171"/>
      <c r="E160" s="49"/>
      <c r="F160" s="200"/>
      <c r="G160" s="200"/>
      <c r="H160" s="200" t="s">
        <v>230</v>
      </c>
      <c r="I160" s="200"/>
      <c r="J160" s="200"/>
      <c r="K160" s="200"/>
      <c r="L160" s="476"/>
      <c r="M160" s="200" t="s">
        <v>230</v>
      </c>
      <c r="N160" s="200"/>
      <c r="O160" s="200"/>
      <c r="P160" s="200"/>
      <c r="Q160" s="476"/>
      <c r="R160" s="200" t="s">
        <v>230</v>
      </c>
      <c r="S160" s="200"/>
      <c r="T160" s="200"/>
      <c r="U160" s="200"/>
      <c r="V160" s="476"/>
      <c r="W160" s="200" t="s">
        <v>230</v>
      </c>
      <c r="X160" s="200"/>
      <c r="Y160" s="200"/>
      <c r="Z160" s="200"/>
      <c r="AA160" s="476"/>
      <c r="AB160" s="200" t="s">
        <v>230</v>
      </c>
      <c r="AC160" s="200"/>
      <c r="AD160" s="200"/>
      <c r="AE160" s="200"/>
      <c r="AF160" s="200"/>
      <c r="AG160" s="200" t="s">
        <v>230</v>
      </c>
      <c r="AH160" s="200"/>
      <c r="AI160" s="200"/>
      <c r="AJ160" s="200"/>
      <c r="AK160" s="476"/>
      <c r="AL160" s="200" t="s">
        <v>230</v>
      </c>
      <c r="AM160" s="200"/>
      <c r="AN160" s="200"/>
      <c r="AO160" s="200"/>
      <c r="AP160" s="476"/>
      <c r="AQ160" s="200" t="s">
        <v>230</v>
      </c>
      <c r="AR160" s="200"/>
      <c r="AS160" s="200"/>
      <c r="AT160" s="200"/>
      <c r="AU160" s="425"/>
      <c r="AV160" s="545" t="s">
        <v>230</v>
      </c>
      <c r="AW160" s="425"/>
      <c r="AX160" s="49"/>
      <c r="AY160" s="296"/>
      <c r="AZ160" s="541"/>
      <c r="BA160" s="554" t="s">
        <v>230</v>
      </c>
      <c r="BB160" s="541"/>
      <c r="BC160" s="49"/>
      <c r="BD160" s="327"/>
      <c r="BE160" s="556"/>
      <c r="BF160" s="557" t="s">
        <v>230</v>
      </c>
      <c r="BG160" s="556"/>
      <c r="BH160" s="49"/>
      <c r="BI160" s="346"/>
      <c r="BJ160" s="558"/>
      <c r="BK160" s="587" t="s">
        <v>230</v>
      </c>
      <c r="BL160" s="558"/>
      <c r="BM160" s="49"/>
      <c r="BN160" s="429"/>
      <c r="BO160" s="485"/>
      <c r="BP160" s="596" t="s">
        <v>230</v>
      </c>
      <c r="BQ160" s="485"/>
      <c r="BR160" s="49"/>
      <c r="BS160" s="353"/>
      <c r="BT160" s="472"/>
      <c r="BU160" s="586" t="s">
        <v>230</v>
      </c>
      <c r="BV160" s="472"/>
      <c r="BW160" s="49"/>
      <c r="BX160" s="368"/>
      <c r="BY160" s="578"/>
      <c r="BZ160" s="593" t="s">
        <v>230</v>
      </c>
      <c r="CA160" s="578"/>
      <c r="CB160" s="49"/>
      <c r="CC160" s="388"/>
      <c r="CD160" s="488"/>
      <c r="CE160" s="595" t="s">
        <v>230</v>
      </c>
      <c r="CF160" s="595"/>
      <c r="CG160" s="49"/>
      <c r="CH160" s="402"/>
      <c r="CI160" s="439"/>
      <c r="CJ160" s="867" t="s">
        <v>230</v>
      </c>
      <c r="CK160" s="439"/>
      <c r="CL160" s="49"/>
      <c r="CM160" s="402"/>
      <c r="CN160" s="439"/>
      <c r="CO160" s="867" t="s">
        <v>230</v>
      </c>
      <c r="CP160" s="672"/>
      <c r="CQ160" s="49"/>
      <c r="CR160" s="419"/>
      <c r="CS160" s="487"/>
      <c r="CT160" s="575" t="s">
        <v>230</v>
      </c>
      <c r="CU160" s="729"/>
      <c r="CV160" s="49"/>
      <c r="CW160" s="453"/>
      <c r="CX160" s="455"/>
      <c r="CY160" s="631"/>
      <c r="CZ160" s="455"/>
      <c r="DA160" s="49"/>
      <c r="DB160" s="457"/>
      <c r="DC160" s="475"/>
      <c r="DD160" s="632"/>
      <c r="DE160" s="475"/>
      <c r="DF160" s="49"/>
      <c r="DG160" s="458"/>
      <c r="DH160" s="459"/>
      <c r="DI160" s="633"/>
      <c r="DJ160" s="459"/>
      <c r="DK160" s="49"/>
      <c r="DL160" s="620"/>
      <c r="DM160" s="637"/>
      <c r="DN160" s="637"/>
      <c r="DO160" s="637"/>
      <c r="DP160" s="49"/>
      <c r="DQ160" s="461"/>
      <c r="DR160" s="462"/>
      <c r="DS160" s="462"/>
      <c r="DT160" s="462"/>
      <c r="DU160" s="49"/>
      <c r="DV160" s="463"/>
      <c r="DW160" s="464"/>
      <c r="DX160" s="464"/>
      <c r="DY160" s="464"/>
      <c r="DZ160" s="49"/>
      <c r="EA160" s="465"/>
      <c r="EB160" s="466"/>
      <c r="EC160" s="426"/>
      <c r="ED160" s="456"/>
      <c r="EE160" s="47"/>
      <c r="EF160" s="16"/>
    </row>
    <row r="161" ht="17.25" customHeight="1">
      <c r="A161" s="16"/>
      <c r="B161" s="47"/>
      <c r="C161" s="170"/>
      <c r="D161" s="171"/>
      <c r="E161" s="49"/>
      <c r="F161" s="200"/>
      <c r="G161" s="200"/>
      <c r="H161" s="200" t="s">
        <v>230</v>
      </c>
      <c r="I161" s="200"/>
      <c r="J161" s="200"/>
      <c r="K161" s="200"/>
      <c r="L161" s="476"/>
      <c r="M161" s="200" t="s">
        <v>230</v>
      </c>
      <c r="N161" s="200"/>
      <c r="O161" s="200"/>
      <c r="P161" s="200"/>
      <c r="Q161" s="476"/>
      <c r="R161" s="200" t="s">
        <v>230</v>
      </c>
      <c r="S161" s="200"/>
      <c r="T161" s="200"/>
      <c r="U161" s="200"/>
      <c r="V161" s="476"/>
      <c r="W161" s="200" t="s">
        <v>230</v>
      </c>
      <c r="X161" s="200"/>
      <c r="Y161" s="200"/>
      <c r="Z161" s="200"/>
      <c r="AA161" s="476"/>
      <c r="AB161" s="200" t="s">
        <v>230</v>
      </c>
      <c r="AC161" s="200"/>
      <c r="AD161" s="200"/>
      <c r="AE161" s="200"/>
      <c r="AF161" s="200"/>
      <c r="AG161" s="200" t="s">
        <v>230</v>
      </c>
      <c r="AH161" s="200"/>
      <c r="AI161" s="200"/>
      <c r="AJ161" s="200"/>
      <c r="AK161" s="476"/>
      <c r="AL161" s="200" t="s">
        <v>230</v>
      </c>
      <c r="AM161" s="200"/>
      <c r="AN161" s="200"/>
      <c r="AO161" s="200"/>
      <c r="AP161" s="476"/>
      <c r="AQ161" s="200" t="s">
        <v>230</v>
      </c>
      <c r="AR161" s="200"/>
      <c r="AS161" s="200"/>
      <c r="AT161" s="200"/>
      <c r="AU161" s="425"/>
      <c r="AV161" s="545" t="s">
        <v>230</v>
      </c>
      <c r="AW161" s="425"/>
      <c r="AX161" s="49"/>
      <c r="AY161" s="296"/>
      <c r="AZ161" s="541"/>
      <c r="BA161" s="554" t="s">
        <v>230</v>
      </c>
      <c r="BB161" s="541"/>
      <c r="BC161" s="49"/>
      <c r="BD161" s="327"/>
      <c r="BE161" s="556"/>
      <c r="BF161" s="557" t="s">
        <v>230</v>
      </c>
      <c r="BG161" s="556"/>
      <c r="BH161" s="49"/>
      <c r="BI161" s="346"/>
      <c r="BJ161" s="558"/>
      <c r="BK161" s="587" t="s">
        <v>230</v>
      </c>
      <c r="BL161" s="558"/>
      <c r="BM161" s="49"/>
      <c r="BN161" s="429"/>
      <c r="BO161" s="485"/>
      <c r="BP161" s="596" t="s">
        <v>230</v>
      </c>
      <c r="BQ161" s="485"/>
      <c r="BR161" s="49"/>
      <c r="BS161" s="353"/>
      <c r="BT161" s="472"/>
      <c r="BU161" s="586" t="s">
        <v>230</v>
      </c>
      <c r="BV161" s="472"/>
      <c r="BW161" s="49"/>
      <c r="BX161" s="368"/>
      <c r="BY161" s="578"/>
      <c r="BZ161" s="593" t="s">
        <v>230</v>
      </c>
      <c r="CA161" s="578"/>
      <c r="CB161" s="49"/>
      <c r="CC161" s="388"/>
      <c r="CD161" s="488"/>
      <c r="CE161" s="595" t="s">
        <v>230</v>
      </c>
      <c r="CF161" s="595"/>
      <c r="CG161" s="49"/>
      <c r="CH161" s="402"/>
      <c r="CI161" s="439"/>
      <c r="CJ161" s="867" t="s">
        <v>230</v>
      </c>
      <c r="CK161" s="439"/>
      <c r="CL161" s="49"/>
      <c r="CM161" s="402"/>
      <c r="CN161" s="439"/>
      <c r="CO161" s="867" t="s">
        <v>230</v>
      </c>
      <c r="CP161" s="672"/>
      <c r="CQ161" s="49"/>
      <c r="CR161" s="419"/>
      <c r="CS161" s="487"/>
      <c r="CT161" s="575" t="s">
        <v>230</v>
      </c>
      <c r="CU161" s="729"/>
      <c r="CV161" s="49"/>
      <c r="CW161" s="453"/>
      <c r="CX161" s="455"/>
      <c r="CY161" s="631"/>
      <c r="CZ161" s="455"/>
      <c r="DA161" s="49"/>
      <c r="DB161" s="457"/>
      <c r="DC161" s="475"/>
      <c r="DD161" s="632"/>
      <c r="DE161" s="475"/>
      <c r="DF161" s="49"/>
      <c r="DG161" s="458"/>
      <c r="DH161" s="459"/>
      <c r="DI161" s="633"/>
      <c r="DJ161" s="459"/>
      <c r="DK161" s="49"/>
      <c r="DL161" s="620"/>
      <c r="DM161" s="637"/>
      <c r="DN161" s="637"/>
      <c r="DO161" s="637"/>
      <c r="DP161" s="49"/>
      <c r="DQ161" s="461"/>
      <c r="DR161" s="462"/>
      <c r="DS161" s="462"/>
      <c r="DT161" s="462"/>
      <c r="DU161" s="49"/>
      <c r="DV161" s="463"/>
      <c r="DW161" s="464"/>
      <c r="DX161" s="464"/>
      <c r="DY161" s="464"/>
      <c r="DZ161" s="49"/>
      <c r="EA161" s="465"/>
      <c r="EB161" s="466"/>
      <c r="EC161" s="426"/>
      <c r="ED161" s="456"/>
      <c r="EE161" s="47"/>
      <c r="EF161" s="16"/>
    </row>
    <row r="162" ht="17.25" customHeight="1">
      <c r="A162" s="16"/>
      <c r="B162" s="47"/>
      <c r="C162" s="170"/>
      <c r="D162" s="171"/>
      <c r="E162" s="49"/>
      <c r="F162" s="200"/>
      <c r="G162" s="200"/>
      <c r="H162" s="200" t="s">
        <v>230</v>
      </c>
      <c r="I162" s="200"/>
      <c r="J162" s="200"/>
      <c r="K162" s="200"/>
      <c r="L162" s="476"/>
      <c r="M162" s="200" t="s">
        <v>230</v>
      </c>
      <c r="N162" s="200"/>
      <c r="O162" s="200"/>
      <c r="P162" s="200"/>
      <c r="Q162" s="476"/>
      <c r="R162" s="200" t="s">
        <v>230</v>
      </c>
      <c r="S162" s="200"/>
      <c r="T162" s="200"/>
      <c r="U162" s="200"/>
      <c r="V162" s="476"/>
      <c r="W162" s="200" t="s">
        <v>230</v>
      </c>
      <c r="X162" s="200"/>
      <c r="Y162" s="200"/>
      <c r="Z162" s="200"/>
      <c r="AA162" s="476"/>
      <c r="AB162" s="200" t="s">
        <v>230</v>
      </c>
      <c r="AC162" s="200"/>
      <c r="AD162" s="200"/>
      <c r="AE162" s="200"/>
      <c r="AF162" s="200"/>
      <c r="AG162" s="200" t="s">
        <v>230</v>
      </c>
      <c r="AH162" s="200"/>
      <c r="AI162" s="200"/>
      <c r="AJ162" s="200"/>
      <c r="AK162" s="476"/>
      <c r="AL162" s="200" t="s">
        <v>230</v>
      </c>
      <c r="AM162" s="200"/>
      <c r="AN162" s="200"/>
      <c r="AO162" s="200"/>
      <c r="AP162" s="476"/>
      <c r="AQ162" s="200" t="s">
        <v>230</v>
      </c>
      <c r="AR162" s="200"/>
      <c r="AS162" s="200"/>
      <c r="AT162" s="200"/>
      <c r="AU162" s="425"/>
      <c r="AV162" s="545" t="s">
        <v>230</v>
      </c>
      <c r="AW162" s="425"/>
      <c r="AX162" s="49"/>
      <c r="AY162" s="296"/>
      <c r="AZ162" s="541"/>
      <c r="BA162" s="554" t="s">
        <v>230</v>
      </c>
      <c r="BB162" s="541"/>
      <c r="BC162" s="49"/>
      <c r="BD162" s="327"/>
      <c r="BE162" s="556"/>
      <c r="BF162" s="557" t="s">
        <v>230</v>
      </c>
      <c r="BG162" s="556"/>
      <c r="BH162" s="49"/>
      <c r="BI162" s="346"/>
      <c r="BJ162" s="558"/>
      <c r="BK162" s="587" t="s">
        <v>230</v>
      </c>
      <c r="BL162" s="558"/>
      <c r="BM162" s="49"/>
      <c r="BN162" s="429"/>
      <c r="BO162" s="485"/>
      <c r="BP162" s="596" t="s">
        <v>230</v>
      </c>
      <c r="BQ162" s="485"/>
      <c r="BR162" s="49"/>
      <c r="BS162" s="353"/>
      <c r="BT162" s="472"/>
      <c r="BU162" s="586" t="s">
        <v>230</v>
      </c>
      <c r="BV162" s="472"/>
      <c r="BW162" s="49"/>
      <c r="BX162" s="368"/>
      <c r="BY162" s="578"/>
      <c r="BZ162" s="593" t="s">
        <v>230</v>
      </c>
      <c r="CA162" s="578"/>
      <c r="CB162" s="49"/>
      <c r="CC162" s="388"/>
      <c r="CD162" s="488"/>
      <c r="CE162" s="595" t="s">
        <v>230</v>
      </c>
      <c r="CF162" s="595"/>
      <c r="CG162" s="49"/>
      <c r="CH162" s="402"/>
      <c r="CI162" s="439"/>
      <c r="CJ162" s="867" t="s">
        <v>230</v>
      </c>
      <c r="CK162" s="439"/>
      <c r="CL162" s="49"/>
      <c r="CM162" s="402"/>
      <c r="CN162" s="439"/>
      <c r="CO162" s="867" t="s">
        <v>230</v>
      </c>
      <c r="CP162" s="672"/>
      <c r="CQ162" s="49"/>
      <c r="CR162" s="419"/>
      <c r="CS162" s="487"/>
      <c r="CT162" s="575" t="s">
        <v>230</v>
      </c>
      <c r="CU162" s="729"/>
      <c r="CV162" s="49"/>
      <c r="CW162" s="453"/>
      <c r="CX162" s="455"/>
      <c r="CY162" s="631"/>
      <c r="CZ162" s="455"/>
      <c r="DA162" s="49"/>
      <c r="DB162" s="457"/>
      <c r="DC162" s="475"/>
      <c r="DD162" s="632"/>
      <c r="DE162" s="475"/>
      <c r="DF162" s="49"/>
      <c r="DG162" s="458"/>
      <c r="DH162" s="459"/>
      <c r="DI162" s="633"/>
      <c r="DJ162" s="459"/>
      <c r="DK162" s="49"/>
      <c r="DL162" s="620"/>
      <c r="DM162" s="637"/>
      <c r="DN162" s="637"/>
      <c r="DO162" s="637"/>
      <c r="DP162" s="49"/>
      <c r="DQ162" s="461"/>
      <c r="DR162" s="462"/>
      <c r="DS162" s="462"/>
      <c r="DT162" s="462"/>
      <c r="DU162" s="49"/>
      <c r="DV162" s="463"/>
      <c r="DW162" s="464"/>
      <c r="DX162" s="464"/>
      <c r="DY162" s="464"/>
      <c r="DZ162" s="49"/>
      <c r="EA162" s="465"/>
      <c r="EB162" s="466"/>
      <c r="EC162" s="426"/>
      <c r="ED162" s="456"/>
      <c r="EE162" s="47"/>
      <c r="EF162" s="16"/>
    </row>
    <row r="163" ht="17.25" customHeight="1">
      <c r="A163" s="16"/>
      <c r="B163" s="47"/>
      <c r="C163" s="170"/>
      <c r="D163" s="171"/>
      <c r="E163" s="49"/>
      <c r="F163" s="200"/>
      <c r="G163" s="200"/>
      <c r="H163" s="200" t="s">
        <v>230</v>
      </c>
      <c r="I163" s="200"/>
      <c r="J163" s="200"/>
      <c r="K163" s="200"/>
      <c r="L163" s="476"/>
      <c r="M163" s="200" t="s">
        <v>230</v>
      </c>
      <c r="N163" s="200"/>
      <c r="O163" s="200"/>
      <c r="P163" s="200"/>
      <c r="Q163" s="476"/>
      <c r="R163" s="200" t="s">
        <v>230</v>
      </c>
      <c r="S163" s="200"/>
      <c r="T163" s="200"/>
      <c r="U163" s="200"/>
      <c r="V163" s="476"/>
      <c r="W163" s="200" t="s">
        <v>230</v>
      </c>
      <c r="X163" s="200"/>
      <c r="Y163" s="200"/>
      <c r="Z163" s="200"/>
      <c r="AA163" s="476"/>
      <c r="AB163" s="200" t="s">
        <v>230</v>
      </c>
      <c r="AC163" s="200"/>
      <c r="AD163" s="200"/>
      <c r="AE163" s="200"/>
      <c r="AF163" s="200"/>
      <c r="AG163" s="200" t="s">
        <v>230</v>
      </c>
      <c r="AH163" s="200"/>
      <c r="AI163" s="200"/>
      <c r="AJ163" s="200"/>
      <c r="AK163" s="476"/>
      <c r="AL163" s="200" t="s">
        <v>230</v>
      </c>
      <c r="AM163" s="200"/>
      <c r="AN163" s="200"/>
      <c r="AO163" s="200"/>
      <c r="AP163" s="476"/>
      <c r="AQ163" s="200" t="s">
        <v>230</v>
      </c>
      <c r="AR163" s="200"/>
      <c r="AS163" s="200"/>
      <c r="AT163" s="200"/>
      <c r="AU163" s="425"/>
      <c r="AV163" s="545" t="s">
        <v>230</v>
      </c>
      <c r="AW163" s="425"/>
      <c r="AX163" s="49"/>
      <c r="AY163" s="296"/>
      <c r="AZ163" s="541"/>
      <c r="BA163" s="554" t="s">
        <v>230</v>
      </c>
      <c r="BB163" s="541"/>
      <c r="BC163" s="49"/>
      <c r="BD163" s="327"/>
      <c r="BE163" s="556"/>
      <c r="BF163" s="557" t="s">
        <v>230</v>
      </c>
      <c r="BG163" s="556"/>
      <c r="BH163" s="49"/>
      <c r="BI163" s="346"/>
      <c r="BJ163" s="558"/>
      <c r="BK163" s="587" t="s">
        <v>230</v>
      </c>
      <c r="BL163" s="558"/>
      <c r="BM163" s="49"/>
      <c r="BN163" s="429"/>
      <c r="BO163" s="485"/>
      <c r="BP163" s="596" t="s">
        <v>230</v>
      </c>
      <c r="BQ163" s="485"/>
      <c r="BR163" s="49"/>
      <c r="BS163" s="353"/>
      <c r="BT163" s="472"/>
      <c r="BU163" s="586" t="s">
        <v>230</v>
      </c>
      <c r="BV163" s="472"/>
      <c r="BW163" s="49"/>
      <c r="BX163" s="368"/>
      <c r="BY163" s="578"/>
      <c r="BZ163" s="593" t="s">
        <v>230</v>
      </c>
      <c r="CA163" s="578"/>
      <c r="CB163" s="49"/>
      <c r="CC163" s="388"/>
      <c r="CD163" s="488"/>
      <c r="CE163" s="595" t="s">
        <v>230</v>
      </c>
      <c r="CF163" s="595"/>
      <c r="CG163" s="49"/>
      <c r="CH163" s="402"/>
      <c r="CI163" s="439"/>
      <c r="CJ163" s="867" t="s">
        <v>230</v>
      </c>
      <c r="CK163" s="439"/>
      <c r="CL163" s="49"/>
      <c r="CM163" s="402"/>
      <c r="CN163" s="439"/>
      <c r="CO163" s="867" t="s">
        <v>230</v>
      </c>
      <c r="CP163" s="672"/>
      <c r="CQ163" s="49"/>
      <c r="CR163" s="419"/>
      <c r="CS163" s="487"/>
      <c r="CT163" s="575" t="s">
        <v>230</v>
      </c>
      <c r="CU163" s="729"/>
      <c r="CV163" s="49"/>
      <c r="CW163" s="453"/>
      <c r="CX163" s="455"/>
      <c r="CY163" s="631"/>
      <c r="CZ163" s="455"/>
      <c r="DA163" s="49"/>
      <c r="DB163" s="457"/>
      <c r="DC163" s="475"/>
      <c r="DD163" s="632"/>
      <c r="DE163" s="475"/>
      <c r="DF163" s="49"/>
      <c r="DG163" s="458"/>
      <c r="DH163" s="459"/>
      <c r="DI163" s="633"/>
      <c r="DJ163" s="459"/>
      <c r="DK163" s="49"/>
      <c r="DL163" s="620"/>
      <c r="DM163" s="637"/>
      <c r="DN163" s="637"/>
      <c r="DO163" s="637"/>
      <c r="DP163" s="49"/>
      <c r="DQ163" s="461"/>
      <c r="DR163" s="462"/>
      <c r="DS163" s="462"/>
      <c r="DT163" s="462"/>
      <c r="DU163" s="49"/>
      <c r="DV163" s="463"/>
      <c r="DW163" s="464"/>
      <c r="DX163" s="464"/>
      <c r="DY163" s="464"/>
      <c r="DZ163" s="49"/>
      <c r="EA163" s="465"/>
      <c r="EB163" s="466"/>
      <c r="EC163" s="426"/>
      <c r="ED163" s="456"/>
      <c r="EE163" s="47"/>
      <c r="EF163" s="16"/>
    </row>
    <row r="164" ht="17.25" customHeight="1">
      <c r="A164" s="16"/>
      <c r="B164" s="47"/>
      <c r="C164" s="170"/>
      <c r="D164" s="171"/>
      <c r="E164" s="49"/>
      <c r="F164" s="200"/>
      <c r="G164" s="200"/>
      <c r="H164" s="200" t="s">
        <v>230</v>
      </c>
      <c r="I164" s="200"/>
      <c r="J164" s="200"/>
      <c r="K164" s="200"/>
      <c r="L164" s="476"/>
      <c r="M164" s="200" t="s">
        <v>230</v>
      </c>
      <c r="N164" s="200"/>
      <c r="O164" s="200"/>
      <c r="P164" s="200"/>
      <c r="Q164" s="476"/>
      <c r="R164" s="200" t="s">
        <v>230</v>
      </c>
      <c r="S164" s="200"/>
      <c r="T164" s="200"/>
      <c r="U164" s="200"/>
      <c r="V164" s="476"/>
      <c r="W164" s="200" t="s">
        <v>230</v>
      </c>
      <c r="X164" s="200"/>
      <c r="Y164" s="200"/>
      <c r="Z164" s="200"/>
      <c r="AA164" s="476"/>
      <c r="AB164" s="200" t="s">
        <v>230</v>
      </c>
      <c r="AC164" s="200"/>
      <c r="AD164" s="200"/>
      <c r="AE164" s="200"/>
      <c r="AF164" s="200"/>
      <c r="AG164" s="200" t="s">
        <v>230</v>
      </c>
      <c r="AH164" s="200"/>
      <c r="AI164" s="200"/>
      <c r="AJ164" s="200"/>
      <c r="AK164" s="476"/>
      <c r="AL164" s="200" t="s">
        <v>230</v>
      </c>
      <c r="AM164" s="200"/>
      <c r="AN164" s="200"/>
      <c r="AO164" s="200"/>
      <c r="AP164" s="476"/>
      <c r="AQ164" s="200" t="s">
        <v>230</v>
      </c>
      <c r="AR164" s="200"/>
      <c r="AS164" s="200"/>
      <c r="AT164" s="200"/>
      <c r="AU164" s="425"/>
      <c r="AV164" s="545" t="s">
        <v>230</v>
      </c>
      <c r="AW164" s="425"/>
      <c r="AX164" s="49"/>
      <c r="AY164" s="296"/>
      <c r="AZ164" s="541"/>
      <c r="BA164" s="554" t="s">
        <v>230</v>
      </c>
      <c r="BB164" s="541"/>
      <c r="BC164" s="49"/>
      <c r="BD164" s="327"/>
      <c r="BE164" s="556"/>
      <c r="BF164" s="557" t="s">
        <v>230</v>
      </c>
      <c r="BG164" s="556"/>
      <c r="BH164" s="49"/>
      <c r="BI164" s="346"/>
      <c r="BJ164" s="558"/>
      <c r="BK164" s="587" t="s">
        <v>230</v>
      </c>
      <c r="BL164" s="558"/>
      <c r="BM164" s="49"/>
      <c r="BN164" s="429"/>
      <c r="BO164" s="485"/>
      <c r="BP164" s="596" t="s">
        <v>230</v>
      </c>
      <c r="BQ164" s="485"/>
      <c r="BR164" s="49"/>
      <c r="BS164" s="353"/>
      <c r="BT164" s="472"/>
      <c r="BU164" s="586" t="s">
        <v>230</v>
      </c>
      <c r="BV164" s="472"/>
      <c r="BW164" s="49"/>
      <c r="BX164" s="368"/>
      <c r="BY164" s="578"/>
      <c r="BZ164" s="593" t="s">
        <v>230</v>
      </c>
      <c r="CA164" s="578"/>
      <c r="CB164" s="49"/>
      <c r="CC164" s="388"/>
      <c r="CD164" s="488"/>
      <c r="CE164" s="595" t="s">
        <v>230</v>
      </c>
      <c r="CF164" s="595"/>
      <c r="CG164" s="49"/>
      <c r="CH164" s="402"/>
      <c r="CI164" s="439"/>
      <c r="CJ164" s="867" t="s">
        <v>230</v>
      </c>
      <c r="CK164" s="439"/>
      <c r="CL164" s="49"/>
      <c r="CM164" s="402"/>
      <c r="CN164" s="439"/>
      <c r="CO164" s="867" t="s">
        <v>230</v>
      </c>
      <c r="CP164" s="672"/>
      <c r="CQ164" s="49"/>
      <c r="CR164" s="419"/>
      <c r="CS164" s="487"/>
      <c r="CT164" s="575" t="s">
        <v>230</v>
      </c>
      <c r="CU164" s="729"/>
      <c r="CV164" s="49"/>
      <c r="CW164" s="453"/>
      <c r="CX164" s="455"/>
      <c r="CY164" s="631"/>
      <c r="CZ164" s="455"/>
      <c r="DA164" s="49"/>
      <c r="DB164" s="457"/>
      <c r="DC164" s="475"/>
      <c r="DD164" s="632"/>
      <c r="DE164" s="475"/>
      <c r="DF164" s="49"/>
      <c r="DG164" s="458"/>
      <c r="DH164" s="459"/>
      <c r="DI164" s="633"/>
      <c r="DJ164" s="459"/>
      <c r="DK164" s="49"/>
      <c r="DL164" s="620"/>
      <c r="DM164" s="637"/>
      <c r="DN164" s="637"/>
      <c r="DO164" s="637"/>
      <c r="DP164" s="49"/>
      <c r="DQ164" s="461"/>
      <c r="DR164" s="462"/>
      <c r="DS164" s="462"/>
      <c r="DT164" s="462"/>
      <c r="DU164" s="49"/>
      <c r="DV164" s="463"/>
      <c r="DW164" s="464"/>
      <c r="DX164" s="464"/>
      <c r="DY164" s="464"/>
      <c r="DZ164" s="49"/>
      <c r="EA164" s="465"/>
      <c r="EB164" s="466"/>
      <c r="EC164" s="426"/>
      <c r="ED164" s="456"/>
      <c r="EE164" s="47"/>
      <c r="EF164" s="16"/>
    </row>
    <row r="165" ht="17.25" customHeight="1">
      <c r="A165" s="16"/>
      <c r="B165" s="47"/>
      <c r="C165" s="170"/>
      <c r="D165" s="171"/>
      <c r="E165" s="49"/>
      <c r="F165" s="200"/>
      <c r="G165" s="200"/>
      <c r="H165" s="200" t="s">
        <v>230</v>
      </c>
      <c r="I165" s="200"/>
      <c r="J165" s="200"/>
      <c r="K165" s="200"/>
      <c r="L165" s="476"/>
      <c r="M165" s="200" t="s">
        <v>230</v>
      </c>
      <c r="N165" s="200"/>
      <c r="O165" s="200"/>
      <c r="P165" s="200"/>
      <c r="Q165" s="476"/>
      <c r="R165" s="200" t="s">
        <v>230</v>
      </c>
      <c r="S165" s="200"/>
      <c r="T165" s="200"/>
      <c r="U165" s="200"/>
      <c r="V165" s="476"/>
      <c r="W165" s="200" t="s">
        <v>230</v>
      </c>
      <c r="X165" s="200"/>
      <c r="Y165" s="200"/>
      <c r="Z165" s="200"/>
      <c r="AA165" s="476"/>
      <c r="AB165" s="200" t="s">
        <v>230</v>
      </c>
      <c r="AC165" s="200"/>
      <c r="AD165" s="200"/>
      <c r="AE165" s="200"/>
      <c r="AF165" s="200"/>
      <c r="AG165" s="200" t="s">
        <v>230</v>
      </c>
      <c r="AH165" s="200"/>
      <c r="AI165" s="200"/>
      <c r="AJ165" s="200"/>
      <c r="AK165" s="476"/>
      <c r="AL165" s="200" t="s">
        <v>230</v>
      </c>
      <c r="AM165" s="200"/>
      <c r="AN165" s="200"/>
      <c r="AO165" s="200"/>
      <c r="AP165" s="476"/>
      <c r="AQ165" s="200" t="s">
        <v>230</v>
      </c>
      <c r="AR165" s="200"/>
      <c r="AS165" s="200"/>
      <c r="AT165" s="200"/>
      <c r="AU165" s="425"/>
      <c r="AV165" s="545" t="s">
        <v>230</v>
      </c>
      <c r="AW165" s="425"/>
      <c r="AX165" s="49"/>
      <c r="AY165" s="296"/>
      <c r="AZ165" s="541"/>
      <c r="BA165" s="554" t="s">
        <v>230</v>
      </c>
      <c r="BB165" s="541"/>
      <c r="BC165" s="49"/>
      <c r="BD165" s="327"/>
      <c r="BE165" s="556"/>
      <c r="BF165" s="557" t="s">
        <v>230</v>
      </c>
      <c r="BG165" s="556"/>
      <c r="BH165" s="49"/>
      <c r="BI165" s="346"/>
      <c r="BJ165" s="558"/>
      <c r="BK165" s="587" t="s">
        <v>230</v>
      </c>
      <c r="BL165" s="558"/>
      <c r="BM165" s="49"/>
      <c r="BN165" s="429"/>
      <c r="BO165" s="485"/>
      <c r="BP165" s="596" t="s">
        <v>230</v>
      </c>
      <c r="BQ165" s="485"/>
      <c r="BR165" s="49"/>
      <c r="BS165" s="353"/>
      <c r="BT165" s="472"/>
      <c r="BU165" s="586" t="s">
        <v>230</v>
      </c>
      <c r="BV165" s="472"/>
      <c r="BW165" s="49"/>
      <c r="BX165" s="368"/>
      <c r="BY165" s="578"/>
      <c r="BZ165" s="593" t="s">
        <v>230</v>
      </c>
      <c r="CA165" s="578"/>
      <c r="CB165" s="49"/>
      <c r="CC165" s="388"/>
      <c r="CD165" s="488"/>
      <c r="CE165" s="595" t="s">
        <v>230</v>
      </c>
      <c r="CF165" s="595"/>
      <c r="CG165" s="49"/>
      <c r="CH165" s="402"/>
      <c r="CI165" s="439"/>
      <c r="CJ165" s="867" t="s">
        <v>230</v>
      </c>
      <c r="CK165" s="439"/>
      <c r="CL165" s="49"/>
      <c r="CM165" s="402"/>
      <c r="CN165" s="439"/>
      <c r="CO165" s="867" t="s">
        <v>230</v>
      </c>
      <c r="CP165" s="672"/>
      <c r="CQ165" s="49"/>
      <c r="CR165" s="419"/>
      <c r="CS165" s="487"/>
      <c r="CT165" s="575" t="s">
        <v>230</v>
      </c>
      <c r="CU165" s="729"/>
      <c r="CV165" s="49"/>
      <c r="CW165" s="453"/>
      <c r="CX165" s="455"/>
      <c r="CY165" s="631"/>
      <c r="CZ165" s="455"/>
      <c r="DA165" s="49"/>
      <c r="DB165" s="457"/>
      <c r="DC165" s="475"/>
      <c r="DD165" s="632"/>
      <c r="DE165" s="475"/>
      <c r="DF165" s="49"/>
      <c r="DG165" s="458"/>
      <c r="DH165" s="459"/>
      <c r="DI165" s="633"/>
      <c r="DJ165" s="459"/>
      <c r="DK165" s="49"/>
      <c r="DL165" s="620"/>
      <c r="DM165" s="637"/>
      <c r="DN165" s="637"/>
      <c r="DO165" s="637"/>
      <c r="DP165" s="49"/>
      <c r="DQ165" s="461"/>
      <c r="DR165" s="462"/>
      <c r="DS165" s="462"/>
      <c r="DT165" s="462"/>
      <c r="DU165" s="49"/>
      <c r="DV165" s="463"/>
      <c r="DW165" s="464"/>
      <c r="DX165" s="464"/>
      <c r="DY165" s="464"/>
      <c r="DZ165" s="49"/>
      <c r="EA165" s="465"/>
      <c r="EB165" s="466"/>
      <c r="EC165" s="426"/>
      <c r="ED165" s="456"/>
      <c r="EE165" s="47"/>
      <c r="EF165" s="16"/>
    </row>
    <row r="166" ht="17.25" customHeight="1">
      <c r="A166" s="16"/>
      <c r="B166" s="47"/>
      <c r="C166" s="170"/>
      <c r="D166" s="171"/>
      <c r="E166" s="49"/>
      <c r="F166" s="200"/>
      <c r="G166" s="200"/>
      <c r="H166" s="200" t="s">
        <v>230</v>
      </c>
      <c r="I166" s="200"/>
      <c r="J166" s="200"/>
      <c r="K166" s="200"/>
      <c r="L166" s="476"/>
      <c r="M166" s="200" t="s">
        <v>230</v>
      </c>
      <c r="N166" s="200"/>
      <c r="O166" s="200"/>
      <c r="P166" s="200"/>
      <c r="Q166" s="476"/>
      <c r="R166" s="200" t="s">
        <v>230</v>
      </c>
      <c r="S166" s="200"/>
      <c r="T166" s="200"/>
      <c r="U166" s="200"/>
      <c r="V166" s="476"/>
      <c r="W166" s="200" t="s">
        <v>230</v>
      </c>
      <c r="X166" s="200"/>
      <c r="Y166" s="200"/>
      <c r="Z166" s="200"/>
      <c r="AA166" s="476"/>
      <c r="AB166" s="200" t="s">
        <v>230</v>
      </c>
      <c r="AC166" s="200"/>
      <c r="AD166" s="200"/>
      <c r="AE166" s="200"/>
      <c r="AF166" s="200"/>
      <c r="AG166" s="200" t="s">
        <v>230</v>
      </c>
      <c r="AH166" s="200"/>
      <c r="AI166" s="200"/>
      <c r="AJ166" s="200"/>
      <c r="AK166" s="476"/>
      <c r="AL166" s="200" t="s">
        <v>230</v>
      </c>
      <c r="AM166" s="200"/>
      <c r="AN166" s="200"/>
      <c r="AO166" s="200"/>
      <c r="AP166" s="476"/>
      <c r="AQ166" s="200" t="s">
        <v>230</v>
      </c>
      <c r="AR166" s="200"/>
      <c r="AS166" s="200"/>
      <c r="AT166" s="200"/>
      <c r="AU166" s="425"/>
      <c r="AV166" s="545" t="s">
        <v>230</v>
      </c>
      <c r="AW166" s="425"/>
      <c r="AX166" s="49"/>
      <c r="AY166" s="296"/>
      <c r="AZ166" s="541"/>
      <c r="BA166" s="554" t="s">
        <v>230</v>
      </c>
      <c r="BB166" s="541"/>
      <c r="BC166" s="49"/>
      <c r="BD166" s="327"/>
      <c r="BE166" s="556"/>
      <c r="BF166" s="557" t="s">
        <v>230</v>
      </c>
      <c r="BG166" s="556"/>
      <c r="BH166" s="49"/>
      <c r="BI166" s="346"/>
      <c r="BJ166" s="558"/>
      <c r="BK166" s="587" t="s">
        <v>230</v>
      </c>
      <c r="BL166" s="558"/>
      <c r="BM166" s="49"/>
      <c r="BN166" s="429"/>
      <c r="BO166" s="485"/>
      <c r="BP166" s="596" t="s">
        <v>230</v>
      </c>
      <c r="BQ166" s="485"/>
      <c r="BR166" s="49"/>
      <c r="BS166" s="353"/>
      <c r="BT166" s="472"/>
      <c r="BU166" s="586" t="s">
        <v>230</v>
      </c>
      <c r="BV166" s="472"/>
      <c r="BW166" s="49"/>
      <c r="BX166" s="368"/>
      <c r="BY166" s="578"/>
      <c r="BZ166" s="593" t="s">
        <v>230</v>
      </c>
      <c r="CA166" s="578"/>
      <c r="CB166" s="49"/>
      <c r="CC166" s="388"/>
      <c r="CD166" s="488"/>
      <c r="CE166" s="595" t="s">
        <v>230</v>
      </c>
      <c r="CF166" s="595"/>
      <c r="CG166" s="49"/>
      <c r="CH166" s="402"/>
      <c r="CI166" s="439"/>
      <c r="CJ166" s="867" t="s">
        <v>230</v>
      </c>
      <c r="CK166" s="439"/>
      <c r="CL166" s="49"/>
      <c r="CM166" s="402"/>
      <c r="CN166" s="439"/>
      <c r="CO166" s="867" t="s">
        <v>230</v>
      </c>
      <c r="CP166" s="672"/>
      <c r="CQ166" s="49"/>
      <c r="CR166" s="419"/>
      <c r="CS166" s="487"/>
      <c r="CT166" s="575" t="s">
        <v>230</v>
      </c>
      <c r="CU166" s="729"/>
      <c r="CV166" s="49"/>
      <c r="CW166" s="453"/>
      <c r="CX166" s="455"/>
      <c r="CY166" s="631"/>
      <c r="CZ166" s="455"/>
      <c r="DA166" s="49"/>
      <c r="DB166" s="457"/>
      <c r="DC166" s="475"/>
      <c r="DD166" s="632"/>
      <c r="DE166" s="475"/>
      <c r="DF166" s="49"/>
      <c r="DG166" s="458"/>
      <c r="DH166" s="459"/>
      <c r="DI166" s="633"/>
      <c r="DJ166" s="459"/>
      <c r="DK166" s="49"/>
      <c r="DL166" s="620"/>
      <c r="DM166" s="637"/>
      <c r="DN166" s="637"/>
      <c r="DO166" s="637"/>
      <c r="DP166" s="49"/>
      <c r="DQ166" s="461"/>
      <c r="DR166" s="462"/>
      <c r="DS166" s="462"/>
      <c r="DT166" s="462"/>
      <c r="DU166" s="49"/>
      <c r="DV166" s="463"/>
      <c r="DW166" s="464"/>
      <c r="DX166" s="464"/>
      <c r="DY166" s="464"/>
      <c r="DZ166" s="49"/>
      <c r="EA166" s="465"/>
      <c r="EB166" s="466"/>
      <c r="EC166" s="426"/>
      <c r="ED166" s="456"/>
      <c r="EE166" s="47"/>
      <c r="EF166" s="16"/>
    </row>
    <row r="167" ht="17.25" customHeight="1">
      <c r="A167" s="16"/>
      <c r="B167" s="47"/>
      <c r="C167" s="170"/>
      <c r="D167" s="171"/>
      <c r="E167" s="49"/>
      <c r="F167" s="200"/>
      <c r="G167" s="200"/>
      <c r="H167" s="200" t="s">
        <v>230</v>
      </c>
      <c r="I167" s="200"/>
      <c r="J167" s="200"/>
      <c r="K167" s="200"/>
      <c r="L167" s="476"/>
      <c r="M167" s="200" t="s">
        <v>230</v>
      </c>
      <c r="N167" s="200"/>
      <c r="O167" s="200"/>
      <c r="P167" s="200"/>
      <c r="Q167" s="476"/>
      <c r="R167" s="200" t="s">
        <v>230</v>
      </c>
      <c r="S167" s="200"/>
      <c r="T167" s="200"/>
      <c r="U167" s="200"/>
      <c r="V167" s="476"/>
      <c r="W167" s="200" t="s">
        <v>230</v>
      </c>
      <c r="X167" s="200"/>
      <c r="Y167" s="200"/>
      <c r="Z167" s="200"/>
      <c r="AA167" s="476"/>
      <c r="AB167" s="200" t="s">
        <v>230</v>
      </c>
      <c r="AC167" s="200"/>
      <c r="AD167" s="200"/>
      <c r="AE167" s="200"/>
      <c r="AF167" s="200"/>
      <c r="AG167" s="200" t="s">
        <v>230</v>
      </c>
      <c r="AH167" s="200"/>
      <c r="AI167" s="200"/>
      <c r="AJ167" s="200"/>
      <c r="AK167" s="476"/>
      <c r="AL167" s="200" t="s">
        <v>230</v>
      </c>
      <c r="AM167" s="200"/>
      <c r="AN167" s="200"/>
      <c r="AO167" s="200"/>
      <c r="AP167" s="476"/>
      <c r="AQ167" s="200" t="s">
        <v>230</v>
      </c>
      <c r="AR167" s="200"/>
      <c r="AS167" s="200"/>
      <c r="AT167" s="200"/>
      <c r="AU167" s="425"/>
      <c r="AV167" s="545" t="s">
        <v>230</v>
      </c>
      <c r="AW167" s="425"/>
      <c r="AX167" s="49"/>
      <c r="AY167" s="296"/>
      <c r="AZ167" s="541"/>
      <c r="BA167" s="554" t="s">
        <v>230</v>
      </c>
      <c r="BB167" s="541"/>
      <c r="BC167" s="49"/>
      <c r="BD167" s="327"/>
      <c r="BE167" s="556"/>
      <c r="BF167" s="557" t="s">
        <v>230</v>
      </c>
      <c r="BG167" s="556"/>
      <c r="BH167" s="49"/>
      <c r="BI167" s="346"/>
      <c r="BJ167" s="558"/>
      <c r="BK167" s="587" t="s">
        <v>230</v>
      </c>
      <c r="BL167" s="558"/>
      <c r="BM167" s="49"/>
      <c r="BN167" s="429"/>
      <c r="BO167" s="485"/>
      <c r="BP167" s="596" t="s">
        <v>230</v>
      </c>
      <c r="BQ167" s="485"/>
      <c r="BR167" s="49"/>
      <c r="BS167" s="353"/>
      <c r="BT167" s="472"/>
      <c r="BU167" s="586" t="s">
        <v>230</v>
      </c>
      <c r="BV167" s="472"/>
      <c r="BW167" s="49"/>
      <c r="BX167" s="368"/>
      <c r="BY167" s="578"/>
      <c r="BZ167" s="593" t="s">
        <v>230</v>
      </c>
      <c r="CA167" s="578"/>
      <c r="CB167" s="49"/>
      <c r="CC167" s="388"/>
      <c r="CD167" s="488"/>
      <c r="CE167" s="595" t="s">
        <v>230</v>
      </c>
      <c r="CF167" s="595"/>
      <c r="CG167" s="49"/>
      <c r="CH167" s="402"/>
      <c r="CI167" s="439"/>
      <c r="CJ167" s="867" t="s">
        <v>230</v>
      </c>
      <c r="CK167" s="439"/>
      <c r="CL167" s="49"/>
      <c r="CM167" s="402"/>
      <c r="CN167" s="439"/>
      <c r="CO167" s="867" t="s">
        <v>230</v>
      </c>
      <c r="CP167" s="672"/>
      <c r="CQ167" s="49"/>
      <c r="CR167" s="419"/>
      <c r="CS167" s="487"/>
      <c r="CT167" s="575" t="s">
        <v>230</v>
      </c>
      <c r="CU167" s="729"/>
      <c r="CV167" s="49"/>
      <c r="CW167" s="453"/>
      <c r="CX167" s="455"/>
      <c r="CY167" s="631"/>
      <c r="CZ167" s="455"/>
      <c r="DA167" s="49"/>
      <c r="DB167" s="457"/>
      <c r="DC167" s="475"/>
      <c r="DD167" s="632"/>
      <c r="DE167" s="475"/>
      <c r="DF167" s="49"/>
      <c r="DG167" s="458"/>
      <c r="DH167" s="459"/>
      <c r="DI167" s="633"/>
      <c r="DJ167" s="459"/>
      <c r="DK167" s="49"/>
      <c r="DL167" s="620"/>
      <c r="DM167" s="637"/>
      <c r="DN167" s="637"/>
      <c r="DO167" s="637"/>
      <c r="DP167" s="49"/>
      <c r="DQ167" s="461"/>
      <c r="DR167" s="462"/>
      <c r="DS167" s="462"/>
      <c r="DT167" s="462"/>
      <c r="DU167" s="49"/>
      <c r="DV167" s="463"/>
      <c r="DW167" s="464"/>
      <c r="DX167" s="464"/>
      <c r="DY167" s="464"/>
      <c r="DZ167" s="49"/>
      <c r="EA167" s="465"/>
      <c r="EB167" s="466"/>
      <c r="EC167" s="426"/>
      <c r="ED167" s="456"/>
      <c r="EE167" s="47"/>
      <c r="EF167" s="16"/>
    </row>
    <row r="168" ht="17.25" customHeight="1">
      <c r="A168" s="16"/>
      <c r="B168" s="47"/>
      <c r="C168" s="170"/>
      <c r="D168" s="171"/>
      <c r="E168" s="49"/>
      <c r="F168" s="200"/>
      <c r="G168" s="200"/>
      <c r="H168" s="200" t="s">
        <v>230</v>
      </c>
      <c r="I168" s="200"/>
      <c r="J168" s="200"/>
      <c r="K168" s="200"/>
      <c r="L168" s="476"/>
      <c r="M168" s="200" t="s">
        <v>230</v>
      </c>
      <c r="N168" s="200"/>
      <c r="O168" s="200"/>
      <c r="P168" s="200"/>
      <c r="Q168" s="476"/>
      <c r="R168" s="200" t="s">
        <v>230</v>
      </c>
      <c r="S168" s="200"/>
      <c r="T168" s="200"/>
      <c r="U168" s="200"/>
      <c r="V168" s="476"/>
      <c r="W168" s="200" t="s">
        <v>230</v>
      </c>
      <c r="X168" s="200"/>
      <c r="Y168" s="200"/>
      <c r="Z168" s="200"/>
      <c r="AA168" s="476"/>
      <c r="AB168" s="200" t="s">
        <v>230</v>
      </c>
      <c r="AC168" s="200"/>
      <c r="AD168" s="200"/>
      <c r="AE168" s="200"/>
      <c r="AF168" s="200"/>
      <c r="AG168" s="200" t="s">
        <v>230</v>
      </c>
      <c r="AH168" s="200"/>
      <c r="AI168" s="200"/>
      <c r="AJ168" s="200"/>
      <c r="AK168" s="476"/>
      <c r="AL168" s="200" t="s">
        <v>230</v>
      </c>
      <c r="AM168" s="200"/>
      <c r="AN168" s="200"/>
      <c r="AO168" s="200"/>
      <c r="AP168" s="476"/>
      <c r="AQ168" s="200" t="s">
        <v>230</v>
      </c>
      <c r="AR168" s="200"/>
      <c r="AS168" s="200"/>
      <c r="AT168" s="200"/>
      <c r="AU168" s="425"/>
      <c r="AV168" s="545" t="s">
        <v>230</v>
      </c>
      <c r="AW168" s="425"/>
      <c r="AX168" s="49"/>
      <c r="AY168" s="296"/>
      <c r="AZ168" s="541"/>
      <c r="BA168" s="554" t="s">
        <v>230</v>
      </c>
      <c r="BB168" s="541"/>
      <c r="BC168" s="49"/>
      <c r="BD168" s="327"/>
      <c r="BE168" s="556"/>
      <c r="BF168" s="557" t="s">
        <v>230</v>
      </c>
      <c r="BG168" s="556"/>
      <c r="BH168" s="49"/>
      <c r="BI168" s="346"/>
      <c r="BJ168" s="558"/>
      <c r="BK168" s="587" t="s">
        <v>230</v>
      </c>
      <c r="BL168" s="558"/>
      <c r="BM168" s="49"/>
      <c r="BN168" s="429"/>
      <c r="BO168" s="485"/>
      <c r="BP168" s="596" t="s">
        <v>230</v>
      </c>
      <c r="BQ168" s="485"/>
      <c r="BR168" s="49"/>
      <c r="BS168" s="353"/>
      <c r="BT168" s="472"/>
      <c r="BU168" s="586" t="s">
        <v>230</v>
      </c>
      <c r="BV168" s="472"/>
      <c r="BW168" s="49"/>
      <c r="BX168" s="368"/>
      <c r="BY168" s="578"/>
      <c r="BZ168" s="593" t="s">
        <v>230</v>
      </c>
      <c r="CA168" s="578"/>
      <c r="CB168" s="49"/>
      <c r="CC168" s="388"/>
      <c r="CD168" s="488"/>
      <c r="CE168" s="595" t="s">
        <v>230</v>
      </c>
      <c r="CF168" s="595"/>
      <c r="CG168" s="49"/>
      <c r="CH168" s="402"/>
      <c r="CI168" s="439"/>
      <c r="CJ168" s="867" t="s">
        <v>230</v>
      </c>
      <c r="CK168" s="439"/>
      <c r="CL168" s="49"/>
      <c r="CM168" s="402"/>
      <c r="CN168" s="439"/>
      <c r="CO168" s="867" t="s">
        <v>230</v>
      </c>
      <c r="CP168" s="672"/>
      <c r="CQ168" s="49"/>
      <c r="CR168" s="419"/>
      <c r="CS168" s="487"/>
      <c r="CT168" s="575" t="s">
        <v>230</v>
      </c>
      <c r="CU168" s="729"/>
      <c r="CV168" s="49"/>
      <c r="CW168" s="453"/>
      <c r="CX168" s="455"/>
      <c r="CY168" s="631"/>
      <c r="CZ168" s="455"/>
      <c r="DA168" s="49"/>
      <c r="DB168" s="457"/>
      <c r="DC168" s="475"/>
      <c r="DD168" s="632"/>
      <c r="DE168" s="475"/>
      <c r="DF168" s="49"/>
      <c r="DG168" s="458"/>
      <c r="DH168" s="459"/>
      <c r="DI168" s="633"/>
      <c r="DJ168" s="459"/>
      <c r="DK168" s="49"/>
      <c r="DL168" s="620"/>
      <c r="DM168" s="637"/>
      <c r="DN168" s="637"/>
      <c r="DO168" s="637"/>
      <c r="DP168" s="49"/>
      <c r="DQ168" s="461"/>
      <c r="DR168" s="462"/>
      <c r="DS168" s="462"/>
      <c r="DT168" s="462"/>
      <c r="DU168" s="49"/>
      <c r="DV168" s="463"/>
      <c r="DW168" s="464"/>
      <c r="DX168" s="464"/>
      <c r="DY168" s="464"/>
      <c r="DZ168" s="49"/>
      <c r="EA168" s="465"/>
      <c r="EB168" s="466"/>
      <c r="EC168" s="426"/>
      <c r="ED168" s="456"/>
      <c r="EE168" s="47"/>
      <c r="EF168" s="16"/>
    </row>
    <row r="169" ht="17.25" customHeight="1">
      <c r="A169" s="16"/>
      <c r="B169" s="47"/>
      <c r="C169" s="170"/>
      <c r="D169" s="171"/>
      <c r="E169" s="49"/>
      <c r="F169" s="200"/>
      <c r="G169" s="200"/>
      <c r="H169" s="200" t="s">
        <v>230</v>
      </c>
      <c r="I169" s="200"/>
      <c r="J169" s="200"/>
      <c r="K169" s="200"/>
      <c r="L169" s="476"/>
      <c r="M169" s="200" t="s">
        <v>230</v>
      </c>
      <c r="N169" s="200"/>
      <c r="O169" s="200"/>
      <c r="P169" s="200"/>
      <c r="Q169" s="476"/>
      <c r="R169" s="200" t="s">
        <v>230</v>
      </c>
      <c r="S169" s="200"/>
      <c r="T169" s="200"/>
      <c r="U169" s="200"/>
      <c r="V169" s="476"/>
      <c r="W169" s="200" t="s">
        <v>230</v>
      </c>
      <c r="X169" s="200"/>
      <c r="Y169" s="200"/>
      <c r="Z169" s="200"/>
      <c r="AA169" s="476"/>
      <c r="AB169" s="200" t="s">
        <v>230</v>
      </c>
      <c r="AC169" s="200"/>
      <c r="AD169" s="200"/>
      <c r="AE169" s="200"/>
      <c r="AF169" s="200"/>
      <c r="AG169" s="200" t="s">
        <v>230</v>
      </c>
      <c r="AH169" s="200"/>
      <c r="AI169" s="200"/>
      <c r="AJ169" s="200"/>
      <c r="AK169" s="476"/>
      <c r="AL169" s="200" t="s">
        <v>230</v>
      </c>
      <c r="AM169" s="200"/>
      <c r="AN169" s="200"/>
      <c r="AO169" s="200"/>
      <c r="AP169" s="476"/>
      <c r="AQ169" s="200" t="s">
        <v>230</v>
      </c>
      <c r="AR169" s="200"/>
      <c r="AS169" s="200"/>
      <c r="AT169" s="200"/>
      <c r="AU169" s="425"/>
      <c r="AV169" s="545" t="s">
        <v>230</v>
      </c>
      <c r="AW169" s="425"/>
      <c r="AX169" s="49"/>
      <c r="AY169" s="296"/>
      <c r="AZ169" s="541"/>
      <c r="BA169" s="554" t="s">
        <v>230</v>
      </c>
      <c r="BB169" s="541"/>
      <c r="BC169" s="49"/>
      <c r="BD169" s="327"/>
      <c r="BE169" s="556"/>
      <c r="BF169" s="557" t="s">
        <v>230</v>
      </c>
      <c r="BG169" s="556"/>
      <c r="BH169" s="49"/>
      <c r="BI169" s="346"/>
      <c r="BJ169" s="558"/>
      <c r="BK169" s="587" t="s">
        <v>230</v>
      </c>
      <c r="BL169" s="558"/>
      <c r="BM169" s="49"/>
      <c r="BN169" s="429"/>
      <c r="BO169" s="485"/>
      <c r="BP169" s="596" t="s">
        <v>230</v>
      </c>
      <c r="BQ169" s="485"/>
      <c r="BR169" s="49"/>
      <c r="BS169" s="353"/>
      <c r="BT169" s="472"/>
      <c r="BU169" s="586" t="s">
        <v>230</v>
      </c>
      <c r="BV169" s="472"/>
      <c r="BW169" s="49"/>
      <c r="BX169" s="368"/>
      <c r="BY169" s="578"/>
      <c r="BZ169" s="593" t="s">
        <v>230</v>
      </c>
      <c r="CA169" s="578"/>
      <c r="CB169" s="49"/>
      <c r="CC169" s="388"/>
      <c r="CD169" s="488"/>
      <c r="CE169" s="595" t="s">
        <v>230</v>
      </c>
      <c r="CF169" s="595"/>
      <c r="CG169" s="49"/>
      <c r="CH169" s="402"/>
      <c r="CI169" s="439"/>
      <c r="CJ169" s="867" t="s">
        <v>230</v>
      </c>
      <c r="CK169" s="439"/>
      <c r="CL169" s="49"/>
      <c r="CM169" s="402"/>
      <c r="CN169" s="439"/>
      <c r="CO169" s="867" t="s">
        <v>230</v>
      </c>
      <c r="CP169" s="672"/>
      <c r="CQ169" s="49"/>
      <c r="CR169" s="419"/>
      <c r="CS169" s="487"/>
      <c r="CT169" s="575" t="s">
        <v>230</v>
      </c>
      <c r="CU169" s="729"/>
      <c r="CV169" s="49"/>
      <c r="CW169" s="453"/>
      <c r="CX169" s="455"/>
      <c r="CY169" s="631"/>
      <c r="CZ169" s="455"/>
      <c r="DA169" s="49"/>
      <c r="DB169" s="457"/>
      <c r="DC169" s="475"/>
      <c r="DD169" s="632"/>
      <c r="DE169" s="475"/>
      <c r="DF169" s="49"/>
      <c r="DG169" s="458"/>
      <c r="DH169" s="459"/>
      <c r="DI169" s="633"/>
      <c r="DJ169" s="459"/>
      <c r="DK169" s="49"/>
      <c r="DL169" s="620"/>
      <c r="DM169" s="637"/>
      <c r="DN169" s="637"/>
      <c r="DO169" s="637"/>
      <c r="DP169" s="49"/>
      <c r="DQ169" s="461"/>
      <c r="DR169" s="462"/>
      <c r="DS169" s="462"/>
      <c r="DT169" s="462"/>
      <c r="DU169" s="49"/>
      <c r="DV169" s="463"/>
      <c r="DW169" s="464"/>
      <c r="DX169" s="464"/>
      <c r="DY169" s="464"/>
      <c r="DZ169" s="49"/>
      <c r="EA169" s="465"/>
      <c r="EB169" s="466"/>
      <c r="EC169" s="426"/>
      <c r="ED169" s="456"/>
      <c r="EE169" s="47"/>
      <c r="EF169" s="16"/>
    </row>
    <row r="170" ht="17.25" customHeight="1">
      <c r="A170" s="16"/>
      <c r="B170" s="47"/>
      <c r="C170" s="170"/>
      <c r="D170" s="171"/>
      <c r="E170" s="49"/>
      <c r="F170" s="200"/>
      <c r="G170" s="200"/>
      <c r="H170" s="200" t="s">
        <v>230</v>
      </c>
      <c r="I170" s="200"/>
      <c r="J170" s="200"/>
      <c r="K170" s="200"/>
      <c r="L170" s="476"/>
      <c r="M170" s="200" t="s">
        <v>230</v>
      </c>
      <c r="N170" s="200"/>
      <c r="O170" s="200"/>
      <c r="P170" s="200"/>
      <c r="Q170" s="476"/>
      <c r="R170" s="200" t="s">
        <v>230</v>
      </c>
      <c r="S170" s="200"/>
      <c r="T170" s="200"/>
      <c r="U170" s="200"/>
      <c r="V170" s="476"/>
      <c r="W170" s="200" t="s">
        <v>230</v>
      </c>
      <c r="X170" s="200"/>
      <c r="Y170" s="200"/>
      <c r="Z170" s="200"/>
      <c r="AA170" s="476"/>
      <c r="AB170" s="200" t="s">
        <v>230</v>
      </c>
      <c r="AC170" s="200"/>
      <c r="AD170" s="200"/>
      <c r="AE170" s="200"/>
      <c r="AF170" s="200"/>
      <c r="AG170" s="200" t="s">
        <v>230</v>
      </c>
      <c r="AH170" s="200"/>
      <c r="AI170" s="200"/>
      <c r="AJ170" s="200"/>
      <c r="AK170" s="476"/>
      <c r="AL170" s="200" t="s">
        <v>230</v>
      </c>
      <c r="AM170" s="200"/>
      <c r="AN170" s="200"/>
      <c r="AO170" s="200"/>
      <c r="AP170" s="476"/>
      <c r="AQ170" s="200" t="s">
        <v>230</v>
      </c>
      <c r="AR170" s="200"/>
      <c r="AS170" s="200"/>
      <c r="AT170" s="200"/>
      <c r="AU170" s="425"/>
      <c r="AV170" s="545" t="s">
        <v>230</v>
      </c>
      <c r="AW170" s="425"/>
      <c r="AX170" s="49"/>
      <c r="AY170" s="296"/>
      <c r="AZ170" s="541"/>
      <c r="BA170" s="554" t="s">
        <v>230</v>
      </c>
      <c r="BB170" s="541"/>
      <c r="BC170" s="49"/>
      <c r="BD170" s="327"/>
      <c r="BE170" s="556"/>
      <c r="BF170" s="557" t="s">
        <v>230</v>
      </c>
      <c r="BG170" s="556"/>
      <c r="BH170" s="49"/>
      <c r="BI170" s="346"/>
      <c r="BJ170" s="558"/>
      <c r="BK170" s="587" t="s">
        <v>230</v>
      </c>
      <c r="BL170" s="558"/>
      <c r="BM170" s="49"/>
      <c r="BN170" s="429"/>
      <c r="BO170" s="485"/>
      <c r="BP170" s="596" t="s">
        <v>230</v>
      </c>
      <c r="BQ170" s="485"/>
      <c r="BR170" s="49"/>
      <c r="BS170" s="353"/>
      <c r="BT170" s="472"/>
      <c r="BU170" s="586" t="s">
        <v>230</v>
      </c>
      <c r="BV170" s="472"/>
      <c r="BW170" s="49"/>
      <c r="BX170" s="368"/>
      <c r="BY170" s="578"/>
      <c r="BZ170" s="593" t="s">
        <v>230</v>
      </c>
      <c r="CA170" s="578"/>
      <c r="CB170" s="49"/>
      <c r="CC170" s="388"/>
      <c r="CD170" s="488"/>
      <c r="CE170" s="595" t="s">
        <v>230</v>
      </c>
      <c r="CF170" s="595"/>
      <c r="CG170" s="49"/>
      <c r="CH170" s="402"/>
      <c r="CI170" s="439"/>
      <c r="CJ170" s="867" t="s">
        <v>230</v>
      </c>
      <c r="CK170" s="439"/>
      <c r="CL170" s="49"/>
      <c r="CM170" s="402"/>
      <c r="CN170" s="439"/>
      <c r="CO170" s="867" t="s">
        <v>230</v>
      </c>
      <c r="CP170" s="672"/>
      <c r="CQ170" s="49"/>
      <c r="CR170" s="419"/>
      <c r="CS170" s="487"/>
      <c r="CT170" s="575" t="s">
        <v>230</v>
      </c>
      <c r="CU170" s="729"/>
      <c r="CV170" s="49"/>
      <c r="CW170" s="453"/>
      <c r="CX170" s="455"/>
      <c r="CY170" s="631"/>
      <c r="CZ170" s="455"/>
      <c r="DA170" s="49"/>
      <c r="DB170" s="457"/>
      <c r="DC170" s="475"/>
      <c r="DD170" s="632"/>
      <c r="DE170" s="475"/>
      <c r="DF170" s="49"/>
      <c r="DG170" s="458"/>
      <c r="DH170" s="459"/>
      <c r="DI170" s="633"/>
      <c r="DJ170" s="459"/>
      <c r="DK170" s="49"/>
      <c r="DL170" s="620"/>
      <c r="DM170" s="637"/>
      <c r="DN170" s="637"/>
      <c r="DO170" s="637"/>
      <c r="DP170" s="49"/>
      <c r="DQ170" s="461"/>
      <c r="DR170" s="462"/>
      <c r="DS170" s="462"/>
      <c r="DT170" s="462"/>
      <c r="DU170" s="49"/>
      <c r="DV170" s="463"/>
      <c r="DW170" s="464"/>
      <c r="DX170" s="464"/>
      <c r="DY170" s="464"/>
      <c r="DZ170" s="49"/>
      <c r="EA170" s="465"/>
      <c r="EB170" s="466"/>
      <c r="EC170" s="426"/>
      <c r="ED170" s="456"/>
      <c r="EE170" s="47"/>
      <c r="EF170" s="16"/>
    </row>
    <row r="171" ht="17.25" customHeight="1">
      <c r="A171" s="16"/>
      <c r="B171" s="47"/>
      <c r="C171" s="170"/>
      <c r="D171" s="171"/>
      <c r="E171" s="49"/>
      <c r="F171" s="200"/>
      <c r="G171" s="200"/>
      <c r="H171" s="200" t="s">
        <v>230</v>
      </c>
      <c r="I171" s="200"/>
      <c r="J171" s="200"/>
      <c r="K171" s="200"/>
      <c r="L171" s="476"/>
      <c r="M171" s="200" t="s">
        <v>230</v>
      </c>
      <c r="N171" s="200"/>
      <c r="O171" s="200"/>
      <c r="P171" s="200"/>
      <c r="Q171" s="476"/>
      <c r="R171" s="200" t="s">
        <v>230</v>
      </c>
      <c r="S171" s="200"/>
      <c r="T171" s="200"/>
      <c r="U171" s="200"/>
      <c r="V171" s="476"/>
      <c r="W171" s="200" t="s">
        <v>230</v>
      </c>
      <c r="X171" s="200"/>
      <c r="Y171" s="200"/>
      <c r="Z171" s="200"/>
      <c r="AA171" s="476"/>
      <c r="AB171" s="200" t="s">
        <v>230</v>
      </c>
      <c r="AC171" s="200"/>
      <c r="AD171" s="200"/>
      <c r="AE171" s="200"/>
      <c r="AF171" s="200"/>
      <c r="AG171" s="200" t="s">
        <v>230</v>
      </c>
      <c r="AH171" s="200"/>
      <c r="AI171" s="200"/>
      <c r="AJ171" s="200"/>
      <c r="AK171" s="476"/>
      <c r="AL171" s="200" t="s">
        <v>230</v>
      </c>
      <c r="AM171" s="200"/>
      <c r="AN171" s="200"/>
      <c r="AO171" s="200"/>
      <c r="AP171" s="476"/>
      <c r="AQ171" s="200" t="s">
        <v>230</v>
      </c>
      <c r="AR171" s="200"/>
      <c r="AS171" s="200"/>
      <c r="AT171" s="200"/>
      <c r="AU171" s="425"/>
      <c r="AV171" s="545" t="s">
        <v>230</v>
      </c>
      <c r="AW171" s="425"/>
      <c r="AX171" s="49"/>
      <c r="AY171" s="296"/>
      <c r="AZ171" s="541"/>
      <c r="BA171" s="554" t="s">
        <v>230</v>
      </c>
      <c r="BB171" s="541"/>
      <c r="BC171" s="49"/>
      <c r="BD171" s="327"/>
      <c r="BE171" s="556"/>
      <c r="BF171" s="557" t="s">
        <v>230</v>
      </c>
      <c r="BG171" s="556"/>
      <c r="BH171" s="49"/>
      <c r="BI171" s="346"/>
      <c r="BJ171" s="558"/>
      <c r="BK171" s="587" t="s">
        <v>230</v>
      </c>
      <c r="BL171" s="558"/>
      <c r="BM171" s="49"/>
      <c r="BN171" s="429"/>
      <c r="BO171" s="485"/>
      <c r="BP171" s="596" t="s">
        <v>230</v>
      </c>
      <c r="BQ171" s="485"/>
      <c r="BR171" s="49"/>
      <c r="BS171" s="353"/>
      <c r="BT171" s="472"/>
      <c r="BU171" s="586" t="s">
        <v>230</v>
      </c>
      <c r="BV171" s="472"/>
      <c r="BW171" s="49"/>
      <c r="BX171" s="368"/>
      <c r="BY171" s="578"/>
      <c r="BZ171" s="593" t="s">
        <v>230</v>
      </c>
      <c r="CA171" s="578"/>
      <c r="CB171" s="49"/>
      <c r="CC171" s="388"/>
      <c r="CD171" s="488"/>
      <c r="CE171" s="595" t="s">
        <v>230</v>
      </c>
      <c r="CF171" s="595"/>
      <c r="CG171" s="49"/>
      <c r="CH171" s="402"/>
      <c r="CI171" s="439"/>
      <c r="CJ171" s="867" t="s">
        <v>230</v>
      </c>
      <c r="CK171" s="439"/>
      <c r="CL171" s="49"/>
      <c r="CM171" s="402"/>
      <c r="CN171" s="439"/>
      <c r="CO171" s="867" t="s">
        <v>230</v>
      </c>
      <c r="CP171" s="672"/>
      <c r="CQ171" s="49"/>
      <c r="CR171" s="419"/>
      <c r="CS171" s="487"/>
      <c r="CT171" s="575" t="s">
        <v>230</v>
      </c>
      <c r="CU171" s="729"/>
      <c r="CV171" s="49"/>
      <c r="CW171" s="453"/>
      <c r="CX171" s="455"/>
      <c r="CY171" s="631"/>
      <c r="CZ171" s="455"/>
      <c r="DA171" s="49"/>
      <c r="DB171" s="457"/>
      <c r="DC171" s="475"/>
      <c r="DD171" s="632"/>
      <c r="DE171" s="475"/>
      <c r="DF171" s="49"/>
      <c r="DG171" s="458"/>
      <c r="DH171" s="459"/>
      <c r="DI171" s="633"/>
      <c r="DJ171" s="459"/>
      <c r="DK171" s="49"/>
      <c r="DL171" s="620"/>
      <c r="DM171" s="637"/>
      <c r="DN171" s="637"/>
      <c r="DO171" s="637"/>
      <c r="DP171" s="49"/>
      <c r="DQ171" s="461"/>
      <c r="DR171" s="462"/>
      <c r="DS171" s="462"/>
      <c r="DT171" s="462"/>
      <c r="DU171" s="49"/>
      <c r="DV171" s="463"/>
      <c r="DW171" s="464"/>
      <c r="DX171" s="464"/>
      <c r="DY171" s="464"/>
      <c r="DZ171" s="49"/>
      <c r="EA171" s="465"/>
      <c r="EB171" s="466"/>
      <c r="EC171" s="426"/>
      <c r="ED171" s="456"/>
      <c r="EE171" s="47"/>
      <c r="EF171" s="16"/>
    </row>
    <row r="172" ht="17.25" customHeight="1">
      <c r="A172" s="16"/>
      <c r="B172" s="47"/>
      <c r="C172" s="170"/>
      <c r="D172" s="171"/>
      <c r="E172" s="49"/>
      <c r="F172" s="200"/>
      <c r="G172" s="200"/>
      <c r="H172" s="200" t="s">
        <v>230</v>
      </c>
      <c r="I172" s="200"/>
      <c r="J172" s="200"/>
      <c r="K172" s="200"/>
      <c r="L172" s="476"/>
      <c r="M172" s="200" t="s">
        <v>230</v>
      </c>
      <c r="N172" s="200"/>
      <c r="O172" s="200"/>
      <c r="P172" s="200"/>
      <c r="Q172" s="476"/>
      <c r="R172" s="200" t="s">
        <v>230</v>
      </c>
      <c r="S172" s="200"/>
      <c r="T172" s="200"/>
      <c r="U172" s="200"/>
      <c r="V172" s="476"/>
      <c r="W172" s="200" t="s">
        <v>230</v>
      </c>
      <c r="X172" s="200"/>
      <c r="Y172" s="200"/>
      <c r="Z172" s="200"/>
      <c r="AA172" s="476"/>
      <c r="AB172" s="200" t="s">
        <v>230</v>
      </c>
      <c r="AC172" s="200"/>
      <c r="AD172" s="200"/>
      <c r="AE172" s="200"/>
      <c r="AF172" s="200"/>
      <c r="AG172" s="200" t="s">
        <v>230</v>
      </c>
      <c r="AH172" s="200"/>
      <c r="AI172" s="200"/>
      <c r="AJ172" s="200"/>
      <c r="AK172" s="476"/>
      <c r="AL172" s="200" t="s">
        <v>230</v>
      </c>
      <c r="AM172" s="200"/>
      <c r="AN172" s="200"/>
      <c r="AO172" s="200"/>
      <c r="AP172" s="476"/>
      <c r="AQ172" s="200" t="s">
        <v>230</v>
      </c>
      <c r="AR172" s="200"/>
      <c r="AS172" s="200"/>
      <c r="AT172" s="200"/>
      <c r="AU172" s="425"/>
      <c r="AV172" s="545" t="s">
        <v>230</v>
      </c>
      <c r="AW172" s="425"/>
      <c r="AX172" s="49"/>
      <c r="AY172" s="296"/>
      <c r="AZ172" s="541"/>
      <c r="BA172" s="554" t="s">
        <v>230</v>
      </c>
      <c r="BB172" s="541"/>
      <c r="BC172" s="49"/>
      <c r="BD172" s="327"/>
      <c r="BE172" s="556"/>
      <c r="BF172" s="557" t="s">
        <v>230</v>
      </c>
      <c r="BG172" s="556"/>
      <c r="BH172" s="49"/>
      <c r="BI172" s="346"/>
      <c r="BJ172" s="558"/>
      <c r="BK172" s="587" t="s">
        <v>230</v>
      </c>
      <c r="BL172" s="558"/>
      <c r="BM172" s="49"/>
      <c r="BN172" s="429"/>
      <c r="BO172" s="485"/>
      <c r="BP172" s="596" t="s">
        <v>230</v>
      </c>
      <c r="BQ172" s="485"/>
      <c r="BR172" s="49"/>
      <c r="BS172" s="353"/>
      <c r="BT172" s="472"/>
      <c r="BU172" s="586" t="s">
        <v>230</v>
      </c>
      <c r="BV172" s="472"/>
      <c r="BW172" s="49"/>
      <c r="BX172" s="368"/>
      <c r="BY172" s="578"/>
      <c r="BZ172" s="593" t="s">
        <v>230</v>
      </c>
      <c r="CA172" s="578"/>
      <c r="CB172" s="49"/>
      <c r="CC172" s="388"/>
      <c r="CD172" s="488"/>
      <c r="CE172" s="595" t="s">
        <v>230</v>
      </c>
      <c r="CF172" s="595"/>
      <c r="CG172" s="49"/>
      <c r="CH172" s="402"/>
      <c r="CI172" s="439"/>
      <c r="CJ172" s="867" t="s">
        <v>230</v>
      </c>
      <c r="CK172" s="439"/>
      <c r="CL172" s="49"/>
      <c r="CM172" s="402"/>
      <c r="CN172" s="439"/>
      <c r="CO172" s="867" t="s">
        <v>230</v>
      </c>
      <c r="CP172" s="672"/>
      <c r="CQ172" s="49"/>
      <c r="CR172" s="419"/>
      <c r="CS172" s="487"/>
      <c r="CT172" s="575" t="s">
        <v>230</v>
      </c>
      <c r="CU172" s="729"/>
      <c r="CV172" s="49"/>
      <c r="CW172" s="453"/>
      <c r="CX172" s="455"/>
      <c r="CY172" s="631"/>
      <c r="CZ172" s="455"/>
      <c r="DA172" s="49"/>
      <c r="DB172" s="457"/>
      <c r="DC172" s="475"/>
      <c r="DD172" s="632"/>
      <c r="DE172" s="475"/>
      <c r="DF172" s="49"/>
      <c r="DG172" s="458"/>
      <c r="DH172" s="459"/>
      <c r="DI172" s="633"/>
      <c r="DJ172" s="459"/>
      <c r="DK172" s="49"/>
      <c r="DL172" s="620"/>
      <c r="DM172" s="637"/>
      <c r="DN172" s="637"/>
      <c r="DO172" s="637"/>
      <c r="DP172" s="49"/>
      <c r="DQ172" s="461"/>
      <c r="DR172" s="462"/>
      <c r="DS172" s="462"/>
      <c r="DT172" s="462"/>
      <c r="DU172" s="49"/>
      <c r="DV172" s="463"/>
      <c r="DW172" s="464"/>
      <c r="DX172" s="464"/>
      <c r="DY172" s="464"/>
      <c r="DZ172" s="49"/>
      <c r="EA172" s="465"/>
      <c r="EB172" s="466"/>
      <c r="EC172" s="426"/>
      <c r="ED172" s="456"/>
      <c r="EE172" s="47"/>
      <c r="EF172" s="16"/>
    </row>
    <row r="173" ht="17.25" customHeight="1">
      <c r="A173" s="16"/>
      <c r="B173" s="47"/>
      <c r="C173" s="170"/>
      <c r="D173" s="171"/>
      <c r="E173" s="49"/>
      <c r="F173" s="200"/>
      <c r="G173" s="200"/>
      <c r="H173" s="200" t="s">
        <v>230</v>
      </c>
      <c r="I173" s="200"/>
      <c r="J173" s="200"/>
      <c r="K173" s="200"/>
      <c r="L173" s="476"/>
      <c r="M173" s="200" t="s">
        <v>230</v>
      </c>
      <c r="N173" s="200"/>
      <c r="O173" s="200"/>
      <c r="P173" s="200"/>
      <c r="Q173" s="476"/>
      <c r="R173" s="200" t="s">
        <v>230</v>
      </c>
      <c r="S173" s="200"/>
      <c r="T173" s="200"/>
      <c r="U173" s="200"/>
      <c r="V173" s="476"/>
      <c r="W173" s="200" t="s">
        <v>230</v>
      </c>
      <c r="X173" s="200"/>
      <c r="Y173" s="200"/>
      <c r="Z173" s="200"/>
      <c r="AA173" s="476"/>
      <c r="AB173" s="200" t="s">
        <v>230</v>
      </c>
      <c r="AC173" s="200"/>
      <c r="AD173" s="200"/>
      <c r="AE173" s="200"/>
      <c r="AF173" s="200"/>
      <c r="AG173" s="200" t="s">
        <v>230</v>
      </c>
      <c r="AH173" s="200"/>
      <c r="AI173" s="200"/>
      <c r="AJ173" s="200"/>
      <c r="AK173" s="476"/>
      <c r="AL173" s="200" t="s">
        <v>230</v>
      </c>
      <c r="AM173" s="200"/>
      <c r="AN173" s="200"/>
      <c r="AO173" s="200"/>
      <c r="AP173" s="476"/>
      <c r="AQ173" s="200" t="s">
        <v>230</v>
      </c>
      <c r="AR173" s="200"/>
      <c r="AS173" s="200"/>
      <c r="AT173" s="200"/>
      <c r="AU173" s="425"/>
      <c r="AV173" s="545" t="s">
        <v>230</v>
      </c>
      <c r="AW173" s="425"/>
      <c r="AX173" s="49"/>
      <c r="AY173" s="296"/>
      <c r="AZ173" s="541"/>
      <c r="BA173" s="554" t="s">
        <v>230</v>
      </c>
      <c r="BB173" s="541"/>
      <c r="BC173" s="49"/>
      <c r="BD173" s="327"/>
      <c r="BE173" s="556"/>
      <c r="BF173" s="557" t="s">
        <v>230</v>
      </c>
      <c r="BG173" s="556"/>
      <c r="BH173" s="49"/>
      <c r="BI173" s="346"/>
      <c r="BJ173" s="558"/>
      <c r="BK173" s="587" t="s">
        <v>230</v>
      </c>
      <c r="BL173" s="558"/>
      <c r="BM173" s="49"/>
      <c r="BN173" s="429"/>
      <c r="BO173" s="485"/>
      <c r="BP173" s="596" t="s">
        <v>230</v>
      </c>
      <c r="BQ173" s="485"/>
      <c r="BR173" s="49"/>
      <c r="BS173" s="353"/>
      <c r="BT173" s="472"/>
      <c r="BU173" s="586" t="s">
        <v>230</v>
      </c>
      <c r="BV173" s="472"/>
      <c r="BW173" s="49"/>
      <c r="BX173" s="368"/>
      <c r="BY173" s="578"/>
      <c r="BZ173" s="593" t="s">
        <v>230</v>
      </c>
      <c r="CA173" s="578"/>
      <c r="CB173" s="49"/>
      <c r="CC173" s="388"/>
      <c r="CD173" s="488"/>
      <c r="CE173" s="595" t="s">
        <v>230</v>
      </c>
      <c r="CF173" s="595"/>
      <c r="CG173" s="49"/>
      <c r="CH173" s="402"/>
      <c r="CI173" s="439"/>
      <c r="CJ173" s="867" t="s">
        <v>230</v>
      </c>
      <c r="CK173" s="439"/>
      <c r="CL173" s="49"/>
      <c r="CM173" s="402"/>
      <c r="CN173" s="439"/>
      <c r="CO173" s="867" t="s">
        <v>230</v>
      </c>
      <c r="CP173" s="672"/>
      <c r="CQ173" s="49"/>
      <c r="CR173" s="419"/>
      <c r="CS173" s="487"/>
      <c r="CT173" s="575" t="s">
        <v>230</v>
      </c>
      <c r="CU173" s="729"/>
      <c r="CV173" s="49"/>
      <c r="CW173" s="453"/>
      <c r="CX173" s="455"/>
      <c r="CY173" s="631"/>
      <c r="CZ173" s="455"/>
      <c r="DA173" s="49"/>
      <c r="DB173" s="457"/>
      <c r="DC173" s="475"/>
      <c r="DD173" s="632"/>
      <c r="DE173" s="475"/>
      <c r="DF173" s="49"/>
      <c r="DG173" s="458"/>
      <c r="DH173" s="459"/>
      <c r="DI173" s="633"/>
      <c r="DJ173" s="459"/>
      <c r="DK173" s="49"/>
      <c r="DL173" s="620"/>
      <c r="DM173" s="637"/>
      <c r="DN173" s="637"/>
      <c r="DO173" s="637"/>
      <c r="DP173" s="49"/>
      <c r="DQ173" s="461"/>
      <c r="DR173" s="462"/>
      <c r="DS173" s="462"/>
      <c r="DT173" s="462"/>
      <c r="DU173" s="49"/>
      <c r="DV173" s="463"/>
      <c r="DW173" s="464"/>
      <c r="DX173" s="464"/>
      <c r="DY173" s="464"/>
      <c r="DZ173" s="49"/>
      <c r="EA173" s="465"/>
      <c r="EB173" s="466"/>
      <c r="EC173" s="426"/>
      <c r="ED173" s="456"/>
      <c r="EE173" s="47"/>
      <c r="EF173" s="16"/>
    </row>
    <row r="174" ht="17.25" customHeight="1">
      <c r="A174" s="16"/>
      <c r="B174" s="47"/>
      <c r="C174" s="170"/>
      <c r="D174" s="171"/>
      <c r="E174" s="49"/>
      <c r="F174" s="200"/>
      <c r="G174" s="200"/>
      <c r="H174" s="200" t="s">
        <v>230</v>
      </c>
      <c r="I174" s="200"/>
      <c r="J174" s="200"/>
      <c r="K174" s="200"/>
      <c r="L174" s="476"/>
      <c r="M174" s="200" t="s">
        <v>230</v>
      </c>
      <c r="N174" s="200"/>
      <c r="O174" s="200"/>
      <c r="P174" s="200"/>
      <c r="Q174" s="476"/>
      <c r="R174" s="200" t="s">
        <v>230</v>
      </c>
      <c r="S174" s="200"/>
      <c r="T174" s="200"/>
      <c r="U174" s="200"/>
      <c r="V174" s="476"/>
      <c r="W174" s="200" t="s">
        <v>230</v>
      </c>
      <c r="X174" s="200"/>
      <c r="Y174" s="200"/>
      <c r="Z174" s="200"/>
      <c r="AA174" s="476"/>
      <c r="AB174" s="200" t="s">
        <v>230</v>
      </c>
      <c r="AC174" s="200"/>
      <c r="AD174" s="200"/>
      <c r="AE174" s="200"/>
      <c r="AF174" s="200"/>
      <c r="AG174" s="200" t="s">
        <v>230</v>
      </c>
      <c r="AH174" s="200"/>
      <c r="AI174" s="200"/>
      <c r="AJ174" s="200"/>
      <c r="AK174" s="476"/>
      <c r="AL174" s="200" t="s">
        <v>230</v>
      </c>
      <c r="AM174" s="200"/>
      <c r="AN174" s="200"/>
      <c r="AO174" s="200"/>
      <c r="AP174" s="476"/>
      <c r="AQ174" s="200" t="s">
        <v>230</v>
      </c>
      <c r="AR174" s="200"/>
      <c r="AS174" s="200"/>
      <c r="AT174" s="200"/>
      <c r="AU174" s="425"/>
      <c r="AV174" s="545" t="s">
        <v>230</v>
      </c>
      <c r="AW174" s="425"/>
      <c r="AX174" s="49"/>
      <c r="AY174" s="296"/>
      <c r="AZ174" s="541"/>
      <c r="BA174" s="554" t="s">
        <v>230</v>
      </c>
      <c r="BB174" s="541"/>
      <c r="BC174" s="49"/>
      <c r="BD174" s="327"/>
      <c r="BE174" s="556"/>
      <c r="BF174" s="557" t="s">
        <v>230</v>
      </c>
      <c r="BG174" s="556"/>
      <c r="BH174" s="49"/>
      <c r="BI174" s="346"/>
      <c r="BJ174" s="558"/>
      <c r="BK174" s="587" t="s">
        <v>230</v>
      </c>
      <c r="BL174" s="558"/>
      <c r="BM174" s="49"/>
      <c r="BN174" s="429"/>
      <c r="BO174" s="485"/>
      <c r="BP174" s="596" t="s">
        <v>230</v>
      </c>
      <c r="BQ174" s="485"/>
      <c r="BR174" s="49"/>
      <c r="BS174" s="353"/>
      <c r="BT174" s="472"/>
      <c r="BU174" s="586" t="s">
        <v>230</v>
      </c>
      <c r="BV174" s="472"/>
      <c r="BW174" s="49"/>
      <c r="BX174" s="368"/>
      <c r="BY174" s="578"/>
      <c r="BZ174" s="593" t="s">
        <v>230</v>
      </c>
      <c r="CA174" s="578"/>
      <c r="CB174" s="49"/>
      <c r="CC174" s="388"/>
      <c r="CD174" s="488"/>
      <c r="CE174" s="595" t="s">
        <v>230</v>
      </c>
      <c r="CF174" s="595"/>
      <c r="CG174" s="49"/>
      <c r="CH174" s="402"/>
      <c r="CI174" s="439"/>
      <c r="CJ174" s="867" t="s">
        <v>230</v>
      </c>
      <c r="CK174" s="439"/>
      <c r="CL174" s="49"/>
      <c r="CM174" s="402"/>
      <c r="CN174" s="439"/>
      <c r="CO174" s="867" t="s">
        <v>230</v>
      </c>
      <c r="CP174" s="672"/>
      <c r="CQ174" s="49"/>
      <c r="CR174" s="419"/>
      <c r="CS174" s="487"/>
      <c r="CT174" s="575" t="s">
        <v>230</v>
      </c>
      <c r="CU174" s="729"/>
      <c r="CV174" s="49"/>
      <c r="CW174" s="453"/>
      <c r="CX174" s="455"/>
      <c r="CY174" s="631"/>
      <c r="CZ174" s="455"/>
      <c r="DA174" s="49"/>
      <c r="DB174" s="457"/>
      <c r="DC174" s="475"/>
      <c r="DD174" s="632"/>
      <c r="DE174" s="475"/>
      <c r="DF174" s="49"/>
      <c r="DG174" s="458"/>
      <c r="DH174" s="459"/>
      <c r="DI174" s="633"/>
      <c r="DJ174" s="459"/>
      <c r="DK174" s="49"/>
      <c r="DL174" s="620"/>
      <c r="DM174" s="637"/>
      <c r="DN174" s="637"/>
      <c r="DO174" s="637"/>
      <c r="DP174" s="49"/>
      <c r="DQ174" s="461"/>
      <c r="DR174" s="462"/>
      <c r="DS174" s="462"/>
      <c r="DT174" s="462"/>
      <c r="DU174" s="49"/>
      <c r="DV174" s="463"/>
      <c r="DW174" s="464"/>
      <c r="DX174" s="464"/>
      <c r="DY174" s="464"/>
      <c r="DZ174" s="49"/>
      <c r="EA174" s="465"/>
      <c r="EB174" s="466"/>
      <c r="EC174" s="426"/>
      <c r="ED174" s="456"/>
      <c r="EE174" s="47"/>
      <c r="EF174" s="16"/>
    </row>
    <row r="175" ht="17.25" customHeight="1">
      <c r="A175" s="16"/>
      <c r="B175" s="47"/>
      <c r="C175" s="170"/>
      <c r="D175" s="171"/>
      <c r="E175" s="49"/>
      <c r="F175" s="200"/>
      <c r="G175" s="200"/>
      <c r="H175" s="200" t="s">
        <v>230</v>
      </c>
      <c r="I175" s="200"/>
      <c r="J175" s="200"/>
      <c r="K175" s="200"/>
      <c r="L175" s="476"/>
      <c r="M175" s="200" t="s">
        <v>230</v>
      </c>
      <c r="N175" s="200"/>
      <c r="O175" s="200"/>
      <c r="P175" s="200"/>
      <c r="Q175" s="476"/>
      <c r="R175" s="200" t="s">
        <v>230</v>
      </c>
      <c r="S175" s="200"/>
      <c r="T175" s="200"/>
      <c r="U175" s="200"/>
      <c r="V175" s="476"/>
      <c r="W175" s="200" t="s">
        <v>230</v>
      </c>
      <c r="X175" s="200"/>
      <c r="Y175" s="200"/>
      <c r="Z175" s="200"/>
      <c r="AA175" s="476"/>
      <c r="AB175" s="200" t="s">
        <v>230</v>
      </c>
      <c r="AC175" s="200"/>
      <c r="AD175" s="200"/>
      <c r="AE175" s="200"/>
      <c r="AF175" s="200"/>
      <c r="AG175" s="200" t="s">
        <v>230</v>
      </c>
      <c r="AH175" s="200"/>
      <c r="AI175" s="200"/>
      <c r="AJ175" s="200"/>
      <c r="AK175" s="476"/>
      <c r="AL175" s="200" t="s">
        <v>230</v>
      </c>
      <c r="AM175" s="200"/>
      <c r="AN175" s="200"/>
      <c r="AO175" s="200"/>
      <c r="AP175" s="476"/>
      <c r="AQ175" s="200" t="s">
        <v>230</v>
      </c>
      <c r="AR175" s="200"/>
      <c r="AS175" s="200"/>
      <c r="AT175" s="200"/>
      <c r="AU175" s="425"/>
      <c r="AV175" s="545" t="s">
        <v>230</v>
      </c>
      <c r="AW175" s="425"/>
      <c r="AX175" s="49"/>
      <c r="AY175" s="296"/>
      <c r="AZ175" s="541"/>
      <c r="BA175" s="554" t="s">
        <v>230</v>
      </c>
      <c r="BB175" s="541"/>
      <c r="BC175" s="49"/>
      <c r="BD175" s="327"/>
      <c r="BE175" s="556"/>
      <c r="BF175" s="557" t="s">
        <v>230</v>
      </c>
      <c r="BG175" s="556"/>
      <c r="BH175" s="49"/>
      <c r="BI175" s="346"/>
      <c r="BJ175" s="558"/>
      <c r="BK175" s="587" t="s">
        <v>230</v>
      </c>
      <c r="BL175" s="558"/>
      <c r="BM175" s="49"/>
      <c r="BN175" s="429"/>
      <c r="BO175" s="485"/>
      <c r="BP175" s="596" t="s">
        <v>230</v>
      </c>
      <c r="BQ175" s="485"/>
      <c r="BR175" s="49"/>
      <c r="BS175" s="353"/>
      <c r="BT175" s="472"/>
      <c r="BU175" s="586" t="s">
        <v>230</v>
      </c>
      <c r="BV175" s="472"/>
      <c r="BW175" s="49"/>
      <c r="BX175" s="368"/>
      <c r="BY175" s="578"/>
      <c r="BZ175" s="593" t="s">
        <v>230</v>
      </c>
      <c r="CA175" s="578"/>
      <c r="CB175" s="49"/>
      <c r="CC175" s="388"/>
      <c r="CD175" s="488"/>
      <c r="CE175" s="595" t="s">
        <v>230</v>
      </c>
      <c r="CF175" s="595"/>
      <c r="CG175" s="49"/>
      <c r="CH175" s="402"/>
      <c r="CI175" s="439"/>
      <c r="CJ175" s="867" t="s">
        <v>230</v>
      </c>
      <c r="CK175" s="439"/>
      <c r="CL175" s="49"/>
      <c r="CM175" s="402"/>
      <c r="CN175" s="439"/>
      <c r="CO175" s="867" t="s">
        <v>230</v>
      </c>
      <c r="CP175" s="672"/>
      <c r="CQ175" s="49"/>
      <c r="CR175" s="419"/>
      <c r="CS175" s="487"/>
      <c r="CT175" s="575" t="s">
        <v>230</v>
      </c>
      <c r="CU175" s="729"/>
      <c r="CV175" s="49"/>
      <c r="CW175" s="453"/>
      <c r="CX175" s="455"/>
      <c r="CY175" s="631"/>
      <c r="CZ175" s="455"/>
      <c r="DA175" s="49"/>
      <c r="DB175" s="457"/>
      <c r="DC175" s="475"/>
      <c r="DD175" s="632"/>
      <c r="DE175" s="475"/>
      <c r="DF175" s="49"/>
      <c r="DG175" s="458"/>
      <c r="DH175" s="459"/>
      <c r="DI175" s="633"/>
      <c r="DJ175" s="459"/>
      <c r="DK175" s="49"/>
      <c r="DL175" s="620"/>
      <c r="DM175" s="637"/>
      <c r="DN175" s="637"/>
      <c r="DO175" s="637"/>
      <c r="DP175" s="49"/>
      <c r="DQ175" s="461"/>
      <c r="DR175" s="462"/>
      <c r="DS175" s="462"/>
      <c r="DT175" s="462"/>
      <c r="DU175" s="49"/>
      <c r="DV175" s="463"/>
      <c r="DW175" s="464"/>
      <c r="DX175" s="464"/>
      <c r="DY175" s="464"/>
      <c r="DZ175" s="49"/>
      <c r="EA175" s="465"/>
      <c r="EB175" s="466"/>
      <c r="EC175" s="426"/>
      <c r="ED175" s="456"/>
      <c r="EE175" s="47"/>
      <c r="EF175" s="16"/>
    </row>
    <row r="176" ht="17.25" customHeight="1">
      <c r="A176" s="16"/>
      <c r="B176" s="47"/>
      <c r="C176" s="170"/>
      <c r="D176" s="171"/>
      <c r="E176" s="49"/>
      <c r="F176" s="200"/>
      <c r="G176" s="200"/>
      <c r="H176" s="200" t="s">
        <v>230</v>
      </c>
      <c r="I176" s="200"/>
      <c r="J176" s="200"/>
      <c r="K176" s="200"/>
      <c r="L176" s="476"/>
      <c r="M176" s="200" t="s">
        <v>230</v>
      </c>
      <c r="N176" s="200"/>
      <c r="O176" s="200"/>
      <c r="P176" s="200"/>
      <c r="Q176" s="476"/>
      <c r="R176" s="200" t="s">
        <v>230</v>
      </c>
      <c r="S176" s="200"/>
      <c r="T176" s="200"/>
      <c r="U176" s="200"/>
      <c r="V176" s="476"/>
      <c r="W176" s="200" t="s">
        <v>230</v>
      </c>
      <c r="X176" s="200"/>
      <c r="Y176" s="200"/>
      <c r="Z176" s="200"/>
      <c r="AA176" s="476"/>
      <c r="AB176" s="200" t="s">
        <v>230</v>
      </c>
      <c r="AC176" s="200"/>
      <c r="AD176" s="200"/>
      <c r="AE176" s="200"/>
      <c r="AF176" s="200"/>
      <c r="AG176" s="200" t="s">
        <v>230</v>
      </c>
      <c r="AH176" s="200"/>
      <c r="AI176" s="200"/>
      <c r="AJ176" s="200"/>
      <c r="AK176" s="476"/>
      <c r="AL176" s="200" t="s">
        <v>230</v>
      </c>
      <c r="AM176" s="200"/>
      <c r="AN176" s="200"/>
      <c r="AO176" s="200"/>
      <c r="AP176" s="476"/>
      <c r="AQ176" s="200" t="s">
        <v>230</v>
      </c>
      <c r="AR176" s="200"/>
      <c r="AS176" s="200"/>
      <c r="AT176" s="200"/>
      <c r="AU176" s="425"/>
      <c r="AV176" s="545" t="s">
        <v>230</v>
      </c>
      <c r="AW176" s="425"/>
      <c r="AX176" s="49"/>
      <c r="AY176" s="296"/>
      <c r="AZ176" s="541"/>
      <c r="BA176" s="554" t="s">
        <v>230</v>
      </c>
      <c r="BB176" s="541"/>
      <c r="BC176" s="49"/>
      <c r="BD176" s="327"/>
      <c r="BE176" s="556"/>
      <c r="BF176" s="557" t="s">
        <v>230</v>
      </c>
      <c r="BG176" s="556"/>
      <c r="BH176" s="49"/>
      <c r="BI176" s="346"/>
      <c r="BJ176" s="558"/>
      <c r="BK176" s="587" t="s">
        <v>230</v>
      </c>
      <c r="BL176" s="558"/>
      <c r="BM176" s="49"/>
      <c r="BN176" s="429"/>
      <c r="BO176" s="485"/>
      <c r="BP176" s="596" t="s">
        <v>230</v>
      </c>
      <c r="BQ176" s="485"/>
      <c r="BR176" s="49"/>
      <c r="BS176" s="353"/>
      <c r="BT176" s="472"/>
      <c r="BU176" s="586" t="s">
        <v>230</v>
      </c>
      <c r="BV176" s="472"/>
      <c r="BW176" s="49"/>
      <c r="BX176" s="368"/>
      <c r="BY176" s="578"/>
      <c r="BZ176" s="593" t="s">
        <v>230</v>
      </c>
      <c r="CA176" s="578"/>
      <c r="CB176" s="49"/>
      <c r="CC176" s="388"/>
      <c r="CD176" s="488"/>
      <c r="CE176" s="595" t="s">
        <v>230</v>
      </c>
      <c r="CF176" s="595"/>
      <c r="CG176" s="49"/>
      <c r="CH176" s="402"/>
      <c r="CI176" s="439"/>
      <c r="CJ176" s="867" t="s">
        <v>230</v>
      </c>
      <c r="CK176" s="439"/>
      <c r="CL176" s="49"/>
      <c r="CM176" s="402"/>
      <c r="CN176" s="439"/>
      <c r="CO176" s="867" t="s">
        <v>230</v>
      </c>
      <c r="CP176" s="672"/>
      <c r="CQ176" s="49"/>
      <c r="CR176" s="419"/>
      <c r="CS176" s="487"/>
      <c r="CT176" s="575" t="s">
        <v>230</v>
      </c>
      <c r="CU176" s="729"/>
      <c r="CV176" s="49"/>
      <c r="CW176" s="453"/>
      <c r="CX176" s="455"/>
      <c r="CY176" s="631"/>
      <c r="CZ176" s="455"/>
      <c r="DA176" s="49"/>
      <c r="DB176" s="457"/>
      <c r="DC176" s="475"/>
      <c r="DD176" s="632"/>
      <c r="DE176" s="475"/>
      <c r="DF176" s="49"/>
      <c r="DG176" s="458"/>
      <c r="DH176" s="459"/>
      <c r="DI176" s="633"/>
      <c r="DJ176" s="459"/>
      <c r="DK176" s="49"/>
      <c r="DL176" s="620"/>
      <c r="DM176" s="637"/>
      <c r="DN176" s="637"/>
      <c r="DO176" s="637"/>
      <c r="DP176" s="49"/>
      <c r="DQ176" s="461"/>
      <c r="DR176" s="462"/>
      <c r="DS176" s="462"/>
      <c r="DT176" s="462"/>
      <c r="DU176" s="49"/>
      <c r="DV176" s="463"/>
      <c r="DW176" s="464"/>
      <c r="DX176" s="464"/>
      <c r="DY176" s="464"/>
      <c r="DZ176" s="49"/>
      <c r="EA176" s="465"/>
      <c r="EB176" s="466"/>
      <c r="EC176" s="426"/>
      <c r="ED176" s="456"/>
      <c r="EE176" s="47"/>
      <c r="EF176" s="16"/>
    </row>
    <row r="177" ht="17.25" customHeight="1">
      <c r="A177" s="16"/>
      <c r="B177" s="47"/>
      <c r="C177" s="170"/>
      <c r="D177" s="171"/>
      <c r="E177" s="49"/>
      <c r="F177" s="200"/>
      <c r="G177" s="200"/>
      <c r="H177" s="200" t="s">
        <v>230</v>
      </c>
      <c r="I177" s="200"/>
      <c r="J177" s="200"/>
      <c r="K177" s="200"/>
      <c r="L177" s="476"/>
      <c r="M177" s="200" t="s">
        <v>230</v>
      </c>
      <c r="N177" s="200"/>
      <c r="O177" s="200"/>
      <c r="P177" s="200"/>
      <c r="Q177" s="476"/>
      <c r="R177" s="200" t="s">
        <v>230</v>
      </c>
      <c r="S177" s="200"/>
      <c r="T177" s="200"/>
      <c r="U177" s="200"/>
      <c r="V177" s="476"/>
      <c r="W177" s="200" t="s">
        <v>230</v>
      </c>
      <c r="X177" s="200"/>
      <c r="Y177" s="200"/>
      <c r="Z177" s="200"/>
      <c r="AA177" s="476"/>
      <c r="AB177" s="200" t="s">
        <v>230</v>
      </c>
      <c r="AC177" s="200"/>
      <c r="AD177" s="200"/>
      <c r="AE177" s="200"/>
      <c r="AF177" s="200"/>
      <c r="AG177" s="200" t="s">
        <v>230</v>
      </c>
      <c r="AH177" s="200"/>
      <c r="AI177" s="200"/>
      <c r="AJ177" s="200"/>
      <c r="AK177" s="476"/>
      <c r="AL177" s="200" t="s">
        <v>230</v>
      </c>
      <c r="AM177" s="200"/>
      <c r="AN177" s="200"/>
      <c r="AO177" s="200"/>
      <c r="AP177" s="476"/>
      <c r="AQ177" s="200" t="s">
        <v>230</v>
      </c>
      <c r="AR177" s="200"/>
      <c r="AS177" s="200"/>
      <c r="AT177" s="200"/>
      <c r="AU177" s="425"/>
      <c r="AV177" s="545" t="s">
        <v>230</v>
      </c>
      <c r="AW177" s="425"/>
      <c r="AX177" s="49"/>
      <c r="AY177" s="296"/>
      <c r="AZ177" s="541"/>
      <c r="BA177" s="554" t="s">
        <v>230</v>
      </c>
      <c r="BB177" s="541"/>
      <c r="BC177" s="49"/>
      <c r="BD177" s="327"/>
      <c r="BE177" s="556"/>
      <c r="BF177" s="557" t="s">
        <v>230</v>
      </c>
      <c r="BG177" s="556"/>
      <c r="BH177" s="49"/>
      <c r="BI177" s="346"/>
      <c r="BJ177" s="558"/>
      <c r="BK177" s="587" t="s">
        <v>230</v>
      </c>
      <c r="BL177" s="558"/>
      <c r="BM177" s="49"/>
      <c r="BN177" s="429"/>
      <c r="BO177" s="485"/>
      <c r="BP177" s="596" t="s">
        <v>230</v>
      </c>
      <c r="BQ177" s="485"/>
      <c r="BR177" s="49"/>
      <c r="BS177" s="353"/>
      <c r="BT177" s="472"/>
      <c r="BU177" s="586" t="s">
        <v>230</v>
      </c>
      <c r="BV177" s="472"/>
      <c r="BW177" s="49"/>
      <c r="BX177" s="368"/>
      <c r="BY177" s="578"/>
      <c r="BZ177" s="593" t="s">
        <v>230</v>
      </c>
      <c r="CA177" s="578"/>
      <c r="CB177" s="49"/>
      <c r="CC177" s="388"/>
      <c r="CD177" s="488"/>
      <c r="CE177" s="595" t="s">
        <v>230</v>
      </c>
      <c r="CF177" s="595"/>
      <c r="CG177" s="49"/>
      <c r="CH177" s="402"/>
      <c r="CI177" s="439"/>
      <c r="CJ177" s="867" t="s">
        <v>230</v>
      </c>
      <c r="CK177" s="439"/>
      <c r="CL177" s="49"/>
      <c r="CM177" s="402"/>
      <c r="CN177" s="439"/>
      <c r="CO177" s="867" t="s">
        <v>230</v>
      </c>
      <c r="CP177" s="672"/>
      <c r="CQ177" s="49"/>
      <c r="CR177" s="419"/>
      <c r="CS177" s="487"/>
      <c r="CT177" s="575" t="s">
        <v>230</v>
      </c>
      <c r="CU177" s="729"/>
      <c r="CV177" s="49"/>
      <c r="CW177" s="453"/>
      <c r="CX177" s="455"/>
      <c r="CY177" s="631"/>
      <c r="CZ177" s="455"/>
      <c r="DA177" s="49"/>
      <c r="DB177" s="457"/>
      <c r="DC177" s="475"/>
      <c r="DD177" s="632"/>
      <c r="DE177" s="475"/>
      <c r="DF177" s="49"/>
      <c r="DG177" s="458"/>
      <c r="DH177" s="459"/>
      <c r="DI177" s="633"/>
      <c r="DJ177" s="459"/>
      <c r="DK177" s="49"/>
      <c r="DL177" s="620"/>
      <c r="DM177" s="637"/>
      <c r="DN177" s="637"/>
      <c r="DO177" s="637"/>
      <c r="DP177" s="49"/>
      <c r="DQ177" s="461"/>
      <c r="DR177" s="462"/>
      <c r="DS177" s="462"/>
      <c r="DT177" s="462"/>
      <c r="DU177" s="49"/>
      <c r="DV177" s="463"/>
      <c r="DW177" s="464"/>
      <c r="DX177" s="464"/>
      <c r="DY177" s="464"/>
      <c r="DZ177" s="49"/>
      <c r="EA177" s="465"/>
      <c r="EB177" s="466"/>
      <c r="EC177" s="426"/>
      <c r="ED177" s="456"/>
      <c r="EE177" s="47"/>
      <c r="EF177" s="16"/>
    </row>
    <row r="178" ht="17.25" customHeight="1">
      <c r="A178" s="16"/>
      <c r="B178" s="47"/>
      <c r="C178" s="170"/>
      <c r="D178" s="171"/>
      <c r="E178" s="49"/>
      <c r="F178" s="200"/>
      <c r="G178" s="200"/>
      <c r="H178" s="200" t="s">
        <v>230</v>
      </c>
      <c r="I178" s="200"/>
      <c r="J178" s="200"/>
      <c r="K178" s="200"/>
      <c r="L178" s="476"/>
      <c r="M178" s="200" t="s">
        <v>230</v>
      </c>
      <c r="N178" s="200"/>
      <c r="O178" s="200"/>
      <c r="P178" s="200"/>
      <c r="Q178" s="476"/>
      <c r="R178" s="200" t="s">
        <v>230</v>
      </c>
      <c r="S178" s="200"/>
      <c r="T178" s="200"/>
      <c r="U178" s="200"/>
      <c r="V178" s="476"/>
      <c r="W178" s="200" t="s">
        <v>230</v>
      </c>
      <c r="X178" s="200"/>
      <c r="Y178" s="200"/>
      <c r="Z178" s="200"/>
      <c r="AA178" s="476"/>
      <c r="AB178" s="200" t="s">
        <v>230</v>
      </c>
      <c r="AC178" s="200"/>
      <c r="AD178" s="200"/>
      <c r="AE178" s="200"/>
      <c r="AF178" s="200"/>
      <c r="AG178" s="200" t="s">
        <v>230</v>
      </c>
      <c r="AH178" s="200"/>
      <c r="AI178" s="200"/>
      <c r="AJ178" s="200"/>
      <c r="AK178" s="476"/>
      <c r="AL178" s="200" t="s">
        <v>230</v>
      </c>
      <c r="AM178" s="200"/>
      <c r="AN178" s="200"/>
      <c r="AO178" s="200"/>
      <c r="AP178" s="476"/>
      <c r="AQ178" s="200" t="s">
        <v>230</v>
      </c>
      <c r="AR178" s="200"/>
      <c r="AS178" s="200"/>
      <c r="AT178" s="200"/>
      <c r="AU178" s="425"/>
      <c r="AV178" s="545" t="s">
        <v>230</v>
      </c>
      <c r="AW178" s="425"/>
      <c r="AX178" s="49"/>
      <c r="AY178" s="296"/>
      <c r="AZ178" s="541"/>
      <c r="BA178" s="554" t="s">
        <v>230</v>
      </c>
      <c r="BB178" s="541"/>
      <c r="BC178" s="49"/>
      <c r="BD178" s="327"/>
      <c r="BE178" s="556"/>
      <c r="BF178" s="557" t="s">
        <v>230</v>
      </c>
      <c r="BG178" s="556"/>
      <c r="BH178" s="49"/>
      <c r="BI178" s="346"/>
      <c r="BJ178" s="558"/>
      <c r="BK178" s="587" t="s">
        <v>230</v>
      </c>
      <c r="BL178" s="558"/>
      <c r="BM178" s="49"/>
      <c r="BN178" s="429"/>
      <c r="BO178" s="485"/>
      <c r="BP178" s="596" t="s">
        <v>230</v>
      </c>
      <c r="BQ178" s="485"/>
      <c r="BR178" s="49"/>
      <c r="BS178" s="353"/>
      <c r="BT178" s="472"/>
      <c r="BU178" s="586" t="s">
        <v>230</v>
      </c>
      <c r="BV178" s="472"/>
      <c r="BW178" s="49"/>
      <c r="BX178" s="368"/>
      <c r="BY178" s="578"/>
      <c r="BZ178" s="593" t="s">
        <v>230</v>
      </c>
      <c r="CA178" s="578"/>
      <c r="CB178" s="49"/>
      <c r="CC178" s="388"/>
      <c r="CD178" s="488"/>
      <c r="CE178" s="595" t="s">
        <v>230</v>
      </c>
      <c r="CF178" s="595"/>
      <c r="CG178" s="49"/>
      <c r="CH178" s="402"/>
      <c r="CI178" s="439"/>
      <c r="CJ178" s="867" t="s">
        <v>230</v>
      </c>
      <c r="CK178" s="439"/>
      <c r="CL178" s="49"/>
      <c r="CM178" s="402"/>
      <c r="CN178" s="439"/>
      <c r="CO178" s="867" t="s">
        <v>230</v>
      </c>
      <c r="CP178" s="672"/>
      <c r="CQ178" s="49"/>
      <c r="CR178" s="419"/>
      <c r="CS178" s="487"/>
      <c r="CT178" s="575" t="s">
        <v>230</v>
      </c>
      <c r="CU178" s="729"/>
      <c r="CV178" s="49"/>
      <c r="CW178" s="453"/>
      <c r="CX178" s="455"/>
      <c r="CY178" s="631"/>
      <c r="CZ178" s="455"/>
      <c r="DA178" s="49"/>
      <c r="DB178" s="457"/>
      <c r="DC178" s="475"/>
      <c r="DD178" s="632"/>
      <c r="DE178" s="475"/>
      <c r="DF178" s="49"/>
      <c r="DG178" s="458"/>
      <c r="DH178" s="459"/>
      <c r="DI178" s="633"/>
      <c r="DJ178" s="459"/>
      <c r="DK178" s="49"/>
      <c r="DL178" s="620"/>
      <c r="DM178" s="637"/>
      <c r="DN178" s="637"/>
      <c r="DO178" s="637"/>
      <c r="DP178" s="49"/>
      <c r="DQ178" s="461"/>
      <c r="DR178" s="462"/>
      <c r="DS178" s="462"/>
      <c r="DT178" s="462"/>
      <c r="DU178" s="49"/>
      <c r="DV178" s="463"/>
      <c r="DW178" s="464"/>
      <c r="DX178" s="464"/>
      <c r="DY178" s="464"/>
      <c r="DZ178" s="49"/>
      <c r="EA178" s="465"/>
      <c r="EB178" s="466"/>
      <c r="EC178" s="426"/>
      <c r="ED178" s="456"/>
      <c r="EE178" s="47"/>
      <c r="EF178" s="16"/>
    </row>
    <row r="179" ht="17.25" customHeight="1">
      <c r="A179" s="16"/>
      <c r="B179" s="47"/>
      <c r="C179" s="170"/>
      <c r="D179" s="171"/>
      <c r="E179" s="49"/>
      <c r="F179" s="200"/>
      <c r="G179" s="200"/>
      <c r="H179" s="200" t="s">
        <v>230</v>
      </c>
      <c r="I179" s="200"/>
      <c r="J179" s="200"/>
      <c r="K179" s="200"/>
      <c r="L179" s="476"/>
      <c r="M179" s="200" t="s">
        <v>230</v>
      </c>
      <c r="N179" s="200"/>
      <c r="O179" s="200"/>
      <c r="P179" s="200"/>
      <c r="Q179" s="476"/>
      <c r="R179" s="200" t="s">
        <v>230</v>
      </c>
      <c r="S179" s="200"/>
      <c r="T179" s="200"/>
      <c r="U179" s="200"/>
      <c r="V179" s="476"/>
      <c r="W179" s="200" t="s">
        <v>230</v>
      </c>
      <c r="X179" s="200"/>
      <c r="Y179" s="200"/>
      <c r="Z179" s="200"/>
      <c r="AA179" s="476"/>
      <c r="AB179" s="200" t="s">
        <v>230</v>
      </c>
      <c r="AC179" s="200"/>
      <c r="AD179" s="200"/>
      <c r="AE179" s="200"/>
      <c r="AF179" s="200"/>
      <c r="AG179" s="200" t="s">
        <v>230</v>
      </c>
      <c r="AH179" s="200"/>
      <c r="AI179" s="200"/>
      <c r="AJ179" s="200"/>
      <c r="AK179" s="476"/>
      <c r="AL179" s="200" t="s">
        <v>230</v>
      </c>
      <c r="AM179" s="200"/>
      <c r="AN179" s="200"/>
      <c r="AO179" s="200"/>
      <c r="AP179" s="476"/>
      <c r="AQ179" s="200" t="s">
        <v>230</v>
      </c>
      <c r="AR179" s="200"/>
      <c r="AS179" s="200"/>
      <c r="AT179" s="200"/>
      <c r="AU179" s="425"/>
      <c r="AV179" s="545" t="s">
        <v>230</v>
      </c>
      <c r="AW179" s="425"/>
      <c r="AX179" s="49"/>
      <c r="AY179" s="296"/>
      <c r="AZ179" s="541"/>
      <c r="BA179" s="554" t="s">
        <v>230</v>
      </c>
      <c r="BB179" s="541"/>
      <c r="BC179" s="49"/>
      <c r="BD179" s="327"/>
      <c r="BE179" s="556"/>
      <c r="BF179" s="557" t="s">
        <v>230</v>
      </c>
      <c r="BG179" s="556"/>
      <c r="BH179" s="49"/>
      <c r="BI179" s="346"/>
      <c r="BJ179" s="558"/>
      <c r="BK179" s="587" t="s">
        <v>230</v>
      </c>
      <c r="BL179" s="558"/>
      <c r="BM179" s="49"/>
      <c r="BN179" s="429"/>
      <c r="BO179" s="485"/>
      <c r="BP179" s="596" t="s">
        <v>230</v>
      </c>
      <c r="BQ179" s="485"/>
      <c r="BR179" s="49"/>
      <c r="BS179" s="353"/>
      <c r="BT179" s="472"/>
      <c r="BU179" s="586" t="s">
        <v>230</v>
      </c>
      <c r="BV179" s="472"/>
      <c r="BW179" s="49"/>
      <c r="BX179" s="368"/>
      <c r="BY179" s="578"/>
      <c r="BZ179" s="593" t="s">
        <v>230</v>
      </c>
      <c r="CA179" s="578"/>
      <c r="CB179" s="49"/>
      <c r="CC179" s="388"/>
      <c r="CD179" s="488"/>
      <c r="CE179" s="595" t="s">
        <v>230</v>
      </c>
      <c r="CF179" s="595"/>
      <c r="CG179" s="49"/>
      <c r="CH179" s="402"/>
      <c r="CI179" s="439"/>
      <c r="CJ179" s="867" t="s">
        <v>230</v>
      </c>
      <c r="CK179" s="439"/>
      <c r="CL179" s="49"/>
      <c r="CM179" s="402"/>
      <c r="CN179" s="439"/>
      <c r="CO179" s="867" t="s">
        <v>230</v>
      </c>
      <c r="CP179" s="672"/>
      <c r="CQ179" s="49"/>
      <c r="CR179" s="419"/>
      <c r="CS179" s="487"/>
      <c r="CT179" s="575" t="s">
        <v>230</v>
      </c>
      <c r="CU179" s="729"/>
      <c r="CV179" s="49"/>
      <c r="CW179" s="453"/>
      <c r="CX179" s="455"/>
      <c r="CY179" s="631"/>
      <c r="CZ179" s="455"/>
      <c r="DA179" s="49"/>
      <c r="DB179" s="457"/>
      <c r="DC179" s="475"/>
      <c r="DD179" s="632"/>
      <c r="DE179" s="475"/>
      <c r="DF179" s="49"/>
      <c r="DG179" s="458"/>
      <c r="DH179" s="459"/>
      <c r="DI179" s="633"/>
      <c r="DJ179" s="459"/>
      <c r="DK179" s="49"/>
      <c r="DL179" s="620"/>
      <c r="DM179" s="637"/>
      <c r="DN179" s="637"/>
      <c r="DO179" s="637"/>
      <c r="DP179" s="49"/>
      <c r="DQ179" s="461"/>
      <c r="DR179" s="462"/>
      <c r="DS179" s="462"/>
      <c r="DT179" s="462"/>
      <c r="DU179" s="49"/>
      <c r="DV179" s="463"/>
      <c r="DW179" s="464"/>
      <c r="DX179" s="464"/>
      <c r="DY179" s="464"/>
      <c r="DZ179" s="49"/>
      <c r="EA179" s="465"/>
      <c r="EB179" s="466"/>
      <c r="EC179" s="426"/>
      <c r="ED179" s="456"/>
      <c r="EE179" s="47"/>
      <c r="EF179" s="16"/>
    </row>
    <row r="180" ht="17.25" customHeight="1">
      <c r="A180" s="16"/>
      <c r="B180" s="47"/>
      <c r="C180" s="170"/>
      <c r="D180" s="171"/>
      <c r="E180" s="49"/>
      <c r="F180" s="200"/>
      <c r="G180" s="200"/>
      <c r="H180" s="200" t="s">
        <v>230</v>
      </c>
      <c r="I180" s="200"/>
      <c r="J180" s="200"/>
      <c r="K180" s="200"/>
      <c r="L180" s="476"/>
      <c r="M180" s="200" t="s">
        <v>230</v>
      </c>
      <c r="N180" s="200"/>
      <c r="O180" s="200"/>
      <c r="P180" s="200"/>
      <c r="Q180" s="476"/>
      <c r="R180" s="200" t="s">
        <v>230</v>
      </c>
      <c r="S180" s="200"/>
      <c r="T180" s="200"/>
      <c r="U180" s="200"/>
      <c r="V180" s="476"/>
      <c r="W180" s="200" t="s">
        <v>230</v>
      </c>
      <c r="X180" s="200"/>
      <c r="Y180" s="200"/>
      <c r="Z180" s="200"/>
      <c r="AA180" s="476"/>
      <c r="AB180" s="200" t="s">
        <v>230</v>
      </c>
      <c r="AC180" s="200"/>
      <c r="AD180" s="200"/>
      <c r="AE180" s="200"/>
      <c r="AF180" s="200"/>
      <c r="AG180" s="200" t="s">
        <v>230</v>
      </c>
      <c r="AH180" s="200"/>
      <c r="AI180" s="200"/>
      <c r="AJ180" s="200"/>
      <c r="AK180" s="476"/>
      <c r="AL180" s="200" t="s">
        <v>230</v>
      </c>
      <c r="AM180" s="200"/>
      <c r="AN180" s="200"/>
      <c r="AO180" s="200"/>
      <c r="AP180" s="476"/>
      <c r="AQ180" s="200" t="s">
        <v>230</v>
      </c>
      <c r="AR180" s="200"/>
      <c r="AS180" s="200"/>
      <c r="AT180" s="200"/>
      <c r="AU180" s="425"/>
      <c r="AV180" s="545" t="s">
        <v>230</v>
      </c>
      <c r="AW180" s="425"/>
      <c r="AX180" s="49"/>
      <c r="AY180" s="296"/>
      <c r="AZ180" s="541"/>
      <c r="BA180" s="554" t="s">
        <v>230</v>
      </c>
      <c r="BB180" s="541"/>
      <c r="BC180" s="49"/>
      <c r="BD180" s="327"/>
      <c r="BE180" s="556"/>
      <c r="BF180" s="557" t="s">
        <v>230</v>
      </c>
      <c r="BG180" s="556"/>
      <c r="BH180" s="49"/>
      <c r="BI180" s="346"/>
      <c r="BJ180" s="558"/>
      <c r="BK180" s="587" t="s">
        <v>230</v>
      </c>
      <c r="BL180" s="558"/>
      <c r="BM180" s="49"/>
      <c r="BN180" s="429"/>
      <c r="BO180" s="485"/>
      <c r="BP180" s="596" t="s">
        <v>230</v>
      </c>
      <c r="BQ180" s="485"/>
      <c r="BR180" s="49"/>
      <c r="BS180" s="353"/>
      <c r="BT180" s="472"/>
      <c r="BU180" s="586" t="s">
        <v>230</v>
      </c>
      <c r="BV180" s="472"/>
      <c r="BW180" s="49"/>
      <c r="BX180" s="368"/>
      <c r="BY180" s="578"/>
      <c r="BZ180" s="593" t="s">
        <v>230</v>
      </c>
      <c r="CA180" s="578"/>
      <c r="CB180" s="49"/>
      <c r="CC180" s="388"/>
      <c r="CD180" s="488"/>
      <c r="CE180" s="595" t="s">
        <v>230</v>
      </c>
      <c r="CF180" s="595"/>
      <c r="CG180" s="49"/>
      <c r="CH180" s="402"/>
      <c r="CI180" s="439"/>
      <c r="CJ180" s="867" t="s">
        <v>230</v>
      </c>
      <c r="CK180" s="439"/>
      <c r="CL180" s="49"/>
      <c r="CM180" s="402"/>
      <c r="CN180" s="439"/>
      <c r="CO180" s="867" t="s">
        <v>230</v>
      </c>
      <c r="CP180" s="672"/>
      <c r="CQ180" s="49"/>
      <c r="CR180" s="419"/>
      <c r="CS180" s="487"/>
      <c r="CT180" s="575" t="s">
        <v>230</v>
      </c>
      <c r="CU180" s="729"/>
      <c r="CV180" s="49"/>
      <c r="CW180" s="453"/>
      <c r="CX180" s="455"/>
      <c r="CY180" s="631"/>
      <c r="CZ180" s="455"/>
      <c r="DA180" s="49"/>
      <c r="DB180" s="457"/>
      <c r="DC180" s="475"/>
      <c r="DD180" s="632"/>
      <c r="DE180" s="475"/>
      <c r="DF180" s="49"/>
      <c r="DG180" s="458"/>
      <c r="DH180" s="459"/>
      <c r="DI180" s="633"/>
      <c r="DJ180" s="459"/>
      <c r="DK180" s="49"/>
      <c r="DL180" s="620"/>
      <c r="DM180" s="637"/>
      <c r="DN180" s="637"/>
      <c r="DO180" s="637"/>
      <c r="DP180" s="49"/>
      <c r="DQ180" s="461"/>
      <c r="DR180" s="462"/>
      <c r="DS180" s="462"/>
      <c r="DT180" s="462"/>
      <c r="DU180" s="49"/>
      <c r="DV180" s="463"/>
      <c r="DW180" s="464"/>
      <c r="DX180" s="464"/>
      <c r="DY180" s="464"/>
      <c r="DZ180" s="49"/>
      <c r="EA180" s="465"/>
      <c r="EB180" s="466"/>
      <c r="EC180" s="426"/>
      <c r="ED180" s="456"/>
      <c r="EE180" s="47"/>
      <c r="EF180" s="16"/>
    </row>
    <row r="181" ht="17.25" customHeight="1">
      <c r="A181" s="16"/>
      <c r="B181" s="47"/>
      <c r="C181" s="170"/>
      <c r="D181" s="171"/>
      <c r="E181" s="49"/>
      <c r="F181" s="200"/>
      <c r="G181" s="200"/>
      <c r="H181" s="200" t="s">
        <v>230</v>
      </c>
      <c r="I181" s="200"/>
      <c r="J181" s="200"/>
      <c r="K181" s="200"/>
      <c r="L181" s="476"/>
      <c r="M181" s="200" t="s">
        <v>230</v>
      </c>
      <c r="N181" s="200"/>
      <c r="O181" s="200"/>
      <c r="P181" s="200"/>
      <c r="Q181" s="476"/>
      <c r="R181" s="200" t="s">
        <v>230</v>
      </c>
      <c r="S181" s="200"/>
      <c r="T181" s="200"/>
      <c r="U181" s="200"/>
      <c r="V181" s="476"/>
      <c r="W181" s="200" t="s">
        <v>230</v>
      </c>
      <c r="X181" s="200"/>
      <c r="Y181" s="200"/>
      <c r="Z181" s="200"/>
      <c r="AA181" s="476"/>
      <c r="AB181" s="200" t="s">
        <v>230</v>
      </c>
      <c r="AC181" s="200"/>
      <c r="AD181" s="200"/>
      <c r="AE181" s="200"/>
      <c r="AF181" s="200"/>
      <c r="AG181" s="200" t="s">
        <v>230</v>
      </c>
      <c r="AH181" s="200"/>
      <c r="AI181" s="200"/>
      <c r="AJ181" s="200"/>
      <c r="AK181" s="476"/>
      <c r="AL181" s="200" t="s">
        <v>230</v>
      </c>
      <c r="AM181" s="200"/>
      <c r="AN181" s="200"/>
      <c r="AO181" s="200"/>
      <c r="AP181" s="476"/>
      <c r="AQ181" s="200" t="s">
        <v>230</v>
      </c>
      <c r="AR181" s="200"/>
      <c r="AS181" s="200"/>
      <c r="AT181" s="200"/>
      <c r="AU181" s="425"/>
      <c r="AV181" s="545" t="s">
        <v>230</v>
      </c>
      <c r="AW181" s="425"/>
      <c r="AX181" s="49"/>
      <c r="AY181" s="296"/>
      <c r="AZ181" s="541"/>
      <c r="BA181" s="554" t="s">
        <v>230</v>
      </c>
      <c r="BB181" s="541"/>
      <c r="BC181" s="49"/>
      <c r="BD181" s="327"/>
      <c r="BE181" s="556"/>
      <c r="BF181" s="557" t="s">
        <v>230</v>
      </c>
      <c r="BG181" s="556"/>
      <c r="BH181" s="49"/>
      <c r="BI181" s="346"/>
      <c r="BJ181" s="558"/>
      <c r="BK181" s="587" t="s">
        <v>230</v>
      </c>
      <c r="BL181" s="558"/>
      <c r="BM181" s="49"/>
      <c r="BN181" s="429"/>
      <c r="BO181" s="485"/>
      <c r="BP181" s="596" t="s">
        <v>230</v>
      </c>
      <c r="BQ181" s="485"/>
      <c r="BR181" s="49"/>
      <c r="BS181" s="353"/>
      <c r="BT181" s="472"/>
      <c r="BU181" s="586" t="s">
        <v>230</v>
      </c>
      <c r="BV181" s="472"/>
      <c r="BW181" s="49"/>
      <c r="BX181" s="368"/>
      <c r="BY181" s="578"/>
      <c r="BZ181" s="593" t="s">
        <v>230</v>
      </c>
      <c r="CA181" s="578"/>
      <c r="CB181" s="49"/>
      <c r="CC181" s="388"/>
      <c r="CD181" s="488"/>
      <c r="CE181" s="595" t="s">
        <v>230</v>
      </c>
      <c r="CF181" s="595"/>
      <c r="CG181" s="49"/>
      <c r="CH181" s="402"/>
      <c r="CI181" s="439"/>
      <c r="CJ181" s="867" t="s">
        <v>230</v>
      </c>
      <c r="CK181" s="439"/>
      <c r="CL181" s="49"/>
      <c r="CM181" s="402"/>
      <c r="CN181" s="439"/>
      <c r="CO181" s="867" t="s">
        <v>230</v>
      </c>
      <c r="CP181" s="672"/>
      <c r="CQ181" s="49"/>
      <c r="CR181" s="419"/>
      <c r="CS181" s="487"/>
      <c r="CT181" s="575" t="s">
        <v>230</v>
      </c>
      <c r="CU181" s="729"/>
      <c r="CV181" s="49"/>
      <c r="CW181" s="453"/>
      <c r="CX181" s="455"/>
      <c r="CY181" s="631"/>
      <c r="CZ181" s="455"/>
      <c r="DA181" s="49"/>
      <c r="DB181" s="457"/>
      <c r="DC181" s="475"/>
      <c r="DD181" s="632"/>
      <c r="DE181" s="475"/>
      <c r="DF181" s="49"/>
      <c r="DG181" s="458"/>
      <c r="DH181" s="459"/>
      <c r="DI181" s="633"/>
      <c r="DJ181" s="459"/>
      <c r="DK181" s="49"/>
      <c r="DL181" s="620"/>
      <c r="DM181" s="637"/>
      <c r="DN181" s="637"/>
      <c r="DO181" s="637"/>
      <c r="DP181" s="49"/>
      <c r="DQ181" s="461"/>
      <c r="DR181" s="462"/>
      <c r="DS181" s="462"/>
      <c r="DT181" s="462"/>
      <c r="DU181" s="49"/>
      <c r="DV181" s="463"/>
      <c r="DW181" s="464"/>
      <c r="DX181" s="464"/>
      <c r="DY181" s="464"/>
      <c r="DZ181" s="49"/>
      <c r="EA181" s="465"/>
      <c r="EB181" s="466"/>
      <c r="EC181" s="426"/>
      <c r="ED181" s="456"/>
      <c r="EE181" s="47"/>
      <c r="EF181" s="16"/>
    </row>
    <row r="182" ht="17.25" customHeight="1">
      <c r="A182" s="16"/>
      <c r="B182" s="47"/>
      <c r="C182" s="170"/>
      <c r="D182" s="171"/>
      <c r="E182" s="49"/>
      <c r="F182" s="200"/>
      <c r="G182" s="200"/>
      <c r="H182" s="200" t="s">
        <v>230</v>
      </c>
      <c r="I182" s="200"/>
      <c r="J182" s="200"/>
      <c r="K182" s="200"/>
      <c r="L182" s="476"/>
      <c r="M182" s="200" t="s">
        <v>230</v>
      </c>
      <c r="N182" s="200"/>
      <c r="O182" s="200"/>
      <c r="P182" s="200"/>
      <c r="Q182" s="476"/>
      <c r="R182" s="200" t="s">
        <v>230</v>
      </c>
      <c r="S182" s="200"/>
      <c r="T182" s="200"/>
      <c r="U182" s="200"/>
      <c r="V182" s="476"/>
      <c r="W182" s="200" t="s">
        <v>230</v>
      </c>
      <c r="X182" s="200"/>
      <c r="Y182" s="200"/>
      <c r="Z182" s="200"/>
      <c r="AA182" s="476"/>
      <c r="AB182" s="200" t="s">
        <v>230</v>
      </c>
      <c r="AC182" s="200"/>
      <c r="AD182" s="200"/>
      <c r="AE182" s="200"/>
      <c r="AF182" s="200"/>
      <c r="AG182" s="200" t="s">
        <v>230</v>
      </c>
      <c r="AH182" s="200"/>
      <c r="AI182" s="200"/>
      <c r="AJ182" s="200"/>
      <c r="AK182" s="476"/>
      <c r="AL182" s="200" t="s">
        <v>230</v>
      </c>
      <c r="AM182" s="200"/>
      <c r="AN182" s="200"/>
      <c r="AO182" s="200"/>
      <c r="AP182" s="476"/>
      <c r="AQ182" s="200" t="s">
        <v>230</v>
      </c>
      <c r="AR182" s="200"/>
      <c r="AS182" s="200"/>
      <c r="AT182" s="200"/>
      <c r="AU182" s="425"/>
      <c r="AV182" s="545" t="s">
        <v>230</v>
      </c>
      <c r="AW182" s="425"/>
      <c r="AX182" s="49"/>
      <c r="AY182" s="296"/>
      <c r="AZ182" s="541"/>
      <c r="BA182" s="554" t="s">
        <v>230</v>
      </c>
      <c r="BB182" s="541"/>
      <c r="BC182" s="49"/>
      <c r="BD182" s="327"/>
      <c r="BE182" s="556"/>
      <c r="BF182" s="557" t="s">
        <v>230</v>
      </c>
      <c r="BG182" s="556"/>
      <c r="BH182" s="49"/>
      <c r="BI182" s="346"/>
      <c r="BJ182" s="558"/>
      <c r="BK182" s="587" t="s">
        <v>230</v>
      </c>
      <c r="BL182" s="558"/>
      <c r="BM182" s="49"/>
      <c r="BN182" s="429"/>
      <c r="BO182" s="485"/>
      <c r="BP182" s="596" t="s">
        <v>230</v>
      </c>
      <c r="BQ182" s="485"/>
      <c r="BR182" s="49"/>
      <c r="BS182" s="353"/>
      <c r="BT182" s="472"/>
      <c r="BU182" s="586" t="s">
        <v>230</v>
      </c>
      <c r="BV182" s="472"/>
      <c r="BW182" s="49"/>
      <c r="BX182" s="368"/>
      <c r="BY182" s="578"/>
      <c r="BZ182" s="593" t="s">
        <v>230</v>
      </c>
      <c r="CA182" s="578"/>
      <c r="CB182" s="49"/>
      <c r="CC182" s="388"/>
      <c r="CD182" s="488"/>
      <c r="CE182" s="595" t="s">
        <v>230</v>
      </c>
      <c r="CF182" s="595"/>
      <c r="CG182" s="49"/>
      <c r="CH182" s="402"/>
      <c r="CI182" s="439"/>
      <c r="CJ182" s="867" t="s">
        <v>230</v>
      </c>
      <c r="CK182" s="439"/>
      <c r="CL182" s="49"/>
      <c r="CM182" s="402"/>
      <c r="CN182" s="439"/>
      <c r="CO182" s="867" t="s">
        <v>230</v>
      </c>
      <c r="CP182" s="672"/>
      <c r="CQ182" s="49"/>
      <c r="CR182" s="419"/>
      <c r="CS182" s="487"/>
      <c r="CT182" s="575" t="s">
        <v>230</v>
      </c>
      <c r="CU182" s="729"/>
      <c r="CV182" s="49"/>
      <c r="CW182" s="453"/>
      <c r="CX182" s="455"/>
      <c r="CY182" s="631"/>
      <c r="CZ182" s="455"/>
      <c r="DA182" s="49"/>
      <c r="DB182" s="457"/>
      <c r="DC182" s="475"/>
      <c r="DD182" s="632"/>
      <c r="DE182" s="475"/>
      <c r="DF182" s="49"/>
      <c r="DG182" s="458"/>
      <c r="DH182" s="459"/>
      <c r="DI182" s="633"/>
      <c r="DJ182" s="459"/>
      <c r="DK182" s="49"/>
      <c r="DL182" s="620"/>
      <c r="DM182" s="637"/>
      <c r="DN182" s="637"/>
      <c r="DO182" s="637"/>
      <c r="DP182" s="49"/>
      <c r="DQ182" s="461"/>
      <c r="DR182" s="462"/>
      <c r="DS182" s="462"/>
      <c r="DT182" s="462"/>
      <c r="DU182" s="49"/>
      <c r="DV182" s="463"/>
      <c r="DW182" s="464"/>
      <c r="DX182" s="464"/>
      <c r="DY182" s="464"/>
      <c r="DZ182" s="49"/>
      <c r="EA182" s="465"/>
      <c r="EB182" s="466"/>
      <c r="EC182" s="426"/>
      <c r="ED182" s="456"/>
      <c r="EE182" s="47"/>
      <c r="EF182" s="16"/>
    </row>
    <row r="183" ht="17.25" customHeight="1">
      <c r="A183" s="16"/>
      <c r="B183" s="47"/>
      <c r="C183" s="170"/>
      <c r="D183" s="171"/>
      <c r="E183" s="49"/>
      <c r="F183" s="200"/>
      <c r="G183" s="200"/>
      <c r="H183" s="200" t="s">
        <v>230</v>
      </c>
      <c r="I183" s="200"/>
      <c r="J183" s="200"/>
      <c r="K183" s="200"/>
      <c r="L183" s="476"/>
      <c r="M183" s="200" t="s">
        <v>230</v>
      </c>
      <c r="N183" s="200"/>
      <c r="O183" s="200"/>
      <c r="P183" s="200"/>
      <c r="Q183" s="476"/>
      <c r="R183" s="200" t="s">
        <v>230</v>
      </c>
      <c r="S183" s="200"/>
      <c r="T183" s="200"/>
      <c r="U183" s="200"/>
      <c r="V183" s="476"/>
      <c r="W183" s="200" t="s">
        <v>230</v>
      </c>
      <c r="X183" s="200"/>
      <c r="Y183" s="200"/>
      <c r="Z183" s="200"/>
      <c r="AA183" s="476"/>
      <c r="AB183" s="200" t="s">
        <v>230</v>
      </c>
      <c r="AC183" s="200"/>
      <c r="AD183" s="200"/>
      <c r="AE183" s="200"/>
      <c r="AF183" s="200"/>
      <c r="AG183" s="200" t="s">
        <v>230</v>
      </c>
      <c r="AH183" s="200"/>
      <c r="AI183" s="200"/>
      <c r="AJ183" s="200"/>
      <c r="AK183" s="476"/>
      <c r="AL183" s="200" t="s">
        <v>230</v>
      </c>
      <c r="AM183" s="200"/>
      <c r="AN183" s="200"/>
      <c r="AO183" s="200"/>
      <c r="AP183" s="476"/>
      <c r="AQ183" s="200" t="s">
        <v>230</v>
      </c>
      <c r="AR183" s="200"/>
      <c r="AS183" s="200"/>
      <c r="AT183" s="200"/>
      <c r="AU183" s="425"/>
      <c r="AV183" s="545" t="s">
        <v>230</v>
      </c>
      <c r="AW183" s="425"/>
      <c r="AX183" s="49"/>
      <c r="AY183" s="296"/>
      <c r="AZ183" s="541"/>
      <c r="BA183" s="554" t="s">
        <v>230</v>
      </c>
      <c r="BB183" s="541"/>
      <c r="BC183" s="49"/>
      <c r="BD183" s="327"/>
      <c r="BE183" s="556"/>
      <c r="BF183" s="557" t="s">
        <v>230</v>
      </c>
      <c r="BG183" s="556"/>
      <c r="BH183" s="49"/>
      <c r="BI183" s="346"/>
      <c r="BJ183" s="558"/>
      <c r="BK183" s="587" t="s">
        <v>230</v>
      </c>
      <c r="BL183" s="558"/>
      <c r="BM183" s="49"/>
      <c r="BN183" s="429"/>
      <c r="BO183" s="485"/>
      <c r="BP183" s="596" t="s">
        <v>230</v>
      </c>
      <c r="BQ183" s="485"/>
      <c r="BR183" s="49"/>
      <c r="BS183" s="353"/>
      <c r="BT183" s="472"/>
      <c r="BU183" s="586" t="s">
        <v>230</v>
      </c>
      <c r="BV183" s="472"/>
      <c r="BW183" s="49"/>
      <c r="BX183" s="368"/>
      <c r="BY183" s="578"/>
      <c r="BZ183" s="593" t="s">
        <v>230</v>
      </c>
      <c r="CA183" s="578"/>
      <c r="CB183" s="49"/>
      <c r="CC183" s="388"/>
      <c r="CD183" s="488"/>
      <c r="CE183" s="595" t="s">
        <v>230</v>
      </c>
      <c r="CF183" s="595"/>
      <c r="CG183" s="49"/>
      <c r="CH183" s="402"/>
      <c r="CI183" s="439"/>
      <c r="CJ183" s="867" t="s">
        <v>230</v>
      </c>
      <c r="CK183" s="439"/>
      <c r="CL183" s="49"/>
      <c r="CM183" s="402"/>
      <c r="CN183" s="439"/>
      <c r="CO183" s="867" t="s">
        <v>230</v>
      </c>
      <c r="CP183" s="672"/>
      <c r="CQ183" s="49"/>
      <c r="CR183" s="419"/>
      <c r="CS183" s="487"/>
      <c r="CT183" s="575" t="s">
        <v>230</v>
      </c>
      <c r="CU183" s="729"/>
      <c r="CV183" s="49"/>
      <c r="CW183" s="453"/>
      <c r="CX183" s="455"/>
      <c r="CY183" s="631"/>
      <c r="CZ183" s="455"/>
      <c r="DA183" s="49"/>
      <c r="DB183" s="457"/>
      <c r="DC183" s="475"/>
      <c r="DD183" s="632"/>
      <c r="DE183" s="475"/>
      <c r="DF183" s="49"/>
      <c r="DG183" s="458"/>
      <c r="DH183" s="459"/>
      <c r="DI183" s="633"/>
      <c r="DJ183" s="459"/>
      <c r="DK183" s="49"/>
      <c r="DL183" s="620"/>
      <c r="DM183" s="637"/>
      <c r="DN183" s="637"/>
      <c r="DO183" s="637"/>
      <c r="DP183" s="49"/>
      <c r="DQ183" s="461"/>
      <c r="DR183" s="462"/>
      <c r="DS183" s="462"/>
      <c r="DT183" s="462"/>
      <c r="DU183" s="49"/>
      <c r="DV183" s="463"/>
      <c r="DW183" s="464"/>
      <c r="DX183" s="464"/>
      <c r="DY183" s="464"/>
      <c r="DZ183" s="49"/>
      <c r="EA183" s="465"/>
      <c r="EB183" s="466"/>
      <c r="EC183" s="426"/>
      <c r="ED183" s="456"/>
      <c r="EE183" s="47"/>
      <c r="EF183" s="16"/>
    </row>
    <row r="184" ht="17.25" customHeight="1">
      <c r="A184" s="16"/>
      <c r="B184" s="47"/>
      <c r="C184" s="170"/>
      <c r="D184" s="171"/>
      <c r="E184" s="49"/>
      <c r="F184" s="200"/>
      <c r="G184" s="200"/>
      <c r="H184" s="200" t="s">
        <v>230</v>
      </c>
      <c r="I184" s="200"/>
      <c r="J184" s="200"/>
      <c r="K184" s="200"/>
      <c r="L184" s="476"/>
      <c r="M184" s="200" t="s">
        <v>230</v>
      </c>
      <c r="N184" s="200"/>
      <c r="O184" s="200"/>
      <c r="P184" s="200"/>
      <c r="Q184" s="476"/>
      <c r="R184" s="200" t="s">
        <v>230</v>
      </c>
      <c r="S184" s="200"/>
      <c r="T184" s="200"/>
      <c r="U184" s="200"/>
      <c r="V184" s="476"/>
      <c r="W184" s="200" t="s">
        <v>230</v>
      </c>
      <c r="X184" s="200"/>
      <c r="Y184" s="200"/>
      <c r="Z184" s="200"/>
      <c r="AA184" s="476"/>
      <c r="AB184" s="200" t="s">
        <v>230</v>
      </c>
      <c r="AC184" s="200"/>
      <c r="AD184" s="200"/>
      <c r="AE184" s="200"/>
      <c r="AF184" s="200"/>
      <c r="AG184" s="200" t="s">
        <v>230</v>
      </c>
      <c r="AH184" s="200"/>
      <c r="AI184" s="200"/>
      <c r="AJ184" s="200"/>
      <c r="AK184" s="476"/>
      <c r="AL184" s="200" t="s">
        <v>230</v>
      </c>
      <c r="AM184" s="200"/>
      <c r="AN184" s="200"/>
      <c r="AO184" s="200"/>
      <c r="AP184" s="476"/>
      <c r="AQ184" s="200" t="s">
        <v>230</v>
      </c>
      <c r="AR184" s="200"/>
      <c r="AS184" s="200"/>
      <c r="AT184" s="200"/>
      <c r="AU184" s="425"/>
      <c r="AV184" s="545" t="s">
        <v>230</v>
      </c>
      <c r="AW184" s="425"/>
      <c r="AX184" s="49"/>
      <c r="AY184" s="296"/>
      <c r="AZ184" s="541"/>
      <c r="BA184" s="554" t="s">
        <v>230</v>
      </c>
      <c r="BB184" s="541"/>
      <c r="BC184" s="49"/>
      <c r="BD184" s="327"/>
      <c r="BE184" s="556"/>
      <c r="BF184" s="557" t="s">
        <v>230</v>
      </c>
      <c r="BG184" s="556"/>
      <c r="BH184" s="49"/>
      <c r="BI184" s="346"/>
      <c r="BJ184" s="558"/>
      <c r="BK184" s="587" t="s">
        <v>230</v>
      </c>
      <c r="BL184" s="558"/>
      <c r="BM184" s="49"/>
      <c r="BN184" s="429"/>
      <c r="BO184" s="485"/>
      <c r="BP184" s="596" t="s">
        <v>230</v>
      </c>
      <c r="BQ184" s="485"/>
      <c r="BR184" s="49"/>
      <c r="BS184" s="353"/>
      <c r="BT184" s="472"/>
      <c r="BU184" s="586" t="s">
        <v>230</v>
      </c>
      <c r="BV184" s="472"/>
      <c r="BW184" s="49"/>
      <c r="BX184" s="368"/>
      <c r="BY184" s="578"/>
      <c r="BZ184" s="593" t="s">
        <v>230</v>
      </c>
      <c r="CA184" s="578"/>
      <c r="CB184" s="49"/>
      <c r="CC184" s="388"/>
      <c r="CD184" s="488"/>
      <c r="CE184" s="595" t="s">
        <v>230</v>
      </c>
      <c r="CF184" s="595"/>
      <c r="CG184" s="49"/>
      <c r="CH184" s="402"/>
      <c r="CI184" s="439"/>
      <c r="CJ184" s="867" t="s">
        <v>230</v>
      </c>
      <c r="CK184" s="439"/>
      <c r="CL184" s="49"/>
      <c r="CM184" s="402"/>
      <c r="CN184" s="439"/>
      <c r="CO184" s="867" t="s">
        <v>230</v>
      </c>
      <c r="CP184" s="672"/>
      <c r="CQ184" s="49"/>
      <c r="CR184" s="419"/>
      <c r="CS184" s="487"/>
      <c r="CT184" s="575" t="s">
        <v>230</v>
      </c>
      <c r="CU184" s="729"/>
      <c r="CV184" s="49"/>
      <c r="CW184" s="453"/>
      <c r="CX184" s="455"/>
      <c r="CY184" s="631"/>
      <c r="CZ184" s="455"/>
      <c r="DA184" s="49"/>
      <c r="DB184" s="457"/>
      <c r="DC184" s="475"/>
      <c r="DD184" s="632"/>
      <c r="DE184" s="475"/>
      <c r="DF184" s="49"/>
      <c r="DG184" s="458"/>
      <c r="DH184" s="459"/>
      <c r="DI184" s="633"/>
      <c r="DJ184" s="459"/>
      <c r="DK184" s="49"/>
      <c r="DL184" s="620"/>
      <c r="DM184" s="637"/>
      <c r="DN184" s="637"/>
      <c r="DO184" s="637"/>
      <c r="DP184" s="49"/>
      <c r="DQ184" s="461"/>
      <c r="DR184" s="462"/>
      <c r="DS184" s="462"/>
      <c r="DT184" s="462"/>
      <c r="DU184" s="49"/>
      <c r="DV184" s="463"/>
      <c r="DW184" s="464"/>
      <c r="DX184" s="464"/>
      <c r="DY184" s="464"/>
      <c r="DZ184" s="49"/>
      <c r="EA184" s="465"/>
      <c r="EB184" s="466"/>
      <c r="EC184" s="426"/>
      <c r="ED184" s="456"/>
      <c r="EE184" s="47"/>
      <c r="EF184" s="16"/>
    </row>
    <row r="185" ht="17.25" customHeight="1">
      <c r="A185" s="16"/>
      <c r="B185" s="47"/>
      <c r="C185" s="170"/>
      <c r="D185" s="171"/>
      <c r="E185" s="49"/>
      <c r="F185" s="200"/>
      <c r="G185" s="200"/>
      <c r="H185" s="200" t="s">
        <v>230</v>
      </c>
      <c r="I185" s="200"/>
      <c r="J185" s="200"/>
      <c r="K185" s="200"/>
      <c r="L185" s="476"/>
      <c r="M185" s="200" t="s">
        <v>230</v>
      </c>
      <c r="N185" s="200"/>
      <c r="O185" s="200"/>
      <c r="P185" s="200"/>
      <c r="Q185" s="476"/>
      <c r="R185" s="200" t="s">
        <v>230</v>
      </c>
      <c r="S185" s="200"/>
      <c r="T185" s="200"/>
      <c r="U185" s="200"/>
      <c r="V185" s="476"/>
      <c r="W185" s="200" t="s">
        <v>230</v>
      </c>
      <c r="X185" s="200"/>
      <c r="Y185" s="200"/>
      <c r="Z185" s="200"/>
      <c r="AA185" s="476"/>
      <c r="AB185" s="200" t="s">
        <v>230</v>
      </c>
      <c r="AC185" s="200"/>
      <c r="AD185" s="200"/>
      <c r="AE185" s="200"/>
      <c r="AF185" s="200"/>
      <c r="AG185" s="200" t="s">
        <v>230</v>
      </c>
      <c r="AH185" s="200"/>
      <c r="AI185" s="200"/>
      <c r="AJ185" s="200"/>
      <c r="AK185" s="476"/>
      <c r="AL185" s="200" t="s">
        <v>230</v>
      </c>
      <c r="AM185" s="200"/>
      <c r="AN185" s="200"/>
      <c r="AO185" s="200"/>
      <c r="AP185" s="476"/>
      <c r="AQ185" s="200" t="s">
        <v>230</v>
      </c>
      <c r="AR185" s="200"/>
      <c r="AS185" s="200"/>
      <c r="AT185" s="200"/>
      <c r="AU185" s="425"/>
      <c r="AV185" s="545" t="s">
        <v>230</v>
      </c>
      <c r="AW185" s="425"/>
      <c r="AX185" s="49"/>
      <c r="AY185" s="296"/>
      <c r="AZ185" s="541"/>
      <c r="BA185" s="554" t="s">
        <v>230</v>
      </c>
      <c r="BB185" s="541"/>
      <c r="BC185" s="49"/>
      <c r="BD185" s="327"/>
      <c r="BE185" s="556"/>
      <c r="BF185" s="557" t="s">
        <v>230</v>
      </c>
      <c r="BG185" s="556"/>
      <c r="BH185" s="49"/>
      <c r="BI185" s="346"/>
      <c r="BJ185" s="558"/>
      <c r="BK185" s="587" t="s">
        <v>230</v>
      </c>
      <c r="BL185" s="558"/>
      <c r="BM185" s="49"/>
      <c r="BN185" s="429"/>
      <c r="BO185" s="485"/>
      <c r="BP185" s="596" t="s">
        <v>230</v>
      </c>
      <c r="BQ185" s="485"/>
      <c r="BR185" s="49"/>
      <c r="BS185" s="353"/>
      <c r="BT185" s="472"/>
      <c r="BU185" s="586" t="s">
        <v>230</v>
      </c>
      <c r="BV185" s="472"/>
      <c r="BW185" s="49"/>
      <c r="BX185" s="368"/>
      <c r="BY185" s="578"/>
      <c r="BZ185" s="593" t="s">
        <v>230</v>
      </c>
      <c r="CA185" s="578"/>
      <c r="CB185" s="49"/>
      <c r="CC185" s="388"/>
      <c r="CD185" s="488"/>
      <c r="CE185" s="595" t="s">
        <v>230</v>
      </c>
      <c r="CF185" s="595"/>
      <c r="CG185" s="49"/>
      <c r="CH185" s="402"/>
      <c r="CI185" s="439"/>
      <c r="CJ185" s="867" t="s">
        <v>230</v>
      </c>
      <c r="CK185" s="439"/>
      <c r="CL185" s="49"/>
      <c r="CM185" s="402"/>
      <c r="CN185" s="439"/>
      <c r="CO185" s="867" t="s">
        <v>230</v>
      </c>
      <c r="CP185" s="672"/>
      <c r="CQ185" s="49"/>
      <c r="CR185" s="419"/>
      <c r="CS185" s="487"/>
      <c r="CT185" s="575" t="s">
        <v>230</v>
      </c>
      <c r="CU185" s="729"/>
      <c r="CV185" s="49"/>
      <c r="CW185" s="453"/>
      <c r="CX185" s="455"/>
      <c r="CY185" s="631"/>
      <c r="CZ185" s="455"/>
      <c r="DA185" s="49"/>
      <c r="DB185" s="457"/>
      <c r="DC185" s="475"/>
      <c r="DD185" s="632"/>
      <c r="DE185" s="475"/>
      <c r="DF185" s="49"/>
      <c r="DG185" s="458"/>
      <c r="DH185" s="459"/>
      <c r="DI185" s="633"/>
      <c r="DJ185" s="459"/>
      <c r="DK185" s="49"/>
      <c r="DL185" s="620"/>
      <c r="DM185" s="637"/>
      <c r="DN185" s="637"/>
      <c r="DO185" s="637"/>
      <c r="DP185" s="49"/>
      <c r="DQ185" s="461"/>
      <c r="DR185" s="462"/>
      <c r="DS185" s="462"/>
      <c r="DT185" s="462"/>
      <c r="DU185" s="49"/>
      <c r="DV185" s="463"/>
      <c r="DW185" s="464"/>
      <c r="DX185" s="464"/>
      <c r="DY185" s="464"/>
      <c r="DZ185" s="49"/>
      <c r="EA185" s="465"/>
      <c r="EB185" s="466"/>
      <c r="EC185" s="426"/>
      <c r="ED185" s="456"/>
      <c r="EE185" s="47"/>
      <c r="EF185" s="16"/>
    </row>
    <row r="186" ht="17.25" customHeight="1">
      <c r="A186" s="16"/>
      <c r="B186" s="47"/>
      <c r="C186" s="170"/>
      <c r="D186" s="171"/>
      <c r="E186" s="49"/>
      <c r="F186" s="200"/>
      <c r="G186" s="200"/>
      <c r="H186" s="200" t="s">
        <v>230</v>
      </c>
      <c r="I186" s="200"/>
      <c r="J186" s="200"/>
      <c r="K186" s="200"/>
      <c r="L186" s="476"/>
      <c r="M186" s="200" t="s">
        <v>230</v>
      </c>
      <c r="N186" s="200"/>
      <c r="O186" s="200"/>
      <c r="P186" s="200"/>
      <c r="Q186" s="476"/>
      <c r="R186" s="200" t="s">
        <v>230</v>
      </c>
      <c r="S186" s="200"/>
      <c r="T186" s="200"/>
      <c r="U186" s="200"/>
      <c r="V186" s="476"/>
      <c r="W186" s="200" t="s">
        <v>230</v>
      </c>
      <c r="X186" s="200"/>
      <c r="Y186" s="200"/>
      <c r="Z186" s="200"/>
      <c r="AA186" s="476"/>
      <c r="AB186" s="200" t="s">
        <v>230</v>
      </c>
      <c r="AC186" s="200"/>
      <c r="AD186" s="200"/>
      <c r="AE186" s="200"/>
      <c r="AF186" s="200"/>
      <c r="AG186" s="200" t="s">
        <v>230</v>
      </c>
      <c r="AH186" s="200"/>
      <c r="AI186" s="200"/>
      <c r="AJ186" s="200"/>
      <c r="AK186" s="476"/>
      <c r="AL186" s="200" t="s">
        <v>230</v>
      </c>
      <c r="AM186" s="200"/>
      <c r="AN186" s="200"/>
      <c r="AO186" s="200"/>
      <c r="AP186" s="476"/>
      <c r="AQ186" s="200" t="s">
        <v>230</v>
      </c>
      <c r="AR186" s="200"/>
      <c r="AS186" s="200"/>
      <c r="AT186" s="200"/>
      <c r="AU186" s="425"/>
      <c r="AV186" s="545" t="s">
        <v>230</v>
      </c>
      <c r="AW186" s="425"/>
      <c r="AX186" s="49"/>
      <c r="AY186" s="296"/>
      <c r="AZ186" s="541"/>
      <c r="BA186" s="554" t="s">
        <v>230</v>
      </c>
      <c r="BB186" s="541"/>
      <c r="BC186" s="49"/>
      <c r="BD186" s="327"/>
      <c r="BE186" s="556"/>
      <c r="BF186" s="557" t="s">
        <v>230</v>
      </c>
      <c r="BG186" s="556"/>
      <c r="BH186" s="49"/>
      <c r="BI186" s="346"/>
      <c r="BJ186" s="558"/>
      <c r="BK186" s="587" t="s">
        <v>230</v>
      </c>
      <c r="BL186" s="558"/>
      <c r="BM186" s="49"/>
      <c r="BN186" s="429"/>
      <c r="BO186" s="485"/>
      <c r="BP186" s="596" t="s">
        <v>230</v>
      </c>
      <c r="BQ186" s="485"/>
      <c r="BR186" s="49"/>
      <c r="BS186" s="353"/>
      <c r="BT186" s="472"/>
      <c r="BU186" s="586" t="s">
        <v>230</v>
      </c>
      <c r="BV186" s="472"/>
      <c r="BW186" s="49"/>
      <c r="BX186" s="368"/>
      <c r="BY186" s="578"/>
      <c r="BZ186" s="593" t="s">
        <v>230</v>
      </c>
      <c r="CA186" s="578"/>
      <c r="CB186" s="49"/>
      <c r="CC186" s="388"/>
      <c r="CD186" s="488"/>
      <c r="CE186" s="595" t="s">
        <v>230</v>
      </c>
      <c r="CF186" s="595"/>
      <c r="CG186" s="49"/>
      <c r="CH186" s="402"/>
      <c r="CI186" s="439"/>
      <c r="CJ186" s="867" t="s">
        <v>230</v>
      </c>
      <c r="CK186" s="439"/>
      <c r="CL186" s="49"/>
      <c r="CM186" s="402"/>
      <c r="CN186" s="439"/>
      <c r="CO186" s="867" t="s">
        <v>230</v>
      </c>
      <c r="CP186" s="672"/>
      <c r="CQ186" s="49"/>
      <c r="CR186" s="419"/>
      <c r="CS186" s="487"/>
      <c r="CT186" s="575" t="s">
        <v>230</v>
      </c>
      <c r="CU186" s="729"/>
      <c r="CV186" s="49"/>
      <c r="CW186" s="453"/>
      <c r="CX186" s="455"/>
      <c r="CY186" s="631"/>
      <c r="CZ186" s="455"/>
      <c r="DA186" s="49"/>
      <c r="DB186" s="457"/>
      <c r="DC186" s="475"/>
      <c r="DD186" s="632"/>
      <c r="DE186" s="475"/>
      <c r="DF186" s="49"/>
      <c r="DG186" s="458"/>
      <c r="DH186" s="459"/>
      <c r="DI186" s="633"/>
      <c r="DJ186" s="459"/>
      <c r="DK186" s="49"/>
      <c r="DL186" s="620"/>
      <c r="DM186" s="637"/>
      <c r="DN186" s="637"/>
      <c r="DO186" s="637"/>
      <c r="DP186" s="49"/>
      <c r="DQ186" s="461"/>
      <c r="DR186" s="462"/>
      <c r="DS186" s="462"/>
      <c r="DT186" s="462"/>
      <c r="DU186" s="49"/>
      <c r="DV186" s="463"/>
      <c r="DW186" s="464"/>
      <c r="DX186" s="464"/>
      <c r="DY186" s="464"/>
      <c r="DZ186" s="49"/>
      <c r="EA186" s="465"/>
      <c r="EB186" s="466"/>
      <c r="EC186" s="426"/>
      <c r="ED186" s="456"/>
      <c r="EE186" s="47"/>
      <c r="EF186" s="16"/>
    </row>
    <row r="187" ht="17.25" customHeight="1">
      <c r="A187" s="16"/>
      <c r="B187" s="47"/>
      <c r="C187" s="170"/>
      <c r="D187" s="171"/>
      <c r="E187" s="49"/>
      <c r="F187" s="200"/>
      <c r="G187" s="200"/>
      <c r="H187" s="200" t="s">
        <v>230</v>
      </c>
      <c r="I187" s="200"/>
      <c r="J187" s="200"/>
      <c r="K187" s="200"/>
      <c r="L187" s="476"/>
      <c r="M187" s="200" t="s">
        <v>230</v>
      </c>
      <c r="N187" s="200"/>
      <c r="O187" s="200"/>
      <c r="P187" s="200"/>
      <c r="Q187" s="476"/>
      <c r="R187" s="200" t="s">
        <v>230</v>
      </c>
      <c r="S187" s="200"/>
      <c r="T187" s="200"/>
      <c r="U187" s="200"/>
      <c r="V187" s="476"/>
      <c r="W187" s="200" t="s">
        <v>230</v>
      </c>
      <c r="X187" s="200"/>
      <c r="Y187" s="200"/>
      <c r="Z187" s="200"/>
      <c r="AA187" s="476"/>
      <c r="AB187" s="200" t="s">
        <v>230</v>
      </c>
      <c r="AC187" s="200"/>
      <c r="AD187" s="200"/>
      <c r="AE187" s="200"/>
      <c r="AF187" s="200"/>
      <c r="AG187" s="200" t="s">
        <v>230</v>
      </c>
      <c r="AH187" s="200"/>
      <c r="AI187" s="200"/>
      <c r="AJ187" s="200"/>
      <c r="AK187" s="476"/>
      <c r="AL187" s="200" t="s">
        <v>230</v>
      </c>
      <c r="AM187" s="200"/>
      <c r="AN187" s="200"/>
      <c r="AO187" s="200"/>
      <c r="AP187" s="476"/>
      <c r="AQ187" s="200" t="s">
        <v>230</v>
      </c>
      <c r="AR187" s="200"/>
      <c r="AS187" s="200"/>
      <c r="AT187" s="200"/>
      <c r="AU187" s="425"/>
      <c r="AV187" s="545" t="s">
        <v>230</v>
      </c>
      <c r="AW187" s="425"/>
      <c r="AX187" s="49"/>
      <c r="AY187" s="296"/>
      <c r="AZ187" s="541"/>
      <c r="BA187" s="554" t="s">
        <v>230</v>
      </c>
      <c r="BB187" s="541"/>
      <c r="BC187" s="49"/>
      <c r="BD187" s="327"/>
      <c r="BE187" s="556"/>
      <c r="BF187" s="557" t="s">
        <v>230</v>
      </c>
      <c r="BG187" s="556"/>
      <c r="BH187" s="49"/>
      <c r="BI187" s="346"/>
      <c r="BJ187" s="558"/>
      <c r="BK187" s="587" t="s">
        <v>230</v>
      </c>
      <c r="BL187" s="558"/>
      <c r="BM187" s="49"/>
      <c r="BN187" s="429"/>
      <c r="BO187" s="485"/>
      <c r="BP187" s="596" t="s">
        <v>230</v>
      </c>
      <c r="BQ187" s="485"/>
      <c r="BR187" s="49"/>
      <c r="BS187" s="353"/>
      <c r="BT187" s="472"/>
      <c r="BU187" s="586" t="s">
        <v>230</v>
      </c>
      <c r="BV187" s="472"/>
      <c r="BW187" s="49"/>
      <c r="BX187" s="368"/>
      <c r="BY187" s="578"/>
      <c r="BZ187" s="593" t="s">
        <v>230</v>
      </c>
      <c r="CA187" s="578"/>
      <c r="CB187" s="49"/>
      <c r="CC187" s="388"/>
      <c r="CD187" s="488"/>
      <c r="CE187" s="595" t="s">
        <v>230</v>
      </c>
      <c r="CF187" s="595"/>
      <c r="CG187" s="49"/>
      <c r="CH187" s="402"/>
      <c r="CI187" s="439"/>
      <c r="CJ187" s="867" t="s">
        <v>230</v>
      </c>
      <c r="CK187" s="439"/>
      <c r="CL187" s="49"/>
      <c r="CM187" s="402"/>
      <c r="CN187" s="439"/>
      <c r="CO187" s="867" t="s">
        <v>230</v>
      </c>
      <c r="CP187" s="672"/>
      <c r="CQ187" s="49"/>
      <c r="CR187" s="419"/>
      <c r="CS187" s="487"/>
      <c r="CT187" s="575" t="s">
        <v>230</v>
      </c>
      <c r="CU187" s="729"/>
      <c r="CV187" s="49"/>
      <c r="CW187" s="453"/>
      <c r="CX187" s="455"/>
      <c r="CY187" s="631"/>
      <c r="CZ187" s="455"/>
      <c r="DA187" s="49"/>
      <c r="DB187" s="457"/>
      <c r="DC187" s="475"/>
      <c r="DD187" s="632"/>
      <c r="DE187" s="475"/>
      <c r="DF187" s="49"/>
      <c r="DG187" s="458"/>
      <c r="DH187" s="459"/>
      <c r="DI187" s="633"/>
      <c r="DJ187" s="459"/>
      <c r="DK187" s="49"/>
      <c r="DL187" s="620"/>
      <c r="DM187" s="637"/>
      <c r="DN187" s="637"/>
      <c r="DO187" s="637"/>
      <c r="DP187" s="49"/>
      <c r="DQ187" s="461"/>
      <c r="DR187" s="462"/>
      <c r="DS187" s="462"/>
      <c r="DT187" s="462"/>
      <c r="DU187" s="49"/>
      <c r="DV187" s="463"/>
      <c r="DW187" s="464"/>
      <c r="DX187" s="464"/>
      <c r="DY187" s="464"/>
      <c r="DZ187" s="49"/>
      <c r="EA187" s="465"/>
      <c r="EB187" s="466"/>
      <c r="EC187" s="426"/>
      <c r="ED187" s="456"/>
      <c r="EE187" s="47"/>
      <c r="EF187" s="16"/>
    </row>
    <row r="188" ht="17.25" customHeight="1">
      <c r="A188" s="16"/>
      <c r="B188" s="47"/>
      <c r="C188" s="170"/>
      <c r="D188" s="171"/>
      <c r="E188" s="49"/>
      <c r="F188" s="200"/>
      <c r="G188" s="200"/>
      <c r="H188" s="200" t="s">
        <v>230</v>
      </c>
      <c r="I188" s="200"/>
      <c r="J188" s="200"/>
      <c r="K188" s="200"/>
      <c r="L188" s="476"/>
      <c r="M188" s="200" t="s">
        <v>230</v>
      </c>
      <c r="N188" s="200"/>
      <c r="O188" s="200"/>
      <c r="P188" s="200"/>
      <c r="Q188" s="476"/>
      <c r="R188" s="200" t="s">
        <v>230</v>
      </c>
      <c r="S188" s="200"/>
      <c r="T188" s="200"/>
      <c r="U188" s="200"/>
      <c r="V188" s="476"/>
      <c r="W188" s="200" t="s">
        <v>230</v>
      </c>
      <c r="X188" s="200"/>
      <c r="Y188" s="200"/>
      <c r="Z188" s="200"/>
      <c r="AA188" s="476"/>
      <c r="AB188" s="200" t="s">
        <v>230</v>
      </c>
      <c r="AC188" s="200"/>
      <c r="AD188" s="200"/>
      <c r="AE188" s="200"/>
      <c r="AF188" s="200"/>
      <c r="AG188" s="200" t="s">
        <v>230</v>
      </c>
      <c r="AH188" s="200"/>
      <c r="AI188" s="200"/>
      <c r="AJ188" s="200"/>
      <c r="AK188" s="476"/>
      <c r="AL188" s="200" t="s">
        <v>230</v>
      </c>
      <c r="AM188" s="200"/>
      <c r="AN188" s="200"/>
      <c r="AO188" s="200"/>
      <c r="AP188" s="476"/>
      <c r="AQ188" s="200" t="s">
        <v>230</v>
      </c>
      <c r="AR188" s="200"/>
      <c r="AS188" s="200"/>
      <c r="AT188" s="200"/>
      <c r="AU188" s="425"/>
      <c r="AV188" s="545" t="s">
        <v>230</v>
      </c>
      <c r="AW188" s="425"/>
      <c r="AX188" s="49"/>
      <c r="AY188" s="296"/>
      <c r="AZ188" s="541"/>
      <c r="BA188" s="554" t="s">
        <v>230</v>
      </c>
      <c r="BB188" s="541"/>
      <c r="BC188" s="49"/>
      <c r="BD188" s="327"/>
      <c r="BE188" s="556"/>
      <c r="BF188" s="557" t="s">
        <v>230</v>
      </c>
      <c r="BG188" s="556"/>
      <c r="BH188" s="49"/>
      <c r="BI188" s="346"/>
      <c r="BJ188" s="558"/>
      <c r="BK188" s="587" t="s">
        <v>230</v>
      </c>
      <c r="BL188" s="558"/>
      <c r="BM188" s="49"/>
      <c r="BN188" s="429"/>
      <c r="BO188" s="485"/>
      <c r="BP188" s="596" t="s">
        <v>230</v>
      </c>
      <c r="BQ188" s="485"/>
      <c r="BR188" s="49"/>
      <c r="BS188" s="353"/>
      <c r="BT188" s="472"/>
      <c r="BU188" s="586" t="s">
        <v>230</v>
      </c>
      <c r="BV188" s="472"/>
      <c r="BW188" s="49"/>
      <c r="BX188" s="368"/>
      <c r="BY188" s="578"/>
      <c r="BZ188" s="593" t="s">
        <v>230</v>
      </c>
      <c r="CA188" s="578"/>
      <c r="CB188" s="49"/>
      <c r="CC188" s="388"/>
      <c r="CD188" s="488"/>
      <c r="CE188" s="595" t="s">
        <v>230</v>
      </c>
      <c r="CF188" s="595"/>
      <c r="CG188" s="49"/>
      <c r="CH188" s="402"/>
      <c r="CI188" s="439"/>
      <c r="CJ188" s="867" t="s">
        <v>230</v>
      </c>
      <c r="CK188" s="439"/>
      <c r="CL188" s="49"/>
      <c r="CM188" s="402"/>
      <c r="CN188" s="439"/>
      <c r="CO188" s="867" t="s">
        <v>230</v>
      </c>
      <c r="CP188" s="672"/>
      <c r="CQ188" s="49"/>
      <c r="CR188" s="419"/>
      <c r="CS188" s="487"/>
      <c r="CT188" s="575" t="s">
        <v>230</v>
      </c>
      <c r="CU188" s="729"/>
      <c r="CV188" s="49"/>
      <c r="CW188" s="453"/>
      <c r="CX188" s="455"/>
      <c r="CY188" s="631"/>
      <c r="CZ188" s="455"/>
      <c r="DA188" s="49"/>
      <c r="DB188" s="457"/>
      <c r="DC188" s="475"/>
      <c r="DD188" s="632"/>
      <c r="DE188" s="475"/>
      <c r="DF188" s="49"/>
      <c r="DG188" s="458"/>
      <c r="DH188" s="459"/>
      <c r="DI188" s="633"/>
      <c r="DJ188" s="459"/>
      <c r="DK188" s="49"/>
      <c r="DL188" s="620"/>
      <c r="DM188" s="637"/>
      <c r="DN188" s="637"/>
      <c r="DO188" s="637"/>
      <c r="DP188" s="49"/>
      <c r="DQ188" s="461"/>
      <c r="DR188" s="462"/>
      <c r="DS188" s="462"/>
      <c r="DT188" s="462"/>
      <c r="DU188" s="49"/>
      <c r="DV188" s="463"/>
      <c r="DW188" s="464"/>
      <c r="DX188" s="464"/>
      <c r="DY188" s="464"/>
      <c r="DZ188" s="49"/>
      <c r="EA188" s="465"/>
      <c r="EB188" s="466"/>
      <c r="EC188" s="426"/>
      <c r="ED188" s="456"/>
      <c r="EE188" s="47"/>
      <c r="EF188" s="16"/>
    </row>
    <row r="189" ht="17.25" customHeight="1">
      <c r="A189" s="16"/>
      <c r="B189" s="47"/>
      <c r="C189" s="170"/>
      <c r="D189" s="171"/>
      <c r="E189" s="49"/>
      <c r="F189" s="200"/>
      <c r="G189" s="200"/>
      <c r="H189" s="200" t="s">
        <v>230</v>
      </c>
      <c r="I189" s="200"/>
      <c r="J189" s="200"/>
      <c r="K189" s="200"/>
      <c r="L189" s="476"/>
      <c r="M189" s="200" t="s">
        <v>230</v>
      </c>
      <c r="N189" s="200"/>
      <c r="O189" s="200"/>
      <c r="P189" s="200"/>
      <c r="Q189" s="476"/>
      <c r="R189" s="200" t="s">
        <v>230</v>
      </c>
      <c r="S189" s="200"/>
      <c r="T189" s="200"/>
      <c r="U189" s="200"/>
      <c r="V189" s="476"/>
      <c r="W189" s="200" t="s">
        <v>230</v>
      </c>
      <c r="X189" s="200"/>
      <c r="Y189" s="200"/>
      <c r="Z189" s="200"/>
      <c r="AA189" s="476"/>
      <c r="AB189" s="200" t="s">
        <v>230</v>
      </c>
      <c r="AC189" s="200"/>
      <c r="AD189" s="200"/>
      <c r="AE189" s="200"/>
      <c r="AF189" s="200"/>
      <c r="AG189" s="200" t="s">
        <v>230</v>
      </c>
      <c r="AH189" s="200"/>
      <c r="AI189" s="200"/>
      <c r="AJ189" s="200"/>
      <c r="AK189" s="476"/>
      <c r="AL189" s="200" t="s">
        <v>230</v>
      </c>
      <c r="AM189" s="200"/>
      <c r="AN189" s="200"/>
      <c r="AO189" s="200"/>
      <c r="AP189" s="476"/>
      <c r="AQ189" s="200" t="s">
        <v>230</v>
      </c>
      <c r="AR189" s="200"/>
      <c r="AS189" s="200"/>
      <c r="AT189" s="200"/>
      <c r="AU189" s="425"/>
      <c r="AV189" s="545" t="s">
        <v>230</v>
      </c>
      <c r="AW189" s="425"/>
      <c r="AX189" s="49"/>
      <c r="AY189" s="296"/>
      <c r="AZ189" s="541"/>
      <c r="BA189" s="554" t="s">
        <v>230</v>
      </c>
      <c r="BB189" s="541"/>
      <c r="BC189" s="49"/>
      <c r="BD189" s="327"/>
      <c r="BE189" s="556"/>
      <c r="BF189" s="557" t="s">
        <v>230</v>
      </c>
      <c r="BG189" s="556"/>
      <c r="BH189" s="49"/>
      <c r="BI189" s="346"/>
      <c r="BJ189" s="558"/>
      <c r="BK189" s="587" t="s">
        <v>230</v>
      </c>
      <c r="BL189" s="558"/>
      <c r="BM189" s="49"/>
      <c r="BN189" s="429"/>
      <c r="BO189" s="485"/>
      <c r="BP189" s="596" t="s">
        <v>230</v>
      </c>
      <c r="BQ189" s="485"/>
      <c r="BR189" s="49"/>
      <c r="BS189" s="353"/>
      <c r="BT189" s="472"/>
      <c r="BU189" s="586" t="s">
        <v>230</v>
      </c>
      <c r="BV189" s="472"/>
      <c r="BW189" s="49"/>
      <c r="BX189" s="368"/>
      <c r="BY189" s="578"/>
      <c r="BZ189" s="593" t="s">
        <v>230</v>
      </c>
      <c r="CA189" s="578"/>
      <c r="CB189" s="49"/>
      <c r="CC189" s="388"/>
      <c r="CD189" s="488"/>
      <c r="CE189" s="595" t="s">
        <v>230</v>
      </c>
      <c r="CF189" s="595"/>
      <c r="CG189" s="49"/>
      <c r="CH189" s="402"/>
      <c r="CI189" s="439"/>
      <c r="CJ189" s="867" t="s">
        <v>230</v>
      </c>
      <c r="CK189" s="439"/>
      <c r="CL189" s="49"/>
      <c r="CM189" s="402"/>
      <c r="CN189" s="439"/>
      <c r="CO189" s="867" t="s">
        <v>230</v>
      </c>
      <c r="CP189" s="672"/>
      <c r="CQ189" s="49"/>
      <c r="CR189" s="419"/>
      <c r="CS189" s="487"/>
      <c r="CT189" s="575" t="s">
        <v>230</v>
      </c>
      <c r="CU189" s="729"/>
      <c r="CV189" s="49"/>
      <c r="CW189" s="453"/>
      <c r="CX189" s="455"/>
      <c r="CY189" s="631"/>
      <c r="CZ189" s="455"/>
      <c r="DA189" s="49"/>
      <c r="DB189" s="457"/>
      <c r="DC189" s="475"/>
      <c r="DD189" s="632"/>
      <c r="DE189" s="475"/>
      <c r="DF189" s="49"/>
      <c r="DG189" s="458"/>
      <c r="DH189" s="459"/>
      <c r="DI189" s="633"/>
      <c r="DJ189" s="459"/>
      <c r="DK189" s="49"/>
      <c r="DL189" s="620"/>
      <c r="DM189" s="637"/>
      <c r="DN189" s="637"/>
      <c r="DO189" s="637"/>
      <c r="DP189" s="49"/>
      <c r="DQ189" s="461"/>
      <c r="DR189" s="462"/>
      <c r="DS189" s="462"/>
      <c r="DT189" s="462"/>
      <c r="DU189" s="49"/>
      <c r="DV189" s="463"/>
      <c r="DW189" s="464"/>
      <c r="DX189" s="464"/>
      <c r="DY189" s="464"/>
      <c r="DZ189" s="49"/>
      <c r="EA189" s="465"/>
      <c r="EB189" s="466"/>
      <c r="EC189" s="426"/>
      <c r="ED189" s="456"/>
      <c r="EE189" s="47"/>
      <c r="EF189" s="16"/>
    </row>
    <row r="190" ht="17.25" customHeight="1">
      <c r="A190" s="16"/>
      <c r="B190" s="47"/>
      <c r="C190" s="170"/>
      <c r="D190" s="171"/>
      <c r="E190" s="49"/>
      <c r="F190" s="200"/>
      <c r="G190" s="200"/>
      <c r="H190" s="200" t="s">
        <v>230</v>
      </c>
      <c r="I190" s="200"/>
      <c r="J190" s="200"/>
      <c r="K190" s="200"/>
      <c r="L190" s="476"/>
      <c r="M190" s="200" t="s">
        <v>230</v>
      </c>
      <c r="N190" s="200"/>
      <c r="O190" s="200"/>
      <c r="P190" s="200"/>
      <c r="Q190" s="476"/>
      <c r="R190" s="200" t="s">
        <v>230</v>
      </c>
      <c r="S190" s="200"/>
      <c r="T190" s="200"/>
      <c r="U190" s="200"/>
      <c r="V190" s="476"/>
      <c r="W190" s="200" t="s">
        <v>230</v>
      </c>
      <c r="X190" s="200"/>
      <c r="Y190" s="200"/>
      <c r="Z190" s="200"/>
      <c r="AA190" s="476"/>
      <c r="AB190" s="200" t="s">
        <v>230</v>
      </c>
      <c r="AC190" s="200"/>
      <c r="AD190" s="200"/>
      <c r="AE190" s="200"/>
      <c r="AF190" s="200"/>
      <c r="AG190" s="200" t="s">
        <v>230</v>
      </c>
      <c r="AH190" s="200"/>
      <c r="AI190" s="200"/>
      <c r="AJ190" s="200"/>
      <c r="AK190" s="476"/>
      <c r="AL190" s="200" t="s">
        <v>230</v>
      </c>
      <c r="AM190" s="200"/>
      <c r="AN190" s="200"/>
      <c r="AO190" s="200"/>
      <c r="AP190" s="476"/>
      <c r="AQ190" s="200" t="s">
        <v>230</v>
      </c>
      <c r="AR190" s="200"/>
      <c r="AS190" s="200"/>
      <c r="AT190" s="200"/>
      <c r="AU190" s="425"/>
      <c r="AV190" s="545" t="s">
        <v>230</v>
      </c>
      <c r="AW190" s="425"/>
      <c r="AX190" s="49"/>
      <c r="AY190" s="296"/>
      <c r="AZ190" s="541"/>
      <c r="BA190" s="554" t="s">
        <v>230</v>
      </c>
      <c r="BB190" s="541"/>
      <c r="BC190" s="49"/>
      <c r="BD190" s="327"/>
      <c r="BE190" s="556"/>
      <c r="BF190" s="557" t="s">
        <v>230</v>
      </c>
      <c r="BG190" s="556"/>
      <c r="BH190" s="49"/>
      <c r="BI190" s="346"/>
      <c r="BJ190" s="558"/>
      <c r="BK190" s="587" t="s">
        <v>230</v>
      </c>
      <c r="BL190" s="558"/>
      <c r="BM190" s="49"/>
      <c r="BN190" s="429"/>
      <c r="BO190" s="485"/>
      <c r="BP190" s="596" t="s">
        <v>230</v>
      </c>
      <c r="BQ190" s="485"/>
      <c r="BR190" s="49"/>
      <c r="BS190" s="353"/>
      <c r="BT190" s="472"/>
      <c r="BU190" s="586" t="s">
        <v>230</v>
      </c>
      <c r="BV190" s="472"/>
      <c r="BW190" s="49"/>
      <c r="BX190" s="368"/>
      <c r="BY190" s="578"/>
      <c r="BZ190" s="593" t="s">
        <v>230</v>
      </c>
      <c r="CA190" s="578"/>
      <c r="CB190" s="49"/>
      <c r="CC190" s="388"/>
      <c r="CD190" s="488"/>
      <c r="CE190" s="595" t="s">
        <v>230</v>
      </c>
      <c r="CF190" s="595"/>
      <c r="CG190" s="49"/>
      <c r="CH190" s="402"/>
      <c r="CI190" s="439"/>
      <c r="CJ190" s="867" t="s">
        <v>230</v>
      </c>
      <c r="CK190" s="439"/>
      <c r="CL190" s="49"/>
      <c r="CM190" s="402"/>
      <c r="CN190" s="439"/>
      <c r="CO190" s="867" t="s">
        <v>230</v>
      </c>
      <c r="CP190" s="672"/>
      <c r="CQ190" s="49"/>
      <c r="CR190" s="419"/>
      <c r="CS190" s="487"/>
      <c r="CT190" s="575" t="s">
        <v>230</v>
      </c>
      <c r="CU190" s="729"/>
      <c r="CV190" s="49"/>
      <c r="CW190" s="453"/>
      <c r="CX190" s="455"/>
      <c r="CY190" s="631"/>
      <c r="CZ190" s="455"/>
      <c r="DA190" s="49"/>
      <c r="DB190" s="457"/>
      <c r="DC190" s="475"/>
      <c r="DD190" s="632"/>
      <c r="DE190" s="475"/>
      <c r="DF190" s="49"/>
      <c r="DG190" s="458"/>
      <c r="DH190" s="459"/>
      <c r="DI190" s="633"/>
      <c r="DJ190" s="459"/>
      <c r="DK190" s="49"/>
      <c r="DL190" s="620"/>
      <c r="DM190" s="637"/>
      <c r="DN190" s="637"/>
      <c r="DO190" s="637"/>
      <c r="DP190" s="49"/>
      <c r="DQ190" s="461"/>
      <c r="DR190" s="462"/>
      <c r="DS190" s="462"/>
      <c r="DT190" s="462"/>
      <c r="DU190" s="49"/>
      <c r="DV190" s="463"/>
      <c r="DW190" s="464"/>
      <c r="DX190" s="464"/>
      <c r="DY190" s="464"/>
      <c r="DZ190" s="49"/>
      <c r="EA190" s="465"/>
      <c r="EB190" s="466"/>
      <c r="EC190" s="426"/>
      <c r="ED190" s="456"/>
      <c r="EE190" s="47"/>
      <c r="EF190" s="16"/>
    </row>
    <row r="191" ht="17.25" customHeight="1">
      <c r="A191" s="16"/>
      <c r="B191" s="47"/>
      <c r="C191" s="170"/>
      <c r="D191" s="171"/>
      <c r="E191" s="49"/>
      <c r="F191" s="200"/>
      <c r="G191" s="200"/>
      <c r="H191" s="200" t="s">
        <v>230</v>
      </c>
      <c r="I191" s="200"/>
      <c r="J191" s="200"/>
      <c r="K191" s="200"/>
      <c r="L191" s="476"/>
      <c r="M191" s="200" t="s">
        <v>230</v>
      </c>
      <c r="N191" s="200"/>
      <c r="O191" s="200"/>
      <c r="P191" s="200"/>
      <c r="Q191" s="476"/>
      <c r="R191" s="200" t="s">
        <v>230</v>
      </c>
      <c r="S191" s="200"/>
      <c r="T191" s="200"/>
      <c r="U191" s="200"/>
      <c r="V191" s="476"/>
      <c r="W191" s="200" t="s">
        <v>230</v>
      </c>
      <c r="X191" s="200"/>
      <c r="Y191" s="200"/>
      <c r="Z191" s="200"/>
      <c r="AA191" s="476"/>
      <c r="AB191" s="200" t="s">
        <v>230</v>
      </c>
      <c r="AC191" s="200"/>
      <c r="AD191" s="200"/>
      <c r="AE191" s="200"/>
      <c r="AF191" s="200"/>
      <c r="AG191" s="200" t="s">
        <v>230</v>
      </c>
      <c r="AH191" s="200"/>
      <c r="AI191" s="200"/>
      <c r="AJ191" s="200"/>
      <c r="AK191" s="476"/>
      <c r="AL191" s="200" t="s">
        <v>230</v>
      </c>
      <c r="AM191" s="200"/>
      <c r="AN191" s="200"/>
      <c r="AO191" s="200"/>
      <c r="AP191" s="476"/>
      <c r="AQ191" s="200" t="s">
        <v>230</v>
      </c>
      <c r="AR191" s="200"/>
      <c r="AS191" s="200"/>
      <c r="AT191" s="200"/>
      <c r="AU191" s="425"/>
      <c r="AV191" s="545" t="s">
        <v>230</v>
      </c>
      <c r="AW191" s="425"/>
      <c r="AX191" s="49"/>
      <c r="AY191" s="296"/>
      <c r="AZ191" s="541"/>
      <c r="BA191" s="554" t="s">
        <v>230</v>
      </c>
      <c r="BB191" s="541"/>
      <c r="BC191" s="49"/>
      <c r="BD191" s="327"/>
      <c r="BE191" s="556"/>
      <c r="BF191" s="557" t="s">
        <v>230</v>
      </c>
      <c r="BG191" s="556"/>
      <c r="BH191" s="49"/>
      <c r="BI191" s="346"/>
      <c r="BJ191" s="558"/>
      <c r="BK191" s="587" t="s">
        <v>230</v>
      </c>
      <c r="BL191" s="558"/>
      <c r="BM191" s="49"/>
      <c r="BN191" s="429"/>
      <c r="BO191" s="485"/>
      <c r="BP191" s="596" t="s">
        <v>230</v>
      </c>
      <c r="BQ191" s="485"/>
      <c r="BR191" s="49"/>
      <c r="BS191" s="353"/>
      <c r="BT191" s="472"/>
      <c r="BU191" s="586" t="s">
        <v>230</v>
      </c>
      <c r="BV191" s="472"/>
      <c r="BW191" s="49"/>
      <c r="BX191" s="368"/>
      <c r="BY191" s="578"/>
      <c r="BZ191" s="593" t="s">
        <v>230</v>
      </c>
      <c r="CA191" s="578"/>
      <c r="CB191" s="49"/>
      <c r="CC191" s="388"/>
      <c r="CD191" s="488"/>
      <c r="CE191" s="595" t="s">
        <v>230</v>
      </c>
      <c r="CF191" s="595"/>
      <c r="CG191" s="49"/>
      <c r="CH191" s="402"/>
      <c r="CI191" s="439"/>
      <c r="CJ191" s="867" t="s">
        <v>230</v>
      </c>
      <c r="CK191" s="439"/>
      <c r="CL191" s="49"/>
      <c r="CM191" s="402"/>
      <c r="CN191" s="439"/>
      <c r="CO191" s="867" t="s">
        <v>230</v>
      </c>
      <c r="CP191" s="672"/>
      <c r="CQ191" s="49"/>
      <c r="CR191" s="419"/>
      <c r="CS191" s="487"/>
      <c r="CT191" s="575" t="s">
        <v>230</v>
      </c>
      <c r="CU191" s="729"/>
      <c r="CV191" s="49"/>
      <c r="CW191" s="453"/>
      <c r="CX191" s="455"/>
      <c r="CY191" s="631"/>
      <c r="CZ191" s="455"/>
      <c r="DA191" s="49"/>
      <c r="DB191" s="457"/>
      <c r="DC191" s="475"/>
      <c r="DD191" s="632"/>
      <c r="DE191" s="475"/>
      <c r="DF191" s="49"/>
      <c r="DG191" s="458"/>
      <c r="DH191" s="459"/>
      <c r="DI191" s="633"/>
      <c r="DJ191" s="459"/>
      <c r="DK191" s="49"/>
      <c r="DL191" s="620"/>
      <c r="DM191" s="637"/>
      <c r="DN191" s="637"/>
      <c r="DO191" s="637"/>
      <c r="DP191" s="49"/>
      <c r="DQ191" s="461"/>
      <c r="DR191" s="462"/>
      <c r="DS191" s="462"/>
      <c r="DT191" s="462"/>
      <c r="DU191" s="49"/>
      <c r="DV191" s="463"/>
      <c r="DW191" s="464"/>
      <c r="DX191" s="464"/>
      <c r="DY191" s="464"/>
      <c r="DZ191" s="49"/>
      <c r="EA191" s="465"/>
      <c r="EB191" s="466"/>
      <c r="EC191" s="426"/>
      <c r="ED191" s="456"/>
      <c r="EE191" s="47"/>
      <c r="EF191" s="16"/>
    </row>
    <row r="192" ht="17.25" customHeight="1">
      <c r="A192" s="16"/>
      <c r="B192" s="47"/>
      <c r="C192" s="170"/>
      <c r="D192" s="171"/>
      <c r="E192" s="49"/>
      <c r="F192" s="200"/>
      <c r="G192" s="200"/>
      <c r="H192" s="200" t="s">
        <v>230</v>
      </c>
      <c r="I192" s="200"/>
      <c r="J192" s="200"/>
      <c r="K192" s="200"/>
      <c r="L192" s="476"/>
      <c r="M192" s="200" t="s">
        <v>230</v>
      </c>
      <c r="N192" s="200"/>
      <c r="O192" s="200"/>
      <c r="P192" s="200"/>
      <c r="Q192" s="476"/>
      <c r="R192" s="200" t="s">
        <v>230</v>
      </c>
      <c r="S192" s="200"/>
      <c r="T192" s="200"/>
      <c r="U192" s="200"/>
      <c r="V192" s="476"/>
      <c r="W192" s="200" t="s">
        <v>230</v>
      </c>
      <c r="X192" s="200"/>
      <c r="Y192" s="200"/>
      <c r="Z192" s="200"/>
      <c r="AA192" s="476"/>
      <c r="AB192" s="200" t="s">
        <v>230</v>
      </c>
      <c r="AC192" s="200"/>
      <c r="AD192" s="200"/>
      <c r="AE192" s="200"/>
      <c r="AF192" s="200"/>
      <c r="AG192" s="200" t="s">
        <v>230</v>
      </c>
      <c r="AH192" s="200"/>
      <c r="AI192" s="200"/>
      <c r="AJ192" s="200"/>
      <c r="AK192" s="476"/>
      <c r="AL192" s="200" t="s">
        <v>230</v>
      </c>
      <c r="AM192" s="200"/>
      <c r="AN192" s="200"/>
      <c r="AO192" s="200"/>
      <c r="AP192" s="476"/>
      <c r="AQ192" s="200" t="s">
        <v>230</v>
      </c>
      <c r="AR192" s="200"/>
      <c r="AS192" s="200"/>
      <c r="AT192" s="200"/>
      <c r="AU192" s="425"/>
      <c r="AV192" s="545" t="s">
        <v>230</v>
      </c>
      <c r="AW192" s="425"/>
      <c r="AX192" s="49"/>
      <c r="AY192" s="296"/>
      <c r="AZ192" s="541"/>
      <c r="BA192" s="554" t="s">
        <v>230</v>
      </c>
      <c r="BB192" s="541"/>
      <c r="BC192" s="49"/>
      <c r="BD192" s="327"/>
      <c r="BE192" s="556"/>
      <c r="BF192" s="557" t="s">
        <v>230</v>
      </c>
      <c r="BG192" s="556"/>
      <c r="BH192" s="49"/>
      <c r="BI192" s="346"/>
      <c r="BJ192" s="558"/>
      <c r="BK192" s="587" t="s">
        <v>230</v>
      </c>
      <c r="BL192" s="558"/>
      <c r="BM192" s="49"/>
      <c r="BN192" s="429"/>
      <c r="BO192" s="485"/>
      <c r="BP192" s="596" t="s">
        <v>230</v>
      </c>
      <c r="BQ192" s="485"/>
      <c r="BR192" s="49"/>
      <c r="BS192" s="353"/>
      <c r="BT192" s="472"/>
      <c r="BU192" s="586" t="s">
        <v>230</v>
      </c>
      <c r="BV192" s="472"/>
      <c r="BW192" s="49"/>
      <c r="BX192" s="368"/>
      <c r="BY192" s="578"/>
      <c r="BZ192" s="593" t="s">
        <v>230</v>
      </c>
      <c r="CA192" s="578"/>
      <c r="CB192" s="49"/>
      <c r="CC192" s="388"/>
      <c r="CD192" s="488"/>
      <c r="CE192" s="595" t="s">
        <v>230</v>
      </c>
      <c r="CF192" s="595"/>
      <c r="CG192" s="49"/>
      <c r="CH192" s="402"/>
      <c r="CI192" s="439"/>
      <c r="CJ192" s="867" t="s">
        <v>230</v>
      </c>
      <c r="CK192" s="439"/>
      <c r="CL192" s="49"/>
      <c r="CM192" s="402"/>
      <c r="CN192" s="439"/>
      <c r="CO192" s="867" t="s">
        <v>230</v>
      </c>
      <c r="CP192" s="672"/>
      <c r="CQ192" s="49"/>
      <c r="CR192" s="419"/>
      <c r="CS192" s="487"/>
      <c r="CT192" s="575" t="s">
        <v>230</v>
      </c>
      <c r="CU192" s="729"/>
      <c r="CV192" s="49"/>
      <c r="CW192" s="453"/>
      <c r="CX192" s="455"/>
      <c r="CY192" s="631"/>
      <c r="CZ192" s="455"/>
      <c r="DA192" s="49"/>
      <c r="DB192" s="457"/>
      <c r="DC192" s="475"/>
      <c r="DD192" s="632"/>
      <c r="DE192" s="475"/>
      <c r="DF192" s="49"/>
      <c r="DG192" s="458"/>
      <c r="DH192" s="459"/>
      <c r="DI192" s="633"/>
      <c r="DJ192" s="459"/>
      <c r="DK192" s="49"/>
      <c r="DL192" s="620"/>
      <c r="DM192" s="637"/>
      <c r="DN192" s="637"/>
      <c r="DO192" s="637"/>
      <c r="DP192" s="49"/>
      <c r="DQ192" s="461"/>
      <c r="DR192" s="462"/>
      <c r="DS192" s="462"/>
      <c r="DT192" s="462"/>
      <c r="DU192" s="49"/>
      <c r="DV192" s="463"/>
      <c r="DW192" s="464"/>
      <c r="DX192" s="464"/>
      <c r="DY192" s="464"/>
      <c r="DZ192" s="49"/>
      <c r="EA192" s="465"/>
      <c r="EB192" s="466"/>
      <c r="EC192" s="426"/>
      <c r="ED192" s="456"/>
      <c r="EE192" s="47"/>
      <c r="EF192" s="16"/>
    </row>
    <row r="193" ht="17.25" customHeight="1">
      <c r="A193" s="16"/>
      <c r="B193" s="47"/>
      <c r="C193" s="170"/>
      <c r="D193" s="171"/>
      <c r="E193" s="49"/>
      <c r="F193" s="200"/>
      <c r="G193" s="200"/>
      <c r="H193" s="200" t="s">
        <v>230</v>
      </c>
      <c r="I193" s="200"/>
      <c r="J193" s="200"/>
      <c r="K193" s="200"/>
      <c r="L193" s="476"/>
      <c r="M193" s="200" t="s">
        <v>230</v>
      </c>
      <c r="N193" s="200"/>
      <c r="O193" s="200"/>
      <c r="P193" s="200"/>
      <c r="Q193" s="476"/>
      <c r="R193" s="200" t="s">
        <v>230</v>
      </c>
      <c r="S193" s="200"/>
      <c r="T193" s="200"/>
      <c r="U193" s="200"/>
      <c r="V193" s="476"/>
      <c r="W193" s="200" t="s">
        <v>230</v>
      </c>
      <c r="X193" s="200"/>
      <c r="Y193" s="200"/>
      <c r="Z193" s="200"/>
      <c r="AA193" s="476"/>
      <c r="AB193" s="200" t="s">
        <v>230</v>
      </c>
      <c r="AC193" s="200"/>
      <c r="AD193" s="200"/>
      <c r="AE193" s="200"/>
      <c r="AF193" s="200"/>
      <c r="AG193" s="200" t="s">
        <v>230</v>
      </c>
      <c r="AH193" s="200"/>
      <c r="AI193" s="200"/>
      <c r="AJ193" s="200"/>
      <c r="AK193" s="476"/>
      <c r="AL193" s="200" t="s">
        <v>230</v>
      </c>
      <c r="AM193" s="200"/>
      <c r="AN193" s="200"/>
      <c r="AO193" s="200"/>
      <c r="AP193" s="476"/>
      <c r="AQ193" s="200" t="s">
        <v>230</v>
      </c>
      <c r="AR193" s="200"/>
      <c r="AS193" s="200"/>
      <c r="AT193" s="200"/>
      <c r="AU193" s="425"/>
      <c r="AV193" s="545" t="s">
        <v>230</v>
      </c>
      <c r="AW193" s="425"/>
      <c r="AX193" s="49"/>
      <c r="AY193" s="296"/>
      <c r="AZ193" s="541"/>
      <c r="BA193" s="554" t="s">
        <v>230</v>
      </c>
      <c r="BB193" s="541"/>
      <c r="BC193" s="49"/>
      <c r="BD193" s="327"/>
      <c r="BE193" s="556"/>
      <c r="BF193" s="557" t="s">
        <v>230</v>
      </c>
      <c r="BG193" s="556"/>
      <c r="BH193" s="49"/>
      <c r="BI193" s="346"/>
      <c r="BJ193" s="558"/>
      <c r="BK193" s="587" t="s">
        <v>230</v>
      </c>
      <c r="BL193" s="558"/>
      <c r="BM193" s="49"/>
      <c r="BN193" s="429"/>
      <c r="BO193" s="485"/>
      <c r="BP193" s="596" t="s">
        <v>230</v>
      </c>
      <c r="BQ193" s="485"/>
      <c r="BR193" s="49"/>
      <c r="BS193" s="353"/>
      <c r="BT193" s="472"/>
      <c r="BU193" s="586" t="s">
        <v>230</v>
      </c>
      <c r="BV193" s="472"/>
      <c r="BW193" s="49"/>
      <c r="BX193" s="368"/>
      <c r="BY193" s="578"/>
      <c r="BZ193" s="593" t="s">
        <v>230</v>
      </c>
      <c r="CA193" s="578"/>
      <c r="CB193" s="49"/>
      <c r="CC193" s="388"/>
      <c r="CD193" s="488"/>
      <c r="CE193" s="595" t="s">
        <v>230</v>
      </c>
      <c r="CF193" s="595"/>
      <c r="CG193" s="49"/>
      <c r="CH193" s="402"/>
      <c r="CI193" s="439"/>
      <c r="CJ193" s="867" t="s">
        <v>230</v>
      </c>
      <c r="CK193" s="439"/>
      <c r="CL193" s="49"/>
      <c r="CM193" s="402"/>
      <c r="CN193" s="439"/>
      <c r="CO193" s="867" t="s">
        <v>230</v>
      </c>
      <c r="CP193" s="672"/>
      <c r="CQ193" s="49"/>
      <c r="CR193" s="419"/>
      <c r="CS193" s="487"/>
      <c r="CT193" s="575" t="s">
        <v>230</v>
      </c>
      <c r="CU193" s="729"/>
      <c r="CV193" s="49"/>
      <c r="CW193" s="453"/>
      <c r="CX193" s="455"/>
      <c r="CY193" s="631"/>
      <c r="CZ193" s="455"/>
      <c r="DA193" s="49"/>
      <c r="DB193" s="457"/>
      <c r="DC193" s="475"/>
      <c r="DD193" s="632"/>
      <c r="DE193" s="475"/>
      <c r="DF193" s="49"/>
      <c r="DG193" s="458"/>
      <c r="DH193" s="459"/>
      <c r="DI193" s="633"/>
      <c r="DJ193" s="459"/>
      <c r="DK193" s="49"/>
      <c r="DL193" s="620"/>
      <c r="DM193" s="637"/>
      <c r="DN193" s="637"/>
      <c r="DO193" s="637"/>
      <c r="DP193" s="49"/>
      <c r="DQ193" s="461"/>
      <c r="DR193" s="462"/>
      <c r="DS193" s="462"/>
      <c r="DT193" s="462"/>
      <c r="DU193" s="49"/>
      <c r="DV193" s="463"/>
      <c r="DW193" s="464"/>
      <c r="DX193" s="464"/>
      <c r="DY193" s="464"/>
      <c r="DZ193" s="49"/>
      <c r="EA193" s="465"/>
      <c r="EB193" s="466"/>
      <c r="EC193" s="426"/>
      <c r="ED193" s="456"/>
      <c r="EE193" s="47"/>
      <c r="EF193" s="16"/>
    </row>
    <row r="194" ht="17.25" customHeight="1">
      <c r="A194" s="16"/>
      <c r="B194" s="47"/>
      <c r="C194" s="170"/>
      <c r="D194" s="171"/>
      <c r="E194" s="49"/>
      <c r="F194" s="200"/>
      <c r="G194" s="200"/>
      <c r="H194" s="200" t="s">
        <v>230</v>
      </c>
      <c r="I194" s="200"/>
      <c r="J194" s="200"/>
      <c r="K194" s="200"/>
      <c r="L194" s="476"/>
      <c r="M194" s="200" t="s">
        <v>230</v>
      </c>
      <c r="N194" s="200"/>
      <c r="O194" s="200"/>
      <c r="P194" s="200"/>
      <c r="Q194" s="476"/>
      <c r="R194" s="200" t="s">
        <v>230</v>
      </c>
      <c r="S194" s="200"/>
      <c r="T194" s="200"/>
      <c r="U194" s="200"/>
      <c r="V194" s="476"/>
      <c r="W194" s="200" t="s">
        <v>230</v>
      </c>
      <c r="X194" s="200"/>
      <c r="Y194" s="200"/>
      <c r="Z194" s="200"/>
      <c r="AA194" s="476"/>
      <c r="AB194" s="200" t="s">
        <v>230</v>
      </c>
      <c r="AC194" s="200"/>
      <c r="AD194" s="200"/>
      <c r="AE194" s="200"/>
      <c r="AF194" s="200"/>
      <c r="AG194" s="200" t="s">
        <v>230</v>
      </c>
      <c r="AH194" s="200"/>
      <c r="AI194" s="200"/>
      <c r="AJ194" s="200"/>
      <c r="AK194" s="476"/>
      <c r="AL194" s="200" t="s">
        <v>230</v>
      </c>
      <c r="AM194" s="200"/>
      <c r="AN194" s="200"/>
      <c r="AO194" s="200"/>
      <c r="AP194" s="476"/>
      <c r="AQ194" s="200" t="s">
        <v>230</v>
      </c>
      <c r="AR194" s="200"/>
      <c r="AS194" s="200"/>
      <c r="AT194" s="200"/>
      <c r="AU194" s="425"/>
      <c r="AV194" s="545" t="s">
        <v>230</v>
      </c>
      <c r="AW194" s="425"/>
      <c r="AX194" s="49"/>
      <c r="AY194" s="296"/>
      <c r="AZ194" s="541"/>
      <c r="BA194" s="554" t="s">
        <v>230</v>
      </c>
      <c r="BB194" s="541"/>
      <c r="BC194" s="49"/>
      <c r="BD194" s="327"/>
      <c r="BE194" s="556"/>
      <c r="BF194" s="557" t="s">
        <v>230</v>
      </c>
      <c r="BG194" s="556"/>
      <c r="BH194" s="49"/>
      <c r="BI194" s="346"/>
      <c r="BJ194" s="558"/>
      <c r="BK194" s="587" t="s">
        <v>230</v>
      </c>
      <c r="BL194" s="558"/>
      <c r="BM194" s="49"/>
      <c r="BN194" s="429"/>
      <c r="BO194" s="485"/>
      <c r="BP194" s="596" t="s">
        <v>230</v>
      </c>
      <c r="BQ194" s="485"/>
      <c r="BR194" s="49"/>
      <c r="BS194" s="353"/>
      <c r="BT194" s="472"/>
      <c r="BU194" s="586" t="s">
        <v>230</v>
      </c>
      <c r="BV194" s="472"/>
      <c r="BW194" s="49"/>
      <c r="BX194" s="368"/>
      <c r="BY194" s="578"/>
      <c r="BZ194" s="593" t="s">
        <v>230</v>
      </c>
      <c r="CA194" s="578"/>
      <c r="CB194" s="49"/>
      <c r="CC194" s="388"/>
      <c r="CD194" s="488"/>
      <c r="CE194" s="595" t="s">
        <v>230</v>
      </c>
      <c r="CF194" s="595"/>
      <c r="CG194" s="49"/>
      <c r="CH194" s="402"/>
      <c r="CI194" s="439"/>
      <c r="CJ194" s="867" t="s">
        <v>230</v>
      </c>
      <c r="CK194" s="439"/>
      <c r="CL194" s="49"/>
      <c r="CM194" s="402"/>
      <c r="CN194" s="439"/>
      <c r="CO194" s="867" t="s">
        <v>230</v>
      </c>
      <c r="CP194" s="672"/>
      <c r="CQ194" s="49"/>
      <c r="CR194" s="419"/>
      <c r="CS194" s="487"/>
      <c r="CT194" s="575" t="s">
        <v>230</v>
      </c>
      <c r="CU194" s="729"/>
      <c r="CV194" s="49"/>
      <c r="CW194" s="453"/>
      <c r="CX194" s="455"/>
      <c r="CY194" s="631"/>
      <c r="CZ194" s="455"/>
      <c r="DA194" s="49"/>
      <c r="DB194" s="457"/>
      <c r="DC194" s="475"/>
      <c r="DD194" s="632"/>
      <c r="DE194" s="475"/>
      <c r="DF194" s="49"/>
      <c r="DG194" s="458"/>
      <c r="DH194" s="459"/>
      <c r="DI194" s="633"/>
      <c r="DJ194" s="459"/>
      <c r="DK194" s="49"/>
      <c r="DL194" s="620"/>
      <c r="DM194" s="637"/>
      <c r="DN194" s="637"/>
      <c r="DO194" s="637"/>
      <c r="DP194" s="49"/>
      <c r="DQ194" s="461"/>
      <c r="DR194" s="462"/>
      <c r="DS194" s="462"/>
      <c r="DT194" s="462"/>
      <c r="DU194" s="49"/>
      <c r="DV194" s="463"/>
      <c r="DW194" s="464"/>
      <c r="DX194" s="464"/>
      <c r="DY194" s="464"/>
      <c r="DZ194" s="49"/>
      <c r="EA194" s="465"/>
      <c r="EB194" s="466"/>
      <c r="EC194" s="426"/>
      <c r="ED194" s="456"/>
      <c r="EE194" s="47"/>
      <c r="EF194" s="16"/>
    </row>
    <row r="195" ht="17.25" customHeight="1">
      <c r="A195" s="16"/>
      <c r="B195" s="47"/>
      <c r="C195" s="170"/>
      <c r="D195" s="171"/>
      <c r="E195" s="49"/>
      <c r="F195" s="200"/>
      <c r="G195" s="200"/>
      <c r="H195" s="200" t="s">
        <v>230</v>
      </c>
      <c r="I195" s="200"/>
      <c r="J195" s="200"/>
      <c r="K195" s="200"/>
      <c r="L195" s="476"/>
      <c r="M195" s="200" t="s">
        <v>230</v>
      </c>
      <c r="N195" s="200"/>
      <c r="O195" s="200"/>
      <c r="P195" s="200"/>
      <c r="Q195" s="476"/>
      <c r="R195" s="200" t="s">
        <v>230</v>
      </c>
      <c r="S195" s="200"/>
      <c r="T195" s="200"/>
      <c r="U195" s="200"/>
      <c r="V195" s="476"/>
      <c r="W195" s="200" t="s">
        <v>230</v>
      </c>
      <c r="X195" s="200"/>
      <c r="Y195" s="200"/>
      <c r="Z195" s="200"/>
      <c r="AA195" s="476"/>
      <c r="AB195" s="200" t="s">
        <v>230</v>
      </c>
      <c r="AC195" s="200"/>
      <c r="AD195" s="200"/>
      <c r="AE195" s="200"/>
      <c r="AF195" s="200"/>
      <c r="AG195" s="200" t="s">
        <v>230</v>
      </c>
      <c r="AH195" s="200"/>
      <c r="AI195" s="200"/>
      <c r="AJ195" s="200"/>
      <c r="AK195" s="476"/>
      <c r="AL195" s="200" t="s">
        <v>230</v>
      </c>
      <c r="AM195" s="200"/>
      <c r="AN195" s="200"/>
      <c r="AO195" s="200"/>
      <c r="AP195" s="476"/>
      <c r="AQ195" s="200" t="s">
        <v>230</v>
      </c>
      <c r="AR195" s="200"/>
      <c r="AS195" s="200"/>
      <c r="AT195" s="200"/>
      <c r="AU195" s="425"/>
      <c r="AV195" s="545" t="s">
        <v>230</v>
      </c>
      <c r="AW195" s="425"/>
      <c r="AX195" s="49"/>
      <c r="AY195" s="296"/>
      <c r="AZ195" s="541"/>
      <c r="BA195" s="554" t="s">
        <v>230</v>
      </c>
      <c r="BB195" s="541"/>
      <c r="BC195" s="49"/>
      <c r="BD195" s="327"/>
      <c r="BE195" s="556"/>
      <c r="BF195" s="557" t="s">
        <v>230</v>
      </c>
      <c r="BG195" s="556"/>
      <c r="BH195" s="49"/>
      <c r="BI195" s="346"/>
      <c r="BJ195" s="558"/>
      <c r="BK195" s="587" t="s">
        <v>230</v>
      </c>
      <c r="BL195" s="558"/>
      <c r="BM195" s="49"/>
      <c r="BN195" s="429"/>
      <c r="BO195" s="485"/>
      <c r="BP195" s="596" t="s">
        <v>230</v>
      </c>
      <c r="BQ195" s="485"/>
      <c r="BR195" s="49"/>
      <c r="BS195" s="353"/>
      <c r="BT195" s="472"/>
      <c r="BU195" s="586" t="s">
        <v>230</v>
      </c>
      <c r="BV195" s="472"/>
      <c r="BW195" s="49"/>
      <c r="BX195" s="368"/>
      <c r="BY195" s="578"/>
      <c r="BZ195" s="593" t="s">
        <v>230</v>
      </c>
      <c r="CA195" s="578"/>
      <c r="CB195" s="49"/>
      <c r="CC195" s="388"/>
      <c r="CD195" s="488"/>
      <c r="CE195" s="595" t="s">
        <v>230</v>
      </c>
      <c r="CF195" s="595"/>
      <c r="CG195" s="49"/>
      <c r="CH195" s="402"/>
      <c r="CI195" s="439"/>
      <c r="CJ195" s="867" t="s">
        <v>230</v>
      </c>
      <c r="CK195" s="439"/>
      <c r="CL195" s="49"/>
      <c r="CM195" s="402"/>
      <c r="CN195" s="439"/>
      <c r="CO195" s="867" t="s">
        <v>230</v>
      </c>
      <c r="CP195" s="672"/>
      <c r="CQ195" s="49"/>
      <c r="CR195" s="419"/>
      <c r="CS195" s="487"/>
      <c r="CT195" s="575" t="s">
        <v>230</v>
      </c>
      <c r="CU195" s="729"/>
      <c r="CV195" s="49"/>
      <c r="CW195" s="453"/>
      <c r="CX195" s="455"/>
      <c r="CY195" s="631"/>
      <c r="CZ195" s="455"/>
      <c r="DA195" s="49"/>
      <c r="DB195" s="457"/>
      <c r="DC195" s="475"/>
      <c r="DD195" s="632"/>
      <c r="DE195" s="475"/>
      <c r="DF195" s="49"/>
      <c r="DG195" s="458"/>
      <c r="DH195" s="459"/>
      <c r="DI195" s="633"/>
      <c r="DJ195" s="459"/>
      <c r="DK195" s="49"/>
      <c r="DL195" s="620"/>
      <c r="DM195" s="637"/>
      <c r="DN195" s="637"/>
      <c r="DO195" s="637"/>
      <c r="DP195" s="49"/>
      <c r="DQ195" s="461"/>
      <c r="DR195" s="462"/>
      <c r="DS195" s="462"/>
      <c r="DT195" s="462"/>
      <c r="DU195" s="49"/>
      <c r="DV195" s="463"/>
      <c r="DW195" s="464"/>
      <c r="DX195" s="464"/>
      <c r="DY195" s="464"/>
      <c r="DZ195" s="49"/>
      <c r="EA195" s="465"/>
      <c r="EB195" s="466"/>
      <c r="EC195" s="426"/>
      <c r="ED195" s="456"/>
      <c r="EE195" s="47"/>
      <c r="EF195" s="16"/>
    </row>
    <row r="196" ht="17.25" customHeight="1">
      <c r="A196" s="16"/>
      <c r="B196" s="47"/>
      <c r="C196" s="170"/>
      <c r="D196" s="171"/>
      <c r="E196" s="49"/>
      <c r="F196" s="200"/>
      <c r="G196" s="200"/>
      <c r="H196" s="200" t="s">
        <v>230</v>
      </c>
      <c r="I196" s="200"/>
      <c r="J196" s="200"/>
      <c r="K196" s="200"/>
      <c r="L196" s="476"/>
      <c r="M196" s="200" t="s">
        <v>230</v>
      </c>
      <c r="N196" s="200"/>
      <c r="O196" s="200"/>
      <c r="P196" s="200"/>
      <c r="Q196" s="476"/>
      <c r="R196" s="200" t="s">
        <v>230</v>
      </c>
      <c r="S196" s="200"/>
      <c r="T196" s="200"/>
      <c r="U196" s="200"/>
      <c r="V196" s="476"/>
      <c r="W196" s="200" t="s">
        <v>230</v>
      </c>
      <c r="X196" s="200"/>
      <c r="Y196" s="200"/>
      <c r="Z196" s="200"/>
      <c r="AA196" s="476"/>
      <c r="AB196" s="200" t="s">
        <v>230</v>
      </c>
      <c r="AC196" s="200"/>
      <c r="AD196" s="200"/>
      <c r="AE196" s="200"/>
      <c r="AF196" s="200"/>
      <c r="AG196" s="200" t="s">
        <v>230</v>
      </c>
      <c r="AH196" s="200"/>
      <c r="AI196" s="200"/>
      <c r="AJ196" s="200"/>
      <c r="AK196" s="476"/>
      <c r="AL196" s="200" t="s">
        <v>230</v>
      </c>
      <c r="AM196" s="200"/>
      <c r="AN196" s="200"/>
      <c r="AO196" s="200"/>
      <c r="AP196" s="476"/>
      <c r="AQ196" s="200" t="s">
        <v>230</v>
      </c>
      <c r="AR196" s="200"/>
      <c r="AS196" s="200"/>
      <c r="AT196" s="200"/>
      <c r="AU196" s="425"/>
      <c r="AV196" s="545" t="s">
        <v>230</v>
      </c>
      <c r="AW196" s="425"/>
      <c r="AX196" s="49"/>
      <c r="AY196" s="296"/>
      <c r="AZ196" s="541"/>
      <c r="BA196" s="554" t="s">
        <v>230</v>
      </c>
      <c r="BB196" s="541"/>
      <c r="BC196" s="49"/>
      <c r="BD196" s="327"/>
      <c r="BE196" s="556"/>
      <c r="BF196" s="557" t="s">
        <v>230</v>
      </c>
      <c r="BG196" s="556"/>
      <c r="BH196" s="49"/>
      <c r="BI196" s="346"/>
      <c r="BJ196" s="558"/>
      <c r="BK196" s="587" t="s">
        <v>230</v>
      </c>
      <c r="BL196" s="558"/>
      <c r="BM196" s="49"/>
      <c r="BN196" s="429"/>
      <c r="BO196" s="485"/>
      <c r="BP196" s="596" t="s">
        <v>230</v>
      </c>
      <c r="BQ196" s="485"/>
      <c r="BR196" s="49"/>
      <c r="BS196" s="353"/>
      <c r="BT196" s="472"/>
      <c r="BU196" s="586" t="s">
        <v>230</v>
      </c>
      <c r="BV196" s="472"/>
      <c r="BW196" s="49"/>
      <c r="BX196" s="368"/>
      <c r="BY196" s="578"/>
      <c r="BZ196" s="593" t="s">
        <v>230</v>
      </c>
      <c r="CA196" s="578"/>
      <c r="CB196" s="49"/>
      <c r="CC196" s="388"/>
      <c r="CD196" s="488"/>
      <c r="CE196" s="595" t="s">
        <v>230</v>
      </c>
      <c r="CF196" s="595"/>
      <c r="CG196" s="49"/>
      <c r="CH196" s="402"/>
      <c r="CI196" s="439"/>
      <c r="CJ196" s="867" t="s">
        <v>230</v>
      </c>
      <c r="CK196" s="439"/>
      <c r="CL196" s="49"/>
      <c r="CM196" s="402"/>
      <c r="CN196" s="439"/>
      <c r="CO196" s="867" t="s">
        <v>230</v>
      </c>
      <c r="CP196" s="672"/>
      <c r="CQ196" s="49"/>
      <c r="CR196" s="419"/>
      <c r="CS196" s="487"/>
      <c r="CT196" s="575" t="s">
        <v>230</v>
      </c>
      <c r="CU196" s="729"/>
      <c r="CV196" s="49"/>
      <c r="CW196" s="453"/>
      <c r="CX196" s="455"/>
      <c r="CY196" s="631"/>
      <c r="CZ196" s="455"/>
      <c r="DA196" s="49"/>
      <c r="DB196" s="457"/>
      <c r="DC196" s="475"/>
      <c r="DD196" s="632"/>
      <c r="DE196" s="475"/>
      <c r="DF196" s="49"/>
      <c r="DG196" s="458"/>
      <c r="DH196" s="459"/>
      <c r="DI196" s="633"/>
      <c r="DJ196" s="459"/>
      <c r="DK196" s="49"/>
      <c r="DL196" s="620"/>
      <c r="DM196" s="637"/>
      <c r="DN196" s="637"/>
      <c r="DO196" s="637"/>
      <c r="DP196" s="49"/>
      <c r="DQ196" s="461"/>
      <c r="DR196" s="462"/>
      <c r="DS196" s="462"/>
      <c r="DT196" s="462"/>
      <c r="DU196" s="49"/>
      <c r="DV196" s="463"/>
      <c r="DW196" s="464"/>
      <c r="DX196" s="464"/>
      <c r="DY196" s="464"/>
      <c r="DZ196" s="49"/>
      <c r="EA196" s="465"/>
      <c r="EB196" s="466"/>
      <c r="EC196" s="426"/>
      <c r="ED196" s="456"/>
      <c r="EE196" s="47"/>
      <c r="EF196" s="16"/>
    </row>
    <row r="197" ht="17.25" customHeight="1">
      <c r="A197" s="16"/>
      <c r="B197" s="47"/>
      <c r="C197" s="170"/>
      <c r="D197" s="171"/>
      <c r="E197" s="49"/>
      <c r="F197" s="200"/>
      <c r="G197" s="200"/>
      <c r="H197" s="200" t="s">
        <v>230</v>
      </c>
      <c r="I197" s="200"/>
      <c r="J197" s="200"/>
      <c r="K197" s="200"/>
      <c r="L197" s="476"/>
      <c r="M197" s="200" t="s">
        <v>230</v>
      </c>
      <c r="N197" s="200"/>
      <c r="O197" s="200"/>
      <c r="P197" s="200"/>
      <c r="Q197" s="476"/>
      <c r="R197" s="200" t="s">
        <v>230</v>
      </c>
      <c r="S197" s="200"/>
      <c r="T197" s="200"/>
      <c r="U197" s="200"/>
      <c r="V197" s="476"/>
      <c r="W197" s="200" t="s">
        <v>230</v>
      </c>
      <c r="X197" s="200"/>
      <c r="Y197" s="200"/>
      <c r="Z197" s="200"/>
      <c r="AA197" s="476"/>
      <c r="AB197" s="200" t="s">
        <v>230</v>
      </c>
      <c r="AC197" s="200"/>
      <c r="AD197" s="200"/>
      <c r="AE197" s="200"/>
      <c r="AF197" s="200"/>
      <c r="AG197" s="200" t="s">
        <v>230</v>
      </c>
      <c r="AH197" s="200"/>
      <c r="AI197" s="200"/>
      <c r="AJ197" s="200"/>
      <c r="AK197" s="476"/>
      <c r="AL197" s="200" t="s">
        <v>230</v>
      </c>
      <c r="AM197" s="200"/>
      <c r="AN197" s="200"/>
      <c r="AO197" s="200"/>
      <c r="AP197" s="476"/>
      <c r="AQ197" s="200" t="s">
        <v>230</v>
      </c>
      <c r="AR197" s="200"/>
      <c r="AS197" s="200"/>
      <c r="AT197" s="200"/>
      <c r="AU197" s="425"/>
      <c r="AV197" s="545" t="s">
        <v>230</v>
      </c>
      <c r="AW197" s="425"/>
      <c r="AX197" s="49"/>
      <c r="AY197" s="296"/>
      <c r="AZ197" s="541"/>
      <c r="BA197" s="554" t="s">
        <v>230</v>
      </c>
      <c r="BB197" s="541"/>
      <c r="BC197" s="49"/>
      <c r="BD197" s="327"/>
      <c r="BE197" s="556"/>
      <c r="BF197" s="557" t="s">
        <v>230</v>
      </c>
      <c r="BG197" s="556"/>
      <c r="BH197" s="49"/>
      <c r="BI197" s="346"/>
      <c r="BJ197" s="558"/>
      <c r="BK197" s="587" t="s">
        <v>230</v>
      </c>
      <c r="BL197" s="558"/>
      <c r="BM197" s="49"/>
      <c r="BN197" s="429"/>
      <c r="BO197" s="485"/>
      <c r="BP197" s="596" t="s">
        <v>230</v>
      </c>
      <c r="BQ197" s="485"/>
      <c r="BR197" s="49"/>
      <c r="BS197" s="353"/>
      <c r="BT197" s="472"/>
      <c r="BU197" s="586" t="s">
        <v>230</v>
      </c>
      <c r="BV197" s="472"/>
      <c r="BW197" s="49"/>
      <c r="BX197" s="368"/>
      <c r="BY197" s="578"/>
      <c r="BZ197" s="593" t="s">
        <v>230</v>
      </c>
      <c r="CA197" s="578"/>
      <c r="CB197" s="49"/>
      <c r="CC197" s="388"/>
      <c r="CD197" s="488"/>
      <c r="CE197" s="595" t="s">
        <v>230</v>
      </c>
      <c r="CF197" s="595"/>
      <c r="CG197" s="49"/>
      <c r="CH197" s="402"/>
      <c r="CI197" s="439"/>
      <c r="CJ197" s="867" t="s">
        <v>230</v>
      </c>
      <c r="CK197" s="439"/>
      <c r="CL197" s="49"/>
      <c r="CM197" s="402"/>
      <c r="CN197" s="439"/>
      <c r="CO197" s="867" t="s">
        <v>230</v>
      </c>
      <c r="CP197" s="672"/>
      <c r="CQ197" s="49"/>
      <c r="CR197" s="419"/>
      <c r="CS197" s="487"/>
      <c r="CT197" s="575" t="s">
        <v>230</v>
      </c>
      <c r="CU197" s="729"/>
      <c r="CV197" s="49"/>
      <c r="CW197" s="453"/>
      <c r="CX197" s="455"/>
      <c r="CY197" s="631"/>
      <c r="CZ197" s="455"/>
      <c r="DA197" s="49"/>
      <c r="DB197" s="457"/>
      <c r="DC197" s="475"/>
      <c r="DD197" s="632"/>
      <c r="DE197" s="475"/>
      <c r="DF197" s="49"/>
      <c r="DG197" s="458"/>
      <c r="DH197" s="459"/>
      <c r="DI197" s="633"/>
      <c r="DJ197" s="459"/>
      <c r="DK197" s="49"/>
      <c r="DL197" s="620"/>
      <c r="DM197" s="637"/>
      <c r="DN197" s="637"/>
      <c r="DO197" s="637"/>
      <c r="DP197" s="49"/>
      <c r="DQ197" s="461"/>
      <c r="DR197" s="462"/>
      <c r="DS197" s="462"/>
      <c r="DT197" s="462"/>
      <c r="DU197" s="49"/>
      <c r="DV197" s="463"/>
      <c r="DW197" s="464"/>
      <c r="DX197" s="464"/>
      <c r="DY197" s="464"/>
      <c r="DZ197" s="49"/>
      <c r="EA197" s="465"/>
      <c r="EB197" s="466"/>
      <c r="EC197" s="426"/>
      <c r="ED197" s="456"/>
      <c r="EE197" s="47"/>
      <c r="EF197" s="16"/>
    </row>
    <row r="198" ht="17.25" customHeight="1">
      <c r="A198" s="16"/>
      <c r="B198" s="47"/>
      <c r="C198" s="170"/>
      <c r="D198" s="171"/>
      <c r="E198" s="49"/>
      <c r="F198" s="200"/>
      <c r="G198" s="200"/>
      <c r="H198" s="200" t="s">
        <v>230</v>
      </c>
      <c r="I198" s="200"/>
      <c r="J198" s="200"/>
      <c r="K198" s="200"/>
      <c r="L198" s="476"/>
      <c r="M198" s="200" t="s">
        <v>230</v>
      </c>
      <c r="N198" s="200"/>
      <c r="O198" s="200"/>
      <c r="P198" s="200"/>
      <c r="Q198" s="476"/>
      <c r="R198" s="200" t="s">
        <v>230</v>
      </c>
      <c r="S198" s="200"/>
      <c r="T198" s="200"/>
      <c r="U198" s="200"/>
      <c r="V198" s="476"/>
      <c r="W198" s="200" t="s">
        <v>230</v>
      </c>
      <c r="X198" s="200"/>
      <c r="Y198" s="200"/>
      <c r="Z198" s="200"/>
      <c r="AA198" s="476"/>
      <c r="AB198" s="200" t="s">
        <v>230</v>
      </c>
      <c r="AC198" s="200"/>
      <c r="AD198" s="200"/>
      <c r="AE198" s="200"/>
      <c r="AF198" s="200"/>
      <c r="AG198" s="200" t="s">
        <v>230</v>
      </c>
      <c r="AH198" s="200"/>
      <c r="AI198" s="200"/>
      <c r="AJ198" s="200"/>
      <c r="AK198" s="476"/>
      <c r="AL198" s="200" t="s">
        <v>230</v>
      </c>
      <c r="AM198" s="200"/>
      <c r="AN198" s="200"/>
      <c r="AO198" s="200"/>
      <c r="AP198" s="476"/>
      <c r="AQ198" s="200" t="s">
        <v>230</v>
      </c>
      <c r="AR198" s="200"/>
      <c r="AS198" s="200"/>
      <c r="AT198" s="200"/>
      <c r="AU198" s="425"/>
      <c r="AV198" s="545" t="s">
        <v>230</v>
      </c>
      <c r="AW198" s="425"/>
      <c r="AX198" s="49"/>
      <c r="AY198" s="296"/>
      <c r="AZ198" s="541"/>
      <c r="BA198" s="554" t="s">
        <v>230</v>
      </c>
      <c r="BB198" s="541"/>
      <c r="BC198" s="49"/>
      <c r="BD198" s="327"/>
      <c r="BE198" s="556"/>
      <c r="BF198" s="557" t="s">
        <v>230</v>
      </c>
      <c r="BG198" s="556"/>
      <c r="BH198" s="49"/>
      <c r="BI198" s="346"/>
      <c r="BJ198" s="558"/>
      <c r="BK198" s="587" t="s">
        <v>230</v>
      </c>
      <c r="BL198" s="558"/>
      <c r="BM198" s="49"/>
      <c r="BN198" s="429"/>
      <c r="BO198" s="485"/>
      <c r="BP198" s="596" t="s">
        <v>230</v>
      </c>
      <c r="BQ198" s="485"/>
      <c r="BR198" s="49"/>
      <c r="BS198" s="353"/>
      <c r="BT198" s="472"/>
      <c r="BU198" s="586" t="s">
        <v>230</v>
      </c>
      <c r="BV198" s="472"/>
      <c r="BW198" s="49"/>
      <c r="BX198" s="368"/>
      <c r="BY198" s="578"/>
      <c r="BZ198" s="593" t="s">
        <v>230</v>
      </c>
      <c r="CA198" s="578"/>
      <c r="CB198" s="49"/>
      <c r="CC198" s="388"/>
      <c r="CD198" s="488"/>
      <c r="CE198" s="595" t="s">
        <v>230</v>
      </c>
      <c r="CF198" s="595"/>
      <c r="CG198" s="49"/>
      <c r="CH198" s="402"/>
      <c r="CI198" s="439"/>
      <c r="CJ198" s="867" t="s">
        <v>230</v>
      </c>
      <c r="CK198" s="439"/>
      <c r="CL198" s="49"/>
      <c r="CM198" s="402"/>
      <c r="CN198" s="439"/>
      <c r="CO198" s="867" t="s">
        <v>230</v>
      </c>
      <c r="CP198" s="672"/>
      <c r="CQ198" s="49"/>
      <c r="CR198" s="419"/>
      <c r="CS198" s="487"/>
      <c r="CT198" s="575" t="s">
        <v>230</v>
      </c>
      <c r="CU198" s="729"/>
      <c r="CV198" s="49"/>
      <c r="CW198" s="453"/>
      <c r="CX198" s="455"/>
      <c r="CY198" s="631"/>
      <c r="CZ198" s="455"/>
      <c r="DA198" s="49"/>
      <c r="DB198" s="457"/>
      <c r="DC198" s="475"/>
      <c r="DD198" s="632"/>
      <c r="DE198" s="475"/>
      <c r="DF198" s="49"/>
      <c r="DG198" s="458"/>
      <c r="DH198" s="459"/>
      <c r="DI198" s="633"/>
      <c r="DJ198" s="459"/>
      <c r="DK198" s="49"/>
      <c r="DL198" s="620"/>
      <c r="DM198" s="637"/>
      <c r="DN198" s="637"/>
      <c r="DO198" s="637"/>
      <c r="DP198" s="49"/>
      <c r="DQ198" s="461"/>
      <c r="DR198" s="462"/>
      <c r="DS198" s="462"/>
      <c r="DT198" s="462"/>
      <c r="DU198" s="49"/>
      <c r="DV198" s="463"/>
      <c r="DW198" s="464"/>
      <c r="DX198" s="464"/>
      <c r="DY198" s="464"/>
      <c r="DZ198" s="49"/>
      <c r="EA198" s="465"/>
      <c r="EB198" s="466"/>
      <c r="EC198" s="426"/>
      <c r="ED198" s="456"/>
      <c r="EE198" s="47"/>
      <c r="EF198" s="16"/>
    </row>
    <row r="199" ht="17.25" customHeight="1">
      <c r="A199" s="16"/>
      <c r="B199" s="47"/>
      <c r="C199" s="170"/>
      <c r="D199" s="171"/>
      <c r="E199" s="49"/>
      <c r="F199" s="200"/>
      <c r="G199" s="200"/>
      <c r="H199" s="200" t="s">
        <v>230</v>
      </c>
      <c r="I199" s="200"/>
      <c r="J199" s="200"/>
      <c r="K199" s="200"/>
      <c r="L199" s="476"/>
      <c r="M199" s="200" t="s">
        <v>230</v>
      </c>
      <c r="N199" s="200"/>
      <c r="O199" s="200"/>
      <c r="P199" s="200"/>
      <c r="Q199" s="476"/>
      <c r="R199" s="200" t="s">
        <v>230</v>
      </c>
      <c r="S199" s="200"/>
      <c r="T199" s="200"/>
      <c r="U199" s="200"/>
      <c r="V199" s="476"/>
      <c r="W199" s="200" t="s">
        <v>230</v>
      </c>
      <c r="X199" s="200"/>
      <c r="Y199" s="200"/>
      <c r="Z199" s="200"/>
      <c r="AA199" s="476"/>
      <c r="AB199" s="200" t="s">
        <v>230</v>
      </c>
      <c r="AC199" s="200"/>
      <c r="AD199" s="200"/>
      <c r="AE199" s="200"/>
      <c r="AF199" s="200"/>
      <c r="AG199" s="200" t="s">
        <v>230</v>
      </c>
      <c r="AH199" s="200"/>
      <c r="AI199" s="200"/>
      <c r="AJ199" s="200"/>
      <c r="AK199" s="476"/>
      <c r="AL199" s="200" t="s">
        <v>230</v>
      </c>
      <c r="AM199" s="200"/>
      <c r="AN199" s="200"/>
      <c r="AO199" s="200"/>
      <c r="AP199" s="476"/>
      <c r="AQ199" s="200" t="s">
        <v>230</v>
      </c>
      <c r="AR199" s="200"/>
      <c r="AS199" s="200"/>
      <c r="AT199" s="200"/>
      <c r="AU199" s="425"/>
      <c r="AV199" s="545" t="s">
        <v>230</v>
      </c>
      <c r="AW199" s="425"/>
      <c r="AX199" s="49"/>
      <c r="AY199" s="296"/>
      <c r="AZ199" s="541"/>
      <c r="BA199" s="554" t="s">
        <v>230</v>
      </c>
      <c r="BB199" s="541"/>
      <c r="BC199" s="49"/>
      <c r="BD199" s="327"/>
      <c r="BE199" s="556"/>
      <c r="BF199" s="557" t="s">
        <v>230</v>
      </c>
      <c r="BG199" s="556"/>
      <c r="BH199" s="49"/>
      <c r="BI199" s="346"/>
      <c r="BJ199" s="558"/>
      <c r="BK199" s="587" t="s">
        <v>230</v>
      </c>
      <c r="BL199" s="558"/>
      <c r="BM199" s="49"/>
      <c r="BN199" s="429"/>
      <c r="BO199" s="485"/>
      <c r="BP199" s="596" t="s">
        <v>230</v>
      </c>
      <c r="BQ199" s="485"/>
      <c r="BR199" s="49"/>
      <c r="BS199" s="353"/>
      <c r="BT199" s="472"/>
      <c r="BU199" s="586" t="s">
        <v>230</v>
      </c>
      <c r="BV199" s="472"/>
      <c r="BW199" s="49"/>
      <c r="BX199" s="368"/>
      <c r="BY199" s="578"/>
      <c r="BZ199" s="593" t="s">
        <v>230</v>
      </c>
      <c r="CA199" s="578"/>
      <c r="CB199" s="49"/>
      <c r="CC199" s="388"/>
      <c r="CD199" s="488"/>
      <c r="CE199" s="595" t="s">
        <v>230</v>
      </c>
      <c r="CF199" s="595"/>
      <c r="CG199" s="49"/>
      <c r="CH199" s="402"/>
      <c r="CI199" s="439"/>
      <c r="CJ199" s="867" t="s">
        <v>230</v>
      </c>
      <c r="CK199" s="439"/>
      <c r="CL199" s="49"/>
      <c r="CM199" s="402"/>
      <c r="CN199" s="439"/>
      <c r="CO199" s="867" t="s">
        <v>230</v>
      </c>
      <c r="CP199" s="672"/>
      <c r="CQ199" s="49"/>
      <c r="CR199" s="419"/>
      <c r="CS199" s="487"/>
      <c r="CT199" s="575" t="s">
        <v>230</v>
      </c>
      <c r="CU199" s="729"/>
      <c r="CV199" s="49"/>
      <c r="CW199" s="453"/>
      <c r="CX199" s="455"/>
      <c r="CY199" s="631"/>
      <c r="CZ199" s="455"/>
      <c r="DA199" s="49"/>
      <c r="DB199" s="457"/>
      <c r="DC199" s="475"/>
      <c r="DD199" s="632"/>
      <c r="DE199" s="475"/>
      <c r="DF199" s="49"/>
      <c r="DG199" s="458"/>
      <c r="DH199" s="459"/>
      <c r="DI199" s="633"/>
      <c r="DJ199" s="459"/>
      <c r="DK199" s="49"/>
      <c r="DL199" s="620"/>
      <c r="DM199" s="637"/>
      <c r="DN199" s="637"/>
      <c r="DO199" s="637"/>
      <c r="DP199" s="49"/>
      <c r="DQ199" s="461"/>
      <c r="DR199" s="462"/>
      <c r="DS199" s="462"/>
      <c r="DT199" s="462"/>
      <c r="DU199" s="49"/>
      <c r="DV199" s="463"/>
      <c r="DW199" s="464"/>
      <c r="DX199" s="464"/>
      <c r="DY199" s="464"/>
      <c r="DZ199" s="49"/>
      <c r="EA199" s="465"/>
      <c r="EB199" s="466"/>
      <c r="EC199" s="426"/>
      <c r="ED199" s="456"/>
      <c r="EE199" s="47"/>
      <c r="EF199" s="16"/>
    </row>
    <row r="200" ht="17.25" customHeight="1">
      <c r="A200" s="16"/>
      <c r="B200" s="47"/>
      <c r="C200" s="170"/>
      <c r="D200" s="171"/>
      <c r="E200" s="49"/>
      <c r="F200" s="200"/>
      <c r="G200" s="200"/>
      <c r="H200" s="200" t="s">
        <v>230</v>
      </c>
      <c r="I200" s="200"/>
      <c r="J200" s="200"/>
      <c r="K200" s="200"/>
      <c r="L200" s="476"/>
      <c r="M200" s="200" t="s">
        <v>230</v>
      </c>
      <c r="N200" s="200"/>
      <c r="O200" s="200"/>
      <c r="P200" s="200"/>
      <c r="Q200" s="476"/>
      <c r="R200" s="200" t="s">
        <v>230</v>
      </c>
      <c r="S200" s="200"/>
      <c r="T200" s="200"/>
      <c r="U200" s="200"/>
      <c r="V200" s="476"/>
      <c r="W200" s="200" t="s">
        <v>230</v>
      </c>
      <c r="X200" s="200"/>
      <c r="Y200" s="200"/>
      <c r="Z200" s="200"/>
      <c r="AA200" s="476"/>
      <c r="AB200" s="200" t="s">
        <v>230</v>
      </c>
      <c r="AC200" s="200"/>
      <c r="AD200" s="200"/>
      <c r="AE200" s="200"/>
      <c r="AF200" s="200"/>
      <c r="AG200" s="200" t="s">
        <v>230</v>
      </c>
      <c r="AH200" s="200"/>
      <c r="AI200" s="200"/>
      <c r="AJ200" s="200"/>
      <c r="AK200" s="476"/>
      <c r="AL200" s="200" t="s">
        <v>230</v>
      </c>
      <c r="AM200" s="200"/>
      <c r="AN200" s="200"/>
      <c r="AO200" s="200"/>
      <c r="AP200" s="476"/>
      <c r="AQ200" s="200" t="s">
        <v>230</v>
      </c>
      <c r="AR200" s="200"/>
      <c r="AS200" s="200"/>
      <c r="AT200" s="200"/>
      <c r="AU200" s="425"/>
      <c r="AV200" s="545" t="s">
        <v>230</v>
      </c>
      <c r="AW200" s="425"/>
      <c r="AX200" s="49"/>
      <c r="AY200" s="296"/>
      <c r="AZ200" s="541"/>
      <c r="BA200" s="554" t="s">
        <v>230</v>
      </c>
      <c r="BB200" s="541"/>
      <c r="BC200" s="49"/>
      <c r="BD200" s="327"/>
      <c r="BE200" s="556"/>
      <c r="BF200" s="557" t="s">
        <v>230</v>
      </c>
      <c r="BG200" s="556"/>
      <c r="BH200" s="49"/>
      <c r="BI200" s="346"/>
      <c r="BJ200" s="558"/>
      <c r="BK200" s="587" t="s">
        <v>230</v>
      </c>
      <c r="BL200" s="558"/>
      <c r="BM200" s="49"/>
      <c r="BN200" s="429"/>
      <c r="BO200" s="485"/>
      <c r="BP200" s="596" t="s">
        <v>230</v>
      </c>
      <c r="BQ200" s="485"/>
      <c r="BR200" s="49"/>
      <c r="BS200" s="353"/>
      <c r="BT200" s="472"/>
      <c r="BU200" s="586" t="s">
        <v>230</v>
      </c>
      <c r="BV200" s="472"/>
      <c r="BW200" s="49"/>
      <c r="BX200" s="368"/>
      <c r="BY200" s="578"/>
      <c r="BZ200" s="593" t="s">
        <v>230</v>
      </c>
      <c r="CA200" s="578"/>
      <c r="CB200" s="49"/>
      <c r="CC200" s="388"/>
      <c r="CD200" s="488"/>
      <c r="CE200" s="595" t="s">
        <v>230</v>
      </c>
      <c r="CF200" s="595"/>
      <c r="CG200" s="49"/>
      <c r="CH200" s="402"/>
      <c r="CI200" s="439"/>
      <c r="CJ200" s="867" t="s">
        <v>230</v>
      </c>
      <c r="CK200" s="439"/>
      <c r="CL200" s="49"/>
      <c r="CM200" s="402"/>
      <c r="CN200" s="439"/>
      <c r="CO200" s="867" t="s">
        <v>230</v>
      </c>
      <c r="CP200" s="672"/>
      <c r="CQ200" s="49"/>
      <c r="CR200" s="419"/>
      <c r="CS200" s="487"/>
      <c r="CT200" s="575" t="s">
        <v>230</v>
      </c>
      <c r="CU200" s="729"/>
      <c r="CV200" s="49"/>
      <c r="CW200" s="453"/>
      <c r="CX200" s="455"/>
      <c r="CY200" s="631"/>
      <c r="CZ200" s="455"/>
      <c r="DA200" s="49"/>
      <c r="DB200" s="457"/>
      <c r="DC200" s="475"/>
      <c r="DD200" s="632"/>
      <c r="DE200" s="475"/>
      <c r="DF200" s="49"/>
      <c r="DG200" s="458"/>
      <c r="DH200" s="459"/>
      <c r="DI200" s="633"/>
      <c r="DJ200" s="459"/>
      <c r="DK200" s="49"/>
      <c r="DL200" s="620"/>
      <c r="DM200" s="637"/>
      <c r="DN200" s="637"/>
      <c r="DO200" s="637"/>
      <c r="DP200" s="49"/>
      <c r="DQ200" s="461"/>
      <c r="DR200" s="462"/>
      <c r="DS200" s="462"/>
      <c r="DT200" s="462"/>
      <c r="DU200" s="49"/>
      <c r="DV200" s="463"/>
      <c r="DW200" s="464"/>
      <c r="DX200" s="464"/>
      <c r="DY200" s="464"/>
      <c r="DZ200" s="49"/>
      <c r="EA200" s="465"/>
      <c r="EB200" s="466"/>
      <c r="EC200" s="426"/>
      <c r="ED200" s="456"/>
      <c r="EE200" s="47"/>
      <c r="EF200" s="16"/>
    </row>
    <row r="201" ht="17.25" customHeight="1">
      <c r="A201" s="16"/>
      <c r="B201" s="47"/>
      <c r="C201" s="170"/>
      <c r="D201" s="171"/>
      <c r="E201" s="49"/>
      <c r="F201" s="200"/>
      <c r="G201" s="200"/>
      <c r="H201" s="200" t="s">
        <v>230</v>
      </c>
      <c r="I201" s="200"/>
      <c r="J201" s="200"/>
      <c r="K201" s="200"/>
      <c r="L201" s="476"/>
      <c r="M201" s="200" t="s">
        <v>230</v>
      </c>
      <c r="N201" s="200"/>
      <c r="O201" s="200"/>
      <c r="P201" s="200"/>
      <c r="Q201" s="476"/>
      <c r="R201" s="200" t="s">
        <v>230</v>
      </c>
      <c r="S201" s="200"/>
      <c r="T201" s="200"/>
      <c r="U201" s="200"/>
      <c r="V201" s="476"/>
      <c r="W201" s="200" t="s">
        <v>230</v>
      </c>
      <c r="X201" s="200"/>
      <c r="Y201" s="200"/>
      <c r="Z201" s="200"/>
      <c r="AA201" s="476"/>
      <c r="AB201" s="200" t="s">
        <v>230</v>
      </c>
      <c r="AC201" s="200"/>
      <c r="AD201" s="200"/>
      <c r="AE201" s="200"/>
      <c r="AF201" s="200"/>
      <c r="AG201" s="200" t="s">
        <v>230</v>
      </c>
      <c r="AH201" s="200"/>
      <c r="AI201" s="200"/>
      <c r="AJ201" s="200"/>
      <c r="AK201" s="476"/>
      <c r="AL201" s="200" t="s">
        <v>230</v>
      </c>
      <c r="AM201" s="200"/>
      <c r="AN201" s="200"/>
      <c r="AO201" s="200"/>
      <c r="AP201" s="476"/>
      <c r="AQ201" s="200" t="s">
        <v>230</v>
      </c>
      <c r="AR201" s="200"/>
      <c r="AS201" s="200"/>
      <c r="AT201" s="200"/>
      <c r="AU201" s="425"/>
      <c r="AV201" s="545" t="s">
        <v>230</v>
      </c>
      <c r="AW201" s="425"/>
      <c r="AX201" s="49"/>
      <c r="AY201" s="296"/>
      <c r="AZ201" s="541"/>
      <c r="BA201" s="554" t="s">
        <v>230</v>
      </c>
      <c r="BB201" s="541"/>
      <c r="BC201" s="49"/>
      <c r="BD201" s="327"/>
      <c r="BE201" s="556"/>
      <c r="BF201" s="557" t="s">
        <v>230</v>
      </c>
      <c r="BG201" s="556"/>
      <c r="BH201" s="49"/>
      <c r="BI201" s="346"/>
      <c r="BJ201" s="558"/>
      <c r="BK201" s="587" t="s">
        <v>230</v>
      </c>
      <c r="BL201" s="558"/>
      <c r="BM201" s="49"/>
      <c r="BN201" s="429"/>
      <c r="BO201" s="485"/>
      <c r="BP201" s="596" t="s">
        <v>230</v>
      </c>
      <c r="BQ201" s="485"/>
      <c r="BR201" s="49"/>
      <c r="BS201" s="353"/>
      <c r="BT201" s="472"/>
      <c r="BU201" s="586" t="s">
        <v>230</v>
      </c>
      <c r="BV201" s="472"/>
      <c r="BW201" s="49"/>
      <c r="BX201" s="368"/>
      <c r="BY201" s="578"/>
      <c r="BZ201" s="593" t="s">
        <v>230</v>
      </c>
      <c r="CA201" s="578"/>
      <c r="CB201" s="49"/>
      <c r="CC201" s="388"/>
      <c r="CD201" s="488"/>
      <c r="CE201" s="595" t="s">
        <v>230</v>
      </c>
      <c r="CF201" s="595"/>
      <c r="CG201" s="49"/>
      <c r="CH201" s="402"/>
      <c r="CI201" s="439"/>
      <c r="CJ201" s="867" t="s">
        <v>230</v>
      </c>
      <c r="CK201" s="439"/>
      <c r="CL201" s="49"/>
      <c r="CM201" s="402"/>
      <c r="CN201" s="439"/>
      <c r="CO201" s="867" t="s">
        <v>230</v>
      </c>
      <c r="CP201" s="672"/>
      <c r="CQ201" s="49"/>
      <c r="CR201" s="419"/>
      <c r="CS201" s="487"/>
      <c r="CT201" s="575" t="s">
        <v>230</v>
      </c>
      <c r="CU201" s="729"/>
      <c r="CV201" s="49"/>
      <c r="CW201" s="453"/>
      <c r="CX201" s="455"/>
      <c r="CY201" s="631"/>
      <c r="CZ201" s="455"/>
      <c r="DA201" s="49"/>
      <c r="DB201" s="457"/>
      <c r="DC201" s="475"/>
      <c r="DD201" s="632"/>
      <c r="DE201" s="475"/>
      <c r="DF201" s="49"/>
      <c r="DG201" s="458"/>
      <c r="DH201" s="459"/>
      <c r="DI201" s="633"/>
      <c r="DJ201" s="459"/>
      <c r="DK201" s="49"/>
      <c r="DL201" s="620"/>
      <c r="DM201" s="637"/>
      <c r="DN201" s="637"/>
      <c r="DO201" s="637"/>
      <c r="DP201" s="49"/>
      <c r="DQ201" s="461"/>
      <c r="DR201" s="462"/>
      <c r="DS201" s="462"/>
      <c r="DT201" s="462"/>
      <c r="DU201" s="49"/>
      <c r="DV201" s="463"/>
      <c r="DW201" s="464"/>
      <c r="DX201" s="464"/>
      <c r="DY201" s="464"/>
      <c r="DZ201" s="49"/>
      <c r="EA201" s="465"/>
      <c r="EB201" s="466"/>
      <c r="EC201" s="426"/>
      <c r="ED201" s="456"/>
      <c r="EE201" s="47"/>
      <c r="EF201" s="16"/>
    </row>
    <row r="202" ht="17.25" customHeight="1">
      <c r="A202" s="16"/>
      <c r="B202" s="47"/>
      <c r="C202" s="170"/>
      <c r="D202" s="171"/>
      <c r="E202" s="49"/>
      <c r="F202" s="200"/>
      <c r="G202" s="200"/>
      <c r="H202" s="200" t="s">
        <v>230</v>
      </c>
      <c r="I202" s="200"/>
      <c r="J202" s="200"/>
      <c r="K202" s="200"/>
      <c r="L202" s="476"/>
      <c r="M202" s="200" t="s">
        <v>230</v>
      </c>
      <c r="N202" s="200"/>
      <c r="O202" s="200"/>
      <c r="P202" s="200"/>
      <c r="Q202" s="476"/>
      <c r="R202" s="200" t="s">
        <v>230</v>
      </c>
      <c r="S202" s="200"/>
      <c r="T202" s="200"/>
      <c r="U202" s="200"/>
      <c r="V202" s="476"/>
      <c r="W202" s="200" t="s">
        <v>230</v>
      </c>
      <c r="X202" s="200"/>
      <c r="Y202" s="200"/>
      <c r="Z202" s="200"/>
      <c r="AA202" s="476"/>
      <c r="AB202" s="200" t="s">
        <v>230</v>
      </c>
      <c r="AC202" s="200"/>
      <c r="AD202" s="200"/>
      <c r="AE202" s="200"/>
      <c r="AF202" s="200"/>
      <c r="AG202" s="200" t="s">
        <v>230</v>
      </c>
      <c r="AH202" s="200"/>
      <c r="AI202" s="200"/>
      <c r="AJ202" s="200"/>
      <c r="AK202" s="476"/>
      <c r="AL202" s="200" t="s">
        <v>230</v>
      </c>
      <c r="AM202" s="200"/>
      <c r="AN202" s="200"/>
      <c r="AO202" s="200"/>
      <c r="AP202" s="476"/>
      <c r="AQ202" s="200" t="s">
        <v>230</v>
      </c>
      <c r="AR202" s="200"/>
      <c r="AS202" s="200"/>
      <c r="AT202" s="200"/>
      <c r="AU202" s="425"/>
      <c r="AV202" s="545" t="s">
        <v>230</v>
      </c>
      <c r="AW202" s="425"/>
      <c r="AX202" s="49"/>
      <c r="AY202" s="296"/>
      <c r="AZ202" s="541"/>
      <c r="BA202" s="554" t="s">
        <v>230</v>
      </c>
      <c r="BB202" s="541"/>
      <c r="BC202" s="49"/>
      <c r="BD202" s="327"/>
      <c r="BE202" s="556"/>
      <c r="BF202" s="557" t="s">
        <v>230</v>
      </c>
      <c r="BG202" s="556"/>
      <c r="BH202" s="49"/>
      <c r="BI202" s="346"/>
      <c r="BJ202" s="558"/>
      <c r="BK202" s="587" t="s">
        <v>230</v>
      </c>
      <c r="BL202" s="558"/>
      <c r="BM202" s="49"/>
      <c r="BN202" s="429"/>
      <c r="BO202" s="485"/>
      <c r="BP202" s="596" t="s">
        <v>230</v>
      </c>
      <c r="BQ202" s="485"/>
      <c r="BR202" s="49"/>
      <c r="BS202" s="353"/>
      <c r="BT202" s="472"/>
      <c r="BU202" s="586" t="s">
        <v>230</v>
      </c>
      <c r="BV202" s="472"/>
      <c r="BW202" s="49"/>
      <c r="BX202" s="368"/>
      <c r="BY202" s="578"/>
      <c r="BZ202" s="593" t="s">
        <v>230</v>
      </c>
      <c r="CA202" s="578"/>
      <c r="CB202" s="49"/>
      <c r="CC202" s="388"/>
      <c r="CD202" s="488"/>
      <c r="CE202" s="595" t="s">
        <v>230</v>
      </c>
      <c r="CF202" s="595"/>
      <c r="CG202" s="49"/>
      <c r="CH202" s="402"/>
      <c r="CI202" s="439"/>
      <c r="CJ202" s="867" t="s">
        <v>230</v>
      </c>
      <c r="CK202" s="439"/>
      <c r="CL202" s="49"/>
      <c r="CM202" s="402"/>
      <c r="CN202" s="439"/>
      <c r="CO202" s="867" t="s">
        <v>230</v>
      </c>
      <c r="CP202" s="672"/>
      <c r="CQ202" s="49"/>
      <c r="CR202" s="419"/>
      <c r="CS202" s="487"/>
      <c r="CT202" s="575" t="s">
        <v>230</v>
      </c>
      <c r="CU202" s="729"/>
      <c r="CV202" s="49"/>
      <c r="CW202" s="453"/>
      <c r="CX202" s="455"/>
      <c r="CY202" s="631"/>
      <c r="CZ202" s="455"/>
      <c r="DA202" s="49"/>
      <c r="DB202" s="457"/>
      <c r="DC202" s="475"/>
      <c r="DD202" s="632"/>
      <c r="DE202" s="475"/>
      <c r="DF202" s="49"/>
      <c r="DG202" s="458"/>
      <c r="DH202" s="459"/>
      <c r="DI202" s="633"/>
      <c r="DJ202" s="459"/>
      <c r="DK202" s="49"/>
      <c r="DL202" s="620"/>
      <c r="DM202" s="637"/>
      <c r="DN202" s="637"/>
      <c r="DO202" s="637"/>
      <c r="DP202" s="49"/>
      <c r="DQ202" s="461"/>
      <c r="DR202" s="462"/>
      <c r="DS202" s="462"/>
      <c r="DT202" s="462"/>
      <c r="DU202" s="49"/>
      <c r="DV202" s="463"/>
      <c r="DW202" s="464"/>
      <c r="DX202" s="464"/>
      <c r="DY202" s="464"/>
      <c r="DZ202" s="49"/>
      <c r="EA202" s="465"/>
      <c r="EB202" s="466"/>
      <c r="EC202" s="426"/>
      <c r="ED202" s="456"/>
      <c r="EE202" s="47"/>
      <c r="EF202" s="16"/>
    </row>
    <row r="203" ht="17.25" customHeight="1">
      <c r="A203" s="16"/>
      <c r="B203" s="47"/>
      <c r="C203" s="170"/>
      <c r="D203" s="171"/>
      <c r="E203" s="49"/>
      <c r="F203" s="200"/>
      <c r="G203" s="200"/>
      <c r="H203" s="200" t="s">
        <v>230</v>
      </c>
      <c r="I203" s="200"/>
      <c r="J203" s="200"/>
      <c r="K203" s="200"/>
      <c r="L203" s="476"/>
      <c r="M203" s="200" t="s">
        <v>230</v>
      </c>
      <c r="N203" s="200"/>
      <c r="O203" s="200"/>
      <c r="P203" s="200"/>
      <c r="Q203" s="476"/>
      <c r="R203" s="200" t="s">
        <v>230</v>
      </c>
      <c r="S203" s="200"/>
      <c r="T203" s="200"/>
      <c r="U203" s="200"/>
      <c r="V203" s="476"/>
      <c r="W203" s="200" t="s">
        <v>230</v>
      </c>
      <c r="X203" s="200"/>
      <c r="Y203" s="200"/>
      <c r="Z203" s="200"/>
      <c r="AA203" s="476"/>
      <c r="AB203" s="200" t="s">
        <v>230</v>
      </c>
      <c r="AC203" s="200"/>
      <c r="AD203" s="200"/>
      <c r="AE203" s="200"/>
      <c r="AF203" s="200"/>
      <c r="AG203" s="200" t="s">
        <v>230</v>
      </c>
      <c r="AH203" s="200"/>
      <c r="AI203" s="200"/>
      <c r="AJ203" s="200"/>
      <c r="AK203" s="476"/>
      <c r="AL203" s="200" t="s">
        <v>230</v>
      </c>
      <c r="AM203" s="200"/>
      <c r="AN203" s="200"/>
      <c r="AO203" s="200"/>
      <c r="AP203" s="476"/>
      <c r="AQ203" s="200" t="s">
        <v>230</v>
      </c>
      <c r="AR203" s="200"/>
      <c r="AS203" s="200"/>
      <c r="AT203" s="200"/>
      <c r="AU203" s="425"/>
      <c r="AV203" s="545" t="s">
        <v>230</v>
      </c>
      <c r="AW203" s="425"/>
      <c r="AX203" s="49"/>
      <c r="AY203" s="296"/>
      <c r="AZ203" s="541"/>
      <c r="BA203" s="554" t="s">
        <v>230</v>
      </c>
      <c r="BB203" s="541"/>
      <c r="BC203" s="49"/>
      <c r="BD203" s="327"/>
      <c r="BE203" s="556"/>
      <c r="BF203" s="557" t="s">
        <v>230</v>
      </c>
      <c r="BG203" s="556"/>
      <c r="BH203" s="49"/>
      <c r="BI203" s="346"/>
      <c r="BJ203" s="558"/>
      <c r="BK203" s="587" t="s">
        <v>230</v>
      </c>
      <c r="BL203" s="558"/>
      <c r="BM203" s="49"/>
      <c r="BN203" s="429"/>
      <c r="BO203" s="485"/>
      <c r="BP203" s="596" t="s">
        <v>230</v>
      </c>
      <c r="BQ203" s="485"/>
      <c r="BR203" s="49"/>
      <c r="BS203" s="353"/>
      <c r="BT203" s="472"/>
      <c r="BU203" s="586" t="s">
        <v>230</v>
      </c>
      <c r="BV203" s="472"/>
      <c r="BW203" s="49"/>
      <c r="BX203" s="368"/>
      <c r="BY203" s="578"/>
      <c r="BZ203" s="593" t="s">
        <v>230</v>
      </c>
      <c r="CA203" s="578"/>
      <c r="CB203" s="49"/>
      <c r="CC203" s="388"/>
      <c r="CD203" s="488"/>
      <c r="CE203" s="595" t="s">
        <v>230</v>
      </c>
      <c r="CF203" s="595"/>
      <c r="CG203" s="49"/>
      <c r="CH203" s="402"/>
      <c r="CI203" s="439"/>
      <c r="CJ203" s="867" t="s">
        <v>230</v>
      </c>
      <c r="CK203" s="439"/>
      <c r="CL203" s="49"/>
      <c r="CM203" s="402"/>
      <c r="CN203" s="439"/>
      <c r="CO203" s="867" t="s">
        <v>230</v>
      </c>
      <c r="CP203" s="672"/>
      <c r="CQ203" s="49"/>
      <c r="CR203" s="419"/>
      <c r="CS203" s="487"/>
      <c r="CT203" s="575" t="s">
        <v>230</v>
      </c>
      <c r="CU203" s="729"/>
      <c r="CV203" s="49"/>
      <c r="CW203" s="453"/>
      <c r="CX203" s="455"/>
      <c r="CY203" s="631"/>
      <c r="CZ203" s="455"/>
      <c r="DA203" s="49"/>
      <c r="DB203" s="457"/>
      <c r="DC203" s="475"/>
      <c r="DD203" s="632"/>
      <c r="DE203" s="475"/>
      <c r="DF203" s="49"/>
      <c r="DG203" s="458"/>
      <c r="DH203" s="459"/>
      <c r="DI203" s="633"/>
      <c r="DJ203" s="459"/>
      <c r="DK203" s="49"/>
      <c r="DL203" s="620"/>
      <c r="DM203" s="637"/>
      <c r="DN203" s="637"/>
      <c r="DO203" s="637"/>
      <c r="DP203" s="49"/>
      <c r="DQ203" s="461"/>
      <c r="DR203" s="462"/>
      <c r="DS203" s="462"/>
      <c r="DT203" s="462"/>
      <c r="DU203" s="49"/>
      <c r="DV203" s="463"/>
      <c r="DW203" s="464"/>
      <c r="DX203" s="464"/>
      <c r="DY203" s="464"/>
      <c r="DZ203" s="49"/>
      <c r="EA203" s="465"/>
      <c r="EB203" s="466"/>
      <c r="EC203" s="426"/>
      <c r="ED203" s="456"/>
      <c r="EE203" s="47"/>
      <c r="EF203" s="16"/>
    </row>
    <row r="204" ht="17.25" customHeight="1">
      <c r="A204" s="16"/>
      <c r="B204" s="47"/>
      <c r="C204" s="170"/>
      <c r="D204" s="171"/>
      <c r="E204" s="49"/>
      <c r="F204" s="200"/>
      <c r="G204" s="200"/>
      <c r="H204" s="200" t="s">
        <v>230</v>
      </c>
      <c r="I204" s="200"/>
      <c r="J204" s="200"/>
      <c r="K204" s="200"/>
      <c r="L204" s="476"/>
      <c r="M204" s="200" t="s">
        <v>230</v>
      </c>
      <c r="N204" s="200"/>
      <c r="O204" s="200"/>
      <c r="P204" s="200"/>
      <c r="Q204" s="476"/>
      <c r="R204" s="200" t="s">
        <v>230</v>
      </c>
      <c r="S204" s="200"/>
      <c r="T204" s="200"/>
      <c r="U204" s="200"/>
      <c r="V204" s="476"/>
      <c r="W204" s="200" t="s">
        <v>230</v>
      </c>
      <c r="X204" s="200"/>
      <c r="Y204" s="200"/>
      <c r="Z204" s="200"/>
      <c r="AA204" s="476"/>
      <c r="AB204" s="200" t="s">
        <v>230</v>
      </c>
      <c r="AC204" s="200"/>
      <c r="AD204" s="200"/>
      <c r="AE204" s="200"/>
      <c r="AF204" s="200"/>
      <c r="AG204" s="200" t="s">
        <v>230</v>
      </c>
      <c r="AH204" s="200"/>
      <c r="AI204" s="200"/>
      <c r="AJ204" s="200"/>
      <c r="AK204" s="476"/>
      <c r="AL204" s="200" t="s">
        <v>230</v>
      </c>
      <c r="AM204" s="200"/>
      <c r="AN204" s="200"/>
      <c r="AO204" s="200"/>
      <c r="AP204" s="476"/>
      <c r="AQ204" s="200" t="s">
        <v>230</v>
      </c>
      <c r="AR204" s="200"/>
      <c r="AS204" s="200"/>
      <c r="AT204" s="200"/>
      <c r="AU204" s="425"/>
      <c r="AV204" s="545" t="s">
        <v>230</v>
      </c>
      <c r="AW204" s="425"/>
      <c r="AX204" s="49"/>
      <c r="AY204" s="296"/>
      <c r="AZ204" s="541"/>
      <c r="BA204" s="554" t="s">
        <v>230</v>
      </c>
      <c r="BB204" s="541"/>
      <c r="BC204" s="49"/>
      <c r="BD204" s="327"/>
      <c r="BE204" s="556"/>
      <c r="BF204" s="557" t="s">
        <v>230</v>
      </c>
      <c r="BG204" s="556"/>
      <c r="BH204" s="49"/>
      <c r="BI204" s="346"/>
      <c r="BJ204" s="558"/>
      <c r="BK204" s="587" t="s">
        <v>230</v>
      </c>
      <c r="BL204" s="558"/>
      <c r="BM204" s="49"/>
      <c r="BN204" s="429"/>
      <c r="BO204" s="485"/>
      <c r="BP204" s="596" t="s">
        <v>230</v>
      </c>
      <c r="BQ204" s="485"/>
      <c r="BR204" s="49"/>
      <c r="BS204" s="353"/>
      <c r="BT204" s="472"/>
      <c r="BU204" s="586" t="s">
        <v>230</v>
      </c>
      <c r="BV204" s="472"/>
      <c r="BW204" s="49"/>
      <c r="BX204" s="368"/>
      <c r="BY204" s="578"/>
      <c r="BZ204" s="593" t="s">
        <v>230</v>
      </c>
      <c r="CA204" s="578"/>
      <c r="CB204" s="49"/>
      <c r="CC204" s="388"/>
      <c r="CD204" s="488"/>
      <c r="CE204" s="595" t="s">
        <v>230</v>
      </c>
      <c r="CF204" s="595"/>
      <c r="CG204" s="49"/>
      <c r="CH204" s="402"/>
      <c r="CI204" s="439"/>
      <c r="CJ204" s="867" t="s">
        <v>230</v>
      </c>
      <c r="CK204" s="439"/>
      <c r="CL204" s="49"/>
      <c r="CM204" s="402"/>
      <c r="CN204" s="439"/>
      <c r="CO204" s="867" t="s">
        <v>230</v>
      </c>
      <c r="CP204" s="672"/>
      <c r="CQ204" s="49"/>
      <c r="CR204" s="419"/>
      <c r="CS204" s="487"/>
      <c r="CT204" s="575" t="s">
        <v>230</v>
      </c>
      <c r="CU204" s="729"/>
      <c r="CV204" s="49"/>
      <c r="CW204" s="453"/>
      <c r="CX204" s="455"/>
      <c r="CY204" s="631"/>
      <c r="CZ204" s="455"/>
      <c r="DA204" s="49"/>
      <c r="DB204" s="457"/>
      <c r="DC204" s="475"/>
      <c r="DD204" s="632"/>
      <c r="DE204" s="475"/>
      <c r="DF204" s="49"/>
      <c r="DG204" s="458"/>
      <c r="DH204" s="459"/>
      <c r="DI204" s="633"/>
      <c r="DJ204" s="459"/>
      <c r="DK204" s="49"/>
      <c r="DL204" s="620"/>
      <c r="DM204" s="637"/>
      <c r="DN204" s="637"/>
      <c r="DO204" s="637"/>
      <c r="DP204" s="49"/>
      <c r="DQ204" s="461"/>
      <c r="DR204" s="462"/>
      <c r="DS204" s="462"/>
      <c r="DT204" s="462"/>
      <c r="DU204" s="49"/>
      <c r="DV204" s="463"/>
      <c r="DW204" s="464"/>
      <c r="DX204" s="464"/>
      <c r="DY204" s="464"/>
      <c r="DZ204" s="49"/>
      <c r="EA204" s="465"/>
      <c r="EB204" s="466"/>
      <c r="EC204" s="426"/>
      <c r="ED204" s="456"/>
      <c r="EE204" s="47"/>
      <c r="EF204" s="16"/>
    </row>
    <row r="205" ht="17.25" customHeight="1">
      <c r="A205" s="16"/>
      <c r="B205" s="47"/>
      <c r="C205" s="170"/>
      <c r="D205" s="171"/>
      <c r="E205" s="49"/>
      <c r="F205" s="200"/>
      <c r="G205" s="200"/>
      <c r="H205" s="200" t="s">
        <v>230</v>
      </c>
      <c r="I205" s="200"/>
      <c r="J205" s="200"/>
      <c r="K205" s="200"/>
      <c r="L205" s="476"/>
      <c r="M205" s="200" t="s">
        <v>230</v>
      </c>
      <c r="N205" s="200"/>
      <c r="O205" s="200"/>
      <c r="P205" s="200"/>
      <c r="Q205" s="476"/>
      <c r="R205" s="200" t="s">
        <v>230</v>
      </c>
      <c r="S205" s="200"/>
      <c r="T205" s="200"/>
      <c r="U205" s="200"/>
      <c r="V205" s="476"/>
      <c r="W205" s="200" t="s">
        <v>230</v>
      </c>
      <c r="X205" s="200"/>
      <c r="Y205" s="200"/>
      <c r="Z205" s="200"/>
      <c r="AA205" s="476"/>
      <c r="AB205" s="200" t="s">
        <v>230</v>
      </c>
      <c r="AC205" s="200"/>
      <c r="AD205" s="200"/>
      <c r="AE205" s="200"/>
      <c r="AF205" s="200"/>
      <c r="AG205" s="200" t="s">
        <v>230</v>
      </c>
      <c r="AH205" s="200"/>
      <c r="AI205" s="200"/>
      <c r="AJ205" s="200"/>
      <c r="AK205" s="476"/>
      <c r="AL205" s="200" t="s">
        <v>230</v>
      </c>
      <c r="AM205" s="200"/>
      <c r="AN205" s="200"/>
      <c r="AO205" s="200"/>
      <c r="AP205" s="476"/>
      <c r="AQ205" s="200" t="s">
        <v>230</v>
      </c>
      <c r="AR205" s="200"/>
      <c r="AS205" s="200"/>
      <c r="AT205" s="200"/>
      <c r="AU205" s="425"/>
      <c r="AV205" s="545" t="s">
        <v>230</v>
      </c>
      <c r="AW205" s="425"/>
      <c r="AX205" s="49"/>
      <c r="AY205" s="296"/>
      <c r="AZ205" s="541"/>
      <c r="BA205" s="554" t="s">
        <v>230</v>
      </c>
      <c r="BB205" s="541"/>
      <c r="BC205" s="49"/>
      <c r="BD205" s="327"/>
      <c r="BE205" s="556"/>
      <c r="BF205" s="557" t="s">
        <v>230</v>
      </c>
      <c r="BG205" s="556"/>
      <c r="BH205" s="49"/>
      <c r="BI205" s="346"/>
      <c r="BJ205" s="558"/>
      <c r="BK205" s="587" t="s">
        <v>230</v>
      </c>
      <c r="BL205" s="558"/>
      <c r="BM205" s="49"/>
      <c r="BN205" s="429"/>
      <c r="BO205" s="485"/>
      <c r="BP205" s="596" t="s">
        <v>230</v>
      </c>
      <c r="BQ205" s="485"/>
      <c r="BR205" s="49"/>
      <c r="BS205" s="353"/>
      <c r="BT205" s="472"/>
      <c r="BU205" s="586" t="s">
        <v>230</v>
      </c>
      <c r="BV205" s="472"/>
      <c r="BW205" s="49"/>
      <c r="BX205" s="368"/>
      <c r="BY205" s="578"/>
      <c r="BZ205" s="593" t="s">
        <v>230</v>
      </c>
      <c r="CA205" s="578"/>
      <c r="CB205" s="49"/>
      <c r="CC205" s="388"/>
      <c r="CD205" s="488"/>
      <c r="CE205" s="595" t="s">
        <v>230</v>
      </c>
      <c r="CF205" s="595"/>
      <c r="CG205" s="49"/>
      <c r="CH205" s="402"/>
      <c r="CI205" s="439"/>
      <c r="CJ205" s="867" t="s">
        <v>230</v>
      </c>
      <c r="CK205" s="439"/>
      <c r="CL205" s="49"/>
      <c r="CM205" s="402"/>
      <c r="CN205" s="439"/>
      <c r="CO205" s="867" t="s">
        <v>230</v>
      </c>
      <c r="CP205" s="672"/>
      <c r="CQ205" s="49"/>
      <c r="CR205" s="419"/>
      <c r="CS205" s="487"/>
      <c r="CT205" s="575" t="s">
        <v>230</v>
      </c>
      <c r="CU205" s="729"/>
      <c r="CV205" s="49"/>
      <c r="CW205" s="453"/>
      <c r="CX205" s="455"/>
      <c r="CY205" s="631"/>
      <c r="CZ205" s="455"/>
      <c r="DA205" s="49"/>
      <c r="DB205" s="457"/>
      <c r="DC205" s="475"/>
      <c r="DD205" s="632"/>
      <c r="DE205" s="475"/>
      <c r="DF205" s="49"/>
      <c r="DG205" s="458"/>
      <c r="DH205" s="459"/>
      <c r="DI205" s="633"/>
      <c r="DJ205" s="459"/>
      <c r="DK205" s="49"/>
      <c r="DL205" s="620"/>
      <c r="DM205" s="637"/>
      <c r="DN205" s="637"/>
      <c r="DO205" s="637"/>
      <c r="DP205" s="49"/>
      <c r="DQ205" s="461"/>
      <c r="DR205" s="462"/>
      <c r="DS205" s="462"/>
      <c r="DT205" s="462"/>
      <c r="DU205" s="49"/>
      <c r="DV205" s="463"/>
      <c r="DW205" s="464"/>
      <c r="DX205" s="464"/>
      <c r="DY205" s="464"/>
      <c r="DZ205" s="49"/>
      <c r="EA205" s="465"/>
      <c r="EB205" s="466"/>
      <c r="EC205" s="426"/>
      <c r="ED205" s="456"/>
      <c r="EE205" s="47"/>
      <c r="EF205" s="16"/>
    </row>
    <row r="206" ht="17.25" customHeight="1">
      <c r="A206" s="16"/>
      <c r="B206" s="47"/>
      <c r="C206" s="170"/>
      <c r="D206" s="171"/>
      <c r="E206" s="49"/>
      <c r="F206" s="200"/>
      <c r="G206" s="200"/>
      <c r="H206" s="200" t="s">
        <v>230</v>
      </c>
      <c r="I206" s="200"/>
      <c r="J206" s="200"/>
      <c r="K206" s="200"/>
      <c r="L206" s="476"/>
      <c r="M206" s="200" t="s">
        <v>230</v>
      </c>
      <c r="N206" s="200"/>
      <c r="O206" s="200"/>
      <c r="P206" s="200"/>
      <c r="Q206" s="476"/>
      <c r="R206" s="200" t="s">
        <v>230</v>
      </c>
      <c r="S206" s="200"/>
      <c r="T206" s="200"/>
      <c r="U206" s="200"/>
      <c r="V206" s="476"/>
      <c r="W206" s="200" t="s">
        <v>230</v>
      </c>
      <c r="X206" s="200"/>
      <c r="Y206" s="200"/>
      <c r="Z206" s="200"/>
      <c r="AA206" s="476"/>
      <c r="AB206" s="200" t="s">
        <v>230</v>
      </c>
      <c r="AC206" s="200"/>
      <c r="AD206" s="200"/>
      <c r="AE206" s="200"/>
      <c r="AF206" s="200"/>
      <c r="AG206" s="200" t="s">
        <v>230</v>
      </c>
      <c r="AH206" s="200"/>
      <c r="AI206" s="200"/>
      <c r="AJ206" s="200"/>
      <c r="AK206" s="476"/>
      <c r="AL206" s="200" t="s">
        <v>230</v>
      </c>
      <c r="AM206" s="200"/>
      <c r="AN206" s="200"/>
      <c r="AO206" s="200"/>
      <c r="AP206" s="476"/>
      <c r="AQ206" s="200" t="s">
        <v>230</v>
      </c>
      <c r="AR206" s="200"/>
      <c r="AS206" s="200"/>
      <c r="AT206" s="200"/>
      <c r="AU206" s="425"/>
      <c r="AV206" s="545" t="s">
        <v>230</v>
      </c>
      <c r="AW206" s="425"/>
      <c r="AX206" s="49"/>
      <c r="AY206" s="296"/>
      <c r="AZ206" s="541"/>
      <c r="BA206" s="554" t="s">
        <v>230</v>
      </c>
      <c r="BB206" s="541"/>
      <c r="BC206" s="49"/>
      <c r="BD206" s="327"/>
      <c r="BE206" s="556"/>
      <c r="BF206" s="557" t="s">
        <v>230</v>
      </c>
      <c r="BG206" s="556"/>
      <c r="BH206" s="49"/>
      <c r="BI206" s="346"/>
      <c r="BJ206" s="558"/>
      <c r="BK206" s="587" t="s">
        <v>230</v>
      </c>
      <c r="BL206" s="558"/>
      <c r="BM206" s="49"/>
      <c r="BN206" s="429"/>
      <c r="BO206" s="485"/>
      <c r="BP206" s="596" t="s">
        <v>230</v>
      </c>
      <c r="BQ206" s="485"/>
      <c r="BR206" s="49"/>
      <c r="BS206" s="353"/>
      <c r="BT206" s="472"/>
      <c r="BU206" s="586" t="s">
        <v>230</v>
      </c>
      <c r="BV206" s="472"/>
      <c r="BW206" s="49"/>
      <c r="BX206" s="368"/>
      <c r="BY206" s="578"/>
      <c r="BZ206" s="593" t="s">
        <v>230</v>
      </c>
      <c r="CA206" s="578"/>
      <c r="CB206" s="49"/>
      <c r="CC206" s="388"/>
      <c r="CD206" s="488"/>
      <c r="CE206" s="595" t="s">
        <v>230</v>
      </c>
      <c r="CF206" s="595"/>
      <c r="CG206" s="49"/>
      <c r="CH206" s="402"/>
      <c r="CI206" s="439"/>
      <c r="CJ206" s="867" t="s">
        <v>230</v>
      </c>
      <c r="CK206" s="439"/>
      <c r="CL206" s="49"/>
      <c r="CM206" s="402"/>
      <c r="CN206" s="439"/>
      <c r="CO206" s="867" t="s">
        <v>230</v>
      </c>
      <c r="CP206" s="672"/>
      <c r="CQ206" s="49"/>
      <c r="CR206" s="419"/>
      <c r="CS206" s="487"/>
      <c r="CT206" s="575" t="s">
        <v>230</v>
      </c>
      <c r="CU206" s="729"/>
      <c r="CV206" s="49"/>
      <c r="CW206" s="453"/>
      <c r="CX206" s="455"/>
      <c r="CY206" s="631"/>
      <c r="CZ206" s="455"/>
      <c r="DA206" s="49"/>
      <c r="DB206" s="457"/>
      <c r="DC206" s="475"/>
      <c r="DD206" s="632"/>
      <c r="DE206" s="475"/>
      <c r="DF206" s="49"/>
      <c r="DG206" s="458"/>
      <c r="DH206" s="459"/>
      <c r="DI206" s="633"/>
      <c r="DJ206" s="459"/>
      <c r="DK206" s="49"/>
      <c r="DL206" s="620"/>
      <c r="DM206" s="637"/>
      <c r="DN206" s="637"/>
      <c r="DO206" s="637"/>
      <c r="DP206" s="49"/>
      <c r="DQ206" s="461"/>
      <c r="DR206" s="462"/>
      <c r="DS206" s="462"/>
      <c r="DT206" s="462"/>
      <c r="DU206" s="49"/>
      <c r="DV206" s="463"/>
      <c r="DW206" s="464"/>
      <c r="DX206" s="464"/>
      <c r="DY206" s="464"/>
      <c r="DZ206" s="49"/>
      <c r="EA206" s="465"/>
      <c r="EB206" s="466"/>
      <c r="EC206" s="426"/>
      <c r="ED206" s="456"/>
      <c r="EE206" s="47"/>
      <c r="EF206" s="16"/>
    </row>
    <row r="207" ht="17.25" customHeight="1">
      <c r="A207" s="16"/>
      <c r="B207" s="47"/>
      <c r="C207" s="170"/>
      <c r="D207" s="171"/>
      <c r="E207" s="49"/>
      <c r="F207" s="200"/>
      <c r="G207" s="200"/>
      <c r="H207" s="200" t="s">
        <v>230</v>
      </c>
      <c r="I207" s="200"/>
      <c r="J207" s="200"/>
      <c r="K207" s="200"/>
      <c r="L207" s="476"/>
      <c r="M207" s="200" t="s">
        <v>230</v>
      </c>
      <c r="N207" s="200"/>
      <c r="O207" s="200"/>
      <c r="P207" s="200"/>
      <c r="Q207" s="476"/>
      <c r="R207" s="200" t="s">
        <v>230</v>
      </c>
      <c r="S207" s="200"/>
      <c r="T207" s="200"/>
      <c r="U207" s="200"/>
      <c r="V207" s="476"/>
      <c r="W207" s="200" t="s">
        <v>230</v>
      </c>
      <c r="X207" s="200"/>
      <c r="Y207" s="200"/>
      <c r="Z207" s="200"/>
      <c r="AA207" s="476"/>
      <c r="AB207" s="200" t="s">
        <v>230</v>
      </c>
      <c r="AC207" s="200"/>
      <c r="AD207" s="200"/>
      <c r="AE207" s="200"/>
      <c r="AF207" s="200"/>
      <c r="AG207" s="200" t="s">
        <v>230</v>
      </c>
      <c r="AH207" s="200"/>
      <c r="AI207" s="200"/>
      <c r="AJ207" s="200"/>
      <c r="AK207" s="476"/>
      <c r="AL207" s="200" t="s">
        <v>230</v>
      </c>
      <c r="AM207" s="200"/>
      <c r="AN207" s="200"/>
      <c r="AO207" s="200"/>
      <c r="AP207" s="476"/>
      <c r="AQ207" s="200" t="s">
        <v>230</v>
      </c>
      <c r="AR207" s="200"/>
      <c r="AS207" s="200"/>
      <c r="AT207" s="200"/>
      <c r="AU207" s="425"/>
      <c r="AV207" s="545" t="s">
        <v>230</v>
      </c>
      <c r="AW207" s="425"/>
      <c r="AX207" s="49"/>
      <c r="AY207" s="296"/>
      <c r="AZ207" s="541"/>
      <c r="BA207" s="554" t="s">
        <v>230</v>
      </c>
      <c r="BB207" s="541"/>
      <c r="BC207" s="49"/>
      <c r="BD207" s="327"/>
      <c r="BE207" s="556"/>
      <c r="BF207" s="557" t="s">
        <v>230</v>
      </c>
      <c r="BG207" s="556"/>
      <c r="BH207" s="49"/>
      <c r="BI207" s="346"/>
      <c r="BJ207" s="558"/>
      <c r="BK207" s="587" t="s">
        <v>230</v>
      </c>
      <c r="BL207" s="558"/>
      <c r="BM207" s="49"/>
      <c r="BN207" s="429"/>
      <c r="BO207" s="485"/>
      <c r="BP207" s="596" t="s">
        <v>230</v>
      </c>
      <c r="BQ207" s="485"/>
      <c r="BR207" s="49"/>
      <c r="BS207" s="353"/>
      <c r="BT207" s="472"/>
      <c r="BU207" s="586" t="s">
        <v>230</v>
      </c>
      <c r="BV207" s="472"/>
      <c r="BW207" s="49"/>
      <c r="BX207" s="368"/>
      <c r="BY207" s="578"/>
      <c r="BZ207" s="593" t="s">
        <v>230</v>
      </c>
      <c r="CA207" s="578"/>
      <c r="CB207" s="49"/>
      <c r="CC207" s="388"/>
      <c r="CD207" s="488"/>
      <c r="CE207" s="595" t="s">
        <v>230</v>
      </c>
      <c r="CF207" s="595"/>
      <c r="CG207" s="49"/>
      <c r="CH207" s="402"/>
      <c r="CI207" s="439"/>
      <c r="CJ207" s="867" t="s">
        <v>230</v>
      </c>
      <c r="CK207" s="439"/>
      <c r="CL207" s="49"/>
      <c r="CM207" s="402"/>
      <c r="CN207" s="439"/>
      <c r="CO207" s="867" t="s">
        <v>230</v>
      </c>
      <c r="CP207" s="672"/>
      <c r="CQ207" s="49"/>
      <c r="CR207" s="419"/>
      <c r="CS207" s="487"/>
      <c r="CT207" s="575" t="s">
        <v>230</v>
      </c>
      <c r="CU207" s="729"/>
      <c r="CV207" s="49"/>
      <c r="CW207" s="453"/>
      <c r="CX207" s="455"/>
      <c r="CY207" s="631"/>
      <c r="CZ207" s="455"/>
      <c r="DA207" s="49"/>
      <c r="DB207" s="457"/>
      <c r="DC207" s="475"/>
      <c r="DD207" s="632"/>
      <c r="DE207" s="475"/>
      <c r="DF207" s="49"/>
      <c r="DG207" s="458"/>
      <c r="DH207" s="459"/>
      <c r="DI207" s="633"/>
      <c r="DJ207" s="459"/>
      <c r="DK207" s="49"/>
      <c r="DL207" s="620"/>
      <c r="DM207" s="637"/>
      <c r="DN207" s="637"/>
      <c r="DO207" s="637"/>
      <c r="DP207" s="49"/>
      <c r="DQ207" s="461"/>
      <c r="DR207" s="462"/>
      <c r="DS207" s="462"/>
      <c r="DT207" s="462"/>
      <c r="DU207" s="49"/>
      <c r="DV207" s="463"/>
      <c r="DW207" s="464"/>
      <c r="DX207" s="464"/>
      <c r="DY207" s="464"/>
      <c r="DZ207" s="49"/>
      <c r="EA207" s="465"/>
      <c r="EB207" s="466"/>
      <c r="EC207" s="426"/>
      <c r="ED207" s="456"/>
      <c r="EE207" s="47"/>
      <c r="EF207" s="16"/>
    </row>
    <row r="208" ht="17.25" customHeight="1">
      <c r="A208" s="16"/>
      <c r="B208" s="47"/>
      <c r="C208" s="170"/>
      <c r="D208" s="171"/>
      <c r="E208" s="49"/>
      <c r="F208" s="200"/>
      <c r="G208" s="200"/>
      <c r="H208" s="200" t="s">
        <v>230</v>
      </c>
      <c r="I208" s="200"/>
      <c r="J208" s="200"/>
      <c r="K208" s="200"/>
      <c r="L208" s="476"/>
      <c r="M208" s="200" t="s">
        <v>230</v>
      </c>
      <c r="N208" s="200"/>
      <c r="O208" s="200"/>
      <c r="P208" s="200"/>
      <c r="Q208" s="476"/>
      <c r="R208" s="200" t="s">
        <v>230</v>
      </c>
      <c r="S208" s="200"/>
      <c r="T208" s="200"/>
      <c r="U208" s="200"/>
      <c r="V208" s="476"/>
      <c r="W208" s="200" t="s">
        <v>230</v>
      </c>
      <c r="X208" s="200"/>
      <c r="Y208" s="200"/>
      <c r="Z208" s="200"/>
      <c r="AA208" s="476"/>
      <c r="AB208" s="200" t="s">
        <v>230</v>
      </c>
      <c r="AC208" s="200"/>
      <c r="AD208" s="200"/>
      <c r="AE208" s="200"/>
      <c r="AF208" s="200"/>
      <c r="AG208" s="200" t="s">
        <v>230</v>
      </c>
      <c r="AH208" s="200"/>
      <c r="AI208" s="200"/>
      <c r="AJ208" s="200"/>
      <c r="AK208" s="476"/>
      <c r="AL208" s="200" t="s">
        <v>230</v>
      </c>
      <c r="AM208" s="200"/>
      <c r="AN208" s="200"/>
      <c r="AO208" s="200"/>
      <c r="AP208" s="476"/>
      <c r="AQ208" s="200" t="s">
        <v>230</v>
      </c>
      <c r="AR208" s="200"/>
      <c r="AS208" s="200"/>
      <c r="AT208" s="200"/>
      <c r="AU208" s="425"/>
      <c r="AV208" s="545" t="s">
        <v>230</v>
      </c>
      <c r="AW208" s="425"/>
      <c r="AX208" s="49"/>
      <c r="AY208" s="296"/>
      <c r="AZ208" s="541"/>
      <c r="BA208" s="554" t="s">
        <v>230</v>
      </c>
      <c r="BB208" s="541"/>
      <c r="BC208" s="49"/>
      <c r="BD208" s="327"/>
      <c r="BE208" s="556"/>
      <c r="BF208" s="557" t="s">
        <v>230</v>
      </c>
      <c r="BG208" s="556"/>
      <c r="BH208" s="49"/>
      <c r="BI208" s="346"/>
      <c r="BJ208" s="558"/>
      <c r="BK208" s="587" t="s">
        <v>230</v>
      </c>
      <c r="BL208" s="558"/>
      <c r="BM208" s="49"/>
      <c r="BN208" s="429"/>
      <c r="BO208" s="485"/>
      <c r="BP208" s="596" t="s">
        <v>230</v>
      </c>
      <c r="BQ208" s="485"/>
      <c r="BR208" s="49"/>
      <c r="BS208" s="353"/>
      <c r="BT208" s="472"/>
      <c r="BU208" s="586" t="s">
        <v>230</v>
      </c>
      <c r="BV208" s="472"/>
      <c r="BW208" s="49"/>
      <c r="BX208" s="368"/>
      <c r="BY208" s="578"/>
      <c r="BZ208" s="593" t="s">
        <v>230</v>
      </c>
      <c r="CA208" s="578"/>
      <c r="CB208" s="49"/>
      <c r="CC208" s="388"/>
      <c r="CD208" s="488"/>
      <c r="CE208" s="595" t="s">
        <v>230</v>
      </c>
      <c r="CF208" s="595"/>
      <c r="CG208" s="49"/>
      <c r="CH208" s="402"/>
      <c r="CI208" s="439"/>
      <c r="CJ208" s="867" t="s">
        <v>230</v>
      </c>
      <c r="CK208" s="439"/>
      <c r="CL208" s="49"/>
      <c r="CM208" s="402"/>
      <c r="CN208" s="439"/>
      <c r="CO208" s="867" t="s">
        <v>230</v>
      </c>
      <c r="CP208" s="672"/>
      <c r="CQ208" s="49"/>
      <c r="CR208" s="419"/>
      <c r="CS208" s="487"/>
      <c r="CT208" s="575" t="s">
        <v>230</v>
      </c>
      <c r="CU208" s="729"/>
      <c r="CV208" s="49"/>
      <c r="CW208" s="453"/>
      <c r="CX208" s="455"/>
      <c r="CY208" s="631"/>
      <c r="CZ208" s="455"/>
      <c r="DA208" s="49"/>
      <c r="DB208" s="457"/>
      <c r="DC208" s="475"/>
      <c r="DD208" s="632"/>
      <c r="DE208" s="475"/>
      <c r="DF208" s="49"/>
      <c r="DG208" s="458"/>
      <c r="DH208" s="459"/>
      <c r="DI208" s="633"/>
      <c r="DJ208" s="459"/>
      <c r="DK208" s="49"/>
      <c r="DL208" s="620"/>
      <c r="DM208" s="637"/>
      <c r="DN208" s="637"/>
      <c r="DO208" s="637"/>
      <c r="DP208" s="49"/>
      <c r="DQ208" s="461"/>
      <c r="DR208" s="462"/>
      <c r="DS208" s="462"/>
      <c r="DT208" s="462"/>
      <c r="DU208" s="49"/>
      <c r="DV208" s="463"/>
      <c r="DW208" s="464"/>
      <c r="DX208" s="464"/>
      <c r="DY208" s="464"/>
      <c r="DZ208" s="49"/>
      <c r="EA208" s="465"/>
      <c r="EB208" s="466"/>
      <c r="EC208" s="426"/>
      <c r="ED208" s="456"/>
      <c r="EE208" s="47"/>
      <c r="EF208" s="16"/>
    </row>
    <row r="209" ht="17.25" customHeight="1">
      <c r="A209" s="16"/>
      <c r="B209" s="47"/>
      <c r="C209" s="170"/>
      <c r="D209" s="171"/>
      <c r="E209" s="49"/>
      <c r="F209" s="200"/>
      <c r="G209" s="200"/>
      <c r="H209" s="200" t="s">
        <v>230</v>
      </c>
      <c r="I209" s="200"/>
      <c r="J209" s="200"/>
      <c r="K209" s="200"/>
      <c r="L209" s="476"/>
      <c r="M209" s="200" t="s">
        <v>230</v>
      </c>
      <c r="N209" s="200"/>
      <c r="O209" s="200"/>
      <c r="P209" s="200"/>
      <c r="Q209" s="476"/>
      <c r="R209" s="200" t="s">
        <v>230</v>
      </c>
      <c r="S209" s="200"/>
      <c r="T209" s="200"/>
      <c r="U209" s="200"/>
      <c r="V209" s="476"/>
      <c r="W209" s="200" t="s">
        <v>230</v>
      </c>
      <c r="X209" s="200"/>
      <c r="Y209" s="200"/>
      <c r="Z209" s="200"/>
      <c r="AA209" s="476"/>
      <c r="AB209" s="200" t="s">
        <v>230</v>
      </c>
      <c r="AC209" s="200"/>
      <c r="AD209" s="200"/>
      <c r="AE209" s="200"/>
      <c r="AF209" s="200"/>
      <c r="AG209" s="200" t="s">
        <v>230</v>
      </c>
      <c r="AH209" s="200"/>
      <c r="AI209" s="200"/>
      <c r="AJ209" s="200"/>
      <c r="AK209" s="476"/>
      <c r="AL209" s="200" t="s">
        <v>230</v>
      </c>
      <c r="AM209" s="200"/>
      <c r="AN209" s="200"/>
      <c r="AO209" s="200"/>
      <c r="AP209" s="476"/>
      <c r="AQ209" s="200" t="s">
        <v>230</v>
      </c>
      <c r="AR209" s="200"/>
      <c r="AS209" s="200"/>
      <c r="AT209" s="200"/>
      <c r="AU209" s="425"/>
      <c r="AV209" s="545" t="s">
        <v>230</v>
      </c>
      <c r="AW209" s="425"/>
      <c r="AX209" s="49"/>
      <c r="AY209" s="296"/>
      <c r="AZ209" s="541"/>
      <c r="BA209" s="554" t="s">
        <v>230</v>
      </c>
      <c r="BB209" s="541"/>
      <c r="BC209" s="49"/>
      <c r="BD209" s="327"/>
      <c r="BE209" s="556"/>
      <c r="BF209" s="557" t="s">
        <v>230</v>
      </c>
      <c r="BG209" s="556"/>
      <c r="BH209" s="49"/>
      <c r="BI209" s="346"/>
      <c r="BJ209" s="558"/>
      <c r="BK209" s="587" t="s">
        <v>230</v>
      </c>
      <c r="BL209" s="558"/>
      <c r="BM209" s="49"/>
      <c r="BN209" s="429"/>
      <c r="BO209" s="485"/>
      <c r="BP209" s="596" t="s">
        <v>230</v>
      </c>
      <c r="BQ209" s="485"/>
      <c r="BR209" s="49"/>
      <c r="BS209" s="353"/>
      <c r="BT209" s="472"/>
      <c r="BU209" s="586" t="s">
        <v>230</v>
      </c>
      <c r="BV209" s="472"/>
      <c r="BW209" s="49"/>
      <c r="BX209" s="368"/>
      <c r="BY209" s="578"/>
      <c r="BZ209" s="593" t="s">
        <v>230</v>
      </c>
      <c r="CA209" s="578"/>
      <c r="CB209" s="49"/>
      <c r="CC209" s="388"/>
      <c r="CD209" s="488"/>
      <c r="CE209" s="595" t="s">
        <v>230</v>
      </c>
      <c r="CF209" s="595"/>
      <c r="CG209" s="49"/>
      <c r="CH209" s="402"/>
      <c r="CI209" s="439"/>
      <c r="CJ209" s="867" t="s">
        <v>230</v>
      </c>
      <c r="CK209" s="439"/>
      <c r="CL209" s="49"/>
      <c r="CM209" s="402"/>
      <c r="CN209" s="439"/>
      <c r="CO209" s="867" t="s">
        <v>230</v>
      </c>
      <c r="CP209" s="672"/>
      <c r="CQ209" s="49"/>
      <c r="CR209" s="419"/>
      <c r="CS209" s="487"/>
      <c r="CT209" s="575" t="s">
        <v>230</v>
      </c>
      <c r="CU209" s="729"/>
      <c r="CV209" s="49"/>
      <c r="CW209" s="453"/>
      <c r="CX209" s="455"/>
      <c r="CY209" s="631"/>
      <c r="CZ209" s="455"/>
      <c r="DA209" s="49"/>
      <c r="DB209" s="457"/>
      <c r="DC209" s="475"/>
      <c r="DD209" s="632"/>
      <c r="DE209" s="475"/>
      <c r="DF209" s="49"/>
      <c r="DG209" s="458"/>
      <c r="DH209" s="459"/>
      <c r="DI209" s="633"/>
      <c r="DJ209" s="459"/>
      <c r="DK209" s="49"/>
      <c r="DL209" s="620"/>
      <c r="DM209" s="637"/>
      <c r="DN209" s="637"/>
      <c r="DO209" s="637"/>
      <c r="DP209" s="49"/>
      <c r="DQ209" s="461"/>
      <c r="DR209" s="462"/>
      <c r="DS209" s="462"/>
      <c r="DT209" s="462"/>
      <c r="DU209" s="49"/>
      <c r="DV209" s="463"/>
      <c r="DW209" s="464"/>
      <c r="DX209" s="464"/>
      <c r="DY209" s="464"/>
      <c r="DZ209" s="49"/>
      <c r="EA209" s="465"/>
      <c r="EB209" s="466"/>
      <c r="EC209" s="426"/>
      <c r="ED209" s="456"/>
      <c r="EE209" s="47"/>
      <c r="EF209" s="16"/>
    </row>
    <row r="210" ht="17.25" customHeight="1">
      <c r="A210" s="16"/>
      <c r="B210" s="47"/>
      <c r="C210" s="170"/>
      <c r="D210" s="171"/>
      <c r="E210" s="49"/>
      <c r="F210" s="200"/>
      <c r="G210" s="200"/>
      <c r="H210" s="200" t="s">
        <v>230</v>
      </c>
      <c r="I210" s="200"/>
      <c r="J210" s="200"/>
      <c r="K210" s="200"/>
      <c r="L210" s="476"/>
      <c r="M210" s="200" t="s">
        <v>230</v>
      </c>
      <c r="N210" s="200"/>
      <c r="O210" s="200"/>
      <c r="P210" s="200"/>
      <c r="Q210" s="476"/>
      <c r="R210" s="200" t="s">
        <v>230</v>
      </c>
      <c r="S210" s="200"/>
      <c r="T210" s="200"/>
      <c r="U210" s="200"/>
      <c r="V210" s="476"/>
      <c r="W210" s="200" t="s">
        <v>230</v>
      </c>
      <c r="X210" s="200"/>
      <c r="Y210" s="200"/>
      <c r="Z210" s="200"/>
      <c r="AA210" s="476"/>
      <c r="AB210" s="200" t="s">
        <v>230</v>
      </c>
      <c r="AC210" s="200"/>
      <c r="AD210" s="200"/>
      <c r="AE210" s="200"/>
      <c r="AF210" s="200"/>
      <c r="AG210" s="200" t="s">
        <v>230</v>
      </c>
      <c r="AH210" s="200"/>
      <c r="AI210" s="200"/>
      <c r="AJ210" s="200"/>
      <c r="AK210" s="476"/>
      <c r="AL210" s="200" t="s">
        <v>230</v>
      </c>
      <c r="AM210" s="200"/>
      <c r="AN210" s="200"/>
      <c r="AO210" s="200"/>
      <c r="AP210" s="476"/>
      <c r="AQ210" s="200" t="s">
        <v>230</v>
      </c>
      <c r="AR210" s="200"/>
      <c r="AS210" s="200"/>
      <c r="AT210" s="200"/>
      <c r="AU210" s="425"/>
      <c r="AV210" s="545" t="s">
        <v>230</v>
      </c>
      <c r="AW210" s="425"/>
      <c r="AX210" s="49"/>
      <c r="AY210" s="296"/>
      <c r="AZ210" s="541"/>
      <c r="BA210" s="554" t="s">
        <v>230</v>
      </c>
      <c r="BB210" s="541"/>
      <c r="BC210" s="49"/>
      <c r="BD210" s="327"/>
      <c r="BE210" s="556"/>
      <c r="BF210" s="557" t="s">
        <v>230</v>
      </c>
      <c r="BG210" s="556"/>
      <c r="BH210" s="49"/>
      <c r="BI210" s="346"/>
      <c r="BJ210" s="558"/>
      <c r="BK210" s="587" t="s">
        <v>230</v>
      </c>
      <c r="BL210" s="558"/>
      <c r="BM210" s="49"/>
      <c r="BN210" s="429"/>
      <c r="BO210" s="485"/>
      <c r="BP210" s="596" t="s">
        <v>230</v>
      </c>
      <c r="BQ210" s="485"/>
      <c r="BR210" s="49"/>
      <c r="BS210" s="353"/>
      <c r="BT210" s="472"/>
      <c r="BU210" s="586" t="s">
        <v>230</v>
      </c>
      <c r="BV210" s="472"/>
      <c r="BW210" s="49"/>
      <c r="BX210" s="368"/>
      <c r="BY210" s="578"/>
      <c r="BZ210" s="593" t="s">
        <v>230</v>
      </c>
      <c r="CA210" s="578"/>
      <c r="CB210" s="49"/>
      <c r="CC210" s="388"/>
      <c r="CD210" s="488"/>
      <c r="CE210" s="595" t="s">
        <v>230</v>
      </c>
      <c r="CF210" s="595"/>
      <c r="CG210" s="49"/>
      <c r="CH210" s="402"/>
      <c r="CI210" s="439"/>
      <c r="CJ210" s="867" t="s">
        <v>230</v>
      </c>
      <c r="CK210" s="439"/>
      <c r="CL210" s="49"/>
      <c r="CM210" s="402"/>
      <c r="CN210" s="439"/>
      <c r="CO210" s="867" t="s">
        <v>230</v>
      </c>
      <c r="CP210" s="672"/>
      <c r="CQ210" s="49"/>
      <c r="CR210" s="419"/>
      <c r="CS210" s="487"/>
      <c r="CT210" s="575" t="s">
        <v>230</v>
      </c>
      <c r="CU210" s="729"/>
      <c r="CV210" s="49"/>
      <c r="CW210" s="453"/>
      <c r="CX210" s="455"/>
      <c r="CY210" s="631"/>
      <c r="CZ210" s="455"/>
      <c r="DA210" s="49"/>
      <c r="DB210" s="457"/>
      <c r="DC210" s="475"/>
      <c r="DD210" s="632"/>
      <c r="DE210" s="475"/>
      <c r="DF210" s="49"/>
      <c r="DG210" s="458"/>
      <c r="DH210" s="459"/>
      <c r="DI210" s="633"/>
      <c r="DJ210" s="459"/>
      <c r="DK210" s="49"/>
      <c r="DL210" s="620"/>
      <c r="DM210" s="637"/>
      <c r="DN210" s="637"/>
      <c r="DO210" s="637"/>
      <c r="DP210" s="49"/>
      <c r="DQ210" s="461"/>
      <c r="DR210" s="462"/>
      <c r="DS210" s="462"/>
      <c r="DT210" s="462"/>
      <c r="DU210" s="49"/>
      <c r="DV210" s="463"/>
      <c r="DW210" s="464"/>
      <c r="DX210" s="464"/>
      <c r="DY210" s="464"/>
      <c r="DZ210" s="49"/>
      <c r="EA210" s="465"/>
      <c r="EB210" s="466"/>
      <c r="EC210" s="426"/>
      <c r="ED210" s="456"/>
      <c r="EE210" s="47"/>
      <c r="EF210" s="16"/>
    </row>
    <row r="211" ht="17.25" customHeight="1">
      <c r="A211" s="16"/>
      <c r="B211" s="47"/>
      <c r="C211" s="170"/>
      <c r="D211" s="171"/>
      <c r="E211" s="49"/>
      <c r="F211" s="200"/>
      <c r="G211" s="200"/>
      <c r="H211" s="200" t="s">
        <v>230</v>
      </c>
      <c r="I211" s="200"/>
      <c r="J211" s="200"/>
      <c r="K211" s="200"/>
      <c r="L211" s="476"/>
      <c r="M211" s="200" t="s">
        <v>230</v>
      </c>
      <c r="N211" s="200"/>
      <c r="O211" s="200"/>
      <c r="P211" s="200"/>
      <c r="Q211" s="476"/>
      <c r="R211" s="200" t="s">
        <v>230</v>
      </c>
      <c r="S211" s="200"/>
      <c r="T211" s="200"/>
      <c r="U211" s="200"/>
      <c r="V211" s="476"/>
      <c r="W211" s="200" t="s">
        <v>230</v>
      </c>
      <c r="X211" s="200"/>
      <c r="Y211" s="200"/>
      <c r="Z211" s="200"/>
      <c r="AA211" s="476"/>
      <c r="AB211" s="200" t="s">
        <v>230</v>
      </c>
      <c r="AC211" s="200"/>
      <c r="AD211" s="200"/>
      <c r="AE211" s="200"/>
      <c r="AF211" s="200"/>
      <c r="AG211" s="200" t="s">
        <v>230</v>
      </c>
      <c r="AH211" s="200"/>
      <c r="AI211" s="200"/>
      <c r="AJ211" s="200"/>
      <c r="AK211" s="476"/>
      <c r="AL211" s="200" t="s">
        <v>230</v>
      </c>
      <c r="AM211" s="200"/>
      <c r="AN211" s="200"/>
      <c r="AO211" s="200"/>
      <c r="AP211" s="476"/>
      <c r="AQ211" s="200" t="s">
        <v>230</v>
      </c>
      <c r="AR211" s="200"/>
      <c r="AS211" s="200"/>
      <c r="AT211" s="200"/>
      <c r="AU211" s="425"/>
      <c r="AV211" s="545" t="s">
        <v>230</v>
      </c>
      <c r="AW211" s="425"/>
      <c r="AX211" s="49"/>
      <c r="AY211" s="296"/>
      <c r="AZ211" s="541"/>
      <c r="BA211" s="554" t="s">
        <v>230</v>
      </c>
      <c r="BB211" s="541"/>
      <c r="BC211" s="49"/>
      <c r="BD211" s="327"/>
      <c r="BE211" s="556"/>
      <c r="BF211" s="557" t="s">
        <v>230</v>
      </c>
      <c r="BG211" s="556"/>
      <c r="BH211" s="49"/>
      <c r="BI211" s="346"/>
      <c r="BJ211" s="558"/>
      <c r="BK211" s="587" t="s">
        <v>230</v>
      </c>
      <c r="BL211" s="558"/>
      <c r="BM211" s="49"/>
      <c r="BN211" s="429"/>
      <c r="BO211" s="485"/>
      <c r="BP211" s="596" t="s">
        <v>230</v>
      </c>
      <c r="BQ211" s="485"/>
      <c r="BR211" s="49"/>
      <c r="BS211" s="353"/>
      <c r="BT211" s="472"/>
      <c r="BU211" s="586" t="s">
        <v>230</v>
      </c>
      <c r="BV211" s="472"/>
      <c r="BW211" s="49"/>
      <c r="BX211" s="368"/>
      <c r="BY211" s="578"/>
      <c r="BZ211" s="593" t="s">
        <v>230</v>
      </c>
      <c r="CA211" s="578"/>
      <c r="CB211" s="49"/>
      <c r="CC211" s="388"/>
      <c r="CD211" s="488"/>
      <c r="CE211" s="595" t="s">
        <v>230</v>
      </c>
      <c r="CF211" s="595"/>
      <c r="CG211" s="49"/>
      <c r="CH211" s="402"/>
      <c r="CI211" s="439"/>
      <c r="CJ211" s="867" t="s">
        <v>230</v>
      </c>
      <c r="CK211" s="439"/>
      <c r="CL211" s="49"/>
      <c r="CM211" s="402"/>
      <c r="CN211" s="439"/>
      <c r="CO211" s="867" t="s">
        <v>230</v>
      </c>
      <c r="CP211" s="672"/>
      <c r="CQ211" s="49"/>
      <c r="CR211" s="419"/>
      <c r="CS211" s="487"/>
      <c r="CT211" s="575" t="s">
        <v>230</v>
      </c>
      <c r="CU211" s="729"/>
      <c r="CV211" s="49"/>
      <c r="CW211" s="453"/>
      <c r="CX211" s="455"/>
      <c r="CY211" s="631"/>
      <c r="CZ211" s="455"/>
      <c r="DA211" s="49"/>
      <c r="DB211" s="457"/>
      <c r="DC211" s="475"/>
      <c r="DD211" s="632"/>
      <c r="DE211" s="475"/>
      <c r="DF211" s="49"/>
      <c r="DG211" s="458"/>
      <c r="DH211" s="459"/>
      <c r="DI211" s="633"/>
      <c r="DJ211" s="459"/>
      <c r="DK211" s="49"/>
      <c r="DL211" s="620"/>
      <c r="DM211" s="637"/>
      <c r="DN211" s="637"/>
      <c r="DO211" s="637"/>
      <c r="DP211" s="49"/>
      <c r="DQ211" s="461"/>
      <c r="DR211" s="462"/>
      <c r="DS211" s="462"/>
      <c r="DT211" s="462"/>
      <c r="DU211" s="49"/>
      <c r="DV211" s="463"/>
      <c r="DW211" s="464"/>
      <c r="DX211" s="464"/>
      <c r="DY211" s="464"/>
      <c r="DZ211" s="49"/>
      <c r="EA211" s="465"/>
      <c r="EB211" s="466"/>
      <c r="EC211" s="426"/>
      <c r="ED211" s="456"/>
      <c r="EE211" s="47"/>
      <c r="EF211" s="16"/>
    </row>
    <row r="212" ht="17.25" customHeight="1">
      <c r="A212" s="16"/>
      <c r="B212" s="47"/>
      <c r="C212" s="170"/>
      <c r="D212" s="171"/>
      <c r="E212" s="49"/>
      <c r="F212" s="200"/>
      <c r="G212" s="200"/>
      <c r="H212" s="200" t="s">
        <v>230</v>
      </c>
      <c r="I212" s="200"/>
      <c r="J212" s="200"/>
      <c r="K212" s="200"/>
      <c r="L212" s="476"/>
      <c r="M212" s="200" t="s">
        <v>230</v>
      </c>
      <c r="N212" s="200"/>
      <c r="O212" s="200"/>
      <c r="P212" s="200"/>
      <c r="Q212" s="476"/>
      <c r="R212" s="200" t="s">
        <v>230</v>
      </c>
      <c r="S212" s="200"/>
      <c r="T212" s="200"/>
      <c r="U212" s="200"/>
      <c r="V212" s="476"/>
      <c r="W212" s="200" t="s">
        <v>230</v>
      </c>
      <c r="X212" s="200"/>
      <c r="Y212" s="200"/>
      <c r="Z212" s="200"/>
      <c r="AA212" s="476"/>
      <c r="AB212" s="200" t="s">
        <v>230</v>
      </c>
      <c r="AC212" s="200"/>
      <c r="AD212" s="200"/>
      <c r="AE212" s="200"/>
      <c r="AF212" s="200"/>
      <c r="AG212" s="200" t="s">
        <v>230</v>
      </c>
      <c r="AH212" s="200"/>
      <c r="AI212" s="200"/>
      <c r="AJ212" s="200"/>
      <c r="AK212" s="476"/>
      <c r="AL212" s="200" t="s">
        <v>230</v>
      </c>
      <c r="AM212" s="200"/>
      <c r="AN212" s="200"/>
      <c r="AO212" s="200"/>
      <c r="AP212" s="476"/>
      <c r="AQ212" s="200" t="s">
        <v>230</v>
      </c>
      <c r="AR212" s="200"/>
      <c r="AS212" s="200"/>
      <c r="AT212" s="200"/>
      <c r="AU212" s="425"/>
      <c r="AV212" s="545" t="s">
        <v>230</v>
      </c>
      <c r="AW212" s="425"/>
      <c r="AX212" s="49"/>
      <c r="AY212" s="296"/>
      <c r="AZ212" s="541"/>
      <c r="BA212" s="554" t="s">
        <v>230</v>
      </c>
      <c r="BB212" s="541"/>
      <c r="BC212" s="49"/>
      <c r="BD212" s="327"/>
      <c r="BE212" s="556"/>
      <c r="BF212" s="557" t="s">
        <v>230</v>
      </c>
      <c r="BG212" s="556"/>
      <c r="BH212" s="49"/>
      <c r="BI212" s="346"/>
      <c r="BJ212" s="558"/>
      <c r="BK212" s="587" t="s">
        <v>230</v>
      </c>
      <c r="BL212" s="558"/>
      <c r="BM212" s="49"/>
      <c r="BN212" s="429"/>
      <c r="BO212" s="485"/>
      <c r="BP212" s="596" t="s">
        <v>230</v>
      </c>
      <c r="BQ212" s="485"/>
      <c r="BR212" s="49"/>
      <c r="BS212" s="353"/>
      <c r="BT212" s="472"/>
      <c r="BU212" s="586" t="s">
        <v>230</v>
      </c>
      <c r="BV212" s="472"/>
      <c r="BW212" s="49"/>
      <c r="BX212" s="368"/>
      <c r="BY212" s="578"/>
      <c r="BZ212" s="593" t="s">
        <v>230</v>
      </c>
      <c r="CA212" s="578"/>
      <c r="CB212" s="49"/>
      <c r="CC212" s="388"/>
      <c r="CD212" s="488"/>
      <c r="CE212" s="595" t="s">
        <v>230</v>
      </c>
      <c r="CF212" s="595"/>
      <c r="CG212" s="49"/>
      <c r="CH212" s="402"/>
      <c r="CI212" s="439"/>
      <c r="CJ212" s="867" t="s">
        <v>230</v>
      </c>
      <c r="CK212" s="439"/>
      <c r="CL212" s="49"/>
      <c r="CM212" s="402"/>
      <c r="CN212" s="439"/>
      <c r="CO212" s="867" t="s">
        <v>230</v>
      </c>
      <c r="CP212" s="672"/>
      <c r="CQ212" s="49"/>
      <c r="CR212" s="419"/>
      <c r="CS212" s="487"/>
      <c r="CT212" s="575" t="s">
        <v>230</v>
      </c>
      <c r="CU212" s="729"/>
      <c r="CV212" s="49"/>
      <c r="CW212" s="453"/>
      <c r="CX212" s="455"/>
      <c r="CY212" s="631"/>
      <c r="CZ212" s="455"/>
      <c r="DA212" s="49"/>
      <c r="DB212" s="457"/>
      <c r="DC212" s="475"/>
      <c r="DD212" s="632"/>
      <c r="DE212" s="475"/>
      <c r="DF212" s="49"/>
      <c r="DG212" s="458"/>
      <c r="DH212" s="459"/>
      <c r="DI212" s="633"/>
      <c r="DJ212" s="459"/>
      <c r="DK212" s="49"/>
      <c r="DL212" s="620"/>
      <c r="DM212" s="637"/>
      <c r="DN212" s="637"/>
      <c r="DO212" s="637"/>
      <c r="DP212" s="49"/>
      <c r="DQ212" s="461"/>
      <c r="DR212" s="462"/>
      <c r="DS212" s="462"/>
      <c r="DT212" s="462"/>
      <c r="DU212" s="49"/>
      <c r="DV212" s="463"/>
      <c r="DW212" s="464"/>
      <c r="DX212" s="464"/>
      <c r="DY212" s="464"/>
      <c r="DZ212" s="49"/>
      <c r="EA212" s="465"/>
      <c r="EB212" s="466"/>
      <c r="EC212" s="426"/>
      <c r="ED212" s="456"/>
      <c r="EE212" s="47"/>
      <c r="EF212" s="16"/>
    </row>
    <row r="213" ht="17.25" customHeight="1">
      <c r="A213" s="16"/>
      <c r="B213" s="47"/>
      <c r="C213" s="170"/>
      <c r="D213" s="171"/>
      <c r="E213" s="49"/>
      <c r="F213" s="200"/>
      <c r="G213" s="200"/>
      <c r="H213" s="200" t="s">
        <v>230</v>
      </c>
      <c r="I213" s="200"/>
      <c r="J213" s="200"/>
      <c r="K213" s="200"/>
      <c r="L213" s="476"/>
      <c r="M213" s="200" t="s">
        <v>230</v>
      </c>
      <c r="N213" s="200"/>
      <c r="O213" s="200"/>
      <c r="P213" s="200"/>
      <c r="Q213" s="476"/>
      <c r="R213" s="200" t="s">
        <v>230</v>
      </c>
      <c r="S213" s="200"/>
      <c r="T213" s="200"/>
      <c r="U213" s="200"/>
      <c r="V213" s="476"/>
      <c r="W213" s="200" t="s">
        <v>230</v>
      </c>
      <c r="X213" s="200"/>
      <c r="Y213" s="200"/>
      <c r="Z213" s="200"/>
      <c r="AA213" s="476"/>
      <c r="AB213" s="200" t="s">
        <v>230</v>
      </c>
      <c r="AC213" s="200"/>
      <c r="AD213" s="200"/>
      <c r="AE213" s="200"/>
      <c r="AF213" s="200"/>
      <c r="AG213" s="200" t="s">
        <v>230</v>
      </c>
      <c r="AH213" s="200"/>
      <c r="AI213" s="200"/>
      <c r="AJ213" s="200"/>
      <c r="AK213" s="476"/>
      <c r="AL213" s="200" t="s">
        <v>230</v>
      </c>
      <c r="AM213" s="200"/>
      <c r="AN213" s="200"/>
      <c r="AO213" s="200"/>
      <c r="AP213" s="476"/>
      <c r="AQ213" s="200" t="s">
        <v>230</v>
      </c>
      <c r="AR213" s="200"/>
      <c r="AS213" s="200"/>
      <c r="AT213" s="200"/>
      <c r="AU213" s="425"/>
      <c r="AV213" s="545" t="s">
        <v>230</v>
      </c>
      <c r="AW213" s="425"/>
      <c r="AX213" s="49"/>
      <c r="AY213" s="296"/>
      <c r="AZ213" s="541"/>
      <c r="BA213" s="554" t="s">
        <v>230</v>
      </c>
      <c r="BB213" s="541"/>
      <c r="BC213" s="49"/>
      <c r="BD213" s="327"/>
      <c r="BE213" s="556"/>
      <c r="BF213" s="557" t="s">
        <v>230</v>
      </c>
      <c r="BG213" s="556"/>
      <c r="BH213" s="49"/>
      <c r="BI213" s="346"/>
      <c r="BJ213" s="558"/>
      <c r="BK213" s="587" t="s">
        <v>230</v>
      </c>
      <c r="BL213" s="558"/>
      <c r="BM213" s="49"/>
      <c r="BN213" s="429"/>
      <c r="BO213" s="485"/>
      <c r="BP213" s="596" t="s">
        <v>230</v>
      </c>
      <c r="BQ213" s="485"/>
      <c r="BR213" s="49"/>
      <c r="BS213" s="353"/>
      <c r="BT213" s="472"/>
      <c r="BU213" s="586" t="s">
        <v>230</v>
      </c>
      <c r="BV213" s="472"/>
      <c r="BW213" s="49"/>
      <c r="BX213" s="368"/>
      <c r="BY213" s="578"/>
      <c r="BZ213" s="593" t="s">
        <v>230</v>
      </c>
      <c r="CA213" s="578"/>
      <c r="CB213" s="49"/>
      <c r="CC213" s="388"/>
      <c r="CD213" s="488"/>
      <c r="CE213" s="595" t="s">
        <v>230</v>
      </c>
      <c r="CF213" s="595"/>
      <c r="CG213" s="49"/>
      <c r="CH213" s="402"/>
      <c r="CI213" s="439"/>
      <c r="CJ213" s="867" t="s">
        <v>230</v>
      </c>
      <c r="CK213" s="439"/>
      <c r="CL213" s="49"/>
      <c r="CM213" s="402"/>
      <c r="CN213" s="439"/>
      <c r="CO213" s="867" t="s">
        <v>230</v>
      </c>
      <c r="CP213" s="672"/>
      <c r="CQ213" s="49"/>
      <c r="CR213" s="419"/>
      <c r="CS213" s="487"/>
      <c r="CT213" s="575" t="s">
        <v>230</v>
      </c>
      <c r="CU213" s="729"/>
      <c r="CV213" s="49"/>
      <c r="CW213" s="453"/>
      <c r="CX213" s="455"/>
      <c r="CY213" s="631"/>
      <c r="CZ213" s="455"/>
      <c r="DA213" s="49"/>
      <c r="DB213" s="457"/>
      <c r="DC213" s="475"/>
      <c r="DD213" s="632"/>
      <c r="DE213" s="475"/>
      <c r="DF213" s="49"/>
      <c r="DG213" s="458"/>
      <c r="DH213" s="459"/>
      <c r="DI213" s="633"/>
      <c r="DJ213" s="459"/>
      <c r="DK213" s="49"/>
      <c r="DL213" s="620"/>
      <c r="DM213" s="637"/>
      <c r="DN213" s="637"/>
      <c r="DO213" s="637"/>
      <c r="DP213" s="49"/>
      <c r="DQ213" s="461"/>
      <c r="DR213" s="462"/>
      <c r="DS213" s="462"/>
      <c r="DT213" s="462"/>
      <c r="DU213" s="49"/>
      <c r="DV213" s="463"/>
      <c r="DW213" s="464"/>
      <c r="DX213" s="464"/>
      <c r="DY213" s="464"/>
      <c r="DZ213" s="49"/>
      <c r="EA213" s="465"/>
      <c r="EB213" s="466"/>
      <c r="EC213" s="426"/>
      <c r="ED213" s="456"/>
      <c r="EE213" s="47"/>
      <c r="EF213" s="16"/>
    </row>
    <row r="214" ht="17.25" customHeight="1">
      <c r="A214" s="16"/>
      <c r="B214" s="47"/>
      <c r="C214" s="170"/>
      <c r="D214" s="171"/>
      <c r="E214" s="49"/>
      <c r="F214" s="200"/>
      <c r="G214" s="200"/>
      <c r="H214" s="200" t="s">
        <v>230</v>
      </c>
      <c r="I214" s="200"/>
      <c r="J214" s="200"/>
      <c r="K214" s="200"/>
      <c r="L214" s="476"/>
      <c r="M214" s="200" t="s">
        <v>230</v>
      </c>
      <c r="N214" s="200"/>
      <c r="O214" s="200"/>
      <c r="P214" s="200"/>
      <c r="Q214" s="476"/>
      <c r="R214" s="200" t="s">
        <v>230</v>
      </c>
      <c r="S214" s="200"/>
      <c r="T214" s="200"/>
      <c r="U214" s="200"/>
      <c r="V214" s="476"/>
      <c r="W214" s="200" t="s">
        <v>230</v>
      </c>
      <c r="X214" s="200"/>
      <c r="Y214" s="200"/>
      <c r="Z214" s="200"/>
      <c r="AA214" s="476"/>
      <c r="AB214" s="200" t="s">
        <v>230</v>
      </c>
      <c r="AC214" s="200"/>
      <c r="AD214" s="200"/>
      <c r="AE214" s="200"/>
      <c r="AF214" s="200"/>
      <c r="AG214" s="200" t="s">
        <v>230</v>
      </c>
      <c r="AH214" s="200"/>
      <c r="AI214" s="200"/>
      <c r="AJ214" s="200"/>
      <c r="AK214" s="476"/>
      <c r="AL214" s="200" t="s">
        <v>230</v>
      </c>
      <c r="AM214" s="200"/>
      <c r="AN214" s="200"/>
      <c r="AO214" s="200"/>
      <c r="AP214" s="476"/>
      <c r="AQ214" s="200" t="s">
        <v>230</v>
      </c>
      <c r="AR214" s="200"/>
      <c r="AS214" s="200"/>
      <c r="AT214" s="200"/>
      <c r="AU214" s="425"/>
      <c r="AV214" s="545" t="s">
        <v>230</v>
      </c>
      <c r="AW214" s="425"/>
      <c r="AX214" s="49"/>
      <c r="AY214" s="296"/>
      <c r="AZ214" s="541"/>
      <c r="BA214" s="554" t="s">
        <v>230</v>
      </c>
      <c r="BB214" s="541"/>
      <c r="BC214" s="49"/>
      <c r="BD214" s="327"/>
      <c r="BE214" s="556"/>
      <c r="BF214" s="557" t="s">
        <v>230</v>
      </c>
      <c r="BG214" s="556"/>
      <c r="BH214" s="49"/>
      <c r="BI214" s="346"/>
      <c r="BJ214" s="558"/>
      <c r="BK214" s="587" t="s">
        <v>230</v>
      </c>
      <c r="BL214" s="558"/>
      <c r="BM214" s="49"/>
      <c r="BN214" s="429"/>
      <c r="BO214" s="485"/>
      <c r="BP214" s="596" t="s">
        <v>230</v>
      </c>
      <c r="BQ214" s="485"/>
      <c r="BR214" s="49"/>
      <c r="BS214" s="353"/>
      <c r="BT214" s="472"/>
      <c r="BU214" s="586" t="s">
        <v>230</v>
      </c>
      <c r="BV214" s="472"/>
      <c r="BW214" s="49"/>
      <c r="BX214" s="368"/>
      <c r="BY214" s="578"/>
      <c r="BZ214" s="593" t="s">
        <v>230</v>
      </c>
      <c r="CA214" s="578"/>
      <c r="CB214" s="49"/>
      <c r="CC214" s="388"/>
      <c r="CD214" s="488"/>
      <c r="CE214" s="595" t="s">
        <v>230</v>
      </c>
      <c r="CF214" s="595"/>
      <c r="CG214" s="49"/>
      <c r="CH214" s="402"/>
      <c r="CI214" s="439"/>
      <c r="CJ214" s="867" t="s">
        <v>230</v>
      </c>
      <c r="CK214" s="439"/>
      <c r="CL214" s="49"/>
      <c r="CM214" s="402"/>
      <c r="CN214" s="439"/>
      <c r="CO214" s="867" t="s">
        <v>230</v>
      </c>
      <c r="CP214" s="672"/>
      <c r="CQ214" s="49"/>
      <c r="CR214" s="419"/>
      <c r="CS214" s="487"/>
      <c r="CT214" s="575" t="s">
        <v>230</v>
      </c>
      <c r="CU214" s="729"/>
      <c r="CV214" s="49"/>
      <c r="CW214" s="453"/>
      <c r="CX214" s="455"/>
      <c r="CY214" s="631"/>
      <c r="CZ214" s="455"/>
      <c r="DA214" s="49"/>
      <c r="DB214" s="457"/>
      <c r="DC214" s="475"/>
      <c r="DD214" s="632"/>
      <c r="DE214" s="475"/>
      <c r="DF214" s="49"/>
      <c r="DG214" s="458"/>
      <c r="DH214" s="459"/>
      <c r="DI214" s="633"/>
      <c r="DJ214" s="459"/>
      <c r="DK214" s="49"/>
      <c r="DL214" s="620"/>
      <c r="DM214" s="637"/>
      <c r="DN214" s="637"/>
      <c r="DO214" s="637"/>
      <c r="DP214" s="49"/>
      <c r="DQ214" s="461"/>
      <c r="DR214" s="462"/>
      <c r="DS214" s="462"/>
      <c r="DT214" s="462"/>
      <c r="DU214" s="49"/>
      <c r="DV214" s="463"/>
      <c r="DW214" s="464"/>
      <c r="DX214" s="464"/>
      <c r="DY214" s="464"/>
      <c r="DZ214" s="49"/>
      <c r="EA214" s="465"/>
      <c r="EB214" s="466"/>
      <c r="EC214" s="426"/>
      <c r="ED214" s="456"/>
      <c r="EE214" s="47"/>
      <c r="EF214" s="16"/>
    </row>
    <row r="215" ht="17.25" customHeight="1">
      <c r="A215" s="16"/>
      <c r="B215" s="47"/>
      <c r="C215" s="170"/>
      <c r="D215" s="171"/>
      <c r="E215" s="49"/>
      <c r="F215" s="200"/>
      <c r="G215" s="200"/>
      <c r="H215" s="200" t="s">
        <v>230</v>
      </c>
      <c r="I215" s="200"/>
      <c r="J215" s="200"/>
      <c r="K215" s="200"/>
      <c r="L215" s="476"/>
      <c r="M215" s="200" t="s">
        <v>230</v>
      </c>
      <c r="N215" s="200"/>
      <c r="O215" s="200"/>
      <c r="P215" s="200"/>
      <c r="Q215" s="476"/>
      <c r="R215" s="200" t="s">
        <v>230</v>
      </c>
      <c r="S215" s="200"/>
      <c r="T215" s="200"/>
      <c r="U215" s="200"/>
      <c r="V215" s="476"/>
      <c r="W215" s="200" t="s">
        <v>230</v>
      </c>
      <c r="X215" s="200"/>
      <c r="Y215" s="200"/>
      <c r="Z215" s="200"/>
      <c r="AA215" s="476"/>
      <c r="AB215" s="200" t="s">
        <v>230</v>
      </c>
      <c r="AC215" s="200"/>
      <c r="AD215" s="200"/>
      <c r="AE215" s="200"/>
      <c r="AF215" s="200"/>
      <c r="AG215" s="200" t="s">
        <v>230</v>
      </c>
      <c r="AH215" s="200"/>
      <c r="AI215" s="200"/>
      <c r="AJ215" s="200"/>
      <c r="AK215" s="476"/>
      <c r="AL215" s="200" t="s">
        <v>230</v>
      </c>
      <c r="AM215" s="200"/>
      <c r="AN215" s="200"/>
      <c r="AO215" s="200"/>
      <c r="AP215" s="476"/>
      <c r="AQ215" s="200" t="s">
        <v>230</v>
      </c>
      <c r="AR215" s="200"/>
      <c r="AS215" s="200"/>
      <c r="AT215" s="200"/>
      <c r="AU215" s="425"/>
      <c r="AV215" s="545" t="s">
        <v>230</v>
      </c>
      <c r="AW215" s="425"/>
      <c r="AX215" s="49"/>
      <c r="AY215" s="296"/>
      <c r="AZ215" s="541"/>
      <c r="BA215" s="554" t="s">
        <v>230</v>
      </c>
      <c r="BB215" s="541"/>
      <c r="BC215" s="49"/>
      <c r="BD215" s="327"/>
      <c r="BE215" s="556"/>
      <c r="BF215" s="557" t="s">
        <v>230</v>
      </c>
      <c r="BG215" s="556"/>
      <c r="BH215" s="49"/>
      <c r="BI215" s="346"/>
      <c r="BJ215" s="558"/>
      <c r="BK215" s="587" t="s">
        <v>230</v>
      </c>
      <c r="BL215" s="558"/>
      <c r="BM215" s="49"/>
      <c r="BN215" s="429"/>
      <c r="BO215" s="485"/>
      <c r="BP215" s="596" t="s">
        <v>230</v>
      </c>
      <c r="BQ215" s="485"/>
      <c r="BR215" s="49"/>
      <c r="BS215" s="353"/>
      <c r="BT215" s="472"/>
      <c r="BU215" s="586" t="s">
        <v>230</v>
      </c>
      <c r="BV215" s="472"/>
      <c r="BW215" s="49"/>
      <c r="BX215" s="368"/>
      <c r="BY215" s="578"/>
      <c r="BZ215" s="593" t="s">
        <v>230</v>
      </c>
      <c r="CA215" s="578"/>
      <c r="CB215" s="49"/>
      <c r="CC215" s="388"/>
      <c r="CD215" s="488"/>
      <c r="CE215" s="595" t="s">
        <v>230</v>
      </c>
      <c r="CF215" s="595"/>
      <c r="CG215" s="49"/>
      <c r="CH215" s="402"/>
      <c r="CI215" s="439"/>
      <c r="CJ215" s="867" t="s">
        <v>230</v>
      </c>
      <c r="CK215" s="439"/>
      <c r="CL215" s="49"/>
      <c r="CM215" s="402"/>
      <c r="CN215" s="439"/>
      <c r="CO215" s="867" t="s">
        <v>230</v>
      </c>
      <c r="CP215" s="672"/>
      <c r="CQ215" s="49"/>
      <c r="CR215" s="419"/>
      <c r="CS215" s="487"/>
      <c r="CT215" s="575" t="s">
        <v>230</v>
      </c>
      <c r="CU215" s="729"/>
      <c r="CV215" s="49"/>
      <c r="CW215" s="453"/>
      <c r="CX215" s="455"/>
      <c r="CY215" s="631"/>
      <c r="CZ215" s="455"/>
      <c r="DA215" s="49"/>
      <c r="DB215" s="457"/>
      <c r="DC215" s="475"/>
      <c r="DD215" s="632"/>
      <c r="DE215" s="475"/>
      <c r="DF215" s="49"/>
      <c r="DG215" s="458"/>
      <c r="DH215" s="459"/>
      <c r="DI215" s="633"/>
      <c r="DJ215" s="459"/>
      <c r="DK215" s="49"/>
      <c r="DL215" s="620"/>
      <c r="DM215" s="637"/>
      <c r="DN215" s="637"/>
      <c r="DO215" s="637"/>
      <c r="DP215" s="49"/>
      <c r="DQ215" s="461"/>
      <c r="DR215" s="462"/>
      <c r="DS215" s="462"/>
      <c r="DT215" s="462"/>
      <c r="DU215" s="49"/>
      <c r="DV215" s="463"/>
      <c r="DW215" s="464"/>
      <c r="DX215" s="464"/>
      <c r="DY215" s="464"/>
      <c r="DZ215" s="49"/>
      <c r="EA215" s="465"/>
      <c r="EB215" s="466"/>
      <c r="EC215" s="426"/>
      <c r="ED215" s="456"/>
      <c r="EE215" s="47"/>
      <c r="EF215" s="16"/>
    </row>
    <row r="216" ht="17.25" customHeight="1">
      <c r="A216" s="16"/>
      <c r="B216" s="47"/>
      <c r="C216" s="170"/>
      <c r="D216" s="171"/>
      <c r="E216" s="49"/>
      <c r="F216" s="200"/>
      <c r="G216" s="200"/>
      <c r="H216" s="200" t="s">
        <v>230</v>
      </c>
      <c r="I216" s="200"/>
      <c r="J216" s="200"/>
      <c r="K216" s="200"/>
      <c r="L216" s="476"/>
      <c r="M216" s="200" t="s">
        <v>230</v>
      </c>
      <c r="N216" s="200"/>
      <c r="O216" s="200"/>
      <c r="P216" s="200"/>
      <c r="Q216" s="476"/>
      <c r="R216" s="200" t="s">
        <v>230</v>
      </c>
      <c r="S216" s="200"/>
      <c r="T216" s="200"/>
      <c r="U216" s="200"/>
      <c r="V216" s="476"/>
      <c r="W216" s="200" t="s">
        <v>230</v>
      </c>
      <c r="X216" s="200"/>
      <c r="Y216" s="200"/>
      <c r="Z216" s="200"/>
      <c r="AA216" s="476"/>
      <c r="AB216" s="200" t="s">
        <v>230</v>
      </c>
      <c r="AC216" s="200"/>
      <c r="AD216" s="200"/>
      <c r="AE216" s="200"/>
      <c r="AF216" s="200"/>
      <c r="AG216" s="200" t="s">
        <v>230</v>
      </c>
      <c r="AH216" s="200"/>
      <c r="AI216" s="200"/>
      <c r="AJ216" s="200"/>
      <c r="AK216" s="476"/>
      <c r="AL216" s="200" t="s">
        <v>230</v>
      </c>
      <c r="AM216" s="200"/>
      <c r="AN216" s="200"/>
      <c r="AO216" s="200"/>
      <c r="AP216" s="476"/>
      <c r="AQ216" s="200" t="s">
        <v>230</v>
      </c>
      <c r="AR216" s="200"/>
      <c r="AS216" s="200"/>
      <c r="AT216" s="200"/>
      <c r="AU216" s="425"/>
      <c r="AV216" s="545" t="s">
        <v>230</v>
      </c>
      <c r="AW216" s="425"/>
      <c r="AX216" s="49"/>
      <c r="AY216" s="296"/>
      <c r="AZ216" s="541"/>
      <c r="BA216" s="554" t="s">
        <v>230</v>
      </c>
      <c r="BB216" s="541"/>
      <c r="BC216" s="49"/>
      <c r="BD216" s="327"/>
      <c r="BE216" s="556"/>
      <c r="BF216" s="557" t="s">
        <v>230</v>
      </c>
      <c r="BG216" s="556"/>
      <c r="BH216" s="49"/>
      <c r="BI216" s="346"/>
      <c r="BJ216" s="558"/>
      <c r="BK216" s="587" t="s">
        <v>230</v>
      </c>
      <c r="BL216" s="558"/>
      <c r="BM216" s="49"/>
      <c r="BN216" s="429"/>
      <c r="BO216" s="485"/>
      <c r="BP216" s="596" t="s">
        <v>230</v>
      </c>
      <c r="BQ216" s="485"/>
      <c r="BR216" s="49"/>
      <c r="BS216" s="353"/>
      <c r="BT216" s="472"/>
      <c r="BU216" s="586" t="s">
        <v>230</v>
      </c>
      <c r="BV216" s="472"/>
      <c r="BW216" s="49"/>
      <c r="BX216" s="368"/>
      <c r="BY216" s="578"/>
      <c r="BZ216" s="593" t="s">
        <v>230</v>
      </c>
      <c r="CA216" s="578"/>
      <c r="CB216" s="49"/>
      <c r="CC216" s="388"/>
      <c r="CD216" s="488"/>
      <c r="CE216" s="595" t="s">
        <v>230</v>
      </c>
      <c r="CF216" s="595"/>
      <c r="CG216" s="49"/>
      <c r="CH216" s="402"/>
      <c r="CI216" s="439"/>
      <c r="CJ216" s="867" t="s">
        <v>230</v>
      </c>
      <c r="CK216" s="439"/>
      <c r="CL216" s="49"/>
      <c r="CM216" s="402"/>
      <c r="CN216" s="439"/>
      <c r="CO216" s="867" t="s">
        <v>230</v>
      </c>
      <c r="CP216" s="672"/>
      <c r="CQ216" s="49"/>
      <c r="CR216" s="419"/>
      <c r="CS216" s="487"/>
      <c r="CT216" s="575" t="s">
        <v>230</v>
      </c>
      <c r="CU216" s="729"/>
      <c r="CV216" s="49"/>
      <c r="CW216" s="453"/>
      <c r="CX216" s="455"/>
      <c r="CY216" s="631"/>
      <c r="CZ216" s="455"/>
      <c r="DA216" s="49"/>
      <c r="DB216" s="457"/>
      <c r="DC216" s="475"/>
      <c r="DD216" s="632"/>
      <c r="DE216" s="475"/>
      <c r="DF216" s="49"/>
      <c r="DG216" s="458"/>
      <c r="DH216" s="459"/>
      <c r="DI216" s="633"/>
      <c r="DJ216" s="459"/>
      <c r="DK216" s="49"/>
      <c r="DL216" s="620"/>
      <c r="DM216" s="637"/>
      <c r="DN216" s="637"/>
      <c r="DO216" s="637"/>
      <c r="DP216" s="49"/>
      <c r="DQ216" s="461"/>
      <c r="DR216" s="462"/>
      <c r="DS216" s="462"/>
      <c r="DT216" s="462"/>
      <c r="DU216" s="49"/>
      <c r="DV216" s="463"/>
      <c r="DW216" s="464"/>
      <c r="DX216" s="464"/>
      <c r="DY216" s="464"/>
      <c r="DZ216" s="49"/>
      <c r="EA216" s="465"/>
      <c r="EB216" s="466"/>
      <c r="EC216" s="426"/>
      <c r="ED216" s="456"/>
      <c r="EE216" s="47"/>
      <c r="EF216" s="16"/>
    </row>
    <row r="217" ht="17.25" customHeight="1">
      <c r="A217" s="16"/>
      <c r="B217" s="47"/>
      <c r="C217" s="170"/>
      <c r="D217" s="171"/>
      <c r="E217" s="49"/>
      <c r="F217" s="200"/>
      <c r="G217" s="200"/>
      <c r="H217" s="200" t="s">
        <v>230</v>
      </c>
      <c r="I217" s="200"/>
      <c r="J217" s="200"/>
      <c r="K217" s="200"/>
      <c r="L217" s="476"/>
      <c r="M217" s="200" t="s">
        <v>230</v>
      </c>
      <c r="N217" s="200"/>
      <c r="O217" s="200"/>
      <c r="P217" s="200"/>
      <c r="Q217" s="476"/>
      <c r="R217" s="200" t="s">
        <v>230</v>
      </c>
      <c r="S217" s="200"/>
      <c r="T217" s="200"/>
      <c r="U217" s="200"/>
      <c r="V217" s="476"/>
      <c r="W217" s="200" t="s">
        <v>230</v>
      </c>
      <c r="X217" s="200"/>
      <c r="Y217" s="200"/>
      <c r="Z217" s="200"/>
      <c r="AA217" s="476"/>
      <c r="AB217" s="200" t="s">
        <v>230</v>
      </c>
      <c r="AC217" s="200"/>
      <c r="AD217" s="200"/>
      <c r="AE217" s="200"/>
      <c r="AF217" s="200"/>
      <c r="AG217" s="200" t="s">
        <v>230</v>
      </c>
      <c r="AH217" s="200"/>
      <c r="AI217" s="200"/>
      <c r="AJ217" s="200"/>
      <c r="AK217" s="476"/>
      <c r="AL217" s="200" t="s">
        <v>230</v>
      </c>
      <c r="AM217" s="200"/>
      <c r="AN217" s="200"/>
      <c r="AO217" s="200"/>
      <c r="AP217" s="476"/>
      <c r="AQ217" s="200" t="s">
        <v>230</v>
      </c>
      <c r="AR217" s="200"/>
      <c r="AS217" s="200"/>
      <c r="AT217" s="200"/>
      <c r="AU217" s="425"/>
      <c r="AV217" s="545" t="s">
        <v>230</v>
      </c>
      <c r="AW217" s="425"/>
      <c r="AX217" s="49"/>
      <c r="AY217" s="296"/>
      <c r="AZ217" s="541"/>
      <c r="BA217" s="554" t="s">
        <v>230</v>
      </c>
      <c r="BB217" s="541"/>
      <c r="BC217" s="49"/>
      <c r="BD217" s="327"/>
      <c r="BE217" s="556"/>
      <c r="BF217" s="557" t="s">
        <v>230</v>
      </c>
      <c r="BG217" s="556"/>
      <c r="BH217" s="49"/>
      <c r="BI217" s="346"/>
      <c r="BJ217" s="558"/>
      <c r="BK217" s="587" t="s">
        <v>230</v>
      </c>
      <c r="BL217" s="558"/>
      <c r="BM217" s="49"/>
      <c r="BN217" s="429"/>
      <c r="BO217" s="485"/>
      <c r="BP217" s="596" t="s">
        <v>230</v>
      </c>
      <c r="BQ217" s="485"/>
      <c r="BR217" s="49"/>
      <c r="BS217" s="353"/>
      <c r="BT217" s="472"/>
      <c r="BU217" s="586" t="s">
        <v>230</v>
      </c>
      <c r="BV217" s="472"/>
      <c r="BW217" s="49"/>
      <c r="BX217" s="368"/>
      <c r="BY217" s="578"/>
      <c r="BZ217" s="593" t="s">
        <v>230</v>
      </c>
      <c r="CA217" s="578"/>
      <c r="CB217" s="49"/>
      <c r="CC217" s="388"/>
      <c r="CD217" s="488"/>
      <c r="CE217" s="595" t="s">
        <v>230</v>
      </c>
      <c r="CF217" s="595"/>
      <c r="CG217" s="49"/>
      <c r="CH217" s="402"/>
      <c r="CI217" s="439"/>
      <c r="CJ217" s="867" t="s">
        <v>230</v>
      </c>
      <c r="CK217" s="439"/>
      <c r="CL217" s="49"/>
      <c r="CM217" s="402"/>
      <c r="CN217" s="439"/>
      <c r="CO217" s="867" t="s">
        <v>230</v>
      </c>
      <c r="CP217" s="672"/>
      <c r="CQ217" s="49"/>
      <c r="CR217" s="419"/>
      <c r="CS217" s="487"/>
      <c r="CT217" s="575" t="s">
        <v>230</v>
      </c>
      <c r="CU217" s="729"/>
      <c r="CV217" s="49"/>
      <c r="CW217" s="453"/>
      <c r="CX217" s="455"/>
      <c r="CY217" s="631"/>
      <c r="CZ217" s="455"/>
      <c r="DA217" s="49"/>
      <c r="DB217" s="457"/>
      <c r="DC217" s="475"/>
      <c r="DD217" s="632"/>
      <c r="DE217" s="475"/>
      <c r="DF217" s="49"/>
      <c r="DG217" s="458"/>
      <c r="DH217" s="459"/>
      <c r="DI217" s="633"/>
      <c r="DJ217" s="459"/>
      <c r="DK217" s="49"/>
      <c r="DL217" s="620"/>
      <c r="DM217" s="637"/>
      <c r="DN217" s="637"/>
      <c r="DO217" s="637"/>
      <c r="DP217" s="49"/>
      <c r="DQ217" s="461"/>
      <c r="DR217" s="462"/>
      <c r="DS217" s="462"/>
      <c r="DT217" s="462"/>
      <c r="DU217" s="49"/>
      <c r="DV217" s="463"/>
      <c r="DW217" s="464"/>
      <c r="DX217" s="464"/>
      <c r="DY217" s="464"/>
      <c r="DZ217" s="49"/>
      <c r="EA217" s="465"/>
      <c r="EB217" s="466"/>
      <c r="EC217" s="426"/>
      <c r="ED217" s="456"/>
      <c r="EE217" s="47"/>
      <c r="EF217" s="16"/>
    </row>
    <row r="218" ht="17.25" customHeight="1">
      <c r="A218" s="16"/>
      <c r="B218" s="47"/>
      <c r="C218" s="170"/>
      <c r="D218" s="171"/>
      <c r="E218" s="49"/>
      <c r="F218" s="200"/>
      <c r="G218" s="200"/>
      <c r="H218" s="200" t="s">
        <v>230</v>
      </c>
      <c r="I218" s="200"/>
      <c r="J218" s="200"/>
      <c r="K218" s="200"/>
      <c r="L218" s="476"/>
      <c r="M218" s="200" t="s">
        <v>230</v>
      </c>
      <c r="N218" s="200"/>
      <c r="O218" s="200"/>
      <c r="P218" s="200"/>
      <c r="Q218" s="476"/>
      <c r="R218" s="200" t="s">
        <v>230</v>
      </c>
      <c r="S218" s="200"/>
      <c r="T218" s="200"/>
      <c r="U218" s="200"/>
      <c r="V218" s="476"/>
      <c r="W218" s="200" t="s">
        <v>230</v>
      </c>
      <c r="X218" s="200"/>
      <c r="Y218" s="200"/>
      <c r="Z218" s="200"/>
      <c r="AA218" s="476"/>
      <c r="AB218" s="200" t="s">
        <v>230</v>
      </c>
      <c r="AC218" s="200"/>
      <c r="AD218" s="200"/>
      <c r="AE218" s="200"/>
      <c r="AF218" s="200"/>
      <c r="AG218" s="200" t="s">
        <v>230</v>
      </c>
      <c r="AH218" s="200"/>
      <c r="AI218" s="200"/>
      <c r="AJ218" s="200"/>
      <c r="AK218" s="476"/>
      <c r="AL218" s="200" t="s">
        <v>230</v>
      </c>
      <c r="AM218" s="200"/>
      <c r="AN218" s="200"/>
      <c r="AO218" s="200"/>
      <c r="AP218" s="476"/>
      <c r="AQ218" s="200" t="s">
        <v>230</v>
      </c>
      <c r="AR218" s="200"/>
      <c r="AS218" s="200"/>
      <c r="AT218" s="200"/>
      <c r="AU218" s="425"/>
      <c r="AV218" s="545" t="s">
        <v>230</v>
      </c>
      <c r="AW218" s="425"/>
      <c r="AX218" s="49"/>
      <c r="AY218" s="296"/>
      <c r="AZ218" s="541"/>
      <c r="BA218" s="554" t="s">
        <v>230</v>
      </c>
      <c r="BB218" s="541"/>
      <c r="BC218" s="49"/>
      <c r="BD218" s="327"/>
      <c r="BE218" s="556"/>
      <c r="BF218" s="557" t="s">
        <v>230</v>
      </c>
      <c r="BG218" s="556"/>
      <c r="BH218" s="49"/>
      <c r="BI218" s="346"/>
      <c r="BJ218" s="558"/>
      <c r="BK218" s="587" t="s">
        <v>230</v>
      </c>
      <c r="BL218" s="558"/>
      <c r="BM218" s="49"/>
      <c r="BN218" s="429"/>
      <c r="BO218" s="485"/>
      <c r="BP218" s="596" t="s">
        <v>230</v>
      </c>
      <c r="BQ218" s="485"/>
      <c r="BR218" s="49"/>
      <c r="BS218" s="353"/>
      <c r="BT218" s="472"/>
      <c r="BU218" s="586" t="s">
        <v>230</v>
      </c>
      <c r="BV218" s="472"/>
      <c r="BW218" s="49"/>
      <c r="BX218" s="368"/>
      <c r="BY218" s="578"/>
      <c r="BZ218" s="593" t="s">
        <v>230</v>
      </c>
      <c r="CA218" s="578"/>
      <c r="CB218" s="49"/>
      <c r="CC218" s="388"/>
      <c r="CD218" s="488"/>
      <c r="CE218" s="595" t="s">
        <v>230</v>
      </c>
      <c r="CF218" s="595"/>
      <c r="CG218" s="49"/>
      <c r="CH218" s="402"/>
      <c r="CI218" s="439"/>
      <c r="CJ218" s="867" t="s">
        <v>230</v>
      </c>
      <c r="CK218" s="439"/>
      <c r="CL218" s="49"/>
      <c r="CM218" s="402"/>
      <c r="CN218" s="439"/>
      <c r="CO218" s="867" t="s">
        <v>230</v>
      </c>
      <c r="CP218" s="672"/>
      <c r="CQ218" s="49"/>
      <c r="CR218" s="419"/>
      <c r="CS218" s="487"/>
      <c r="CT218" s="575" t="s">
        <v>230</v>
      </c>
      <c r="CU218" s="729"/>
      <c r="CV218" s="49"/>
      <c r="CW218" s="453"/>
      <c r="CX218" s="455"/>
      <c r="CY218" s="631"/>
      <c r="CZ218" s="455"/>
      <c r="DA218" s="49"/>
      <c r="DB218" s="457"/>
      <c r="DC218" s="475"/>
      <c r="DD218" s="632"/>
      <c r="DE218" s="475"/>
      <c r="DF218" s="49"/>
      <c r="DG218" s="458"/>
      <c r="DH218" s="459"/>
      <c r="DI218" s="633"/>
      <c r="DJ218" s="459"/>
      <c r="DK218" s="49"/>
      <c r="DL218" s="620"/>
      <c r="DM218" s="637"/>
      <c r="DN218" s="637"/>
      <c r="DO218" s="637"/>
      <c r="DP218" s="49"/>
      <c r="DQ218" s="461"/>
      <c r="DR218" s="462"/>
      <c r="DS218" s="462"/>
      <c r="DT218" s="462"/>
      <c r="DU218" s="49"/>
      <c r="DV218" s="463"/>
      <c r="DW218" s="464"/>
      <c r="DX218" s="464"/>
      <c r="DY218" s="464"/>
      <c r="DZ218" s="49"/>
      <c r="EA218" s="465"/>
      <c r="EB218" s="466"/>
      <c r="EC218" s="426"/>
      <c r="ED218" s="456"/>
      <c r="EE218" s="47"/>
      <c r="EF218" s="16"/>
    </row>
    <row r="219" ht="17.25" customHeight="1">
      <c r="A219" s="16"/>
      <c r="B219" s="47"/>
      <c r="C219" s="170"/>
      <c r="D219" s="171"/>
      <c r="E219" s="49"/>
      <c r="F219" s="200"/>
      <c r="G219" s="200"/>
      <c r="H219" s="200" t="s">
        <v>230</v>
      </c>
      <c r="I219" s="200"/>
      <c r="J219" s="200"/>
      <c r="K219" s="200"/>
      <c r="L219" s="476"/>
      <c r="M219" s="200" t="s">
        <v>230</v>
      </c>
      <c r="N219" s="200"/>
      <c r="O219" s="200"/>
      <c r="P219" s="200"/>
      <c r="Q219" s="476"/>
      <c r="R219" s="200" t="s">
        <v>230</v>
      </c>
      <c r="S219" s="200"/>
      <c r="T219" s="200"/>
      <c r="U219" s="200"/>
      <c r="V219" s="476"/>
      <c r="W219" s="200" t="s">
        <v>230</v>
      </c>
      <c r="X219" s="200"/>
      <c r="Y219" s="200"/>
      <c r="Z219" s="200"/>
      <c r="AA219" s="476"/>
      <c r="AB219" s="200" t="s">
        <v>230</v>
      </c>
      <c r="AC219" s="200"/>
      <c r="AD219" s="200"/>
      <c r="AE219" s="200"/>
      <c r="AF219" s="200"/>
      <c r="AG219" s="200" t="s">
        <v>230</v>
      </c>
      <c r="AH219" s="200"/>
      <c r="AI219" s="200"/>
      <c r="AJ219" s="200"/>
      <c r="AK219" s="476"/>
      <c r="AL219" s="200" t="s">
        <v>230</v>
      </c>
      <c r="AM219" s="200"/>
      <c r="AN219" s="200"/>
      <c r="AO219" s="200"/>
      <c r="AP219" s="476"/>
      <c r="AQ219" s="200" t="s">
        <v>230</v>
      </c>
      <c r="AR219" s="200"/>
      <c r="AS219" s="200"/>
      <c r="AT219" s="200"/>
      <c r="AU219" s="425"/>
      <c r="AV219" s="545" t="s">
        <v>230</v>
      </c>
      <c r="AW219" s="425"/>
      <c r="AX219" s="49"/>
      <c r="AY219" s="296"/>
      <c r="AZ219" s="541"/>
      <c r="BA219" s="554" t="s">
        <v>230</v>
      </c>
      <c r="BB219" s="541"/>
      <c r="BC219" s="49"/>
      <c r="BD219" s="327"/>
      <c r="BE219" s="556"/>
      <c r="BF219" s="557" t="s">
        <v>230</v>
      </c>
      <c r="BG219" s="556"/>
      <c r="BH219" s="49"/>
      <c r="BI219" s="346"/>
      <c r="BJ219" s="558"/>
      <c r="BK219" s="587" t="s">
        <v>230</v>
      </c>
      <c r="BL219" s="558"/>
      <c r="BM219" s="49"/>
      <c r="BN219" s="429"/>
      <c r="BO219" s="485"/>
      <c r="BP219" s="596" t="s">
        <v>230</v>
      </c>
      <c r="BQ219" s="485"/>
      <c r="BR219" s="49"/>
      <c r="BS219" s="353"/>
      <c r="BT219" s="472"/>
      <c r="BU219" s="586" t="s">
        <v>230</v>
      </c>
      <c r="BV219" s="472"/>
      <c r="BW219" s="49"/>
      <c r="BX219" s="368"/>
      <c r="BY219" s="578"/>
      <c r="BZ219" s="593" t="s">
        <v>230</v>
      </c>
      <c r="CA219" s="578"/>
      <c r="CB219" s="49"/>
      <c r="CC219" s="388"/>
      <c r="CD219" s="488"/>
      <c r="CE219" s="595" t="s">
        <v>230</v>
      </c>
      <c r="CF219" s="595"/>
      <c r="CG219" s="49"/>
      <c r="CH219" s="402"/>
      <c r="CI219" s="439"/>
      <c r="CJ219" s="867" t="s">
        <v>230</v>
      </c>
      <c r="CK219" s="439"/>
      <c r="CL219" s="49"/>
      <c r="CM219" s="402"/>
      <c r="CN219" s="439"/>
      <c r="CO219" s="867" t="s">
        <v>230</v>
      </c>
      <c r="CP219" s="672"/>
      <c r="CQ219" s="49"/>
      <c r="CR219" s="419"/>
      <c r="CS219" s="487"/>
      <c r="CT219" s="575" t="s">
        <v>230</v>
      </c>
      <c r="CU219" s="729"/>
      <c r="CV219" s="49"/>
      <c r="CW219" s="453"/>
      <c r="CX219" s="455"/>
      <c r="CY219" s="631"/>
      <c r="CZ219" s="455"/>
      <c r="DA219" s="49"/>
      <c r="DB219" s="457"/>
      <c r="DC219" s="475"/>
      <c r="DD219" s="632"/>
      <c r="DE219" s="475"/>
      <c r="DF219" s="49"/>
      <c r="DG219" s="458"/>
      <c r="DH219" s="459"/>
      <c r="DI219" s="633"/>
      <c r="DJ219" s="459"/>
      <c r="DK219" s="49"/>
      <c r="DL219" s="620"/>
      <c r="DM219" s="637"/>
      <c r="DN219" s="637"/>
      <c r="DO219" s="637"/>
      <c r="DP219" s="49"/>
      <c r="DQ219" s="461"/>
      <c r="DR219" s="462"/>
      <c r="DS219" s="462"/>
      <c r="DT219" s="462"/>
      <c r="DU219" s="49"/>
      <c r="DV219" s="463"/>
      <c r="DW219" s="464"/>
      <c r="DX219" s="464"/>
      <c r="DY219" s="464"/>
      <c r="DZ219" s="49"/>
      <c r="EA219" s="465"/>
      <c r="EB219" s="466"/>
      <c r="EC219" s="426"/>
      <c r="ED219" s="456"/>
      <c r="EE219" s="47"/>
      <c r="EF219" s="16"/>
    </row>
    <row r="220" ht="17.25" customHeight="1">
      <c r="A220" s="16"/>
      <c r="B220" s="47"/>
      <c r="C220" s="170"/>
      <c r="D220" s="171"/>
      <c r="E220" s="49"/>
      <c r="F220" s="200"/>
      <c r="G220" s="200"/>
      <c r="H220" s="200" t="s">
        <v>230</v>
      </c>
      <c r="I220" s="200"/>
      <c r="J220" s="200"/>
      <c r="K220" s="200"/>
      <c r="L220" s="476"/>
      <c r="M220" s="200" t="s">
        <v>230</v>
      </c>
      <c r="N220" s="200"/>
      <c r="O220" s="200"/>
      <c r="P220" s="200"/>
      <c r="Q220" s="476"/>
      <c r="R220" s="200" t="s">
        <v>230</v>
      </c>
      <c r="S220" s="200"/>
      <c r="T220" s="200"/>
      <c r="U220" s="200"/>
      <c r="V220" s="476"/>
      <c r="W220" s="200" t="s">
        <v>230</v>
      </c>
      <c r="X220" s="200"/>
      <c r="Y220" s="200"/>
      <c r="Z220" s="200"/>
      <c r="AA220" s="476"/>
      <c r="AB220" s="200" t="s">
        <v>230</v>
      </c>
      <c r="AC220" s="200"/>
      <c r="AD220" s="200"/>
      <c r="AE220" s="200"/>
      <c r="AF220" s="200"/>
      <c r="AG220" s="200" t="s">
        <v>230</v>
      </c>
      <c r="AH220" s="200"/>
      <c r="AI220" s="200"/>
      <c r="AJ220" s="200"/>
      <c r="AK220" s="476"/>
      <c r="AL220" s="200" t="s">
        <v>230</v>
      </c>
      <c r="AM220" s="200"/>
      <c r="AN220" s="200"/>
      <c r="AO220" s="200"/>
      <c r="AP220" s="476"/>
      <c r="AQ220" s="200" t="s">
        <v>230</v>
      </c>
      <c r="AR220" s="200"/>
      <c r="AS220" s="200"/>
      <c r="AT220" s="200"/>
      <c r="AU220" s="425"/>
      <c r="AV220" s="545" t="s">
        <v>230</v>
      </c>
      <c r="AW220" s="425"/>
      <c r="AX220" s="49"/>
      <c r="AY220" s="296"/>
      <c r="AZ220" s="541"/>
      <c r="BA220" s="554" t="s">
        <v>230</v>
      </c>
      <c r="BB220" s="541"/>
      <c r="BC220" s="49"/>
      <c r="BD220" s="327"/>
      <c r="BE220" s="556"/>
      <c r="BF220" s="557" t="s">
        <v>230</v>
      </c>
      <c r="BG220" s="556"/>
      <c r="BH220" s="49"/>
      <c r="BI220" s="346"/>
      <c r="BJ220" s="558"/>
      <c r="BK220" s="587" t="s">
        <v>230</v>
      </c>
      <c r="BL220" s="558"/>
      <c r="BM220" s="49"/>
      <c r="BN220" s="429"/>
      <c r="BO220" s="485"/>
      <c r="BP220" s="596" t="s">
        <v>230</v>
      </c>
      <c r="BQ220" s="485"/>
      <c r="BR220" s="49"/>
      <c r="BS220" s="353"/>
      <c r="BT220" s="472"/>
      <c r="BU220" s="586" t="s">
        <v>230</v>
      </c>
      <c r="BV220" s="472"/>
      <c r="BW220" s="49"/>
      <c r="BX220" s="368"/>
      <c r="BY220" s="578"/>
      <c r="BZ220" s="593" t="s">
        <v>230</v>
      </c>
      <c r="CA220" s="578"/>
      <c r="CB220" s="49"/>
      <c r="CC220" s="388"/>
      <c r="CD220" s="488"/>
      <c r="CE220" s="595" t="s">
        <v>230</v>
      </c>
      <c r="CF220" s="595"/>
      <c r="CG220" s="49"/>
      <c r="CH220" s="402"/>
      <c r="CI220" s="439"/>
      <c r="CJ220" s="867" t="s">
        <v>230</v>
      </c>
      <c r="CK220" s="439"/>
      <c r="CL220" s="49"/>
      <c r="CM220" s="402"/>
      <c r="CN220" s="439"/>
      <c r="CO220" s="867" t="s">
        <v>230</v>
      </c>
      <c r="CP220" s="672"/>
      <c r="CQ220" s="49"/>
      <c r="CR220" s="419"/>
      <c r="CS220" s="487"/>
      <c r="CT220" s="575" t="s">
        <v>230</v>
      </c>
      <c r="CU220" s="729"/>
      <c r="CV220" s="49"/>
      <c r="CW220" s="453"/>
      <c r="CX220" s="455"/>
      <c r="CY220" s="631"/>
      <c r="CZ220" s="455"/>
      <c r="DA220" s="49"/>
      <c r="DB220" s="457"/>
      <c r="DC220" s="475"/>
      <c r="DD220" s="632"/>
      <c r="DE220" s="475"/>
      <c r="DF220" s="49"/>
      <c r="DG220" s="458"/>
      <c r="DH220" s="459"/>
      <c r="DI220" s="633"/>
      <c r="DJ220" s="459"/>
      <c r="DK220" s="49"/>
      <c r="DL220" s="620"/>
      <c r="DM220" s="637"/>
      <c r="DN220" s="637"/>
      <c r="DO220" s="637"/>
      <c r="DP220" s="49"/>
      <c r="DQ220" s="461"/>
      <c r="DR220" s="462"/>
      <c r="DS220" s="462"/>
      <c r="DT220" s="462"/>
      <c r="DU220" s="49"/>
      <c r="DV220" s="463"/>
      <c r="DW220" s="464"/>
      <c r="DX220" s="464"/>
      <c r="DY220" s="464"/>
      <c r="DZ220" s="49"/>
      <c r="EA220" s="465"/>
      <c r="EB220" s="466"/>
      <c r="EC220" s="426"/>
      <c r="ED220" s="456"/>
      <c r="EE220" s="47"/>
      <c r="EF220" s="16"/>
    </row>
    <row r="221" ht="17.25" customHeight="1">
      <c r="A221" s="16"/>
      <c r="B221" s="47"/>
      <c r="C221" s="170"/>
      <c r="D221" s="171"/>
      <c r="E221" s="49"/>
      <c r="F221" s="200"/>
      <c r="G221" s="200"/>
      <c r="H221" s="200" t="s">
        <v>230</v>
      </c>
      <c r="I221" s="200"/>
      <c r="J221" s="200"/>
      <c r="K221" s="200"/>
      <c r="L221" s="476"/>
      <c r="M221" s="200" t="s">
        <v>230</v>
      </c>
      <c r="N221" s="200"/>
      <c r="O221" s="200"/>
      <c r="P221" s="200"/>
      <c r="Q221" s="476"/>
      <c r="R221" s="200" t="s">
        <v>230</v>
      </c>
      <c r="S221" s="200"/>
      <c r="T221" s="200"/>
      <c r="U221" s="200"/>
      <c r="V221" s="476"/>
      <c r="W221" s="200" t="s">
        <v>230</v>
      </c>
      <c r="X221" s="200"/>
      <c r="Y221" s="200"/>
      <c r="Z221" s="200"/>
      <c r="AA221" s="476"/>
      <c r="AB221" s="200" t="s">
        <v>230</v>
      </c>
      <c r="AC221" s="200"/>
      <c r="AD221" s="200"/>
      <c r="AE221" s="200"/>
      <c r="AF221" s="200"/>
      <c r="AG221" s="200" t="s">
        <v>230</v>
      </c>
      <c r="AH221" s="200"/>
      <c r="AI221" s="200"/>
      <c r="AJ221" s="200"/>
      <c r="AK221" s="476"/>
      <c r="AL221" s="200" t="s">
        <v>230</v>
      </c>
      <c r="AM221" s="200"/>
      <c r="AN221" s="200"/>
      <c r="AO221" s="200"/>
      <c r="AP221" s="476"/>
      <c r="AQ221" s="200" t="s">
        <v>230</v>
      </c>
      <c r="AR221" s="200"/>
      <c r="AS221" s="200"/>
      <c r="AT221" s="200"/>
      <c r="AU221" s="425"/>
      <c r="AV221" s="545" t="s">
        <v>230</v>
      </c>
      <c r="AW221" s="425"/>
      <c r="AX221" s="49"/>
      <c r="AY221" s="296"/>
      <c r="AZ221" s="541"/>
      <c r="BA221" s="554" t="s">
        <v>230</v>
      </c>
      <c r="BB221" s="541"/>
      <c r="BC221" s="49"/>
      <c r="BD221" s="327"/>
      <c r="BE221" s="556"/>
      <c r="BF221" s="557" t="s">
        <v>230</v>
      </c>
      <c r="BG221" s="556"/>
      <c r="BH221" s="49"/>
      <c r="BI221" s="346"/>
      <c r="BJ221" s="558"/>
      <c r="BK221" s="587" t="s">
        <v>230</v>
      </c>
      <c r="BL221" s="558"/>
      <c r="BM221" s="49"/>
      <c r="BN221" s="429"/>
      <c r="BO221" s="485"/>
      <c r="BP221" s="596" t="s">
        <v>230</v>
      </c>
      <c r="BQ221" s="485"/>
      <c r="BR221" s="49"/>
      <c r="BS221" s="353"/>
      <c r="BT221" s="472"/>
      <c r="BU221" s="586" t="s">
        <v>230</v>
      </c>
      <c r="BV221" s="472"/>
      <c r="BW221" s="49"/>
      <c r="BX221" s="368"/>
      <c r="BY221" s="578"/>
      <c r="BZ221" s="593" t="s">
        <v>230</v>
      </c>
      <c r="CA221" s="578"/>
      <c r="CB221" s="49"/>
      <c r="CC221" s="388"/>
      <c r="CD221" s="488"/>
      <c r="CE221" s="595" t="s">
        <v>230</v>
      </c>
      <c r="CF221" s="595"/>
      <c r="CG221" s="49"/>
      <c r="CH221" s="402"/>
      <c r="CI221" s="439"/>
      <c r="CJ221" s="867" t="s">
        <v>230</v>
      </c>
      <c r="CK221" s="439"/>
      <c r="CL221" s="49"/>
      <c r="CM221" s="402"/>
      <c r="CN221" s="439"/>
      <c r="CO221" s="867" t="s">
        <v>230</v>
      </c>
      <c r="CP221" s="672"/>
      <c r="CQ221" s="49"/>
      <c r="CR221" s="419"/>
      <c r="CS221" s="487"/>
      <c r="CT221" s="575" t="s">
        <v>230</v>
      </c>
      <c r="CU221" s="729"/>
      <c r="CV221" s="49"/>
      <c r="CW221" s="453"/>
      <c r="CX221" s="455"/>
      <c r="CY221" s="631"/>
      <c r="CZ221" s="455"/>
      <c r="DA221" s="49"/>
      <c r="DB221" s="457"/>
      <c r="DC221" s="475"/>
      <c r="DD221" s="632"/>
      <c r="DE221" s="475"/>
      <c r="DF221" s="49"/>
      <c r="DG221" s="458"/>
      <c r="DH221" s="459"/>
      <c r="DI221" s="633"/>
      <c r="DJ221" s="459"/>
      <c r="DK221" s="49"/>
      <c r="DL221" s="620"/>
      <c r="DM221" s="637"/>
      <c r="DN221" s="637"/>
      <c r="DO221" s="637"/>
      <c r="DP221" s="49"/>
      <c r="DQ221" s="461"/>
      <c r="DR221" s="462"/>
      <c r="DS221" s="462"/>
      <c r="DT221" s="462"/>
      <c r="DU221" s="49"/>
      <c r="DV221" s="463"/>
      <c r="DW221" s="464"/>
      <c r="DX221" s="464"/>
      <c r="DY221" s="464"/>
      <c r="DZ221" s="49"/>
      <c r="EA221" s="465"/>
      <c r="EB221" s="466"/>
      <c r="EC221" s="426"/>
      <c r="ED221" s="456"/>
      <c r="EE221" s="47"/>
      <c r="EF221" s="16"/>
    </row>
    <row r="222" ht="17.25" customHeight="1">
      <c r="A222" s="16"/>
      <c r="B222" s="47"/>
      <c r="C222" s="170"/>
      <c r="D222" s="171"/>
      <c r="E222" s="49"/>
      <c r="F222" s="200"/>
      <c r="G222" s="200"/>
      <c r="H222" s="200" t="s">
        <v>230</v>
      </c>
      <c r="I222" s="200"/>
      <c r="J222" s="200"/>
      <c r="K222" s="200"/>
      <c r="L222" s="476"/>
      <c r="M222" s="200" t="s">
        <v>230</v>
      </c>
      <c r="N222" s="200"/>
      <c r="O222" s="200"/>
      <c r="P222" s="200"/>
      <c r="Q222" s="476"/>
      <c r="R222" s="200" t="s">
        <v>230</v>
      </c>
      <c r="S222" s="200"/>
      <c r="T222" s="200"/>
      <c r="U222" s="200"/>
      <c r="V222" s="476"/>
      <c r="W222" s="200" t="s">
        <v>230</v>
      </c>
      <c r="X222" s="200"/>
      <c r="Y222" s="200"/>
      <c r="Z222" s="200"/>
      <c r="AA222" s="476"/>
      <c r="AB222" s="200" t="s">
        <v>230</v>
      </c>
      <c r="AC222" s="200"/>
      <c r="AD222" s="200"/>
      <c r="AE222" s="200"/>
      <c r="AF222" s="200"/>
      <c r="AG222" s="200" t="s">
        <v>230</v>
      </c>
      <c r="AH222" s="200"/>
      <c r="AI222" s="200"/>
      <c r="AJ222" s="200"/>
      <c r="AK222" s="476"/>
      <c r="AL222" s="200" t="s">
        <v>230</v>
      </c>
      <c r="AM222" s="200"/>
      <c r="AN222" s="200"/>
      <c r="AO222" s="200"/>
      <c r="AP222" s="476"/>
      <c r="AQ222" s="200" t="s">
        <v>230</v>
      </c>
      <c r="AR222" s="200"/>
      <c r="AS222" s="200"/>
      <c r="AT222" s="200"/>
      <c r="AU222" s="425"/>
      <c r="AV222" s="545" t="s">
        <v>230</v>
      </c>
      <c r="AW222" s="425"/>
      <c r="AX222" s="49"/>
      <c r="AY222" s="296"/>
      <c r="AZ222" s="541"/>
      <c r="BA222" s="554" t="s">
        <v>230</v>
      </c>
      <c r="BB222" s="541"/>
      <c r="BC222" s="49"/>
      <c r="BD222" s="327"/>
      <c r="BE222" s="556"/>
      <c r="BF222" s="557" t="s">
        <v>230</v>
      </c>
      <c r="BG222" s="556"/>
      <c r="BH222" s="49"/>
      <c r="BI222" s="346"/>
      <c r="BJ222" s="558"/>
      <c r="BK222" s="587" t="s">
        <v>230</v>
      </c>
      <c r="BL222" s="558"/>
      <c r="BM222" s="49"/>
      <c r="BN222" s="429"/>
      <c r="BO222" s="485"/>
      <c r="BP222" s="596" t="s">
        <v>230</v>
      </c>
      <c r="BQ222" s="485"/>
      <c r="BR222" s="49"/>
      <c r="BS222" s="353"/>
      <c r="BT222" s="472"/>
      <c r="BU222" s="586" t="s">
        <v>230</v>
      </c>
      <c r="BV222" s="472"/>
      <c r="BW222" s="49"/>
      <c r="BX222" s="368"/>
      <c r="BY222" s="578"/>
      <c r="BZ222" s="593" t="s">
        <v>230</v>
      </c>
      <c r="CA222" s="578"/>
      <c r="CB222" s="49"/>
      <c r="CC222" s="388"/>
      <c r="CD222" s="488"/>
      <c r="CE222" s="595" t="s">
        <v>230</v>
      </c>
      <c r="CF222" s="595"/>
      <c r="CG222" s="49"/>
      <c r="CH222" s="402"/>
      <c r="CI222" s="439"/>
      <c r="CJ222" s="867" t="s">
        <v>230</v>
      </c>
      <c r="CK222" s="439"/>
      <c r="CL222" s="49"/>
      <c r="CM222" s="402"/>
      <c r="CN222" s="439"/>
      <c r="CO222" s="867" t="s">
        <v>230</v>
      </c>
      <c r="CP222" s="672"/>
      <c r="CQ222" s="49"/>
      <c r="CR222" s="419"/>
      <c r="CS222" s="487"/>
      <c r="CT222" s="575" t="s">
        <v>230</v>
      </c>
      <c r="CU222" s="729"/>
      <c r="CV222" s="49"/>
      <c r="CW222" s="453"/>
      <c r="CX222" s="455"/>
      <c r="CY222" s="631"/>
      <c r="CZ222" s="455"/>
      <c r="DA222" s="49"/>
      <c r="DB222" s="457"/>
      <c r="DC222" s="475"/>
      <c r="DD222" s="632"/>
      <c r="DE222" s="475"/>
      <c r="DF222" s="49"/>
      <c r="DG222" s="458"/>
      <c r="DH222" s="459"/>
      <c r="DI222" s="633"/>
      <c r="DJ222" s="459"/>
      <c r="DK222" s="49"/>
      <c r="DL222" s="620"/>
      <c r="DM222" s="637"/>
      <c r="DN222" s="637"/>
      <c r="DO222" s="637"/>
      <c r="DP222" s="49"/>
      <c r="DQ222" s="461"/>
      <c r="DR222" s="462"/>
      <c r="DS222" s="462"/>
      <c r="DT222" s="462"/>
      <c r="DU222" s="49"/>
      <c r="DV222" s="463"/>
      <c r="DW222" s="464"/>
      <c r="DX222" s="464"/>
      <c r="DY222" s="464"/>
      <c r="DZ222" s="49"/>
      <c r="EA222" s="465"/>
      <c r="EB222" s="466"/>
      <c r="EC222" s="426"/>
      <c r="ED222" s="456"/>
      <c r="EE222" s="47"/>
      <c r="EF222" s="16"/>
    </row>
    <row r="223" ht="17.25" customHeight="1">
      <c r="A223" s="16"/>
      <c r="B223" s="47"/>
      <c r="C223" s="170"/>
      <c r="D223" s="171"/>
      <c r="E223" s="49"/>
      <c r="F223" s="200"/>
      <c r="G223" s="200"/>
      <c r="H223" s="200" t="s">
        <v>230</v>
      </c>
      <c r="I223" s="200"/>
      <c r="J223" s="200"/>
      <c r="K223" s="200"/>
      <c r="L223" s="476"/>
      <c r="M223" s="200" t="s">
        <v>230</v>
      </c>
      <c r="N223" s="200"/>
      <c r="O223" s="200"/>
      <c r="P223" s="200"/>
      <c r="Q223" s="476"/>
      <c r="R223" s="200" t="s">
        <v>230</v>
      </c>
      <c r="S223" s="200"/>
      <c r="T223" s="200"/>
      <c r="U223" s="200"/>
      <c r="V223" s="476"/>
      <c r="W223" s="200" t="s">
        <v>230</v>
      </c>
      <c r="X223" s="200"/>
      <c r="Y223" s="200"/>
      <c r="Z223" s="200"/>
      <c r="AA223" s="476"/>
      <c r="AB223" s="200" t="s">
        <v>230</v>
      </c>
      <c r="AC223" s="200"/>
      <c r="AD223" s="200"/>
      <c r="AE223" s="200"/>
      <c r="AF223" s="200"/>
      <c r="AG223" s="200" t="s">
        <v>230</v>
      </c>
      <c r="AH223" s="200"/>
      <c r="AI223" s="200"/>
      <c r="AJ223" s="200"/>
      <c r="AK223" s="476"/>
      <c r="AL223" s="200" t="s">
        <v>230</v>
      </c>
      <c r="AM223" s="200"/>
      <c r="AN223" s="200"/>
      <c r="AO223" s="200"/>
      <c r="AP223" s="476"/>
      <c r="AQ223" s="200" t="s">
        <v>230</v>
      </c>
      <c r="AR223" s="200"/>
      <c r="AS223" s="200"/>
      <c r="AT223" s="200"/>
      <c r="AU223" s="425"/>
      <c r="AV223" s="545" t="s">
        <v>230</v>
      </c>
      <c r="AW223" s="425"/>
      <c r="AX223" s="49"/>
      <c r="AY223" s="296"/>
      <c r="AZ223" s="541"/>
      <c r="BA223" s="554" t="s">
        <v>230</v>
      </c>
      <c r="BB223" s="541"/>
      <c r="BC223" s="49"/>
      <c r="BD223" s="327"/>
      <c r="BE223" s="556"/>
      <c r="BF223" s="557" t="s">
        <v>230</v>
      </c>
      <c r="BG223" s="556"/>
      <c r="BH223" s="49"/>
      <c r="BI223" s="346"/>
      <c r="BJ223" s="558"/>
      <c r="BK223" s="587" t="s">
        <v>230</v>
      </c>
      <c r="BL223" s="558"/>
      <c r="BM223" s="49"/>
      <c r="BN223" s="429"/>
      <c r="BO223" s="485"/>
      <c r="BP223" s="596" t="s">
        <v>230</v>
      </c>
      <c r="BQ223" s="485"/>
      <c r="BR223" s="49"/>
      <c r="BS223" s="353"/>
      <c r="BT223" s="472"/>
      <c r="BU223" s="586" t="s">
        <v>230</v>
      </c>
      <c r="BV223" s="472"/>
      <c r="BW223" s="49"/>
      <c r="BX223" s="368"/>
      <c r="BY223" s="578"/>
      <c r="BZ223" s="593" t="s">
        <v>230</v>
      </c>
      <c r="CA223" s="578"/>
      <c r="CB223" s="49"/>
      <c r="CC223" s="388"/>
      <c r="CD223" s="488"/>
      <c r="CE223" s="595" t="s">
        <v>230</v>
      </c>
      <c r="CF223" s="595"/>
      <c r="CG223" s="49"/>
      <c r="CH223" s="402"/>
      <c r="CI223" s="439"/>
      <c r="CJ223" s="867" t="s">
        <v>230</v>
      </c>
      <c r="CK223" s="439"/>
      <c r="CL223" s="49"/>
      <c r="CM223" s="402"/>
      <c r="CN223" s="439"/>
      <c r="CO223" s="867" t="s">
        <v>230</v>
      </c>
      <c r="CP223" s="672"/>
      <c r="CQ223" s="49"/>
      <c r="CR223" s="419"/>
      <c r="CS223" s="487"/>
      <c r="CT223" s="575" t="s">
        <v>230</v>
      </c>
      <c r="CU223" s="729"/>
      <c r="CV223" s="49"/>
      <c r="CW223" s="453"/>
      <c r="CX223" s="455"/>
      <c r="CY223" s="631"/>
      <c r="CZ223" s="455"/>
      <c r="DA223" s="49"/>
      <c r="DB223" s="457"/>
      <c r="DC223" s="475"/>
      <c r="DD223" s="632"/>
      <c r="DE223" s="475"/>
      <c r="DF223" s="49"/>
      <c r="DG223" s="458"/>
      <c r="DH223" s="459"/>
      <c r="DI223" s="633"/>
      <c r="DJ223" s="459"/>
      <c r="DK223" s="49"/>
      <c r="DL223" s="620"/>
      <c r="DM223" s="637"/>
      <c r="DN223" s="637"/>
      <c r="DO223" s="637"/>
      <c r="DP223" s="49"/>
      <c r="DQ223" s="461"/>
      <c r="DR223" s="462"/>
      <c r="DS223" s="462"/>
      <c r="DT223" s="462"/>
      <c r="DU223" s="49"/>
      <c r="DV223" s="463"/>
      <c r="DW223" s="464"/>
      <c r="DX223" s="464"/>
      <c r="DY223" s="464"/>
      <c r="DZ223" s="49"/>
      <c r="EA223" s="465"/>
      <c r="EB223" s="466"/>
      <c r="EC223" s="426"/>
      <c r="ED223" s="456"/>
      <c r="EE223" s="47"/>
      <c r="EF223" s="16"/>
    </row>
    <row r="224" ht="17.25" customHeight="1">
      <c r="A224" s="16"/>
      <c r="B224" s="47"/>
      <c r="C224" s="170"/>
      <c r="D224" s="171"/>
      <c r="E224" s="49"/>
      <c r="F224" s="200"/>
      <c r="G224" s="200"/>
      <c r="H224" s="200" t="s">
        <v>230</v>
      </c>
      <c r="I224" s="200"/>
      <c r="J224" s="200"/>
      <c r="K224" s="200"/>
      <c r="L224" s="476"/>
      <c r="M224" s="200" t="s">
        <v>230</v>
      </c>
      <c r="N224" s="200"/>
      <c r="O224" s="200"/>
      <c r="P224" s="200"/>
      <c r="Q224" s="476"/>
      <c r="R224" s="200" t="s">
        <v>230</v>
      </c>
      <c r="S224" s="200"/>
      <c r="T224" s="200"/>
      <c r="U224" s="200"/>
      <c r="V224" s="476"/>
      <c r="W224" s="200" t="s">
        <v>230</v>
      </c>
      <c r="X224" s="200"/>
      <c r="Y224" s="200"/>
      <c r="Z224" s="200"/>
      <c r="AA224" s="476"/>
      <c r="AB224" s="200" t="s">
        <v>230</v>
      </c>
      <c r="AC224" s="200"/>
      <c r="AD224" s="200"/>
      <c r="AE224" s="200"/>
      <c r="AF224" s="200"/>
      <c r="AG224" s="200" t="s">
        <v>230</v>
      </c>
      <c r="AH224" s="200"/>
      <c r="AI224" s="200"/>
      <c r="AJ224" s="200"/>
      <c r="AK224" s="476"/>
      <c r="AL224" s="200" t="s">
        <v>230</v>
      </c>
      <c r="AM224" s="200"/>
      <c r="AN224" s="200"/>
      <c r="AO224" s="200"/>
      <c r="AP224" s="476"/>
      <c r="AQ224" s="200" t="s">
        <v>230</v>
      </c>
      <c r="AR224" s="200"/>
      <c r="AS224" s="200"/>
      <c r="AT224" s="200"/>
      <c r="AU224" s="425"/>
      <c r="AV224" s="545" t="s">
        <v>230</v>
      </c>
      <c r="AW224" s="425"/>
      <c r="AX224" s="49"/>
      <c r="AY224" s="296"/>
      <c r="AZ224" s="541"/>
      <c r="BA224" s="554" t="s">
        <v>230</v>
      </c>
      <c r="BB224" s="541"/>
      <c r="BC224" s="49"/>
      <c r="BD224" s="327"/>
      <c r="BE224" s="556"/>
      <c r="BF224" s="557" t="s">
        <v>230</v>
      </c>
      <c r="BG224" s="556"/>
      <c r="BH224" s="49"/>
      <c r="BI224" s="346"/>
      <c r="BJ224" s="558"/>
      <c r="BK224" s="587" t="s">
        <v>230</v>
      </c>
      <c r="BL224" s="558"/>
      <c r="BM224" s="49"/>
      <c r="BN224" s="429"/>
      <c r="BO224" s="485"/>
      <c r="BP224" s="596" t="s">
        <v>230</v>
      </c>
      <c r="BQ224" s="485"/>
      <c r="BR224" s="49"/>
      <c r="BS224" s="353"/>
      <c r="BT224" s="472"/>
      <c r="BU224" s="586" t="s">
        <v>230</v>
      </c>
      <c r="BV224" s="472"/>
      <c r="BW224" s="49"/>
      <c r="BX224" s="368"/>
      <c r="BY224" s="578"/>
      <c r="BZ224" s="593" t="s">
        <v>230</v>
      </c>
      <c r="CA224" s="578"/>
      <c r="CB224" s="49"/>
      <c r="CC224" s="388"/>
      <c r="CD224" s="488"/>
      <c r="CE224" s="595" t="s">
        <v>230</v>
      </c>
      <c r="CF224" s="595"/>
      <c r="CG224" s="49"/>
      <c r="CH224" s="402"/>
      <c r="CI224" s="439"/>
      <c r="CJ224" s="867" t="s">
        <v>230</v>
      </c>
      <c r="CK224" s="439"/>
      <c r="CL224" s="49"/>
      <c r="CM224" s="402"/>
      <c r="CN224" s="439"/>
      <c r="CO224" s="867" t="s">
        <v>230</v>
      </c>
      <c r="CP224" s="672"/>
      <c r="CQ224" s="49"/>
      <c r="CR224" s="419"/>
      <c r="CS224" s="487"/>
      <c r="CT224" s="575" t="s">
        <v>230</v>
      </c>
      <c r="CU224" s="729"/>
      <c r="CV224" s="49"/>
      <c r="CW224" s="453"/>
      <c r="CX224" s="455"/>
      <c r="CY224" s="631"/>
      <c r="CZ224" s="455"/>
      <c r="DA224" s="49"/>
      <c r="DB224" s="457"/>
      <c r="DC224" s="475"/>
      <c r="DD224" s="632"/>
      <c r="DE224" s="475"/>
      <c r="DF224" s="49"/>
      <c r="DG224" s="458"/>
      <c r="DH224" s="459"/>
      <c r="DI224" s="633"/>
      <c r="DJ224" s="459"/>
      <c r="DK224" s="49"/>
      <c r="DL224" s="620"/>
      <c r="DM224" s="637"/>
      <c r="DN224" s="637"/>
      <c r="DO224" s="637"/>
      <c r="DP224" s="49"/>
      <c r="DQ224" s="461"/>
      <c r="DR224" s="462"/>
      <c r="DS224" s="462"/>
      <c r="DT224" s="462"/>
      <c r="DU224" s="49"/>
      <c r="DV224" s="463"/>
      <c r="DW224" s="464"/>
      <c r="DX224" s="464"/>
      <c r="DY224" s="464"/>
      <c r="DZ224" s="49"/>
      <c r="EA224" s="465"/>
      <c r="EB224" s="466"/>
      <c r="EC224" s="426"/>
      <c r="ED224" s="456"/>
      <c r="EE224" s="47"/>
      <c r="EF224" s="16"/>
    </row>
    <row r="225" ht="17.25" customHeight="1">
      <c r="A225" s="16"/>
      <c r="B225" s="47"/>
      <c r="C225" s="170"/>
      <c r="D225" s="171"/>
      <c r="E225" s="49"/>
      <c r="F225" s="200"/>
      <c r="G225" s="200"/>
      <c r="H225" s="200" t="s">
        <v>230</v>
      </c>
      <c r="I225" s="200"/>
      <c r="J225" s="200"/>
      <c r="K225" s="200"/>
      <c r="L225" s="476"/>
      <c r="M225" s="200" t="s">
        <v>230</v>
      </c>
      <c r="N225" s="200"/>
      <c r="O225" s="200"/>
      <c r="P225" s="200"/>
      <c r="Q225" s="476"/>
      <c r="R225" s="200" t="s">
        <v>230</v>
      </c>
      <c r="S225" s="200"/>
      <c r="T225" s="200"/>
      <c r="U225" s="200"/>
      <c r="V225" s="476"/>
      <c r="W225" s="200" t="s">
        <v>230</v>
      </c>
      <c r="X225" s="200"/>
      <c r="Y225" s="200"/>
      <c r="Z225" s="200"/>
      <c r="AA225" s="476"/>
      <c r="AB225" s="200" t="s">
        <v>230</v>
      </c>
      <c r="AC225" s="200"/>
      <c r="AD225" s="200"/>
      <c r="AE225" s="200"/>
      <c r="AF225" s="200"/>
      <c r="AG225" s="200" t="s">
        <v>230</v>
      </c>
      <c r="AH225" s="200"/>
      <c r="AI225" s="200"/>
      <c r="AJ225" s="200"/>
      <c r="AK225" s="476"/>
      <c r="AL225" s="200" t="s">
        <v>230</v>
      </c>
      <c r="AM225" s="200"/>
      <c r="AN225" s="200"/>
      <c r="AO225" s="200"/>
      <c r="AP225" s="476"/>
      <c r="AQ225" s="200" t="s">
        <v>230</v>
      </c>
      <c r="AR225" s="200"/>
      <c r="AS225" s="200"/>
      <c r="AT225" s="200"/>
      <c r="AU225" s="425"/>
      <c r="AV225" s="545" t="s">
        <v>230</v>
      </c>
      <c r="AW225" s="425"/>
      <c r="AX225" s="49"/>
      <c r="AY225" s="296"/>
      <c r="AZ225" s="541"/>
      <c r="BA225" s="554" t="s">
        <v>230</v>
      </c>
      <c r="BB225" s="541"/>
      <c r="BC225" s="49"/>
      <c r="BD225" s="327"/>
      <c r="BE225" s="556"/>
      <c r="BF225" s="557" t="s">
        <v>230</v>
      </c>
      <c r="BG225" s="556"/>
      <c r="BH225" s="49"/>
      <c r="BI225" s="346"/>
      <c r="BJ225" s="558"/>
      <c r="BK225" s="587" t="s">
        <v>230</v>
      </c>
      <c r="BL225" s="558"/>
      <c r="BM225" s="49"/>
      <c r="BN225" s="429"/>
      <c r="BO225" s="485"/>
      <c r="BP225" s="596" t="s">
        <v>230</v>
      </c>
      <c r="BQ225" s="485"/>
      <c r="BR225" s="49"/>
      <c r="BS225" s="353"/>
      <c r="BT225" s="472"/>
      <c r="BU225" s="586" t="s">
        <v>230</v>
      </c>
      <c r="BV225" s="472"/>
      <c r="BW225" s="49"/>
      <c r="BX225" s="368"/>
      <c r="BY225" s="578"/>
      <c r="BZ225" s="593" t="s">
        <v>230</v>
      </c>
      <c r="CA225" s="578"/>
      <c r="CB225" s="49"/>
      <c r="CC225" s="388"/>
      <c r="CD225" s="488"/>
      <c r="CE225" s="595" t="s">
        <v>230</v>
      </c>
      <c r="CF225" s="595"/>
      <c r="CG225" s="49"/>
      <c r="CH225" s="402"/>
      <c r="CI225" s="439"/>
      <c r="CJ225" s="867" t="s">
        <v>230</v>
      </c>
      <c r="CK225" s="439"/>
      <c r="CL225" s="49"/>
      <c r="CM225" s="402"/>
      <c r="CN225" s="439"/>
      <c r="CO225" s="867" t="s">
        <v>230</v>
      </c>
      <c r="CP225" s="672"/>
      <c r="CQ225" s="49"/>
      <c r="CR225" s="419"/>
      <c r="CS225" s="487"/>
      <c r="CT225" s="575" t="s">
        <v>230</v>
      </c>
      <c r="CU225" s="729"/>
      <c r="CV225" s="49"/>
      <c r="CW225" s="453"/>
      <c r="CX225" s="455"/>
      <c r="CY225" s="631"/>
      <c r="CZ225" s="455"/>
      <c r="DA225" s="49"/>
      <c r="DB225" s="457"/>
      <c r="DC225" s="475"/>
      <c r="DD225" s="632"/>
      <c r="DE225" s="475"/>
      <c r="DF225" s="49"/>
      <c r="DG225" s="458"/>
      <c r="DH225" s="459"/>
      <c r="DI225" s="633"/>
      <c r="DJ225" s="459"/>
      <c r="DK225" s="49"/>
      <c r="DL225" s="620"/>
      <c r="DM225" s="637"/>
      <c r="DN225" s="637"/>
      <c r="DO225" s="637"/>
      <c r="DP225" s="49"/>
      <c r="DQ225" s="461"/>
      <c r="DR225" s="462"/>
      <c r="DS225" s="462"/>
      <c r="DT225" s="462"/>
      <c r="DU225" s="49"/>
      <c r="DV225" s="463"/>
      <c r="DW225" s="464"/>
      <c r="DX225" s="464"/>
      <c r="DY225" s="464"/>
      <c r="DZ225" s="49"/>
      <c r="EA225" s="465"/>
      <c r="EB225" s="466"/>
      <c r="EC225" s="426"/>
      <c r="ED225" s="456"/>
      <c r="EE225" s="47"/>
      <c r="EF225" s="16"/>
    </row>
    <row r="226" ht="17.25" customHeight="1">
      <c r="A226" s="16"/>
      <c r="B226" s="47"/>
      <c r="C226" s="170"/>
      <c r="D226" s="171"/>
      <c r="E226" s="49"/>
      <c r="F226" s="200"/>
      <c r="G226" s="200"/>
      <c r="H226" s="200" t="s">
        <v>230</v>
      </c>
      <c r="I226" s="200"/>
      <c r="J226" s="200"/>
      <c r="K226" s="200"/>
      <c r="L226" s="476"/>
      <c r="M226" s="200" t="s">
        <v>230</v>
      </c>
      <c r="N226" s="200"/>
      <c r="O226" s="200"/>
      <c r="P226" s="200"/>
      <c r="Q226" s="476"/>
      <c r="R226" s="200" t="s">
        <v>230</v>
      </c>
      <c r="S226" s="200"/>
      <c r="T226" s="200"/>
      <c r="U226" s="200"/>
      <c r="V226" s="476"/>
      <c r="W226" s="200" t="s">
        <v>230</v>
      </c>
      <c r="X226" s="200"/>
      <c r="Y226" s="200"/>
      <c r="Z226" s="200"/>
      <c r="AA226" s="476"/>
      <c r="AB226" s="200" t="s">
        <v>230</v>
      </c>
      <c r="AC226" s="200"/>
      <c r="AD226" s="200"/>
      <c r="AE226" s="200"/>
      <c r="AF226" s="200"/>
      <c r="AG226" s="200" t="s">
        <v>230</v>
      </c>
      <c r="AH226" s="200"/>
      <c r="AI226" s="200"/>
      <c r="AJ226" s="200"/>
      <c r="AK226" s="476"/>
      <c r="AL226" s="200" t="s">
        <v>230</v>
      </c>
      <c r="AM226" s="200"/>
      <c r="AN226" s="200"/>
      <c r="AO226" s="200"/>
      <c r="AP226" s="476"/>
      <c r="AQ226" s="200" t="s">
        <v>230</v>
      </c>
      <c r="AR226" s="200"/>
      <c r="AS226" s="200"/>
      <c r="AT226" s="200"/>
      <c r="AU226" s="425"/>
      <c r="AV226" s="545" t="s">
        <v>230</v>
      </c>
      <c r="AW226" s="425"/>
      <c r="AX226" s="49"/>
      <c r="AY226" s="296"/>
      <c r="AZ226" s="541"/>
      <c r="BA226" s="554" t="s">
        <v>230</v>
      </c>
      <c r="BB226" s="541"/>
      <c r="BC226" s="49"/>
      <c r="BD226" s="327"/>
      <c r="BE226" s="556"/>
      <c r="BF226" s="557" t="s">
        <v>230</v>
      </c>
      <c r="BG226" s="556"/>
      <c r="BH226" s="49"/>
      <c r="BI226" s="346"/>
      <c r="BJ226" s="558"/>
      <c r="BK226" s="587" t="s">
        <v>230</v>
      </c>
      <c r="BL226" s="558"/>
      <c r="BM226" s="49"/>
      <c r="BN226" s="429"/>
      <c r="BO226" s="485"/>
      <c r="BP226" s="596" t="s">
        <v>230</v>
      </c>
      <c r="BQ226" s="485"/>
      <c r="BR226" s="49"/>
      <c r="BS226" s="353"/>
      <c r="BT226" s="472"/>
      <c r="BU226" s="586" t="s">
        <v>230</v>
      </c>
      <c r="BV226" s="472"/>
      <c r="BW226" s="49"/>
      <c r="BX226" s="368"/>
      <c r="BY226" s="578"/>
      <c r="BZ226" s="593" t="s">
        <v>230</v>
      </c>
      <c r="CA226" s="578"/>
      <c r="CB226" s="49"/>
      <c r="CC226" s="388"/>
      <c r="CD226" s="488"/>
      <c r="CE226" s="595" t="s">
        <v>230</v>
      </c>
      <c r="CF226" s="595"/>
      <c r="CG226" s="49"/>
      <c r="CH226" s="402"/>
      <c r="CI226" s="439"/>
      <c r="CJ226" s="867" t="s">
        <v>230</v>
      </c>
      <c r="CK226" s="439"/>
      <c r="CL226" s="49"/>
      <c r="CM226" s="402"/>
      <c r="CN226" s="439"/>
      <c r="CO226" s="867" t="s">
        <v>230</v>
      </c>
      <c r="CP226" s="672"/>
      <c r="CQ226" s="49"/>
      <c r="CR226" s="419"/>
      <c r="CS226" s="487"/>
      <c r="CT226" s="575" t="s">
        <v>230</v>
      </c>
      <c r="CU226" s="729"/>
      <c r="CV226" s="49"/>
      <c r="CW226" s="453"/>
      <c r="CX226" s="455"/>
      <c r="CY226" s="631"/>
      <c r="CZ226" s="455"/>
      <c r="DA226" s="49"/>
      <c r="DB226" s="457"/>
      <c r="DC226" s="475"/>
      <c r="DD226" s="632"/>
      <c r="DE226" s="475"/>
      <c r="DF226" s="49"/>
      <c r="DG226" s="458"/>
      <c r="DH226" s="459"/>
      <c r="DI226" s="633"/>
      <c r="DJ226" s="459"/>
      <c r="DK226" s="49"/>
      <c r="DL226" s="620"/>
      <c r="DM226" s="637"/>
      <c r="DN226" s="637"/>
      <c r="DO226" s="637"/>
      <c r="DP226" s="49"/>
      <c r="DQ226" s="461"/>
      <c r="DR226" s="462"/>
      <c r="DS226" s="462"/>
      <c r="DT226" s="462"/>
      <c r="DU226" s="49"/>
      <c r="DV226" s="463"/>
      <c r="DW226" s="464"/>
      <c r="DX226" s="464"/>
      <c r="DY226" s="464"/>
      <c r="DZ226" s="49"/>
      <c r="EA226" s="465"/>
      <c r="EB226" s="466"/>
      <c r="EC226" s="426"/>
      <c r="ED226" s="456"/>
      <c r="EE226" s="47"/>
      <c r="EF226" s="16"/>
    </row>
    <row r="227" ht="17.25" customHeight="1">
      <c r="A227" s="16"/>
      <c r="B227" s="47"/>
      <c r="C227" s="170"/>
      <c r="D227" s="171"/>
      <c r="E227" s="49"/>
      <c r="F227" s="200"/>
      <c r="G227" s="200"/>
      <c r="H227" s="200" t="s">
        <v>230</v>
      </c>
      <c r="I227" s="200"/>
      <c r="J227" s="200"/>
      <c r="K227" s="200"/>
      <c r="L227" s="476"/>
      <c r="M227" s="200" t="s">
        <v>230</v>
      </c>
      <c r="N227" s="200"/>
      <c r="O227" s="200"/>
      <c r="P227" s="200"/>
      <c r="Q227" s="476"/>
      <c r="R227" s="200" t="s">
        <v>230</v>
      </c>
      <c r="S227" s="200"/>
      <c r="T227" s="200"/>
      <c r="U227" s="200"/>
      <c r="V227" s="476"/>
      <c r="W227" s="200" t="s">
        <v>230</v>
      </c>
      <c r="X227" s="200"/>
      <c r="Y227" s="200"/>
      <c r="Z227" s="200"/>
      <c r="AA227" s="476"/>
      <c r="AB227" s="200" t="s">
        <v>230</v>
      </c>
      <c r="AC227" s="200"/>
      <c r="AD227" s="200"/>
      <c r="AE227" s="200"/>
      <c r="AF227" s="200"/>
      <c r="AG227" s="200" t="s">
        <v>230</v>
      </c>
      <c r="AH227" s="200"/>
      <c r="AI227" s="200"/>
      <c r="AJ227" s="200"/>
      <c r="AK227" s="476"/>
      <c r="AL227" s="200" t="s">
        <v>230</v>
      </c>
      <c r="AM227" s="200"/>
      <c r="AN227" s="200"/>
      <c r="AO227" s="200"/>
      <c r="AP227" s="476"/>
      <c r="AQ227" s="200" t="s">
        <v>230</v>
      </c>
      <c r="AR227" s="200"/>
      <c r="AS227" s="200"/>
      <c r="AT227" s="200"/>
      <c r="AU227" s="425"/>
      <c r="AV227" s="545" t="s">
        <v>230</v>
      </c>
      <c r="AW227" s="425"/>
      <c r="AX227" s="49"/>
      <c r="AY227" s="296"/>
      <c r="AZ227" s="541"/>
      <c r="BA227" s="554" t="s">
        <v>230</v>
      </c>
      <c r="BB227" s="541"/>
      <c r="BC227" s="49"/>
      <c r="BD227" s="327"/>
      <c r="BE227" s="556"/>
      <c r="BF227" s="557" t="s">
        <v>230</v>
      </c>
      <c r="BG227" s="556"/>
      <c r="BH227" s="49"/>
      <c r="BI227" s="346"/>
      <c r="BJ227" s="558"/>
      <c r="BK227" s="587" t="s">
        <v>230</v>
      </c>
      <c r="BL227" s="558"/>
      <c r="BM227" s="49"/>
      <c r="BN227" s="429"/>
      <c r="BO227" s="485"/>
      <c r="BP227" s="596" t="s">
        <v>230</v>
      </c>
      <c r="BQ227" s="485"/>
      <c r="BR227" s="49"/>
      <c r="BS227" s="353"/>
      <c r="BT227" s="472"/>
      <c r="BU227" s="586" t="s">
        <v>230</v>
      </c>
      <c r="BV227" s="472"/>
      <c r="BW227" s="49"/>
      <c r="BX227" s="368"/>
      <c r="BY227" s="578"/>
      <c r="BZ227" s="593" t="s">
        <v>230</v>
      </c>
      <c r="CA227" s="578"/>
      <c r="CB227" s="49"/>
      <c r="CC227" s="388"/>
      <c r="CD227" s="488"/>
      <c r="CE227" s="595" t="s">
        <v>230</v>
      </c>
      <c r="CF227" s="595"/>
      <c r="CG227" s="49"/>
      <c r="CH227" s="402"/>
      <c r="CI227" s="439"/>
      <c r="CJ227" s="867" t="s">
        <v>230</v>
      </c>
      <c r="CK227" s="439"/>
      <c r="CL227" s="49"/>
      <c r="CM227" s="402"/>
      <c r="CN227" s="439"/>
      <c r="CO227" s="867" t="s">
        <v>230</v>
      </c>
      <c r="CP227" s="672"/>
      <c r="CQ227" s="49"/>
      <c r="CR227" s="419"/>
      <c r="CS227" s="487"/>
      <c r="CT227" s="575" t="s">
        <v>230</v>
      </c>
      <c r="CU227" s="729"/>
      <c r="CV227" s="49"/>
      <c r="CW227" s="453"/>
      <c r="CX227" s="455"/>
      <c r="CY227" s="631"/>
      <c r="CZ227" s="455"/>
      <c r="DA227" s="49"/>
      <c r="DB227" s="457"/>
      <c r="DC227" s="475"/>
      <c r="DD227" s="632"/>
      <c r="DE227" s="475"/>
      <c r="DF227" s="49"/>
      <c r="DG227" s="458"/>
      <c r="DH227" s="459"/>
      <c r="DI227" s="633"/>
      <c r="DJ227" s="459"/>
      <c r="DK227" s="49"/>
      <c r="DL227" s="620"/>
      <c r="DM227" s="637"/>
      <c r="DN227" s="637"/>
      <c r="DO227" s="637"/>
      <c r="DP227" s="49"/>
      <c r="DQ227" s="461"/>
      <c r="DR227" s="462"/>
      <c r="DS227" s="462"/>
      <c r="DT227" s="462"/>
      <c r="DU227" s="49"/>
      <c r="DV227" s="463"/>
      <c r="DW227" s="464"/>
      <c r="DX227" s="464"/>
      <c r="DY227" s="464"/>
      <c r="DZ227" s="49"/>
      <c r="EA227" s="465"/>
      <c r="EB227" s="466"/>
      <c r="EC227" s="426"/>
      <c r="ED227" s="456"/>
      <c r="EE227" s="47"/>
      <c r="EF227" s="16"/>
    </row>
    <row r="228" ht="17.25" customHeight="1">
      <c r="A228" s="16"/>
      <c r="B228" s="47"/>
      <c r="C228" s="170"/>
      <c r="D228" s="171"/>
      <c r="E228" s="49"/>
      <c r="F228" s="200"/>
      <c r="G228" s="200"/>
      <c r="H228" s="200" t="s">
        <v>230</v>
      </c>
      <c r="I228" s="200"/>
      <c r="J228" s="200"/>
      <c r="K228" s="200"/>
      <c r="L228" s="476"/>
      <c r="M228" s="200" t="s">
        <v>230</v>
      </c>
      <c r="N228" s="200"/>
      <c r="O228" s="200"/>
      <c r="P228" s="200"/>
      <c r="Q228" s="476"/>
      <c r="R228" s="200" t="s">
        <v>230</v>
      </c>
      <c r="S228" s="200"/>
      <c r="T228" s="200"/>
      <c r="U228" s="200"/>
      <c r="V228" s="476"/>
      <c r="W228" s="200" t="s">
        <v>230</v>
      </c>
      <c r="X228" s="200"/>
      <c r="Y228" s="200"/>
      <c r="Z228" s="200"/>
      <c r="AA228" s="476"/>
      <c r="AB228" s="200" t="s">
        <v>230</v>
      </c>
      <c r="AC228" s="200"/>
      <c r="AD228" s="200"/>
      <c r="AE228" s="200"/>
      <c r="AF228" s="200"/>
      <c r="AG228" s="200" t="s">
        <v>230</v>
      </c>
      <c r="AH228" s="200"/>
      <c r="AI228" s="200"/>
      <c r="AJ228" s="200"/>
      <c r="AK228" s="476"/>
      <c r="AL228" s="200" t="s">
        <v>230</v>
      </c>
      <c r="AM228" s="200"/>
      <c r="AN228" s="200"/>
      <c r="AO228" s="200"/>
      <c r="AP228" s="476"/>
      <c r="AQ228" s="200" t="s">
        <v>230</v>
      </c>
      <c r="AR228" s="200"/>
      <c r="AS228" s="200"/>
      <c r="AT228" s="200"/>
      <c r="AU228" s="425"/>
      <c r="AV228" s="545" t="s">
        <v>230</v>
      </c>
      <c r="AW228" s="425"/>
      <c r="AX228" s="49"/>
      <c r="AY228" s="296"/>
      <c r="AZ228" s="541"/>
      <c r="BA228" s="554" t="s">
        <v>230</v>
      </c>
      <c r="BB228" s="541"/>
      <c r="BC228" s="49"/>
      <c r="BD228" s="327"/>
      <c r="BE228" s="556"/>
      <c r="BF228" s="557" t="s">
        <v>230</v>
      </c>
      <c r="BG228" s="556"/>
      <c r="BH228" s="49"/>
      <c r="BI228" s="346"/>
      <c r="BJ228" s="558"/>
      <c r="BK228" s="587" t="s">
        <v>230</v>
      </c>
      <c r="BL228" s="558"/>
      <c r="BM228" s="49"/>
      <c r="BN228" s="429"/>
      <c r="BO228" s="485"/>
      <c r="BP228" s="596" t="s">
        <v>230</v>
      </c>
      <c r="BQ228" s="485"/>
      <c r="BR228" s="49"/>
      <c r="BS228" s="353"/>
      <c r="BT228" s="472"/>
      <c r="BU228" s="586" t="s">
        <v>230</v>
      </c>
      <c r="BV228" s="472"/>
      <c r="BW228" s="49"/>
      <c r="BX228" s="368"/>
      <c r="BY228" s="578"/>
      <c r="BZ228" s="593" t="s">
        <v>230</v>
      </c>
      <c r="CA228" s="578"/>
      <c r="CB228" s="49"/>
      <c r="CC228" s="388"/>
      <c r="CD228" s="488"/>
      <c r="CE228" s="595" t="s">
        <v>230</v>
      </c>
      <c r="CF228" s="595"/>
      <c r="CG228" s="49"/>
      <c r="CH228" s="402"/>
      <c r="CI228" s="439"/>
      <c r="CJ228" s="867" t="s">
        <v>230</v>
      </c>
      <c r="CK228" s="439"/>
      <c r="CL228" s="49"/>
      <c r="CM228" s="402"/>
      <c r="CN228" s="439"/>
      <c r="CO228" s="867" t="s">
        <v>230</v>
      </c>
      <c r="CP228" s="672"/>
      <c r="CQ228" s="49"/>
      <c r="CR228" s="419"/>
      <c r="CS228" s="487"/>
      <c r="CT228" s="575" t="s">
        <v>230</v>
      </c>
      <c r="CU228" s="729"/>
      <c r="CV228" s="49"/>
      <c r="CW228" s="453"/>
      <c r="CX228" s="455"/>
      <c r="CY228" s="631"/>
      <c r="CZ228" s="455"/>
      <c r="DA228" s="49"/>
      <c r="DB228" s="457"/>
      <c r="DC228" s="475"/>
      <c r="DD228" s="632"/>
      <c r="DE228" s="475"/>
      <c r="DF228" s="49"/>
      <c r="DG228" s="458"/>
      <c r="DH228" s="459"/>
      <c r="DI228" s="633"/>
      <c r="DJ228" s="459"/>
      <c r="DK228" s="49"/>
      <c r="DL228" s="620"/>
      <c r="DM228" s="637"/>
      <c r="DN228" s="637"/>
      <c r="DO228" s="637"/>
      <c r="DP228" s="49"/>
      <c r="DQ228" s="461"/>
      <c r="DR228" s="462"/>
      <c r="DS228" s="462"/>
      <c r="DT228" s="462"/>
      <c r="DU228" s="49"/>
      <c r="DV228" s="463"/>
      <c r="DW228" s="464"/>
      <c r="DX228" s="464"/>
      <c r="DY228" s="464"/>
      <c r="DZ228" s="49"/>
      <c r="EA228" s="465"/>
      <c r="EB228" s="466"/>
      <c r="EC228" s="426"/>
      <c r="ED228" s="456"/>
      <c r="EE228" s="47"/>
      <c r="EF228" s="16"/>
    </row>
    <row r="229" ht="17.25" customHeight="1">
      <c r="A229" s="16"/>
      <c r="B229" s="47"/>
      <c r="C229" s="170"/>
      <c r="D229" s="171"/>
      <c r="E229" s="49"/>
      <c r="F229" s="200"/>
      <c r="G229" s="200"/>
      <c r="H229" s="200" t="s">
        <v>230</v>
      </c>
      <c r="I229" s="200"/>
      <c r="J229" s="200"/>
      <c r="K229" s="200"/>
      <c r="L229" s="476"/>
      <c r="M229" s="200" t="s">
        <v>230</v>
      </c>
      <c r="N229" s="200"/>
      <c r="O229" s="200"/>
      <c r="P229" s="200"/>
      <c r="Q229" s="476"/>
      <c r="R229" s="200" t="s">
        <v>230</v>
      </c>
      <c r="S229" s="200"/>
      <c r="T229" s="200"/>
      <c r="U229" s="200"/>
      <c r="V229" s="476"/>
      <c r="W229" s="200" t="s">
        <v>230</v>
      </c>
      <c r="X229" s="200"/>
      <c r="Y229" s="200"/>
      <c r="Z229" s="200"/>
      <c r="AA229" s="476"/>
      <c r="AB229" s="200" t="s">
        <v>230</v>
      </c>
      <c r="AC229" s="200"/>
      <c r="AD229" s="200"/>
      <c r="AE229" s="200"/>
      <c r="AF229" s="200"/>
      <c r="AG229" s="200" t="s">
        <v>230</v>
      </c>
      <c r="AH229" s="200"/>
      <c r="AI229" s="200"/>
      <c r="AJ229" s="200"/>
      <c r="AK229" s="476"/>
      <c r="AL229" s="200" t="s">
        <v>230</v>
      </c>
      <c r="AM229" s="200"/>
      <c r="AN229" s="200"/>
      <c r="AO229" s="200"/>
      <c r="AP229" s="476"/>
      <c r="AQ229" s="200" t="s">
        <v>230</v>
      </c>
      <c r="AR229" s="200"/>
      <c r="AS229" s="200"/>
      <c r="AT229" s="200"/>
      <c r="AU229" s="425"/>
      <c r="AV229" s="545" t="s">
        <v>230</v>
      </c>
      <c r="AW229" s="425"/>
      <c r="AX229" s="49"/>
      <c r="AY229" s="296"/>
      <c r="AZ229" s="541"/>
      <c r="BA229" s="554" t="s">
        <v>230</v>
      </c>
      <c r="BB229" s="541"/>
      <c r="BC229" s="49"/>
      <c r="BD229" s="327"/>
      <c r="BE229" s="556"/>
      <c r="BF229" s="557" t="s">
        <v>230</v>
      </c>
      <c r="BG229" s="556"/>
      <c r="BH229" s="49"/>
      <c r="BI229" s="346"/>
      <c r="BJ229" s="558"/>
      <c r="BK229" s="587" t="s">
        <v>230</v>
      </c>
      <c r="BL229" s="558"/>
      <c r="BM229" s="49"/>
      <c r="BN229" s="429"/>
      <c r="BO229" s="485"/>
      <c r="BP229" s="596" t="s">
        <v>230</v>
      </c>
      <c r="BQ229" s="485"/>
      <c r="BR229" s="49"/>
      <c r="BS229" s="353"/>
      <c r="BT229" s="472"/>
      <c r="BU229" s="586" t="s">
        <v>230</v>
      </c>
      <c r="BV229" s="472"/>
      <c r="BW229" s="49"/>
      <c r="BX229" s="368"/>
      <c r="BY229" s="578"/>
      <c r="BZ229" s="593" t="s">
        <v>230</v>
      </c>
      <c r="CA229" s="578"/>
      <c r="CB229" s="49"/>
      <c r="CC229" s="388"/>
      <c r="CD229" s="488"/>
      <c r="CE229" s="595" t="s">
        <v>230</v>
      </c>
      <c r="CF229" s="595"/>
      <c r="CG229" s="49"/>
      <c r="CH229" s="402"/>
      <c r="CI229" s="439"/>
      <c r="CJ229" s="867" t="s">
        <v>230</v>
      </c>
      <c r="CK229" s="439"/>
      <c r="CL229" s="49"/>
      <c r="CM229" s="402"/>
      <c r="CN229" s="439"/>
      <c r="CO229" s="867" t="s">
        <v>230</v>
      </c>
      <c r="CP229" s="672"/>
      <c r="CQ229" s="49"/>
      <c r="CR229" s="419"/>
      <c r="CS229" s="487"/>
      <c r="CT229" s="575" t="s">
        <v>230</v>
      </c>
      <c r="CU229" s="729"/>
      <c r="CV229" s="49"/>
      <c r="CW229" s="453"/>
      <c r="CX229" s="455"/>
      <c r="CY229" s="631"/>
      <c r="CZ229" s="455"/>
      <c r="DA229" s="49"/>
      <c r="DB229" s="457"/>
      <c r="DC229" s="475"/>
      <c r="DD229" s="632"/>
      <c r="DE229" s="475"/>
      <c r="DF229" s="49"/>
      <c r="DG229" s="458"/>
      <c r="DH229" s="459"/>
      <c r="DI229" s="633"/>
      <c r="DJ229" s="459"/>
      <c r="DK229" s="49"/>
      <c r="DL229" s="620"/>
      <c r="DM229" s="637"/>
      <c r="DN229" s="637"/>
      <c r="DO229" s="637"/>
      <c r="DP229" s="49"/>
      <c r="DQ229" s="461"/>
      <c r="DR229" s="462"/>
      <c r="DS229" s="462"/>
      <c r="DT229" s="462"/>
      <c r="DU229" s="49"/>
      <c r="DV229" s="463"/>
      <c r="DW229" s="464"/>
      <c r="DX229" s="464"/>
      <c r="DY229" s="464"/>
      <c r="DZ229" s="49"/>
      <c r="EA229" s="465"/>
      <c r="EB229" s="466"/>
      <c r="EC229" s="426"/>
      <c r="ED229" s="456"/>
      <c r="EE229" s="47"/>
      <c r="EF229" s="16"/>
    </row>
    <row r="230" ht="17.25" customHeight="1">
      <c r="A230" s="16"/>
      <c r="B230" s="47"/>
      <c r="C230" s="170"/>
      <c r="D230" s="171"/>
      <c r="E230" s="49"/>
      <c r="F230" s="200"/>
      <c r="G230" s="200"/>
      <c r="H230" s="200" t="s">
        <v>230</v>
      </c>
      <c r="I230" s="200"/>
      <c r="J230" s="200"/>
      <c r="K230" s="200"/>
      <c r="L230" s="476"/>
      <c r="M230" s="200" t="s">
        <v>230</v>
      </c>
      <c r="N230" s="200"/>
      <c r="O230" s="200"/>
      <c r="P230" s="200"/>
      <c r="Q230" s="476"/>
      <c r="R230" s="200" t="s">
        <v>230</v>
      </c>
      <c r="S230" s="200"/>
      <c r="T230" s="200"/>
      <c r="U230" s="200"/>
      <c r="V230" s="476"/>
      <c r="W230" s="200" t="s">
        <v>230</v>
      </c>
      <c r="X230" s="200"/>
      <c r="Y230" s="200"/>
      <c r="Z230" s="200"/>
      <c r="AA230" s="476"/>
      <c r="AB230" s="200" t="s">
        <v>230</v>
      </c>
      <c r="AC230" s="200"/>
      <c r="AD230" s="200"/>
      <c r="AE230" s="200"/>
      <c r="AF230" s="200"/>
      <c r="AG230" s="200" t="s">
        <v>230</v>
      </c>
      <c r="AH230" s="200"/>
      <c r="AI230" s="200"/>
      <c r="AJ230" s="200"/>
      <c r="AK230" s="476"/>
      <c r="AL230" s="200" t="s">
        <v>230</v>
      </c>
      <c r="AM230" s="200"/>
      <c r="AN230" s="200"/>
      <c r="AO230" s="200"/>
      <c r="AP230" s="476"/>
      <c r="AQ230" s="200" t="s">
        <v>230</v>
      </c>
      <c r="AR230" s="200"/>
      <c r="AS230" s="200"/>
      <c r="AT230" s="200"/>
      <c r="AU230" s="425"/>
      <c r="AV230" s="545" t="s">
        <v>230</v>
      </c>
      <c r="AW230" s="425"/>
      <c r="AX230" s="49"/>
      <c r="AY230" s="296"/>
      <c r="AZ230" s="541"/>
      <c r="BA230" s="554" t="s">
        <v>230</v>
      </c>
      <c r="BB230" s="541"/>
      <c r="BC230" s="49"/>
      <c r="BD230" s="327"/>
      <c r="BE230" s="556"/>
      <c r="BF230" s="557" t="s">
        <v>230</v>
      </c>
      <c r="BG230" s="556"/>
      <c r="BH230" s="49"/>
      <c r="BI230" s="346"/>
      <c r="BJ230" s="558"/>
      <c r="BK230" s="587" t="s">
        <v>230</v>
      </c>
      <c r="BL230" s="558"/>
      <c r="BM230" s="49"/>
      <c r="BN230" s="429"/>
      <c r="BO230" s="485"/>
      <c r="BP230" s="596" t="s">
        <v>230</v>
      </c>
      <c r="BQ230" s="485"/>
      <c r="BR230" s="49"/>
      <c r="BS230" s="353"/>
      <c r="BT230" s="472"/>
      <c r="BU230" s="586" t="s">
        <v>230</v>
      </c>
      <c r="BV230" s="472"/>
      <c r="BW230" s="49"/>
      <c r="BX230" s="368"/>
      <c r="BY230" s="578"/>
      <c r="BZ230" s="593" t="s">
        <v>230</v>
      </c>
      <c r="CA230" s="578"/>
      <c r="CB230" s="49"/>
      <c r="CC230" s="388"/>
      <c r="CD230" s="488"/>
      <c r="CE230" s="595" t="s">
        <v>230</v>
      </c>
      <c r="CF230" s="595"/>
      <c r="CG230" s="49"/>
      <c r="CH230" s="402"/>
      <c r="CI230" s="439"/>
      <c r="CJ230" s="867" t="s">
        <v>230</v>
      </c>
      <c r="CK230" s="439"/>
      <c r="CL230" s="49"/>
      <c r="CM230" s="402"/>
      <c r="CN230" s="439"/>
      <c r="CO230" s="867" t="s">
        <v>230</v>
      </c>
      <c r="CP230" s="672"/>
      <c r="CQ230" s="49"/>
      <c r="CR230" s="419"/>
      <c r="CS230" s="487"/>
      <c r="CT230" s="575" t="s">
        <v>230</v>
      </c>
      <c r="CU230" s="729"/>
      <c r="CV230" s="49"/>
      <c r="CW230" s="453"/>
      <c r="CX230" s="455"/>
      <c r="CY230" s="631"/>
      <c r="CZ230" s="455"/>
      <c r="DA230" s="49"/>
      <c r="DB230" s="457"/>
      <c r="DC230" s="475"/>
      <c r="DD230" s="632"/>
      <c r="DE230" s="475"/>
      <c r="DF230" s="49"/>
      <c r="DG230" s="458"/>
      <c r="DH230" s="459"/>
      <c r="DI230" s="633"/>
      <c r="DJ230" s="459"/>
      <c r="DK230" s="49"/>
      <c r="DL230" s="620"/>
      <c r="DM230" s="637"/>
      <c r="DN230" s="637"/>
      <c r="DO230" s="637"/>
      <c r="DP230" s="49"/>
      <c r="DQ230" s="461"/>
      <c r="DR230" s="462"/>
      <c r="DS230" s="462"/>
      <c r="DT230" s="462"/>
      <c r="DU230" s="49"/>
      <c r="DV230" s="463"/>
      <c r="DW230" s="464"/>
      <c r="DX230" s="464"/>
      <c r="DY230" s="464"/>
      <c r="DZ230" s="49"/>
      <c r="EA230" s="465"/>
      <c r="EB230" s="466"/>
      <c r="EC230" s="426"/>
      <c r="ED230" s="456"/>
      <c r="EE230" s="47"/>
      <c r="EF230" s="16"/>
    </row>
    <row r="231" ht="17.25" customHeight="1">
      <c r="A231" s="16"/>
      <c r="B231" s="47"/>
      <c r="C231" s="170"/>
      <c r="D231" s="171"/>
      <c r="E231" s="49"/>
      <c r="F231" s="200"/>
      <c r="G231" s="200"/>
      <c r="H231" s="200" t="s">
        <v>230</v>
      </c>
      <c r="I231" s="200"/>
      <c r="J231" s="200"/>
      <c r="K231" s="200"/>
      <c r="L231" s="476"/>
      <c r="M231" s="200" t="s">
        <v>230</v>
      </c>
      <c r="N231" s="200"/>
      <c r="O231" s="200"/>
      <c r="P231" s="200"/>
      <c r="Q231" s="476"/>
      <c r="R231" s="200" t="s">
        <v>230</v>
      </c>
      <c r="S231" s="200"/>
      <c r="T231" s="200"/>
      <c r="U231" s="200"/>
      <c r="V231" s="476"/>
      <c r="W231" s="200" t="s">
        <v>230</v>
      </c>
      <c r="X231" s="200"/>
      <c r="Y231" s="200"/>
      <c r="Z231" s="200"/>
      <c r="AA231" s="476"/>
      <c r="AB231" s="200" t="s">
        <v>230</v>
      </c>
      <c r="AC231" s="200"/>
      <c r="AD231" s="200"/>
      <c r="AE231" s="200"/>
      <c r="AF231" s="200"/>
      <c r="AG231" s="200" t="s">
        <v>230</v>
      </c>
      <c r="AH231" s="200"/>
      <c r="AI231" s="200"/>
      <c r="AJ231" s="200"/>
      <c r="AK231" s="476"/>
      <c r="AL231" s="200" t="s">
        <v>230</v>
      </c>
      <c r="AM231" s="200"/>
      <c r="AN231" s="200"/>
      <c r="AO231" s="200"/>
      <c r="AP231" s="476"/>
      <c r="AQ231" s="200" t="s">
        <v>230</v>
      </c>
      <c r="AR231" s="200"/>
      <c r="AS231" s="200"/>
      <c r="AT231" s="200"/>
      <c r="AU231" s="425"/>
      <c r="AV231" s="545" t="s">
        <v>230</v>
      </c>
      <c r="AW231" s="425"/>
      <c r="AX231" s="49"/>
      <c r="AY231" s="296"/>
      <c r="AZ231" s="541"/>
      <c r="BA231" s="554" t="s">
        <v>230</v>
      </c>
      <c r="BB231" s="541"/>
      <c r="BC231" s="49"/>
      <c r="BD231" s="327"/>
      <c r="BE231" s="556"/>
      <c r="BF231" s="557" t="s">
        <v>230</v>
      </c>
      <c r="BG231" s="556"/>
      <c r="BH231" s="49"/>
      <c r="BI231" s="346"/>
      <c r="BJ231" s="558"/>
      <c r="BK231" s="587" t="s">
        <v>230</v>
      </c>
      <c r="BL231" s="558"/>
      <c r="BM231" s="49"/>
      <c r="BN231" s="429"/>
      <c r="BO231" s="485"/>
      <c r="BP231" s="596" t="s">
        <v>230</v>
      </c>
      <c r="BQ231" s="485"/>
      <c r="BR231" s="49"/>
      <c r="BS231" s="353"/>
      <c r="BT231" s="472"/>
      <c r="BU231" s="586" t="s">
        <v>230</v>
      </c>
      <c r="BV231" s="472"/>
      <c r="BW231" s="49"/>
      <c r="BX231" s="368"/>
      <c r="BY231" s="578"/>
      <c r="BZ231" s="593" t="s">
        <v>230</v>
      </c>
      <c r="CA231" s="578"/>
      <c r="CB231" s="49"/>
      <c r="CC231" s="388"/>
      <c r="CD231" s="488"/>
      <c r="CE231" s="595" t="s">
        <v>230</v>
      </c>
      <c r="CF231" s="595"/>
      <c r="CG231" s="49"/>
      <c r="CH231" s="402"/>
      <c r="CI231" s="439"/>
      <c r="CJ231" s="867" t="s">
        <v>230</v>
      </c>
      <c r="CK231" s="439"/>
      <c r="CL231" s="49"/>
      <c r="CM231" s="402"/>
      <c r="CN231" s="439"/>
      <c r="CO231" s="867" t="s">
        <v>230</v>
      </c>
      <c r="CP231" s="672"/>
      <c r="CQ231" s="49"/>
      <c r="CR231" s="419"/>
      <c r="CS231" s="487"/>
      <c r="CT231" s="575" t="s">
        <v>230</v>
      </c>
      <c r="CU231" s="729"/>
      <c r="CV231" s="49"/>
      <c r="CW231" s="453"/>
      <c r="CX231" s="455"/>
      <c r="CY231" s="631"/>
      <c r="CZ231" s="455"/>
      <c r="DA231" s="49"/>
      <c r="DB231" s="457"/>
      <c r="DC231" s="475"/>
      <c r="DD231" s="632"/>
      <c r="DE231" s="475"/>
      <c r="DF231" s="49"/>
      <c r="DG231" s="458"/>
      <c r="DH231" s="459"/>
      <c r="DI231" s="633"/>
      <c r="DJ231" s="459"/>
      <c r="DK231" s="49"/>
      <c r="DL231" s="620"/>
      <c r="DM231" s="637"/>
      <c r="DN231" s="637"/>
      <c r="DO231" s="637"/>
      <c r="DP231" s="49"/>
      <c r="DQ231" s="461"/>
      <c r="DR231" s="462"/>
      <c r="DS231" s="462"/>
      <c r="DT231" s="462"/>
      <c r="DU231" s="49"/>
      <c r="DV231" s="463"/>
      <c r="DW231" s="464"/>
      <c r="DX231" s="464"/>
      <c r="DY231" s="464"/>
      <c r="DZ231" s="49"/>
      <c r="EA231" s="465"/>
      <c r="EB231" s="466"/>
      <c r="EC231" s="426"/>
      <c r="ED231" s="456"/>
      <c r="EE231" s="47"/>
      <c r="EF231" s="16"/>
    </row>
    <row r="232" ht="17.25" customHeight="1">
      <c r="A232" s="16"/>
      <c r="B232" s="47"/>
      <c r="C232" s="170"/>
      <c r="D232" s="171"/>
      <c r="E232" s="49"/>
      <c r="F232" s="200"/>
      <c r="G232" s="200"/>
      <c r="H232" s="200" t="s">
        <v>230</v>
      </c>
      <c r="I232" s="200"/>
      <c r="J232" s="200"/>
      <c r="K232" s="200"/>
      <c r="L232" s="476"/>
      <c r="M232" s="200" t="s">
        <v>230</v>
      </c>
      <c r="N232" s="200"/>
      <c r="O232" s="200"/>
      <c r="P232" s="200"/>
      <c r="Q232" s="476"/>
      <c r="R232" s="200" t="s">
        <v>230</v>
      </c>
      <c r="S232" s="200"/>
      <c r="T232" s="200"/>
      <c r="U232" s="200"/>
      <c r="V232" s="476"/>
      <c r="W232" s="200" t="s">
        <v>230</v>
      </c>
      <c r="X232" s="200"/>
      <c r="Y232" s="200"/>
      <c r="Z232" s="200"/>
      <c r="AA232" s="476"/>
      <c r="AB232" s="200" t="s">
        <v>230</v>
      </c>
      <c r="AC232" s="200"/>
      <c r="AD232" s="200"/>
      <c r="AE232" s="200"/>
      <c r="AF232" s="200"/>
      <c r="AG232" s="200" t="s">
        <v>230</v>
      </c>
      <c r="AH232" s="200"/>
      <c r="AI232" s="200"/>
      <c r="AJ232" s="200"/>
      <c r="AK232" s="476"/>
      <c r="AL232" s="200" t="s">
        <v>230</v>
      </c>
      <c r="AM232" s="200"/>
      <c r="AN232" s="200"/>
      <c r="AO232" s="200"/>
      <c r="AP232" s="476"/>
      <c r="AQ232" s="200" t="s">
        <v>230</v>
      </c>
      <c r="AR232" s="200"/>
      <c r="AS232" s="200"/>
      <c r="AT232" s="200"/>
      <c r="AU232" s="425"/>
      <c r="AV232" s="545" t="s">
        <v>230</v>
      </c>
      <c r="AW232" s="425"/>
      <c r="AX232" s="49"/>
      <c r="AY232" s="296"/>
      <c r="AZ232" s="541"/>
      <c r="BA232" s="554" t="s">
        <v>230</v>
      </c>
      <c r="BB232" s="541"/>
      <c r="BC232" s="49"/>
      <c r="BD232" s="327"/>
      <c r="BE232" s="556"/>
      <c r="BF232" s="557" t="s">
        <v>230</v>
      </c>
      <c r="BG232" s="556"/>
      <c r="BH232" s="49"/>
      <c r="BI232" s="346"/>
      <c r="BJ232" s="558"/>
      <c r="BK232" s="587" t="s">
        <v>230</v>
      </c>
      <c r="BL232" s="558"/>
      <c r="BM232" s="49"/>
      <c r="BN232" s="429"/>
      <c r="BO232" s="485"/>
      <c r="BP232" s="596" t="s">
        <v>230</v>
      </c>
      <c r="BQ232" s="485"/>
      <c r="BR232" s="49"/>
      <c r="BS232" s="353"/>
      <c r="BT232" s="472"/>
      <c r="BU232" s="586" t="s">
        <v>230</v>
      </c>
      <c r="BV232" s="472"/>
      <c r="BW232" s="49"/>
      <c r="BX232" s="368"/>
      <c r="BY232" s="578"/>
      <c r="BZ232" s="593" t="s">
        <v>230</v>
      </c>
      <c r="CA232" s="578"/>
      <c r="CB232" s="49"/>
      <c r="CC232" s="388"/>
      <c r="CD232" s="488"/>
      <c r="CE232" s="595" t="s">
        <v>230</v>
      </c>
      <c r="CF232" s="595"/>
      <c r="CG232" s="49"/>
      <c r="CH232" s="402"/>
      <c r="CI232" s="439"/>
      <c r="CJ232" s="867" t="s">
        <v>230</v>
      </c>
      <c r="CK232" s="439"/>
      <c r="CL232" s="49"/>
      <c r="CM232" s="402"/>
      <c r="CN232" s="439"/>
      <c r="CO232" s="867" t="s">
        <v>230</v>
      </c>
      <c r="CP232" s="672"/>
      <c r="CQ232" s="49"/>
      <c r="CR232" s="419"/>
      <c r="CS232" s="487"/>
      <c r="CT232" s="575" t="s">
        <v>230</v>
      </c>
      <c r="CU232" s="729"/>
      <c r="CV232" s="49"/>
      <c r="CW232" s="453"/>
      <c r="CX232" s="455"/>
      <c r="CY232" s="631"/>
      <c r="CZ232" s="455"/>
      <c r="DA232" s="49"/>
      <c r="DB232" s="457"/>
      <c r="DC232" s="475"/>
      <c r="DD232" s="632"/>
      <c r="DE232" s="475"/>
      <c r="DF232" s="49"/>
      <c r="DG232" s="458"/>
      <c r="DH232" s="459"/>
      <c r="DI232" s="633"/>
      <c r="DJ232" s="459"/>
      <c r="DK232" s="49"/>
      <c r="DL232" s="620"/>
      <c r="DM232" s="637"/>
      <c r="DN232" s="637"/>
      <c r="DO232" s="637"/>
      <c r="DP232" s="49"/>
      <c r="DQ232" s="461"/>
      <c r="DR232" s="462"/>
      <c r="DS232" s="462"/>
      <c r="DT232" s="462"/>
      <c r="DU232" s="49"/>
      <c r="DV232" s="463"/>
      <c r="DW232" s="464"/>
      <c r="DX232" s="464"/>
      <c r="DY232" s="464"/>
      <c r="DZ232" s="49"/>
      <c r="EA232" s="465"/>
      <c r="EB232" s="466"/>
      <c r="EC232" s="426"/>
      <c r="ED232" s="456"/>
      <c r="EE232" s="47"/>
      <c r="EF232" s="16"/>
    </row>
    <row r="233" ht="17.25" customHeight="1">
      <c r="A233" s="16"/>
      <c r="B233" s="47"/>
      <c r="C233" s="170"/>
      <c r="D233" s="171"/>
      <c r="E233" s="49"/>
      <c r="F233" s="200"/>
      <c r="G233" s="200"/>
      <c r="H233" s="200" t="s">
        <v>230</v>
      </c>
      <c r="I233" s="200"/>
      <c r="J233" s="200"/>
      <c r="K233" s="200"/>
      <c r="L233" s="476"/>
      <c r="M233" s="200" t="s">
        <v>230</v>
      </c>
      <c r="N233" s="200"/>
      <c r="O233" s="200"/>
      <c r="P233" s="200"/>
      <c r="Q233" s="476"/>
      <c r="R233" s="200" t="s">
        <v>230</v>
      </c>
      <c r="S233" s="200"/>
      <c r="T233" s="200"/>
      <c r="U233" s="200"/>
      <c r="V233" s="476"/>
      <c r="W233" s="200" t="s">
        <v>230</v>
      </c>
      <c r="X233" s="200"/>
      <c r="Y233" s="200"/>
      <c r="Z233" s="200"/>
      <c r="AA233" s="476"/>
      <c r="AB233" s="200" t="s">
        <v>230</v>
      </c>
      <c r="AC233" s="200"/>
      <c r="AD233" s="200"/>
      <c r="AE233" s="200"/>
      <c r="AF233" s="200"/>
      <c r="AG233" s="200" t="s">
        <v>230</v>
      </c>
      <c r="AH233" s="200"/>
      <c r="AI233" s="200"/>
      <c r="AJ233" s="200"/>
      <c r="AK233" s="476"/>
      <c r="AL233" s="200" t="s">
        <v>230</v>
      </c>
      <c r="AM233" s="200"/>
      <c r="AN233" s="200"/>
      <c r="AO233" s="200"/>
      <c r="AP233" s="476"/>
      <c r="AQ233" s="200" t="s">
        <v>230</v>
      </c>
      <c r="AR233" s="200"/>
      <c r="AS233" s="200"/>
      <c r="AT233" s="200"/>
      <c r="AU233" s="425"/>
      <c r="AV233" s="545" t="s">
        <v>230</v>
      </c>
      <c r="AW233" s="425"/>
      <c r="AX233" s="49"/>
      <c r="AY233" s="296"/>
      <c r="AZ233" s="541"/>
      <c r="BA233" s="554" t="s">
        <v>230</v>
      </c>
      <c r="BB233" s="541"/>
      <c r="BC233" s="49"/>
      <c r="BD233" s="327"/>
      <c r="BE233" s="556"/>
      <c r="BF233" s="557" t="s">
        <v>230</v>
      </c>
      <c r="BG233" s="556"/>
      <c r="BH233" s="49"/>
      <c r="BI233" s="346"/>
      <c r="BJ233" s="558"/>
      <c r="BK233" s="587" t="s">
        <v>230</v>
      </c>
      <c r="BL233" s="558"/>
      <c r="BM233" s="49"/>
      <c r="BN233" s="429"/>
      <c r="BO233" s="485"/>
      <c r="BP233" s="596" t="s">
        <v>230</v>
      </c>
      <c r="BQ233" s="485"/>
      <c r="BR233" s="49"/>
      <c r="BS233" s="353"/>
      <c r="BT233" s="472"/>
      <c r="BU233" s="586" t="s">
        <v>230</v>
      </c>
      <c r="BV233" s="472"/>
      <c r="BW233" s="49"/>
      <c r="BX233" s="368"/>
      <c r="BY233" s="578"/>
      <c r="BZ233" s="593" t="s">
        <v>230</v>
      </c>
      <c r="CA233" s="578"/>
      <c r="CB233" s="49"/>
      <c r="CC233" s="388"/>
      <c r="CD233" s="488"/>
      <c r="CE233" s="595" t="s">
        <v>230</v>
      </c>
      <c r="CF233" s="595"/>
      <c r="CG233" s="49"/>
      <c r="CH233" s="402"/>
      <c r="CI233" s="439"/>
      <c r="CJ233" s="867" t="s">
        <v>230</v>
      </c>
      <c r="CK233" s="439"/>
      <c r="CL233" s="49"/>
      <c r="CM233" s="402"/>
      <c r="CN233" s="439"/>
      <c r="CO233" s="867" t="s">
        <v>230</v>
      </c>
      <c r="CP233" s="672"/>
      <c r="CQ233" s="49"/>
      <c r="CR233" s="419"/>
      <c r="CS233" s="487"/>
      <c r="CT233" s="575" t="s">
        <v>230</v>
      </c>
      <c r="CU233" s="729"/>
      <c r="CV233" s="49"/>
      <c r="CW233" s="453"/>
      <c r="CX233" s="455"/>
      <c r="CY233" s="631"/>
      <c r="CZ233" s="455"/>
      <c r="DA233" s="49"/>
      <c r="DB233" s="457"/>
      <c r="DC233" s="475"/>
      <c r="DD233" s="632"/>
      <c r="DE233" s="475"/>
      <c r="DF233" s="49"/>
      <c r="DG233" s="458"/>
      <c r="DH233" s="459"/>
      <c r="DI233" s="633"/>
      <c r="DJ233" s="459"/>
      <c r="DK233" s="49"/>
      <c r="DL233" s="620"/>
      <c r="DM233" s="637"/>
      <c r="DN233" s="637"/>
      <c r="DO233" s="637"/>
      <c r="DP233" s="49"/>
      <c r="DQ233" s="461"/>
      <c r="DR233" s="462"/>
      <c r="DS233" s="462"/>
      <c r="DT233" s="462"/>
      <c r="DU233" s="49"/>
      <c r="DV233" s="463"/>
      <c r="DW233" s="464"/>
      <c r="DX233" s="464"/>
      <c r="DY233" s="464"/>
      <c r="DZ233" s="49"/>
      <c r="EA233" s="465"/>
      <c r="EB233" s="466"/>
      <c r="EC233" s="426"/>
      <c r="ED233" s="456"/>
      <c r="EE233" s="47"/>
      <c r="EF233" s="16"/>
    </row>
    <row r="234" ht="17.25" customHeight="1">
      <c r="A234" s="16"/>
      <c r="B234" s="47"/>
      <c r="C234" s="170"/>
      <c r="D234" s="171"/>
      <c r="E234" s="49"/>
      <c r="F234" s="200"/>
      <c r="G234" s="200"/>
      <c r="H234" s="200" t="s">
        <v>230</v>
      </c>
      <c r="I234" s="200"/>
      <c r="J234" s="200"/>
      <c r="K234" s="200"/>
      <c r="L234" s="476"/>
      <c r="M234" s="200" t="s">
        <v>230</v>
      </c>
      <c r="N234" s="200"/>
      <c r="O234" s="200"/>
      <c r="P234" s="200"/>
      <c r="Q234" s="476"/>
      <c r="R234" s="200" t="s">
        <v>230</v>
      </c>
      <c r="S234" s="200"/>
      <c r="T234" s="200"/>
      <c r="U234" s="200"/>
      <c r="V234" s="476"/>
      <c r="W234" s="200" t="s">
        <v>230</v>
      </c>
      <c r="X234" s="200"/>
      <c r="Y234" s="200"/>
      <c r="Z234" s="200"/>
      <c r="AA234" s="476"/>
      <c r="AB234" s="200" t="s">
        <v>230</v>
      </c>
      <c r="AC234" s="200"/>
      <c r="AD234" s="200"/>
      <c r="AE234" s="200"/>
      <c r="AF234" s="200"/>
      <c r="AG234" s="200" t="s">
        <v>230</v>
      </c>
      <c r="AH234" s="200"/>
      <c r="AI234" s="200"/>
      <c r="AJ234" s="200"/>
      <c r="AK234" s="476"/>
      <c r="AL234" s="200" t="s">
        <v>230</v>
      </c>
      <c r="AM234" s="200"/>
      <c r="AN234" s="200"/>
      <c r="AO234" s="200"/>
      <c r="AP234" s="476"/>
      <c r="AQ234" s="200" t="s">
        <v>230</v>
      </c>
      <c r="AR234" s="200"/>
      <c r="AS234" s="200"/>
      <c r="AT234" s="200"/>
      <c r="AU234" s="425"/>
      <c r="AV234" s="545" t="s">
        <v>230</v>
      </c>
      <c r="AW234" s="425"/>
      <c r="AX234" s="49"/>
      <c r="AY234" s="296"/>
      <c r="AZ234" s="541"/>
      <c r="BA234" s="554" t="s">
        <v>230</v>
      </c>
      <c r="BB234" s="541"/>
      <c r="BC234" s="49"/>
      <c r="BD234" s="327"/>
      <c r="BE234" s="556"/>
      <c r="BF234" s="557" t="s">
        <v>230</v>
      </c>
      <c r="BG234" s="556"/>
      <c r="BH234" s="49"/>
      <c r="BI234" s="346"/>
      <c r="BJ234" s="558"/>
      <c r="BK234" s="587" t="s">
        <v>230</v>
      </c>
      <c r="BL234" s="558"/>
      <c r="BM234" s="49"/>
      <c r="BN234" s="429"/>
      <c r="BO234" s="485"/>
      <c r="BP234" s="596" t="s">
        <v>230</v>
      </c>
      <c r="BQ234" s="485"/>
      <c r="BR234" s="49"/>
      <c r="BS234" s="353"/>
      <c r="BT234" s="472"/>
      <c r="BU234" s="586" t="s">
        <v>230</v>
      </c>
      <c r="BV234" s="472"/>
      <c r="BW234" s="49"/>
      <c r="BX234" s="368"/>
      <c r="BY234" s="578"/>
      <c r="BZ234" s="593" t="s">
        <v>230</v>
      </c>
      <c r="CA234" s="578"/>
      <c r="CB234" s="49"/>
      <c r="CC234" s="388"/>
      <c r="CD234" s="488"/>
      <c r="CE234" s="595" t="s">
        <v>230</v>
      </c>
      <c r="CF234" s="595"/>
      <c r="CG234" s="49"/>
      <c r="CH234" s="402"/>
      <c r="CI234" s="439"/>
      <c r="CJ234" s="867" t="s">
        <v>230</v>
      </c>
      <c r="CK234" s="439"/>
      <c r="CL234" s="49"/>
      <c r="CM234" s="402"/>
      <c r="CN234" s="439"/>
      <c r="CO234" s="867" t="s">
        <v>230</v>
      </c>
      <c r="CP234" s="672"/>
      <c r="CQ234" s="49"/>
      <c r="CR234" s="419"/>
      <c r="CS234" s="487"/>
      <c r="CT234" s="575" t="s">
        <v>230</v>
      </c>
      <c r="CU234" s="729"/>
      <c r="CV234" s="49"/>
      <c r="CW234" s="453"/>
      <c r="CX234" s="455"/>
      <c r="CY234" s="631"/>
      <c r="CZ234" s="455"/>
      <c r="DA234" s="49"/>
      <c r="DB234" s="457"/>
      <c r="DC234" s="475"/>
      <c r="DD234" s="632"/>
      <c r="DE234" s="475"/>
      <c r="DF234" s="49"/>
      <c r="DG234" s="458"/>
      <c r="DH234" s="459"/>
      <c r="DI234" s="633"/>
      <c r="DJ234" s="459"/>
      <c r="DK234" s="49"/>
      <c r="DL234" s="620"/>
      <c r="DM234" s="637"/>
      <c r="DN234" s="637"/>
      <c r="DO234" s="637"/>
      <c r="DP234" s="49"/>
      <c r="DQ234" s="461"/>
      <c r="DR234" s="462"/>
      <c r="DS234" s="462"/>
      <c r="DT234" s="462"/>
      <c r="DU234" s="49"/>
      <c r="DV234" s="463"/>
      <c r="DW234" s="464"/>
      <c r="DX234" s="464"/>
      <c r="DY234" s="464"/>
      <c r="DZ234" s="49"/>
      <c r="EA234" s="465"/>
      <c r="EB234" s="466"/>
      <c r="EC234" s="426"/>
      <c r="ED234" s="456"/>
      <c r="EE234" s="47"/>
      <c r="EF234" s="16"/>
    </row>
    <row r="235" ht="17.25" customHeight="1">
      <c r="A235" s="16"/>
      <c r="B235" s="47"/>
      <c r="C235" s="170"/>
      <c r="D235" s="171"/>
      <c r="E235" s="49"/>
      <c r="F235" s="200"/>
      <c r="G235" s="200"/>
      <c r="H235" s="200" t="s">
        <v>230</v>
      </c>
      <c r="I235" s="200"/>
      <c r="J235" s="200"/>
      <c r="K235" s="200"/>
      <c r="L235" s="476"/>
      <c r="M235" s="200" t="s">
        <v>230</v>
      </c>
      <c r="N235" s="200"/>
      <c r="O235" s="200"/>
      <c r="P235" s="200"/>
      <c r="Q235" s="476"/>
      <c r="R235" s="200" t="s">
        <v>230</v>
      </c>
      <c r="S235" s="200"/>
      <c r="T235" s="200"/>
      <c r="U235" s="200"/>
      <c r="V235" s="476"/>
      <c r="W235" s="200" t="s">
        <v>230</v>
      </c>
      <c r="X235" s="200"/>
      <c r="Y235" s="200"/>
      <c r="Z235" s="200"/>
      <c r="AA235" s="476"/>
      <c r="AB235" s="200" t="s">
        <v>230</v>
      </c>
      <c r="AC235" s="200"/>
      <c r="AD235" s="200"/>
      <c r="AE235" s="200"/>
      <c r="AF235" s="200"/>
      <c r="AG235" s="200" t="s">
        <v>230</v>
      </c>
      <c r="AH235" s="200"/>
      <c r="AI235" s="200"/>
      <c r="AJ235" s="200"/>
      <c r="AK235" s="476"/>
      <c r="AL235" s="200" t="s">
        <v>230</v>
      </c>
      <c r="AM235" s="200"/>
      <c r="AN235" s="200"/>
      <c r="AO235" s="200"/>
      <c r="AP235" s="476"/>
      <c r="AQ235" s="200" t="s">
        <v>230</v>
      </c>
      <c r="AR235" s="200"/>
      <c r="AS235" s="200"/>
      <c r="AT235" s="200"/>
      <c r="AU235" s="425"/>
      <c r="AV235" s="545" t="s">
        <v>230</v>
      </c>
      <c r="AW235" s="425"/>
      <c r="AX235" s="49"/>
      <c r="AY235" s="296"/>
      <c r="AZ235" s="541"/>
      <c r="BA235" s="554" t="s">
        <v>230</v>
      </c>
      <c r="BB235" s="541"/>
      <c r="BC235" s="49"/>
      <c r="BD235" s="327"/>
      <c r="BE235" s="556"/>
      <c r="BF235" s="557" t="s">
        <v>230</v>
      </c>
      <c r="BG235" s="556"/>
      <c r="BH235" s="49"/>
      <c r="BI235" s="346"/>
      <c r="BJ235" s="558"/>
      <c r="BK235" s="587" t="s">
        <v>230</v>
      </c>
      <c r="BL235" s="558"/>
      <c r="BM235" s="49"/>
      <c r="BN235" s="429"/>
      <c r="BO235" s="485"/>
      <c r="BP235" s="596" t="s">
        <v>230</v>
      </c>
      <c r="BQ235" s="485"/>
      <c r="BR235" s="49"/>
      <c r="BS235" s="353"/>
      <c r="BT235" s="472"/>
      <c r="BU235" s="586" t="s">
        <v>230</v>
      </c>
      <c r="BV235" s="472"/>
      <c r="BW235" s="49"/>
      <c r="BX235" s="368"/>
      <c r="BY235" s="578"/>
      <c r="BZ235" s="593" t="s">
        <v>230</v>
      </c>
      <c r="CA235" s="578"/>
      <c r="CB235" s="49"/>
      <c r="CC235" s="388"/>
      <c r="CD235" s="488"/>
      <c r="CE235" s="595" t="s">
        <v>230</v>
      </c>
      <c r="CF235" s="595"/>
      <c r="CG235" s="49"/>
      <c r="CH235" s="402"/>
      <c r="CI235" s="439"/>
      <c r="CJ235" s="867" t="s">
        <v>230</v>
      </c>
      <c r="CK235" s="439"/>
      <c r="CL235" s="49"/>
      <c r="CM235" s="402"/>
      <c r="CN235" s="439"/>
      <c r="CO235" s="867" t="s">
        <v>230</v>
      </c>
      <c r="CP235" s="672"/>
      <c r="CQ235" s="49"/>
      <c r="CR235" s="419"/>
      <c r="CS235" s="487"/>
      <c r="CT235" s="575" t="s">
        <v>230</v>
      </c>
      <c r="CU235" s="729"/>
      <c r="CV235" s="49"/>
      <c r="CW235" s="453"/>
      <c r="CX235" s="455"/>
      <c r="CY235" s="631"/>
      <c r="CZ235" s="455"/>
      <c r="DA235" s="49"/>
      <c r="DB235" s="457"/>
      <c r="DC235" s="475"/>
      <c r="DD235" s="632"/>
      <c r="DE235" s="475"/>
      <c r="DF235" s="49"/>
      <c r="DG235" s="458"/>
      <c r="DH235" s="459"/>
      <c r="DI235" s="633"/>
      <c r="DJ235" s="459"/>
      <c r="DK235" s="49"/>
      <c r="DL235" s="620"/>
      <c r="DM235" s="637"/>
      <c r="DN235" s="637"/>
      <c r="DO235" s="637"/>
      <c r="DP235" s="49"/>
      <c r="DQ235" s="461"/>
      <c r="DR235" s="462"/>
      <c r="DS235" s="462"/>
      <c r="DT235" s="462"/>
      <c r="DU235" s="49"/>
      <c r="DV235" s="463"/>
      <c r="DW235" s="464"/>
      <c r="DX235" s="464"/>
      <c r="DY235" s="464"/>
      <c r="DZ235" s="49"/>
      <c r="EA235" s="465"/>
      <c r="EB235" s="466"/>
      <c r="EC235" s="426"/>
      <c r="ED235" s="456"/>
      <c r="EE235" s="47"/>
      <c r="EF235" s="16"/>
    </row>
    <row r="236" ht="17.25" customHeight="1">
      <c r="A236" s="16"/>
      <c r="B236" s="47"/>
      <c r="C236" s="170"/>
      <c r="D236" s="171"/>
      <c r="E236" s="49"/>
      <c r="F236" s="200"/>
      <c r="G236" s="200"/>
      <c r="H236" s="200" t="s">
        <v>230</v>
      </c>
      <c r="I236" s="200"/>
      <c r="J236" s="200"/>
      <c r="K236" s="200"/>
      <c r="L236" s="476"/>
      <c r="M236" s="200" t="s">
        <v>230</v>
      </c>
      <c r="N236" s="200"/>
      <c r="O236" s="200"/>
      <c r="P236" s="200"/>
      <c r="Q236" s="476"/>
      <c r="R236" s="200" t="s">
        <v>230</v>
      </c>
      <c r="S236" s="200"/>
      <c r="T236" s="200"/>
      <c r="U236" s="200"/>
      <c r="V236" s="476"/>
      <c r="W236" s="200" t="s">
        <v>230</v>
      </c>
      <c r="X236" s="200"/>
      <c r="Y236" s="200"/>
      <c r="Z236" s="200"/>
      <c r="AA236" s="476"/>
      <c r="AB236" s="200" t="s">
        <v>230</v>
      </c>
      <c r="AC236" s="200"/>
      <c r="AD236" s="200"/>
      <c r="AE236" s="200"/>
      <c r="AF236" s="200"/>
      <c r="AG236" s="200" t="s">
        <v>230</v>
      </c>
      <c r="AH236" s="200"/>
      <c r="AI236" s="200"/>
      <c r="AJ236" s="200"/>
      <c r="AK236" s="476"/>
      <c r="AL236" s="200" t="s">
        <v>230</v>
      </c>
      <c r="AM236" s="200"/>
      <c r="AN236" s="200"/>
      <c r="AO236" s="200"/>
      <c r="AP236" s="476"/>
      <c r="AQ236" s="200" t="s">
        <v>230</v>
      </c>
      <c r="AR236" s="200"/>
      <c r="AS236" s="200"/>
      <c r="AT236" s="200"/>
      <c r="AU236" s="425"/>
      <c r="AV236" s="545" t="s">
        <v>230</v>
      </c>
      <c r="AW236" s="425"/>
      <c r="AX236" s="49"/>
      <c r="AY236" s="296"/>
      <c r="AZ236" s="541"/>
      <c r="BA236" s="554" t="s">
        <v>230</v>
      </c>
      <c r="BB236" s="541"/>
      <c r="BC236" s="49"/>
      <c r="BD236" s="327"/>
      <c r="BE236" s="556"/>
      <c r="BF236" s="557" t="s">
        <v>230</v>
      </c>
      <c r="BG236" s="556"/>
      <c r="BH236" s="49"/>
      <c r="BI236" s="346"/>
      <c r="BJ236" s="558"/>
      <c r="BK236" s="587" t="s">
        <v>230</v>
      </c>
      <c r="BL236" s="558"/>
      <c r="BM236" s="49"/>
      <c r="BN236" s="429"/>
      <c r="BO236" s="485"/>
      <c r="BP236" s="596" t="s">
        <v>230</v>
      </c>
      <c r="BQ236" s="485"/>
      <c r="BR236" s="49"/>
      <c r="BS236" s="353"/>
      <c r="BT236" s="472"/>
      <c r="BU236" s="586" t="s">
        <v>230</v>
      </c>
      <c r="BV236" s="472"/>
      <c r="BW236" s="49"/>
      <c r="BX236" s="368"/>
      <c r="BY236" s="578"/>
      <c r="BZ236" s="593" t="s">
        <v>230</v>
      </c>
      <c r="CA236" s="578"/>
      <c r="CB236" s="49"/>
      <c r="CC236" s="388"/>
      <c r="CD236" s="488"/>
      <c r="CE236" s="595" t="s">
        <v>230</v>
      </c>
      <c r="CF236" s="595"/>
      <c r="CG236" s="49"/>
      <c r="CH236" s="402"/>
      <c r="CI236" s="439"/>
      <c r="CJ236" s="867" t="s">
        <v>230</v>
      </c>
      <c r="CK236" s="439"/>
      <c r="CL236" s="49"/>
      <c r="CM236" s="402"/>
      <c r="CN236" s="439"/>
      <c r="CO236" s="867" t="s">
        <v>230</v>
      </c>
      <c r="CP236" s="672"/>
      <c r="CQ236" s="49"/>
      <c r="CR236" s="419"/>
      <c r="CS236" s="487"/>
      <c r="CT236" s="575" t="s">
        <v>230</v>
      </c>
      <c r="CU236" s="729"/>
      <c r="CV236" s="49"/>
      <c r="CW236" s="453"/>
      <c r="CX236" s="455"/>
      <c r="CY236" s="631"/>
      <c r="CZ236" s="455"/>
      <c r="DA236" s="49"/>
      <c r="DB236" s="457"/>
      <c r="DC236" s="475"/>
      <c r="DD236" s="632"/>
      <c r="DE236" s="475"/>
      <c r="DF236" s="49"/>
      <c r="DG236" s="458"/>
      <c r="DH236" s="459"/>
      <c r="DI236" s="633"/>
      <c r="DJ236" s="459"/>
      <c r="DK236" s="49"/>
      <c r="DL236" s="620"/>
      <c r="DM236" s="637"/>
      <c r="DN236" s="637"/>
      <c r="DO236" s="637"/>
      <c r="DP236" s="49"/>
      <c r="DQ236" s="461"/>
      <c r="DR236" s="462"/>
      <c r="DS236" s="462"/>
      <c r="DT236" s="462"/>
      <c r="DU236" s="49"/>
      <c r="DV236" s="463"/>
      <c r="DW236" s="464"/>
      <c r="DX236" s="464"/>
      <c r="DY236" s="464"/>
      <c r="DZ236" s="49"/>
      <c r="EA236" s="465"/>
      <c r="EB236" s="466"/>
      <c r="EC236" s="426"/>
      <c r="ED236" s="456"/>
      <c r="EE236" s="47"/>
      <c r="EF236" s="16"/>
    </row>
    <row r="237" ht="17.25" customHeight="1">
      <c r="A237" s="16"/>
      <c r="B237" s="47"/>
      <c r="C237" s="170"/>
      <c r="D237" s="171"/>
      <c r="E237" s="49"/>
      <c r="F237" s="200"/>
      <c r="G237" s="200"/>
      <c r="H237" s="200" t="s">
        <v>230</v>
      </c>
      <c r="I237" s="200"/>
      <c r="J237" s="200"/>
      <c r="K237" s="200"/>
      <c r="L237" s="476"/>
      <c r="M237" s="200" t="s">
        <v>230</v>
      </c>
      <c r="N237" s="200"/>
      <c r="O237" s="200"/>
      <c r="P237" s="200"/>
      <c r="Q237" s="476"/>
      <c r="R237" s="200" t="s">
        <v>230</v>
      </c>
      <c r="S237" s="200"/>
      <c r="T237" s="200"/>
      <c r="U237" s="200"/>
      <c r="V237" s="476"/>
      <c r="W237" s="200" t="s">
        <v>230</v>
      </c>
      <c r="X237" s="200"/>
      <c r="Y237" s="200"/>
      <c r="Z237" s="200"/>
      <c r="AA237" s="476"/>
      <c r="AB237" s="200" t="s">
        <v>230</v>
      </c>
      <c r="AC237" s="200"/>
      <c r="AD237" s="200"/>
      <c r="AE237" s="200"/>
      <c r="AF237" s="200"/>
      <c r="AG237" s="200" t="s">
        <v>230</v>
      </c>
      <c r="AH237" s="200"/>
      <c r="AI237" s="200"/>
      <c r="AJ237" s="200"/>
      <c r="AK237" s="476"/>
      <c r="AL237" s="200" t="s">
        <v>230</v>
      </c>
      <c r="AM237" s="200"/>
      <c r="AN237" s="200"/>
      <c r="AO237" s="200"/>
      <c r="AP237" s="476"/>
      <c r="AQ237" s="200" t="s">
        <v>230</v>
      </c>
      <c r="AR237" s="200"/>
      <c r="AS237" s="200"/>
      <c r="AT237" s="200"/>
      <c r="AU237" s="425"/>
      <c r="AV237" s="545" t="s">
        <v>230</v>
      </c>
      <c r="AW237" s="425"/>
      <c r="AX237" s="49"/>
      <c r="AY237" s="296"/>
      <c r="AZ237" s="541"/>
      <c r="BA237" s="554" t="s">
        <v>230</v>
      </c>
      <c r="BB237" s="541"/>
      <c r="BC237" s="49"/>
      <c r="BD237" s="327"/>
      <c r="BE237" s="556"/>
      <c r="BF237" s="557" t="s">
        <v>230</v>
      </c>
      <c r="BG237" s="556"/>
      <c r="BH237" s="49"/>
      <c r="BI237" s="346"/>
      <c r="BJ237" s="558"/>
      <c r="BK237" s="587" t="s">
        <v>230</v>
      </c>
      <c r="BL237" s="558"/>
      <c r="BM237" s="49"/>
      <c r="BN237" s="429"/>
      <c r="BO237" s="485"/>
      <c r="BP237" s="596" t="s">
        <v>230</v>
      </c>
      <c r="BQ237" s="485"/>
      <c r="BR237" s="49"/>
      <c r="BS237" s="353"/>
      <c r="BT237" s="472"/>
      <c r="BU237" s="586" t="s">
        <v>230</v>
      </c>
      <c r="BV237" s="472"/>
      <c r="BW237" s="49"/>
      <c r="BX237" s="368"/>
      <c r="BY237" s="578"/>
      <c r="BZ237" s="593" t="s">
        <v>230</v>
      </c>
      <c r="CA237" s="578"/>
      <c r="CB237" s="49"/>
      <c r="CC237" s="388"/>
      <c r="CD237" s="488"/>
      <c r="CE237" s="595" t="s">
        <v>230</v>
      </c>
      <c r="CF237" s="595"/>
      <c r="CG237" s="49"/>
      <c r="CH237" s="402"/>
      <c r="CI237" s="439"/>
      <c r="CJ237" s="867" t="s">
        <v>230</v>
      </c>
      <c r="CK237" s="439"/>
      <c r="CL237" s="49"/>
      <c r="CM237" s="402"/>
      <c r="CN237" s="439"/>
      <c r="CO237" s="867" t="s">
        <v>230</v>
      </c>
      <c r="CP237" s="672"/>
      <c r="CQ237" s="49"/>
      <c r="CR237" s="419"/>
      <c r="CS237" s="487"/>
      <c r="CT237" s="575" t="s">
        <v>230</v>
      </c>
      <c r="CU237" s="729"/>
      <c r="CV237" s="49"/>
      <c r="CW237" s="453"/>
      <c r="CX237" s="455"/>
      <c r="CY237" s="631"/>
      <c r="CZ237" s="455"/>
      <c r="DA237" s="49"/>
      <c r="DB237" s="457"/>
      <c r="DC237" s="475"/>
      <c r="DD237" s="632"/>
      <c r="DE237" s="475"/>
      <c r="DF237" s="49"/>
      <c r="DG237" s="458"/>
      <c r="DH237" s="459"/>
      <c r="DI237" s="633"/>
      <c r="DJ237" s="459"/>
      <c r="DK237" s="49"/>
      <c r="DL237" s="620"/>
      <c r="DM237" s="637"/>
      <c r="DN237" s="637"/>
      <c r="DO237" s="637"/>
      <c r="DP237" s="49"/>
      <c r="DQ237" s="461"/>
      <c r="DR237" s="462"/>
      <c r="DS237" s="462"/>
      <c r="DT237" s="462"/>
      <c r="DU237" s="49"/>
      <c r="DV237" s="463"/>
      <c r="DW237" s="464"/>
      <c r="DX237" s="464"/>
      <c r="DY237" s="464"/>
      <c r="DZ237" s="49"/>
      <c r="EA237" s="465"/>
      <c r="EB237" s="466"/>
      <c r="EC237" s="426"/>
      <c r="ED237" s="456"/>
      <c r="EE237" s="47"/>
      <c r="EF237" s="16"/>
    </row>
    <row r="238" ht="17.25" customHeight="1">
      <c r="A238" s="16"/>
      <c r="B238" s="47"/>
      <c r="C238" s="170"/>
      <c r="D238" s="171"/>
      <c r="E238" s="49"/>
      <c r="F238" s="200"/>
      <c r="G238" s="200"/>
      <c r="H238" s="200" t="s">
        <v>230</v>
      </c>
      <c r="I238" s="200"/>
      <c r="J238" s="200"/>
      <c r="K238" s="200"/>
      <c r="L238" s="476"/>
      <c r="M238" s="200" t="s">
        <v>230</v>
      </c>
      <c r="N238" s="200"/>
      <c r="O238" s="200"/>
      <c r="P238" s="200"/>
      <c r="Q238" s="476"/>
      <c r="R238" s="200" t="s">
        <v>230</v>
      </c>
      <c r="S238" s="200"/>
      <c r="T238" s="200"/>
      <c r="U238" s="200"/>
      <c r="V238" s="476"/>
      <c r="W238" s="200" t="s">
        <v>230</v>
      </c>
      <c r="X238" s="200"/>
      <c r="Y238" s="200"/>
      <c r="Z238" s="200"/>
      <c r="AA238" s="476"/>
      <c r="AB238" s="200" t="s">
        <v>230</v>
      </c>
      <c r="AC238" s="200"/>
      <c r="AD238" s="200"/>
      <c r="AE238" s="200"/>
      <c r="AF238" s="200"/>
      <c r="AG238" s="200" t="s">
        <v>230</v>
      </c>
      <c r="AH238" s="200"/>
      <c r="AI238" s="200"/>
      <c r="AJ238" s="200"/>
      <c r="AK238" s="476"/>
      <c r="AL238" s="200" t="s">
        <v>230</v>
      </c>
      <c r="AM238" s="200"/>
      <c r="AN238" s="200"/>
      <c r="AO238" s="200"/>
      <c r="AP238" s="476"/>
      <c r="AQ238" s="200" t="s">
        <v>230</v>
      </c>
      <c r="AR238" s="200"/>
      <c r="AS238" s="200"/>
      <c r="AT238" s="200"/>
      <c r="AU238" s="425"/>
      <c r="AV238" s="545" t="s">
        <v>230</v>
      </c>
      <c r="AW238" s="425"/>
      <c r="AX238" s="49"/>
      <c r="AY238" s="296"/>
      <c r="AZ238" s="541"/>
      <c r="BA238" s="554" t="s">
        <v>230</v>
      </c>
      <c r="BB238" s="541"/>
      <c r="BC238" s="49"/>
      <c r="BD238" s="327"/>
      <c r="BE238" s="556"/>
      <c r="BF238" s="557" t="s">
        <v>230</v>
      </c>
      <c r="BG238" s="556"/>
      <c r="BH238" s="49"/>
      <c r="BI238" s="346"/>
      <c r="BJ238" s="558"/>
      <c r="BK238" s="587" t="s">
        <v>230</v>
      </c>
      <c r="BL238" s="558"/>
      <c r="BM238" s="49"/>
      <c r="BN238" s="429"/>
      <c r="BO238" s="485"/>
      <c r="BP238" s="596" t="s">
        <v>230</v>
      </c>
      <c r="BQ238" s="485"/>
      <c r="BR238" s="49"/>
      <c r="BS238" s="353"/>
      <c r="BT238" s="472"/>
      <c r="BU238" s="586" t="s">
        <v>230</v>
      </c>
      <c r="BV238" s="472"/>
      <c r="BW238" s="49"/>
      <c r="BX238" s="368"/>
      <c r="BY238" s="578"/>
      <c r="BZ238" s="593" t="s">
        <v>230</v>
      </c>
      <c r="CA238" s="578"/>
      <c r="CB238" s="49"/>
      <c r="CC238" s="388"/>
      <c r="CD238" s="488"/>
      <c r="CE238" s="595" t="s">
        <v>230</v>
      </c>
      <c r="CF238" s="595"/>
      <c r="CG238" s="49"/>
      <c r="CH238" s="402"/>
      <c r="CI238" s="439"/>
      <c r="CJ238" s="867" t="s">
        <v>230</v>
      </c>
      <c r="CK238" s="439"/>
      <c r="CL238" s="49"/>
      <c r="CM238" s="402"/>
      <c r="CN238" s="439"/>
      <c r="CO238" s="867" t="s">
        <v>230</v>
      </c>
      <c r="CP238" s="672"/>
      <c r="CQ238" s="49"/>
      <c r="CR238" s="419"/>
      <c r="CS238" s="487"/>
      <c r="CT238" s="575" t="s">
        <v>230</v>
      </c>
      <c r="CU238" s="729"/>
      <c r="CV238" s="49"/>
      <c r="CW238" s="453"/>
      <c r="CX238" s="455"/>
      <c r="CY238" s="631"/>
      <c r="CZ238" s="455"/>
      <c r="DA238" s="49"/>
      <c r="DB238" s="457"/>
      <c r="DC238" s="475"/>
      <c r="DD238" s="632"/>
      <c r="DE238" s="475"/>
      <c r="DF238" s="49"/>
      <c r="DG238" s="458"/>
      <c r="DH238" s="459"/>
      <c r="DI238" s="633"/>
      <c r="DJ238" s="459"/>
      <c r="DK238" s="49"/>
      <c r="DL238" s="620"/>
      <c r="DM238" s="637"/>
      <c r="DN238" s="637"/>
      <c r="DO238" s="637"/>
      <c r="DP238" s="49"/>
      <c r="DQ238" s="461"/>
      <c r="DR238" s="462"/>
      <c r="DS238" s="462"/>
      <c r="DT238" s="462"/>
      <c r="DU238" s="49"/>
      <c r="DV238" s="463"/>
      <c r="DW238" s="464"/>
      <c r="DX238" s="464"/>
      <c r="DY238" s="464"/>
      <c r="DZ238" s="49"/>
      <c r="EA238" s="465"/>
      <c r="EB238" s="466"/>
      <c r="EC238" s="426"/>
      <c r="ED238" s="456"/>
      <c r="EE238" s="47"/>
      <c r="EF238" s="16"/>
    </row>
    <row r="239" ht="17.25" customHeight="1">
      <c r="A239" s="16"/>
      <c r="B239" s="47"/>
      <c r="C239" s="170"/>
      <c r="D239" s="171"/>
      <c r="E239" s="49"/>
      <c r="F239" s="200"/>
      <c r="G239" s="200"/>
      <c r="H239" s="200" t="s">
        <v>230</v>
      </c>
      <c r="I239" s="200"/>
      <c r="J239" s="200"/>
      <c r="K239" s="200"/>
      <c r="L239" s="476"/>
      <c r="M239" s="200" t="s">
        <v>230</v>
      </c>
      <c r="N239" s="200"/>
      <c r="O239" s="200"/>
      <c r="P239" s="200"/>
      <c r="Q239" s="476"/>
      <c r="R239" s="200" t="s">
        <v>230</v>
      </c>
      <c r="S239" s="200"/>
      <c r="T239" s="200"/>
      <c r="U239" s="200"/>
      <c r="V239" s="476"/>
      <c r="W239" s="200" t="s">
        <v>230</v>
      </c>
      <c r="X239" s="200"/>
      <c r="Y239" s="200"/>
      <c r="Z239" s="200"/>
      <c r="AA239" s="476"/>
      <c r="AB239" s="200" t="s">
        <v>230</v>
      </c>
      <c r="AC239" s="200"/>
      <c r="AD239" s="200"/>
      <c r="AE239" s="200"/>
      <c r="AF239" s="200"/>
      <c r="AG239" s="200" t="s">
        <v>230</v>
      </c>
      <c r="AH239" s="200"/>
      <c r="AI239" s="200"/>
      <c r="AJ239" s="200"/>
      <c r="AK239" s="476"/>
      <c r="AL239" s="200" t="s">
        <v>230</v>
      </c>
      <c r="AM239" s="200"/>
      <c r="AN239" s="200"/>
      <c r="AO239" s="200"/>
      <c r="AP239" s="476"/>
      <c r="AQ239" s="200" t="s">
        <v>230</v>
      </c>
      <c r="AR239" s="200"/>
      <c r="AS239" s="200"/>
      <c r="AT239" s="200"/>
      <c r="AU239" s="425"/>
      <c r="AV239" s="545" t="s">
        <v>230</v>
      </c>
      <c r="AW239" s="425"/>
      <c r="AX239" s="49"/>
      <c r="AY239" s="296"/>
      <c r="AZ239" s="541"/>
      <c r="BA239" s="554" t="s">
        <v>230</v>
      </c>
      <c r="BB239" s="541"/>
      <c r="BC239" s="49"/>
      <c r="BD239" s="327"/>
      <c r="BE239" s="556"/>
      <c r="BF239" s="557" t="s">
        <v>230</v>
      </c>
      <c r="BG239" s="556"/>
      <c r="BH239" s="49"/>
      <c r="BI239" s="346"/>
      <c r="BJ239" s="558"/>
      <c r="BK239" s="587" t="s">
        <v>230</v>
      </c>
      <c r="BL239" s="558"/>
      <c r="BM239" s="49"/>
      <c r="BN239" s="429"/>
      <c r="BO239" s="485"/>
      <c r="BP239" s="596" t="s">
        <v>230</v>
      </c>
      <c r="BQ239" s="485"/>
      <c r="BR239" s="49"/>
      <c r="BS239" s="353"/>
      <c r="BT239" s="472"/>
      <c r="BU239" s="586" t="s">
        <v>230</v>
      </c>
      <c r="BV239" s="472"/>
      <c r="BW239" s="49"/>
      <c r="BX239" s="368"/>
      <c r="BY239" s="578"/>
      <c r="BZ239" s="593" t="s">
        <v>230</v>
      </c>
      <c r="CA239" s="578"/>
      <c r="CB239" s="49"/>
      <c r="CC239" s="388"/>
      <c r="CD239" s="488"/>
      <c r="CE239" s="595" t="s">
        <v>230</v>
      </c>
      <c r="CF239" s="595"/>
      <c r="CG239" s="49"/>
      <c r="CH239" s="402"/>
      <c r="CI239" s="439"/>
      <c r="CJ239" s="867" t="s">
        <v>230</v>
      </c>
      <c r="CK239" s="439"/>
      <c r="CL239" s="49"/>
      <c r="CM239" s="402"/>
      <c r="CN239" s="439"/>
      <c r="CO239" s="867" t="s">
        <v>230</v>
      </c>
      <c r="CP239" s="672"/>
      <c r="CQ239" s="49"/>
      <c r="CR239" s="419"/>
      <c r="CS239" s="487"/>
      <c r="CT239" s="575" t="s">
        <v>230</v>
      </c>
      <c r="CU239" s="729"/>
      <c r="CV239" s="49"/>
      <c r="CW239" s="453"/>
      <c r="CX239" s="455"/>
      <c r="CY239" s="631"/>
      <c r="CZ239" s="455"/>
      <c r="DA239" s="49"/>
      <c r="DB239" s="457"/>
      <c r="DC239" s="475"/>
      <c r="DD239" s="632"/>
      <c r="DE239" s="475"/>
      <c r="DF239" s="49"/>
      <c r="DG239" s="458"/>
      <c r="DH239" s="459"/>
      <c r="DI239" s="633"/>
      <c r="DJ239" s="459"/>
      <c r="DK239" s="49"/>
      <c r="DL239" s="620"/>
      <c r="DM239" s="637"/>
      <c r="DN239" s="637"/>
      <c r="DO239" s="637"/>
      <c r="DP239" s="49"/>
      <c r="DQ239" s="461"/>
      <c r="DR239" s="462"/>
      <c r="DS239" s="462"/>
      <c r="DT239" s="462"/>
      <c r="DU239" s="49"/>
      <c r="DV239" s="463"/>
      <c r="DW239" s="464"/>
      <c r="DX239" s="464"/>
      <c r="DY239" s="464"/>
      <c r="DZ239" s="49"/>
      <c r="EA239" s="465"/>
      <c r="EB239" s="466"/>
      <c r="EC239" s="426"/>
      <c r="ED239" s="456"/>
      <c r="EE239" s="47"/>
      <c r="EF239" s="16"/>
    </row>
    <row r="240" ht="17.25" customHeight="1">
      <c r="A240" s="16"/>
      <c r="B240" s="47"/>
      <c r="C240" s="170"/>
      <c r="D240" s="171"/>
      <c r="E240" s="49"/>
      <c r="F240" s="200"/>
      <c r="G240" s="200"/>
      <c r="H240" s="200" t="s">
        <v>230</v>
      </c>
      <c r="I240" s="200"/>
      <c r="J240" s="200"/>
      <c r="K240" s="200"/>
      <c r="L240" s="476"/>
      <c r="M240" s="200" t="s">
        <v>230</v>
      </c>
      <c r="N240" s="200"/>
      <c r="O240" s="200"/>
      <c r="P240" s="200"/>
      <c r="Q240" s="476"/>
      <c r="R240" s="200" t="s">
        <v>230</v>
      </c>
      <c r="S240" s="200"/>
      <c r="T240" s="200"/>
      <c r="U240" s="200"/>
      <c r="V240" s="476"/>
      <c r="W240" s="200" t="s">
        <v>230</v>
      </c>
      <c r="X240" s="200"/>
      <c r="Y240" s="200"/>
      <c r="Z240" s="200"/>
      <c r="AA240" s="476"/>
      <c r="AB240" s="200" t="s">
        <v>230</v>
      </c>
      <c r="AC240" s="200"/>
      <c r="AD240" s="200"/>
      <c r="AE240" s="200"/>
      <c r="AF240" s="200"/>
      <c r="AG240" s="200" t="s">
        <v>230</v>
      </c>
      <c r="AH240" s="200"/>
      <c r="AI240" s="200"/>
      <c r="AJ240" s="200"/>
      <c r="AK240" s="476"/>
      <c r="AL240" s="200" t="s">
        <v>230</v>
      </c>
      <c r="AM240" s="200"/>
      <c r="AN240" s="200"/>
      <c r="AO240" s="200"/>
      <c r="AP240" s="476"/>
      <c r="AQ240" s="200" t="s">
        <v>230</v>
      </c>
      <c r="AR240" s="200"/>
      <c r="AS240" s="200"/>
      <c r="AT240" s="200"/>
      <c r="AU240" s="425"/>
      <c r="AV240" s="545" t="s">
        <v>230</v>
      </c>
      <c r="AW240" s="425"/>
      <c r="AX240" s="49"/>
      <c r="AY240" s="296"/>
      <c r="AZ240" s="541"/>
      <c r="BA240" s="554" t="s">
        <v>230</v>
      </c>
      <c r="BB240" s="541"/>
      <c r="BC240" s="49"/>
      <c r="BD240" s="327"/>
      <c r="BE240" s="556"/>
      <c r="BF240" s="557" t="s">
        <v>230</v>
      </c>
      <c r="BG240" s="556"/>
      <c r="BH240" s="49"/>
      <c r="BI240" s="346"/>
      <c r="BJ240" s="558"/>
      <c r="BK240" s="587" t="s">
        <v>230</v>
      </c>
      <c r="BL240" s="558"/>
      <c r="BM240" s="49"/>
      <c r="BN240" s="429"/>
      <c r="BO240" s="485"/>
      <c r="BP240" s="596" t="s">
        <v>230</v>
      </c>
      <c r="BQ240" s="485"/>
      <c r="BR240" s="49"/>
      <c r="BS240" s="353"/>
      <c r="BT240" s="472"/>
      <c r="BU240" s="586" t="s">
        <v>230</v>
      </c>
      <c r="BV240" s="472"/>
      <c r="BW240" s="49"/>
      <c r="BX240" s="368"/>
      <c r="BY240" s="578"/>
      <c r="BZ240" s="593" t="s">
        <v>230</v>
      </c>
      <c r="CA240" s="578"/>
      <c r="CB240" s="49"/>
      <c r="CC240" s="388"/>
      <c r="CD240" s="488"/>
      <c r="CE240" s="595" t="s">
        <v>230</v>
      </c>
      <c r="CF240" s="595"/>
      <c r="CG240" s="49"/>
      <c r="CH240" s="402"/>
      <c r="CI240" s="439"/>
      <c r="CJ240" s="867" t="s">
        <v>230</v>
      </c>
      <c r="CK240" s="439"/>
      <c r="CL240" s="49"/>
      <c r="CM240" s="402"/>
      <c r="CN240" s="439"/>
      <c r="CO240" s="867" t="s">
        <v>230</v>
      </c>
      <c r="CP240" s="672"/>
      <c r="CQ240" s="49"/>
      <c r="CR240" s="419"/>
      <c r="CS240" s="487"/>
      <c r="CT240" s="575" t="s">
        <v>230</v>
      </c>
      <c r="CU240" s="729"/>
      <c r="CV240" s="49"/>
      <c r="CW240" s="453"/>
      <c r="CX240" s="455"/>
      <c r="CY240" s="631"/>
      <c r="CZ240" s="455"/>
      <c r="DA240" s="49"/>
      <c r="DB240" s="457"/>
      <c r="DC240" s="475"/>
      <c r="DD240" s="632"/>
      <c r="DE240" s="475"/>
      <c r="DF240" s="49"/>
      <c r="DG240" s="458"/>
      <c r="DH240" s="459"/>
      <c r="DI240" s="633"/>
      <c r="DJ240" s="459"/>
      <c r="DK240" s="49"/>
      <c r="DL240" s="620"/>
      <c r="DM240" s="637"/>
      <c r="DN240" s="637"/>
      <c r="DO240" s="637"/>
      <c r="DP240" s="49"/>
      <c r="DQ240" s="461"/>
      <c r="DR240" s="462"/>
      <c r="DS240" s="462"/>
      <c r="DT240" s="462"/>
      <c r="DU240" s="49"/>
      <c r="DV240" s="463"/>
      <c r="DW240" s="464"/>
      <c r="DX240" s="464"/>
      <c r="DY240" s="464"/>
      <c r="DZ240" s="49"/>
      <c r="EA240" s="465"/>
      <c r="EB240" s="466"/>
      <c r="EC240" s="426"/>
      <c r="ED240" s="456"/>
      <c r="EE240" s="47"/>
      <c r="EF240" s="16"/>
    </row>
    <row r="241" ht="17.25" customHeight="1">
      <c r="A241" s="16"/>
      <c r="B241" s="47"/>
      <c r="C241" s="170"/>
      <c r="D241" s="171"/>
      <c r="E241" s="49"/>
      <c r="F241" s="200"/>
      <c r="G241" s="200"/>
      <c r="H241" s="200" t="s">
        <v>230</v>
      </c>
      <c r="I241" s="200"/>
      <c r="J241" s="200"/>
      <c r="K241" s="200"/>
      <c r="L241" s="476"/>
      <c r="M241" s="200" t="s">
        <v>230</v>
      </c>
      <c r="N241" s="200"/>
      <c r="O241" s="200"/>
      <c r="P241" s="200"/>
      <c r="Q241" s="476"/>
      <c r="R241" s="200" t="s">
        <v>230</v>
      </c>
      <c r="S241" s="200"/>
      <c r="T241" s="200"/>
      <c r="U241" s="200"/>
      <c r="V241" s="476"/>
      <c r="W241" s="200" t="s">
        <v>230</v>
      </c>
      <c r="X241" s="200"/>
      <c r="Y241" s="200"/>
      <c r="Z241" s="200"/>
      <c r="AA241" s="476"/>
      <c r="AB241" s="200" t="s">
        <v>230</v>
      </c>
      <c r="AC241" s="200"/>
      <c r="AD241" s="200"/>
      <c r="AE241" s="200"/>
      <c r="AF241" s="200"/>
      <c r="AG241" s="200" t="s">
        <v>230</v>
      </c>
      <c r="AH241" s="200"/>
      <c r="AI241" s="200"/>
      <c r="AJ241" s="200"/>
      <c r="AK241" s="476"/>
      <c r="AL241" s="200" t="s">
        <v>230</v>
      </c>
      <c r="AM241" s="200"/>
      <c r="AN241" s="200"/>
      <c r="AO241" s="200"/>
      <c r="AP241" s="476"/>
      <c r="AQ241" s="200" t="s">
        <v>230</v>
      </c>
      <c r="AR241" s="200"/>
      <c r="AS241" s="200"/>
      <c r="AT241" s="200"/>
      <c r="AU241" s="425"/>
      <c r="AV241" s="545" t="s">
        <v>230</v>
      </c>
      <c r="AW241" s="425"/>
      <c r="AX241" s="49"/>
      <c r="AY241" s="296"/>
      <c r="AZ241" s="541"/>
      <c r="BA241" s="554" t="s">
        <v>230</v>
      </c>
      <c r="BB241" s="541"/>
      <c r="BC241" s="49"/>
      <c r="BD241" s="327"/>
      <c r="BE241" s="556"/>
      <c r="BF241" s="557" t="s">
        <v>230</v>
      </c>
      <c r="BG241" s="556"/>
      <c r="BH241" s="49"/>
      <c r="BI241" s="346"/>
      <c r="BJ241" s="558"/>
      <c r="BK241" s="587" t="s">
        <v>230</v>
      </c>
      <c r="BL241" s="558"/>
      <c r="BM241" s="49"/>
      <c r="BN241" s="429"/>
      <c r="BO241" s="485"/>
      <c r="BP241" s="596" t="s">
        <v>230</v>
      </c>
      <c r="BQ241" s="485"/>
      <c r="BR241" s="49"/>
      <c r="BS241" s="353"/>
      <c r="BT241" s="472"/>
      <c r="BU241" s="586" t="s">
        <v>230</v>
      </c>
      <c r="BV241" s="472"/>
      <c r="BW241" s="49"/>
      <c r="BX241" s="368"/>
      <c r="BY241" s="578"/>
      <c r="BZ241" s="593" t="s">
        <v>230</v>
      </c>
      <c r="CA241" s="578"/>
      <c r="CB241" s="49"/>
      <c r="CC241" s="388"/>
      <c r="CD241" s="488"/>
      <c r="CE241" s="595" t="s">
        <v>230</v>
      </c>
      <c r="CF241" s="595"/>
      <c r="CG241" s="49"/>
      <c r="CH241" s="402"/>
      <c r="CI241" s="439"/>
      <c r="CJ241" s="867" t="s">
        <v>230</v>
      </c>
      <c r="CK241" s="439"/>
      <c r="CL241" s="49"/>
      <c r="CM241" s="402"/>
      <c r="CN241" s="439"/>
      <c r="CO241" s="867" t="s">
        <v>230</v>
      </c>
      <c r="CP241" s="672"/>
      <c r="CQ241" s="49"/>
      <c r="CR241" s="419"/>
      <c r="CS241" s="487"/>
      <c r="CT241" s="575" t="s">
        <v>230</v>
      </c>
      <c r="CU241" s="729"/>
      <c r="CV241" s="49"/>
      <c r="CW241" s="453"/>
      <c r="CX241" s="455"/>
      <c r="CY241" s="631"/>
      <c r="CZ241" s="455"/>
      <c r="DA241" s="49"/>
      <c r="DB241" s="457"/>
      <c r="DC241" s="475"/>
      <c r="DD241" s="632"/>
      <c r="DE241" s="475"/>
      <c r="DF241" s="49"/>
      <c r="DG241" s="458"/>
      <c r="DH241" s="459"/>
      <c r="DI241" s="633"/>
      <c r="DJ241" s="459"/>
      <c r="DK241" s="49"/>
      <c r="DL241" s="620"/>
      <c r="DM241" s="637"/>
      <c r="DN241" s="637"/>
      <c r="DO241" s="637"/>
      <c r="DP241" s="49"/>
      <c r="DQ241" s="461"/>
      <c r="DR241" s="462"/>
      <c r="DS241" s="462"/>
      <c r="DT241" s="462"/>
      <c r="DU241" s="49"/>
      <c r="DV241" s="463"/>
      <c r="DW241" s="464"/>
      <c r="DX241" s="464"/>
      <c r="DY241" s="464"/>
      <c r="DZ241" s="49"/>
      <c r="EA241" s="465"/>
      <c r="EB241" s="466"/>
      <c r="EC241" s="426"/>
      <c r="ED241" s="456"/>
      <c r="EE241" s="446"/>
      <c r="EF241" s="16"/>
    </row>
    <row r="242" ht="17.25" customHeight="1">
      <c r="A242" s="16"/>
      <c r="B242" s="47"/>
      <c r="C242" s="170"/>
      <c r="D242" s="171"/>
      <c r="E242" s="49"/>
      <c r="F242" s="200"/>
      <c r="G242" s="200"/>
      <c r="H242" s="200" t="s">
        <v>230</v>
      </c>
      <c r="I242" s="200"/>
      <c r="J242" s="200"/>
      <c r="K242" s="200"/>
      <c r="L242" s="476"/>
      <c r="M242" s="200" t="s">
        <v>230</v>
      </c>
      <c r="N242" s="200"/>
      <c r="O242" s="200"/>
      <c r="P242" s="200"/>
      <c r="Q242" s="476"/>
      <c r="R242" s="200" t="s">
        <v>230</v>
      </c>
      <c r="S242" s="200"/>
      <c r="T242" s="200"/>
      <c r="U242" s="200"/>
      <c r="V242" s="476"/>
      <c r="W242" s="200" t="s">
        <v>230</v>
      </c>
      <c r="X242" s="200"/>
      <c r="Y242" s="200"/>
      <c r="Z242" s="200"/>
      <c r="AA242" s="476"/>
      <c r="AB242" s="200" t="s">
        <v>230</v>
      </c>
      <c r="AC242" s="200"/>
      <c r="AD242" s="200"/>
      <c r="AE242" s="200"/>
      <c r="AF242" s="200"/>
      <c r="AG242" s="200" t="s">
        <v>230</v>
      </c>
      <c r="AH242" s="200"/>
      <c r="AI242" s="200"/>
      <c r="AJ242" s="200"/>
      <c r="AK242" s="476"/>
      <c r="AL242" s="200" t="s">
        <v>230</v>
      </c>
      <c r="AM242" s="200"/>
      <c r="AN242" s="200"/>
      <c r="AO242" s="200"/>
      <c r="AP242" s="476"/>
      <c r="AQ242" s="200" t="s">
        <v>230</v>
      </c>
      <c r="AR242" s="200"/>
      <c r="AS242" s="200"/>
      <c r="AT242" s="200"/>
      <c r="AU242" s="425"/>
      <c r="AV242" s="545" t="s">
        <v>230</v>
      </c>
      <c r="AW242" s="425"/>
      <c r="AX242" s="49"/>
      <c r="AY242" s="296"/>
      <c r="AZ242" s="541"/>
      <c r="BA242" s="554" t="s">
        <v>230</v>
      </c>
      <c r="BB242" s="541"/>
      <c r="BC242" s="49"/>
      <c r="BD242" s="327"/>
      <c r="BE242" s="556"/>
      <c r="BF242" s="557" t="s">
        <v>230</v>
      </c>
      <c r="BG242" s="556"/>
      <c r="BH242" s="49"/>
      <c r="BI242" s="346"/>
      <c r="BJ242" s="558"/>
      <c r="BK242" s="587" t="s">
        <v>230</v>
      </c>
      <c r="BL242" s="558"/>
      <c r="BM242" s="49"/>
      <c r="BN242" s="429"/>
      <c r="BO242" s="485"/>
      <c r="BP242" s="596" t="s">
        <v>230</v>
      </c>
      <c r="BQ242" s="485"/>
      <c r="BR242" s="49"/>
      <c r="BS242" s="353"/>
      <c r="BT242" s="472"/>
      <c r="BU242" s="586" t="s">
        <v>230</v>
      </c>
      <c r="BV242" s="472"/>
      <c r="BW242" s="49"/>
      <c r="BX242" s="368"/>
      <c r="BY242" s="578"/>
      <c r="BZ242" s="593" t="s">
        <v>230</v>
      </c>
      <c r="CA242" s="578"/>
      <c r="CB242" s="49"/>
      <c r="CC242" s="388"/>
      <c r="CD242" s="488"/>
      <c r="CE242" s="595" t="s">
        <v>230</v>
      </c>
      <c r="CF242" s="595"/>
      <c r="CG242" s="49"/>
      <c r="CH242" s="402"/>
      <c r="CI242" s="439"/>
      <c r="CJ242" s="867" t="s">
        <v>230</v>
      </c>
      <c r="CK242" s="439"/>
      <c r="CL242" s="49"/>
      <c r="CM242" s="402"/>
      <c r="CN242" s="439"/>
      <c r="CO242" s="867" t="s">
        <v>230</v>
      </c>
      <c r="CP242" s="672"/>
      <c r="CQ242" s="49"/>
      <c r="CR242" s="419"/>
      <c r="CS242" s="487"/>
      <c r="CT242" s="575" t="s">
        <v>230</v>
      </c>
      <c r="CU242" s="729"/>
      <c r="CV242" s="49"/>
      <c r="CW242" s="453"/>
      <c r="CX242" s="455"/>
      <c r="CY242" s="631"/>
      <c r="CZ242" s="455"/>
      <c r="DA242" s="49"/>
      <c r="DB242" s="457"/>
      <c r="DC242" s="475"/>
      <c r="DD242" s="632"/>
      <c r="DE242" s="475"/>
      <c r="DF242" s="49"/>
      <c r="DG242" s="458"/>
      <c r="DH242" s="459"/>
      <c r="DI242" s="633"/>
      <c r="DJ242" s="459"/>
      <c r="DK242" s="49"/>
      <c r="DL242" s="620"/>
      <c r="DM242" s="637"/>
      <c r="DN242" s="637"/>
      <c r="DO242" s="637"/>
      <c r="DP242" s="49"/>
      <c r="DQ242" s="461"/>
      <c r="DR242" s="462"/>
      <c r="DS242" s="462"/>
      <c r="DT242" s="462"/>
      <c r="DU242" s="49"/>
      <c r="DV242" s="463"/>
      <c r="DW242" s="464"/>
      <c r="DX242" s="464"/>
      <c r="DY242" s="464"/>
      <c r="DZ242" s="49"/>
      <c r="EA242" s="465"/>
      <c r="EB242" s="466"/>
      <c r="EC242" s="426"/>
      <c r="ED242" s="456"/>
      <c r="EE242" s="446"/>
      <c r="EF242" s="16"/>
    </row>
    <row r="243" ht="17.25" customHeight="1">
      <c r="A243" s="5"/>
      <c r="B243" s="5"/>
      <c r="C243" s="41"/>
      <c r="D243" s="41"/>
      <c r="E243" s="41"/>
      <c r="F243" s="41"/>
      <c r="G243" s="41"/>
      <c r="H243" s="41" t="s">
        <v>230</v>
      </c>
      <c r="I243" s="41"/>
      <c r="J243" s="41"/>
      <c r="K243" s="41"/>
      <c r="L243" s="44"/>
      <c r="M243" s="41" t="s">
        <v>230</v>
      </c>
      <c r="N243" s="41"/>
      <c r="O243" s="41"/>
      <c r="P243" s="41"/>
      <c r="Q243" s="44"/>
      <c r="R243" s="41" t="s">
        <v>230</v>
      </c>
      <c r="S243" s="41"/>
      <c r="T243" s="41"/>
      <c r="U243" s="41"/>
      <c r="V243" s="44"/>
      <c r="W243" s="41" t="s">
        <v>230</v>
      </c>
      <c r="X243" s="41"/>
      <c r="Y243" s="41"/>
      <c r="Z243" s="41"/>
      <c r="AA243" s="44"/>
      <c r="AB243" s="41" t="s">
        <v>230</v>
      </c>
      <c r="AC243" s="41"/>
      <c r="AD243" s="41"/>
      <c r="AE243" s="41"/>
      <c r="AF243" s="41"/>
      <c r="AG243" s="41" t="s">
        <v>230</v>
      </c>
      <c r="AH243" s="41"/>
      <c r="AI243" s="41"/>
      <c r="AJ243" s="41"/>
      <c r="AK243" s="44"/>
      <c r="AL243" s="41" t="s">
        <v>230</v>
      </c>
      <c r="AM243" s="41"/>
      <c r="AN243" s="41"/>
      <c r="AO243" s="41"/>
      <c r="AP243" s="44"/>
      <c r="AQ243" s="41" t="s">
        <v>230</v>
      </c>
      <c r="AR243" s="41"/>
      <c r="AS243" s="41"/>
      <c r="AT243" s="41"/>
      <c r="AU243" s="44"/>
      <c r="AV243" s="41" t="s">
        <v>230</v>
      </c>
      <c r="AW243" s="44"/>
      <c r="AX243" s="47"/>
      <c r="AY243" s="49"/>
      <c r="AZ243" s="51"/>
      <c r="BA243" s="49" t="s">
        <v>230</v>
      </c>
      <c r="BB243" s="51"/>
      <c r="BC243" s="47"/>
      <c r="BD243" s="49"/>
      <c r="BE243" s="51"/>
      <c r="BF243" s="49" t="s">
        <v>230</v>
      </c>
      <c r="BG243" s="51"/>
      <c r="BH243" s="47"/>
      <c r="BI243" s="49"/>
      <c r="BJ243" s="51"/>
      <c r="BK243" s="49" t="s">
        <v>230</v>
      </c>
      <c r="BL243" s="51"/>
      <c r="BM243" s="47"/>
      <c r="BN243" s="53"/>
      <c r="BO243" s="54"/>
      <c r="BP243" s="53" t="s">
        <v>230</v>
      </c>
      <c r="BQ243" s="54"/>
      <c r="BR243" s="53"/>
      <c r="BS243" s="53"/>
      <c r="BT243" s="54"/>
      <c r="BU243" s="53" t="s">
        <v>230</v>
      </c>
      <c r="BV243" s="54"/>
      <c r="BW243" s="53"/>
      <c r="BX243" s="53"/>
      <c r="BY243" s="54"/>
      <c r="BZ243" s="53" t="s">
        <v>230</v>
      </c>
      <c r="CA243" s="54"/>
      <c r="CB243" s="53"/>
      <c r="CC243" s="53"/>
      <c r="CD243" s="54"/>
      <c r="CE243" s="53" t="s">
        <v>230</v>
      </c>
      <c r="CF243" s="53"/>
      <c r="CG243" s="53"/>
      <c r="CH243" s="53"/>
      <c r="CI243" s="54"/>
      <c r="CJ243" s="53" t="s">
        <v>230</v>
      </c>
      <c r="CK243" s="54"/>
      <c r="CL243" s="53"/>
      <c r="CM243" s="53"/>
      <c r="CN243" s="54"/>
      <c r="CO243" s="53" t="s">
        <v>230</v>
      </c>
      <c r="CP243" s="53"/>
      <c r="CQ243" s="53"/>
      <c r="CR243" s="419"/>
      <c r="CS243" s="487"/>
      <c r="CT243" s="575" t="s">
        <v>230</v>
      </c>
      <c r="CU243" s="53"/>
      <c r="CV243" s="53"/>
      <c r="CW243" s="53"/>
      <c r="CX243" s="54"/>
      <c r="CY243" s="53"/>
      <c r="CZ243" s="54"/>
      <c r="DA243" s="53"/>
      <c r="DB243" s="53"/>
      <c r="DC243" s="54"/>
      <c r="DD243" s="53"/>
      <c r="DE243" s="54"/>
      <c r="DF243" s="53"/>
      <c r="DG243" s="53"/>
      <c r="DH243" s="54"/>
      <c r="DI243" s="53"/>
      <c r="DJ243" s="54"/>
      <c r="DK243" s="53"/>
      <c r="DL243" s="53"/>
      <c r="DM243" s="54"/>
      <c r="DN243" s="54"/>
      <c r="DO243" s="54"/>
      <c r="DP243" s="53"/>
      <c r="DQ243" s="53"/>
      <c r="DR243" s="54"/>
      <c r="DS243" s="54"/>
      <c r="DT243" s="54"/>
      <c r="DU243" s="53"/>
      <c r="DV243" s="53"/>
      <c r="DW243" s="54"/>
      <c r="DX243" s="54"/>
      <c r="DY243" s="54"/>
      <c r="DZ243" s="24"/>
      <c r="EA243" s="983"/>
      <c r="EB243" s="985"/>
      <c r="EC243" s="426"/>
      <c r="ED243" s="456"/>
      <c r="EE243" s="446"/>
      <c r="EF243" s="16"/>
    </row>
    <row r="244" ht="17.25" customHeight="1">
      <c r="A244" s="5"/>
      <c r="B244" s="5"/>
      <c r="C244" s="41"/>
      <c r="D244" s="41"/>
      <c r="E244" s="41"/>
      <c r="F244" s="41"/>
      <c r="G244" s="41"/>
      <c r="H244" s="41" t="s">
        <v>230</v>
      </c>
      <c r="I244" s="41"/>
      <c r="J244" s="41"/>
      <c r="K244" s="41"/>
      <c r="L244" s="44"/>
      <c r="M244" s="41" t="s">
        <v>230</v>
      </c>
      <c r="N244" s="41"/>
      <c r="O244" s="41"/>
      <c r="P244" s="41"/>
      <c r="Q244" s="44"/>
      <c r="R244" s="41" t="s">
        <v>230</v>
      </c>
      <c r="S244" s="41"/>
      <c r="T244" s="41"/>
      <c r="U244" s="41"/>
      <c r="V244" s="44"/>
      <c r="W244" s="41" t="s">
        <v>230</v>
      </c>
      <c r="X244" s="41"/>
      <c r="Y244" s="41"/>
      <c r="Z244" s="41"/>
      <c r="AA244" s="44"/>
      <c r="AB244" s="41" t="s">
        <v>230</v>
      </c>
      <c r="AC244" s="41"/>
      <c r="AD244" s="41"/>
      <c r="AE244" s="41"/>
      <c r="AF244" s="41"/>
      <c r="AG244" s="41" t="s">
        <v>230</v>
      </c>
      <c r="AH244" s="41"/>
      <c r="AI244" s="41"/>
      <c r="AJ244" s="41"/>
      <c r="AK244" s="44"/>
      <c r="AL244" s="41" t="s">
        <v>230</v>
      </c>
      <c r="AM244" s="41"/>
      <c r="AN244" s="41"/>
      <c r="AO244" s="41"/>
      <c r="AP244" s="44"/>
      <c r="AQ244" s="41" t="s">
        <v>230</v>
      </c>
      <c r="AR244" s="41"/>
      <c r="AS244" s="41"/>
      <c r="AT244" s="41"/>
      <c r="AU244" s="44"/>
      <c r="AV244" s="41" t="s">
        <v>230</v>
      </c>
      <c r="AW244" s="44"/>
      <c r="AX244" s="47"/>
      <c r="AY244" s="49"/>
      <c r="AZ244" s="51"/>
      <c r="BA244" s="49" t="s">
        <v>230</v>
      </c>
      <c r="BB244" s="51"/>
      <c r="BC244" s="47"/>
      <c r="BD244" s="49"/>
      <c r="BE244" s="51"/>
      <c r="BF244" s="49" t="s">
        <v>230</v>
      </c>
      <c r="BG244" s="51"/>
      <c r="BH244" s="47"/>
      <c r="BI244" s="49"/>
      <c r="BJ244" s="51"/>
      <c r="BK244" s="49" t="s">
        <v>230</v>
      </c>
      <c r="BL244" s="51"/>
      <c r="BM244" s="47"/>
      <c r="BN244" s="53"/>
      <c r="BO244" s="54"/>
      <c r="BP244" s="53" t="s">
        <v>230</v>
      </c>
      <c r="BQ244" s="54"/>
      <c r="BR244" s="53"/>
      <c r="BS244" s="53"/>
      <c r="BT244" s="54"/>
      <c r="BU244" s="53" t="s">
        <v>230</v>
      </c>
      <c r="BV244" s="54"/>
      <c r="BW244" s="53"/>
      <c r="BX244" s="53"/>
      <c r="BY244" s="54"/>
      <c r="BZ244" s="53" t="s">
        <v>230</v>
      </c>
      <c r="CA244" s="54"/>
      <c r="CB244" s="53"/>
      <c r="CC244" s="53"/>
      <c r="CD244" s="54"/>
      <c r="CE244" s="53" t="s">
        <v>230</v>
      </c>
      <c r="CF244" s="53"/>
      <c r="CG244" s="53"/>
      <c r="CH244" s="53"/>
      <c r="CI244" s="54"/>
      <c r="CJ244" s="53" t="s">
        <v>230</v>
      </c>
      <c r="CK244" s="54"/>
      <c r="CL244" s="53"/>
      <c r="CM244" s="53"/>
      <c r="CN244" s="54"/>
      <c r="CO244" s="53" t="s">
        <v>230</v>
      </c>
      <c r="CP244" s="53"/>
      <c r="CQ244" s="53"/>
      <c r="CR244" s="419"/>
      <c r="CS244" s="487"/>
      <c r="CT244" s="575" t="s">
        <v>230</v>
      </c>
      <c r="CU244" s="53"/>
      <c r="CV244" s="53"/>
      <c r="CW244" s="53"/>
      <c r="CX244" s="54"/>
      <c r="CY244" s="53"/>
      <c r="CZ244" s="54"/>
      <c r="DA244" s="53"/>
      <c r="DB244" s="53"/>
      <c r="DC244" s="54"/>
      <c r="DD244" s="53"/>
      <c r="DE244" s="54"/>
      <c r="DF244" s="53"/>
      <c r="DG244" s="53"/>
      <c r="DH244" s="54"/>
      <c r="DI244" s="53"/>
      <c r="DJ244" s="54"/>
      <c r="DK244" s="53"/>
      <c r="DL244" s="53"/>
      <c r="DM244" s="54"/>
      <c r="DN244" s="54"/>
      <c r="DO244" s="54"/>
      <c r="DP244" s="53"/>
      <c r="DQ244" s="53"/>
      <c r="DR244" s="54"/>
      <c r="DS244" s="54"/>
      <c r="DT244" s="54"/>
      <c r="DU244" s="53"/>
      <c r="DV244" s="53"/>
      <c r="DW244" s="54"/>
      <c r="DX244" s="54"/>
      <c r="DY244" s="54"/>
      <c r="DZ244" s="24"/>
      <c r="EA244" s="983"/>
      <c r="EB244" s="985"/>
      <c r="EC244" s="426"/>
      <c r="ED244" s="456"/>
      <c r="EE244" s="446"/>
      <c r="EF244" s="16"/>
    </row>
    <row r="245" ht="17.25" customHeight="1">
      <c r="A245" s="5"/>
      <c r="B245" s="5"/>
      <c r="C245" s="41"/>
      <c r="D245" s="41"/>
      <c r="E245" s="41"/>
      <c r="F245" s="41"/>
      <c r="G245" s="41"/>
      <c r="H245" s="41" t="s">
        <v>230</v>
      </c>
      <c r="I245" s="41"/>
      <c r="J245" s="41"/>
      <c r="K245" s="41"/>
      <c r="L245" s="44"/>
      <c r="M245" s="41" t="s">
        <v>230</v>
      </c>
      <c r="N245" s="41"/>
      <c r="O245" s="41"/>
      <c r="P245" s="41"/>
      <c r="Q245" s="44"/>
      <c r="R245" s="41" t="s">
        <v>230</v>
      </c>
      <c r="S245" s="41"/>
      <c r="T245" s="41"/>
      <c r="U245" s="41"/>
      <c r="V245" s="44"/>
      <c r="W245" s="41" t="s">
        <v>230</v>
      </c>
      <c r="X245" s="41"/>
      <c r="Y245" s="41"/>
      <c r="Z245" s="41"/>
      <c r="AA245" s="44"/>
      <c r="AB245" s="41" t="s">
        <v>230</v>
      </c>
      <c r="AC245" s="41"/>
      <c r="AD245" s="41"/>
      <c r="AE245" s="41"/>
      <c r="AF245" s="41"/>
      <c r="AG245" s="41" t="s">
        <v>230</v>
      </c>
      <c r="AH245" s="41"/>
      <c r="AI245" s="41"/>
      <c r="AJ245" s="41"/>
      <c r="AK245" s="44"/>
      <c r="AL245" s="41" t="s">
        <v>230</v>
      </c>
      <c r="AM245" s="41"/>
      <c r="AN245" s="41"/>
      <c r="AO245" s="41"/>
      <c r="AP245" s="44"/>
      <c r="AQ245" s="41" t="s">
        <v>230</v>
      </c>
      <c r="AR245" s="41"/>
      <c r="AS245" s="41"/>
      <c r="AT245" s="41"/>
      <c r="AU245" s="44"/>
      <c r="AV245" s="41" t="s">
        <v>230</v>
      </c>
      <c r="AW245" s="44"/>
      <c r="AX245" s="47"/>
      <c r="AY245" s="49"/>
      <c r="AZ245" s="51"/>
      <c r="BA245" s="49" t="s">
        <v>230</v>
      </c>
      <c r="BB245" s="51"/>
      <c r="BC245" s="47"/>
      <c r="BD245" s="49"/>
      <c r="BE245" s="51"/>
      <c r="BF245" s="49" t="s">
        <v>230</v>
      </c>
      <c r="BG245" s="51"/>
      <c r="BH245" s="47"/>
      <c r="BI245" s="49"/>
      <c r="BJ245" s="51"/>
      <c r="BK245" s="49" t="s">
        <v>230</v>
      </c>
      <c r="BL245" s="51"/>
      <c r="BM245" s="47"/>
      <c r="BN245" s="53"/>
      <c r="BO245" s="54"/>
      <c r="BP245" s="53" t="s">
        <v>230</v>
      </c>
      <c r="BQ245" s="54"/>
      <c r="BR245" s="53"/>
      <c r="BS245" s="53"/>
      <c r="BT245" s="54"/>
      <c r="BU245" s="53" t="s">
        <v>230</v>
      </c>
      <c r="BV245" s="54"/>
      <c r="BW245" s="53"/>
      <c r="BX245" s="53"/>
      <c r="BY245" s="54"/>
      <c r="BZ245" s="53" t="s">
        <v>230</v>
      </c>
      <c r="CA245" s="54"/>
      <c r="CB245" s="53"/>
      <c r="CC245" s="53"/>
      <c r="CD245" s="54"/>
      <c r="CE245" s="53" t="s">
        <v>230</v>
      </c>
      <c r="CF245" s="53"/>
      <c r="CG245" s="53"/>
      <c r="CH245" s="53"/>
      <c r="CI245" s="54"/>
      <c r="CJ245" s="53" t="s">
        <v>230</v>
      </c>
      <c r="CK245" s="54"/>
      <c r="CL245" s="53"/>
      <c r="CM245" s="53"/>
      <c r="CN245" s="54"/>
      <c r="CO245" s="53" t="s">
        <v>230</v>
      </c>
      <c r="CP245" s="53"/>
      <c r="CQ245" s="53"/>
      <c r="CR245" s="419"/>
      <c r="CS245" s="487"/>
      <c r="CT245" s="575" t="s">
        <v>230</v>
      </c>
      <c r="CU245" s="53"/>
      <c r="CV245" s="53"/>
      <c r="CW245" s="53"/>
      <c r="CX245" s="54"/>
      <c r="CY245" s="53"/>
      <c r="CZ245" s="54"/>
      <c r="DA245" s="53"/>
      <c r="DB245" s="53"/>
      <c r="DC245" s="54"/>
      <c r="DD245" s="53"/>
      <c r="DE245" s="54"/>
      <c r="DF245" s="53"/>
      <c r="DG245" s="53"/>
      <c r="DH245" s="54"/>
      <c r="DI245" s="53"/>
      <c r="DJ245" s="54"/>
      <c r="DK245" s="53"/>
      <c r="DL245" s="53"/>
      <c r="DM245" s="54"/>
      <c r="DN245" s="54"/>
      <c r="DO245" s="54"/>
      <c r="DP245" s="53"/>
      <c r="DQ245" s="53"/>
      <c r="DR245" s="54"/>
      <c r="DS245" s="54"/>
      <c r="DT245" s="54"/>
      <c r="DU245" s="53"/>
      <c r="DV245" s="53"/>
      <c r="DW245" s="54"/>
      <c r="DX245" s="54"/>
      <c r="DY245" s="54"/>
      <c r="DZ245" s="24"/>
      <c r="EA245" s="983"/>
      <c r="EB245" s="985"/>
      <c r="EC245" s="426"/>
      <c r="ED245" s="456"/>
      <c r="EE245" s="446"/>
      <c r="EF245" s="16"/>
    </row>
    <row r="246" ht="17.25" customHeight="1">
      <c r="A246" s="5"/>
      <c r="B246" s="5"/>
      <c r="C246" s="41"/>
      <c r="D246" s="41"/>
      <c r="E246" s="41"/>
      <c r="F246" s="41"/>
      <c r="G246" s="41"/>
      <c r="H246" s="41" t="s">
        <v>230</v>
      </c>
      <c r="I246" s="41"/>
      <c r="J246" s="41"/>
      <c r="K246" s="41"/>
      <c r="L246" s="44"/>
      <c r="M246" s="41" t="s">
        <v>230</v>
      </c>
      <c r="N246" s="41"/>
      <c r="O246" s="41"/>
      <c r="P246" s="41"/>
      <c r="Q246" s="44"/>
      <c r="R246" s="41" t="s">
        <v>230</v>
      </c>
      <c r="S246" s="41"/>
      <c r="T246" s="41"/>
      <c r="U246" s="41"/>
      <c r="V246" s="44"/>
      <c r="W246" s="41" t="s">
        <v>230</v>
      </c>
      <c r="X246" s="41"/>
      <c r="Y246" s="41"/>
      <c r="Z246" s="41"/>
      <c r="AA246" s="44"/>
      <c r="AB246" s="41" t="s">
        <v>230</v>
      </c>
      <c r="AC246" s="41"/>
      <c r="AD246" s="41"/>
      <c r="AE246" s="41"/>
      <c r="AF246" s="41"/>
      <c r="AG246" s="41" t="s">
        <v>230</v>
      </c>
      <c r="AH246" s="41"/>
      <c r="AI246" s="41"/>
      <c r="AJ246" s="41"/>
      <c r="AK246" s="44"/>
      <c r="AL246" s="41" t="s">
        <v>230</v>
      </c>
      <c r="AM246" s="41"/>
      <c r="AN246" s="41"/>
      <c r="AO246" s="41"/>
      <c r="AP246" s="44"/>
      <c r="AQ246" s="41" t="s">
        <v>230</v>
      </c>
      <c r="AR246" s="41"/>
      <c r="AS246" s="41"/>
      <c r="AT246" s="41"/>
      <c r="AU246" s="44"/>
      <c r="AV246" s="41" t="s">
        <v>230</v>
      </c>
      <c r="AW246" s="44"/>
      <c r="AX246" s="47"/>
      <c r="AY246" s="49"/>
      <c r="AZ246" s="51"/>
      <c r="BA246" s="49" t="s">
        <v>230</v>
      </c>
      <c r="BB246" s="51"/>
      <c r="BC246" s="47"/>
      <c r="BD246" s="49"/>
      <c r="BE246" s="51"/>
      <c r="BF246" s="49" t="s">
        <v>230</v>
      </c>
      <c r="BG246" s="51"/>
      <c r="BH246" s="47"/>
      <c r="BI246" s="49"/>
      <c r="BJ246" s="51"/>
      <c r="BK246" s="49" t="s">
        <v>230</v>
      </c>
      <c r="BL246" s="51"/>
      <c r="BM246" s="47"/>
      <c r="BN246" s="53"/>
      <c r="BO246" s="54"/>
      <c r="BP246" s="53" t="s">
        <v>230</v>
      </c>
      <c r="BQ246" s="54"/>
      <c r="BR246" s="53"/>
      <c r="BS246" s="53"/>
      <c r="BT246" s="54"/>
      <c r="BU246" s="53" t="s">
        <v>230</v>
      </c>
      <c r="BV246" s="54"/>
      <c r="BW246" s="53"/>
      <c r="BX246" s="53"/>
      <c r="BY246" s="54"/>
      <c r="BZ246" s="53" t="s">
        <v>230</v>
      </c>
      <c r="CA246" s="54"/>
      <c r="CB246" s="53"/>
      <c r="CC246" s="53"/>
      <c r="CD246" s="54"/>
      <c r="CE246" s="53" t="s">
        <v>230</v>
      </c>
      <c r="CF246" s="53"/>
      <c r="CG246" s="53"/>
      <c r="CH246" s="53"/>
      <c r="CI246" s="54"/>
      <c r="CJ246" s="53" t="s">
        <v>230</v>
      </c>
      <c r="CK246" s="54"/>
      <c r="CL246" s="53"/>
      <c r="CM246" s="53"/>
      <c r="CN246" s="54"/>
      <c r="CO246" s="53" t="s">
        <v>230</v>
      </c>
      <c r="CP246" s="53"/>
      <c r="CQ246" s="53"/>
      <c r="CR246" s="419"/>
      <c r="CS246" s="487"/>
      <c r="CT246" s="575" t="s">
        <v>230</v>
      </c>
      <c r="CU246" s="53"/>
      <c r="CV246" s="53"/>
      <c r="CW246" s="53"/>
      <c r="CX246" s="54"/>
      <c r="CY246" s="53"/>
      <c r="CZ246" s="54"/>
      <c r="DA246" s="53"/>
      <c r="DB246" s="53"/>
      <c r="DC246" s="54"/>
      <c r="DD246" s="53"/>
      <c r="DE246" s="54"/>
      <c r="DF246" s="53"/>
      <c r="DG246" s="53"/>
      <c r="DH246" s="54"/>
      <c r="DI246" s="53"/>
      <c r="DJ246" s="54"/>
      <c r="DK246" s="53"/>
      <c r="DL246" s="53"/>
      <c r="DM246" s="54"/>
      <c r="DN246" s="54"/>
      <c r="DO246" s="54"/>
      <c r="DP246" s="53"/>
      <c r="DQ246" s="53"/>
      <c r="DR246" s="54"/>
      <c r="DS246" s="54"/>
      <c r="DT246" s="54"/>
      <c r="DU246" s="53"/>
      <c r="DV246" s="53"/>
      <c r="DW246" s="54"/>
      <c r="DX246" s="54"/>
      <c r="DY246" s="54"/>
      <c r="DZ246" s="24"/>
      <c r="EA246" s="983"/>
      <c r="EB246" s="985"/>
      <c r="EC246" s="426"/>
      <c r="ED246" s="456"/>
      <c r="EE246" s="446"/>
      <c r="EF246" s="16"/>
    </row>
    <row r="247" ht="17.25" customHeight="1">
      <c r="A247" s="5"/>
      <c r="B247" s="5"/>
      <c r="C247" s="41"/>
      <c r="D247" s="41"/>
      <c r="E247" s="41"/>
      <c r="F247" s="41"/>
      <c r="G247" s="41"/>
      <c r="H247" s="41" t="s">
        <v>230</v>
      </c>
      <c r="I247" s="41"/>
      <c r="J247" s="41"/>
      <c r="K247" s="41"/>
      <c r="L247" s="44"/>
      <c r="M247" s="41" t="s">
        <v>230</v>
      </c>
      <c r="N247" s="41"/>
      <c r="O247" s="41"/>
      <c r="P247" s="41"/>
      <c r="Q247" s="44"/>
      <c r="R247" s="41" t="s">
        <v>230</v>
      </c>
      <c r="S247" s="41"/>
      <c r="T247" s="41"/>
      <c r="U247" s="41"/>
      <c r="V247" s="44"/>
      <c r="W247" s="41" t="s">
        <v>230</v>
      </c>
      <c r="X247" s="41"/>
      <c r="Y247" s="41"/>
      <c r="Z247" s="41"/>
      <c r="AA247" s="44"/>
      <c r="AB247" s="41" t="s">
        <v>230</v>
      </c>
      <c r="AC247" s="41"/>
      <c r="AD247" s="41"/>
      <c r="AE247" s="41"/>
      <c r="AF247" s="41"/>
      <c r="AG247" s="41" t="s">
        <v>230</v>
      </c>
      <c r="AH247" s="41"/>
      <c r="AI247" s="41"/>
      <c r="AJ247" s="41"/>
      <c r="AK247" s="44"/>
      <c r="AL247" s="41" t="s">
        <v>230</v>
      </c>
      <c r="AM247" s="41"/>
      <c r="AN247" s="41"/>
      <c r="AO247" s="41"/>
      <c r="AP247" s="44"/>
      <c r="AQ247" s="41" t="s">
        <v>230</v>
      </c>
      <c r="AR247" s="41"/>
      <c r="AS247" s="41"/>
      <c r="AT247" s="41"/>
      <c r="AU247" s="44"/>
      <c r="AV247" s="41" t="s">
        <v>230</v>
      </c>
      <c r="AW247" s="44"/>
      <c r="AX247" s="47"/>
      <c r="AY247" s="49"/>
      <c r="AZ247" s="51"/>
      <c r="BA247" s="49" t="s">
        <v>230</v>
      </c>
      <c r="BB247" s="51"/>
      <c r="BC247" s="47"/>
      <c r="BD247" s="49"/>
      <c r="BE247" s="51"/>
      <c r="BF247" s="49" t="s">
        <v>230</v>
      </c>
      <c r="BG247" s="51"/>
      <c r="BH247" s="47"/>
      <c r="BI247" s="49"/>
      <c r="BJ247" s="51"/>
      <c r="BK247" s="49" t="s">
        <v>230</v>
      </c>
      <c r="BL247" s="51"/>
      <c r="BM247" s="47"/>
      <c r="BN247" s="53"/>
      <c r="BO247" s="54"/>
      <c r="BP247" s="53" t="s">
        <v>230</v>
      </c>
      <c r="BQ247" s="54"/>
      <c r="BR247" s="53"/>
      <c r="BS247" s="53"/>
      <c r="BT247" s="54"/>
      <c r="BU247" s="53" t="s">
        <v>230</v>
      </c>
      <c r="BV247" s="54"/>
      <c r="BW247" s="53"/>
      <c r="BX247" s="53"/>
      <c r="BY247" s="54"/>
      <c r="BZ247" s="53" t="s">
        <v>230</v>
      </c>
      <c r="CA247" s="54"/>
      <c r="CB247" s="53"/>
      <c r="CC247" s="53"/>
      <c r="CD247" s="54"/>
      <c r="CE247" s="53" t="s">
        <v>230</v>
      </c>
      <c r="CF247" s="53"/>
      <c r="CG247" s="53"/>
      <c r="CH247" s="53"/>
      <c r="CI247" s="54"/>
      <c r="CJ247" s="53" t="s">
        <v>230</v>
      </c>
      <c r="CK247" s="54"/>
      <c r="CL247" s="53"/>
      <c r="CM247" s="53"/>
      <c r="CN247" s="54"/>
      <c r="CO247" s="53" t="s">
        <v>230</v>
      </c>
      <c r="CP247" s="53"/>
      <c r="CQ247" s="53"/>
      <c r="CR247" s="419"/>
      <c r="CS247" s="487"/>
      <c r="CT247" s="575" t="s">
        <v>230</v>
      </c>
      <c r="CU247" s="53"/>
      <c r="CV247" s="53"/>
      <c r="CW247" s="53"/>
      <c r="CX247" s="54"/>
      <c r="CY247" s="53"/>
      <c r="CZ247" s="54"/>
      <c r="DA247" s="53"/>
      <c r="DB247" s="53"/>
      <c r="DC247" s="54"/>
      <c r="DD247" s="53"/>
      <c r="DE247" s="54"/>
      <c r="DF247" s="53"/>
      <c r="DG247" s="53"/>
      <c r="DH247" s="54"/>
      <c r="DI247" s="53"/>
      <c r="DJ247" s="54"/>
      <c r="DK247" s="53"/>
      <c r="DL247" s="53"/>
      <c r="DM247" s="54"/>
      <c r="DN247" s="54"/>
      <c r="DO247" s="54"/>
      <c r="DP247" s="53"/>
      <c r="DQ247" s="53"/>
      <c r="DR247" s="54"/>
      <c r="DS247" s="54"/>
      <c r="DT247" s="54"/>
      <c r="DU247" s="53"/>
      <c r="DV247" s="53"/>
      <c r="DW247" s="54"/>
      <c r="DX247" s="54"/>
      <c r="DY247" s="54"/>
      <c r="DZ247" s="24"/>
      <c r="EA247" s="983"/>
      <c r="EB247" s="985"/>
      <c r="EC247" s="426"/>
      <c r="ED247" s="456"/>
      <c r="EE247" s="446"/>
      <c r="EF247" s="16"/>
    </row>
    <row r="248" ht="17.25" customHeight="1">
      <c r="A248" s="5"/>
      <c r="B248" s="5"/>
      <c r="C248" s="41"/>
      <c r="D248" s="41"/>
      <c r="E248" s="41"/>
      <c r="F248" s="41"/>
      <c r="G248" s="41"/>
      <c r="H248" s="41" t="s">
        <v>230</v>
      </c>
      <c r="I248" s="41"/>
      <c r="J248" s="41"/>
      <c r="K248" s="41"/>
      <c r="L248" s="44"/>
      <c r="M248" s="41" t="s">
        <v>230</v>
      </c>
      <c r="N248" s="41"/>
      <c r="O248" s="41"/>
      <c r="P248" s="41"/>
      <c r="Q248" s="44"/>
      <c r="R248" s="41" t="s">
        <v>230</v>
      </c>
      <c r="S248" s="41"/>
      <c r="T248" s="41"/>
      <c r="U248" s="41"/>
      <c r="V248" s="44"/>
      <c r="W248" s="41" t="s">
        <v>230</v>
      </c>
      <c r="X248" s="41"/>
      <c r="Y248" s="41"/>
      <c r="Z248" s="41"/>
      <c r="AA248" s="44"/>
      <c r="AB248" s="41" t="s">
        <v>230</v>
      </c>
      <c r="AC248" s="41"/>
      <c r="AD248" s="41"/>
      <c r="AE248" s="41"/>
      <c r="AF248" s="41"/>
      <c r="AG248" s="41" t="s">
        <v>230</v>
      </c>
      <c r="AH248" s="41"/>
      <c r="AI248" s="41"/>
      <c r="AJ248" s="41"/>
      <c r="AK248" s="44"/>
      <c r="AL248" s="41" t="s">
        <v>230</v>
      </c>
      <c r="AM248" s="41"/>
      <c r="AN248" s="41"/>
      <c r="AO248" s="41"/>
      <c r="AP248" s="44"/>
      <c r="AQ248" s="41" t="s">
        <v>230</v>
      </c>
      <c r="AR248" s="41"/>
      <c r="AS248" s="41"/>
      <c r="AT248" s="41"/>
      <c r="AU248" s="44"/>
      <c r="AV248" s="41" t="s">
        <v>230</v>
      </c>
      <c r="AW248" s="44"/>
      <c r="AX248" s="47"/>
      <c r="AY248" s="49"/>
      <c r="AZ248" s="51"/>
      <c r="BA248" s="49" t="s">
        <v>230</v>
      </c>
      <c r="BB248" s="51"/>
      <c r="BC248" s="47"/>
      <c r="BD248" s="49"/>
      <c r="BE248" s="51"/>
      <c r="BF248" s="49" t="s">
        <v>230</v>
      </c>
      <c r="BG248" s="51"/>
      <c r="BH248" s="47"/>
      <c r="BI248" s="49"/>
      <c r="BJ248" s="51"/>
      <c r="BK248" s="49" t="s">
        <v>230</v>
      </c>
      <c r="BL248" s="51"/>
      <c r="BM248" s="47"/>
      <c r="BN248" s="53"/>
      <c r="BO248" s="54"/>
      <c r="BP248" s="53" t="s">
        <v>230</v>
      </c>
      <c r="BQ248" s="54"/>
      <c r="BR248" s="53"/>
      <c r="BS248" s="53"/>
      <c r="BT248" s="54"/>
      <c r="BU248" s="53" t="s">
        <v>230</v>
      </c>
      <c r="BV248" s="54"/>
      <c r="BW248" s="53"/>
      <c r="BX248" s="53"/>
      <c r="BY248" s="54"/>
      <c r="BZ248" s="53" t="s">
        <v>230</v>
      </c>
      <c r="CA248" s="54"/>
      <c r="CB248" s="53"/>
      <c r="CC248" s="53"/>
      <c r="CD248" s="54"/>
      <c r="CE248" s="53" t="s">
        <v>230</v>
      </c>
      <c r="CF248" s="53"/>
      <c r="CG248" s="53"/>
      <c r="CH248" s="53"/>
      <c r="CI248" s="54"/>
      <c r="CJ248" s="53" t="s">
        <v>230</v>
      </c>
      <c r="CK248" s="54"/>
      <c r="CL248" s="53"/>
      <c r="CM248" s="53"/>
      <c r="CN248" s="54"/>
      <c r="CO248" s="53" t="s">
        <v>230</v>
      </c>
      <c r="CP248" s="53"/>
      <c r="CQ248" s="53"/>
      <c r="CR248" s="419"/>
      <c r="CS248" s="487"/>
      <c r="CT248" s="575" t="s">
        <v>230</v>
      </c>
      <c r="CU248" s="53"/>
      <c r="CV248" s="53"/>
      <c r="CW248" s="53"/>
      <c r="CX248" s="54"/>
      <c r="CY248" s="53"/>
      <c r="CZ248" s="54"/>
      <c r="DA248" s="53"/>
      <c r="DB248" s="53"/>
      <c r="DC248" s="54"/>
      <c r="DD248" s="53"/>
      <c r="DE248" s="54"/>
      <c r="DF248" s="53"/>
      <c r="DG248" s="53"/>
      <c r="DH248" s="54"/>
      <c r="DI248" s="53"/>
      <c r="DJ248" s="54"/>
      <c r="DK248" s="53"/>
      <c r="DL248" s="53"/>
      <c r="DM248" s="54"/>
      <c r="DN248" s="54"/>
      <c r="DO248" s="54"/>
      <c r="DP248" s="53"/>
      <c r="DQ248" s="53"/>
      <c r="DR248" s="54"/>
      <c r="DS248" s="54"/>
      <c r="DT248" s="54"/>
      <c r="DU248" s="53"/>
      <c r="DV248" s="53"/>
      <c r="DW248" s="54"/>
      <c r="DX248" s="54"/>
      <c r="DY248" s="54"/>
      <c r="DZ248" s="24"/>
      <c r="EA248" s="983"/>
      <c r="EB248" s="985"/>
      <c r="EC248" s="426"/>
      <c r="ED248" s="456"/>
      <c r="EE248" s="446"/>
      <c r="EF248" s="16"/>
    </row>
    <row r="249" ht="17.25" customHeight="1">
      <c r="A249" s="5"/>
      <c r="B249" s="5"/>
      <c r="C249" s="41"/>
      <c r="D249" s="41"/>
      <c r="E249" s="41"/>
      <c r="F249" s="41"/>
      <c r="G249" s="41"/>
      <c r="H249" s="41" t="s">
        <v>230</v>
      </c>
      <c r="I249" s="41"/>
      <c r="J249" s="41"/>
      <c r="K249" s="41"/>
      <c r="L249" s="44"/>
      <c r="M249" s="41" t="s">
        <v>230</v>
      </c>
      <c r="N249" s="41"/>
      <c r="O249" s="41"/>
      <c r="P249" s="41"/>
      <c r="Q249" s="44"/>
      <c r="R249" s="41" t="s">
        <v>230</v>
      </c>
      <c r="S249" s="41"/>
      <c r="T249" s="41"/>
      <c r="U249" s="41"/>
      <c r="V249" s="44"/>
      <c r="W249" s="41" t="s">
        <v>230</v>
      </c>
      <c r="X249" s="41"/>
      <c r="Y249" s="41"/>
      <c r="Z249" s="41"/>
      <c r="AA249" s="44"/>
      <c r="AB249" s="41" t="s">
        <v>230</v>
      </c>
      <c r="AC249" s="41"/>
      <c r="AD249" s="41"/>
      <c r="AE249" s="41"/>
      <c r="AF249" s="41"/>
      <c r="AG249" s="41" t="s">
        <v>230</v>
      </c>
      <c r="AH249" s="41"/>
      <c r="AI249" s="41"/>
      <c r="AJ249" s="41"/>
      <c r="AK249" s="44"/>
      <c r="AL249" s="41" t="s">
        <v>230</v>
      </c>
      <c r="AM249" s="41"/>
      <c r="AN249" s="41"/>
      <c r="AO249" s="41"/>
      <c r="AP249" s="44"/>
      <c r="AQ249" s="41" t="s">
        <v>230</v>
      </c>
      <c r="AR249" s="41"/>
      <c r="AS249" s="41"/>
      <c r="AT249" s="41"/>
      <c r="AU249" s="44"/>
      <c r="AV249" s="41" t="s">
        <v>230</v>
      </c>
      <c r="AW249" s="44"/>
      <c r="AX249" s="47"/>
      <c r="AY249" s="49"/>
      <c r="AZ249" s="51"/>
      <c r="BA249" s="49" t="s">
        <v>230</v>
      </c>
      <c r="BB249" s="51"/>
      <c r="BC249" s="47"/>
      <c r="BD249" s="49"/>
      <c r="BE249" s="51"/>
      <c r="BF249" s="49" t="s">
        <v>230</v>
      </c>
      <c r="BG249" s="51"/>
      <c r="BH249" s="47"/>
      <c r="BI249" s="49"/>
      <c r="BJ249" s="51"/>
      <c r="BK249" s="49" t="s">
        <v>230</v>
      </c>
      <c r="BL249" s="51"/>
      <c r="BM249" s="47"/>
      <c r="BN249" s="53"/>
      <c r="BO249" s="54"/>
      <c r="BP249" s="53" t="s">
        <v>230</v>
      </c>
      <c r="BQ249" s="54"/>
      <c r="BR249" s="53"/>
      <c r="BS249" s="53"/>
      <c r="BT249" s="54"/>
      <c r="BU249" s="53" t="s">
        <v>230</v>
      </c>
      <c r="BV249" s="54"/>
      <c r="BW249" s="53"/>
      <c r="BX249" s="53"/>
      <c r="BY249" s="54"/>
      <c r="BZ249" s="53" t="s">
        <v>230</v>
      </c>
      <c r="CA249" s="54"/>
      <c r="CB249" s="53"/>
      <c r="CC249" s="53"/>
      <c r="CD249" s="54"/>
      <c r="CE249" s="53" t="s">
        <v>230</v>
      </c>
      <c r="CF249" s="53"/>
      <c r="CG249" s="53"/>
      <c r="CH249" s="53"/>
      <c r="CI249" s="54"/>
      <c r="CJ249" s="53" t="s">
        <v>230</v>
      </c>
      <c r="CK249" s="54"/>
      <c r="CL249" s="53"/>
      <c r="CM249" s="53"/>
      <c r="CN249" s="54"/>
      <c r="CO249" s="53" t="s">
        <v>230</v>
      </c>
      <c r="CP249" s="53"/>
      <c r="CQ249" s="53"/>
      <c r="CR249" s="419"/>
      <c r="CS249" s="487"/>
      <c r="CT249" s="575" t="s">
        <v>230</v>
      </c>
      <c r="CU249" s="53"/>
      <c r="CV249" s="53"/>
      <c r="CW249" s="53"/>
      <c r="CX249" s="54"/>
      <c r="CY249" s="53"/>
      <c r="CZ249" s="54"/>
      <c r="DA249" s="53"/>
      <c r="DB249" s="53"/>
      <c r="DC249" s="54"/>
      <c r="DD249" s="53"/>
      <c r="DE249" s="54"/>
      <c r="DF249" s="53"/>
      <c r="DG249" s="53"/>
      <c r="DH249" s="54"/>
      <c r="DI249" s="53"/>
      <c r="DJ249" s="54"/>
      <c r="DK249" s="53"/>
      <c r="DL249" s="53"/>
      <c r="DM249" s="54"/>
      <c r="DN249" s="54"/>
      <c r="DO249" s="54"/>
      <c r="DP249" s="53"/>
      <c r="DQ249" s="53"/>
      <c r="DR249" s="54"/>
      <c r="DS249" s="54"/>
      <c r="DT249" s="54"/>
      <c r="DU249" s="53"/>
      <c r="DV249" s="53"/>
      <c r="DW249" s="54"/>
      <c r="DX249" s="54"/>
      <c r="DY249" s="54"/>
      <c r="DZ249" s="24"/>
      <c r="EA249" s="983"/>
      <c r="EB249" s="985"/>
      <c r="EC249" s="426"/>
      <c r="ED249" s="456"/>
      <c r="EE249" s="446"/>
      <c r="EF249" s="16"/>
    </row>
    <row r="250" ht="17.25" customHeight="1">
      <c r="A250" s="5"/>
      <c r="B250" s="5"/>
      <c r="C250" s="41"/>
      <c r="D250" s="41"/>
      <c r="E250" s="41"/>
      <c r="F250" s="41"/>
      <c r="G250" s="41"/>
      <c r="H250" s="41" t="s">
        <v>230</v>
      </c>
      <c r="I250" s="41"/>
      <c r="J250" s="41"/>
      <c r="K250" s="41"/>
      <c r="L250" s="44"/>
      <c r="M250" s="41" t="s">
        <v>230</v>
      </c>
      <c r="N250" s="41"/>
      <c r="O250" s="41"/>
      <c r="P250" s="41"/>
      <c r="Q250" s="44"/>
      <c r="R250" s="41" t="s">
        <v>230</v>
      </c>
      <c r="S250" s="41"/>
      <c r="T250" s="41"/>
      <c r="U250" s="41"/>
      <c r="V250" s="44"/>
      <c r="W250" s="41" t="s">
        <v>230</v>
      </c>
      <c r="X250" s="41"/>
      <c r="Y250" s="41"/>
      <c r="Z250" s="41"/>
      <c r="AA250" s="44"/>
      <c r="AB250" s="41" t="s">
        <v>230</v>
      </c>
      <c r="AC250" s="41"/>
      <c r="AD250" s="41"/>
      <c r="AE250" s="41"/>
      <c r="AF250" s="41"/>
      <c r="AG250" s="41" t="s">
        <v>230</v>
      </c>
      <c r="AH250" s="41"/>
      <c r="AI250" s="41"/>
      <c r="AJ250" s="41"/>
      <c r="AK250" s="44"/>
      <c r="AL250" s="41" t="s">
        <v>230</v>
      </c>
      <c r="AM250" s="41"/>
      <c r="AN250" s="41"/>
      <c r="AO250" s="41"/>
      <c r="AP250" s="44"/>
      <c r="AQ250" s="41" t="s">
        <v>230</v>
      </c>
      <c r="AR250" s="41"/>
      <c r="AS250" s="41"/>
      <c r="AT250" s="41"/>
      <c r="AU250" s="44"/>
      <c r="AV250" s="41" t="s">
        <v>230</v>
      </c>
      <c r="AW250" s="44"/>
      <c r="AX250" s="47"/>
      <c r="AY250" s="49"/>
      <c r="AZ250" s="51"/>
      <c r="BA250" s="49" t="s">
        <v>230</v>
      </c>
      <c r="BB250" s="51"/>
      <c r="BC250" s="47"/>
      <c r="BD250" s="49"/>
      <c r="BE250" s="51"/>
      <c r="BF250" s="49" t="s">
        <v>230</v>
      </c>
      <c r="BG250" s="51"/>
      <c r="BH250" s="47"/>
      <c r="BI250" s="49"/>
      <c r="BJ250" s="51"/>
      <c r="BK250" s="49" t="s">
        <v>230</v>
      </c>
      <c r="BL250" s="51"/>
      <c r="BM250" s="47"/>
      <c r="BN250" s="53"/>
      <c r="BO250" s="54"/>
      <c r="BP250" s="53" t="s">
        <v>230</v>
      </c>
      <c r="BQ250" s="54"/>
      <c r="BR250" s="53"/>
      <c r="BS250" s="53"/>
      <c r="BT250" s="54"/>
      <c r="BU250" s="53" t="s">
        <v>230</v>
      </c>
      <c r="BV250" s="54"/>
      <c r="BW250" s="53"/>
      <c r="BX250" s="53"/>
      <c r="BY250" s="54"/>
      <c r="BZ250" s="53" t="s">
        <v>230</v>
      </c>
      <c r="CA250" s="54"/>
      <c r="CB250" s="53"/>
      <c r="CC250" s="53"/>
      <c r="CD250" s="54"/>
      <c r="CE250" s="53" t="s">
        <v>230</v>
      </c>
      <c r="CF250" s="53"/>
      <c r="CG250" s="53"/>
      <c r="CH250" s="53"/>
      <c r="CI250" s="54"/>
      <c r="CJ250" s="53" t="s">
        <v>230</v>
      </c>
      <c r="CK250" s="54"/>
      <c r="CL250" s="53"/>
      <c r="CM250" s="53"/>
      <c r="CN250" s="54"/>
      <c r="CO250" s="53" t="s">
        <v>230</v>
      </c>
      <c r="CP250" s="53"/>
      <c r="CQ250" s="53"/>
      <c r="CR250" s="419"/>
      <c r="CS250" s="487"/>
      <c r="CT250" s="575" t="s">
        <v>230</v>
      </c>
      <c r="CU250" s="53"/>
      <c r="CV250" s="53"/>
      <c r="CW250" s="53"/>
      <c r="CX250" s="54"/>
      <c r="CY250" s="53"/>
      <c r="CZ250" s="54"/>
      <c r="DA250" s="53"/>
      <c r="DB250" s="53"/>
      <c r="DC250" s="54"/>
      <c r="DD250" s="53"/>
      <c r="DE250" s="54"/>
      <c r="DF250" s="53"/>
      <c r="DG250" s="53"/>
      <c r="DH250" s="54"/>
      <c r="DI250" s="53"/>
      <c r="DJ250" s="54"/>
      <c r="DK250" s="53"/>
      <c r="DL250" s="53"/>
      <c r="DM250" s="54"/>
      <c r="DN250" s="54"/>
      <c r="DO250" s="54"/>
      <c r="DP250" s="53"/>
      <c r="DQ250" s="53"/>
      <c r="DR250" s="54"/>
      <c r="DS250" s="54"/>
      <c r="DT250" s="54"/>
      <c r="DU250" s="53"/>
      <c r="DV250" s="53"/>
      <c r="DW250" s="54"/>
      <c r="DX250" s="54"/>
      <c r="DY250" s="987"/>
      <c r="DZ250" s="988"/>
      <c r="EA250" s="983"/>
      <c r="EB250" s="985"/>
      <c r="EC250" s="426"/>
      <c r="ED250" s="456"/>
      <c r="EE250" s="446"/>
      <c r="EF250" s="16"/>
    </row>
    <row r="251" ht="17.25" customHeight="1">
      <c r="A251" s="5"/>
      <c r="B251" s="5"/>
      <c r="C251" s="41"/>
      <c r="D251" s="41"/>
      <c r="E251" s="41"/>
      <c r="F251" s="41"/>
      <c r="G251" s="41"/>
      <c r="H251" s="41" t="s">
        <v>230</v>
      </c>
      <c r="I251" s="41"/>
      <c r="J251" s="41"/>
      <c r="K251" s="41"/>
      <c r="L251" s="44"/>
      <c r="M251" s="41" t="s">
        <v>230</v>
      </c>
      <c r="N251" s="41"/>
      <c r="O251" s="41"/>
      <c r="P251" s="41"/>
      <c r="Q251" s="44"/>
      <c r="R251" s="41" t="s">
        <v>230</v>
      </c>
      <c r="S251" s="41"/>
      <c r="T251" s="41"/>
      <c r="U251" s="41"/>
      <c r="V251" s="44"/>
      <c r="W251" s="41" t="s">
        <v>230</v>
      </c>
      <c r="X251" s="41"/>
      <c r="Y251" s="41"/>
      <c r="Z251" s="41"/>
      <c r="AA251" s="44"/>
      <c r="AB251" s="41" t="s">
        <v>230</v>
      </c>
      <c r="AC251" s="41"/>
      <c r="AD251" s="41"/>
      <c r="AE251" s="41"/>
      <c r="AF251" s="41"/>
      <c r="AG251" s="41" t="s">
        <v>230</v>
      </c>
      <c r="AH251" s="41"/>
      <c r="AI251" s="41"/>
      <c r="AJ251" s="41"/>
      <c r="AK251" s="44"/>
      <c r="AL251" s="41" t="s">
        <v>230</v>
      </c>
      <c r="AM251" s="41"/>
      <c r="AN251" s="41"/>
      <c r="AO251" s="41"/>
      <c r="AP251" s="44"/>
      <c r="AQ251" s="41" t="s">
        <v>230</v>
      </c>
      <c r="AR251" s="41"/>
      <c r="AS251" s="41"/>
      <c r="AT251" s="41"/>
      <c r="AU251" s="44"/>
      <c r="AV251" s="41" t="s">
        <v>230</v>
      </c>
      <c r="AW251" s="44"/>
      <c r="AX251" s="47"/>
      <c r="AY251" s="49"/>
      <c r="AZ251" s="51"/>
      <c r="BA251" s="49" t="s">
        <v>230</v>
      </c>
      <c r="BB251" s="51"/>
      <c r="BC251" s="47"/>
      <c r="BD251" s="49"/>
      <c r="BE251" s="51"/>
      <c r="BF251" s="49" t="s">
        <v>230</v>
      </c>
      <c r="BG251" s="51"/>
      <c r="BH251" s="47"/>
      <c r="BI251" s="49"/>
      <c r="BJ251" s="51"/>
      <c r="BK251" s="49" t="s">
        <v>230</v>
      </c>
      <c r="BL251" s="51"/>
      <c r="BM251" s="47"/>
      <c r="BN251" s="53"/>
      <c r="BO251" s="54"/>
      <c r="BP251" s="53" t="s">
        <v>230</v>
      </c>
      <c r="BQ251" s="54"/>
      <c r="BR251" s="53"/>
      <c r="BS251" s="53"/>
      <c r="BT251" s="54"/>
      <c r="BU251" s="53" t="s">
        <v>230</v>
      </c>
      <c r="BV251" s="54"/>
      <c r="BW251" s="53"/>
      <c r="BX251" s="53"/>
      <c r="BY251" s="54"/>
      <c r="BZ251" s="53" t="s">
        <v>230</v>
      </c>
      <c r="CA251" s="54"/>
      <c r="CB251" s="53"/>
      <c r="CC251" s="53"/>
      <c r="CD251" s="54"/>
      <c r="CE251" s="53" t="s">
        <v>230</v>
      </c>
      <c r="CF251" s="53"/>
      <c r="CG251" s="53"/>
      <c r="CH251" s="53"/>
      <c r="CI251" s="54"/>
      <c r="CJ251" s="53" t="s">
        <v>230</v>
      </c>
      <c r="CK251" s="54"/>
      <c r="CL251" s="53"/>
      <c r="CM251" s="53"/>
      <c r="CN251" s="54"/>
      <c r="CO251" s="53" t="s">
        <v>230</v>
      </c>
      <c r="CP251" s="53"/>
      <c r="CQ251" s="53"/>
      <c r="CR251" s="419"/>
      <c r="CS251" s="487"/>
      <c r="CT251" s="575" t="s">
        <v>230</v>
      </c>
      <c r="CU251" s="53"/>
      <c r="CV251" s="53"/>
      <c r="CW251" s="53"/>
      <c r="CX251" s="54"/>
      <c r="CY251" s="53"/>
      <c r="CZ251" s="54"/>
      <c r="DA251" s="53"/>
      <c r="DB251" s="53"/>
      <c r="DC251" s="54"/>
      <c r="DD251" s="53"/>
      <c r="DE251" s="54"/>
      <c r="DF251" s="53"/>
      <c r="DG251" s="53"/>
      <c r="DH251" s="54"/>
      <c r="DI251" s="53"/>
      <c r="DJ251" s="54"/>
      <c r="DK251" s="53"/>
      <c r="DL251" s="53"/>
      <c r="DM251" s="54"/>
      <c r="DN251" s="54"/>
      <c r="DO251" s="54"/>
      <c r="DP251" s="53"/>
      <c r="DQ251" s="53"/>
      <c r="DR251" s="54"/>
      <c r="DS251" s="54"/>
      <c r="DT251" s="54"/>
      <c r="DU251" s="53"/>
      <c r="DV251" s="53"/>
      <c r="DW251" s="54"/>
      <c r="DX251" s="54"/>
      <c r="DY251" s="987"/>
      <c r="DZ251" s="988"/>
      <c r="EA251" s="983"/>
      <c r="EB251" s="985"/>
      <c r="EC251" s="426"/>
      <c r="ED251" s="456"/>
      <c r="EE251" s="446"/>
      <c r="EF251" s="16"/>
    </row>
    <row r="252" ht="17.25" customHeight="1">
      <c r="A252" s="5"/>
      <c r="B252" s="5"/>
      <c r="C252" s="41"/>
      <c r="D252" s="41"/>
      <c r="E252" s="41"/>
      <c r="F252" s="41"/>
      <c r="G252" s="41"/>
      <c r="H252" s="41" t="s">
        <v>230</v>
      </c>
      <c r="I252" s="41"/>
      <c r="J252" s="41"/>
      <c r="K252" s="41"/>
      <c r="L252" s="44"/>
      <c r="M252" s="41" t="s">
        <v>230</v>
      </c>
      <c r="N252" s="41"/>
      <c r="O252" s="41"/>
      <c r="P252" s="41"/>
      <c r="Q252" s="44"/>
      <c r="R252" s="41" t="s">
        <v>230</v>
      </c>
      <c r="S252" s="41"/>
      <c r="T252" s="41"/>
      <c r="U252" s="41"/>
      <c r="V252" s="44"/>
      <c r="W252" s="41" t="s">
        <v>230</v>
      </c>
      <c r="X252" s="41"/>
      <c r="Y252" s="41"/>
      <c r="Z252" s="41"/>
      <c r="AA252" s="44"/>
      <c r="AB252" s="41" t="s">
        <v>230</v>
      </c>
      <c r="AC252" s="41"/>
      <c r="AD252" s="41"/>
      <c r="AE252" s="41"/>
      <c r="AF252" s="41"/>
      <c r="AG252" s="41" t="s">
        <v>230</v>
      </c>
      <c r="AH252" s="41"/>
      <c r="AI252" s="41"/>
      <c r="AJ252" s="41"/>
      <c r="AK252" s="44"/>
      <c r="AL252" s="41" t="s">
        <v>230</v>
      </c>
      <c r="AM252" s="41"/>
      <c r="AN252" s="41"/>
      <c r="AO252" s="41"/>
      <c r="AP252" s="44"/>
      <c r="AQ252" s="41" t="s">
        <v>230</v>
      </c>
      <c r="AR252" s="41"/>
      <c r="AS252" s="41"/>
      <c r="AT252" s="41"/>
      <c r="AU252" s="44"/>
      <c r="AV252" s="41" t="s">
        <v>230</v>
      </c>
      <c r="AW252" s="44"/>
      <c r="AX252" s="47"/>
      <c r="AY252" s="49"/>
      <c r="AZ252" s="51"/>
      <c r="BA252" s="49" t="s">
        <v>230</v>
      </c>
      <c r="BB252" s="51"/>
      <c r="BC252" s="47"/>
      <c r="BD252" s="49"/>
      <c r="BE252" s="51"/>
      <c r="BF252" s="49" t="s">
        <v>230</v>
      </c>
      <c r="BG252" s="51"/>
      <c r="BH252" s="47"/>
      <c r="BI252" s="49"/>
      <c r="BJ252" s="51"/>
      <c r="BK252" s="49" t="s">
        <v>230</v>
      </c>
      <c r="BL252" s="51"/>
      <c r="BM252" s="47"/>
      <c r="BN252" s="53"/>
      <c r="BO252" s="54"/>
      <c r="BP252" s="53" t="s">
        <v>230</v>
      </c>
      <c r="BQ252" s="54"/>
      <c r="BR252" s="53"/>
      <c r="BS252" s="53"/>
      <c r="BT252" s="54"/>
      <c r="BU252" s="53" t="s">
        <v>230</v>
      </c>
      <c r="BV252" s="54"/>
      <c r="BW252" s="53"/>
      <c r="BX252" s="53"/>
      <c r="BY252" s="54"/>
      <c r="BZ252" s="53" t="s">
        <v>230</v>
      </c>
      <c r="CA252" s="54"/>
      <c r="CB252" s="53"/>
      <c r="CC252" s="53"/>
      <c r="CD252" s="54"/>
      <c r="CE252" s="53" t="s">
        <v>230</v>
      </c>
      <c r="CF252" s="53"/>
      <c r="CG252" s="53"/>
      <c r="CH252" s="53"/>
      <c r="CI252" s="54"/>
      <c r="CJ252" s="53" t="s">
        <v>230</v>
      </c>
      <c r="CK252" s="54"/>
      <c r="CL252" s="53"/>
      <c r="CM252" s="53"/>
      <c r="CN252" s="54"/>
      <c r="CO252" s="53" t="s">
        <v>230</v>
      </c>
      <c r="CP252" s="53"/>
      <c r="CQ252" s="53"/>
      <c r="CR252" s="419"/>
      <c r="CS252" s="487"/>
      <c r="CT252" s="575" t="s">
        <v>230</v>
      </c>
      <c r="CU252" s="53"/>
      <c r="CV252" s="53"/>
      <c r="CW252" s="53"/>
      <c r="CX252" s="54"/>
      <c r="CY252" s="53"/>
      <c r="CZ252" s="54"/>
      <c r="DA252" s="53"/>
      <c r="DB252" s="53"/>
      <c r="DC252" s="54"/>
      <c r="DD252" s="53"/>
      <c r="DE252" s="54"/>
      <c r="DF252" s="53"/>
      <c r="DG252" s="53"/>
      <c r="DH252" s="54"/>
      <c r="DI252" s="53"/>
      <c r="DJ252" s="54"/>
      <c r="DK252" s="53"/>
      <c r="DL252" s="53"/>
      <c r="DM252" s="54"/>
      <c r="DN252" s="54"/>
      <c r="DO252" s="54"/>
      <c r="DP252" s="53"/>
      <c r="DQ252" s="53"/>
      <c r="DR252" s="54"/>
      <c r="DS252" s="54"/>
      <c r="DT252" s="54"/>
      <c r="DU252" s="53"/>
      <c r="DV252" s="53"/>
      <c r="DW252" s="54"/>
      <c r="DX252" s="54"/>
      <c r="DY252" s="987"/>
      <c r="DZ252" s="988"/>
      <c r="EA252" s="983"/>
      <c r="EB252" s="985"/>
      <c r="EC252" s="426"/>
      <c r="ED252" s="456"/>
      <c r="EE252" s="446"/>
      <c r="EF252" s="16"/>
    </row>
    <row r="253" ht="17.25" customHeight="1">
      <c r="A253" s="5"/>
      <c r="B253" s="5"/>
      <c r="C253" s="41"/>
      <c r="D253" s="41"/>
      <c r="E253" s="41"/>
      <c r="F253" s="41"/>
      <c r="G253" s="41"/>
      <c r="H253" s="41" t="s">
        <v>230</v>
      </c>
      <c r="I253" s="41"/>
      <c r="J253" s="41"/>
      <c r="K253" s="41"/>
      <c r="L253" s="44"/>
      <c r="M253" s="41" t="s">
        <v>230</v>
      </c>
      <c r="N253" s="41"/>
      <c r="O253" s="41"/>
      <c r="P253" s="41"/>
      <c r="Q253" s="44"/>
      <c r="R253" s="41" t="s">
        <v>230</v>
      </c>
      <c r="S253" s="41"/>
      <c r="T253" s="41"/>
      <c r="U253" s="41"/>
      <c r="V253" s="44"/>
      <c r="W253" s="41" t="s">
        <v>230</v>
      </c>
      <c r="X253" s="41"/>
      <c r="Y253" s="41"/>
      <c r="Z253" s="41"/>
      <c r="AA253" s="44"/>
      <c r="AB253" s="41" t="s">
        <v>230</v>
      </c>
      <c r="AC253" s="41"/>
      <c r="AD253" s="41"/>
      <c r="AE253" s="41"/>
      <c r="AF253" s="41"/>
      <c r="AG253" s="41" t="s">
        <v>230</v>
      </c>
      <c r="AH253" s="41"/>
      <c r="AI253" s="41"/>
      <c r="AJ253" s="41"/>
      <c r="AK253" s="44"/>
      <c r="AL253" s="41" t="s">
        <v>230</v>
      </c>
      <c r="AM253" s="41"/>
      <c r="AN253" s="41"/>
      <c r="AO253" s="41"/>
      <c r="AP253" s="44"/>
      <c r="AQ253" s="41" t="s">
        <v>230</v>
      </c>
      <c r="AR253" s="41"/>
      <c r="AS253" s="41"/>
      <c r="AT253" s="41"/>
      <c r="AU253" s="44"/>
      <c r="AV253" s="41" t="s">
        <v>230</v>
      </c>
      <c r="AW253" s="44"/>
      <c r="AX253" s="47"/>
      <c r="AY253" s="49"/>
      <c r="AZ253" s="51"/>
      <c r="BA253" s="49" t="s">
        <v>230</v>
      </c>
      <c r="BB253" s="51"/>
      <c r="BC253" s="47"/>
      <c r="BD253" s="49"/>
      <c r="BE253" s="51"/>
      <c r="BF253" s="49" t="s">
        <v>230</v>
      </c>
      <c r="BG253" s="51"/>
      <c r="BH253" s="47"/>
      <c r="BI253" s="49"/>
      <c r="BJ253" s="51"/>
      <c r="BK253" s="49" t="s">
        <v>230</v>
      </c>
      <c r="BL253" s="51"/>
      <c r="BM253" s="47"/>
      <c r="BN253" s="53"/>
      <c r="BO253" s="54"/>
      <c r="BP253" s="53" t="s">
        <v>230</v>
      </c>
      <c r="BQ253" s="54"/>
      <c r="BR253" s="53"/>
      <c r="BS253" s="53"/>
      <c r="BT253" s="54"/>
      <c r="BU253" s="53" t="s">
        <v>230</v>
      </c>
      <c r="BV253" s="54"/>
      <c r="BW253" s="53"/>
      <c r="BX253" s="53"/>
      <c r="BY253" s="54"/>
      <c r="BZ253" s="53" t="s">
        <v>230</v>
      </c>
      <c r="CA253" s="54"/>
      <c r="CB253" s="53"/>
      <c r="CC253" s="53"/>
      <c r="CD253" s="54"/>
      <c r="CE253" s="53" t="s">
        <v>230</v>
      </c>
      <c r="CF253" s="53"/>
      <c r="CG253" s="53"/>
      <c r="CH253" s="53"/>
      <c r="CI253" s="54"/>
      <c r="CJ253" s="53" t="s">
        <v>230</v>
      </c>
      <c r="CK253" s="54"/>
      <c r="CL253" s="53"/>
      <c r="CM253" s="53"/>
      <c r="CN253" s="54"/>
      <c r="CO253" s="53" t="s">
        <v>230</v>
      </c>
      <c r="CP253" s="53"/>
      <c r="CQ253" s="53"/>
      <c r="CR253" s="419"/>
      <c r="CS253" s="487"/>
      <c r="CT253" s="575" t="s">
        <v>230</v>
      </c>
      <c r="CU253" s="53"/>
      <c r="CV253" s="53"/>
      <c r="CW253" s="53"/>
      <c r="CX253" s="54"/>
      <c r="CY253" s="53"/>
      <c r="CZ253" s="54"/>
      <c r="DA253" s="53"/>
      <c r="DB253" s="53"/>
      <c r="DC253" s="54"/>
      <c r="DD253" s="53"/>
      <c r="DE253" s="54"/>
      <c r="DF253" s="53"/>
      <c r="DG253" s="53"/>
      <c r="DH253" s="54"/>
      <c r="DI253" s="53"/>
      <c r="DJ253" s="54"/>
      <c r="DK253" s="53"/>
      <c r="DL253" s="53"/>
      <c r="DM253" s="54"/>
      <c r="DN253" s="54"/>
      <c r="DO253" s="54"/>
      <c r="DP253" s="53"/>
      <c r="DQ253" s="53"/>
      <c r="DR253" s="54"/>
      <c r="DS253" s="54"/>
      <c r="DT253" s="54"/>
      <c r="DU253" s="53"/>
      <c r="DV253" s="53"/>
      <c r="DW253" s="54"/>
      <c r="DX253" s="54"/>
      <c r="DY253" s="987"/>
      <c r="DZ253" s="988"/>
      <c r="EA253" s="983"/>
      <c r="EB253" s="985"/>
      <c r="EC253" s="426"/>
      <c r="ED253" s="456"/>
      <c r="EE253" s="446"/>
      <c r="EF253" s="16"/>
    </row>
    <row r="254" ht="17.25" customHeight="1">
      <c r="A254" s="5"/>
      <c r="B254" s="5"/>
      <c r="C254" s="41"/>
      <c r="D254" s="41"/>
      <c r="E254" s="41"/>
      <c r="F254" s="41"/>
      <c r="G254" s="41"/>
      <c r="H254" s="41" t="s">
        <v>230</v>
      </c>
      <c r="I254" s="41"/>
      <c r="J254" s="41"/>
      <c r="K254" s="41"/>
      <c r="L254" s="44"/>
      <c r="M254" s="41" t="s">
        <v>230</v>
      </c>
      <c r="N254" s="41"/>
      <c r="O254" s="41"/>
      <c r="P254" s="41"/>
      <c r="Q254" s="44"/>
      <c r="R254" s="41" t="s">
        <v>230</v>
      </c>
      <c r="S254" s="41"/>
      <c r="T254" s="41"/>
      <c r="U254" s="41"/>
      <c r="V254" s="44"/>
      <c r="W254" s="41" t="s">
        <v>230</v>
      </c>
      <c r="X254" s="41"/>
      <c r="Y254" s="41"/>
      <c r="Z254" s="41"/>
      <c r="AA254" s="44"/>
      <c r="AB254" s="41" t="s">
        <v>230</v>
      </c>
      <c r="AC254" s="41"/>
      <c r="AD254" s="41"/>
      <c r="AE254" s="41"/>
      <c r="AF254" s="41"/>
      <c r="AG254" s="41" t="s">
        <v>230</v>
      </c>
      <c r="AH254" s="41"/>
      <c r="AI254" s="41"/>
      <c r="AJ254" s="41"/>
      <c r="AK254" s="44"/>
      <c r="AL254" s="41" t="s">
        <v>230</v>
      </c>
      <c r="AM254" s="41"/>
      <c r="AN254" s="41"/>
      <c r="AO254" s="41"/>
      <c r="AP254" s="44"/>
      <c r="AQ254" s="41" t="s">
        <v>230</v>
      </c>
      <c r="AR254" s="41"/>
      <c r="AS254" s="41"/>
      <c r="AT254" s="41"/>
      <c r="AU254" s="44"/>
      <c r="AV254" s="41" t="s">
        <v>230</v>
      </c>
      <c r="AW254" s="44"/>
      <c r="AX254" s="47"/>
      <c r="AY254" s="49"/>
      <c r="AZ254" s="51"/>
      <c r="BA254" s="49" t="s">
        <v>230</v>
      </c>
      <c r="BB254" s="51"/>
      <c r="BC254" s="47"/>
      <c r="BD254" s="49"/>
      <c r="BE254" s="51"/>
      <c r="BF254" s="49" t="s">
        <v>230</v>
      </c>
      <c r="BG254" s="51"/>
      <c r="BH254" s="47"/>
      <c r="BI254" s="49"/>
      <c r="BJ254" s="51"/>
      <c r="BK254" s="49" t="s">
        <v>230</v>
      </c>
      <c r="BL254" s="51"/>
      <c r="BM254" s="47"/>
      <c r="BN254" s="53"/>
      <c r="BO254" s="54"/>
      <c r="BP254" s="53" t="s">
        <v>230</v>
      </c>
      <c r="BQ254" s="54"/>
      <c r="BR254" s="53"/>
      <c r="BS254" s="53"/>
      <c r="BT254" s="54"/>
      <c r="BU254" s="53" t="s">
        <v>230</v>
      </c>
      <c r="BV254" s="54"/>
      <c r="BW254" s="53"/>
      <c r="BX254" s="53"/>
      <c r="BY254" s="54"/>
      <c r="BZ254" s="53" t="s">
        <v>230</v>
      </c>
      <c r="CA254" s="54"/>
      <c r="CB254" s="53"/>
      <c r="CC254" s="53"/>
      <c r="CD254" s="54"/>
      <c r="CE254" s="53" t="s">
        <v>230</v>
      </c>
      <c r="CF254" s="53"/>
      <c r="CG254" s="53"/>
      <c r="CH254" s="53"/>
      <c r="CI254" s="54"/>
      <c r="CJ254" s="53" t="s">
        <v>230</v>
      </c>
      <c r="CK254" s="54"/>
      <c r="CL254" s="53"/>
      <c r="CM254" s="53"/>
      <c r="CN254" s="54"/>
      <c r="CO254" s="53" t="s">
        <v>230</v>
      </c>
      <c r="CP254" s="53"/>
      <c r="CQ254" s="53"/>
      <c r="CR254" s="419"/>
      <c r="CS254" s="487"/>
      <c r="CT254" s="575" t="s">
        <v>230</v>
      </c>
      <c r="CU254" s="53"/>
      <c r="CV254" s="53"/>
      <c r="CW254" s="53"/>
      <c r="CX254" s="54"/>
      <c r="CY254" s="53"/>
      <c r="CZ254" s="54"/>
      <c r="DA254" s="53"/>
      <c r="DB254" s="53"/>
      <c r="DC254" s="54"/>
      <c r="DD254" s="53"/>
      <c r="DE254" s="54"/>
      <c r="DF254" s="53"/>
      <c r="DG254" s="53"/>
      <c r="DH254" s="54"/>
      <c r="DI254" s="53"/>
      <c r="DJ254" s="54"/>
      <c r="DK254" s="53"/>
      <c r="DL254" s="53"/>
      <c r="DM254" s="54"/>
      <c r="DN254" s="54"/>
      <c r="DO254" s="54"/>
      <c r="DP254" s="53"/>
      <c r="DQ254" s="53"/>
      <c r="DR254" s="54"/>
      <c r="DS254" s="54"/>
      <c r="DT254" s="54"/>
      <c r="DU254" s="53"/>
      <c r="DV254" s="53"/>
      <c r="DW254" s="54"/>
      <c r="DX254" s="54"/>
      <c r="DY254" s="987"/>
      <c r="DZ254" s="988"/>
      <c r="EA254" s="983"/>
      <c r="EB254" s="985"/>
      <c r="EC254" s="426"/>
      <c r="ED254" s="456"/>
      <c r="EE254" s="446"/>
      <c r="EF254" s="16"/>
    </row>
    <row r="255" ht="17.25" customHeight="1">
      <c r="A255" s="5"/>
      <c r="B255" s="5"/>
      <c r="C255" s="41"/>
      <c r="D255" s="41"/>
      <c r="E255" s="41"/>
      <c r="F255" s="41"/>
      <c r="G255" s="41"/>
      <c r="H255" s="41" t="s">
        <v>230</v>
      </c>
      <c r="I255" s="41"/>
      <c r="J255" s="41"/>
      <c r="K255" s="41"/>
      <c r="L255" s="44"/>
      <c r="M255" s="41" t="s">
        <v>230</v>
      </c>
      <c r="N255" s="41"/>
      <c r="O255" s="41"/>
      <c r="P255" s="41"/>
      <c r="Q255" s="44"/>
      <c r="R255" s="41" t="s">
        <v>230</v>
      </c>
      <c r="S255" s="41"/>
      <c r="T255" s="41"/>
      <c r="U255" s="41"/>
      <c r="V255" s="44"/>
      <c r="W255" s="41" t="s">
        <v>230</v>
      </c>
      <c r="X255" s="41"/>
      <c r="Y255" s="41"/>
      <c r="Z255" s="41"/>
      <c r="AA255" s="44"/>
      <c r="AB255" s="41" t="s">
        <v>230</v>
      </c>
      <c r="AC255" s="41"/>
      <c r="AD255" s="41"/>
      <c r="AE255" s="41"/>
      <c r="AF255" s="41"/>
      <c r="AG255" s="41" t="s">
        <v>230</v>
      </c>
      <c r="AH255" s="41"/>
      <c r="AI255" s="41"/>
      <c r="AJ255" s="41"/>
      <c r="AK255" s="44"/>
      <c r="AL255" s="41" t="s">
        <v>230</v>
      </c>
      <c r="AM255" s="41"/>
      <c r="AN255" s="41"/>
      <c r="AO255" s="41"/>
      <c r="AP255" s="44"/>
      <c r="AQ255" s="41" t="s">
        <v>230</v>
      </c>
      <c r="AR255" s="41"/>
      <c r="AS255" s="41"/>
      <c r="AT255" s="41"/>
      <c r="AU255" s="44"/>
      <c r="AV255" s="41" t="s">
        <v>230</v>
      </c>
      <c r="AW255" s="44"/>
      <c r="AX255" s="47"/>
      <c r="AY255" s="49"/>
      <c r="AZ255" s="51"/>
      <c r="BA255" s="49" t="s">
        <v>230</v>
      </c>
      <c r="BB255" s="51"/>
      <c r="BC255" s="47"/>
      <c r="BD255" s="49"/>
      <c r="BE255" s="51"/>
      <c r="BF255" s="49" t="s">
        <v>230</v>
      </c>
      <c r="BG255" s="51"/>
      <c r="BH255" s="47"/>
      <c r="BI255" s="49"/>
      <c r="BJ255" s="51"/>
      <c r="BK255" s="49" t="s">
        <v>230</v>
      </c>
      <c r="BL255" s="51"/>
      <c r="BM255" s="47"/>
      <c r="BN255" s="53"/>
      <c r="BO255" s="54"/>
      <c r="BP255" s="53" t="s">
        <v>230</v>
      </c>
      <c r="BQ255" s="54"/>
      <c r="BR255" s="53"/>
      <c r="BS255" s="53"/>
      <c r="BT255" s="54"/>
      <c r="BU255" s="53" t="s">
        <v>230</v>
      </c>
      <c r="BV255" s="54"/>
      <c r="BW255" s="53"/>
      <c r="BX255" s="53"/>
      <c r="BY255" s="54"/>
      <c r="BZ255" s="53" t="s">
        <v>230</v>
      </c>
      <c r="CA255" s="54"/>
      <c r="CB255" s="53"/>
      <c r="CC255" s="53"/>
      <c r="CD255" s="54"/>
      <c r="CE255" s="53" t="s">
        <v>230</v>
      </c>
      <c r="CF255" s="53"/>
      <c r="CG255" s="53"/>
      <c r="CH255" s="53"/>
      <c r="CI255" s="54"/>
      <c r="CJ255" s="53" t="s">
        <v>230</v>
      </c>
      <c r="CK255" s="54"/>
      <c r="CL255" s="53"/>
      <c r="CM255" s="53"/>
      <c r="CN255" s="54"/>
      <c r="CO255" s="53" t="s">
        <v>230</v>
      </c>
      <c r="CP255" s="53"/>
      <c r="CQ255" s="53"/>
      <c r="CR255" s="419"/>
      <c r="CS255" s="487"/>
      <c r="CT255" s="575" t="s">
        <v>230</v>
      </c>
      <c r="CU255" s="53"/>
      <c r="CV255" s="53"/>
      <c r="CW255" s="53"/>
      <c r="CX255" s="54"/>
      <c r="CY255" s="53"/>
      <c r="CZ255" s="54"/>
      <c r="DA255" s="53"/>
      <c r="DB255" s="53"/>
      <c r="DC255" s="54"/>
      <c r="DD255" s="53"/>
      <c r="DE255" s="54"/>
      <c r="DF255" s="53"/>
      <c r="DG255" s="53"/>
      <c r="DH255" s="54"/>
      <c r="DI255" s="53"/>
      <c r="DJ255" s="54"/>
      <c r="DK255" s="53"/>
      <c r="DL255" s="53"/>
      <c r="DM255" s="54"/>
      <c r="DN255" s="54"/>
      <c r="DO255" s="54"/>
      <c r="DP255" s="53"/>
      <c r="DQ255" s="53"/>
      <c r="DR255" s="54"/>
      <c r="DS255" s="54"/>
      <c r="DT255" s="54"/>
      <c r="DU255" s="53"/>
      <c r="DV255" s="53"/>
      <c r="DW255" s="54"/>
      <c r="DX255" s="54"/>
      <c r="DY255" s="987"/>
      <c r="DZ255" s="988"/>
      <c r="EA255" s="983"/>
      <c r="EB255" s="985"/>
      <c r="EC255" s="426"/>
      <c r="ED255" s="456"/>
      <c r="EE255" s="446"/>
      <c r="EF255" s="16"/>
    </row>
    <row r="256" ht="17.25" customHeight="1">
      <c r="A256" s="5"/>
      <c r="B256" s="5"/>
      <c r="C256" s="41"/>
      <c r="D256" s="41"/>
      <c r="E256" s="41"/>
      <c r="F256" s="41"/>
      <c r="G256" s="41"/>
      <c r="H256" s="41" t="s">
        <v>230</v>
      </c>
      <c r="I256" s="41"/>
      <c r="J256" s="41"/>
      <c r="K256" s="41"/>
      <c r="L256" s="44"/>
      <c r="M256" s="41" t="s">
        <v>230</v>
      </c>
      <c r="N256" s="41"/>
      <c r="O256" s="41"/>
      <c r="P256" s="41"/>
      <c r="Q256" s="44"/>
      <c r="R256" s="41" t="s">
        <v>230</v>
      </c>
      <c r="S256" s="41"/>
      <c r="T256" s="41"/>
      <c r="U256" s="41"/>
      <c r="V256" s="44"/>
      <c r="W256" s="41" t="s">
        <v>230</v>
      </c>
      <c r="X256" s="41"/>
      <c r="Y256" s="41"/>
      <c r="Z256" s="41"/>
      <c r="AA256" s="44"/>
      <c r="AB256" s="41" t="s">
        <v>230</v>
      </c>
      <c r="AC256" s="41"/>
      <c r="AD256" s="41"/>
      <c r="AE256" s="41"/>
      <c r="AF256" s="41"/>
      <c r="AG256" s="41" t="s">
        <v>230</v>
      </c>
      <c r="AH256" s="41"/>
      <c r="AI256" s="41"/>
      <c r="AJ256" s="41"/>
      <c r="AK256" s="44"/>
      <c r="AL256" s="41" t="s">
        <v>230</v>
      </c>
      <c r="AM256" s="41"/>
      <c r="AN256" s="41"/>
      <c r="AO256" s="41"/>
      <c r="AP256" s="44"/>
      <c r="AQ256" s="41" t="s">
        <v>230</v>
      </c>
      <c r="AR256" s="41"/>
      <c r="AS256" s="41"/>
      <c r="AT256" s="41"/>
      <c r="AU256" s="44"/>
      <c r="AV256" s="41" t="s">
        <v>230</v>
      </c>
      <c r="AW256" s="44"/>
      <c r="AX256" s="47"/>
      <c r="AY256" s="49"/>
      <c r="AZ256" s="51"/>
      <c r="BA256" s="49" t="s">
        <v>230</v>
      </c>
      <c r="BB256" s="51"/>
      <c r="BC256" s="47"/>
      <c r="BD256" s="49"/>
      <c r="BE256" s="51"/>
      <c r="BF256" s="49" t="s">
        <v>230</v>
      </c>
      <c r="BG256" s="51"/>
      <c r="BH256" s="47"/>
      <c r="BI256" s="49"/>
      <c r="BJ256" s="51"/>
      <c r="BK256" s="49" t="s">
        <v>230</v>
      </c>
      <c r="BL256" s="51"/>
      <c r="BM256" s="47"/>
      <c r="BN256" s="53"/>
      <c r="BO256" s="54"/>
      <c r="BP256" s="53" t="s">
        <v>230</v>
      </c>
      <c r="BQ256" s="54"/>
      <c r="BR256" s="53"/>
      <c r="BS256" s="53"/>
      <c r="BT256" s="54"/>
      <c r="BU256" s="53" t="s">
        <v>230</v>
      </c>
      <c r="BV256" s="54"/>
      <c r="BW256" s="53"/>
      <c r="BX256" s="53"/>
      <c r="BY256" s="54"/>
      <c r="BZ256" s="53" t="s">
        <v>230</v>
      </c>
      <c r="CA256" s="54"/>
      <c r="CB256" s="53"/>
      <c r="CC256" s="53"/>
      <c r="CD256" s="54"/>
      <c r="CE256" s="53" t="s">
        <v>230</v>
      </c>
      <c r="CF256" s="53"/>
      <c r="CG256" s="53"/>
      <c r="CH256" s="53"/>
      <c r="CI256" s="54"/>
      <c r="CJ256" s="53" t="s">
        <v>230</v>
      </c>
      <c r="CK256" s="54"/>
      <c r="CL256" s="53"/>
      <c r="CM256" s="53"/>
      <c r="CN256" s="54"/>
      <c r="CO256" s="53" t="s">
        <v>230</v>
      </c>
      <c r="CP256" s="53"/>
      <c r="CQ256" s="53"/>
      <c r="CR256" s="419"/>
      <c r="CS256" s="487"/>
      <c r="CT256" s="575" t="s">
        <v>230</v>
      </c>
      <c r="CU256" s="53"/>
      <c r="CV256" s="53"/>
      <c r="CW256" s="53"/>
      <c r="CX256" s="54"/>
      <c r="CY256" s="53"/>
      <c r="CZ256" s="54"/>
      <c r="DA256" s="53"/>
      <c r="DB256" s="53"/>
      <c r="DC256" s="54"/>
      <c r="DD256" s="53"/>
      <c r="DE256" s="54"/>
      <c r="DF256" s="53"/>
      <c r="DG256" s="53"/>
      <c r="DH256" s="54"/>
      <c r="DI256" s="53"/>
      <c r="DJ256" s="54"/>
      <c r="DK256" s="53"/>
      <c r="DL256" s="53"/>
      <c r="DM256" s="54"/>
      <c r="DN256" s="54"/>
      <c r="DO256" s="54"/>
      <c r="DP256" s="53"/>
      <c r="DQ256" s="53"/>
      <c r="DR256" s="54"/>
      <c r="DS256" s="54"/>
      <c r="DT256" s="54"/>
      <c r="DU256" s="53"/>
      <c r="DV256" s="53"/>
      <c r="DW256" s="54"/>
      <c r="DX256" s="54"/>
      <c r="DY256" s="987"/>
      <c r="DZ256" s="988"/>
      <c r="EA256" s="983"/>
      <c r="EB256" s="985"/>
      <c r="EC256" s="426"/>
      <c r="ED256" s="456"/>
      <c r="EE256" s="446"/>
      <c r="EF256" s="16"/>
    </row>
    <row r="257" ht="17.25" customHeight="1">
      <c r="A257" s="5"/>
      <c r="B257" s="5"/>
      <c r="C257" s="41"/>
      <c r="D257" s="41"/>
      <c r="E257" s="41"/>
      <c r="F257" s="41"/>
      <c r="G257" s="41"/>
      <c r="H257" s="41" t="s">
        <v>230</v>
      </c>
      <c r="I257" s="41"/>
      <c r="J257" s="41"/>
      <c r="K257" s="41"/>
      <c r="L257" s="44"/>
      <c r="M257" s="41" t="s">
        <v>230</v>
      </c>
      <c r="N257" s="41"/>
      <c r="O257" s="41"/>
      <c r="P257" s="41"/>
      <c r="Q257" s="44"/>
      <c r="R257" s="41" t="s">
        <v>230</v>
      </c>
      <c r="S257" s="41"/>
      <c r="T257" s="41"/>
      <c r="U257" s="41"/>
      <c r="V257" s="44"/>
      <c r="W257" s="41" t="s">
        <v>230</v>
      </c>
      <c r="X257" s="41"/>
      <c r="Y257" s="41"/>
      <c r="Z257" s="41"/>
      <c r="AA257" s="44"/>
      <c r="AB257" s="41" t="s">
        <v>230</v>
      </c>
      <c r="AC257" s="41"/>
      <c r="AD257" s="41"/>
      <c r="AE257" s="41"/>
      <c r="AF257" s="41"/>
      <c r="AG257" s="41" t="s">
        <v>230</v>
      </c>
      <c r="AH257" s="41"/>
      <c r="AI257" s="41"/>
      <c r="AJ257" s="41"/>
      <c r="AK257" s="44"/>
      <c r="AL257" s="41" t="s">
        <v>230</v>
      </c>
      <c r="AM257" s="41"/>
      <c r="AN257" s="41"/>
      <c r="AO257" s="41"/>
      <c r="AP257" s="44"/>
      <c r="AQ257" s="41" t="s">
        <v>230</v>
      </c>
      <c r="AR257" s="41"/>
      <c r="AS257" s="41"/>
      <c r="AT257" s="41"/>
      <c r="AU257" s="44"/>
      <c r="AV257" s="41" t="s">
        <v>230</v>
      </c>
      <c r="AW257" s="44"/>
      <c r="AX257" s="47"/>
      <c r="AY257" s="49"/>
      <c r="AZ257" s="51"/>
      <c r="BA257" s="49" t="s">
        <v>230</v>
      </c>
      <c r="BB257" s="51"/>
      <c r="BC257" s="47"/>
      <c r="BD257" s="49"/>
      <c r="BE257" s="51"/>
      <c r="BF257" s="49" t="s">
        <v>230</v>
      </c>
      <c r="BG257" s="51"/>
      <c r="BH257" s="47"/>
      <c r="BI257" s="49"/>
      <c r="BJ257" s="51"/>
      <c r="BK257" s="49" t="s">
        <v>230</v>
      </c>
      <c r="BL257" s="51"/>
      <c r="BM257" s="47"/>
      <c r="BN257" s="53"/>
      <c r="BO257" s="54"/>
      <c r="BP257" s="53" t="s">
        <v>230</v>
      </c>
      <c r="BQ257" s="54"/>
      <c r="BR257" s="53"/>
      <c r="BS257" s="53"/>
      <c r="BT257" s="54"/>
      <c r="BU257" s="53" t="s">
        <v>230</v>
      </c>
      <c r="BV257" s="54"/>
      <c r="BW257" s="53"/>
      <c r="BX257" s="53"/>
      <c r="BY257" s="54"/>
      <c r="BZ257" s="53" t="s">
        <v>230</v>
      </c>
      <c r="CA257" s="54"/>
      <c r="CB257" s="53"/>
      <c r="CC257" s="53"/>
      <c r="CD257" s="54"/>
      <c r="CE257" s="53" t="s">
        <v>230</v>
      </c>
      <c r="CF257" s="53"/>
      <c r="CG257" s="53"/>
      <c r="CH257" s="53"/>
      <c r="CI257" s="54"/>
      <c r="CJ257" s="53" t="s">
        <v>230</v>
      </c>
      <c r="CK257" s="54"/>
      <c r="CL257" s="53"/>
      <c r="CM257" s="53"/>
      <c r="CN257" s="54"/>
      <c r="CO257" s="53" t="s">
        <v>230</v>
      </c>
      <c r="CP257" s="53"/>
      <c r="CQ257" s="53"/>
      <c r="CR257" s="419"/>
      <c r="CS257" s="487"/>
      <c r="CT257" s="575" t="s">
        <v>230</v>
      </c>
      <c r="CU257" s="53"/>
      <c r="CV257" s="53"/>
      <c r="CW257" s="53"/>
      <c r="CX257" s="54"/>
      <c r="CY257" s="53"/>
      <c r="CZ257" s="54"/>
      <c r="DA257" s="53"/>
      <c r="DB257" s="53"/>
      <c r="DC257" s="54"/>
      <c r="DD257" s="53"/>
      <c r="DE257" s="54"/>
      <c r="DF257" s="53"/>
      <c r="DG257" s="53"/>
      <c r="DH257" s="54"/>
      <c r="DI257" s="53"/>
      <c r="DJ257" s="54"/>
      <c r="DK257" s="53"/>
      <c r="DL257" s="53"/>
      <c r="DM257" s="54"/>
      <c r="DN257" s="54"/>
      <c r="DO257" s="54"/>
      <c r="DP257" s="53"/>
      <c r="DQ257" s="53"/>
      <c r="DR257" s="54"/>
      <c r="DS257" s="54"/>
      <c r="DT257" s="54"/>
      <c r="DU257" s="53"/>
      <c r="DV257" s="53"/>
      <c r="DW257" s="54"/>
      <c r="DX257" s="54"/>
      <c r="DY257" s="987"/>
      <c r="DZ257" s="988"/>
      <c r="EA257" s="983"/>
      <c r="EB257" s="985"/>
      <c r="EC257" s="426"/>
      <c r="ED257" s="456"/>
      <c r="EE257" s="446"/>
      <c r="EF257" s="16"/>
    </row>
    <row r="258" ht="17.25" customHeight="1">
      <c r="A258" s="5"/>
      <c r="B258" s="5"/>
      <c r="C258" s="41"/>
      <c r="D258" s="41"/>
      <c r="E258" s="41"/>
      <c r="F258" s="41"/>
      <c r="G258" s="41"/>
      <c r="H258" s="41" t="s">
        <v>230</v>
      </c>
      <c r="I258" s="41"/>
      <c r="J258" s="41"/>
      <c r="K258" s="41"/>
      <c r="L258" s="44"/>
      <c r="M258" s="41" t="s">
        <v>230</v>
      </c>
      <c r="N258" s="41"/>
      <c r="O258" s="41"/>
      <c r="P258" s="41"/>
      <c r="Q258" s="44"/>
      <c r="R258" s="41" t="s">
        <v>230</v>
      </c>
      <c r="S258" s="41"/>
      <c r="T258" s="41"/>
      <c r="U258" s="41"/>
      <c r="V258" s="44"/>
      <c r="W258" s="41" t="s">
        <v>230</v>
      </c>
      <c r="X258" s="41"/>
      <c r="Y258" s="41"/>
      <c r="Z258" s="41"/>
      <c r="AA258" s="44"/>
      <c r="AB258" s="41" t="s">
        <v>230</v>
      </c>
      <c r="AC258" s="41"/>
      <c r="AD258" s="41"/>
      <c r="AE258" s="41"/>
      <c r="AF258" s="41"/>
      <c r="AG258" s="41" t="s">
        <v>230</v>
      </c>
      <c r="AH258" s="41"/>
      <c r="AI258" s="41"/>
      <c r="AJ258" s="41"/>
      <c r="AK258" s="44"/>
      <c r="AL258" s="41" t="s">
        <v>230</v>
      </c>
      <c r="AM258" s="41"/>
      <c r="AN258" s="41"/>
      <c r="AO258" s="41"/>
      <c r="AP258" s="44"/>
      <c r="AQ258" s="41" t="s">
        <v>230</v>
      </c>
      <c r="AR258" s="41"/>
      <c r="AS258" s="41"/>
      <c r="AT258" s="41"/>
      <c r="AU258" s="44"/>
      <c r="AV258" s="41" t="s">
        <v>230</v>
      </c>
      <c r="AW258" s="44"/>
      <c r="AX258" s="47"/>
      <c r="AY258" s="49"/>
      <c r="AZ258" s="51"/>
      <c r="BA258" s="49" t="s">
        <v>230</v>
      </c>
      <c r="BB258" s="51"/>
      <c r="BC258" s="47"/>
      <c r="BD258" s="49"/>
      <c r="BE258" s="51"/>
      <c r="BF258" s="49" t="s">
        <v>230</v>
      </c>
      <c r="BG258" s="51"/>
      <c r="BH258" s="47"/>
      <c r="BI258" s="49"/>
      <c r="BJ258" s="51"/>
      <c r="BK258" s="49" t="s">
        <v>230</v>
      </c>
      <c r="BL258" s="51"/>
      <c r="BM258" s="47"/>
      <c r="BN258" s="53"/>
      <c r="BO258" s="54"/>
      <c r="BP258" s="53" t="s">
        <v>230</v>
      </c>
      <c r="BQ258" s="54"/>
      <c r="BR258" s="53"/>
      <c r="BS258" s="53"/>
      <c r="BT258" s="54"/>
      <c r="BU258" s="53" t="s">
        <v>230</v>
      </c>
      <c r="BV258" s="54"/>
      <c r="BW258" s="53"/>
      <c r="BX258" s="53"/>
      <c r="BY258" s="54"/>
      <c r="BZ258" s="53" t="s">
        <v>230</v>
      </c>
      <c r="CA258" s="54"/>
      <c r="CB258" s="53"/>
      <c r="CC258" s="53"/>
      <c r="CD258" s="54"/>
      <c r="CE258" s="53" t="s">
        <v>230</v>
      </c>
      <c r="CF258" s="53"/>
      <c r="CG258" s="53"/>
      <c r="CH258" s="53"/>
      <c r="CI258" s="54"/>
      <c r="CJ258" s="53" t="s">
        <v>230</v>
      </c>
      <c r="CK258" s="54"/>
      <c r="CL258" s="53"/>
      <c r="CM258" s="53"/>
      <c r="CN258" s="54"/>
      <c r="CO258" s="53" t="s">
        <v>230</v>
      </c>
      <c r="CP258" s="53"/>
      <c r="CQ258" s="53"/>
      <c r="CR258" s="419"/>
      <c r="CS258" s="487"/>
      <c r="CT258" s="575" t="s">
        <v>230</v>
      </c>
      <c r="CU258" s="53"/>
      <c r="CV258" s="53"/>
      <c r="CW258" s="53"/>
      <c r="CX258" s="54"/>
      <c r="CY258" s="53"/>
      <c r="CZ258" s="54"/>
      <c r="DA258" s="53"/>
      <c r="DB258" s="53"/>
      <c r="DC258" s="54"/>
      <c r="DD258" s="53"/>
      <c r="DE258" s="54"/>
      <c r="DF258" s="53"/>
      <c r="DG258" s="53"/>
      <c r="DH258" s="54"/>
      <c r="DI258" s="53"/>
      <c r="DJ258" s="54"/>
      <c r="DK258" s="53"/>
      <c r="DL258" s="53"/>
      <c r="DM258" s="54"/>
      <c r="DN258" s="54"/>
      <c r="DO258" s="54"/>
      <c r="DP258" s="53"/>
      <c r="DQ258" s="53"/>
      <c r="DR258" s="54"/>
      <c r="DS258" s="54"/>
      <c r="DT258" s="54"/>
      <c r="DU258" s="53"/>
      <c r="DV258" s="53"/>
      <c r="DW258" s="54"/>
      <c r="DX258" s="54"/>
      <c r="DY258" s="987"/>
      <c r="DZ258" s="988"/>
      <c r="EA258" s="983"/>
      <c r="EB258" s="985"/>
      <c r="EC258" s="426"/>
      <c r="ED258" s="456"/>
      <c r="EE258" s="446"/>
      <c r="EF258" s="16"/>
    </row>
    <row r="259" ht="17.25" customHeight="1">
      <c r="A259" s="5"/>
      <c r="B259" s="5"/>
      <c r="C259" s="41"/>
      <c r="D259" s="41"/>
      <c r="E259" s="41"/>
      <c r="F259" s="41"/>
      <c r="G259" s="41"/>
      <c r="H259" s="41" t="s">
        <v>230</v>
      </c>
      <c r="I259" s="41"/>
      <c r="J259" s="41"/>
      <c r="K259" s="41"/>
      <c r="L259" s="44"/>
      <c r="M259" s="41" t="s">
        <v>230</v>
      </c>
      <c r="N259" s="41"/>
      <c r="O259" s="41"/>
      <c r="P259" s="41"/>
      <c r="Q259" s="44"/>
      <c r="R259" s="41" t="s">
        <v>230</v>
      </c>
      <c r="S259" s="41"/>
      <c r="T259" s="41"/>
      <c r="U259" s="41"/>
      <c r="V259" s="44"/>
      <c r="W259" s="41" t="s">
        <v>230</v>
      </c>
      <c r="X259" s="41"/>
      <c r="Y259" s="41"/>
      <c r="Z259" s="41"/>
      <c r="AA259" s="44"/>
      <c r="AB259" s="41" t="s">
        <v>230</v>
      </c>
      <c r="AC259" s="41"/>
      <c r="AD259" s="41"/>
      <c r="AE259" s="41"/>
      <c r="AF259" s="41"/>
      <c r="AG259" s="41" t="s">
        <v>230</v>
      </c>
      <c r="AH259" s="41"/>
      <c r="AI259" s="41"/>
      <c r="AJ259" s="41"/>
      <c r="AK259" s="44"/>
      <c r="AL259" s="41" t="s">
        <v>230</v>
      </c>
      <c r="AM259" s="41"/>
      <c r="AN259" s="41"/>
      <c r="AO259" s="41"/>
      <c r="AP259" s="44"/>
      <c r="AQ259" s="41" t="s">
        <v>230</v>
      </c>
      <c r="AR259" s="41"/>
      <c r="AS259" s="41"/>
      <c r="AT259" s="41"/>
      <c r="AU259" s="44"/>
      <c r="AV259" s="41" t="s">
        <v>230</v>
      </c>
      <c r="AW259" s="44"/>
      <c r="AX259" s="47"/>
      <c r="AY259" s="49"/>
      <c r="AZ259" s="51"/>
      <c r="BA259" s="49" t="s">
        <v>230</v>
      </c>
      <c r="BB259" s="51"/>
      <c r="BC259" s="47"/>
      <c r="BD259" s="49"/>
      <c r="BE259" s="51"/>
      <c r="BF259" s="49" t="s">
        <v>230</v>
      </c>
      <c r="BG259" s="51"/>
      <c r="BH259" s="47"/>
      <c r="BI259" s="49"/>
      <c r="BJ259" s="51"/>
      <c r="BK259" s="49" t="s">
        <v>230</v>
      </c>
      <c r="BL259" s="51"/>
      <c r="BM259" s="47"/>
      <c r="BN259" s="53"/>
      <c r="BO259" s="54"/>
      <c r="BP259" s="53" t="s">
        <v>230</v>
      </c>
      <c r="BQ259" s="54"/>
      <c r="BR259" s="53"/>
      <c r="BS259" s="53"/>
      <c r="BT259" s="54"/>
      <c r="BU259" s="53" t="s">
        <v>230</v>
      </c>
      <c r="BV259" s="54"/>
      <c r="BW259" s="53"/>
      <c r="BX259" s="53"/>
      <c r="BY259" s="54"/>
      <c r="BZ259" s="53" t="s">
        <v>230</v>
      </c>
      <c r="CA259" s="54"/>
      <c r="CB259" s="53"/>
      <c r="CC259" s="53"/>
      <c r="CD259" s="54"/>
      <c r="CE259" s="53" t="s">
        <v>230</v>
      </c>
      <c r="CF259" s="53"/>
      <c r="CG259" s="53"/>
      <c r="CH259" s="53"/>
      <c r="CI259" s="54"/>
      <c r="CJ259" s="53" t="s">
        <v>230</v>
      </c>
      <c r="CK259" s="54"/>
      <c r="CL259" s="53"/>
      <c r="CM259" s="53"/>
      <c r="CN259" s="54"/>
      <c r="CO259" s="53" t="s">
        <v>230</v>
      </c>
      <c r="CP259" s="53"/>
      <c r="CQ259" s="53"/>
      <c r="CR259" s="419"/>
      <c r="CS259" s="487"/>
      <c r="CT259" s="575" t="s">
        <v>230</v>
      </c>
      <c r="CU259" s="53"/>
      <c r="CV259" s="53"/>
      <c r="CW259" s="53"/>
      <c r="CX259" s="54"/>
      <c r="CY259" s="53"/>
      <c r="CZ259" s="54"/>
      <c r="DA259" s="53"/>
      <c r="DB259" s="53"/>
      <c r="DC259" s="54"/>
      <c r="DD259" s="53"/>
      <c r="DE259" s="54"/>
      <c r="DF259" s="53"/>
      <c r="DG259" s="53"/>
      <c r="DH259" s="54"/>
      <c r="DI259" s="53"/>
      <c r="DJ259" s="54"/>
      <c r="DK259" s="53"/>
      <c r="DL259" s="53"/>
      <c r="DM259" s="54"/>
      <c r="DN259" s="54"/>
      <c r="DO259" s="54"/>
      <c r="DP259" s="53"/>
      <c r="DQ259" s="53"/>
      <c r="DR259" s="54"/>
      <c r="DS259" s="54"/>
      <c r="DT259" s="54"/>
      <c r="DU259" s="53"/>
      <c r="DV259" s="53"/>
      <c r="DW259" s="54"/>
      <c r="DX259" s="54"/>
      <c r="DY259" s="987"/>
      <c r="DZ259" s="988"/>
      <c r="EA259" s="983"/>
      <c r="EB259" s="985"/>
      <c r="EC259" s="426"/>
      <c r="ED259" s="456"/>
      <c r="EE259" s="446"/>
      <c r="EF259" s="16"/>
    </row>
    <row r="260" ht="17.25" customHeight="1">
      <c r="A260" s="5"/>
      <c r="B260" s="5"/>
      <c r="C260" s="41"/>
      <c r="D260" s="41"/>
      <c r="E260" s="41"/>
      <c r="F260" s="41"/>
      <c r="G260" s="41"/>
      <c r="H260" s="41" t="s">
        <v>230</v>
      </c>
      <c r="I260" s="41"/>
      <c r="J260" s="41"/>
      <c r="K260" s="41"/>
      <c r="L260" s="44"/>
      <c r="M260" s="41" t="s">
        <v>230</v>
      </c>
      <c r="N260" s="41"/>
      <c r="O260" s="41"/>
      <c r="P260" s="41"/>
      <c r="Q260" s="44"/>
      <c r="R260" s="41" t="s">
        <v>230</v>
      </c>
      <c r="S260" s="41"/>
      <c r="T260" s="41"/>
      <c r="U260" s="41"/>
      <c r="V260" s="44"/>
      <c r="W260" s="41" t="s">
        <v>230</v>
      </c>
      <c r="X260" s="41"/>
      <c r="Y260" s="41"/>
      <c r="Z260" s="41"/>
      <c r="AA260" s="44"/>
      <c r="AB260" s="41" t="s">
        <v>230</v>
      </c>
      <c r="AC260" s="41"/>
      <c r="AD260" s="41"/>
      <c r="AE260" s="41"/>
      <c r="AF260" s="41"/>
      <c r="AG260" s="41" t="s">
        <v>230</v>
      </c>
      <c r="AH260" s="41"/>
      <c r="AI260" s="41"/>
      <c r="AJ260" s="41"/>
      <c r="AK260" s="44"/>
      <c r="AL260" s="41" t="s">
        <v>230</v>
      </c>
      <c r="AM260" s="41"/>
      <c r="AN260" s="41"/>
      <c r="AO260" s="41"/>
      <c r="AP260" s="44"/>
      <c r="AQ260" s="41" t="s">
        <v>230</v>
      </c>
      <c r="AR260" s="41"/>
      <c r="AS260" s="41"/>
      <c r="AT260" s="41"/>
      <c r="AU260" s="44"/>
      <c r="AV260" s="41" t="s">
        <v>230</v>
      </c>
      <c r="AW260" s="44"/>
      <c r="AX260" s="47"/>
      <c r="AY260" s="49"/>
      <c r="AZ260" s="51"/>
      <c r="BA260" s="49" t="s">
        <v>230</v>
      </c>
      <c r="BB260" s="51"/>
      <c r="BC260" s="47"/>
      <c r="BD260" s="49"/>
      <c r="BE260" s="51"/>
      <c r="BF260" s="49" t="s">
        <v>230</v>
      </c>
      <c r="BG260" s="51"/>
      <c r="BH260" s="47"/>
      <c r="BI260" s="49"/>
      <c r="BJ260" s="51"/>
      <c r="BK260" s="49" t="s">
        <v>230</v>
      </c>
      <c r="BL260" s="51"/>
      <c r="BM260" s="47"/>
      <c r="BN260" s="53"/>
      <c r="BO260" s="54"/>
      <c r="BP260" s="53" t="s">
        <v>230</v>
      </c>
      <c r="BQ260" s="54"/>
      <c r="BR260" s="53"/>
      <c r="BS260" s="53"/>
      <c r="BT260" s="54"/>
      <c r="BU260" s="53" t="s">
        <v>230</v>
      </c>
      <c r="BV260" s="54"/>
      <c r="BW260" s="53"/>
      <c r="BX260" s="53"/>
      <c r="BY260" s="54"/>
      <c r="BZ260" s="53" t="s">
        <v>230</v>
      </c>
      <c r="CA260" s="54"/>
      <c r="CB260" s="53"/>
      <c r="CC260" s="53"/>
      <c r="CD260" s="54"/>
      <c r="CE260" s="53" t="s">
        <v>230</v>
      </c>
      <c r="CF260" s="53"/>
      <c r="CG260" s="53"/>
      <c r="CH260" s="53"/>
      <c r="CI260" s="54"/>
      <c r="CJ260" s="53" t="s">
        <v>230</v>
      </c>
      <c r="CK260" s="54"/>
      <c r="CL260" s="53"/>
      <c r="CM260" s="53"/>
      <c r="CN260" s="54"/>
      <c r="CO260" s="53" t="s">
        <v>230</v>
      </c>
      <c r="CP260" s="53"/>
      <c r="CQ260" s="53"/>
      <c r="CR260" s="419"/>
      <c r="CS260" s="487"/>
      <c r="CT260" s="575" t="s">
        <v>230</v>
      </c>
      <c r="CU260" s="53"/>
      <c r="CV260" s="53"/>
      <c r="CW260" s="53"/>
      <c r="CX260" s="54"/>
      <c r="CY260" s="53"/>
      <c r="CZ260" s="54"/>
      <c r="DA260" s="53"/>
      <c r="DB260" s="53"/>
      <c r="DC260" s="54"/>
      <c r="DD260" s="53"/>
      <c r="DE260" s="54"/>
      <c r="DF260" s="53"/>
      <c r="DG260" s="53"/>
      <c r="DH260" s="54"/>
      <c r="DI260" s="53"/>
      <c r="DJ260" s="54"/>
      <c r="DK260" s="53"/>
      <c r="DL260" s="53"/>
      <c r="DM260" s="54"/>
      <c r="DN260" s="54"/>
      <c r="DO260" s="54"/>
      <c r="DP260" s="53"/>
      <c r="DQ260" s="53"/>
      <c r="DR260" s="54"/>
      <c r="DS260" s="54"/>
      <c r="DT260" s="54"/>
      <c r="DU260" s="53"/>
      <c r="DV260" s="53"/>
      <c r="DW260" s="54"/>
      <c r="DX260" s="54"/>
      <c r="DY260" s="987"/>
      <c r="DZ260" s="988"/>
      <c r="EA260" s="983"/>
      <c r="EB260" s="985"/>
      <c r="EC260" s="426"/>
      <c r="ED260" s="456"/>
      <c r="EE260" s="446"/>
      <c r="EF260" s="16"/>
    </row>
    <row r="261" ht="17.25" customHeight="1">
      <c r="A261" s="5"/>
      <c r="B261" s="5"/>
      <c r="C261" s="41"/>
      <c r="D261" s="41"/>
      <c r="E261" s="41"/>
      <c r="F261" s="41"/>
      <c r="G261" s="41"/>
      <c r="H261" s="41" t="s">
        <v>230</v>
      </c>
      <c r="I261" s="41"/>
      <c r="J261" s="41"/>
      <c r="K261" s="41"/>
      <c r="L261" s="44"/>
      <c r="M261" s="41" t="s">
        <v>230</v>
      </c>
      <c r="N261" s="41"/>
      <c r="O261" s="41"/>
      <c r="P261" s="41"/>
      <c r="Q261" s="44"/>
      <c r="R261" s="41" t="s">
        <v>230</v>
      </c>
      <c r="S261" s="41"/>
      <c r="T261" s="41"/>
      <c r="U261" s="41"/>
      <c r="V261" s="44"/>
      <c r="W261" s="41" t="s">
        <v>230</v>
      </c>
      <c r="X261" s="41"/>
      <c r="Y261" s="41"/>
      <c r="Z261" s="41"/>
      <c r="AA261" s="44"/>
      <c r="AB261" s="41" t="s">
        <v>230</v>
      </c>
      <c r="AC261" s="41"/>
      <c r="AD261" s="41"/>
      <c r="AE261" s="41"/>
      <c r="AF261" s="41"/>
      <c r="AG261" s="41" t="s">
        <v>230</v>
      </c>
      <c r="AH261" s="41"/>
      <c r="AI261" s="41"/>
      <c r="AJ261" s="41"/>
      <c r="AK261" s="44"/>
      <c r="AL261" s="41" t="s">
        <v>230</v>
      </c>
      <c r="AM261" s="41"/>
      <c r="AN261" s="41"/>
      <c r="AO261" s="41"/>
      <c r="AP261" s="44"/>
      <c r="AQ261" s="41" t="s">
        <v>230</v>
      </c>
      <c r="AR261" s="41"/>
      <c r="AS261" s="41"/>
      <c r="AT261" s="41"/>
      <c r="AU261" s="44"/>
      <c r="AV261" s="41" t="s">
        <v>230</v>
      </c>
      <c r="AW261" s="44"/>
      <c r="AX261" s="47"/>
      <c r="AY261" s="49"/>
      <c r="AZ261" s="51"/>
      <c r="BA261" s="49" t="s">
        <v>230</v>
      </c>
      <c r="BB261" s="51"/>
      <c r="BC261" s="47"/>
      <c r="BD261" s="49"/>
      <c r="BE261" s="51"/>
      <c r="BF261" s="49" t="s">
        <v>230</v>
      </c>
      <c r="BG261" s="51"/>
      <c r="BH261" s="47"/>
      <c r="BI261" s="49"/>
      <c r="BJ261" s="51"/>
      <c r="BK261" s="49" t="s">
        <v>230</v>
      </c>
      <c r="BL261" s="51"/>
      <c r="BM261" s="47"/>
      <c r="BN261" s="53"/>
      <c r="BO261" s="54"/>
      <c r="BP261" s="53" t="s">
        <v>230</v>
      </c>
      <c r="BQ261" s="54"/>
      <c r="BR261" s="53"/>
      <c r="BS261" s="53"/>
      <c r="BT261" s="54"/>
      <c r="BU261" s="53" t="s">
        <v>230</v>
      </c>
      <c r="BV261" s="54"/>
      <c r="BW261" s="53"/>
      <c r="BX261" s="53"/>
      <c r="BY261" s="54"/>
      <c r="BZ261" s="53" t="s">
        <v>230</v>
      </c>
      <c r="CA261" s="54"/>
      <c r="CB261" s="53"/>
      <c r="CC261" s="53"/>
      <c r="CD261" s="54"/>
      <c r="CE261" s="53" t="s">
        <v>230</v>
      </c>
      <c r="CF261" s="53"/>
      <c r="CG261" s="53"/>
      <c r="CH261" s="53"/>
      <c r="CI261" s="54"/>
      <c r="CJ261" s="53" t="s">
        <v>230</v>
      </c>
      <c r="CK261" s="54"/>
      <c r="CL261" s="53"/>
      <c r="CM261" s="53"/>
      <c r="CN261" s="54"/>
      <c r="CO261" s="53" t="s">
        <v>230</v>
      </c>
      <c r="CP261" s="53"/>
      <c r="CQ261" s="53"/>
      <c r="CR261" s="419"/>
      <c r="CS261" s="487"/>
      <c r="CT261" s="575" t="s">
        <v>230</v>
      </c>
      <c r="CU261" s="53"/>
      <c r="CV261" s="53"/>
      <c r="CW261" s="53"/>
      <c r="CX261" s="54"/>
      <c r="CY261" s="53"/>
      <c r="CZ261" s="54"/>
      <c r="DA261" s="53"/>
      <c r="DB261" s="53"/>
      <c r="DC261" s="54"/>
      <c r="DD261" s="53"/>
      <c r="DE261" s="54"/>
      <c r="DF261" s="53"/>
      <c r="DG261" s="53"/>
      <c r="DH261" s="54"/>
      <c r="DI261" s="53"/>
      <c r="DJ261" s="54"/>
      <c r="DK261" s="53"/>
      <c r="DL261" s="53"/>
      <c r="DM261" s="54"/>
      <c r="DN261" s="54"/>
      <c r="DO261" s="54"/>
      <c r="DP261" s="53"/>
      <c r="DQ261" s="53"/>
      <c r="DR261" s="54"/>
      <c r="DS261" s="54"/>
      <c r="DT261" s="54"/>
      <c r="DU261" s="53"/>
      <c r="DV261" s="53"/>
      <c r="DW261" s="54"/>
      <c r="DX261" s="54"/>
      <c r="DY261" s="987"/>
      <c r="DZ261" s="988"/>
      <c r="EA261" s="983"/>
      <c r="EB261" s="985"/>
      <c r="EC261" s="426"/>
      <c r="ED261" s="456"/>
      <c r="EE261" s="446"/>
      <c r="EF261" s="16"/>
    </row>
    <row r="262" ht="17.25" customHeight="1">
      <c r="A262" s="5"/>
      <c r="B262" s="5"/>
      <c r="C262" s="41"/>
      <c r="D262" s="41"/>
      <c r="E262" s="41"/>
      <c r="F262" s="41"/>
      <c r="G262" s="41"/>
      <c r="H262" s="41" t="s">
        <v>230</v>
      </c>
      <c r="I262" s="41"/>
      <c r="J262" s="41"/>
      <c r="K262" s="41"/>
      <c r="L262" s="44"/>
      <c r="M262" s="41" t="s">
        <v>230</v>
      </c>
      <c r="N262" s="41"/>
      <c r="O262" s="41"/>
      <c r="P262" s="41"/>
      <c r="Q262" s="44"/>
      <c r="R262" s="41" t="s">
        <v>230</v>
      </c>
      <c r="S262" s="41"/>
      <c r="T262" s="41"/>
      <c r="U262" s="41"/>
      <c r="V262" s="44"/>
      <c r="W262" s="41" t="s">
        <v>230</v>
      </c>
      <c r="X262" s="41"/>
      <c r="Y262" s="41"/>
      <c r="Z262" s="41"/>
      <c r="AA262" s="44"/>
      <c r="AB262" s="41" t="s">
        <v>230</v>
      </c>
      <c r="AC262" s="41"/>
      <c r="AD262" s="41"/>
      <c r="AE262" s="41"/>
      <c r="AF262" s="41"/>
      <c r="AG262" s="41" t="s">
        <v>230</v>
      </c>
      <c r="AH262" s="41"/>
      <c r="AI262" s="41"/>
      <c r="AJ262" s="41"/>
      <c r="AK262" s="44"/>
      <c r="AL262" s="41" t="s">
        <v>230</v>
      </c>
      <c r="AM262" s="41"/>
      <c r="AN262" s="41"/>
      <c r="AO262" s="41"/>
      <c r="AP262" s="44"/>
      <c r="AQ262" s="41" t="s">
        <v>230</v>
      </c>
      <c r="AR262" s="41"/>
      <c r="AS262" s="41"/>
      <c r="AT262" s="41"/>
      <c r="AU262" s="44"/>
      <c r="AV262" s="41" t="s">
        <v>230</v>
      </c>
      <c r="AW262" s="44"/>
      <c r="AX262" s="47"/>
      <c r="AY262" s="49"/>
      <c r="AZ262" s="51"/>
      <c r="BA262" s="49" t="s">
        <v>230</v>
      </c>
      <c r="BB262" s="51"/>
      <c r="BC262" s="47"/>
      <c r="BD262" s="49"/>
      <c r="BE262" s="51"/>
      <c r="BF262" s="49" t="s">
        <v>230</v>
      </c>
      <c r="BG262" s="51"/>
      <c r="BH262" s="47"/>
      <c r="BI262" s="49"/>
      <c r="BJ262" s="51"/>
      <c r="BK262" s="49" t="s">
        <v>230</v>
      </c>
      <c r="BL262" s="51"/>
      <c r="BM262" s="47"/>
      <c r="BN262" s="53"/>
      <c r="BO262" s="54"/>
      <c r="BP262" s="53" t="s">
        <v>230</v>
      </c>
      <c r="BQ262" s="54"/>
      <c r="BR262" s="53"/>
      <c r="BS262" s="53"/>
      <c r="BT262" s="54"/>
      <c r="BU262" s="53" t="s">
        <v>230</v>
      </c>
      <c r="BV262" s="54"/>
      <c r="BW262" s="53"/>
      <c r="BX262" s="53"/>
      <c r="BY262" s="54"/>
      <c r="BZ262" s="53" t="s">
        <v>230</v>
      </c>
      <c r="CA262" s="54"/>
      <c r="CB262" s="53"/>
      <c r="CC262" s="53"/>
      <c r="CD262" s="54"/>
      <c r="CE262" s="53" t="s">
        <v>230</v>
      </c>
      <c r="CF262" s="53"/>
      <c r="CG262" s="53"/>
      <c r="CH262" s="53"/>
      <c r="CI262" s="54"/>
      <c r="CJ262" s="53" t="s">
        <v>230</v>
      </c>
      <c r="CK262" s="54"/>
      <c r="CL262" s="53"/>
      <c r="CM262" s="53"/>
      <c r="CN262" s="54"/>
      <c r="CO262" s="53" t="s">
        <v>230</v>
      </c>
      <c r="CP262" s="53"/>
      <c r="CQ262" s="53"/>
      <c r="CR262" s="419"/>
      <c r="CS262" s="487"/>
      <c r="CT262" s="575" t="s">
        <v>230</v>
      </c>
      <c r="CU262" s="53"/>
      <c r="CV262" s="53"/>
      <c r="CW262" s="53"/>
      <c r="CX262" s="54"/>
      <c r="CY262" s="53"/>
      <c r="CZ262" s="54"/>
      <c r="DA262" s="53"/>
      <c r="DB262" s="53"/>
      <c r="DC262" s="54"/>
      <c r="DD262" s="53"/>
      <c r="DE262" s="54"/>
      <c r="DF262" s="53"/>
      <c r="DG262" s="53"/>
      <c r="DH262" s="54"/>
      <c r="DI262" s="53"/>
      <c r="DJ262" s="54"/>
      <c r="DK262" s="53"/>
      <c r="DL262" s="53"/>
      <c r="DM262" s="54"/>
      <c r="DN262" s="54"/>
      <c r="DO262" s="54"/>
      <c r="DP262" s="53"/>
      <c r="DQ262" s="53"/>
      <c r="DR262" s="54"/>
      <c r="DS262" s="54"/>
      <c r="DT262" s="54"/>
      <c r="DU262" s="53"/>
      <c r="DV262" s="53"/>
      <c r="DW262" s="54"/>
      <c r="DX262" s="54"/>
      <c r="DY262" s="987"/>
      <c r="DZ262" s="988"/>
      <c r="EA262" s="983"/>
      <c r="EB262" s="985"/>
      <c r="EC262" s="426"/>
      <c r="ED262" s="456"/>
      <c r="EE262" s="446"/>
      <c r="EF262" s="16"/>
    </row>
    <row r="263" ht="17.25" customHeight="1">
      <c r="A263" s="5"/>
      <c r="B263" s="5"/>
      <c r="C263" s="41"/>
      <c r="D263" s="41"/>
      <c r="E263" s="41"/>
      <c r="F263" s="41"/>
      <c r="G263" s="41"/>
      <c r="H263" s="41" t="s">
        <v>230</v>
      </c>
      <c r="I263" s="41"/>
      <c r="J263" s="41"/>
      <c r="K263" s="41"/>
      <c r="L263" s="44"/>
      <c r="M263" s="41" t="s">
        <v>230</v>
      </c>
      <c r="N263" s="41"/>
      <c r="O263" s="41"/>
      <c r="P263" s="41"/>
      <c r="Q263" s="44"/>
      <c r="R263" s="41" t="s">
        <v>230</v>
      </c>
      <c r="S263" s="41"/>
      <c r="T263" s="41"/>
      <c r="U263" s="41"/>
      <c r="V263" s="44"/>
      <c r="W263" s="41" t="s">
        <v>230</v>
      </c>
      <c r="X263" s="41"/>
      <c r="Y263" s="41"/>
      <c r="Z263" s="41"/>
      <c r="AA263" s="44"/>
      <c r="AB263" s="41" t="s">
        <v>230</v>
      </c>
      <c r="AC263" s="41"/>
      <c r="AD263" s="41"/>
      <c r="AE263" s="41"/>
      <c r="AF263" s="41"/>
      <c r="AG263" s="41" t="s">
        <v>230</v>
      </c>
      <c r="AH263" s="41"/>
      <c r="AI263" s="41"/>
      <c r="AJ263" s="41"/>
      <c r="AK263" s="44"/>
      <c r="AL263" s="41" t="s">
        <v>230</v>
      </c>
      <c r="AM263" s="41"/>
      <c r="AN263" s="41"/>
      <c r="AO263" s="41"/>
      <c r="AP263" s="44"/>
      <c r="AQ263" s="41" t="s">
        <v>230</v>
      </c>
      <c r="AR263" s="41"/>
      <c r="AS263" s="41"/>
      <c r="AT263" s="41"/>
      <c r="AU263" s="44"/>
      <c r="AV263" s="41" t="s">
        <v>230</v>
      </c>
      <c r="AW263" s="44"/>
      <c r="AX263" s="47"/>
      <c r="AY263" s="49"/>
      <c r="AZ263" s="51"/>
      <c r="BA263" s="49" t="s">
        <v>230</v>
      </c>
      <c r="BB263" s="51"/>
      <c r="BC263" s="47"/>
      <c r="BD263" s="49"/>
      <c r="BE263" s="51"/>
      <c r="BF263" s="49" t="s">
        <v>230</v>
      </c>
      <c r="BG263" s="51"/>
      <c r="BH263" s="47"/>
      <c r="BI263" s="49"/>
      <c r="BJ263" s="51"/>
      <c r="BK263" s="49" t="s">
        <v>230</v>
      </c>
      <c r="BL263" s="51"/>
      <c r="BM263" s="47"/>
      <c r="BN263" s="53"/>
      <c r="BO263" s="54"/>
      <c r="BP263" s="53" t="s">
        <v>230</v>
      </c>
      <c r="BQ263" s="54"/>
      <c r="BR263" s="53"/>
      <c r="BS263" s="53"/>
      <c r="BT263" s="54"/>
      <c r="BU263" s="53" t="s">
        <v>230</v>
      </c>
      <c r="BV263" s="54"/>
      <c r="BW263" s="53"/>
      <c r="BX263" s="53"/>
      <c r="BY263" s="54"/>
      <c r="BZ263" s="53" t="s">
        <v>230</v>
      </c>
      <c r="CA263" s="54"/>
      <c r="CB263" s="53"/>
      <c r="CC263" s="53"/>
      <c r="CD263" s="54"/>
      <c r="CE263" s="53" t="s">
        <v>230</v>
      </c>
      <c r="CF263" s="53"/>
      <c r="CG263" s="53"/>
      <c r="CH263" s="53"/>
      <c r="CI263" s="54"/>
      <c r="CJ263" s="53" t="s">
        <v>230</v>
      </c>
      <c r="CK263" s="54"/>
      <c r="CL263" s="53"/>
      <c r="CM263" s="53"/>
      <c r="CN263" s="54"/>
      <c r="CO263" s="53" t="s">
        <v>230</v>
      </c>
      <c r="CP263" s="53"/>
      <c r="CQ263" s="53"/>
      <c r="CR263" s="419"/>
      <c r="CS263" s="487"/>
      <c r="CT263" s="575" t="s">
        <v>230</v>
      </c>
      <c r="CU263" s="53"/>
      <c r="CV263" s="53"/>
      <c r="CW263" s="53"/>
      <c r="CX263" s="54"/>
      <c r="CY263" s="53"/>
      <c r="CZ263" s="54"/>
      <c r="DA263" s="53"/>
      <c r="DB263" s="53"/>
      <c r="DC263" s="54"/>
      <c r="DD263" s="53"/>
      <c r="DE263" s="54"/>
      <c r="DF263" s="53"/>
      <c r="DG263" s="53"/>
      <c r="DH263" s="54"/>
      <c r="DI263" s="53"/>
      <c r="DJ263" s="54"/>
      <c r="DK263" s="53"/>
      <c r="DL263" s="53"/>
      <c r="DM263" s="54"/>
      <c r="DN263" s="54"/>
      <c r="DO263" s="54"/>
      <c r="DP263" s="53"/>
      <c r="DQ263" s="53"/>
      <c r="DR263" s="54"/>
      <c r="DS263" s="54"/>
      <c r="DT263" s="54"/>
      <c r="DU263" s="53"/>
      <c r="DV263" s="53"/>
      <c r="DW263" s="54"/>
      <c r="DX263" s="54"/>
      <c r="DY263" s="987"/>
      <c r="DZ263" s="988"/>
      <c r="EA263" s="983"/>
      <c r="EB263" s="985"/>
      <c r="EC263" s="426"/>
      <c r="ED263" s="456"/>
      <c r="EE263" s="446"/>
      <c r="EF263" s="16"/>
    </row>
    <row r="264" ht="17.25" customHeight="1">
      <c r="A264" s="5"/>
      <c r="B264" s="5"/>
      <c r="C264" s="41"/>
      <c r="D264" s="41"/>
      <c r="E264" s="41"/>
      <c r="F264" s="41"/>
      <c r="G264" s="41"/>
      <c r="H264" s="41" t="s">
        <v>230</v>
      </c>
      <c r="I264" s="41"/>
      <c r="J264" s="41"/>
      <c r="K264" s="41"/>
      <c r="L264" s="44"/>
      <c r="M264" s="41" t="s">
        <v>230</v>
      </c>
      <c r="N264" s="41"/>
      <c r="O264" s="41"/>
      <c r="P264" s="41"/>
      <c r="Q264" s="44"/>
      <c r="R264" s="41" t="s">
        <v>230</v>
      </c>
      <c r="S264" s="41"/>
      <c r="T264" s="41"/>
      <c r="U264" s="41"/>
      <c r="V264" s="44"/>
      <c r="W264" s="41" t="s">
        <v>230</v>
      </c>
      <c r="X264" s="41"/>
      <c r="Y264" s="41"/>
      <c r="Z264" s="41"/>
      <c r="AA264" s="44"/>
      <c r="AB264" s="41" t="s">
        <v>230</v>
      </c>
      <c r="AC264" s="41"/>
      <c r="AD264" s="41"/>
      <c r="AE264" s="41"/>
      <c r="AF264" s="41"/>
      <c r="AG264" s="41" t="s">
        <v>230</v>
      </c>
      <c r="AH264" s="41"/>
      <c r="AI264" s="41"/>
      <c r="AJ264" s="41"/>
      <c r="AK264" s="44"/>
      <c r="AL264" s="41" t="s">
        <v>230</v>
      </c>
      <c r="AM264" s="41"/>
      <c r="AN264" s="41"/>
      <c r="AO264" s="41"/>
      <c r="AP264" s="44"/>
      <c r="AQ264" s="41" t="s">
        <v>230</v>
      </c>
      <c r="AR264" s="41"/>
      <c r="AS264" s="41"/>
      <c r="AT264" s="41"/>
      <c r="AU264" s="44"/>
      <c r="AV264" s="41" t="s">
        <v>230</v>
      </c>
      <c r="AW264" s="44"/>
      <c r="AX264" s="47"/>
      <c r="AY264" s="49"/>
      <c r="AZ264" s="51"/>
      <c r="BA264" s="49" t="s">
        <v>230</v>
      </c>
      <c r="BB264" s="51"/>
      <c r="BC264" s="47"/>
      <c r="BD264" s="49"/>
      <c r="BE264" s="51"/>
      <c r="BF264" s="49" t="s">
        <v>230</v>
      </c>
      <c r="BG264" s="51"/>
      <c r="BH264" s="47"/>
      <c r="BI264" s="49"/>
      <c r="BJ264" s="51"/>
      <c r="BK264" s="49" t="s">
        <v>230</v>
      </c>
      <c r="BL264" s="51"/>
      <c r="BM264" s="47"/>
      <c r="BN264" s="53"/>
      <c r="BO264" s="54"/>
      <c r="BP264" s="53" t="s">
        <v>230</v>
      </c>
      <c r="BQ264" s="54"/>
      <c r="BR264" s="53"/>
      <c r="BS264" s="53"/>
      <c r="BT264" s="54"/>
      <c r="BU264" s="53" t="s">
        <v>230</v>
      </c>
      <c r="BV264" s="54"/>
      <c r="BW264" s="53"/>
      <c r="BX264" s="53"/>
      <c r="BY264" s="54"/>
      <c r="BZ264" s="53" t="s">
        <v>230</v>
      </c>
      <c r="CA264" s="54"/>
      <c r="CB264" s="53"/>
      <c r="CC264" s="53"/>
      <c r="CD264" s="54"/>
      <c r="CE264" s="53" t="s">
        <v>230</v>
      </c>
      <c r="CF264" s="53"/>
      <c r="CG264" s="53"/>
      <c r="CH264" s="53"/>
      <c r="CI264" s="54"/>
      <c r="CJ264" s="53" t="s">
        <v>230</v>
      </c>
      <c r="CK264" s="54"/>
      <c r="CL264" s="53"/>
      <c r="CM264" s="53"/>
      <c r="CN264" s="54"/>
      <c r="CO264" s="53" t="s">
        <v>230</v>
      </c>
      <c r="CP264" s="53"/>
      <c r="CQ264" s="53"/>
      <c r="CR264" s="419"/>
      <c r="CS264" s="487"/>
      <c r="CT264" s="575" t="s">
        <v>230</v>
      </c>
      <c r="CU264" s="53"/>
      <c r="CV264" s="53"/>
      <c r="CW264" s="53"/>
      <c r="CX264" s="54"/>
      <c r="CY264" s="53"/>
      <c r="CZ264" s="54"/>
      <c r="DA264" s="53"/>
      <c r="DB264" s="53"/>
      <c r="DC264" s="54"/>
      <c r="DD264" s="53"/>
      <c r="DE264" s="54"/>
      <c r="DF264" s="53"/>
      <c r="DG264" s="53"/>
      <c r="DH264" s="54"/>
      <c r="DI264" s="53"/>
      <c r="DJ264" s="54"/>
      <c r="DK264" s="53"/>
      <c r="DL264" s="53"/>
      <c r="DM264" s="54"/>
      <c r="DN264" s="54"/>
      <c r="DO264" s="54"/>
      <c r="DP264" s="53"/>
      <c r="DQ264" s="53"/>
      <c r="DR264" s="54"/>
      <c r="DS264" s="54"/>
      <c r="DT264" s="54"/>
      <c r="DU264" s="53"/>
      <c r="DV264" s="53"/>
      <c r="DW264" s="54"/>
      <c r="DX264" s="54"/>
      <c r="DY264" s="987"/>
      <c r="DZ264" s="988"/>
      <c r="EA264" s="983"/>
      <c r="EB264" s="985"/>
      <c r="EC264" s="426"/>
      <c r="ED264" s="456"/>
      <c r="EE264" s="446"/>
      <c r="EF264" s="16"/>
    </row>
    <row r="265" ht="17.25" customHeight="1">
      <c r="A265" s="5"/>
      <c r="B265" s="5"/>
      <c r="C265" s="41"/>
      <c r="D265" s="41"/>
      <c r="E265" s="41"/>
      <c r="F265" s="41"/>
      <c r="G265" s="41"/>
      <c r="H265" s="41" t="s">
        <v>230</v>
      </c>
      <c r="I265" s="41"/>
      <c r="J265" s="41"/>
      <c r="K265" s="41"/>
      <c r="L265" s="44"/>
      <c r="M265" s="41" t="s">
        <v>230</v>
      </c>
      <c r="N265" s="41"/>
      <c r="O265" s="41"/>
      <c r="P265" s="41"/>
      <c r="Q265" s="44"/>
      <c r="R265" s="41" t="s">
        <v>230</v>
      </c>
      <c r="S265" s="41"/>
      <c r="T265" s="41"/>
      <c r="U265" s="41"/>
      <c r="V265" s="44"/>
      <c r="W265" s="41" t="s">
        <v>230</v>
      </c>
      <c r="X265" s="41"/>
      <c r="Y265" s="41"/>
      <c r="Z265" s="41"/>
      <c r="AA265" s="44"/>
      <c r="AB265" s="41" t="s">
        <v>230</v>
      </c>
      <c r="AC265" s="41"/>
      <c r="AD265" s="41"/>
      <c r="AE265" s="41"/>
      <c r="AF265" s="41"/>
      <c r="AG265" s="41" t="s">
        <v>230</v>
      </c>
      <c r="AH265" s="41"/>
      <c r="AI265" s="41"/>
      <c r="AJ265" s="41"/>
      <c r="AK265" s="44"/>
      <c r="AL265" s="41" t="s">
        <v>230</v>
      </c>
      <c r="AM265" s="41"/>
      <c r="AN265" s="41"/>
      <c r="AO265" s="41"/>
      <c r="AP265" s="44"/>
      <c r="AQ265" s="41" t="s">
        <v>230</v>
      </c>
      <c r="AR265" s="41"/>
      <c r="AS265" s="41"/>
      <c r="AT265" s="41"/>
      <c r="AU265" s="44"/>
      <c r="AV265" s="41" t="s">
        <v>230</v>
      </c>
      <c r="AW265" s="44"/>
      <c r="AX265" s="47"/>
      <c r="AY265" s="49"/>
      <c r="AZ265" s="51"/>
      <c r="BA265" s="49" t="s">
        <v>230</v>
      </c>
      <c r="BB265" s="51"/>
      <c r="BC265" s="47"/>
      <c r="BD265" s="49"/>
      <c r="BE265" s="51"/>
      <c r="BF265" s="49" t="s">
        <v>230</v>
      </c>
      <c r="BG265" s="51"/>
      <c r="BH265" s="47"/>
      <c r="BI265" s="49"/>
      <c r="BJ265" s="51"/>
      <c r="BK265" s="49" t="s">
        <v>230</v>
      </c>
      <c r="BL265" s="51"/>
      <c r="BM265" s="47"/>
      <c r="BN265" s="53"/>
      <c r="BO265" s="54"/>
      <c r="BP265" s="53" t="s">
        <v>230</v>
      </c>
      <c r="BQ265" s="54"/>
      <c r="BR265" s="53"/>
      <c r="BS265" s="53"/>
      <c r="BT265" s="54"/>
      <c r="BU265" s="53" t="s">
        <v>230</v>
      </c>
      <c r="BV265" s="54"/>
      <c r="BW265" s="53"/>
      <c r="BX265" s="53"/>
      <c r="BY265" s="54"/>
      <c r="BZ265" s="53" t="s">
        <v>230</v>
      </c>
      <c r="CA265" s="54"/>
      <c r="CB265" s="53"/>
      <c r="CC265" s="53"/>
      <c r="CD265" s="54"/>
      <c r="CE265" s="53" t="s">
        <v>230</v>
      </c>
      <c r="CF265" s="53"/>
      <c r="CG265" s="53"/>
      <c r="CH265" s="53"/>
      <c r="CI265" s="54"/>
      <c r="CJ265" s="53" t="s">
        <v>230</v>
      </c>
      <c r="CK265" s="54"/>
      <c r="CL265" s="53"/>
      <c r="CM265" s="53"/>
      <c r="CN265" s="54"/>
      <c r="CO265" s="53" t="s">
        <v>230</v>
      </c>
      <c r="CP265" s="53"/>
      <c r="CQ265" s="53"/>
      <c r="CR265" s="419"/>
      <c r="CS265" s="487"/>
      <c r="CT265" s="575" t="s">
        <v>230</v>
      </c>
      <c r="CU265" s="53"/>
      <c r="CV265" s="53"/>
      <c r="CW265" s="53"/>
      <c r="CX265" s="54"/>
      <c r="CY265" s="53"/>
      <c r="CZ265" s="54"/>
      <c r="DA265" s="53"/>
      <c r="DB265" s="53"/>
      <c r="DC265" s="54"/>
      <c r="DD265" s="53"/>
      <c r="DE265" s="54"/>
      <c r="DF265" s="53"/>
      <c r="DG265" s="53"/>
      <c r="DH265" s="54"/>
      <c r="DI265" s="53"/>
      <c r="DJ265" s="54"/>
      <c r="DK265" s="53"/>
      <c r="DL265" s="53"/>
      <c r="DM265" s="54"/>
      <c r="DN265" s="54"/>
      <c r="DO265" s="54"/>
      <c r="DP265" s="53"/>
      <c r="DQ265" s="53"/>
      <c r="DR265" s="54"/>
      <c r="DS265" s="54"/>
      <c r="DT265" s="54"/>
      <c r="DU265" s="53"/>
      <c r="DV265" s="53"/>
      <c r="DW265" s="54"/>
      <c r="DX265" s="54"/>
      <c r="DY265" s="987"/>
      <c r="DZ265" s="988"/>
      <c r="EA265" s="983"/>
      <c r="EB265" s="985"/>
      <c r="EC265" s="426"/>
      <c r="ED265" s="456"/>
      <c r="EE265" s="446"/>
      <c r="EF265" s="16"/>
    </row>
    <row r="266" ht="17.25" customHeight="1">
      <c r="A266" s="5"/>
      <c r="B266" s="5"/>
      <c r="C266" s="41"/>
      <c r="D266" s="41"/>
      <c r="E266" s="41"/>
      <c r="F266" s="41"/>
      <c r="G266" s="41"/>
      <c r="H266" s="41" t="s">
        <v>230</v>
      </c>
      <c r="I266" s="41"/>
      <c r="J266" s="41"/>
      <c r="K266" s="41"/>
      <c r="L266" s="44"/>
      <c r="M266" s="41" t="s">
        <v>230</v>
      </c>
      <c r="N266" s="41"/>
      <c r="O266" s="41"/>
      <c r="P266" s="41"/>
      <c r="Q266" s="44"/>
      <c r="R266" s="41" t="s">
        <v>230</v>
      </c>
      <c r="S266" s="41"/>
      <c r="T266" s="41"/>
      <c r="U266" s="41"/>
      <c r="V266" s="44"/>
      <c r="W266" s="41" t="s">
        <v>230</v>
      </c>
      <c r="X266" s="41"/>
      <c r="Y266" s="41"/>
      <c r="Z266" s="41"/>
      <c r="AA266" s="44"/>
      <c r="AB266" s="41" t="s">
        <v>230</v>
      </c>
      <c r="AC266" s="41"/>
      <c r="AD266" s="41"/>
      <c r="AE266" s="41"/>
      <c r="AF266" s="41"/>
      <c r="AG266" s="41" t="s">
        <v>230</v>
      </c>
      <c r="AH266" s="41"/>
      <c r="AI266" s="41"/>
      <c r="AJ266" s="41"/>
      <c r="AK266" s="44"/>
      <c r="AL266" s="41" t="s">
        <v>230</v>
      </c>
      <c r="AM266" s="41"/>
      <c r="AN266" s="41"/>
      <c r="AO266" s="41"/>
      <c r="AP266" s="44"/>
      <c r="AQ266" s="41" t="s">
        <v>230</v>
      </c>
      <c r="AR266" s="41"/>
      <c r="AS266" s="41"/>
      <c r="AT266" s="41"/>
      <c r="AU266" s="44"/>
      <c r="AV266" s="41" t="s">
        <v>230</v>
      </c>
      <c r="AW266" s="44"/>
      <c r="AX266" s="47"/>
      <c r="AY266" s="49"/>
      <c r="AZ266" s="51"/>
      <c r="BA266" s="49" t="s">
        <v>230</v>
      </c>
      <c r="BB266" s="51"/>
      <c r="BC266" s="47"/>
      <c r="BD266" s="49"/>
      <c r="BE266" s="51"/>
      <c r="BF266" s="49" t="s">
        <v>230</v>
      </c>
      <c r="BG266" s="51"/>
      <c r="BH266" s="47"/>
      <c r="BI266" s="49"/>
      <c r="BJ266" s="51"/>
      <c r="BK266" s="49" t="s">
        <v>230</v>
      </c>
      <c r="BL266" s="51"/>
      <c r="BM266" s="47"/>
      <c r="BN266" s="53"/>
      <c r="BO266" s="54"/>
      <c r="BP266" s="53" t="s">
        <v>230</v>
      </c>
      <c r="BQ266" s="54"/>
      <c r="BR266" s="53"/>
      <c r="BS266" s="53"/>
      <c r="BT266" s="54"/>
      <c r="BU266" s="53" t="s">
        <v>230</v>
      </c>
      <c r="BV266" s="54"/>
      <c r="BW266" s="53"/>
      <c r="BX266" s="53"/>
      <c r="BY266" s="54"/>
      <c r="BZ266" s="53" t="s">
        <v>230</v>
      </c>
      <c r="CA266" s="54"/>
      <c r="CB266" s="53"/>
      <c r="CC266" s="53"/>
      <c r="CD266" s="54"/>
      <c r="CE266" s="53" t="s">
        <v>230</v>
      </c>
      <c r="CF266" s="53"/>
      <c r="CG266" s="53"/>
      <c r="CH266" s="53"/>
      <c r="CI266" s="54"/>
      <c r="CJ266" s="53" t="s">
        <v>230</v>
      </c>
      <c r="CK266" s="54"/>
      <c r="CL266" s="53"/>
      <c r="CM266" s="53"/>
      <c r="CN266" s="54"/>
      <c r="CO266" s="53" t="s">
        <v>230</v>
      </c>
      <c r="CP266" s="53"/>
      <c r="CQ266" s="53"/>
      <c r="CR266" s="419"/>
      <c r="CS266" s="487"/>
      <c r="CT266" s="575" t="s">
        <v>230</v>
      </c>
      <c r="CU266" s="53"/>
      <c r="CV266" s="53"/>
      <c r="CW266" s="53"/>
      <c r="CX266" s="54"/>
      <c r="CY266" s="53"/>
      <c r="CZ266" s="54"/>
      <c r="DA266" s="53"/>
      <c r="DB266" s="53"/>
      <c r="DC266" s="54"/>
      <c r="DD266" s="53"/>
      <c r="DE266" s="54"/>
      <c r="DF266" s="53"/>
      <c r="DG266" s="53"/>
      <c r="DH266" s="54"/>
      <c r="DI266" s="53"/>
      <c r="DJ266" s="54"/>
      <c r="DK266" s="53"/>
      <c r="DL266" s="53"/>
      <c r="DM266" s="54"/>
      <c r="DN266" s="54"/>
      <c r="DO266" s="54"/>
      <c r="DP266" s="53"/>
      <c r="DQ266" s="53"/>
      <c r="DR266" s="54"/>
      <c r="DS266" s="54"/>
      <c r="DT266" s="54"/>
      <c r="DU266" s="53"/>
      <c r="DV266" s="53"/>
      <c r="DW266" s="54"/>
      <c r="DX266" s="54"/>
      <c r="DY266" s="987"/>
      <c r="DZ266" s="988"/>
      <c r="EA266" s="983"/>
      <c r="EB266" s="985"/>
      <c r="EC266" s="426"/>
      <c r="ED266" s="456"/>
      <c r="EE266" s="446"/>
      <c r="EF266" s="16"/>
    </row>
    <row r="267" ht="17.25" customHeight="1">
      <c r="A267" s="5"/>
      <c r="B267" s="5"/>
      <c r="C267" s="41"/>
      <c r="D267" s="41"/>
      <c r="E267" s="41"/>
      <c r="F267" s="41"/>
      <c r="G267" s="41"/>
      <c r="H267" s="41" t="s">
        <v>230</v>
      </c>
      <c r="I267" s="41"/>
      <c r="J267" s="41"/>
      <c r="K267" s="41"/>
      <c r="L267" s="44"/>
      <c r="M267" s="41" t="s">
        <v>230</v>
      </c>
      <c r="N267" s="41"/>
      <c r="O267" s="41"/>
      <c r="P267" s="41"/>
      <c r="Q267" s="44"/>
      <c r="R267" s="41" t="s">
        <v>230</v>
      </c>
      <c r="S267" s="41"/>
      <c r="T267" s="41"/>
      <c r="U267" s="41"/>
      <c r="V267" s="44"/>
      <c r="W267" s="41" t="s">
        <v>230</v>
      </c>
      <c r="X267" s="41"/>
      <c r="Y267" s="41"/>
      <c r="Z267" s="41"/>
      <c r="AA267" s="44"/>
      <c r="AB267" s="41" t="s">
        <v>230</v>
      </c>
      <c r="AC267" s="41"/>
      <c r="AD267" s="41"/>
      <c r="AE267" s="41"/>
      <c r="AF267" s="41"/>
      <c r="AG267" s="41" t="s">
        <v>230</v>
      </c>
      <c r="AH267" s="41"/>
      <c r="AI267" s="41"/>
      <c r="AJ267" s="41"/>
      <c r="AK267" s="44"/>
      <c r="AL267" s="41" t="s">
        <v>230</v>
      </c>
      <c r="AM267" s="41"/>
      <c r="AN267" s="41"/>
      <c r="AO267" s="41"/>
      <c r="AP267" s="44"/>
      <c r="AQ267" s="41" t="s">
        <v>230</v>
      </c>
      <c r="AR267" s="41"/>
      <c r="AS267" s="41"/>
      <c r="AT267" s="41"/>
      <c r="AU267" s="44"/>
      <c r="AV267" s="41" t="s">
        <v>230</v>
      </c>
      <c r="AW267" s="44"/>
      <c r="AX267" s="47"/>
      <c r="AY267" s="49"/>
      <c r="AZ267" s="51"/>
      <c r="BA267" s="49" t="s">
        <v>230</v>
      </c>
      <c r="BB267" s="51"/>
      <c r="BC267" s="47"/>
      <c r="BD267" s="49"/>
      <c r="BE267" s="51"/>
      <c r="BF267" s="49" t="s">
        <v>230</v>
      </c>
      <c r="BG267" s="51"/>
      <c r="BH267" s="47"/>
      <c r="BI267" s="49"/>
      <c r="BJ267" s="51"/>
      <c r="BK267" s="49" t="s">
        <v>230</v>
      </c>
      <c r="BL267" s="51"/>
      <c r="BM267" s="47"/>
      <c r="BN267" s="53"/>
      <c r="BO267" s="54"/>
      <c r="BP267" s="53" t="s">
        <v>230</v>
      </c>
      <c r="BQ267" s="54"/>
      <c r="BR267" s="53"/>
      <c r="BS267" s="53"/>
      <c r="BT267" s="54"/>
      <c r="BU267" s="53" t="s">
        <v>230</v>
      </c>
      <c r="BV267" s="54"/>
      <c r="BW267" s="53"/>
      <c r="BX267" s="53"/>
      <c r="BY267" s="54"/>
      <c r="BZ267" s="53" t="s">
        <v>230</v>
      </c>
      <c r="CA267" s="54"/>
      <c r="CB267" s="53"/>
      <c r="CC267" s="53"/>
      <c r="CD267" s="54"/>
      <c r="CE267" s="53" t="s">
        <v>230</v>
      </c>
      <c r="CF267" s="53"/>
      <c r="CG267" s="53"/>
      <c r="CH267" s="53"/>
      <c r="CI267" s="54"/>
      <c r="CJ267" s="53" t="s">
        <v>230</v>
      </c>
      <c r="CK267" s="54"/>
      <c r="CL267" s="53"/>
      <c r="CM267" s="53"/>
      <c r="CN267" s="54"/>
      <c r="CO267" s="53" t="s">
        <v>230</v>
      </c>
      <c r="CP267" s="53"/>
      <c r="CQ267" s="53"/>
      <c r="CR267" s="419"/>
      <c r="CS267" s="487"/>
      <c r="CT267" s="575" t="s">
        <v>230</v>
      </c>
      <c r="CU267" s="53"/>
      <c r="CV267" s="53"/>
      <c r="CW267" s="53"/>
      <c r="CX267" s="54"/>
      <c r="CY267" s="53"/>
      <c r="CZ267" s="54"/>
      <c r="DA267" s="53"/>
      <c r="DB267" s="53"/>
      <c r="DC267" s="54"/>
      <c r="DD267" s="53"/>
      <c r="DE267" s="54"/>
      <c r="DF267" s="53"/>
      <c r="DG267" s="53"/>
      <c r="DH267" s="54"/>
      <c r="DI267" s="53"/>
      <c r="DJ267" s="54"/>
      <c r="DK267" s="53"/>
      <c r="DL267" s="53"/>
      <c r="DM267" s="54"/>
      <c r="DN267" s="54"/>
      <c r="DO267" s="54"/>
      <c r="DP267" s="53"/>
      <c r="DQ267" s="53"/>
      <c r="DR267" s="54"/>
      <c r="DS267" s="54"/>
      <c r="DT267" s="54"/>
      <c r="DU267" s="53"/>
      <c r="DV267" s="53"/>
      <c r="DW267" s="54"/>
      <c r="DX267" s="54"/>
      <c r="DY267" s="987"/>
      <c r="DZ267" s="988"/>
      <c r="EA267" s="983"/>
      <c r="EB267" s="985"/>
      <c r="EC267" s="426"/>
      <c r="ED267" s="456"/>
      <c r="EE267" s="446"/>
      <c r="EF267" s="16"/>
    </row>
    <row r="268" ht="17.25" customHeight="1">
      <c r="A268" s="5"/>
      <c r="B268" s="5"/>
      <c r="C268" s="41"/>
      <c r="D268" s="41"/>
      <c r="E268" s="41"/>
      <c r="F268" s="41"/>
      <c r="G268" s="41"/>
      <c r="H268" s="41" t="s">
        <v>230</v>
      </c>
      <c r="I268" s="41"/>
      <c r="J268" s="41"/>
      <c r="K268" s="41"/>
      <c r="L268" s="44"/>
      <c r="M268" s="41" t="s">
        <v>230</v>
      </c>
      <c r="N268" s="41"/>
      <c r="O268" s="41"/>
      <c r="P268" s="41"/>
      <c r="Q268" s="44"/>
      <c r="R268" s="41" t="s">
        <v>230</v>
      </c>
      <c r="S268" s="41"/>
      <c r="T268" s="41"/>
      <c r="U268" s="41"/>
      <c r="V268" s="44"/>
      <c r="W268" s="41" t="s">
        <v>230</v>
      </c>
      <c r="X268" s="41"/>
      <c r="Y268" s="41"/>
      <c r="Z268" s="41"/>
      <c r="AA268" s="44"/>
      <c r="AB268" s="41" t="s">
        <v>230</v>
      </c>
      <c r="AC268" s="41"/>
      <c r="AD268" s="41"/>
      <c r="AE268" s="41"/>
      <c r="AF268" s="41"/>
      <c r="AG268" s="41" t="s">
        <v>230</v>
      </c>
      <c r="AH268" s="41"/>
      <c r="AI268" s="41"/>
      <c r="AJ268" s="41"/>
      <c r="AK268" s="44"/>
      <c r="AL268" s="41" t="s">
        <v>230</v>
      </c>
      <c r="AM268" s="41"/>
      <c r="AN268" s="41"/>
      <c r="AO268" s="41"/>
      <c r="AP268" s="44"/>
      <c r="AQ268" s="41" t="s">
        <v>230</v>
      </c>
      <c r="AR268" s="41"/>
      <c r="AS268" s="41"/>
      <c r="AT268" s="41"/>
      <c r="AU268" s="44"/>
      <c r="AV268" s="41" t="s">
        <v>230</v>
      </c>
      <c r="AW268" s="44"/>
      <c r="AX268" s="47"/>
      <c r="AY268" s="49"/>
      <c r="AZ268" s="51"/>
      <c r="BA268" s="49" t="s">
        <v>230</v>
      </c>
      <c r="BB268" s="51"/>
      <c r="BC268" s="47"/>
      <c r="BD268" s="49"/>
      <c r="BE268" s="51"/>
      <c r="BF268" s="49" t="s">
        <v>230</v>
      </c>
      <c r="BG268" s="51"/>
      <c r="BH268" s="47"/>
      <c r="BI268" s="49"/>
      <c r="BJ268" s="51"/>
      <c r="BK268" s="49" t="s">
        <v>230</v>
      </c>
      <c r="BL268" s="51"/>
      <c r="BM268" s="47"/>
      <c r="BN268" s="53"/>
      <c r="BO268" s="54"/>
      <c r="BP268" s="53" t="s">
        <v>230</v>
      </c>
      <c r="BQ268" s="54"/>
      <c r="BR268" s="53"/>
      <c r="BS268" s="53"/>
      <c r="BT268" s="54"/>
      <c r="BU268" s="53" t="s">
        <v>230</v>
      </c>
      <c r="BV268" s="54"/>
      <c r="BW268" s="53"/>
      <c r="BX268" s="53"/>
      <c r="BY268" s="54"/>
      <c r="BZ268" s="53" t="s">
        <v>230</v>
      </c>
      <c r="CA268" s="54"/>
      <c r="CB268" s="53"/>
      <c r="CC268" s="53"/>
      <c r="CD268" s="54"/>
      <c r="CE268" s="53" t="s">
        <v>230</v>
      </c>
      <c r="CF268" s="53"/>
      <c r="CG268" s="53"/>
      <c r="CH268" s="53"/>
      <c r="CI268" s="54"/>
      <c r="CJ268" s="53" t="s">
        <v>230</v>
      </c>
      <c r="CK268" s="54"/>
      <c r="CL268" s="53"/>
      <c r="CM268" s="53"/>
      <c r="CN268" s="54"/>
      <c r="CO268" s="53" t="s">
        <v>230</v>
      </c>
      <c r="CP268" s="53"/>
      <c r="CQ268" s="53"/>
      <c r="CR268" s="419"/>
      <c r="CS268" s="487"/>
      <c r="CT268" s="575" t="s">
        <v>230</v>
      </c>
      <c r="CU268" s="53"/>
      <c r="CV268" s="53"/>
      <c r="CW268" s="53"/>
      <c r="CX268" s="54"/>
      <c r="CY268" s="53"/>
      <c r="CZ268" s="54"/>
      <c r="DA268" s="53"/>
      <c r="DB268" s="53"/>
      <c r="DC268" s="54"/>
      <c r="DD268" s="53"/>
      <c r="DE268" s="54"/>
      <c r="DF268" s="53"/>
      <c r="DG268" s="53"/>
      <c r="DH268" s="54"/>
      <c r="DI268" s="53"/>
      <c r="DJ268" s="54"/>
      <c r="DK268" s="53"/>
      <c r="DL268" s="53"/>
      <c r="DM268" s="54"/>
      <c r="DN268" s="54"/>
      <c r="DO268" s="54"/>
      <c r="DP268" s="53"/>
      <c r="DQ268" s="53"/>
      <c r="DR268" s="54"/>
      <c r="DS268" s="54"/>
      <c r="DT268" s="54"/>
      <c r="DU268" s="53"/>
      <c r="DV268" s="53"/>
      <c r="DW268" s="54"/>
      <c r="DX268" s="54"/>
      <c r="DY268" s="987"/>
      <c r="DZ268" s="988"/>
      <c r="EA268" s="983"/>
      <c r="EB268" s="985"/>
      <c r="EC268" s="426"/>
      <c r="ED268" s="456"/>
      <c r="EE268" s="446"/>
      <c r="EF268" s="16"/>
    </row>
    <row r="269" ht="17.25" customHeight="1">
      <c r="A269" s="5"/>
      <c r="B269" s="5"/>
      <c r="C269" s="41"/>
      <c r="D269" s="41"/>
      <c r="E269" s="41"/>
      <c r="F269" s="41"/>
      <c r="G269" s="41"/>
      <c r="H269" s="41" t="s">
        <v>230</v>
      </c>
      <c r="I269" s="41"/>
      <c r="J269" s="41"/>
      <c r="K269" s="41"/>
      <c r="L269" s="44"/>
      <c r="M269" s="41" t="s">
        <v>230</v>
      </c>
      <c r="N269" s="41"/>
      <c r="O269" s="41"/>
      <c r="P269" s="41"/>
      <c r="Q269" s="44"/>
      <c r="R269" s="41" t="s">
        <v>230</v>
      </c>
      <c r="S269" s="41"/>
      <c r="T269" s="41"/>
      <c r="U269" s="41"/>
      <c r="V269" s="44"/>
      <c r="W269" s="41" t="s">
        <v>230</v>
      </c>
      <c r="X269" s="41"/>
      <c r="Y269" s="41"/>
      <c r="Z269" s="41"/>
      <c r="AA269" s="44"/>
      <c r="AB269" s="41" t="s">
        <v>230</v>
      </c>
      <c r="AC269" s="41"/>
      <c r="AD269" s="41"/>
      <c r="AE269" s="41"/>
      <c r="AF269" s="41"/>
      <c r="AG269" s="41" t="s">
        <v>230</v>
      </c>
      <c r="AH269" s="41"/>
      <c r="AI269" s="41"/>
      <c r="AJ269" s="41"/>
      <c r="AK269" s="44"/>
      <c r="AL269" s="41" t="s">
        <v>230</v>
      </c>
      <c r="AM269" s="41"/>
      <c r="AN269" s="41"/>
      <c r="AO269" s="41"/>
      <c r="AP269" s="44"/>
      <c r="AQ269" s="41" t="s">
        <v>230</v>
      </c>
      <c r="AR269" s="41"/>
      <c r="AS269" s="41"/>
      <c r="AT269" s="41"/>
      <c r="AU269" s="44"/>
      <c r="AV269" s="41" t="s">
        <v>230</v>
      </c>
      <c r="AW269" s="44"/>
      <c r="AX269" s="47"/>
      <c r="AY269" s="49"/>
      <c r="AZ269" s="51"/>
      <c r="BA269" s="49" t="s">
        <v>230</v>
      </c>
      <c r="BB269" s="51"/>
      <c r="BC269" s="47"/>
      <c r="BD269" s="49"/>
      <c r="BE269" s="51"/>
      <c r="BF269" s="49" t="s">
        <v>230</v>
      </c>
      <c r="BG269" s="51"/>
      <c r="BH269" s="47"/>
      <c r="BI269" s="49"/>
      <c r="BJ269" s="51"/>
      <c r="BK269" s="49" t="s">
        <v>230</v>
      </c>
      <c r="BL269" s="51"/>
      <c r="BM269" s="47"/>
      <c r="BN269" s="53"/>
      <c r="BO269" s="54"/>
      <c r="BP269" s="53" t="s">
        <v>230</v>
      </c>
      <c r="BQ269" s="54"/>
      <c r="BR269" s="53"/>
      <c r="BS269" s="53"/>
      <c r="BT269" s="54"/>
      <c r="BU269" s="53" t="s">
        <v>230</v>
      </c>
      <c r="BV269" s="54"/>
      <c r="BW269" s="53"/>
      <c r="BX269" s="53"/>
      <c r="BY269" s="54"/>
      <c r="BZ269" s="53" t="s">
        <v>230</v>
      </c>
      <c r="CA269" s="54"/>
      <c r="CB269" s="53"/>
      <c r="CC269" s="53"/>
      <c r="CD269" s="54"/>
      <c r="CE269" s="53" t="s">
        <v>230</v>
      </c>
      <c r="CF269" s="53"/>
      <c r="CG269" s="53"/>
      <c r="CH269" s="53"/>
      <c r="CI269" s="54"/>
      <c r="CJ269" s="53" t="s">
        <v>230</v>
      </c>
      <c r="CK269" s="54"/>
      <c r="CL269" s="53"/>
      <c r="CM269" s="53"/>
      <c r="CN269" s="54"/>
      <c r="CO269" s="53" t="s">
        <v>230</v>
      </c>
      <c r="CP269" s="53"/>
      <c r="CQ269" s="53"/>
      <c r="CR269" s="419"/>
      <c r="CS269" s="487"/>
      <c r="CT269" s="575" t="s">
        <v>230</v>
      </c>
      <c r="CU269" s="53"/>
      <c r="CV269" s="53"/>
      <c r="CW269" s="53"/>
      <c r="CX269" s="54"/>
      <c r="CY269" s="53"/>
      <c r="CZ269" s="54"/>
      <c r="DA269" s="53"/>
      <c r="DB269" s="53"/>
      <c r="DC269" s="54"/>
      <c r="DD269" s="53"/>
      <c r="DE269" s="54"/>
      <c r="DF269" s="53"/>
      <c r="DG269" s="53"/>
      <c r="DH269" s="54"/>
      <c r="DI269" s="53"/>
      <c r="DJ269" s="54"/>
      <c r="DK269" s="53"/>
      <c r="DL269" s="53"/>
      <c r="DM269" s="54"/>
      <c r="DN269" s="54"/>
      <c r="DO269" s="54"/>
      <c r="DP269" s="53"/>
      <c r="DQ269" s="53"/>
      <c r="DR269" s="54"/>
      <c r="DS269" s="54"/>
      <c r="DT269" s="54"/>
      <c r="DU269" s="53"/>
      <c r="DV269" s="53"/>
      <c r="DW269" s="54"/>
      <c r="DX269" s="54"/>
      <c r="DY269" s="987"/>
      <c r="DZ269" s="988"/>
      <c r="EA269" s="983"/>
      <c r="EB269" s="985"/>
      <c r="EC269" s="426"/>
      <c r="ED269" s="456"/>
      <c r="EE269" s="446"/>
      <c r="EF269" s="16"/>
    </row>
    <row r="270" ht="17.25" customHeight="1">
      <c r="A270" s="5"/>
      <c r="B270" s="5"/>
      <c r="C270" s="41"/>
      <c r="D270" s="41"/>
      <c r="E270" s="41"/>
      <c r="F270" s="41"/>
      <c r="G270" s="41"/>
      <c r="H270" s="41" t="s">
        <v>230</v>
      </c>
      <c r="I270" s="41"/>
      <c r="J270" s="41"/>
      <c r="K270" s="41"/>
      <c r="L270" s="44"/>
      <c r="M270" s="41" t="s">
        <v>230</v>
      </c>
      <c r="N270" s="41"/>
      <c r="O270" s="41"/>
      <c r="P270" s="41"/>
      <c r="Q270" s="44"/>
      <c r="R270" s="41" t="s">
        <v>230</v>
      </c>
      <c r="S270" s="41"/>
      <c r="T270" s="41"/>
      <c r="U270" s="41"/>
      <c r="V270" s="44"/>
      <c r="W270" s="41" t="s">
        <v>230</v>
      </c>
      <c r="X270" s="41"/>
      <c r="Y270" s="41"/>
      <c r="Z270" s="41"/>
      <c r="AA270" s="44"/>
      <c r="AB270" s="41" t="s">
        <v>230</v>
      </c>
      <c r="AC270" s="41"/>
      <c r="AD270" s="41"/>
      <c r="AE270" s="41"/>
      <c r="AF270" s="41"/>
      <c r="AG270" s="41" t="s">
        <v>230</v>
      </c>
      <c r="AH270" s="41"/>
      <c r="AI270" s="41"/>
      <c r="AJ270" s="41"/>
      <c r="AK270" s="44"/>
      <c r="AL270" s="41" t="s">
        <v>230</v>
      </c>
      <c r="AM270" s="41"/>
      <c r="AN270" s="41"/>
      <c r="AO270" s="41"/>
      <c r="AP270" s="44"/>
      <c r="AQ270" s="41" t="s">
        <v>230</v>
      </c>
      <c r="AR270" s="41"/>
      <c r="AS270" s="41"/>
      <c r="AT270" s="41"/>
      <c r="AU270" s="44"/>
      <c r="AV270" s="41" t="s">
        <v>230</v>
      </c>
      <c r="AW270" s="44"/>
      <c r="AX270" s="47"/>
      <c r="AY270" s="49"/>
      <c r="AZ270" s="51"/>
      <c r="BA270" s="49" t="s">
        <v>230</v>
      </c>
      <c r="BB270" s="51"/>
      <c r="BC270" s="47"/>
      <c r="BD270" s="49"/>
      <c r="BE270" s="51"/>
      <c r="BF270" s="49" t="s">
        <v>230</v>
      </c>
      <c r="BG270" s="51"/>
      <c r="BH270" s="47"/>
      <c r="BI270" s="49"/>
      <c r="BJ270" s="51"/>
      <c r="BK270" s="49" t="s">
        <v>230</v>
      </c>
      <c r="BL270" s="51"/>
      <c r="BM270" s="47"/>
      <c r="BN270" s="53"/>
      <c r="BO270" s="54"/>
      <c r="BP270" s="53" t="s">
        <v>230</v>
      </c>
      <c r="BQ270" s="54"/>
      <c r="BR270" s="53"/>
      <c r="BS270" s="53"/>
      <c r="BT270" s="54"/>
      <c r="BU270" s="53" t="s">
        <v>230</v>
      </c>
      <c r="BV270" s="54"/>
      <c r="BW270" s="53"/>
      <c r="BX270" s="53"/>
      <c r="BY270" s="54"/>
      <c r="BZ270" s="53" t="s">
        <v>230</v>
      </c>
      <c r="CA270" s="54"/>
      <c r="CB270" s="53"/>
      <c r="CC270" s="53"/>
      <c r="CD270" s="54"/>
      <c r="CE270" s="53" t="s">
        <v>230</v>
      </c>
      <c r="CF270" s="53"/>
      <c r="CG270" s="53"/>
      <c r="CH270" s="53"/>
      <c r="CI270" s="54"/>
      <c r="CJ270" s="53" t="s">
        <v>230</v>
      </c>
      <c r="CK270" s="54"/>
      <c r="CL270" s="53"/>
      <c r="CM270" s="53"/>
      <c r="CN270" s="54"/>
      <c r="CO270" s="53" t="s">
        <v>230</v>
      </c>
      <c r="CP270" s="53"/>
      <c r="CQ270" s="53"/>
      <c r="CR270" s="419"/>
      <c r="CS270" s="487"/>
      <c r="CT270" s="575" t="s">
        <v>230</v>
      </c>
      <c r="CU270" s="53"/>
      <c r="CV270" s="53"/>
      <c r="CW270" s="53"/>
      <c r="CX270" s="54"/>
      <c r="CY270" s="53"/>
      <c r="CZ270" s="54"/>
      <c r="DA270" s="53"/>
      <c r="DB270" s="53"/>
      <c r="DC270" s="54"/>
      <c r="DD270" s="53"/>
      <c r="DE270" s="54"/>
      <c r="DF270" s="53"/>
      <c r="DG270" s="53"/>
      <c r="DH270" s="54"/>
      <c r="DI270" s="53"/>
      <c r="DJ270" s="54"/>
      <c r="DK270" s="53"/>
      <c r="DL270" s="53"/>
      <c r="DM270" s="54"/>
      <c r="DN270" s="54"/>
      <c r="DO270" s="54"/>
      <c r="DP270" s="53"/>
      <c r="DQ270" s="53"/>
      <c r="DR270" s="54"/>
      <c r="DS270" s="54"/>
      <c r="DT270" s="54"/>
      <c r="DU270" s="53"/>
      <c r="DV270" s="53"/>
      <c r="DW270" s="54"/>
      <c r="DX270" s="54"/>
      <c r="DY270" s="987"/>
      <c r="DZ270" s="988"/>
      <c r="EA270" s="983"/>
      <c r="EB270" s="985"/>
      <c r="EC270" s="426"/>
      <c r="ED270" s="456"/>
      <c r="EE270" s="446"/>
      <c r="EF270" s="16"/>
    </row>
    <row r="271" ht="17.25" customHeight="1">
      <c r="A271" s="5"/>
      <c r="B271" s="5"/>
      <c r="C271" s="41"/>
      <c r="D271" s="41"/>
      <c r="E271" s="41"/>
      <c r="F271" s="41"/>
      <c r="G271" s="41"/>
      <c r="H271" s="41" t="s">
        <v>230</v>
      </c>
      <c r="I271" s="41"/>
      <c r="J271" s="41"/>
      <c r="K271" s="41"/>
      <c r="L271" s="44"/>
      <c r="M271" s="41" t="s">
        <v>230</v>
      </c>
      <c r="N271" s="41"/>
      <c r="O271" s="41"/>
      <c r="P271" s="41"/>
      <c r="Q271" s="44"/>
      <c r="R271" s="41" t="s">
        <v>230</v>
      </c>
      <c r="S271" s="41"/>
      <c r="T271" s="41"/>
      <c r="U271" s="41"/>
      <c r="V271" s="44"/>
      <c r="W271" s="41" t="s">
        <v>230</v>
      </c>
      <c r="X271" s="41"/>
      <c r="Y271" s="41"/>
      <c r="Z271" s="41"/>
      <c r="AA271" s="44"/>
      <c r="AB271" s="41" t="s">
        <v>230</v>
      </c>
      <c r="AC271" s="41"/>
      <c r="AD271" s="41"/>
      <c r="AE271" s="41"/>
      <c r="AF271" s="41"/>
      <c r="AG271" s="41" t="s">
        <v>230</v>
      </c>
      <c r="AH271" s="41"/>
      <c r="AI271" s="41"/>
      <c r="AJ271" s="41"/>
      <c r="AK271" s="44"/>
      <c r="AL271" s="41" t="s">
        <v>230</v>
      </c>
      <c r="AM271" s="41"/>
      <c r="AN271" s="41"/>
      <c r="AO271" s="41"/>
      <c r="AP271" s="44"/>
      <c r="AQ271" s="41" t="s">
        <v>230</v>
      </c>
      <c r="AR271" s="41"/>
      <c r="AS271" s="41"/>
      <c r="AT271" s="41"/>
      <c r="AU271" s="44"/>
      <c r="AV271" s="41" t="s">
        <v>230</v>
      </c>
      <c r="AW271" s="44"/>
      <c r="AX271" s="47"/>
      <c r="AY271" s="49"/>
      <c r="AZ271" s="51"/>
      <c r="BA271" s="49" t="s">
        <v>230</v>
      </c>
      <c r="BB271" s="51"/>
      <c r="BC271" s="47"/>
      <c r="BD271" s="49"/>
      <c r="BE271" s="51"/>
      <c r="BF271" s="49" t="s">
        <v>230</v>
      </c>
      <c r="BG271" s="51"/>
      <c r="BH271" s="47"/>
      <c r="BI271" s="49"/>
      <c r="BJ271" s="51"/>
      <c r="BK271" s="49" t="s">
        <v>230</v>
      </c>
      <c r="BL271" s="51"/>
      <c r="BM271" s="47"/>
      <c r="BN271" s="53"/>
      <c r="BO271" s="54"/>
      <c r="BP271" s="53" t="s">
        <v>230</v>
      </c>
      <c r="BQ271" s="54"/>
      <c r="BR271" s="53"/>
      <c r="BS271" s="53"/>
      <c r="BT271" s="54"/>
      <c r="BU271" s="53" t="s">
        <v>230</v>
      </c>
      <c r="BV271" s="54"/>
      <c r="BW271" s="53"/>
      <c r="BX271" s="53"/>
      <c r="BY271" s="54"/>
      <c r="BZ271" s="53" t="s">
        <v>230</v>
      </c>
      <c r="CA271" s="54"/>
      <c r="CB271" s="53"/>
      <c r="CC271" s="53"/>
      <c r="CD271" s="54"/>
      <c r="CE271" s="53" t="s">
        <v>230</v>
      </c>
      <c r="CF271" s="53"/>
      <c r="CG271" s="53"/>
      <c r="CH271" s="53"/>
      <c r="CI271" s="54"/>
      <c r="CJ271" s="53" t="s">
        <v>230</v>
      </c>
      <c r="CK271" s="54"/>
      <c r="CL271" s="53"/>
      <c r="CM271" s="53"/>
      <c r="CN271" s="54"/>
      <c r="CO271" s="53" t="s">
        <v>230</v>
      </c>
      <c r="CP271" s="53"/>
      <c r="CQ271" s="53"/>
      <c r="CR271" s="419"/>
      <c r="CS271" s="487"/>
      <c r="CT271" s="575" t="s">
        <v>230</v>
      </c>
      <c r="CU271" s="53"/>
      <c r="CV271" s="53"/>
      <c r="CW271" s="53"/>
      <c r="CX271" s="54"/>
      <c r="CY271" s="53"/>
      <c r="CZ271" s="54"/>
      <c r="DA271" s="53"/>
      <c r="DB271" s="53"/>
      <c r="DC271" s="54"/>
      <c r="DD271" s="53"/>
      <c r="DE271" s="54"/>
      <c r="DF271" s="53"/>
      <c r="DG271" s="53"/>
      <c r="DH271" s="54"/>
      <c r="DI271" s="53"/>
      <c r="DJ271" s="54"/>
      <c r="DK271" s="53"/>
      <c r="DL271" s="53"/>
      <c r="DM271" s="54"/>
      <c r="DN271" s="54"/>
      <c r="DO271" s="54"/>
      <c r="DP271" s="53"/>
      <c r="DQ271" s="53"/>
      <c r="DR271" s="54"/>
      <c r="DS271" s="54"/>
      <c r="DT271" s="54"/>
      <c r="DU271" s="53"/>
      <c r="DV271" s="53"/>
      <c r="DW271" s="54"/>
      <c r="DX271" s="54"/>
      <c r="DY271" s="987"/>
      <c r="DZ271" s="988"/>
      <c r="EA271" s="983"/>
      <c r="EB271" s="985"/>
      <c r="EC271" s="426"/>
      <c r="ED271" s="456"/>
      <c r="EE271" s="446"/>
      <c r="EF271" s="16"/>
    </row>
    <row r="272" ht="17.25" customHeight="1">
      <c r="A272" s="5"/>
      <c r="B272" s="5"/>
      <c r="C272" s="41"/>
      <c r="D272" s="41"/>
      <c r="E272" s="41"/>
      <c r="F272" s="41"/>
      <c r="G272" s="41"/>
      <c r="H272" s="41" t="s">
        <v>230</v>
      </c>
      <c r="I272" s="41"/>
      <c r="J272" s="41"/>
      <c r="K272" s="41"/>
      <c r="L272" s="44"/>
      <c r="M272" s="41" t="s">
        <v>230</v>
      </c>
      <c r="N272" s="41"/>
      <c r="O272" s="41"/>
      <c r="P272" s="41"/>
      <c r="Q272" s="44"/>
      <c r="R272" s="41" t="s">
        <v>230</v>
      </c>
      <c r="S272" s="41"/>
      <c r="T272" s="41"/>
      <c r="U272" s="41"/>
      <c r="V272" s="44"/>
      <c r="W272" s="41" t="s">
        <v>230</v>
      </c>
      <c r="X272" s="41"/>
      <c r="Y272" s="41"/>
      <c r="Z272" s="41"/>
      <c r="AA272" s="44"/>
      <c r="AB272" s="41" t="s">
        <v>230</v>
      </c>
      <c r="AC272" s="41"/>
      <c r="AD272" s="41"/>
      <c r="AE272" s="41"/>
      <c r="AF272" s="41"/>
      <c r="AG272" s="41" t="s">
        <v>230</v>
      </c>
      <c r="AH272" s="41"/>
      <c r="AI272" s="41"/>
      <c r="AJ272" s="41"/>
      <c r="AK272" s="44"/>
      <c r="AL272" s="41" t="s">
        <v>230</v>
      </c>
      <c r="AM272" s="41"/>
      <c r="AN272" s="41"/>
      <c r="AO272" s="41"/>
      <c r="AP272" s="44"/>
      <c r="AQ272" s="41" t="s">
        <v>230</v>
      </c>
      <c r="AR272" s="41"/>
      <c r="AS272" s="41"/>
      <c r="AT272" s="41"/>
      <c r="AU272" s="44"/>
      <c r="AV272" s="41" t="s">
        <v>230</v>
      </c>
      <c r="AW272" s="44"/>
      <c r="AX272" s="47"/>
      <c r="AY272" s="49"/>
      <c r="AZ272" s="51"/>
      <c r="BA272" s="49" t="s">
        <v>230</v>
      </c>
      <c r="BB272" s="51"/>
      <c r="BC272" s="47"/>
      <c r="BD272" s="49"/>
      <c r="BE272" s="51"/>
      <c r="BF272" s="49" t="s">
        <v>230</v>
      </c>
      <c r="BG272" s="51"/>
      <c r="BH272" s="47"/>
      <c r="BI272" s="49"/>
      <c r="BJ272" s="51"/>
      <c r="BK272" s="49" t="s">
        <v>230</v>
      </c>
      <c r="BL272" s="51"/>
      <c r="BM272" s="47"/>
      <c r="BN272" s="53"/>
      <c r="BO272" s="54"/>
      <c r="BP272" s="53" t="s">
        <v>230</v>
      </c>
      <c r="BQ272" s="54"/>
      <c r="BR272" s="53"/>
      <c r="BS272" s="53"/>
      <c r="BT272" s="54"/>
      <c r="BU272" s="53" t="s">
        <v>230</v>
      </c>
      <c r="BV272" s="54"/>
      <c r="BW272" s="53"/>
      <c r="BX272" s="53"/>
      <c r="BY272" s="54"/>
      <c r="BZ272" s="53" t="s">
        <v>230</v>
      </c>
      <c r="CA272" s="54"/>
      <c r="CB272" s="53"/>
      <c r="CC272" s="53"/>
      <c r="CD272" s="54"/>
      <c r="CE272" s="53" t="s">
        <v>230</v>
      </c>
      <c r="CF272" s="53"/>
      <c r="CG272" s="53"/>
      <c r="CH272" s="53"/>
      <c r="CI272" s="54"/>
      <c r="CJ272" s="53" t="s">
        <v>230</v>
      </c>
      <c r="CK272" s="54"/>
      <c r="CL272" s="53"/>
      <c r="CM272" s="53"/>
      <c r="CN272" s="54"/>
      <c r="CO272" s="53" t="s">
        <v>230</v>
      </c>
      <c r="CP272" s="53"/>
      <c r="CQ272" s="53"/>
      <c r="CR272" s="419"/>
      <c r="CS272" s="487"/>
      <c r="CT272" s="575" t="s">
        <v>230</v>
      </c>
      <c r="CU272" s="53"/>
      <c r="CV272" s="53"/>
      <c r="CW272" s="53"/>
      <c r="CX272" s="54"/>
      <c r="CY272" s="53"/>
      <c r="CZ272" s="54"/>
      <c r="DA272" s="53"/>
      <c r="DB272" s="53"/>
      <c r="DC272" s="54"/>
      <c r="DD272" s="53"/>
      <c r="DE272" s="54"/>
      <c r="DF272" s="53"/>
      <c r="DG272" s="53"/>
      <c r="DH272" s="54"/>
      <c r="DI272" s="53"/>
      <c r="DJ272" s="54"/>
      <c r="DK272" s="53"/>
      <c r="DL272" s="53"/>
      <c r="DM272" s="54"/>
      <c r="DN272" s="54"/>
      <c r="DO272" s="54"/>
      <c r="DP272" s="53"/>
      <c r="DQ272" s="53"/>
      <c r="DR272" s="54"/>
      <c r="DS272" s="54"/>
      <c r="DT272" s="54"/>
      <c r="DU272" s="53"/>
      <c r="DV272" s="53"/>
      <c r="DW272" s="54"/>
      <c r="DX272" s="54"/>
      <c r="DY272" s="987"/>
      <c r="DZ272" s="988"/>
      <c r="EA272" s="983"/>
      <c r="EB272" s="985"/>
      <c r="EC272" s="426"/>
      <c r="ED272" s="456"/>
      <c r="EE272" s="446"/>
      <c r="EF272" s="16"/>
    </row>
    <row r="273" ht="17.25" customHeight="1">
      <c r="A273" s="5"/>
      <c r="B273" s="5"/>
      <c r="C273" s="41"/>
      <c r="D273" s="41"/>
      <c r="E273" s="41"/>
      <c r="F273" s="41"/>
      <c r="G273" s="41"/>
      <c r="H273" s="41" t="s">
        <v>230</v>
      </c>
      <c r="I273" s="41"/>
      <c r="J273" s="41"/>
      <c r="K273" s="41"/>
      <c r="L273" s="44"/>
      <c r="M273" s="41" t="s">
        <v>230</v>
      </c>
      <c r="N273" s="41"/>
      <c r="O273" s="41"/>
      <c r="P273" s="41"/>
      <c r="Q273" s="44"/>
      <c r="R273" s="41" t="s">
        <v>230</v>
      </c>
      <c r="S273" s="41"/>
      <c r="T273" s="41"/>
      <c r="U273" s="41"/>
      <c r="V273" s="44"/>
      <c r="W273" s="41" t="s">
        <v>230</v>
      </c>
      <c r="X273" s="41"/>
      <c r="Y273" s="41"/>
      <c r="Z273" s="41"/>
      <c r="AA273" s="44"/>
      <c r="AB273" s="41" t="s">
        <v>230</v>
      </c>
      <c r="AC273" s="41"/>
      <c r="AD273" s="41"/>
      <c r="AE273" s="41"/>
      <c r="AF273" s="41"/>
      <c r="AG273" s="41" t="s">
        <v>230</v>
      </c>
      <c r="AH273" s="41"/>
      <c r="AI273" s="41"/>
      <c r="AJ273" s="41"/>
      <c r="AK273" s="44"/>
      <c r="AL273" s="41" t="s">
        <v>230</v>
      </c>
      <c r="AM273" s="41"/>
      <c r="AN273" s="41"/>
      <c r="AO273" s="41"/>
      <c r="AP273" s="44"/>
      <c r="AQ273" s="41" t="s">
        <v>230</v>
      </c>
      <c r="AR273" s="41"/>
      <c r="AS273" s="41"/>
      <c r="AT273" s="41"/>
      <c r="AU273" s="44"/>
      <c r="AV273" s="41" t="s">
        <v>230</v>
      </c>
      <c r="AW273" s="44"/>
      <c r="AX273" s="47"/>
      <c r="AY273" s="49"/>
      <c r="AZ273" s="51"/>
      <c r="BA273" s="49" t="s">
        <v>230</v>
      </c>
      <c r="BB273" s="51"/>
      <c r="BC273" s="47"/>
      <c r="BD273" s="49"/>
      <c r="BE273" s="51"/>
      <c r="BF273" s="49" t="s">
        <v>230</v>
      </c>
      <c r="BG273" s="51"/>
      <c r="BH273" s="47"/>
      <c r="BI273" s="49"/>
      <c r="BJ273" s="51"/>
      <c r="BK273" s="49" t="s">
        <v>230</v>
      </c>
      <c r="BL273" s="51"/>
      <c r="BM273" s="47"/>
      <c r="BN273" s="53"/>
      <c r="BO273" s="54"/>
      <c r="BP273" s="53" t="s">
        <v>230</v>
      </c>
      <c r="BQ273" s="54"/>
      <c r="BR273" s="53"/>
      <c r="BS273" s="53"/>
      <c r="BT273" s="54"/>
      <c r="BU273" s="53" t="s">
        <v>230</v>
      </c>
      <c r="BV273" s="54"/>
      <c r="BW273" s="53"/>
      <c r="BX273" s="53"/>
      <c r="BY273" s="54"/>
      <c r="BZ273" s="53" t="s">
        <v>230</v>
      </c>
      <c r="CA273" s="54"/>
      <c r="CB273" s="53"/>
      <c r="CC273" s="53"/>
      <c r="CD273" s="54"/>
      <c r="CE273" s="53" t="s">
        <v>230</v>
      </c>
      <c r="CF273" s="53"/>
      <c r="CG273" s="53"/>
      <c r="CH273" s="53"/>
      <c r="CI273" s="54"/>
      <c r="CJ273" s="53" t="s">
        <v>230</v>
      </c>
      <c r="CK273" s="54"/>
      <c r="CL273" s="53"/>
      <c r="CM273" s="53"/>
      <c r="CN273" s="54"/>
      <c r="CO273" s="53" t="s">
        <v>230</v>
      </c>
      <c r="CP273" s="53"/>
      <c r="CQ273" s="53"/>
      <c r="CR273" s="419"/>
      <c r="CS273" s="487"/>
      <c r="CT273" s="575" t="s">
        <v>230</v>
      </c>
      <c r="CU273" s="53"/>
      <c r="CV273" s="53"/>
      <c r="CW273" s="53"/>
      <c r="CX273" s="54"/>
      <c r="CY273" s="53"/>
      <c r="CZ273" s="54"/>
      <c r="DA273" s="53"/>
      <c r="DB273" s="53"/>
      <c r="DC273" s="54"/>
      <c r="DD273" s="53"/>
      <c r="DE273" s="54"/>
      <c r="DF273" s="53"/>
      <c r="DG273" s="53"/>
      <c r="DH273" s="54"/>
      <c r="DI273" s="53"/>
      <c r="DJ273" s="54"/>
      <c r="DK273" s="53"/>
      <c r="DL273" s="53"/>
      <c r="DM273" s="54"/>
      <c r="DN273" s="54"/>
      <c r="DO273" s="54"/>
      <c r="DP273" s="53"/>
      <c r="DQ273" s="53"/>
      <c r="DR273" s="54"/>
      <c r="DS273" s="54"/>
      <c r="DT273" s="54"/>
      <c r="DU273" s="53"/>
      <c r="DV273" s="53"/>
      <c r="DW273" s="54"/>
      <c r="DX273" s="54"/>
      <c r="DY273" s="987"/>
      <c r="DZ273" s="988"/>
      <c r="EA273" s="983"/>
      <c r="EB273" s="985"/>
      <c r="EC273" s="426"/>
      <c r="ED273" s="456"/>
      <c r="EE273" s="446"/>
      <c r="EF273" s="16"/>
    </row>
    <row r="274" ht="17.25" customHeight="1">
      <c r="A274" s="5"/>
      <c r="B274" s="5"/>
      <c r="C274" s="41"/>
      <c r="D274" s="41"/>
      <c r="E274" s="41"/>
      <c r="F274" s="41"/>
      <c r="G274" s="41"/>
      <c r="H274" s="41" t="s">
        <v>230</v>
      </c>
      <c r="I274" s="41"/>
      <c r="J274" s="41"/>
      <c r="K274" s="41"/>
      <c r="L274" s="44"/>
      <c r="M274" s="41" t="s">
        <v>230</v>
      </c>
      <c r="N274" s="41"/>
      <c r="O274" s="41"/>
      <c r="P274" s="41"/>
      <c r="Q274" s="44"/>
      <c r="R274" s="41" t="s">
        <v>230</v>
      </c>
      <c r="S274" s="41"/>
      <c r="T274" s="41"/>
      <c r="U274" s="41"/>
      <c r="V274" s="44"/>
      <c r="W274" s="41" t="s">
        <v>230</v>
      </c>
      <c r="X274" s="41"/>
      <c r="Y274" s="41"/>
      <c r="Z274" s="41"/>
      <c r="AA274" s="44"/>
      <c r="AB274" s="41" t="s">
        <v>230</v>
      </c>
      <c r="AC274" s="41"/>
      <c r="AD274" s="41"/>
      <c r="AE274" s="41"/>
      <c r="AF274" s="41"/>
      <c r="AG274" s="41" t="s">
        <v>230</v>
      </c>
      <c r="AH274" s="41"/>
      <c r="AI274" s="41"/>
      <c r="AJ274" s="41"/>
      <c r="AK274" s="44"/>
      <c r="AL274" s="41" t="s">
        <v>230</v>
      </c>
      <c r="AM274" s="41"/>
      <c r="AN274" s="41"/>
      <c r="AO274" s="41"/>
      <c r="AP274" s="44"/>
      <c r="AQ274" s="41" t="s">
        <v>230</v>
      </c>
      <c r="AR274" s="41"/>
      <c r="AS274" s="41"/>
      <c r="AT274" s="41"/>
      <c r="AU274" s="44"/>
      <c r="AV274" s="41" t="s">
        <v>230</v>
      </c>
      <c r="AW274" s="44"/>
      <c r="AX274" s="47"/>
      <c r="AY274" s="49"/>
      <c r="AZ274" s="51"/>
      <c r="BA274" s="49" t="s">
        <v>230</v>
      </c>
      <c r="BB274" s="51"/>
      <c r="BC274" s="47"/>
      <c r="BD274" s="49"/>
      <c r="BE274" s="51"/>
      <c r="BF274" s="49" t="s">
        <v>230</v>
      </c>
      <c r="BG274" s="51"/>
      <c r="BH274" s="47"/>
      <c r="BI274" s="49"/>
      <c r="BJ274" s="51"/>
      <c r="BK274" s="49" t="s">
        <v>230</v>
      </c>
      <c r="BL274" s="51"/>
      <c r="BM274" s="47"/>
      <c r="BN274" s="53"/>
      <c r="BO274" s="54"/>
      <c r="BP274" s="53" t="s">
        <v>230</v>
      </c>
      <c r="BQ274" s="54"/>
      <c r="BR274" s="53"/>
      <c r="BS274" s="53"/>
      <c r="BT274" s="54"/>
      <c r="BU274" s="53" t="s">
        <v>230</v>
      </c>
      <c r="BV274" s="54"/>
      <c r="BW274" s="53"/>
      <c r="BX274" s="53"/>
      <c r="BY274" s="54"/>
      <c r="BZ274" s="53" t="s">
        <v>230</v>
      </c>
      <c r="CA274" s="54"/>
      <c r="CB274" s="53"/>
      <c r="CC274" s="53"/>
      <c r="CD274" s="54"/>
      <c r="CE274" s="53" t="s">
        <v>230</v>
      </c>
      <c r="CF274" s="53"/>
      <c r="CG274" s="53"/>
      <c r="CH274" s="53"/>
      <c r="CI274" s="54"/>
      <c r="CJ274" s="53" t="s">
        <v>230</v>
      </c>
      <c r="CK274" s="54"/>
      <c r="CL274" s="53"/>
      <c r="CM274" s="53"/>
      <c r="CN274" s="54"/>
      <c r="CO274" s="53" t="s">
        <v>230</v>
      </c>
      <c r="CP274" s="53"/>
      <c r="CQ274" s="53"/>
      <c r="CR274" s="419"/>
      <c r="CS274" s="487"/>
      <c r="CT274" s="575" t="s">
        <v>230</v>
      </c>
      <c r="CU274" s="53"/>
      <c r="CV274" s="53"/>
      <c r="CW274" s="53"/>
      <c r="CX274" s="54"/>
      <c r="CY274" s="53"/>
      <c r="CZ274" s="54"/>
      <c r="DA274" s="53"/>
      <c r="DB274" s="53"/>
      <c r="DC274" s="54"/>
      <c r="DD274" s="53"/>
      <c r="DE274" s="54"/>
      <c r="DF274" s="53"/>
      <c r="DG274" s="53"/>
      <c r="DH274" s="54"/>
      <c r="DI274" s="53"/>
      <c r="DJ274" s="54"/>
      <c r="DK274" s="53"/>
      <c r="DL274" s="53"/>
      <c r="DM274" s="54"/>
      <c r="DN274" s="54"/>
      <c r="DO274" s="54"/>
      <c r="DP274" s="53"/>
      <c r="DQ274" s="53"/>
      <c r="DR274" s="54"/>
      <c r="DS274" s="54"/>
      <c r="DT274" s="54"/>
      <c r="DU274" s="53"/>
      <c r="DV274" s="53"/>
      <c r="DW274" s="54"/>
      <c r="DX274" s="54"/>
      <c r="DY274" s="987"/>
      <c r="DZ274" s="988"/>
      <c r="EA274" s="983"/>
      <c r="EB274" s="985"/>
      <c r="EC274" s="426"/>
      <c r="ED274" s="456"/>
      <c r="EE274" s="446"/>
      <c r="EF274" s="16"/>
    </row>
    <row r="275" ht="17.25" customHeight="1">
      <c r="A275" s="5"/>
      <c r="B275" s="5"/>
      <c r="C275" s="41"/>
      <c r="D275" s="41"/>
      <c r="E275" s="41"/>
      <c r="F275" s="41"/>
      <c r="G275" s="41"/>
      <c r="H275" s="41" t="s">
        <v>230</v>
      </c>
      <c r="I275" s="41"/>
      <c r="J275" s="41"/>
      <c r="K275" s="41"/>
      <c r="L275" s="44"/>
      <c r="M275" s="41" t="s">
        <v>230</v>
      </c>
      <c r="N275" s="41"/>
      <c r="O275" s="41"/>
      <c r="P275" s="41"/>
      <c r="Q275" s="44"/>
      <c r="R275" s="41" t="s">
        <v>230</v>
      </c>
      <c r="S275" s="41"/>
      <c r="T275" s="41"/>
      <c r="U275" s="41"/>
      <c r="V275" s="44"/>
      <c r="W275" s="41" t="s">
        <v>230</v>
      </c>
      <c r="X275" s="41"/>
      <c r="Y275" s="41"/>
      <c r="Z275" s="41"/>
      <c r="AA275" s="44"/>
      <c r="AB275" s="41" t="s">
        <v>230</v>
      </c>
      <c r="AC275" s="41"/>
      <c r="AD275" s="41"/>
      <c r="AE275" s="41"/>
      <c r="AF275" s="41"/>
      <c r="AG275" s="41" t="s">
        <v>230</v>
      </c>
      <c r="AH275" s="41"/>
      <c r="AI275" s="41"/>
      <c r="AJ275" s="41"/>
      <c r="AK275" s="44"/>
      <c r="AL275" s="41" t="s">
        <v>230</v>
      </c>
      <c r="AM275" s="41"/>
      <c r="AN275" s="41"/>
      <c r="AO275" s="41"/>
      <c r="AP275" s="44"/>
      <c r="AQ275" s="41" t="s">
        <v>230</v>
      </c>
      <c r="AR275" s="41"/>
      <c r="AS275" s="41"/>
      <c r="AT275" s="41"/>
      <c r="AU275" s="44"/>
      <c r="AV275" s="41" t="s">
        <v>230</v>
      </c>
      <c r="AW275" s="44"/>
      <c r="AX275" s="47"/>
      <c r="AY275" s="49"/>
      <c r="AZ275" s="51"/>
      <c r="BA275" s="49" t="s">
        <v>230</v>
      </c>
      <c r="BB275" s="51"/>
      <c r="BC275" s="47"/>
      <c r="BD275" s="49"/>
      <c r="BE275" s="51"/>
      <c r="BF275" s="49" t="s">
        <v>230</v>
      </c>
      <c r="BG275" s="51"/>
      <c r="BH275" s="47"/>
      <c r="BI275" s="49"/>
      <c r="BJ275" s="51"/>
      <c r="BK275" s="49" t="s">
        <v>230</v>
      </c>
      <c r="BL275" s="51"/>
      <c r="BM275" s="47"/>
      <c r="BN275" s="53"/>
      <c r="BO275" s="54"/>
      <c r="BP275" s="53" t="s">
        <v>230</v>
      </c>
      <c r="BQ275" s="54"/>
      <c r="BR275" s="53"/>
      <c r="BS275" s="53"/>
      <c r="BT275" s="54"/>
      <c r="BU275" s="53" t="s">
        <v>230</v>
      </c>
      <c r="BV275" s="54"/>
      <c r="BW275" s="53"/>
      <c r="BX275" s="53"/>
      <c r="BY275" s="54"/>
      <c r="BZ275" s="53" t="s">
        <v>230</v>
      </c>
      <c r="CA275" s="54"/>
      <c r="CB275" s="53"/>
      <c r="CC275" s="53"/>
      <c r="CD275" s="54"/>
      <c r="CE275" s="53" t="s">
        <v>230</v>
      </c>
      <c r="CF275" s="53"/>
      <c r="CG275" s="53"/>
      <c r="CH275" s="53"/>
      <c r="CI275" s="54"/>
      <c r="CJ275" s="53" t="s">
        <v>230</v>
      </c>
      <c r="CK275" s="54"/>
      <c r="CL275" s="53"/>
      <c r="CM275" s="53"/>
      <c r="CN275" s="54"/>
      <c r="CO275" s="53" t="s">
        <v>230</v>
      </c>
      <c r="CP275" s="53"/>
      <c r="CQ275" s="53"/>
      <c r="CR275" s="419"/>
      <c r="CS275" s="487"/>
      <c r="CT275" s="575" t="s">
        <v>230</v>
      </c>
      <c r="CU275" s="53"/>
      <c r="CV275" s="53"/>
      <c r="CW275" s="53"/>
      <c r="CX275" s="54"/>
      <c r="CY275" s="53"/>
      <c r="CZ275" s="54"/>
      <c r="DA275" s="53"/>
      <c r="DB275" s="53"/>
      <c r="DC275" s="54"/>
      <c r="DD275" s="53"/>
      <c r="DE275" s="54"/>
      <c r="DF275" s="53"/>
      <c r="DG275" s="53"/>
      <c r="DH275" s="54"/>
      <c r="DI275" s="53"/>
      <c r="DJ275" s="54"/>
      <c r="DK275" s="53"/>
      <c r="DL275" s="53"/>
      <c r="DM275" s="54"/>
      <c r="DN275" s="54"/>
      <c r="DO275" s="54"/>
      <c r="DP275" s="53"/>
      <c r="DQ275" s="53"/>
      <c r="DR275" s="54"/>
      <c r="DS275" s="54"/>
      <c r="DT275" s="54"/>
      <c r="DU275" s="53"/>
      <c r="DV275" s="53"/>
      <c r="DW275" s="54"/>
      <c r="DX275" s="54"/>
      <c r="DY275" s="987"/>
      <c r="DZ275" s="988"/>
      <c r="EA275" s="983"/>
      <c r="EB275" s="985"/>
      <c r="EC275" s="426"/>
      <c r="ED275" s="456"/>
      <c r="EE275" s="446"/>
      <c r="EF275" s="16"/>
    </row>
    <row r="276" ht="17.25" customHeight="1">
      <c r="A276" s="5"/>
      <c r="B276" s="5"/>
      <c r="C276" s="41"/>
      <c r="D276" s="41"/>
      <c r="E276" s="41"/>
      <c r="F276" s="41"/>
      <c r="G276" s="41"/>
      <c r="H276" s="41" t="s">
        <v>230</v>
      </c>
      <c r="I276" s="41"/>
      <c r="J276" s="41"/>
      <c r="K276" s="41"/>
      <c r="L276" s="44"/>
      <c r="M276" s="41" t="s">
        <v>230</v>
      </c>
      <c r="N276" s="41"/>
      <c r="O276" s="41"/>
      <c r="P276" s="41"/>
      <c r="Q276" s="44"/>
      <c r="R276" s="41" t="s">
        <v>230</v>
      </c>
      <c r="S276" s="41"/>
      <c r="T276" s="41"/>
      <c r="U276" s="41"/>
      <c r="V276" s="44"/>
      <c r="W276" s="41" t="s">
        <v>230</v>
      </c>
      <c r="X276" s="41"/>
      <c r="Y276" s="41"/>
      <c r="Z276" s="41"/>
      <c r="AA276" s="44"/>
      <c r="AB276" s="41" t="s">
        <v>230</v>
      </c>
      <c r="AC276" s="41"/>
      <c r="AD276" s="41"/>
      <c r="AE276" s="41"/>
      <c r="AF276" s="41"/>
      <c r="AG276" s="41" t="s">
        <v>230</v>
      </c>
      <c r="AH276" s="41"/>
      <c r="AI276" s="41"/>
      <c r="AJ276" s="41"/>
      <c r="AK276" s="44"/>
      <c r="AL276" s="41" t="s">
        <v>230</v>
      </c>
      <c r="AM276" s="41"/>
      <c r="AN276" s="41"/>
      <c r="AO276" s="41"/>
      <c r="AP276" s="44"/>
      <c r="AQ276" s="41" t="s">
        <v>230</v>
      </c>
      <c r="AR276" s="41"/>
      <c r="AS276" s="41"/>
      <c r="AT276" s="41"/>
      <c r="AU276" s="44"/>
      <c r="AV276" s="41" t="s">
        <v>230</v>
      </c>
      <c r="AW276" s="44"/>
      <c r="AX276" s="47"/>
      <c r="AY276" s="49"/>
      <c r="AZ276" s="51"/>
      <c r="BA276" s="49" t="s">
        <v>230</v>
      </c>
      <c r="BB276" s="51"/>
      <c r="BC276" s="47"/>
      <c r="BD276" s="49"/>
      <c r="BE276" s="51"/>
      <c r="BF276" s="49" t="s">
        <v>230</v>
      </c>
      <c r="BG276" s="51"/>
      <c r="BH276" s="47"/>
      <c r="BI276" s="49"/>
      <c r="BJ276" s="51"/>
      <c r="BK276" s="49" t="s">
        <v>230</v>
      </c>
      <c r="BL276" s="51"/>
      <c r="BM276" s="47"/>
      <c r="BN276" s="53"/>
      <c r="BO276" s="54"/>
      <c r="BP276" s="53" t="s">
        <v>230</v>
      </c>
      <c r="BQ276" s="54"/>
      <c r="BR276" s="53"/>
      <c r="BS276" s="53"/>
      <c r="BT276" s="54"/>
      <c r="BU276" s="53" t="s">
        <v>230</v>
      </c>
      <c r="BV276" s="54"/>
      <c r="BW276" s="53"/>
      <c r="BX276" s="53"/>
      <c r="BY276" s="54"/>
      <c r="BZ276" s="53" t="s">
        <v>230</v>
      </c>
      <c r="CA276" s="54"/>
      <c r="CB276" s="53"/>
      <c r="CC276" s="53"/>
      <c r="CD276" s="54"/>
      <c r="CE276" s="53" t="s">
        <v>230</v>
      </c>
      <c r="CF276" s="53"/>
      <c r="CG276" s="53"/>
      <c r="CH276" s="53"/>
      <c r="CI276" s="54"/>
      <c r="CJ276" s="53" t="s">
        <v>230</v>
      </c>
      <c r="CK276" s="54"/>
      <c r="CL276" s="53"/>
      <c r="CM276" s="53"/>
      <c r="CN276" s="54"/>
      <c r="CO276" s="53" t="s">
        <v>230</v>
      </c>
      <c r="CP276" s="53"/>
      <c r="CQ276" s="53"/>
      <c r="CR276" s="419"/>
      <c r="CS276" s="487"/>
      <c r="CT276" s="575" t="s">
        <v>230</v>
      </c>
      <c r="CU276" s="53"/>
      <c r="CV276" s="53"/>
      <c r="CW276" s="53"/>
      <c r="CX276" s="54"/>
      <c r="CY276" s="53"/>
      <c r="CZ276" s="54"/>
      <c r="DA276" s="53"/>
      <c r="DB276" s="53"/>
      <c r="DC276" s="54"/>
      <c r="DD276" s="53"/>
      <c r="DE276" s="54"/>
      <c r="DF276" s="53"/>
      <c r="DG276" s="53"/>
      <c r="DH276" s="54"/>
      <c r="DI276" s="53"/>
      <c r="DJ276" s="54"/>
      <c r="DK276" s="53"/>
      <c r="DL276" s="53"/>
      <c r="DM276" s="54"/>
      <c r="DN276" s="54"/>
      <c r="DO276" s="54"/>
      <c r="DP276" s="53"/>
      <c r="DQ276" s="53"/>
      <c r="DR276" s="54"/>
      <c r="DS276" s="54"/>
      <c r="DT276" s="54"/>
      <c r="DU276" s="53"/>
      <c r="DV276" s="53"/>
      <c r="DW276" s="54"/>
      <c r="DX276" s="54"/>
      <c r="DY276" s="987"/>
      <c r="DZ276" s="988"/>
      <c r="EA276" s="983"/>
      <c r="EB276" s="985"/>
      <c r="EC276" s="426"/>
      <c r="ED276" s="456"/>
      <c r="EE276" s="446"/>
      <c r="EF276" s="16"/>
    </row>
    <row r="277" ht="17.25" customHeight="1">
      <c r="A277" s="5"/>
      <c r="B277" s="5"/>
      <c r="C277" s="41"/>
      <c r="D277" s="41"/>
      <c r="E277" s="41"/>
      <c r="F277" s="41"/>
      <c r="G277" s="41"/>
      <c r="H277" s="41" t="s">
        <v>230</v>
      </c>
      <c r="I277" s="41"/>
      <c r="J277" s="41"/>
      <c r="K277" s="41"/>
      <c r="L277" s="44"/>
      <c r="M277" s="41" t="s">
        <v>230</v>
      </c>
      <c r="N277" s="41"/>
      <c r="O277" s="41"/>
      <c r="P277" s="41"/>
      <c r="Q277" s="44"/>
      <c r="R277" s="41" t="s">
        <v>230</v>
      </c>
      <c r="S277" s="41"/>
      <c r="T277" s="41"/>
      <c r="U277" s="41"/>
      <c r="V277" s="44"/>
      <c r="W277" s="41" t="s">
        <v>230</v>
      </c>
      <c r="X277" s="41"/>
      <c r="Y277" s="41"/>
      <c r="Z277" s="41"/>
      <c r="AA277" s="44"/>
      <c r="AB277" s="41" t="s">
        <v>230</v>
      </c>
      <c r="AC277" s="41"/>
      <c r="AD277" s="41"/>
      <c r="AE277" s="41"/>
      <c r="AF277" s="41"/>
      <c r="AG277" s="41" t="s">
        <v>230</v>
      </c>
      <c r="AH277" s="41"/>
      <c r="AI277" s="41"/>
      <c r="AJ277" s="41"/>
      <c r="AK277" s="44"/>
      <c r="AL277" s="41" t="s">
        <v>230</v>
      </c>
      <c r="AM277" s="41"/>
      <c r="AN277" s="41"/>
      <c r="AO277" s="41"/>
      <c r="AP277" s="44"/>
      <c r="AQ277" s="41" t="s">
        <v>230</v>
      </c>
      <c r="AR277" s="41"/>
      <c r="AS277" s="41"/>
      <c r="AT277" s="41"/>
      <c r="AU277" s="44"/>
      <c r="AV277" s="41" t="s">
        <v>230</v>
      </c>
      <c r="AW277" s="44"/>
      <c r="AX277" s="47"/>
      <c r="AY277" s="49"/>
      <c r="AZ277" s="51"/>
      <c r="BA277" s="49" t="s">
        <v>230</v>
      </c>
      <c r="BB277" s="51"/>
      <c r="BC277" s="47"/>
      <c r="BD277" s="49"/>
      <c r="BE277" s="51"/>
      <c r="BF277" s="49" t="s">
        <v>230</v>
      </c>
      <c r="BG277" s="51"/>
      <c r="BH277" s="47"/>
      <c r="BI277" s="49"/>
      <c r="BJ277" s="51"/>
      <c r="BK277" s="49" t="s">
        <v>230</v>
      </c>
      <c r="BL277" s="51"/>
      <c r="BM277" s="47"/>
      <c r="BN277" s="53"/>
      <c r="BO277" s="54"/>
      <c r="BP277" s="53" t="s">
        <v>230</v>
      </c>
      <c r="BQ277" s="54"/>
      <c r="BR277" s="53"/>
      <c r="BS277" s="53"/>
      <c r="BT277" s="54"/>
      <c r="BU277" s="53" t="s">
        <v>230</v>
      </c>
      <c r="BV277" s="54"/>
      <c r="BW277" s="53"/>
      <c r="BX277" s="53"/>
      <c r="BY277" s="54"/>
      <c r="BZ277" s="53" t="s">
        <v>230</v>
      </c>
      <c r="CA277" s="54"/>
      <c r="CB277" s="53"/>
      <c r="CC277" s="53"/>
      <c r="CD277" s="54"/>
      <c r="CE277" s="53" t="s">
        <v>230</v>
      </c>
      <c r="CF277" s="53"/>
      <c r="CG277" s="53"/>
      <c r="CH277" s="53"/>
      <c r="CI277" s="54"/>
      <c r="CJ277" s="53" t="s">
        <v>230</v>
      </c>
      <c r="CK277" s="54"/>
      <c r="CL277" s="53"/>
      <c r="CM277" s="53"/>
      <c r="CN277" s="54"/>
      <c r="CO277" s="53" t="s">
        <v>230</v>
      </c>
      <c r="CP277" s="53"/>
      <c r="CQ277" s="53"/>
      <c r="CR277" s="419"/>
      <c r="CS277" s="487"/>
      <c r="CT277" s="575" t="s">
        <v>230</v>
      </c>
      <c r="CU277" s="53"/>
      <c r="CV277" s="53"/>
      <c r="CW277" s="53"/>
      <c r="CX277" s="54"/>
      <c r="CY277" s="53"/>
      <c r="CZ277" s="54"/>
      <c r="DA277" s="53"/>
      <c r="DB277" s="53"/>
      <c r="DC277" s="54"/>
      <c r="DD277" s="53"/>
      <c r="DE277" s="54"/>
      <c r="DF277" s="53"/>
      <c r="DG277" s="53"/>
      <c r="DH277" s="54"/>
      <c r="DI277" s="53"/>
      <c r="DJ277" s="54"/>
      <c r="DK277" s="53"/>
      <c r="DL277" s="53"/>
      <c r="DM277" s="54"/>
      <c r="DN277" s="54"/>
      <c r="DO277" s="54"/>
      <c r="DP277" s="53"/>
      <c r="DQ277" s="53"/>
      <c r="DR277" s="54"/>
      <c r="DS277" s="54"/>
      <c r="DT277" s="54"/>
      <c r="DU277" s="53"/>
      <c r="DV277" s="53"/>
      <c r="DW277" s="54"/>
      <c r="DX277" s="54"/>
      <c r="DY277" s="987"/>
      <c r="DZ277" s="988"/>
      <c r="EA277" s="983"/>
      <c r="EB277" s="985"/>
      <c r="EC277" s="426"/>
      <c r="ED277" s="456"/>
      <c r="EE277" s="446"/>
      <c r="EF277" s="16"/>
    </row>
    <row r="278" ht="17.25" customHeight="1">
      <c r="A278" s="5"/>
      <c r="B278" s="5"/>
      <c r="C278" s="41"/>
      <c r="D278" s="41"/>
      <c r="E278" s="41"/>
      <c r="F278" s="41"/>
      <c r="G278" s="41"/>
      <c r="H278" s="41" t="s">
        <v>230</v>
      </c>
      <c r="I278" s="41"/>
      <c r="J278" s="41"/>
      <c r="K278" s="41"/>
      <c r="L278" s="44"/>
      <c r="M278" s="41" t="s">
        <v>230</v>
      </c>
      <c r="N278" s="41"/>
      <c r="O278" s="41"/>
      <c r="P278" s="41"/>
      <c r="Q278" s="44"/>
      <c r="R278" s="41" t="s">
        <v>230</v>
      </c>
      <c r="S278" s="41"/>
      <c r="T278" s="41"/>
      <c r="U278" s="41"/>
      <c r="V278" s="44"/>
      <c r="W278" s="41" t="s">
        <v>230</v>
      </c>
      <c r="X278" s="41"/>
      <c r="Y278" s="41"/>
      <c r="Z278" s="41"/>
      <c r="AA278" s="44"/>
      <c r="AB278" s="41" t="s">
        <v>230</v>
      </c>
      <c r="AC278" s="41"/>
      <c r="AD278" s="41"/>
      <c r="AE278" s="41"/>
      <c r="AF278" s="41"/>
      <c r="AG278" s="41" t="s">
        <v>230</v>
      </c>
      <c r="AH278" s="41"/>
      <c r="AI278" s="41"/>
      <c r="AJ278" s="41"/>
      <c r="AK278" s="44"/>
      <c r="AL278" s="41" t="s">
        <v>230</v>
      </c>
      <c r="AM278" s="41"/>
      <c r="AN278" s="41"/>
      <c r="AO278" s="41"/>
      <c r="AP278" s="44"/>
      <c r="AQ278" s="41" t="s">
        <v>230</v>
      </c>
      <c r="AR278" s="41"/>
      <c r="AS278" s="41"/>
      <c r="AT278" s="41"/>
      <c r="AU278" s="44"/>
      <c r="AV278" s="41" t="s">
        <v>230</v>
      </c>
      <c r="AW278" s="44"/>
      <c r="AX278" s="47"/>
      <c r="AY278" s="49"/>
      <c r="AZ278" s="51"/>
      <c r="BA278" s="49" t="s">
        <v>230</v>
      </c>
      <c r="BB278" s="51"/>
      <c r="BC278" s="47"/>
      <c r="BD278" s="49"/>
      <c r="BE278" s="51"/>
      <c r="BF278" s="49" t="s">
        <v>230</v>
      </c>
      <c r="BG278" s="51"/>
      <c r="BH278" s="47"/>
      <c r="BI278" s="49"/>
      <c r="BJ278" s="51"/>
      <c r="BK278" s="49" t="s">
        <v>230</v>
      </c>
      <c r="BL278" s="51"/>
      <c r="BM278" s="47"/>
      <c r="BN278" s="53"/>
      <c r="BO278" s="54"/>
      <c r="BP278" s="53" t="s">
        <v>230</v>
      </c>
      <c r="BQ278" s="54"/>
      <c r="BR278" s="53"/>
      <c r="BS278" s="53"/>
      <c r="BT278" s="54"/>
      <c r="BU278" s="53" t="s">
        <v>230</v>
      </c>
      <c r="BV278" s="54"/>
      <c r="BW278" s="53"/>
      <c r="BX278" s="53"/>
      <c r="BY278" s="54"/>
      <c r="BZ278" s="53" t="s">
        <v>230</v>
      </c>
      <c r="CA278" s="54"/>
      <c r="CB278" s="53"/>
      <c r="CC278" s="53"/>
      <c r="CD278" s="54"/>
      <c r="CE278" s="53" t="s">
        <v>230</v>
      </c>
      <c r="CF278" s="53"/>
      <c r="CG278" s="53"/>
      <c r="CH278" s="53"/>
      <c r="CI278" s="54"/>
      <c r="CJ278" s="53" t="s">
        <v>230</v>
      </c>
      <c r="CK278" s="54"/>
      <c r="CL278" s="53"/>
      <c r="CM278" s="53"/>
      <c r="CN278" s="54"/>
      <c r="CO278" s="53" t="s">
        <v>230</v>
      </c>
      <c r="CP278" s="53"/>
      <c r="CQ278" s="53"/>
      <c r="CR278" s="419"/>
      <c r="CS278" s="487"/>
      <c r="CT278" s="575" t="s">
        <v>230</v>
      </c>
      <c r="CU278" s="53"/>
      <c r="CV278" s="53"/>
      <c r="CW278" s="53"/>
      <c r="CX278" s="54"/>
      <c r="CY278" s="53"/>
      <c r="CZ278" s="54"/>
      <c r="DA278" s="53"/>
      <c r="DB278" s="53"/>
      <c r="DC278" s="54"/>
      <c r="DD278" s="53"/>
      <c r="DE278" s="54"/>
      <c r="DF278" s="53"/>
      <c r="DG278" s="53"/>
      <c r="DH278" s="54"/>
      <c r="DI278" s="53"/>
      <c r="DJ278" s="54"/>
      <c r="DK278" s="53"/>
      <c r="DL278" s="53"/>
      <c r="DM278" s="54"/>
      <c r="DN278" s="54"/>
      <c r="DO278" s="54"/>
      <c r="DP278" s="53"/>
      <c r="DQ278" s="53"/>
      <c r="DR278" s="54"/>
      <c r="DS278" s="54"/>
      <c r="DT278" s="54"/>
      <c r="DU278" s="53"/>
      <c r="DV278" s="53"/>
      <c r="DW278" s="54"/>
      <c r="DX278" s="54"/>
      <c r="DY278" s="987"/>
      <c r="DZ278" s="988"/>
      <c r="EA278" s="983"/>
      <c r="EB278" s="985"/>
      <c r="EC278" s="426"/>
      <c r="ED278" s="456"/>
      <c r="EE278" s="446"/>
      <c r="EF278" s="16"/>
    </row>
    <row r="279" ht="17.25" customHeight="1">
      <c r="A279" s="5"/>
      <c r="B279" s="5"/>
      <c r="C279" s="41"/>
      <c r="D279" s="41"/>
      <c r="E279" s="41"/>
      <c r="F279" s="41"/>
      <c r="G279" s="41"/>
      <c r="H279" s="41" t="s">
        <v>230</v>
      </c>
      <c r="I279" s="41"/>
      <c r="J279" s="41"/>
      <c r="K279" s="41"/>
      <c r="L279" s="44"/>
      <c r="M279" s="41" t="s">
        <v>230</v>
      </c>
      <c r="N279" s="41"/>
      <c r="O279" s="41"/>
      <c r="P279" s="41"/>
      <c r="Q279" s="44"/>
      <c r="R279" s="41" t="s">
        <v>230</v>
      </c>
      <c r="S279" s="41"/>
      <c r="T279" s="41"/>
      <c r="U279" s="41"/>
      <c r="V279" s="44"/>
      <c r="W279" s="41" t="s">
        <v>230</v>
      </c>
      <c r="X279" s="41"/>
      <c r="Y279" s="41"/>
      <c r="Z279" s="41"/>
      <c r="AA279" s="44"/>
      <c r="AB279" s="41" t="s">
        <v>230</v>
      </c>
      <c r="AC279" s="41"/>
      <c r="AD279" s="41"/>
      <c r="AE279" s="41"/>
      <c r="AF279" s="41"/>
      <c r="AG279" s="41" t="s">
        <v>230</v>
      </c>
      <c r="AH279" s="41"/>
      <c r="AI279" s="41"/>
      <c r="AJ279" s="41"/>
      <c r="AK279" s="44"/>
      <c r="AL279" s="41" t="s">
        <v>230</v>
      </c>
      <c r="AM279" s="41"/>
      <c r="AN279" s="41"/>
      <c r="AO279" s="41"/>
      <c r="AP279" s="44"/>
      <c r="AQ279" s="41" t="s">
        <v>230</v>
      </c>
      <c r="AR279" s="41"/>
      <c r="AS279" s="41"/>
      <c r="AT279" s="41"/>
      <c r="AU279" s="44"/>
      <c r="AV279" s="41" t="s">
        <v>230</v>
      </c>
      <c r="AW279" s="44"/>
      <c r="AX279" s="47"/>
      <c r="AY279" s="49"/>
      <c r="AZ279" s="51"/>
      <c r="BA279" s="49" t="s">
        <v>230</v>
      </c>
      <c r="BB279" s="51"/>
      <c r="BC279" s="47"/>
      <c r="BD279" s="49"/>
      <c r="BE279" s="51"/>
      <c r="BF279" s="49" t="s">
        <v>230</v>
      </c>
      <c r="BG279" s="51"/>
      <c r="BH279" s="47"/>
      <c r="BI279" s="49"/>
      <c r="BJ279" s="51"/>
      <c r="BK279" s="49" t="s">
        <v>230</v>
      </c>
      <c r="BL279" s="51"/>
      <c r="BM279" s="47"/>
      <c r="BN279" s="53"/>
      <c r="BO279" s="54"/>
      <c r="BP279" s="53" t="s">
        <v>230</v>
      </c>
      <c r="BQ279" s="54"/>
      <c r="BR279" s="53"/>
      <c r="BS279" s="53"/>
      <c r="BT279" s="54"/>
      <c r="BU279" s="53" t="s">
        <v>230</v>
      </c>
      <c r="BV279" s="54"/>
      <c r="BW279" s="53"/>
      <c r="BX279" s="53"/>
      <c r="BY279" s="54"/>
      <c r="BZ279" s="53" t="s">
        <v>230</v>
      </c>
      <c r="CA279" s="54"/>
      <c r="CB279" s="53"/>
      <c r="CC279" s="53"/>
      <c r="CD279" s="54"/>
      <c r="CE279" s="53" t="s">
        <v>230</v>
      </c>
      <c r="CF279" s="53"/>
      <c r="CG279" s="53"/>
      <c r="CH279" s="53"/>
      <c r="CI279" s="54"/>
      <c r="CJ279" s="53" t="s">
        <v>230</v>
      </c>
      <c r="CK279" s="54"/>
      <c r="CL279" s="53"/>
      <c r="CM279" s="53"/>
      <c r="CN279" s="54"/>
      <c r="CO279" s="53" t="s">
        <v>230</v>
      </c>
      <c r="CP279" s="53"/>
      <c r="CQ279" s="53"/>
      <c r="CR279" s="419"/>
      <c r="CS279" s="487"/>
      <c r="CT279" s="575" t="s">
        <v>230</v>
      </c>
      <c r="CU279" s="53"/>
      <c r="CV279" s="53"/>
      <c r="CW279" s="53"/>
      <c r="CX279" s="54"/>
      <c r="CY279" s="53"/>
      <c r="CZ279" s="54"/>
      <c r="DA279" s="53"/>
      <c r="DB279" s="53"/>
      <c r="DC279" s="54"/>
      <c r="DD279" s="53"/>
      <c r="DE279" s="54"/>
      <c r="DF279" s="53"/>
      <c r="DG279" s="53"/>
      <c r="DH279" s="54"/>
      <c r="DI279" s="53"/>
      <c r="DJ279" s="54"/>
      <c r="DK279" s="53"/>
      <c r="DL279" s="53"/>
      <c r="DM279" s="54"/>
      <c r="DN279" s="54"/>
      <c r="DO279" s="54"/>
      <c r="DP279" s="53"/>
      <c r="DQ279" s="53"/>
      <c r="DR279" s="54"/>
      <c r="DS279" s="54"/>
      <c r="DT279" s="54"/>
      <c r="DU279" s="53"/>
      <c r="DV279" s="53"/>
      <c r="DW279" s="54"/>
      <c r="DX279" s="54"/>
      <c r="DY279" s="987"/>
      <c r="DZ279" s="988"/>
      <c r="EA279" s="983"/>
      <c r="EB279" s="985"/>
      <c r="EC279" s="426"/>
      <c r="ED279" s="456"/>
      <c r="EE279" s="446"/>
      <c r="EF279" s="16"/>
    </row>
    <row r="280" ht="17.25" customHeight="1">
      <c r="A280" s="5"/>
      <c r="B280" s="5"/>
      <c r="C280" s="41"/>
      <c r="D280" s="41"/>
      <c r="E280" s="41"/>
      <c r="F280" s="41"/>
      <c r="G280" s="41"/>
      <c r="H280" s="41" t="s">
        <v>230</v>
      </c>
      <c r="I280" s="41"/>
      <c r="J280" s="41"/>
      <c r="K280" s="41"/>
      <c r="L280" s="44"/>
      <c r="M280" s="41" t="s">
        <v>230</v>
      </c>
      <c r="N280" s="41"/>
      <c r="O280" s="41"/>
      <c r="P280" s="41"/>
      <c r="Q280" s="44"/>
      <c r="R280" s="41" t="s">
        <v>230</v>
      </c>
      <c r="S280" s="41"/>
      <c r="T280" s="41"/>
      <c r="U280" s="41"/>
      <c r="V280" s="44"/>
      <c r="W280" s="41" t="s">
        <v>230</v>
      </c>
      <c r="X280" s="41"/>
      <c r="Y280" s="41"/>
      <c r="Z280" s="41"/>
      <c r="AA280" s="44"/>
      <c r="AB280" s="41" t="s">
        <v>230</v>
      </c>
      <c r="AC280" s="41"/>
      <c r="AD280" s="41"/>
      <c r="AE280" s="41"/>
      <c r="AF280" s="41"/>
      <c r="AG280" s="41" t="s">
        <v>230</v>
      </c>
      <c r="AH280" s="41"/>
      <c r="AI280" s="41"/>
      <c r="AJ280" s="41"/>
      <c r="AK280" s="44"/>
      <c r="AL280" s="41" t="s">
        <v>230</v>
      </c>
      <c r="AM280" s="41"/>
      <c r="AN280" s="41"/>
      <c r="AO280" s="41"/>
      <c r="AP280" s="44"/>
      <c r="AQ280" s="41" t="s">
        <v>230</v>
      </c>
      <c r="AR280" s="41"/>
      <c r="AS280" s="41"/>
      <c r="AT280" s="41"/>
      <c r="AU280" s="44"/>
      <c r="AV280" s="41" t="s">
        <v>230</v>
      </c>
      <c r="AW280" s="44"/>
      <c r="AX280" s="47"/>
      <c r="AY280" s="49"/>
      <c r="AZ280" s="51"/>
      <c r="BA280" s="49" t="s">
        <v>230</v>
      </c>
      <c r="BB280" s="51"/>
      <c r="BC280" s="47"/>
      <c r="BD280" s="49"/>
      <c r="BE280" s="51"/>
      <c r="BF280" s="49" t="s">
        <v>230</v>
      </c>
      <c r="BG280" s="51"/>
      <c r="BH280" s="47"/>
      <c r="BI280" s="49"/>
      <c r="BJ280" s="51"/>
      <c r="BK280" s="49" t="s">
        <v>230</v>
      </c>
      <c r="BL280" s="51"/>
      <c r="BM280" s="47"/>
      <c r="BN280" s="53"/>
      <c r="BO280" s="54"/>
      <c r="BP280" s="53" t="s">
        <v>230</v>
      </c>
      <c r="BQ280" s="54"/>
      <c r="BR280" s="53"/>
      <c r="BS280" s="53"/>
      <c r="BT280" s="54"/>
      <c r="BU280" s="53" t="s">
        <v>230</v>
      </c>
      <c r="BV280" s="54"/>
      <c r="BW280" s="53"/>
      <c r="BX280" s="53"/>
      <c r="BY280" s="54"/>
      <c r="BZ280" s="53" t="s">
        <v>230</v>
      </c>
      <c r="CA280" s="54"/>
      <c r="CB280" s="53"/>
      <c r="CC280" s="53"/>
      <c r="CD280" s="54"/>
      <c r="CE280" s="53" t="s">
        <v>230</v>
      </c>
      <c r="CF280" s="53"/>
      <c r="CG280" s="53"/>
      <c r="CH280" s="53"/>
      <c r="CI280" s="54"/>
      <c r="CJ280" s="53" t="s">
        <v>230</v>
      </c>
      <c r="CK280" s="54"/>
      <c r="CL280" s="53"/>
      <c r="CM280" s="53"/>
      <c r="CN280" s="54"/>
      <c r="CO280" s="53" t="s">
        <v>230</v>
      </c>
      <c r="CP280" s="53"/>
      <c r="CQ280" s="53"/>
      <c r="CR280" s="419"/>
      <c r="CS280" s="487"/>
      <c r="CT280" s="575" t="s">
        <v>230</v>
      </c>
      <c r="CU280" s="53"/>
      <c r="CV280" s="53"/>
      <c r="CW280" s="53"/>
      <c r="CX280" s="54"/>
      <c r="CY280" s="53"/>
      <c r="CZ280" s="54"/>
      <c r="DA280" s="53"/>
      <c r="DB280" s="53"/>
      <c r="DC280" s="54"/>
      <c r="DD280" s="53"/>
      <c r="DE280" s="54"/>
      <c r="DF280" s="53"/>
      <c r="DG280" s="53"/>
      <c r="DH280" s="54"/>
      <c r="DI280" s="53"/>
      <c r="DJ280" s="54"/>
      <c r="DK280" s="53"/>
      <c r="DL280" s="53"/>
      <c r="DM280" s="54"/>
      <c r="DN280" s="54"/>
      <c r="DO280" s="54"/>
      <c r="DP280" s="53"/>
      <c r="DQ280" s="53"/>
      <c r="DR280" s="54"/>
      <c r="DS280" s="54"/>
      <c r="DT280" s="54"/>
      <c r="DU280" s="53"/>
      <c r="DV280" s="53"/>
      <c r="DW280" s="54"/>
      <c r="DX280" s="54"/>
      <c r="DY280" s="987"/>
      <c r="DZ280" s="988"/>
      <c r="EA280" s="983"/>
      <c r="EB280" s="985"/>
      <c r="EC280" s="426"/>
      <c r="ED280" s="456"/>
      <c r="EE280" s="446"/>
      <c r="EF280" s="16"/>
    </row>
    <row r="281" ht="17.25" customHeight="1">
      <c r="A281" s="5"/>
      <c r="B281" s="5"/>
      <c r="C281" s="41"/>
      <c r="D281" s="41"/>
      <c r="E281" s="41"/>
      <c r="F281" s="41"/>
      <c r="G281" s="41"/>
      <c r="H281" s="41" t="s">
        <v>230</v>
      </c>
      <c r="I281" s="41"/>
      <c r="J281" s="41"/>
      <c r="K281" s="41"/>
      <c r="L281" s="44"/>
      <c r="M281" s="41" t="s">
        <v>230</v>
      </c>
      <c r="N281" s="41"/>
      <c r="O281" s="41"/>
      <c r="P281" s="41"/>
      <c r="Q281" s="44"/>
      <c r="R281" s="41" t="s">
        <v>230</v>
      </c>
      <c r="S281" s="41"/>
      <c r="T281" s="41"/>
      <c r="U281" s="41"/>
      <c r="V281" s="44"/>
      <c r="W281" s="41" t="s">
        <v>230</v>
      </c>
      <c r="X281" s="41"/>
      <c r="Y281" s="41"/>
      <c r="Z281" s="41"/>
      <c r="AA281" s="44"/>
      <c r="AB281" s="41" t="s">
        <v>230</v>
      </c>
      <c r="AC281" s="41"/>
      <c r="AD281" s="41"/>
      <c r="AE281" s="41"/>
      <c r="AF281" s="41"/>
      <c r="AG281" s="41" t="s">
        <v>230</v>
      </c>
      <c r="AH281" s="41"/>
      <c r="AI281" s="41"/>
      <c r="AJ281" s="41"/>
      <c r="AK281" s="44"/>
      <c r="AL281" s="41" t="s">
        <v>230</v>
      </c>
      <c r="AM281" s="41"/>
      <c r="AN281" s="41"/>
      <c r="AO281" s="41"/>
      <c r="AP281" s="44"/>
      <c r="AQ281" s="41" t="s">
        <v>230</v>
      </c>
      <c r="AR281" s="41"/>
      <c r="AS281" s="41"/>
      <c r="AT281" s="41"/>
      <c r="AU281" s="44"/>
      <c r="AV281" s="41" t="s">
        <v>230</v>
      </c>
      <c r="AW281" s="44"/>
      <c r="AX281" s="47"/>
      <c r="AY281" s="49"/>
      <c r="AZ281" s="51"/>
      <c r="BA281" s="49" t="s">
        <v>230</v>
      </c>
      <c r="BB281" s="51"/>
      <c r="BC281" s="47"/>
      <c r="BD281" s="49"/>
      <c r="BE281" s="51"/>
      <c r="BF281" s="49" t="s">
        <v>230</v>
      </c>
      <c r="BG281" s="51"/>
      <c r="BH281" s="47"/>
      <c r="BI281" s="49"/>
      <c r="BJ281" s="51"/>
      <c r="BK281" s="49" t="s">
        <v>230</v>
      </c>
      <c r="BL281" s="51"/>
      <c r="BM281" s="47"/>
      <c r="BN281" s="53"/>
      <c r="BO281" s="54"/>
      <c r="BP281" s="53" t="s">
        <v>230</v>
      </c>
      <c r="BQ281" s="54"/>
      <c r="BR281" s="53"/>
      <c r="BS281" s="53"/>
      <c r="BT281" s="54"/>
      <c r="BU281" s="53" t="s">
        <v>230</v>
      </c>
      <c r="BV281" s="54"/>
      <c r="BW281" s="53"/>
      <c r="BX281" s="53"/>
      <c r="BY281" s="54"/>
      <c r="BZ281" s="53" t="s">
        <v>230</v>
      </c>
      <c r="CA281" s="54"/>
      <c r="CB281" s="53"/>
      <c r="CC281" s="53"/>
      <c r="CD281" s="54"/>
      <c r="CE281" s="53" t="s">
        <v>230</v>
      </c>
      <c r="CF281" s="53"/>
      <c r="CG281" s="53"/>
      <c r="CH281" s="53"/>
      <c r="CI281" s="54"/>
      <c r="CJ281" s="53" t="s">
        <v>230</v>
      </c>
      <c r="CK281" s="54"/>
      <c r="CL281" s="53"/>
      <c r="CM281" s="53"/>
      <c r="CN281" s="54"/>
      <c r="CO281" s="53" t="s">
        <v>230</v>
      </c>
      <c r="CP281" s="53"/>
      <c r="CQ281" s="53"/>
      <c r="CR281" s="419"/>
      <c r="CS281" s="487"/>
      <c r="CT281" s="575" t="s">
        <v>230</v>
      </c>
      <c r="CU281" s="53"/>
      <c r="CV281" s="53"/>
      <c r="CW281" s="53"/>
      <c r="CX281" s="54"/>
      <c r="CY281" s="53"/>
      <c r="CZ281" s="54"/>
      <c r="DA281" s="53"/>
      <c r="DB281" s="53"/>
      <c r="DC281" s="54"/>
      <c r="DD281" s="53"/>
      <c r="DE281" s="54"/>
      <c r="DF281" s="53"/>
      <c r="DG281" s="53"/>
      <c r="DH281" s="54"/>
      <c r="DI281" s="53"/>
      <c r="DJ281" s="54"/>
      <c r="DK281" s="53"/>
      <c r="DL281" s="53"/>
      <c r="DM281" s="54"/>
      <c r="DN281" s="54"/>
      <c r="DO281" s="54"/>
      <c r="DP281" s="53"/>
      <c r="DQ281" s="53"/>
      <c r="DR281" s="54"/>
      <c r="DS281" s="54"/>
      <c r="DT281" s="54"/>
      <c r="DU281" s="53"/>
      <c r="DV281" s="53"/>
      <c r="DW281" s="54"/>
      <c r="DX281" s="54"/>
      <c r="DY281" s="987"/>
      <c r="DZ281" s="988"/>
      <c r="EA281" s="983"/>
      <c r="EB281" s="985"/>
      <c r="EC281" s="426"/>
      <c r="ED281" s="456"/>
      <c r="EE281" s="446"/>
      <c r="EF281" s="16"/>
    </row>
    <row r="282" ht="17.25" customHeight="1">
      <c r="A282" s="5"/>
      <c r="B282" s="5"/>
      <c r="C282" s="41"/>
      <c r="D282" s="41"/>
      <c r="E282" s="41"/>
      <c r="F282" s="41"/>
      <c r="G282" s="41"/>
      <c r="H282" s="41" t="s">
        <v>230</v>
      </c>
      <c r="I282" s="41"/>
      <c r="J282" s="41"/>
      <c r="K282" s="41"/>
      <c r="L282" s="44"/>
      <c r="M282" s="41" t="s">
        <v>230</v>
      </c>
      <c r="N282" s="41"/>
      <c r="O282" s="41"/>
      <c r="P282" s="41"/>
      <c r="Q282" s="44"/>
      <c r="R282" s="41" t="s">
        <v>230</v>
      </c>
      <c r="S282" s="41"/>
      <c r="T282" s="41"/>
      <c r="U282" s="41"/>
      <c r="V282" s="44"/>
      <c r="W282" s="41" t="s">
        <v>230</v>
      </c>
      <c r="X282" s="41"/>
      <c r="Y282" s="41"/>
      <c r="Z282" s="41"/>
      <c r="AA282" s="44"/>
      <c r="AB282" s="41" t="s">
        <v>230</v>
      </c>
      <c r="AC282" s="41"/>
      <c r="AD282" s="41"/>
      <c r="AE282" s="41"/>
      <c r="AF282" s="41"/>
      <c r="AG282" s="41" t="s">
        <v>230</v>
      </c>
      <c r="AH282" s="41"/>
      <c r="AI282" s="41"/>
      <c r="AJ282" s="41"/>
      <c r="AK282" s="44"/>
      <c r="AL282" s="41" t="s">
        <v>230</v>
      </c>
      <c r="AM282" s="41"/>
      <c r="AN282" s="41"/>
      <c r="AO282" s="41"/>
      <c r="AP282" s="44"/>
      <c r="AQ282" s="41" t="s">
        <v>230</v>
      </c>
      <c r="AR282" s="41"/>
      <c r="AS282" s="41"/>
      <c r="AT282" s="41"/>
      <c r="AU282" s="44"/>
      <c r="AV282" s="41" t="s">
        <v>230</v>
      </c>
      <c r="AW282" s="44"/>
      <c r="AX282" s="47"/>
      <c r="AY282" s="49"/>
      <c r="AZ282" s="51"/>
      <c r="BA282" s="49" t="s">
        <v>230</v>
      </c>
      <c r="BB282" s="51"/>
      <c r="BC282" s="47"/>
      <c r="BD282" s="49"/>
      <c r="BE282" s="51"/>
      <c r="BF282" s="49" t="s">
        <v>230</v>
      </c>
      <c r="BG282" s="51"/>
      <c r="BH282" s="47"/>
      <c r="BI282" s="49"/>
      <c r="BJ282" s="51"/>
      <c r="BK282" s="49" t="s">
        <v>230</v>
      </c>
      <c r="BL282" s="51"/>
      <c r="BM282" s="47"/>
      <c r="BN282" s="53"/>
      <c r="BO282" s="54"/>
      <c r="BP282" s="53" t="s">
        <v>230</v>
      </c>
      <c r="BQ282" s="54"/>
      <c r="BR282" s="53"/>
      <c r="BS282" s="53"/>
      <c r="BT282" s="54"/>
      <c r="BU282" s="53" t="s">
        <v>230</v>
      </c>
      <c r="BV282" s="54"/>
      <c r="BW282" s="53"/>
      <c r="BX282" s="53"/>
      <c r="BY282" s="54"/>
      <c r="BZ282" s="53" t="s">
        <v>230</v>
      </c>
      <c r="CA282" s="54"/>
      <c r="CB282" s="53"/>
      <c r="CC282" s="53"/>
      <c r="CD282" s="54"/>
      <c r="CE282" s="53" t="s">
        <v>230</v>
      </c>
      <c r="CF282" s="53"/>
      <c r="CG282" s="53"/>
      <c r="CH282" s="53"/>
      <c r="CI282" s="54"/>
      <c r="CJ282" s="53" t="s">
        <v>230</v>
      </c>
      <c r="CK282" s="54"/>
      <c r="CL282" s="53"/>
      <c r="CM282" s="53"/>
      <c r="CN282" s="54"/>
      <c r="CO282" s="53" t="s">
        <v>230</v>
      </c>
      <c r="CP282" s="53"/>
      <c r="CQ282" s="53"/>
      <c r="CR282" s="57"/>
      <c r="CS282" s="999"/>
      <c r="CT282" s="58" t="s">
        <v>230</v>
      </c>
      <c r="CU282" s="53"/>
      <c r="CV282" s="53"/>
      <c r="CW282" s="53"/>
      <c r="CX282" s="54"/>
      <c r="CY282" s="53"/>
      <c r="CZ282" s="54"/>
      <c r="DA282" s="53"/>
      <c r="DB282" s="53"/>
      <c r="DC282" s="54"/>
      <c r="DD282" s="53"/>
      <c r="DE282" s="54"/>
      <c r="DF282" s="53"/>
      <c r="DG282" s="53"/>
      <c r="DH282" s="54"/>
      <c r="DI282" s="53"/>
      <c r="DJ282" s="54"/>
      <c r="DK282" s="53"/>
      <c r="DL282" s="53"/>
      <c r="DM282" s="54"/>
      <c r="DN282" s="54"/>
      <c r="DO282" s="54"/>
      <c r="DP282" s="53"/>
      <c r="DQ282" s="53"/>
      <c r="DR282" s="54"/>
      <c r="DS282" s="54"/>
      <c r="DT282" s="54"/>
      <c r="DU282" s="53"/>
      <c r="DV282" s="53"/>
      <c r="DW282" s="54"/>
      <c r="DX282" s="54"/>
      <c r="DY282" s="987"/>
      <c r="DZ282" s="988"/>
      <c r="EA282" s="983"/>
      <c r="EB282" s="985"/>
      <c r="EC282" s="426"/>
      <c r="ED282" s="456"/>
      <c r="EE282" s="446"/>
      <c r="EF282" s="16"/>
    </row>
    <row r="283" ht="17.25" customHeight="1">
      <c r="A283" s="5"/>
      <c r="B283" s="5"/>
      <c r="C283" s="41"/>
      <c r="D283" s="41"/>
      <c r="E283" s="41"/>
      <c r="F283" s="41"/>
      <c r="G283" s="41"/>
      <c r="H283" s="41" t="s">
        <v>230</v>
      </c>
      <c r="I283" s="41"/>
      <c r="J283" s="41"/>
      <c r="K283" s="41"/>
      <c r="L283" s="44"/>
      <c r="M283" s="41" t="s">
        <v>230</v>
      </c>
      <c r="N283" s="41"/>
      <c r="O283" s="41"/>
      <c r="P283" s="41"/>
      <c r="Q283" s="44"/>
      <c r="R283" s="41" t="s">
        <v>230</v>
      </c>
      <c r="S283" s="41"/>
      <c r="T283" s="41"/>
      <c r="U283" s="41"/>
      <c r="V283" s="44"/>
      <c r="W283" s="41" t="s">
        <v>230</v>
      </c>
      <c r="X283" s="41"/>
      <c r="Y283" s="41"/>
      <c r="Z283" s="41"/>
      <c r="AA283" s="44"/>
      <c r="AB283" s="41" t="s">
        <v>230</v>
      </c>
      <c r="AC283" s="41"/>
      <c r="AD283" s="41"/>
      <c r="AE283" s="41"/>
      <c r="AF283" s="41"/>
      <c r="AG283" s="41" t="s">
        <v>230</v>
      </c>
      <c r="AH283" s="41"/>
      <c r="AI283" s="41"/>
      <c r="AJ283" s="41"/>
      <c r="AK283" s="44"/>
      <c r="AL283" s="41" t="s">
        <v>230</v>
      </c>
      <c r="AM283" s="41"/>
      <c r="AN283" s="41"/>
      <c r="AO283" s="41"/>
      <c r="AP283" s="44"/>
      <c r="AQ283" s="41" t="s">
        <v>230</v>
      </c>
      <c r="AR283" s="41"/>
      <c r="AS283" s="41"/>
      <c r="AT283" s="41"/>
      <c r="AU283" s="44"/>
      <c r="AV283" s="41" t="s">
        <v>230</v>
      </c>
      <c r="AW283" s="44"/>
      <c r="AX283" s="47"/>
      <c r="AY283" s="49"/>
      <c r="AZ283" s="51"/>
      <c r="BA283" s="49" t="s">
        <v>230</v>
      </c>
      <c r="BB283" s="51"/>
      <c r="BC283" s="47"/>
      <c r="BD283" s="49"/>
      <c r="BE283" s="51"/>
      <c r="BF283" s="49" t="s">
        <v>230</v>
      </c>
      <c r="BG283" s="51"/>
      <c r="BH283" s="47"/>
      <c r="BI283" s="49"/>
      <c r="BJ283" s="51"/>
      <c r="BK283" s="49" t="s">
        <v>230</v>
      </c>
      <c r="BL283" s="51"/>
      <c r="BM283" s="47"/>
      <c r="BN283" s="53"/>
      <c r="BO283" s="54"/>
      <c r="BP283" s="53" t="s">
        <v>230</v>
      </c>
      <c r="BQ283" s="54"/>
      <c r="BR283" s="53"/>
      <c r="BS283" s="53"/>
      <c r="BT283" s="54"/>
      <c r="BU283" s="53" t="s">
        <v>230</v>
      </c>
      <c r="BV283" s="54"/>
      <c r="BW283" s="53"/>
      <c r="BX283" s="53"/>
      <c r="BY283" s="54"/>
      <c r="BZ283" s="53" t="s">
        <v>230</v>
      </c>
      <c r="CA283" s="54"/>
      <c r="CB283" s="53"/>
      <c r="CC283" s="53"/>
      <c r="CD283" s="54"/>
      <c r="CE283" s="53" t="s">
        <v>230</v>
      </c>
      <c r="CF283" s="53"/>
      <c r="CG283" s="53"/>
      <c r="CH283" s="53"/>
      <c r="CI283" s="54"/>
      <c r="CJ283" s="53" t="s">
        <v>230</v>
      </c>
      <c r="CK283" s="54"/>
      <c r="CL283" s="53"/>
      <c r="CM283" s="53"/>
      <c r="CN283" s="54"/>
      <c r="CO283" s="53" t="s">
        <v>230</v>
      </c>
      <c r="CP283" s="53"/>
      <c r="CQ283" s="53"/>
      <c r="CR283" s="57"/>
      <c r="CS283" s="999"/>
      <c r="CT283" s="58" t="s">
        <v>230</v>
      </c>
      <c r="CU283" s="53"/>
      <c r="CV283" s="53"/>
      <c r="CW283" s="53"/>
      <c r="CX283" s="54"/>
      <c r="CY283" s="53"/>
      <c r="CZ283" s="54"/>
      <c r="DA283" s="53"/>
      <c r="DB283" s="53"/>
      <c r="DC283" s="54"/>
      <c r="DD283" s="53"/>
      <c r="DE283" s="54"/>
      <c r="DF283" s="53"/>
      <c r="DG283" s="53"/>
      <c r="DH283" s="54"/>
      <c r="DI283" s="53"/>
      <c r="DJ283" s="54"/>
      <c r="DK283" s="53"/>
      <c r="DL283" s="53"/>
      <c r="DM283" s="54"/>
      <c r="DN283" s="54"/>
      <c r="DO283" s="54"/>
      <c r="DP283" s="53"/>
      <c r="DQ283" s="53"/>
      <c r="DR283" s="54"/>
      <c r="DS283" s="54"/>
      <c r="DT283" s="54"/>
      <c r="DU283" s="53"/>
      <c r="DV283" s="53"/>
      <c r="DW283" s="54"/>
      <c r="DX283" s="54"/>
      <c r="DY283" s="987"/>
      <c r="DZ283" s="988"/>
      <c r="EA283" s="983"/>
      <c r="EB283" s="985"/>
      <c r="EC283" s="426"/>
      <c r="ED283" s="456"/>
      <c r="EE283" s="446"/>
      <c r="EF283" s="16"/>
    </row>
    <row r="284" ht="17.25" customHeight="1">
      <c r="A284" s="5"/>
      <c r="B284" s="5"/>
      <c r="C284" s="41"/>
      <c r="D284" s="41"/>
      <c r="E284" s="41"/>
      <c r="F284" s="41"/>
      <c r="G284" s="41"/>
      <c r="H284" s="41" t="s">
        <v>230</v>
      </c>
      <c r="I284" s="41"/>
      <c r="J284" s="41"/>
      <c r="K284" s="41"/>
      <c r="L284" s="44"/>
      <c r="M284" s="41" t="s">
        <v>230</v>
      </c>
      <c r="N284" s="41"/>
      <c r="O284" s="41"/>
      <c r="P284" s="41"/>
      <c r="Q284" s="44"/>
      <c r="R284" s="41" t="s">
        <v>230</v>
      </c>
      <c r="S284" s="41"/>
      <c r="T284" s="41"/>
      <c r="U284" s="41"/>
      <c r="V284" s="44"/>
      <c r="W284" s="41" t="s">
        <v>230</v>
      </c>
      <c r="X284" s="41"/>
      <c r="Y284" s="41"/>
      <c r="Z284" s="41"/>
      <c r="AA284" s="44"/>
      <c r="AB284" s="41" t="s">
        <v>230</v>
      </c>
      <c r="AC284" s="41"/>
      <c r="AD284" s="41"/>
      <c r="AE284" s="41"/>
      <c r="AF284" s="41"/>
      <c r="AG284" s="41" t="s">
        <v>230</v>
      </c>
      <c r="AH284" s="41"/>
      <c r="AI284" s="41"/>
      <c r="AJ284" s="41"/>
      <c r="AK284" s="44"/>
      <c r="AL284" s="41" t="s">
        <v>230</v>
      </c>
      <c r="AM284" s="41"/>
      <c r="AN284" s="41"/>
      <c r="AO284" s="41"/>
      <c r="AP284" s="44"/>
      <c r="AQ284" s="41" t="s">
        <v>230</v>
      </c>
      <c r="AR284" s="41"/>
      <c r="AS284" s="41"/>
      <c r="AT284" s="41"/>
      <c r="AU284" s="44"/>
      <c r="AV284" s="41" t="s">
        <v>230</v>
      </c>
      <c r="AW284" s="44"/>
      <c r="AX284" s="47"/>
      <c r="AY284" s="49"/>
      <c r="AZ284" s="51"/>
      <c r="BA284" s="49" t="s">
        <v>230</v>
      </c>
      <c r="BB284" s="51"/>
      <c r="BC284" s="47"/>
      <c r="BD284" s="49"/>
      <c r="BE284" s="51"/>
      <c r="BF284" s="49" t="s">
        <v>230</v>
      </c>
      <c r="BG284" s="51"/>
      <c r="BH284" s="47"/>
      <c r="BI284" s="49"/>
      <c r="BJ284" s="51"/>
      <c r="BK284" s="49" t="s">
        <v>230</v>
      </c>
      <c r="BL284" s="51"/>
      <c r="BM284" s="47"/>
      <c r="BN284" s="53"/>
      <c r="BO284" s="54"/>
      <c r="BP284" s="53" t="s">
        <v>230</v>
      </c>
      <c r="BQ284" s="54"/>
      <c r="BR284" s="53"/>
      <c r="BS284" s="53"/>
      <c r="BT284" s="54"/>
      <c r="BU284" s="53" t="s">
        <v>230</v>
      </c>
      <c r="BV284" s="54"/>
      <c r="BW284" s="53"/>
      <c r="BX284" s="53"/>
      <c r="BY284" s="54"/>
      <c r="BZ284" s="53" t="s">
        <v>230</v>
      </c>
      <c r="CA284" s="54"/>
      <c r="CB284" s="53"/>
      <c r="CC284" s="53"/>
      <c r="CD284" s="54"/>
      <c r="CE284" s="53" t="s">
        <v>230</v>
      </c>
      <c r="CF284" s="53"/>
      <c r="CG284" s="53"/>
      <c r="CH284" s="53"/>
      <c r="CI284" s="54"/>
      <c r="CJ284" s="53" t="s">
        <v>230</v>
      </c>
      <c r="CK284" s="54"/>
      <c r="CL284" s="53"/>
      <c r="CM284" s="53"/>
      <c r="CN284" s="54"/>
      <c r="CO284" s="53" t="s">
        <v>230</v>
      </c>
      <c r="CP284" s="53"/>
      <c r="CQ284" s="53"/>
      <c r="CR284" s="57"/>
      <c r="CS284" s="1000"/>
      <c r="CT284" s="58" t="s">
        <v>230</v>
      </c>
      <c r="CU284" s="53"/>
      <c r="CV284" s="53"/>
      <c r="CW284" s="53"/>
      <c r="CX284" s="54"/>
      <c r="CY284" s="53"/>
      <c r="CZ284" s="54"/>
      <c r="DA284" s="53"/>
      <c r="DB284" s="53"/>
      <c r="DC284" s="54"/>
      <c r="DD284" s="53"/>
      <c r="DE284" s="54"/>
      <c r="DF284" s="53"/>
      <c r="DG284" s="53"/>
      <c r="DH284" s="54"/>
      <c r="DI284" s="53"/>
      <c r="DJ284" s="54"/>
      <c r="DK284" s="53"/>
      <c r="DL284" s="53"/>
      <c r="DM284" s="54"/>
      <c r="DN284" s="54"/>
      <c r="DO284" s="54"/>
      <c r="DP284" s="53"/>
      <c r="DQ284" s="53"/>
      <c r="DR284" s="54"/>
      <c r="DS284" s="54"/>
      <c r="DT284" s="54"/>
      <c r="DU284" s="53"/>
      <c r="DV284" s="53"/>
      <c r="DW284" s="54"/>
      <c r="DX284" s="54"/>
      <c r="DY284" s="987"/>
      <c r="DZ284" s="988"/>
      <c r="EA284" s="983"/>
      <c r="EB284" s="985"/>
      <c r="EC284" s="426"/>
      <c r="ED284" s="456"/>
      <c r="EE284" s="446"/>
      <c r="EF284" s="16"/>
    </row>
    <row r="285" ht="17.25" customHeight="1">
      <c r="A285" s="5"/>
      <c r="B285" s="5"/>
      <c r="C285" s="41"/>
      <c r="D285" s="41"/>
      <c r="E285" s="41"/>
      <c r="F285" s="41"/>
      <c r="G285" s="41"/>
      <c r="H285" s="41" t="s">
        <v>230</v>
      </c>
      <c r="I285" s="41"/>
      <c r="J285" s="41"/>
      <c r="K285" s="41"/>
      <c r="L285" s="44"/>
      <c r="M285" s="41" t="s">
        <v>230</v>
      </c>
      <c r="N285" s="41"/>
      <c r="O285" s="41"/>
      <c r="P285" s="41"/>
      <c r="Q285" s="44"/>
      <c r="R285" s="41" t="s">
        <v>230</v>
      </c>
      <c r="S285" s="41"/>
      <c r="T285" s="41"/>
      <c r="U285" s="41"/>
      <c r="V285" s="44"/>
      <c r="W285" s="41" t="s">
        <v>230</v>
      </c>
      <c r="X285" s="41"/>
      <c r="Y285" s="41"/>
      <c r="Z285" s="41"/>
      <c r="AA285" s="44"/>
      <c r="AB285" s="41" t="s">
        <v>230</v>
      </c>
      <c r="AC285" s="41"/>
      <c r="AD285" s="41"/>
      <c r="AE285" s="41"/>
      <c r="AF285" s="41"/>
      <c r="AG285" s="41" t="s">
        <v>230</v>
      </c>
      <c r="AH285" s="41"/>
      <c r="AI285" s="41"/>
      <c r="AJ285" s="41"/>
      <c r="AK285" s="44"/>
      <c r="AL285" s="41" t="s">
        <v>230</v>
      </c>
      <c r="AM285" s="41"/>
      <c r="AN285" s="41"/>
      <c r="AO285" s="41"/>
      <c r="AP285" s="44"/>
      <c r="AQ285" s="41" t="s">
        <v>230</v>
      </c>
      <c r="AR285" s="41"/>
      <c r="AS285" s="41"/>
      <c r="AT285" s="41"/>
      <c r="AU285" s="44"/>
      <c r="AV285" s="41" t="s">
        <v>230</v>
      </c>
      <c r="AW285" s="44"/>
      <c r="AX285" s="47"/>
      <c r="AY285" s="49"/>
      <c r="AZ285" s="51"/>
      <c r="BA285" s="49" t="s">
        <v>230</v>
      </c>
      <c r="BB285" s="51"/>
      <c r="BC285" s="47"/>
      <c r="BD285" s="49"/>
      <c r="BE285" s="51"/>
      <c r="BF285" s="49" t="s">
        <v>230</v>
      </c>
      <c r="BG285" s="51"/>
      <c r="BH285" s="47"/>
      <c r="BI285" s="49"/>
      <c r="BJ285" s="51"/>
      <c r="BK285" s="49" t="s">
        <v>230</v>
      </c>
      <c r="BL285" s="51"/>
      <c r="BM285" s="47"/>
      <c r="BN285" s="53"/>
      <c r="BO285" s="54"/>
      <c r="BP285" s="53" t="s">
        <v>230</v>
      </c>
      <c r="BQ285" s="54"/>
      <c r="BR285" s="53"/>
      <c r="BS285" s="53"/>
      <c r="BT285" s="54"/>
      <c r="BU285" s="53" t="s">
        <v>230</v>
      </c>
      <c r="BV285" s="54"/>
      <c r="BW285" s="53"/>
      <c r="BX285" s="53"/>
      <c r="BY285" s="54"/>
      <c r="BZ285" s="53" t="s">
        <v>230</v>
      </c>
      <c r="CA285" s="54"/>
      <c r="CB285" s="53"/>
      <c r="CC285" s="53"/>
      <c r="CD285" s="54"/>
      <c r="CE285" s="53" t="s">
        <v>230</v>
      </c>
      <c r="CF285" s="53"/>
      <c r="CG285" s="53"/>
      <c r="CH285" s="53"/>
      <c r="CI285" s="54"/>
      <c r="CJ285" s="53" t="s">
        <v>230</v>
      </c>
      <c r="CK285" s="54"/>
      <c r="CL285" s="53"/>
      <c r="CM285" s="53"/>
      <c r="CN285" s="54"/>
      <c r="CO285" s="53" t="s">
        <v>230</v>
      </c>
      <c r="CP285" s="53"/>
      <c r="CQ285" s="53"/>
      <c r="CR285" s="57"/>
      <c r="CS285" s="1000"/>
      <c r="CT285" s="58" t="s">
        <v>230</v>
      </c>
      <c r="CU285" s="53"/>
      <c r="CV285" s="53"/>
      <c r="CW285" s="53"/>
      <c r="CX285" s="54"/>
      <c r="CY285" s="53"/>
      <c r="CZ285" s="54"/>
      <c r="DA285" s="53"/>
      <c r="DB285" s="53"/>
      <c r="DC285" s="54"/>
      <c r="DD285" s="53"/>
      <c r="DE285" s="54"/>
      <c r="DF285" s="53"/>
      <c r="DG285" s="53"/>
      <c r="DH285" s="54"/>
      <c r="DI285" s="53"/>
      <c r="DJ285" s="54"/>
      <c r="DK285" s="53"/>
      <c r="DL285" s="53"/>
      <c r="DM285" s="54"/>
      <c r="DN285" s="54"/>
      <c r="DO285" s="54"/>
      <c r="DP285" s="53"/>
      <c r="DQ285" s="53"/>
      <c r="DR285" s="54"/>
      <c r="DS285" s="54"/>
      <c r="DT285" s="54"/>
      <c r="DU285" s="53"/>
      <c r="DV285" s="53"/>
      <c r="DW285" s="54"/>
      <c r="DX285" s="54"/>
      <c r="DY285" s="987"/>
      <c r="DZ285" s="988"/>
      <c r="EA285" s="983"/>
      <c r="EB285" s="985"/>
      <c r="EC285" s="426"/>
      <c r="ED285" s="456"/>
      <c r="EE285" s="446"/>
      <c r="EF285" s="16"/>
    </row>
    <row r="286" ht="17.25" customHeight="1">
      <c r="A286" s="5"/>
      <c r="B286" s="5"/>
      <c r="C286" s="41"/>
      <c r="D286" s="41"/>
      <c r="E286" s="41"/>
      <c r="F286" s="41"/>
      <c r="G286" s="41"/>
      <c r="H286" s="41" t="s">
        <v>230</v>
      </c>
      <c r="I286" s="41"/>
      <c r="J286" s="41"/>
      <c r="K286" s="41"/>
      <c r="L286" s="44"/>
      <c r="M286" s="41" t="s">
        <v>230</v>
      </c>
      <c r="N286" s="41"/>
      <c r="O286" s="41"/>
      <c r="P286" s="41"/>
      <c r="Q286" s="44"/>
      <c r="R286" s="41" t="s">
        <v>230</v>
      </c>
      <c r="S286" s="41"/>
      <c r="T286" s="41"/>
      <c r="U286" s="41"/>
      <c r="V286" s="44"/>
      <c r="W286" s="41" t="s">
        <v>230</v>
      </c>
      <c r="X286" s="41"/>
      <c r="Y286" s="41"/>
      <c r="Z286" s="41"/>
      <c r="AA286" s="44"/>
      <c r="AB286" s="41" t="s">
        <v>230</v>
      </c>
      <c r="AC286" s="41"/>
      <c r="AD286" s="41"/>
      <c r="AE286" s="41"/>
      <c r="AF286" s="41"/>
      <c r="AG286" s="41" t="s">
        <v>230</v>
      </c>
      <c r="AH286" s="41"/>
      <c r="AI286" s="41"/>
      <c r="AJ286" s="41"/>
      <c r="AK286" s="44"/>
      <c r="AL286" s="41" t="s">
        <v>230</v>
      </c>
      <c r="AM286" s="41"/>
      <c r="AN286" s="41"/>
      <c r="AO286" s="41"/>
      <c r="AP286" s="44"/>
      <c r="AQ286" s="41" t="s">
        <v>230</v>
      </c>
      <c r="AR286" s="41"/>
      <c r="AS286" s="41"/>
      <c r="AT286" s="41"/>
      <c r="AU286" s="44"/>
      <c r="AV286" s="41" t="s">
        <v>230</v>
      </c>
      <c r="AW286" s="44"/>
      <c r="AX286" s="47"/>
      <c r="AY286" s="49"/>
      <c r="AZ286" s="51"/>
      <c r="BA286" s="49" t="s">
        <v>230</v>
      </c>
      <c r="BB286" s="51"/>
      <c r="BC286" s="47"/>
      <c r="BD286" s="49"/>
      <c r="BE286" s="51"/>
      <c r="BF286" s="49" t="s">
        <v>230</v>
      </c>
      <c r="BG286" s="51"/>
      <c r="BH286" s="47"/>
      <c r="BI286" s="49"/>
      <c r="BJ286" s="51"/>
      <c r="BK286" s="49" t="s">
        <v>230</v>
      </c>
      <c r="BL286" s="51"/>
      <c r="BM286" s="47"/>
      <c r="BN286" s="53"/>
      <c r="BO286" s="54"/>
      <c r="BP286" s="53" t="s">
        <v>230</v>
      </c>
      <c r="BQ286" s="54"/>
      <c r="BR286" s="53"/>
      <c r="BS286" s="53"/>
      <c r="BT286" s="54"/>
      <c r="BU286" s="53" t="s">
        <v>230</v>
      </c>
      <c r="BV286" s="54"/>
      <c r="BW286" s="53"/>
      <c r="BX286" s="53"/>
      <c r="BY286" s="54"/>
      <c r="BZ286" s="53" t="s">
        <v>230</v>
      </c>
      <c r="CA286" s="54"/>
      <c r="CB286" s="53"/>
      <c r="CC286" s="53"/>
      <c r="CD286" s="54"/>
      <c r="CE286" s="53" t="s">
        <v>230</v>
      </c>
      <c r="CF286" s="53"/>
      <c r="CG286" s="53"/>
      <c r="CH286" s="53"/>
      <c r="CI286" s="54"/>
      <c r="CJ286" s="53" t="s">
        <v>230</v>
      </c>
      <c r="CK286" s="54"/>
      <c r="CL286" s="53"/>
      <c r="CM286" s="53"/>
      <c r="CN286" s="54"/>
      <c r="CO286" s="53" t="s">
        <v>230</v>
      </c>
      <c r="CP286" s="53"/>
      <c r="CQ286" s="53"/>
      <c r="CR286" s="57"/>
      <c r="CS286" s="1000"/>
      <c r="CT286" s="58" t="s">
        <v>230</v>
      </c>
      <c r="CU286" s="53"/>
      <c r="CV286" s="53"/>
      <c r="CW286" s="53"/>
      <c r="CX286" s="54"/>
      <c r="CY286" s="53"/>
      <c r="CZ286" s="54"/>
      <c r="DA286" s="53"/>
      <c r="DB286" s="53"/>
      <c r="DC286" s="54"/>
      <c r="DD286" s="53"/>
      <c r="DE286" s="54"/>
      <c r="DF286" s="53"/>
      <c r="DG286" s="53"/>
      <c r="DH286" s="54"/>
      <c r="DI286" s="53"/>
      <c r="DJ286" s="54"/>
      <c r="DK286" s="53"/>
      <c r="DL286" s="53"/>
      <c r="DM286" s="54"/>
      <c r="DN286" s="54"/>
      <c r="DO286" s="54"/>
      <c r="DP286" s="53"/>
      <c r="DQ286" s="53"/>
      <c r="DR286" s="54"/>
      <c r="DS286" s="54"/>
      <c r="DT286" s="54"/>
      <c r="DU286" s="53"/>
      <c r="DV286" s="53"/>
      <c r="DW286" s="54"/>
      <c r="DX286" s="54"/>
      <c r="DY286" s="987"/>
      <c r="DZ286" s="988"/>
      <c r="EA286" s="983"/>
      <c r="EB286" s="985"/>
      <c r="EC286" s="426"/>
      <c r="ED286" s="456"/>
      <c r="EE286" s="446"/>
      <c r="EF286" s="16"/>
    </row>
    <row r="287" ht="17.25" customHeight="1">
      <c r="A287" s="5"/>
      <c r="B287" s="5"/>
      <c r="C287" s="41"/>
      <c r="D287" s="41"/>
      <c r="E287" s="41"/>
      <c r="F287" s="41"/>
      <c r="G287" s="41"/>
      <c r="H287" s="41" t="s">
        <v>230</v>
      </c>
      <c r="I287" s="41"/>
      <c r="J287" s="41"/>
      <c r="K287" s="41"/>
      <c r="L287" s="44"/>
      <c r="M287" s="41" t="s">
        <v>230</v>
      </c>
      <c r="N287" s="41"/>
      <c r="O287" s="41"/>
      <c r="P287" s="41"/>
      <c r="Q287" s="44"/>
      <c r="R287" s="41" t="s">
        <v>230</v>
      </c>
      <c r="S287" s="41"/>
      <c r="T287" s="41"/>
      <c r="U287" s="41"/>
      <c r="V287" s="44"/>
      <c r="W287" s="41" t="s">
        <v>230</v>
      </c>
      <c r="X287" s="41"/>
      <c r="Y287" s="41"/>
      <c r="Z287" s="41"/>
      <c r="AA287" s="44"/>
      <c r="AB287" s="41" t="s">
        <v>230</v>
      </c>
      <c r="AC287" s="41"/>
      <c r="AD287" s="41"/>
      <c r="AE287" s="41"/>
      <c r="AF287" s="41"/>
      <c r="AG287" s="41" t="s">
        <v>230</v>
      </c>
      <c r="AH287" s="41"/>
      <c r="AI287" s="41"/>
      <c r="AJ287" s="41"/>
      <c r="AK287" s="44"/>
      <c r="AL287" s="41" t="s">
        <v>230</v>
      </c>
      <c r="AM287" s="41"/>
      <c r="AN287" s="41"/>
      <c r="AO287" s="41"/>
      <c r="AP287" s="44"/>
      <c r="AQ287" s="41" t="s">
        <v>230</v>
      </c>
      <c r="AR287" s="41"/>
      <c r="AS287" s="41"/>
      <c r="AT287" s="41"/>
      <c r="AU287" s="44"/>
      <c r="AV287" s="41" t="s">
        <v>230</v>
      </c>
      <c r="AW287" s="44"/>
      <c r="AX287" s="47"/>
      <c r="AY287" s="49"/>
      <c r="AZ287" s="51"/>
      <c r="BA287" s="49" t="s">
        <v>230</v>
      </c>
      <c r="BB287" s="51"/>
      <c r="BC287" s="47"/>
      <c r="BD287" s="49"/>
      <c r="BE287" s="51"/>
      <c r="BF287" s="49" t="s">
        <v>230</v>
      </c>
      <c r="BG287" s="51"/>
      <c r="BH287" s="47"/>
      <c r="BI287" s="49"/>
      <c r="BJ287" s="51"/>
      <c r="BK287" s="49" t="s">
        <v>230</v>
      </c>
      <c r="BL287" s="51"/>
      <c r="BM287" s="47"/>
      <c r="BN287" s="53"/>
      <c r="BO287" s="54"/>
      <c r="BP287" s="53" t="s">
        <v>230</v>
      </c>
      <c r="BQ287" s="54"/>
      <c r="BR287" s="53"/>
      <c r="BS287" s="53"/>
      <c r="BT287" s="54"/>
      <c r="BU287" s="53" t="s">
        <v>230</v>
      </c>
      <c r="BV287" s="54"/>
      <c r="BW287" s="53"/>
      <c r="BX287" s="53"/>
      <c r="BY287" s="54"/>
      <c r="BZ287" s="53" t="s">
        <v>230</v>
      </c>
      <c r="CA287" s="54"/>
      <c r="CB287" s="53"/>
      <c r="CC287" s="53"/>
      <c r="CD287" s="54"/>
      <c r="CE287" s="53" t="s">
        <v>230</v>
      </c>
      <c r="CF287" s="53"/>
      <c r="CG287" s="53"/>
      <c r="CH287" s="53"/>
      <c r="CI287" s="54"/>
      <c r="CJ287" s="53" t="s">
        <v>230</v>
      </c>
      <c r="CK287" s="54"/>
      <c r="CL287" s="53"/>
      <c r="CM287" s="53"/>
      <c r="CN287" s="54"/>
      <c r="CO287" s="53" t="s">
        <v>230</v>
      </c>
      <c r="CP287" s="53"/>
      <c r="CQ287" s="53"/>
      <c r="CR287" s="57"/>
      <c r="CS287" s="1000"/>
      <c r="CT287" s="58" t="s">
        <v>230</v>
      </c>
      <c r="CU287" s="53"/>
      <c r="CV287" s="53"/>
      <c r="CW287" s="53"/>
      <c r="CX287" s="54"/>
      <c r="CY287" s="53"/>
      <c r="CZ287" s="54"/>
      <c r="DA287" s="53"/>
      <c r="DB287" s="53"/>
      <c r="DC287" s="54"/>
      <c r="DD287" s="53"/>
      <c r="DE287" s="54"/>
      <c r="DF287" s="53"/>
      <c r="DG287" s="53"/>
      <c r="DH287" s="54"/>
      <c r="DI287" s="53"/>
      <c r="DJ287" s="54"/>
      <c r="DK287" s="53"/>
      <c r="DL287" s="53"/>
      <c r="DM287" s="54"/>
      <c r="DN287" s="54"/>
      <c r="DO287" s="54"/>
      <c r="DP287" s="53"/>
      <c r="DQ287" s="53"/>
      <c r="DR287" s="54"/>
      <c r="DS287" s="54"/>
      <c r="DT287" s="54"/>
      <c r="DU287" s="53"/>
      <c r="DV287" s="53"/>
      <c r="DW287" s="54"/>
      <c r="DX287" s="54"/>
      <c r="DY287" s="987"/>
      <c r="DZ287" s="988"/>
      <c r="EA287" s="983"/>
      <c r="EB287" s="985"/>
      <c r="EC287" s="426"/>
      <c r="ED287" s="456"/>
      <c r="EE287" s="446"/>
      <c r="EF287" s="16"/>
    </row>
    <row r="288" ht="17.25" customHeight="1">
      <c r="A288" s="5"/>
      <c r="B288" s="5"/>
      <c r="C288" s="41"/>
      <c r="D288" s="41"/>
      <c r="E288" s="41"/>
      <c r="F288" s="41"/>
      <c r="G288" s="41"/>
      <c r="H288" s="41" t="s">
        <v>230</v>
      </c>
      <c r="I288" s="41"/>
      <c r="J288" s="41"/>
      <c r="K288" s="41"/>
      <c r="L288" s="44"/>
      <c r="M288" s="41" t="s">
        <v>230</v>
      </c>
      <c r="N288" s="41"/>
      <c r="O288" s="41"/>
      <c r="P288" s="41"/>
      <c r="Q288" s="44"/>
      <c r="R288" s="41" t="s">
        <v>230</v>
      </c>
      <c r="S288" s="41"/>
      <c r="T288" s="41"/>
      <c r="U288" s="41"/>
      <c r="V288" s="44"/>
      <c r="W288" s="41" t="s">
        <v>230</v>
      </c>
      <c r="X288" s="41"/>
      <c r="Y288" s="41"/>
      <c r="Z288" s="41"/>
      <c r="AA288" s="44"/>
      <c r="AB288" s="41" t="s">
        <v>230</v>
      </c>
      <c r="AC288" s="41"/>
      <c r="AD288" s="41"/>
      <c r="AE288" s="41"/>
      <c r="AF288" s="41"/>
      <c r="AG288" s="41" t="s">
        <v>230</v>
      </c>
      <c r="AH288" s="41"/>
      <c r="AI288" s="41"/>
      <c r="AJ288" s="41"/>
      <c r="AK288" s="44"/>
      <c r="AL288" s="41" t="s">
        <v>230</v>
      </c>
      <c r="AM288" s="41"/>
      <c r="AN288" s="41"/>
      <c r="AO288" s="41"/>
      <c r="AP288" s="44"/>
      <c r="AQ288" s="41" t="s">
        <v>230</v>
      </c>
      <c r="AR288" s="41"/>
      <c r="AS288" s="41"/>
      <c r="AT288" s="41"/>
      <c r="AU288" s="44"/>
      <c r="AV288" s="41" t="s">
        <v>230</v>
      </c>
      <c r="AW288" s="44"/>
      <c r="AX288" s="47"/>
      <c r="AY288" s="49"/>
      <c r="AZ288" s="51"/>
      <c r="BA288" s="49" t="s">
        <v>230</v>
      </c>
      <c r="BB288" s="51"/>
      <c r="BC288" s="47"/>
      <c r="BD288" s="49"/>
      <c r="BE288" s="51"/>
      <c r="BF288" s="49" t="s">
        <v>230</v>
      </c>
      <c r="BG288" s="51"/>
      <c r="BH288" s="47"/>
      <c r="BI288" s="49"/>
      <c r="BJ288" s="51"/>
      <c r="BK288" s="49" t="s">
        <v>230</v>
      </c>
      <c r="BL288" s="51"/>
      <c r="BM288" s="47"/>
      <c r="BN288" s="53"/>
      <c r="BO288" s="54"/>
      <c r="BP288" s="53" t="s">
        <v>230</v>
      </c>
      <c r="BQ288" s="54"/>
      <c r="BR288" s="53"/>
      <c r="BS288" s="53"/>
      <c r="BT288" s="54"/>
      <c r="BU288" s="53" t="s">
        <v>230</v>
      </c>
      <c r="BV288" s="54"/>
      <c r="BW288" s="53"/>
      <c r="BX288" s="53"/>
      <c r="BY288" s="54"/>
      <c r="BZ288" s="53" t="s">
        <v>230</v>
      </c>
      <c r="CA288" s="54"/>
      <c r="CB288" s="53"/>
      <c r="CC288" s="53"/>
      <c r="CD288" s="54"/>
      <c r="CE288" s="53" t="s">
        <v>230</v>
      </c>
      <c r="CF288" s="53"/>
      <c r="CG288" s="53"/>
      <c r="CH288" s="53"/>
      <c r="CI288" s="54"/>
      <c r="CJ288" s="53" t="s">
        <v>230</v>
      </c>
      <c r="CK288" s="54"/>
      <c r="CL288" s="53"/>
      <c r="CM288" s="53"/>
      <c r="CN288" s="54"/>
      <c r="CO288" s="53" t="s">
        <v>230</v>
      </c>
      <c r="CP288" s="53"/>
      <c r="CQ288" s="53"/>
      <c r="CR288" s="57"/>
      <c r="CS288" s="1000"/>
      <c r="CT288" s="58" t="s">
        <v>230</v>
      </c>
      <c r="CU288" s="53"/>
      <c r="CV288" s="53"/>
      <c r="CW288" s="53"/>
      <c r="CX288" s="54"/>
      <c r="CY288" s="53"/>
      <c r="CZ288" s="54"/>
      <c r="DA288" s="53"/>
      <c r="DB288" s="53"/>
      <c r="DC288" s="54"/>
      <c r="DD288" s="53"/>
      <c r="DE288" s="54"/>
      <c r="DF288" s="53"/>
      <c r="DG288" s="53"/>
      <c r="DH288" s="54"/>
      <c r="DI288" s="53"/>
      <c r="DJ288" s="54"/>
      <c r="DK288" s="53"/>
      <c r="DL288" s="53"/>
      <c r="DM288" s="54"/>
      <c r="DN288" s="54"/>
      <c r="DO288" s="54"/>
      <c r="DP288" s="53"/>
      <c r="DQ288" s="53"/>
      <c r="DR288" s="54"/>
      <c r="DS288" s="54"/>
      <c r="DT288" s="54"/>
      <c r="DU288" s="53"/>
      <c r="DV288" s="53"/>
      <c r="DW288" s="54"/>
      <c r="DX288" s="54"/>
      <c r="DY288" s="987"/>
      <c r="DZ288" s="988"/>
      <c r="EA288" s="983"/>
      <c r="EB288" s="985"/>
      <c r="EC288" s="426"/>
      <c r="ED288" s="456"/>
      <c r="EE288" s="446"/>
      <c r="EF288" s="16"/>
    </row>
    <row r="289" ht="17.25" customHeight="1">
      <c r="A289" s="5"/>
      <c r="B289" s="5"/>
      <c r="C289" s="41"/>
      <c r="D289" s="41"/>
      <c r="E289" s="41"/>
      <c r="F289" s="41"/>
      <c r="G289" s="41"/>
      <c r="H289" s="41" t="s">
        <v>230</v>
      </c>
      <c r="I289" s="41"/>
      <c r="J289" s="41"/>
      <c r="K289" s="41"/>
      <c r="L289" s="44"/>
      <c r="M289" s="41" t="s">
        <v>230</v>
      </c>
      <c r="N289" s="41"/>
      <c r="O289" s="41"/>
      <c r="P289" s="41"/>
      <c r="Q289" s="44"/>
      <c r="R289" s="41" t="s">
        <v>230</v>
      </c>
      <c r="S289" s="41"/>
      <c r="T289" s="41"/>
      <c r="U289" s="41"/>
      <c r="V289" s="44"/>
      <c r="W289" s="41" t="s">
        <v>230</v>
      </c>
      <c r="X289" s="41"/>
      <c r="Y289" s="41"/>
      <c r="Z289" s="41"/>
      <c r="AA289" s="44"/>
      <c r="AB289" s="41" t="s">
        <v>230</v>
      </c>
      <c r="AC289" s="41"/>
      <c r="AD289" s="41"/>
      <c r="AE289" s="41"/>
      <c r="AF289" s="41"/>
      <c r="AG289" s="41" t="s">
        <v>230</v>
      </c>
      <c r="AH289" s="41"/>
      <c r="AI289" s="41"/>
      <c r="AJ289" s="41"/>
      <c r="AK289" s="44"/>
      <c r="AL289" s="41" t="s">
        <v>230</v>
      </c>
      <c r="AM289" s="41"/>
      <c r="AN289" s="41"/>
      <c r="AO289" s="41"/>
      <c r="AP289" s="44"/>
      <c r="AQ289" s="41" t="s">
        <v>230</v>
      </c>
      <c r="AR289" s="41"/>
      <c r="AS289" s="41"/>
      <c r="AT289" s="41"/>
      <c r="AU289" s="44"/>
      <c r="AV289" s="41" t="s">
        <v>230</v>
      </c>
      <c r="AW289" s="44"/>
      <c r="AX289" s="47"/>
      <c r="AY289" s="49"/>
      <c r="AZ289" s="51"/>
      <c r="BA289" s="49" t="s">
        <v>230</v>
      </c>
      <c r="BB289" s="51"/>
      <c r="BC289" s="47"/>
      <c r="BD289" s="49"/>
      <c r="BE289" s="51"/>
      <c r="BF289" s="49" t="s">
        <v>230</v>
      </c>
      <c r="BG289" s="51"/>
      <c r="BH289" s="47"/>
      <c r="BI289" s="49"/>
      <c r="BJ289" s="51"/>
      <c r="BK289" s="49" t="s">
        <v>230</v>
      </c>
      <c r="BL289" s="51"/>
      <c r="BM289" s="47"/>
      <c r="BN289" s="53"/>
      <c r="BO289" s="54"/>
      <c r="BP289" s="53" t="s">
        <v>230</v>
      </c>
      <c r="BQ289" s="54"/>
      <c r="BR289" s="53"/>
      <c r="BS289" s="53"/>
      <c r="BT289" s="54"/>
      <c r="BU289" s="53" t="s">
        <v>230</v>
      </c>
      <c r="BV289" s="54"/>
      <c r="BW289" s="53"/>
      <c r="BX289" s="53"/>
      <c r="BY289" s="54"/>
      <c r="BZ289" s="53" t="s">
        <v>230</v>
      </c>
      <c r="CA289" s="54"/>
      <c r="CB289" s="53"/>
      <c r="CC289" s="53"/>
      <c r="CD289" s="54"/>
      <c r="CE289" s="53" t="s">
        <v>230</v>
      </c>
      <c r="CF289" s="53"/>
      <c r="CG289" s="53"/>
      <c r="CH289" s="53"/>
      <c r="CI289" s="54"/>
      <c r="CJ289" s="53" t="s">
        <v>230</v>
      </c>
      <c r="CK289" s="54"/>
      <c r="CL289" s="53"/>
      <c r="CM289" s="53"/>
      <c r="CN289" s="54"/>
      <c r="CO289" s="53" t="s">
        <v>230</v>
      </c>
      <c r="CP289" s="53"/>
      <c r="CQ289" s="53"/>
      <c r="CR289" s="57"/>
      <c r="CS289" s="1000"/>
      <c r="CT289" s="58" t="s">
        <v>230</v>
      </c>
      <c r="CU289" s="53"/>
      <c r="CV289" s="53"/>
      <c r="CW289" s="53"/>
      <c r="CX289" s="54"/>
      <c r="CY289" s="53"/>
      <c r="CZ289" s="54"/>
      <c r="DA289" s="53"/>
      <c r="DB289" s="53"/>
      <c r="DC289" s="54"/>
      <c r="DD289" s="53"/>
      <c r="DE289" s="54"/>
      <c r="DF289" s="53"/>
      <c r="DG289" s="53"/>
      <c r="DH289" s="54"/>
      <c r="DI289" s="53"/>
      <c r="DJ289" s="54"/>
      <c r="DK289" s="53"/>
      <c r="DL289" s="53"/>
      <c r="DM289" s="54"/>
      <c r="DN289" s="54"/>
      <c r="DO289" s="54"/>
      <c r="DP289" s="53"/>
      <c r="DQ289" s="53"/>
      <c r="DR289" s="54"/>
      <c r="DS289" s="54"/>
      <c r="DT289" s="54"/>
      <c r="DU289" s="53"/>
      <c r="DV289" s="53"/>
      <c r="DW289" s="54"/>
      <c r="DX289" s="54"/>
      <c r="DY289" s="987"/>
      <c r="DZ289" s="988"/>
      <c r="EA289" s="983"/>
      <c r="EB289" s="985"/>
      <c r="EC289" s="426"/>
      <c r="ED289" s="456"/>
      <c r="EE289" s="446"/>
      <c r="EF289" s="16"/>
    </row>
    <row r="290" ht="17.25" customHeight="1">
      <c r="A290" s="5"/>
      <c r="B290" s="5"/>
      <c r="C290" s="41"/>
      <c r="D290" s="41"/>
      <c r="E290" s="41"/>
      <c r="F290" s="41"/>
      <c r="G290" s="41"/>
      <c r="H290" s="41" t="s">
        <v>230</v>
      </c>
      <c r="I290" s="41"/>
      <c r="J290" s="41"/>
      <c r="K290" s="41"/>
      <c r="L290" s="44"/>
      <c r="M290" s="41" t="s">
        <v>230</v>
      </c>
      <c r="N290" s="41"/>
      <c r="O290" s="41"/>
      <c r="P290" s="41"/>
      <c r="Q290" s="44"/>
      <c r="R290" s="41" t="s">
        <v>230</v>
      </c>
      <c r="S290" s="41"/>
      <c r="T290" s="41"/>
      <c r="U290" s="41"/>
      <c r="V290" s="44"/>
      <c r="W290" s="41" t="s">
        <v>230</v>
      </c>
      <c r="X290" s="41"/>
      <c r="Y290" s="41"/>
      <c r="Z290" s="41"/>
      <c r="AA290" s="44"/>
      <c r="AB290" s="41" t="s">
        <v>230</v>
      </c>
      <c r="AC290" s="41"/>
      <c r="AD290" s="41"/>
      <c r="AE290" s="41"/>
      <c r="AF290" s="41"/>
      <c r="AG290" s="41" t="s">
        <v>230</v>
      </c>
      <c r="AH290" s="41"/>
      <c r="AI290" s="41"/>
      <c r="AJ290" s="41"/>
      <c r="AK290" s="44"/>
      <c r="AL290" s="41" t="s">
        <v>230</v>
      </c>
      <c r="AM290" s="41"/>
      <c r="AN290" s="41"/>
      <c r="AO290" s="41"/>
      <c r="AP290" s="44"/>
      <c r="AQ290" s="41" t="s">
        <v>230</v>
      </c>
      <c r="AR290" s="41"/>
      <c r="AS290" s="41"/>
      <c r="AT290" s="41"/>
      <c r="AU290" s="44"/>
      <c r="AV290" s="41" t="s">
        <v>230</v>
      </c>
      <c r="AW290" s="44"/>
      <c r="AX290" s="47"/>
      <c r="AY290" s="49"/>
      <c r="AZ290" s="51"/>
      <c r="BA290" s="49" t="s">
        <v>230</v>
      </c>
      <c r="BB290" s="51"/>
      <c r="BC290" s="47"/>
      <c r="BD290" s="49"/>
      <c r="BE290" s="51"/>
      <c r="BF290" s="49" t="s">
        <v>230</v>
      </c>
      <c r="BG290" s="51"/>
      <c r="BH290" s="47"/>
      <c r="BI290" s="49"/>
      <c r="BJ290" s="51"/>
      <c r="BK290" s="49" t="s">
        <v>230</v>
      </c>
      <c r="BL290" s="51"/>
      <c r="BM290" s="47"/>
      <c r="BN290" s="53"/>
      <c r="BO290" s="54"/>
      <c r="BP290" s="53" t="s">
        <v>230</v>
      </c>
      <c r="BQ290" s="54"/>
      <c r="BR290" s="53"/>
      <c r="BS290" s="53"/>
      <c r="BT290" s="54"/>
      <c r="BU290" s="53" t="s">
        <v>230</v>
      </c>
      <c r="BV290" s="54"/>
      <c r="BW290" s="53"/>
      <c r="BX290" s="53"/>
      <c r="BY290" s="54"/>
      <c r="BZ290" s="53" t="s">
        <v>230</v>
      </c>
      <c r="CA290" s="54"/>
      <c r="CB290" s="53"/>
      <c r="CC290" s="53"/>
      <c r="CD290" s="54"/>
      <c r="CE290" s="53" t="s">
        <v>230</v>
      </c>
      <c r="CF290" s="53"/>
      <c r="CG290" s="53"/>
      <c r="CH290" s="53"/>
      <c r="CI290" s="54"/>
      <c r="CJ290" s="53" t="s">
        <v>230</v>
      </c>
      <c r="CK290" s="54"/>
      <c r="CL290" s="53"/>
      <c r="CM290" s="53"/>
      <c r="CN290" s="54"/>
      <c r="CO290" s="53" t="s">
        <v>230</v>
      </c>
      <c r="CP290" s="53"/>
      <c r="CQ290" s="53"/>
      <c r="CR290" s="57"/>
      <c r="CS290" s="1000"/>
      <c r="CT290" s="58" t="s">
        <v>230</v>
      </c>
      <c r="CU290" s="53"/>
      <c r="CV290" s="53"/>
      <c r="CW290" s="53"/>
      <c r="CX290" s="54"/>
      <c r="CY290" s="53"/>
      <c r="CZ290" s="54"/>
      <c r="DA290" s="53"/>
      <c r="DB290" s="53"/>
      <c r="DC290" s="54"/>
      <c r="DD290" s="53"/>
      <c r="DE290" s="54"/>
      <c r="DF290" s="53"/>
      <c r="DG290" s="53"/>
      <c r="DH290" s="54"/>
      <c r="DI290" s="53"/>
      <c r="DJ290" s="54"/>
      <c r="DK290" s="53"/>
      <c r="DL290" s="53"/>
      <c r="DM290" s="54"/>
      <c r="DN290" s="54"/>
      <c r="DO290" s="54"/>
      <c r="DP290" s="53"/>
      <c r="DQ290" s="53"/>
      <c r="DR290" s="54"/>
      <c r="DS290" s="54"/>
      <c r="DT290" s="54"/>
      <c r="DU290" s="53"/>
      <c r="DV290" s="53"/>
      <c r="DW290" s="54"/>
      <c r="DX290" s="54"/>
      <c r="DY290" s="987"/>
      <c r="DZ290" s="988"/>
      <c r="EA290" s="983"/>
      <c r="EB290" s="985"/>
      <c r="EC290" s="426"/>
      <c r="ED290" s="456"/>
      <c r="EE290" s="446"/>
      <c r="EF290" s="16"/>
    </row>
    <row r="291" ht="17.25" customHeight="1">
      <c r="A291" s="5"/>
      <c r="B291" s="5"/>
      <c r="C291" s="41"/>
      <c r="D291" s="41"/>
      <c r="E291" s="41"/>
      <c r="F291" s="41"/>
      <c r="G291" s="41"/>
      <c r="H291" s="41" t="s">
        <v>230</v>
      </c>
      <c r="I291" s="41"/>
      <c r="J291" s="41"/>
      <c r="K291" s="41"/>
      <c r="L291" s="44"/>
      <c r="M291" s="41" t="s">
        <v>230</v>
      </c>
      <c r="N291" s="41"/>
      <c r="O291" s="41"/>
      <c r="P291" s="41"/>
      <c r="Q291" s="44"/>
      <c r="R291" s="41" t="s">
        <v>230</v>
      </c>
      <c r="S291" s="41"/>
      <c r="T291" s="41"/>
      <c r="U291" s="41"/>
      <c r="V291" s="44"/>
      <c r="W291" s="41" t="s">
        <v>230</v>
      </c>
      <c r="X291" s="41"/>
      <c r="Y291" s="41"/>
      <c r="Z291" s="41"/>
      <c r="AA291" s="44"/>
      <c r="AB291" s="41" t="s">
        <v>230</v>
      </c>
      <c r="AC291" s="41"/>
      <c r="AD291" s="41"/>
      <c r="AE291" s="41"/>
      <c r="AF291" s="41"/>
      <c r="AG291" s="41" t="s">
        <v>230</v>
      </c>
      <c r="AH291" s="41"/>
      <c r="AI291" s="41"/>
      <c r="AJ291" s="41"/>
      <c r="AK291" s="44"/>
      <c r="AL291" s="41" t="s">
        <v>230</v>
      </c>
      <c r="AM291" s="41"/>
      <c r="AN291" s="41"/>
      <c r="AO291" s="41"/>
      <c r="AP291" s="44"/>
      <c r="AQ291" s="41" t="s">
        <v>230</v>
      </c>
      <c r="AR291" s="41"/>
      <c r="AS291" s="41"/>
      <c r="AT291" s="41"/>
      <c r="AU291" s="44"/>
      <c r="AV291" s="41" t="s">
        <v>230</v>
      </c>
      <c r="AW291" s="44"/>
      <c r="AX291" s="47"/>
      <c r="AY291" s="49"/>
      <c r="AZ291" s="51"/>
      <c r="BA291" s="49" t="s">
        <v>230</v>
      </c>
      <c r="BB291" s="51"/>
      <c r="BC291" s="47"/>
      <c r="BD291" s="49"/>
      <c r="BE291" s="51"/>
      <c r="BF291" s="49" t="s">
        <v>230</v>
      </c>
      <c r="BG291" s="51"/>
      <c r="BH291" s="47"/>
      <c r="BI291" s="49"/>
      <c r="BJ291" s="51"/>
      <c r="BK291" s="49" t="s">
        <v>230</v>
      </c>
      <c r="BL291" s="51"/>
      <c r="BM291" s="47"/>
      <c r="BN291" s="53"/>
      <c r="BO291" s="54"/>
      <c r="BP291" s="53" t="s">
        <v>230</v>
      </c>
      <c r="BQ291" s="54"/>
      <c r="BR291" s="53"/>
      <c r="BS291" s="53"/>
      <c r="BT291" s="54"/>
      <c r="BU291" s="53" t="s">
        <v>230</v>
      </c>
      <c r="BV291" s="54"/>
      <c r="BW291" s="53"/>
      <c r="BX291" s="53"/>
      <c r="BY291" s="54"/>
      <c r="BZ291" s="53" t="s">
        <v>230</v>
      </c>
      <c r="CA291" s="54"/>
      <c r="CB291" s="53"/>
      <c r="CC291" s="53"/>
      <c r="CD291" s="54"/>
      <c r="CE291" s="53" t="s">
        <v>230</v>
      </c>
      <c r="CF291" s="53"/>
      <c r="CG291" s="53"/>
      <c r="CH291" s="53"/>
      <c r="CI291" s="54"/>
      <c r="CJ291" s="53" t="s">
        <v>230</v>
      </c>
      <c r="CK291" s="54"/>
      <c r="CL291" s="53"/>
      <c r="CM291" s="53"/>
      <c r="CN291" s="54"/>
      <c r="CO291" s="53" t="s">
        <v>230</v>
      </c>
      <c r="CP291" s="53"/>
      <c r="CQ291" s="53"/>
      <c r="CR291" s="57"/>
      <c r="CS291" s="1000"/>
      <c r="CT291" s="58" t="s">
        <v>230</v>
      </c>
      <c r="CU291" s="53"/>
      <c r="CV291" s="53"/>
      <c r="CW291" s="53"/>
      <c r="CX291" s="54"/>
      <c r="CY291" s="53"/>
      <c r="CZ291" s="54"/>
      <c r="DA291" s="53"/>
      <c r="DB291" s="53"/>
      <c r="DC291" s="54"/>
      <c r="DD291" s="53"/>
      <c r="DE291" s="54"/>
      <c r="DF291" s="53"/>
      <c r="DG291" s="53"/>
      <c r="DH291" s="54"/>
      <c r="DI291" s="53"/>
      <c r="DJ291" s="54"/>
      <c r="DK291" s="53"/>
      <c r="DL291" s="53"/>
      <c r="DM291" s="54"/>
      <c r="DN291" s="54"/>
      <c r="DO291" s="54"/>
      <c r="DP291" s="53"/>
      <c r="DQ291" s="53"/>
      <c r="DR291" s="54"/>
      <c r="DS291" s="54"/>
      <c r="DT291" s="54"/>
      <c r="DU291" s="53"/>
      <c r="DV291" s="53"/>
      <c r="DW291" s="54"/>
      <c r="DX291" s="54"/>
      <c r="DY291" s="987"/>
      <c r="DZ291" s="988"/>
      <c r="EA291" s="983"/>
      <c r="EB291" s="985"/>
      <c r="EC291" s="426"/>
      <c r="ED291" s="456"/>
      <c r="EE291" s="446"/>
      <c r="EF291" s="16"/>
    </row>
    <row r="292" ht="17.25" customHeight="1">
      <c r="A292" s="5"/>
      <c r="B292" s="5"/>
      <c r="C292" s="41"/>
      <c r="D292" s="41"/>
      <c r="E292" s="41"/>
      <c r="F292" s="41"/>
      <c r="G292" s="41"/>
      <c r="H292" s="41" t="s">
        <v>230</v>
      </c>
      <c r="I292" s="41"/>
      <c r="J292" s="41"/>
      <c r="K292" s="41"/>
      <c r="L292" s="44"/>
      <c r="M292" s="41" t="s">
        <v>230</v>
      </c>
      <c r="N292" s="41"/>
      <c r="O292" s="41"/>
      <c r="P292" s="41"/>
      <c r="Q292" s="44"/>
      <c r="R292" s="41" t="s">
        <v>230</v>
      </c>
      <c r="S292" s="41"/>
      <c r="T292" s="41"/>
      <c r="U292" s="41"/>
      <c r="V292" s="44"/>
      <c r="W292" s="41" t="s">
        <v>230</v>
      </c>
      <c r="X292" s="41"/>
      <c r="Y292" s="41"/>
      <c r="Z292" s="41"/>
      <c r="AA292" s="44"/>
      <c r="AB292" s="41" t="s">
        <v>230</v>
      </c>
      <c r="AC292" s="41"/>
      <c r="AD292" s="41"/>
      <c r="AE292" s="41"/>
      <c r="AF292" s="41"/>
      <c r="AG292" s="41" t="s">
        <v>230</v>
      </c>
      <c r="AH292" s="41"/>
      <c r="AI292" s="41"/>
      <c r="AJ292" s="41"/>
      <c r="AK292" s="44"/>
      <c r="AL292" s="41" t="s">
        <v>230</v>
      </c>
      <c r="AM292" s="41"/>
      <c r="AN292" s="41"/>
      <c r="AO292" s="41"/>
      <c r="AP292" s="44"/>
      <c r="AQ292" s="41" t="s">
        <v>230</v>
      </c>
      <c r="AR292" s="41"/>
      <c r="AS292" s="41"/>
      <c r="AT292" s="41"/>
      <c r="AU292" s="44"/>
      <c r="AV292" s="41" t="s">
        <v>230</v>
      </c>
      <c r="AW292" s="44"/>
      <c r="AX292" s="47"/>
      <c r="AY292" s="49"/>
      <c r="AZ292" s="51"/>
      <c r="BA292" s="49" t="s">
        <v>230</v>
      </c>
      <c r="BB292" s="51"/>
      <c r="BC292" s="47"/>
      <c r="BD292" s="49"/>
      <c r="BE292" s="51"/>
      <c r="BF292" s="49" t="s">
        <v>230</v>
      </c>
      <c r="BG292" s="51"/>
      <c r="BH292" s="47"/>
      <c r="BI292" s="49"/>
      <c r="BJ292" s="51"/>
      <c r="BK292" s="49" t="s">
        <v>230</v>
      </c>
      <c r="BL292" s="51"/>
      <c r="BM292" s="47"/>
      <c r="BN292" s="53"/>
      <c r="BO292" s="54"/>
      <c r="BP292" s="53" t="s">
        <v>230</v>
      </c>
      <c r="BQ292" s="54"/>
      <c r="BR292" s="53"/>
      <c r="BS292" s="53"/>
      <c r="BT292" s="54"/>
      <c r="BU292" s="53" t="s">
        <v>230</v>
      </c>
      <c r="BV292" s="54"/>
      <c r="BW292" s="53"/>
      <c r="BX292" s="53"/>
      <c r="BY292" s="54"/>
      <c r="BZ292" s="53" t="s">
        <v>230</v>
      </c>
      <c r="CA292" s="54"/>
      <c r="CB292" s="53"/>
      <c r="CC292" s="53"/>
      <c r="CD292" s="54"/>
      <c r="CE292" s="53" t="s">
        <v>230</v>
      </c>
      <c r="CF292" s="53"/>
      <c r="CG292" s="53"/>
      <c r="CH292" s="53"/>
      <c r="CI292" s="54"/>
      <c r="CJ292" s="53" t="s">
        <v>230</v>
      </c>
      <c r="CK292" s="54"/>
      <c r="CL292" s="53"/>
      <c r="CM292" s="53"/>
      <c r="CN292" s="54"/>
      <c r="CO292" s="53" t="s">
        <v>230</v>
      </c>
      <c r="CP292" s="53"/>
      <c r="CQ292" s="53"/>
      <c r="CR292" s="57"/>
      <c r="CS292" s="1000"/>
      <c r="CT292" s="58" t="s">
        <v>230</v>
      </c>
      <c r="CU292" s="53"/>
      <c r="CV292" s="53"/>
      <c r="CW292" s="53"/>
      <c r="CX292" s="54"/>
      <c r="CY292" s="53"/>
      <c r="CZ292" s="54"/>
      <c r="DA292" s="53"/>
      <c r="DB292" s="53"/>
      <c r="DC292" s="54"/>
      <c r="DD292" s="53"/>
      <c r="DE292" s="54"/>
      <c r="DF292" s="53"/>
      <c r="DG292" s="53"/>
      <c r="DH292" s="54"/>
      <c r="DI292" s="53"/>
      <c r="DJ292" s="54"/>
      <c r="DK292" s="53"/>
      <c r="DL292" s="53"/>
      <c r="DM292" s="54"/>
      <c r="DN292" s="54"/>
      <c r="DO292" s="54"/>
      <c r="DP292" s="53"/>
      <c r="DQ292" s="53"/>
      <c r="DR292" s="54"/>
      <c r="DS292" s="54"/>
      <c r="DT292" s="54"/>
      <c r="DU292" s="53"/>
      <c r="DV292" s="53"/>
      <c r="DW292" s="54"/>
      <c r="DX292" s="54"/>
      <c r="DY292" s="987"/>
      <c r="DZ292" s="988"/>
      <c r="EA292" s="983"/>
      <c r="EB292" s="985"/>
      <c r="EC292" s="426"/>
      <c r="ED292" s="456"/>
      <c r="EE292" s="446"/>
      <c r="EF292" s="16"/>
    </row>
    <row r="293" ht="17.25" customHeight="1">
      <c r="A293" s="5"/>
      <c r="B293" s="5"/>
      <c r="C293" s="41"/>
      <c r="D293" s="41"/>
      <c r="E293" s="41"/>
      <c r="F293" s="41"/>
      <c r="G293" s="41"/>
      <c r="H293" s="41" t="s">
        <v>230</v>
      </c>
      <c r="I293" s="41"/>
      <c r="J293" s="41"/>
      <c r="K293" s="41"/>
      <c r="L293" s="44"/>
      <c r="M293" s="41" t="s">
        <v>230</v>
      </c>
      <c r="N293" s="41"/>
      <c r="O293" s="41"/>
      <c r="P293" s="41"/>
      <c r="Q293" s="44"/>
      <c r="R293" s="41" t="s">
        <v>230</v>
      </c>
      <c r="S293" s="41"/>
      <c r="T293" s="41"/>
      <c r="U293" s="41"/>
      <c r="V293" s="44"/>
      <c r="W293" s="41" t="s">
        <v>230</v>
      </c>
      <c r="X293" s="41"/>
      <c r="Y293" s="41"/>
      <c r="Z293" s="41"/>
      <c r="AA293" s="44"/>
      <c r="AB293" s="41" t="s">
        <v>230</v>
      </c>
      <c r="AC293" s="41"/>
      <c r="AD293" s="41"/>
      <c r="AE293" s="41"/>
      <c r="AF293" s="41"/>
      <c r="AG293" s="41" t="s">
        <v>230</v>
      </c>
      <c r="AH293" s="41"/>
      <c r="AI293" s="41"/>
      <c r="AJ293" s="41"/>
      <c r="AK293" s="44"/>
      <c r="AL293" s="41" t="s">
        <v>230</v>
      </c>
      <c r="AM293" s="41"/>
      <c r="AN293" s="41"/>
      <c r="AO293" s="41"/>
      <c r="AP293" s="44"/>
      <c r="AQ293" s="41" t="s">
        <v>230</v>
      </c>
      <c r="AR293" s="41"/>
      <c r="AS293" s="41"/>
      <c r="AT293" s="41"/>
      <c r="AU293" s="44"/>
      <c r="AV293" s="41" t="s">
        <v>230</v>
      </c>
      <c r="AW293" s="44"/>
      <c r="AX293" s="47"/>
      <c r="AY293" s="49"/>
      <c r="AZ293" s="51"/>
      <c r="BA293" s="49" t="s">
        <v>230</v>
      </c>
      <c r="BB293" s="51"/>
      <c r="BC293" s="47"/>
      <c r="BD293" s="49"/>
      <c r="BE293" s="51"/>
      <c r="BF293" s="49" t="s">
        <v>230</v>
      </c>
      <c r="BG293" s="51"/>
      <c r="BH293" s="47"/>
      <c r="BI293" s="49"/>
      <c r="BJ293" s="51"/>
      <c r="BK293" s="49" t="s">
        <v>230</v>
      </c>
      <c r="BL293" s="51"/>
      <c r="BM293" s="47"/>
      <c r="BN293" s="53"/>
      <c r="BO293" s="54"/>
      <c r="BP293" s="53" t="s">
        <v>230</v>
      </c>
      <c r="BQ293" s="54"/>
      <c r="BR293" s="53"/>
      <c r="BS293" s="53"/>
      <c r="BT293" s="54"/>
      <c r="BU293" s="53" t="s">
        <v>230</v>
      </c>
      <c r="BV293" s="54"/>
      <c r="BW293" s="53"/>
      <c r="BX293" s="53"/>
      <c r="BY293" s="54"/>
      <c r="BZ293" s="53" t="s">
        <v>230</v>
      </c>
      <c r="CA293" s="54"/>
      <c r="CB293" s="53"/>
      <c r="CC293" s="53"/>
      <c r="CD293" s="54"/>
      <c r="CE293" s="53" t="s">
        <v>230</v>
      </c>
      <c r="CF293" s="53"/>
      <c r="CG293" s="53"/>
      <c r="CH293" s="53"/>
      <c r="CI293" s="54"/>
      <c r="CJ293" s="53" t="s">
        <v>230</v>
      </c>
      <c r="CK293" s="54"/>
      <c r="CL293" s="53"/>
      <c r="CM293" s="53"/>
      <c r="CN293" s="54"/>
      <c r="CO293" s="53" t="s">
        <v>230</v>
      </c>
      <c r="CP293" s="53"/>
      <c r="CQ293" s="53"/>
      <c r="CR293" s="57"/>
      <c r="CS293" s="1000"/>
      <c r="CT293" s="58" t="s">
        <v>230</v>
      </c>
      <c r="CU293" s="53"/>
      <c r="CV293" s="53"/>
      <c r="CW293" s="53"/>
      <c r="CX293" s="54"/>
      <c r="CY293" s="53"/>
      <c r="CZ293" s="54"/>
      <c r="DA293" s="53"/>
      <c r="DB293" s="53"/>
      <c r="DC293" s="54"/>
      <c r="DD293" s="53"/>
      <c r="DE293" s="54"/>
      <c r="DF293" s="53"/>
      <c r="DG293" s="53"/>
      <c r="DH293" s="54"/>
      <c r="DI293" s="53"/>
      <c r="DJ293" s="54"/>
      <c r="DK293" s="53"/>
      <c r="DL293" s="53"/>
      <c r="DM293" s="54"/>
      <c r="DN293" s="54"/>
      <c r="DO293" s="54"/>
      <c r="DP293" s="53"/>
      <c r="DQ293" s="53"/>
      <c r="DR293" s="54"/>
      <c r="DS293" s="54"/>
      <c r="DT293" s="54"/>
      <c r="DU293" s="53"/>
      <c r="DV293" s="53"/>
      <c r="DW293" s="54"/>
      <c r="DX293" s="54"/>
      <c r="DY293" s="987"/>
      <c r="DZ293" s="988"/>
      <c r="EA293" s="983"/>
      <c r="EB293" s="985"/>
      <c r="EC293" s="426"/>
      <c r="ED293" s="456"/>
      <c r="EE293" s="446"/>
      <c r="EF293" s="16"/>
    </row>
    <row r="294" ht="17.25" customHeight="1">
      <c r="A294" s="5"/>
      <c r="B294" s="5"/>
      <c r="C294" s="41"/>
      <c r="D294" s="41"/>
      <c r="E294" s="41"/>
      <c r="F294" s="41"/>
      <c r="G294" s="41"/>
      <c r="H294" s="41" t="s">
        <v>230</v>
      </c>
      <c r="I294" s="41"/>
      <c r="J294" s="41"/>
      <c r="K294" s="41"/>
      <c r="L294" s="44"/>
      <c r="M294" s="41" t="s">
        <v>230</v>
      </c>
      <c r="N294" s="41"/>
      <c r="O294" s="41"/>
      <c r="P294" s="41"/>
      <c r="Q294" s="44"/>
      <c r="R294" s="41" t="s">
        <v>230</v>
      </c>
      <c r="S294" s="41"/>
      <c r="T294" s="41"/>
      <c r="U294" s="41"/>
      <c r="V294" s="44"/>
      <c r="W294" s="41" t="s">
        <v>230</v>
      </c>
      <c r="X294" s="41"/>
      <c r="Y294" s="41"/>
      <c r="Z294" s="41"/>
      <c r="AA294" s="44"/>
      <c r="AB294" s="41" t="s">
        <v>230</v>
      </c>
      <c r="AC294" s="41"/>
      <c r="AD294" s="41"/>
      <c r="AE294" s="41"/>
      <c r="AF294" s="41"/>
      <c r="AG294" s="41" t="s">
        <v>230</v>
      </c>
      <c r="AH294" s="41"/>
      <c r="AI294" s="41"/>
      <c r="AJ294" s="41"/>
      <c r="AK294" s="44"/>
      <c r="AL294" s="41" t="s">
        <v>230</v>
      </c>
      <c r="AM294" s="41"/>
      <c r="AN294" s="41"/>
      <c r="AO294" s="41"/>
      <c r="AP294" s="44"/>
      <c r="AQ294" s="41" t="s">
        <v>230</v>
      </c>
      <c r="AR294" s="41"/>
      <c r="AS294" s="41"/>
      <c r="AT294" s="41"/>
      <c r="AU294" s="44"/>
      <c r="AV294" s="41" t="s">
        <v>230</v>
      </c>
      <c r="AW294" s="44"/>
      <c r="AX294" s="47"/>
      <c r="AY294" s="49"/>
      <c r="AZ294" s="51"/>
      <c r="BA294" s="49" t="s">
        <v>230</v>
      </c>
      <c r="BB294" s="51"/>
      <c r="BC294" s="47"/>
      <c r="BD294" s="49"/>
      <c r="BE294" s="51"/>
      <c r="BF294" s="49" t="s">
        <v>230</v>
      </c>
      <c r="BG294" s="51"/>
      <c r="BH294" s="47"/>
      <c r="BI294" s="49"/>
      <c r="BJ294" s="51"/>
      <c r="BK294" s="49" t="s">
        <v>230</v>
      </c>
      <c r="BL294" s="51"/>
      <c r="BM294" s="47"/>
      <c r="BN294" s="53"/>
      <c r="BO294" s="54"/>
      <c r="BP294" s="53" t="s">
        <v>230</v>
      </c>
      <c r="BQ294" s="54"/>
      <c r="BR294" s="53"/>
      <c r="BS294" s="53"/>
      <c r="BT294" s="54"/>
      <c r="BU294" s="53" t="s">
        <v>230</v>
      </c>
      <c r="BV294" s="54"/>
      <c r="BW294" s="53"/>
      <c r="BX294" s="53"/>
      <c r="BY294" s="54"/>
      <c r="BZ294" s="53" t="s">
        <v>230</v>
      </c>
      <c r="CA294" s="54"/>
      <c r="CB294" s="53"/>
      <c r="CC294" s="53"/>
      <c r="CD294" s="54"/>
      <c r="CE294" s="53" t="s">
        <v>230</v>
      </c>
      <c r="CF294" s="53"/>
      <c r="CG294" s="53"/>
      <c r="CH294" s="53"/>
      <c r="CI294" s="54"/>
      <c r="CJ294" s="53" t="s">
        <v>230</v>
      </c>
      <c r="CK294" s="54"/>
      <c r="CL294" s="53"/>
      <c r="CM294" s="53"/>
      <c r="CN294" s="54"/>
      <c r="CO294" s="53" t="s">
        <v>230</v>
      </c>
      <c r="CP294" s="53"/>
      <c r="CQ294" s="53"/>
      <c r="CR294" s="57"/>
      <c r="CS294" s="1000"/>
      <c r="CT294" s="58" t="s">
        <v>230</v>
      </c>
      <c r="CU294" s="53"/>
      <c r="CV294" s="53"/>
      <c r="CW294" s="53"/>
      <c r="CX294" s="54"/>
      <c r="CY294" s="53"/>
      <c r="CZ294" s="54"/>
      <c r="DA294" s="53"/>
      <c r="DB294" s="53"/>
      <c r="DC294" s="54"/>
      <c r="DD294" s="53"/>
      <c r="DE294" s="54"/>
      <c r="DF294" s="53"/>
      <c r="DG294" s="53"/>
      <c r="DH294" s="54"/>
      <c r="DI294" s="53"/>
      <c r="DJ294" s="54"/>
      <c r="DK294" s="53"/>
      <c r="DL294" s="53"/>
      <c r="DM294" s="54"/>
      <c r="DN294" s="54"/>
      <c r="DO294" s="54"/>
      <c r="DP294" s="53"/>
      <c r="DQ294" s="53"/>
      <c r="DR294" s="54"/>
      <c r="DS294" s="54"/>
      <c r="DT294" s="54"/>
      <c r="DU294" s="53"/>
      <c r="DV294" s="53"/>
      <c r="DW294" s="54"/>
      <c r="DX294" s="54"/>
      <c r="DY294" s="987"/>
      <c r="DZ294" s="988"/>
      <c r="EA294" s="983"/>
      <c r="EB294" s="985"/>
      <c r="EC294" s="426"/>
      <c r="ED294" s="456"/>
      <c r="EE294" s="446"/>
      <c r="EF294" s="16"/>
    </row>
    <row r="295" ht="17.25" customHeight="1">
      <c r="A295" s="5"/>
      <c r="B295" s="5"/>
      <c r="C295" s="41"/>
      <c r="D295" s="41"/>
      <c r="E295" s="41"/>
      <c r="F295" s="41"/>
      <c r="G295" s="41"/>
      <c r="H295" s="41" t="s">
        <v>230</v>
      </c>
      <c r="I295" s="41"/>
      <c r="J295" s="41"/>
      <c r="K295" s="41"/>
      <c r="L295" s="44"/>
      <c r="M295" s="41" t="s">
        <v>230</v>
      </c>
      <c r="N295" s="41"/>
      <c r="O295" s="41"/>
      <c r="P295" s="41"/>
      <c r="Q295" s="44"/>
      <c r="R295" s="41" t="s">
        <v>230</v>
      </c>
      <c r="S295" s="41"/>
      <c r="T295" s="41"/>
      <c r="U295" s="41"/>
      <c r="V295" s="44"/>
      <c r="W295" s="41" t="s">
        <v>230</v>
      </c>
      <c r="X295" s="41"/>
      <c r="Y295" s="41"/>
      <c r="Z295" s="41"/>
      <c r="AA295" s="44"/>
      <c r="AB295" s="41" t="s">
        <v>230</v>
      </c>
      <c r="AC295" s="41"/>
      <c r="AD295" s="41"/>
      <c r="AE295" s="41"/>
      <c r="AF295" s="41"/>
      <c r="AG295" s="41" t="s">
        <v>230</v>
      </c>
      <c r="AH295" s="41"/>
      <c r="AI295" s="41"/>
      <c r="AJ295" s="41"/>
      <c r="AK295" s="44"/>
      <c r="AL295" s="41" t="s">
        <v>230</v>
      </c>
      <c r="AM295" s="41"/>
      <c r="AN295" s="41"/>
      <c r="AO295" s="41"/>
      <c r="AP295" s="44"/>
      <c r="AQ295" s="41" t="s">
        <v>230</v>
      </c>
      <c r="AR295" s="41"/>
      <c r="AS295" s="41"/>
      <c r="AT295" s="41"/>
      <c r="AU295" s="44"/>
      <c r="AV295" s="41" t="s">
        <v>230</v>
      </c>
      <c r="AW295" s="44"/>
      <c r="AX295" s="47"/>
      <c r="AY295" s="49"/>
      <c r="AZ295" s="51"/>
      <c r="BA295" s="49" t="s">
        <v>230</v>
      </c>
      <c r="BB295" s="51"/>
      <c r="BC295" s="47"/>
      <c r="BD295" s="49"/>
      <c r="BE295" s="51"/>
      <c r="BF295" s="49" t="s">
        <v>230</v>
      </c>
      <c r="BG295" s="51"/>
      <c r="BH295" s="47"/>
      <c r="BI295" s="49"/>
      <c r="BJ295" s="51"/>
      <c r="BK295" s="49" t="s">
        <v>230</v>
      </c>
      <c r="BL295" s="51"/>
      <c r="BM295" s="47"/>
      <c r="BN295" s="53"/>
      <c r="BO295" s="54"/>
      <c r="BP295" s="53" t="s">
        <v>230</v>
      </c>
      <c r="BQ295" s="54"/>
      <c r="BR295" s="53"/>
      <c r="BS295" s="53"/>
      <c r="BT295" s="54"/>
      <c r="BU295" s="53" t="s">
        <v>230</v>
      </c>
      <c r="BV295" s="54"/>
      <c r="BW295" s="53"/>
      <c r="BX295" s="53"/>
      <c r="BY295" s="54"/>
      <c r="BZ295" s="53" t="s">
        <v>230</v>
      </c>
      <c r="CA295" s="54"/>
      <c r="CB295" s="53"/>
      <c r="CC295" s="53"/>
      <c r="CD295" s="54"/>
      <c r="CE295" s="53" t="s">
        <v>230</v>
      </c>
      <c r="CF295" s="53"/>
      <c r="CG295" s="53"/>
      <c r="CH295" s="53"/>
      <c r="CI295" s="54"/>
      <c r="CJ295" s="53" t="s">
        <v>230</v>
      </c>
      <c r="CK295" s="54"/>
      <c r="CL295" s="53"/>
      <c r="CM295" s="53"/>
      <c r="CN295" s="54"/>
      <c r="CO295" s="53" t="s">
        <v>230</v>
      </c>
      <c r="CP295" s="53"/>
      <c r="CQ295" s="53"/>
      <c r="CR295" s="57"/>
      <c r="CS295" s="1000"/>
      <c r="CT295" s="58" t="s">
        <v>230</v>
      </c>
      <c r="CU295" s="53"/>
      <c r="CV295" s="53"/>
      <c r="CW295" s="53"/>
      <c r="CX295" s="54"/>
      <c r="CY295" s="53"/>
      <c r="CZ295" s="54"/>
      <c r="DA295" s="53"/>
      <c r="DB295" s="53"/>
      <c r="DC295" s="54"/>
      <c r="DD295" s="53"/>
      <c r="DE295" s="54"/>
      <c r="DF295" s="53"/>
      <c r="DG295" s="53"/>
      <c r="DH295" s="54"/>
      <c r="DI295" s="53"/>
      <c r="DJ295" s="54"/>
      <c r="DK295" s="53"/>
      <c r="DL295" s="53"/>
      <c r="DM295" s="54"/>
      <c r="DN295" s="54"/>
      <c r="DO295" s="54"/>
      <c r="DP295" s="53"/>
      <c r="DQ295" s="53"/>
      <c r="DR295" s="54"/>
      <c r="DS295" s="54"/>
      <c r="DT295" s="54"/>
      <c r="DU295" s="53"/>
      <c r="DV295" s="53"/>
      <c r="DW295" s="54"/>
      <c r="DX295" s="54"/>
      <c r="DY295" s="987"/>
      <c r="DZ295" s="988"/>
      <c r="EA295" s="983"/>
      <c r="EB295" s="985"/>
      <c r="EC295" s="426"/>
      <c r="ED295" s="456"/>
      <c r="EE295" s="446"/>
      <c r="EF295" s="16"/>
    </row>
    <row r="296" ht="17.25" customHeight="1">
      <c r="A296" s="5"/>
      <c r="B296" s="5"/>
      <c r="C296" s="41"/>
      <c r="D296" s="41"/>
      <c r="E296" s="41"/>
      <c r="F296" s="41"/>
      <c r="G296" s="41"/>
      <c r="H296" s="41" t="s">
        <v>230</v>
      </c>
      <c r="I296" s="41"/>
      <c r="J296" s="41"/>
      <c r="K296" s="41"/>
      <c r="L296" s="44"/>
      <c r="M296" s="41" t="s">
        <v>230</v>
      </c>
      <c r="N296" s="41"/>
      <c r="O296" s="41"/>
      <c r="P296" s="41"/>
      <c r="Q296" s="44"/>
      <c r="R296" s="41" t="s">
        <v>230</v>
      </c>
      <c r="S296" s="41"/>
      <c r="T296" s="41"/>
      <c r="U296" s="41"/>
      <c r="V296" s="44"/>
      <c r="W296" s="41" t="s">
        <v>230</v>
      </c>
      <c r="X296" s="41"/>
      <c r="Y296" s="41"/>
      <c r="Z296" s="41"/>
      <c r="AA296" s="44"/>
      <c r="AB296" s="41" t="s">
        <v>230</v>
      </c>
      <c r="AC296" s="41"/>
      <c r="AD296" s="41"/>
      <c r="AE296" s="41"/>
      <c r="AF296" s="41"/>
      <c r="AG296" s="41" t="s">
        <v>230</v>
      </c>
      <c r="AH296" s="41"/>
      <c r="AI296" s="41"/>
      <c r="AJ296" s="41"/>
      <c r="AK296" s="44"/>
      <c r="AL296" s="41" t="s">
        <v>230</v>
      </c>
      <c r="AM296" s="41"/>
      <c r="AN296" s="41"/>
      <c r="AO296" s="41"/>
      <c r="AP296" s="44"/>
      <c r="AQ296" s="41" t="s">
        <v>230</v>
      </c>
      <c r="AR296" s="41"/>
      <c r="AS296" s="41"/>
      <c r="AT296" s="41"/>
      <c r="AU296" s="44"/>
      <c r="AV296" s="41" t="s">
        <v>230</v>
      </c>
      <c r="AW296" s="44"/>
      <c r="AX296" s="47"/>
      <c r="AY296" s="49"/>
      <c r="AZ296" s="51"/>
      <c r="BA296" s="49" t="s">
        <v>230</v>
      </c>
      <c r="BB296" s="51"/>
      <c r="BC296" s="47"/>
      <c r="BD296" s="49"/>
      <c r="BE296" s="51"/>
      <c r="BF296" s="49" t="s">
        <v>230</v>
      </c>
      <c r="BG296" s="51"/>
      <c r="BH296" s="47"/>
      <c r="BI296" s="49"/>
      <c r="BJ296" s="51"/>
      <c r="BK296" s="49" t="s">
        <v>230</v>
      </c>
      <c r="BL296" s="51"/>
      <c r="BM296" s="47"/>
      <c r="BN296" s="53"/>
      <c r="BO296" s="54"/>
      <c r="BP296" s="53" t="s">
        <v>230</v>
      </c>
      <c r="BQ296" s="54"/>
      <c r="BR296" s="53"/>
      <c r="BS296" s="53"/>
      <c r="BT296" s="54"/>
      <c r="BU296" s="53" t="s">
        <v>230</v>
      </c>
      <c r="BV296" s="54"/>
      <c r="BW296" s="53"/>
      <c r="BX296" s="53"/>
      <c r="BY296" s="54"/>
      <c r="BZ296" s="53" t="s">
        <v>230</v>
      </c>
      <c r="CA296" s="54"/>
      <c r="CB296" s="53"/>
      <c r="CC296" s="53"/>
      <c r="CD296" s="54"/>
      <c r="CE296" s="53" t="s">
        <v>230</v>
      </c>
      <c r="CF296" s="53"/>
      <c r="CG296" s="53"/>
      <c r="CH296" s="53"/>
      <c r="CI296" s="54"/>
      <c r="CJ296" s="53" t="s">
        <v>230</v>
      </c>
      <c r="CK296" s="54"/>
      <c r="CL296" s="53"/>
      <c r="CM296" s="53"/>
      <c r="CN296" s="54"/>
      <c r="CO296" s="53" t="s">
        <v>230</v>
      </c>
      <c r="CP296" s="53"/>
      <c r="CQ296" s="53"/>
      <c r="CR296" s="57"/>
      <c r="CS296" s="1000"/>
      <c r="CT296" s="58" t="s">
        <v>230</v>
      </c>
      <c r="CU296" s="53"/>
      <c r="CV296" s="53"/>
      <c r="CW296" s="53"/>
      <c r="CX296" s="54"/>
      <c r="CY296" s="53"/>
      <c r="CZ296" s="54"/>
      <c r="DA296" s="53"/>
      <c r="DB296" s="53"/>
      <c r="DC296" s="54"/>
      <c r="DD296" s="53"/>
      <c r="DE296" s="54"/>
      <c r="DF296" s="53"/>
      <c r="DG296" s="53"/>
      <c r="DH296" s="54"/>
      <c r="DI296" s="53"/>
      <c r="DJ296" s="54"/>
      <c r="DK296" s="53"/>
      <c r="DL296" s="53"/>
      <c r="DM296" s="54"/>
      <c r="DN296" s="54"/>
      <c r="DO296" s="54"/>
      <c r="DP296" s="53"/>
      <c r="DQ296" s="53"/>
      <c r="DR296" s="54"/>
      <c r="DS296" s="54"/>
      <c r="DT296" s="54"/>
      <c r="DU296" s="53"/>
      <c r="DV296" s="53"/>
      <c r="DW296" s="54"/>
      <c r="DX296" s="54"/>
      <c r="DY296" s="987"/>
      <c r="DZ296" s="988"/>
      <c r="EA296" s="983"/>
      <c r="EB296" s="985"/>
      <c r="EC296" s="426"/>
      <c r="ED296" s="456"/>
      <c r="EE296" s="446"/>
      <c r="EF296" s="16"/>
    </row>
    <row r="297" ht="17.25" customHeight="1">
      <c r="A297" s="5"/>
      <c r="B297" s="5"/>
      <c r="C297" s="41"/>
      <c r="D297" s="41"/>
      <c r="E297" s="41"/>
      <c r="F297" s="41"/>
      <c r="G297" s="41"/>
      <c r="H297" s="41" t="s">
        <v>230</v>
      </c>
      <c r="I297" s="41"/>
      <c r="J297" s="41"/>
      <c r="K297" s="41"/>
      <c r="L297" s="44"/>
      <c r="M297" s="41" t="s">
        <v>230</v>
      </c>
      <c r="N297" s="41"/>
      <c r="O297" s="41"/>
      <c r="P297" s="41"/>
      <c r="Q297" s="44"/>
      <c r="R297" s="41" t="s">
        <v>230</v>
      </c>
      <c r="S297" s="41"/>
      <c r="T297" s="41"/>
      <c r="U297" s="41"/>
      <c r="V297" s="44"/>
      <c r="W297" s="41" t="s">
        <v>230</v>
      </c>
      <c r="X297" s="41"/>
      <c r="Y297" s="41"/>
      <c r="Z297" s="41"/>
      <c r="AA297" s="44"/>
      <c r="AB297" s="41" t="s">
        <v>230</v>
      </c>
      <c r="AC297" s="41"/>
      <c r="AD297" s="41"/>
      <c r="AE297" s="41"/>
      <c r="AF297" s="41"/>
      <c r="AG297" s="41" t="s">
        <v>230</v>
      </c>
      <c r="AH297" s="41"/>
      <c r="AI297" s="41"/>
      <c r="AJ297" s="41"/>
      <c r="AK297" s="44"/>
      <c r="AL297" s="41" t="s">
        <v>230</v>
      </c>
      <c r="AM297" s="41"/>
      <c r="AN297" s="41"/>
      <c r="AO297" s="41"/>
      <c r="AP297" s="44"/>
      <c r="AQ297" s="41" t="s">
        <v>230</v>
      </c>
      <c r="AR297" s="41"/>
      <c r="AS297" s="41"/>
      <c r="AT297" s="41"/>
      <c r="AU297" s="44"/>
      <c r="AV297" s="41" t="s">
        <v>230</v>
      </c>
      <c r="AW297" s="44"/>
      <c r="AX297" s="47"/>
      <c r="AY297" s="49"/>
      <c r="AZ297" s="51"/>
      <c r="BA297" s="49" t="s">
        <v>230</v>
      </c>
      <c r="BB297" s="51"/>
      <c r="BC297" s="47"/>
      <c r="BD297" s="49"/>
      <c r="BE297" s="51"/>
      <c r="BF297" s="49" t="s">
        <v>230</v>
      </c>
      <c r="BG297" s="51"/>
      <c r="BH297" s="47"/>
      <c r="BI297" s="49"/>
      <c r="BJ297" s="51"/>
      <c r="BK297" s="49" t="s">
        <v>230</v>
      </c>
      <c r="BL297" s="51"/>
      <c r="BM297" s="47"/>
      <c r="BN297" s="53"/>
      <c r="BO297" s="54"/>
      <c r="BP297" s="53" t="s">
        <v>230</v>
      </c>
      <c r="BQ297" s="54"/>
      <c r="BR297" s="53"/>
      <c r="BS297" s="53"/>
      <c r="BT297" s="54"/>
      <c r="BU297" s="53" t="s">
        <v>230</v>
      </c>
      <c r="BV297" s="54"/>
      <c r="BW297" s="53"/>
      <c r="BX297" s="53"/>
      <c r="BY297" s="54"/>
      <c r="BZ297" s="53" t="s">
        <v>230</v>
      </c>
      <c r="CA297" s="54"/>
      <c r="CB297" s="53"/>
      <c r="CC297" s="53"/>
      <c r="CD297" s="54"/>
      <c r="CE297" s="53" t="s">
        <v>230</v>
      </c>
      <c r="CF297" s="53"/>
      <c r="CG297" s="53"/>
      <c r="CH297" s="53"/>
      <c r="CI297" s="54"/>
      <c r="CJ297" s="53" t="s">
        <v>230</v>
      </c>
      <c r="CK297" s="54"/>
      <c r="CL297" s="53"/>
      <c r="CM297" s="53"/>
      <c r="CN297" s="54"/>
      <c r="CO297" s="53" t="s">
        <v>230</v>
      </c>
      <c r="CP297" s="53"/>
      <c r="CQ297" s="53"/>
      <c r="CR297" s="57"/>
      <c r="CS297" s="1000"/>
      <c r="CT297" s="58" t="s">
        <v>230</v>
      </c>
      <c r="CU297" s="53"/>
      <c r="CV297" s="53"/>
      <c r="CW297" s="53"/>
      <c r="CX297" s="54"/>
      <c r="CY297" s="53"/>
      <c r="CZ297" s="54"/>
      <c r="DA297" s="53"/>
      <c r="DB297" s="53"/>
      <c r="DC297" s="54"/>
      <c r="DD297" s="53"/>
      <c r="DE297" s="54"/>
      <c r="DF297" s="53"/>
      <c r="DG297" s="53"/>
      <c r="DH297" s="54"/>
      <c r="DI297" s="53"/>
      <c r="DJ297" s="54"/>
      <c r="DK297" s="53"/>
      <c r="DL297" s="53"/>
      <c r="DM297" s="54"/>
      <c r="DN297" s="54"/>
      <c r="DO297" s="54"/>
      <c r="DP297" s="53"/>
      <c r="DQ297" s="53"/>
      <c r="DR297" s="54"/>
      <c r="DS297" s="54"/>
      <c r="DT297" s="54"/>
      <c r="DU297" s="53"/>
      <c r="DV297" s="53"/>
      <c r="DW297" s="54"/>
      <c r="DX297" s="54"/>
      <c r="DY297" s="987"/>
      <c r="DZ297" s="988"/>
      <c r="EA297" s="983"/>
      <c r="EB297" s="985"/>
      <c r="EC297" s="426"/>
      <c r="ED297" s="456"/>
      <c r="EE297" s="446"/>
      <c r="EF297" s="16"/>
    </row>
    <row r="298" ht="17.25" customHeight="1">
      <c r="A298" s="5"/>
      <c r="B298" s="5"/>
      <c r="C298" s="41"/>
      <c r="D298" s="41"/>
      <c r="E298" s="41"/>
      <c r="F298" s="41"/>
      <c r="G298" s="41"/>
      <c r="H298" s="41" t="s">
        <v>230</v>
      </c>
      <c r="I298" s="41"/>
      <c r="J298" s="41"/>
      <c r="K298" s="41"/>
      <c r="L298" s="44"/>
      <c r="M298" s="41" t="s">
        <v>230</v>
      </c>
      <c r="N298" s="41"/>
      <c r="O298" s="41"/>
      <c r="P298" s="41"/>
      <c r="Q298" s="44"/>
      <c r="R298" s="41" t="s">
        <v>230</v>
      </c>
      <c r="S298" s="41"/>
      <c r="T298" s="41"/>
      <c r="U298" s="41"/>
      <c r="V298" s="44"/>
      <c r="W298" s="41" t="s">
        <v>230</v>
      </c>
      <c r="X298" s="41"/>
      <c r="Y298" s="41"/>
      <c r="Z298" s="41"/>
      <c r="AA298" s="44"/>
      <c r="AB298" s="41" t="s">
        <v>230</v>
      </c>
      <c r="AC298" s="41"/>
      <c r="AD298" s="41"/>
      <c r="AE298" s="41"/>
      <c r="AF298" s="41"/>
      <c r="AG298" s="41" t="s">
        <v>230</v>
      </c>
      <c r="AH298" s="41"/>
      <c r="AI298" s="41"/>
      <c r="AJ298" s="41"/>
      <c r="AK298" s="44"/>
      <c r="AL298" s="41" t="s">
        <v>230</v>
      </c>
      <c r="AM298" s="41"/>
      <c r="AN298" s="41"/>
      <c r="AO298" s="41"/>
      <c r="AP298" s="44"/>
      <c r="AQ298" s="41" t="s">
        <v>230</v>
      </c>
      <c r="AR298" s="41"/>
      <c r="AS298" s="41"/>
      <c r="AT298" s="41"/>
      <c r="AU298" s="44"/>
      <c r="AV298" s="41" t="s">
        <v>230</v>
      </c>
      <c r="AW298" s="44"/>
      <c r="AX298" s="47"/>
      <c r="AY298" s="49"/>
      <c r="AZ298" s="51"/>
      <c r="BA298" s="49" t="s">
        <v>230</v>
      </c>
      <c r="BB298" s="51"/>
      <c r="BC298" s="47"/>
      <c r="BD298" s="49"/>
      <c r="BE298" s="51"/>
      <c r="BF298" s="49" t="s">
        <v>230</v>
      </c>
      <c r="BG298" s="51"/>
      <c r="BH298" s="47"/>
      <c r="BI298" s="49"/>
      <c r="BJ298" s="51"/>
      <c r="BK298" s="49" t="s">
        <v>230</v>
      </c>
      <c r="BL298" s="51"/>
      <c r="BM298" s="47"/>
      <c r="BN298" s="53"/>
      <c r="BO298" s="54"/>
      <c r="BP298" s="53" t="s">
        <v>230</v>
      </c>
      <c r="BQ298" s="54"/>
      <c r="BR298" s="53"/>
      <c r="BS298" s="53"/>
      <c r="BT298" s="54"/>
      <c r="BU298" s="53" t="s">
        <v>230</v>
      </c>
      <c r="BV298" s="54"/>
      <c r="BW298" s="53"/>
      <c r="BX298" s="53"/>
      <c r="BY298" s="54"/>
      <c r="BZ298" s="53" t="s">
        <v>230</v>
      </c>
      <c r="CA298" s="54"/>
      <c r="CB298" s="53"/>
      <c r="CC298" s="53"/>
      <c r="CD298" s="54"/>
      <c r="CE298" s="53" t="s">
        <v>230</v>
      </c>
      <c r="CF298" s="53"/>
      <c r="CG298" s="53"/>
      <c r="CH298" s="53"/>
      <c r="CI298" s="54"/>
      <c r="CJ298" s="53" t="s">
        <v>230</v>
      </c>
      <c r="CK298" s="54"/>
      <c r="CL298" s="53"/>
      <c r="CM298" s="53"/>
      <c r="CN298" s="54"/>
      <c r="CO298" s="53" t="s">
        <v>230</v>
      </c>
      <c r="CP298" s="53"/>
      <c r="CQ298" s="53"/>
      <c r="CR298" s="57"/>
      <c r="CS298" s="1000"/>
      <c r="CT298" s="58" t="s">
        <v>230</v>
      </c>
      <c r="CU298" s="53"/>
      <c r="CV298" s="53"/>
      <c r="CW298" s="53"/>
      <c r="CX298" s="54"/>
      <c r="CY298" s="53"/>
      <c r="CZ298" s="54"/>
      <c r="DA298" s="53"/>
      <c r="DB298" s="53"/>
      <c r="DC298" s="54"/>
      <c r="DD298" s="53"/>
      <c r="DE298" s="54"/>
      <c r="DF298" s="53"/>
      <c r="DG298" s="53"/>
      <c r="DH298" s="54"/>
      <c r="DI298" s="53"/>
      <c r="DJ298" s="54"/>
      <c r="DK298" s="53"/>
      <c r="DL298" s="53"/>
      <c r="DM298" s="54"/>
      <c r="DN298" s="54"/>
      <c r="DO298" s="54"/>
      <c r="DP298" s="53"/>
      <c r="DQ298" s="53"/>
      <c r="DR298" s="54"/>
      <c r="DS298" s="54"/>
      <c r="DT298" s="54"/>
      <c r="DU298" s="53"/>
      <c r="DV298" s="53"/>
      <c r="DW298" s="54"/>
      <c r="DX298" s="54"/>
      <c r="DY298" s="987"/>
      <c r="DZ298" s="988"/>
      <c r="EA298" s="983"/>
      <c r="EB298" s="985"/>
      <c r="EC298" s="426"/>
      <c r="ED298" s="456"/>
      <c r="EE298" s="446"/>
      <c r="EF298" s="16"/>
    </row>
    <row r="299" ht="17.25" customHeight="1">
      <c r="A299" s="5"/>
      <c r="B299" s="5"/>
      <c r="C299" s="41"/>
      <c r="D299" s="41"/>
      <c r="E299" s="41"/>
      <c r="F299" s="41"/>
      <c r="G299" s="41"/>
      <c r="H299" s="41" t="s">
        <v>230</v>
      </c>
      <c r="I299" s="41"/>
      <c r="J299" s="41"/>
      <c r="K299" s="41"/>
      <c r="L299" s="44"/>
      <c r="M299" s="41" t="s">
        <v>230</v>
      </c>
      <c r="N299" s="41"/>
      <c r="O299" s="41"/>
      <c r="P299" s="41"/>
      <c r="Q299" s="44"/>
      <c r="R299" s="41" t="s">
        <v>230</v>
      </c>
      <c r="S299" s="41"/>
      <c r="T299" s="41"/>
      <c r="U299" s="41"/>
      <c r="V299" s="44"/>
      <c r="W299" s="41" t="s">
        <v>230</v>
      </c>
      <c r="X299" s="41"/>
      <c r="Y299" s="41"/>
      <c r="Z299" s="41"/>
      <c r="AA299" s="44"/>
      <c r="AB299" s="41" t="s">
        <v>230</v>
      </c>
      <c r="AC299" s="41"/>
      <c r="AD299" s="41"/>
      <c r="AE299" s="41"/>
      <c r="AF299" s="41"/>
      <c r="AG299" s="41" t="s">
        <v>230</v>
      </c>
      <c r="AH299" s="41"/>
      <c r="AI299" s="41"/>
      <c r="AJ299" s="41"/>
      <c r="AK299" s="44"/>
      <c r="AL299" s="41" t="s">
        <v>230</v>
      </c>
      <c r="AM299" s="41"/>
      <c r="AN299" s="41"/>
      <c r="AO299" s="41"/>
      <c r="AP299" s="44"/>
      <c r="AQ299" s="41" t="s">
        <v>230</v>
      </c>
      <c r="AR299" s="41"/>
      <c r="AS299" s="41"/>
      <c r="AT299" s="41"/>
      <c r="AU299" s="44"/>
      <c r="AV299" s="41" t="s">
        <v>230</v>
      </c>
      <c r="AW299" s="44"/>
      <c r="AX299" s="47"/>
      <c r="AY299" s="49"/>
      <c r="AZ299" s="51"/>
      <c r="BA299" s="49" t="s">
        <v>230</v>
      </c>
      <c r="BB299" s="51"/>
      <c r="BC299" s="47"/>
      <c r="BD299" s="49"/>
      <c r="BE299" s="51"/>
      <c r="BF299" s="49" t="s">
        <v>230</v>
      </c>
      <c r="BG299" s="51"/>
      <c r="BH299" s="47"/>
      <c r="BI299" s="49"/>
      <c r="BJ299" s="51"/>
      <c r="BK299" s="49" t="s">
        <v>230</v>
      </c>
      <c r="BL299" s="51"/>
      <c r="BM299" s="47"/>
      <c r="BN299" s="53"/>
      <c r="BO299" s="54"/>
      <c r="BP299" s="53" t="s">
        <v>230</v>
      </c>
      <c r="BQ299" s="54"/>
      <c r="BR299" s="53"/>
      <c r="BS299" s="53"/>
      <c r="BT299" s="54"/>
      <c r="BU299" s="53" t="s">
        <v>230</v>
      </c>
      <c r="BV299" s="54"/>
      <c r="BW299" s="53"/>
      <c r="BX299" s="53"/>
      <c r="BY299" s="54"/>
      <c r="BZ299" s="53" t="s">
        <v>230</v>
      </c>
      <c r="CA299" s="54"/>
      <c r="CB299" s="53"/>
      <c r="CC299" s="53"/>
      <c r="CD299" s="54"/>
      <c r="CE299" s="53" t="s">
        <v>230</v>
      </c>
      <c r="CF299" s="53"/>
      <c r="CG299" s="53"/>
      <c r="CH299" s="53"/>
      <c r="CI299" s="54"/>
      <c r="CJ299" s="53" t="s">
        <v>230</v>
      </c>
      <c r="CK299" s="54"/>
      <c r="CL299" s="53"/>
      <c r="CM299" s="53"/>
      <c r="CN299" s="54"/>
      <c r="CO299" s="53" t="s">
        <v>230</v>
      </c>
      <c r="CP299" s="53"/>
      <c r="CQ299" s="53"/>
      <c r="CR299" s="57"/>
      <c r="CS299" s="1000"/>
      <c r="CT299" s="58" t="s">
        <v>230</v>
      </c>
      <c r="CU299" s="53"/>
      <c r="CV299" s="53"/>
      <c r="CW299" s="53"/>
      <c r="CX299" s="54"/>
      <c r="CY299" s="53"/>
      <c r="CZ299" s="54"/>
      <c r="DA299" s="53"/>
      <c r="DB299" s="53"/>
      <c r="DC299" s="54"/>
      <c r="DD299" s="53"/>
      <c r="DE299" s="54"/>
      <c r="DF299" s="53"/>
      <c r="DG299" s="53"/>
      <c r="DH299" s="54"/>
      <c r="DI299" s="53"/>
      <c r="DJ299" s="54"/>
      <c r="DK299" s="53"/>
      <c r="DL299" s="53"/>
      <c r="DM299" s="54"/>
      <c r="DN299" s="54"/>
      <c r="DO299" s="54"/>
      <c r="DP299" s="53"/>
      <c r="DQ299" s="53"/>
      <c r="DR299" s="54"/>
      <c r="DS299" s="54"/>
      <c r="DT299" s="54"/>
      <c r="DU299" s="53"/>
      <c r="DV299" s="53"/>
      <c r="DW299" s="54"/>
      <c r="DX299" s="54"/>
      <c r="DY299" s="987"/>
      <c r="DZ299" s="988"/>
      <c r="EA299" s="983"/>
      <c r="EB299" s="985"/>
      <c r="EC299" s="426"/>
      <c r="ED299" s="456"/>
      <c r="EE299" s="446"/>
      <c r="EF299" s="16"/>
    </row>
    <row r="300" ht="17.25" customHeight="1">
      <c r="A300" s="5"/>
      <c r="B300" s="5"/>
      <c r="C300" s="41"/>
      <c r="D300" s="41"/>
      <c r="E300" s="41"/>
      <c r="F300" s="41"/>
      <c r="G300" s="41"/>
      <c r="H300" s="41" t="s">
        <v>230</v>
      </c>
      <c r="I300" s="41"/>
      <c r="J300" s="41"/>
      <c r="K300" s="41"/>
      <c r="L300" s="44"/>
      <c r="M300" s="41" t="s">
        <v>230</v>
      </c>
      <c r="N300" s="41"/>
      <c r="O300" s="41"/>
      <c r="P300" s="41"/>
      <c r="Q300" s="44"/>
      <c r="R300" s="41" t="s">
        <v>230</v>
      </c>
      <c r="S300" s="41"/>
      <c r="T300" s="41"/>
      <c r="U300" s="41"/>
      <c r="V300" s="44"/>
      <c r="W300" s="41" t="s">
        <v>230</v>
      </c>
      <c r="X300" s="41"/>
      <c r="Y300" s="41"/>
      <c r="Z300" s="41"/>
      <c r="AA300" s="44"/>
      <c r="AB300" s="41" t="s">
        <v>230</v>
      </c>
      <c r="AC300" s="41"/>
      <c r="AD300" s="41"/>
      <c r="AE300" s="41"/>
      <c r="AF300" s="41"/>
      <c r="AG300" s="41" t="s">
        <v>230</v>
      </c>
      <c r="AH300" s="41"/>
      <c r="AI300" s="41"/>
      <c r="AJ300" s="41"/>
      <c r="AK300" s="44"/>
      <c r="AL300" s="41" t="s">
        <v>230</v>
      </c>
      <c r="AM300" s="41"/>
      <c r="AN300" s="41"/>
      <c r="AO300" s="41"/>
      <c r="AP300" s="44"/>
      <c r="AQ300" s="41" t="s">
        <v>230</v>
      </c>
      <c r="AR300" s="41"/>
      <c r="AS300" s="41"/>
      <c r="AT300" s="41"/>
      <c r="AU300" s="44"/>
      <c r="AV300" s="41" t="s">
        <v>230</v>
      </c>
      <c r="AW300" s="44"/>
      <c r="AX300" s="47"/>
      <c r="AY300" s="49"/>
      <c r="AZ300" s="51"/>
      <c r="BA300" s="49" t="s">
        <v>230</v>
      </c>
      <c r="BB300" s="51"/>
      <c r="BC300" s="47"/>
      <c r="BD300" s="49"/>
      <c r="BE300" s="51"/>
      <c r="BF300" s="49" t="s">
        <v>230</v>
      </c>
      <c r="BG300" s="51"/>
      <c r="BH300" s="47"/>
      <c r="BI300" s="49"/>
      <c r="BJ300" s="51"/>
      <c r="BK300" s="49" t="s">
        <v>230</v>
      </c>
      <c r="BL300" s="51"/>
      <c r="BM300" s="47"/>
      <c r="BN300" s="53"/>
      <c r="BO300" s="54"/>
      <c r="BP300" s="53" t="s">
        <v>230</v>
      </c>
      <c r="BQ300" s="54"/>
      <c r="BR300" s="53"/>
      <c r="BS300" s="53"/>
      <c r="BT300" s="54"/>
      <c r="BU300" s="53" t="s">
        <v>230</v>
      </c>
      <c r="BV300" s="54"/>
      <c r="BW300" s="53"/>
      <c r="BX300" s="53"/>
      <c r="BY300" s="54"/>
      <c r="BZ300" s="53" t="s">
        <v>230</v>
      </c>
      <c r="CA300" s="54"/>
      <c r="CB300" s="53"/>
      <c r="CC300" s="53"/>
      <c r="CD300" s="54"/>
      <c r="CE300" s="53" t="s">
        <v>230</v>
      </c>
      <c r="CF300" s="53"/>
      <c r="CG300" s="53"/>
      <c r="CH300" s="53"/>
      <c r="CI300" s="54"/>
      <c r="CJ300" s="53" t="s">
        <v>230</v>
      </c>
      <c r="CK300" s="54"/>
      <c r="CL300" s="53"/>
      <c r="CM300" s="53"/>
      <c r="CN300" s="54"/>
      <c r="CO300" s="53" t="s">
        <v>230</v>
      </c>
      <c r="CP300" s="53"/>
      <c r="CQ300" s="53"/>
      <c r="CR300" s="57"/>
      <c r="CS300" s="1000"/>
      <c r="CT300" s="58" t="s">
        <v>230</v>
      </c>
      <c r="CU300" s="53"/>
      <c r="CV300" s="53"/>
      <c r="CW300" s="53"/>
      <c r="CX300" s="54"/>
      <c r="CY300" s="53"/>
      <c r="CZ300" s="54"/>
      <c r="DA300" s="53"/>
      <c r="DB300" s="53"/>
      <c r="DC300" s="54"/>
      <c r="DD300" s="53"/>
      <c r="DE300" s="54"/>
      <c r="DF300" s="53"/>
      <c r="DG300" s="53"/>
      <c r="DH300" s="54"/>
      <c r="DI300" s="53"/>
      <c r="DJ300" s="54"/>
      <c r="DK300" s="53"/>
      <c r="DL300" s="53"/>
      <c r="DM300" s="54"/>
      <c r="DN300" s="54"/>
      <c r="DO300" s="54"/>
      <c r="DP300" s="53"/>
      <c r="DQ300" s="53"/>
      <c r="DR300" s="54"/>
      <c r="DS300" s="54"/>
      <c r="DT300" s="54"/>
      <c r="DU300" s="53"/>
      <c r="DV300" s="53"/>
      <c r="DW300" s="54"/>
      <c r="DX300" s="54"/>
      <c r="DY300" s="987"/>
      <c r="DZ300" s="988"/>
      <c r="EA300" s="983"/>
      <c r="EB300" s="985"/>
      <c r="EC300" s="426"/>
      <c r="ED300" s="456"/>
      <c r="EE300" s="446"/>
      <c r="EF300" s="16"/>
    </row>
    <row r="301" ht="17.25" customHeight="1">
      <c r="A301" s="5"/>
      <c r="B301" s="5"/>
      <c r="C301" s="41"/>
      <c r="D301" s="41"/>
      <c r="E301" s="41"/>
      <c r="F301" s="41"/>
      <c r="G301" s="41"/>
      <c r="H301" s="41" t="s">
        <v>230</v>
      </c>
      <c r="I301" s="41"/>
      <c r="J301" s="41"/>
      <c r="K301" s="41"/>
      <c r="L301" s="44"/>
      <c r="M301" s="41" t="s">
        <v>230</v>
      </c>
      <c r="N301" s="41"/>
      <c r="O301" s="41"/>
      <c r="P301" s="41"/>
      <c r="Q301" s="44"/>
      <c r="R301" s="41" t="s">
        <v>230</v>
      </c>
      <c r="S301" s="41"/>
      <c r="T301" s="41"/>
      <c r="U301" s="41"/>
      <c r="V301" s="44"/>
      <c r="W301" s="41" t="s">
        <v>230</v>
      </c>
      <c r="X301" s="41"/>
      <c r="Y301" s="41"/>
      <c r="Z301" s="41"/>
      <c r="AA301" s="44"/>
      <c r="AB301" s="41" t="s">
        <v>230</v>
      </c>
      <c r="AC301" s="41"/>
      <c r="AD301" s="41"/>
      <c r="AE301" s="41"/>
      <c r="AF301" s="41"/>
      <c r="AG301" s="41" t="s">
        <v>230</v>
      </c>
      <c r="AH301" s="41"/>
      <c r="AI301" s="41"/>
      <c r="AJ301" s="41"/>
      <c r="AK301" s="44"/>
      <c r="AL301" s="41" t="s">
        <v>230</v>
      </c>
      <c r="AM301" s="41"/>
      <c r="AN301" s="41"/>
      <c r="AO301" s="41"/>
      <c r="AP301" s="44"/>
      <c r="AQ301" s="41" t="s">
        <v>230</v>
      </c>
      <c r="AR301" s="41"/>
      <c r="AS301" s="41"/>
      <c r="AT301" s="41"/>
      <c r="AU301" s="44"/>
      <c r="AV301" s="41" t="s">
        <v>230</v>
      </c>
      <c r="AW301" s="44"/>
      <c r="AX301" s="47"/>
      <c r="AY301" s="49"/>
      <c r="AZ301" s="51"/>
      <c r="BA301" s="49" t="s">
        <v>230</v>
      </c>
      <c r="BB301" s="51"/>
      <c r="BC301" s="47"/>
      <c r="BD301" s="49"/>
      <c r="BE301" s="51"/>
      <c r="BF301" s="49" t="s">
        <v>230</v>
      </c>
      <c r="BG301" s="51"/>
      <c r="BH301" s="47"/>
      <c r="BI301" s="49"/>
      <c r="BJ301" s="51"/>
      <c r="BK301" s="49" t="s">
        <v>230</v>
      </c>
      <c r="BL301" s="51"/>
      <c r="BM301" s="47"/>
      <c r="BN301" s="53"/>
      <c r="BO301" s="54"/>
      <c r="BP301" s="53" t="s">
        <v>230</v>
      </c>
      <c r="BQ301" s="54"/>
      <c r="BR301" s="53"/>
      <c r="BS301" s="53"/>
      <c r="BT301" s="54"/>
      <c r="BU301" s="53" t="s">
        <v>230</v>
      </c>
      <c r="BV301" s="54"/>
      <c r="BW301" s="53"/>
      <c r="BX301" s="53"/>
      <c r="BY301" s="54"/>
      <c r="BZ301" s="53" t="s">
        <v>230</v>
      </c>
      <c r="CA301" s="54"/>
      <c r="CB301" s="53"/>
      <c r="CC301" s="53"/>
      <c r="CD301" s="54"/>
      <c r="CE301" s="53" t="s">
        <v>230</v>
      </c>
      <c r="CF301" s="53"/>
      <c r="CG301" s="53"/>
      <c r="CH301" s="53"/>
      <c r="CI301" s="54"/>
      <c r="CJ301" s="53" t="s">
        <v>230</v>
      </c>
      <c r="CK301" s="54"/>
      <c r="CL301" s="53"/>
      <c r="CM301" s="53"/>
      <c r="CN301" s="54"/>
      <c r="CO301" s="53" t="s">
        <v>230</v>
      </c>
      <c r="CP301" s="53"/>
      <c r="CQ301" s="53"/>
      <c r="CR301" s="57"/>
      <c r="CS301" s="1000"/>
      <c r="CT301" s="58" t="s">
        <v>230</v>
      </c>
      <c r="CU301" s="53"/>
      <c r="CV301" s="53"/>
      <c r="CW301" s="53"/>
      <c r="CX301" s="54"/>
      <c r="CY301" s="53"/>
      <c r="CZ301" s="54"/>
      <c r="DA301" s="53"/>
      <c r="DB301" s="53"/>
      <c r="DC301" s="54"/>
      <c r="DD301" s="53"/>
      <c r="DE301" s="54"/>
      <c r="DF301" s="53"/>
      <c r="DG301" s="53"/>
      <c r="DH301" s="54"/>
      <c r="DI301" s="53"/>
      <c r="DJ301" s="54"/>
      <c r="DK301" s="53"/>
      <c r="DL301" s="53"/>
      <c r="DM301" s="54"/>
      <c r="DN301" s="54"/>
      <c r="DO301" s="54"/>
      <c r="DP301" s="53"/>
      <c r="DQ301" s="53"/>
      <c r="DR301" s="54"/>
      <c r="DS301" s="54"/>
      <c r="DT301" s="54"/>
      <c r="DU301" s="53"/>
      <c r="DV301" s="53"/>
      <c r="DW301" s="54"/>
      <c r="DX301" s="54"/>
      <c r="DY301" s="987"/>
      <c r="DZ301" s="988"/>
      <c r="EA301" s="983"/>
      <c r="EB301" s="985"/>
      <c r="EC301" s="426"/>
      <c r="ED301" s="456"/>
      <c r="EE301" s="446"/>
      <c r="EF301" s="16"/>
    </row>
    <row r="302" ht="17.25" customHeight="1">
      <c r="A302" s="5"/>
      <c r="B302" s="5"/>
      <c r="C302" s="41"/>
      <c r="D302" s="41"/>
      <c r="E302" s="41"/>
      <c r="F302" s="41"/>
      <c r="G302" s="41"/>
      <c r="H302" s="41" t="s">
        <v>230</v>
      </c>
      <c r="I302" s="41"/>
      <c r="J302" s="41"/>
      <c r="K302" s="41"/>
      <c r="L302" s="44"/>
      <c r="M302" s="41" t="s">
        <v>230</v>
      </c>
      <c r="N302" s="41"/>
      <c r="O302" s="41"/>
      <c r="P302" s="41"/>
      <c r="Q302" s="44"/>
      <c r="R302" s="41" t="s">
        <v>230</v>
      </c>
      <c r="S302" s="41"/>
      <c r="T302" s="41"/>
      <c r="U302" s="41"/>
      <c r="V302" s="44"/>
      <c r="W302" s="41" t="s">
        <v>230</v>
      </c>
      <c r="X302" s="41"/>
      <c r="Y302" s="41"/>
      <c r="Z302" s="41"/>
      <c r="AA302" s="44"/>
      <c r="AB302" s="41" t="s">
        <v>230</v>
      </c>
      <c r="AC302" s="41"/>
      <c r="AD302" s="41"/>
      <c r="AE302" s="41"/>
      <c r="AF302" s="41"/>
      <c r="AG302" s="41" t="s">
        <v>230</v>
      </c>
      <c r="AH302" s="41"/>
      <c r="AI302" s="41"/>
      <c r="AJ302" s="41"/>
      <c r="AK302" s="44"/>
      <c r="AL302" s="41" t="s">
        <v>230</v>
      </c>
      <c r="AM302" s="41"/>
      <c r="AN302" s="41"/>
      <c r="AO302" s="41"/>
      <c r="AP302" s="44"/>
      <c r="AQ302" s="41" t="s">
        <v>230</v>
      </c>
      <c r="AR302" s="41"/>
      <c r="AS302" s="41"/>
      <c r="AT302" s="41"/>
      <c r="AU302" s="44"/>
      <c r="AV302" s="41" t="s">
        <v>230</v>
      </c>
      <c r="AW302" s="44"/>
      <c r="AX302" s="47"/>
      <c r="AY302" s="49"/>
      <c r="AZ302" s="51"/>
      <c r="BA302" s="49" t="s">
        <v>230</v>
      </c>
      <c r="BB302" s="51"/>
      <c r="BC302" s="47"/>
      <c r="BD302" s="49"/>
      <c r="BE302" s="51"/>
      <c r="BF302" s="49" t="s">
        <v>230</v>
      </c>
      <c r="BG302" s="51"/>
      <c r="BH302" s="47"/>
      <c r="BI302" s="49"/>
      <c r="BJ302" s="51"/>
      <c r="BK302" s="49" t="s">
        <v>230</v>
      </c>
      <c r="BL302" s="51"/>
      <c r="BM302" s="47"/>
      <c r="BN302" s="53"/>
      <c r="BO302" s="54"/>
      <c r="BP302" s="53" t="s">
        <v>230</v>
      </c>
      <c r="BQ302" s="54"/>
      <c r="BR302" s="53"/>
      <c r="BS302" s="53"/>
      <c r="BT302" s="54"/>
      <c r="BU302" s="53" t="s">
        <v>230</v>
      </c>
      <c r="BV302" s="54"/>
      <c r="BW302" s="53"/>
      <c r="BX302" s="53"/>
      <c r="BY302" s="54"/>
      <c r="BZ302" s="53" t="s">
        <v>230</v>
      </c>
      <c r="CA302" s="54"/>
      <c r="CB302" s="53"/>
      <c r="CC302" s="53"/>
      <c r="CD302" s="54"/>
      <c r="CE302" s="53" t="s">
        <v>230</v>
      </c>
      <c r="CF302" s="53"/>
      <c r="CG302" s="53"/>
      <c r="CH302" s="53"/>
      <c r="CI302" s="54"/>
      <c r="CJ302" s="53" t="s">
        <v>230</v>
      </c>
      <c r="CK302" s="54"/>
      <c r="CL302" s="53"/>
      <c r="CM302" s="53"/>
      <c r="CN302" s="54"/>
      <c r="CO302" s="53" t="s">
        <v>230</v>
      </c>
      <c r="CP302" s="53"/>
      <c r="CQ302" s="53"/>
      <c r="CR302" s="57"/>
      <c r="CS302" s="1000"/>
      <c r="CT302" s="58" t="s">
        <v>230</v>
      </c>
      <c r="CU302" s="53"/>
      <c r="CV302" s="53"/>
      <c r="CW302" s="53"/>
      <c r="CX302" s="54"/>
      <c r="CY302" s="53"/>
      <c r="CZ302" s="54"/>
      <c r="DA302" s="53"/>
      <c r="DB302" s="53"/>
      <c r="DC302" s="54"/>
      <c r="DD302" s="53"/>
      <c r="DE302" s="54"/>
      <c r="DF302" s="53"/>
      <c r="DG302" s="53"/>
      <c r="DH302" s="54"/>
      <c r="DI302" s="53"/>
      <c r="DJ302" s="54"/>
      <c r="DK302" s="53"/>
      <c r="DL302" s="53"/>
      <c r="DM302" s="54"/>
      <c r="DN302" s="54"/>
      <c r="DO302" s="54"/>
      <c r="DP302" s="53"/>
      <c r="DQ302" s="53"/>
      <c r="DR302" s="54"/>
      <c r="DS302" s="54"/>
      <c r="DT302" s="54"/>
      <c r="DU302" s="53"/>
      <c r="DV302" s="53"/>
      <c r="DW302" s="54"/>
      <c r="DX302" s="54"/>
      <c r="DY302" s="987"/>
      <c r="DZ302" s="988"/>
      <c r="EA302" s="983"/>
      <c r="EB302" s="985"/>
      <c r="EC302" s="426"/>
      <c r="ED302" s="456"/>
      <c r="EE302" s="446"/>
      <c r="EF302" s="16"/>
    </row>
    <row r="303" ht="17.25" customHeight="1">
      <c r="A303" s="5"/>
      <c r="B303" s="5"/>
      <c r="C303" s="41"/>
      <c r="D303" s="41"/>
      <c r="E303" s="41"/>
      <c r="F303" s="41"/>
      <c r="G303" s="41"/>
      <c r="H303" s="41" t="s">
        <v>230</v>
      </c>
      <c r="I303" s="41"/>
      <c r="J303" s="41"/>
      <c r="K303" s="41"/>
      <c r="L303" s="44"/>
      <c r="M303" s="41" t="s">
        <v>230</v>
      </c>
      <c r="N303" s="41"/>
      <c r="O303" s="41"/>
      <c r="P303" s="41"/>
      <c r="Q303" s="44"/>
      <c r="R303" s="41" t="s">
        <v>230</v>
      </c>
      <c r="S303" s="41"/>
      <c r="T303" s="41"/>
      <c r="U303" s="41"/>
      <c r="V303" s="44"/>
      <c r="W303" s="41" t="s">
        <v>230</v>
      </c>
      <c r="X303" s="41"/>
      <c r="Y303" s="41"/>
      <c r="Z303" s="41"/>
      <c r="AA303" s="44"/>
      <c r="AB303" s="41" t="s">
        <v>230</v>
      </c>
      <c r="AC303" s="41"/>
      <c r="AD303" s="41"/>
      <c r="AE303" s="41"/>
      <c r="AF303" s="41"/>
      <c r="AG303" s="41" t="s">
        <v>230</v>
      </c>
      <c r="AH303" s="41"/>
      <c r="AI303" s="41"/>
      <c r="AJ303" s="41"/>
      <c r="AK303" s="44"/>
      <c r="AL303" s="41" t="s">
        <v>230</v>
      </c>
      <c r="AM303" s="41"/>
      <c r="AN303" s="41"/>
      <c r="AO303" s="41"/>
      <c r="AP303" s="44"/>
      <c r="AQ303" s="41" t="s">
        <v>230</v>
      </c>
      <c r="AR303" s="41"/>
      <c r="AS303" s="41"/>
      <c r="AT303" s="41"/>
      <c r="AU303" s="44"/>
      <c r="AV303" s="41" t="s">
        <v>230</v>
      </c>
      <c r="AW303" s="44"/>
      <c r="AX303" s="47"/>
      <c r="AY303" s="49"/>
      <c r="AZ303" s="51"/>
      <c r="BA303" s="49" t="s">
        <v>230</v>
      </c>
      <c r="BB303" s="51"/>
      <c r="BC303" s="47"/>
      <c r="BD303" s="49"/>
      <c r="BE303" s="51"/>
      <c r="BF303" s="49" t="s">
        <v>230</v>
      </c>
      <c r="BG303" s="51"/>
      <c r="BH303" s="47"/>
      <c r="BI303" s="49"/>
      <c r="BJ303" s="51"/>
      <c r="BK303" s="49" t="s">
        <v>230</v>
      </c>
      <c r="BL303" s="51"/>
      <c r="BM303" s="47"/>
      <c r="BN303" s="53"/>
      <c r="BO303" s="54"/>
      <c r="BP303" s="53" t="s">
        <v>230</v>
      </c>
      <c r="BQ303" s="54"/>
      <c r="BR303" s="53"/>
      <c r="BS303" s="53"/>
      <c r="BT303" s="54"/>
      <c r="BU303" s="53" t="s">
        <v>230</v>
      </c>
      <c r="BV303" s="54"/>
      <c r="BW303" s="53"/>
      <c r="BX303" s="53"/>
      <c r="BY303" s="54"/>
      <c r="BZ303" s="53" t="s">
        <v>230</v>
      </c>
      <c r="CA303" s="54"/>
      <c r="CB303" s="53"/>
      <c r="CC303" s="53"/>
      <c r="CD303" s="54"/>
      <c r="CE303" s="53" t="s">
        <v>230</v>
      </c>
      <c r="CF303" s="53"/>
      <c r="CG303" s="53"/>
      <c r="CH303" s="53"/>
      <c r="CI303" s="54"/>
      <c r="CJ303" s="53" t="s">
        <v>230</v>
      </c>
      <c r="CK303" s="54"/>
      <c r="CL303" s="53"/>
      <c r="CM303" s="53"/>
      <c r="CN303" s="54"/>
      <c r="CO303" s="53" t="s">
        <v>230</v>
      </c>
      <c r="CP303" s="53"/>
      <c r="CQ303" s="53"/>
      <c r="CR303" s="57"/>
      <c r="CS303" s="1000"/>
      <c r="CT303" s="58" t="s">
        <v>230</v>
      </c>
      <c r="CU303" s="53"/>
      <c r="CV303" s="53"/>
      <c r="CW303" s="53"/>
      <c r="CX303" s="54"/>
      <c r="CY303" s="53"/>
      <c r="CZ303" s="54"/>
      <c r="DA303" s="53"/>
      <c r="DB303" s="53"/>
      <c r="DC303" s="54"/>
      <c r="DD303" s="53"/>
      <c r="DE303" s="54"/>
      <c r="DF303" s="53"/>
      <c r="DG303" s="53"/>
      <c r="DH303" s="54"/>
      <c r="DI303" s="53"/>
      <c r="DJ303" s="54"/>
      <c r="DK303" s="53"/>
      <c r="DL303" s="53"/>
      <c r="DM303" s="54"/>
      <c r="DN303" s="54"/>
      <c r="DO303" s="54"/>
      <c r="DP303" s="53"/>
      <c r="DQ303" s="53"/>
      <c r="DR303" s="54"/>
      <c r="DS303" s="54"/>
      <c r="DT303" s="54"/>
      <c r="DU303" s="53"/>
      <c r="DV303" s="53"/>
      <c r="DW303" s="54"/>
      <c r="DX303" s="54"/>
      <c r="DY303" s="987"/>
      <c r="DZ303" s="988"/>
      <c r="EA303" s="983"/>
      <c r="EB303" s="985"/>
      <c r="EC303" s="426"/>
      <c r="ED303" s="456"/>
      <c r="EE303" s="446"/>
      <c r="EF303" s="16"/>
    </row>
    <row r="304" ht="17.25" customHeight="1">
      <c r="A304" s="5"/>
      <c r="B304" s="5"/>
      <c r="C304" s="41"/>
      <c r="D304" s="41"/>
      <c r="E304" s="41"/>
      <c r="F304" s="41"/>
      <c r="G304" s="41"/>
      <c r="H304" s="41" t="s">
        <v>230</v>
      </c>
      <c r="I304" s="41"/>
      <c r="J304" s="41"/>
      <c r="K304" s="41"/>
      <c r="L304" s="44"/>
      <c r="M304" s="41" t="s">
        <v>230</v>
      </c>
      <c r="N304" s="41"/>
      <c r="O304" s="41"/>
      <c r="P304" s="41"/>
      <c r="Q304" s="44"/>
      <c r="R304" s="41" t="s">
        <v>230</v>
      </c>
      <c r="S304" s="41"/>
      <c r="T304" s="41"/>
      <c r="U304" s="41"/>
      <c r="V304" s="44"/>
      <c r="W304" s="41" t="s">
        <v>230</v>
      </c>
      <c r="X304" s="41"/>
      <c r="Y304" s="41"/>
      <c r="Z304" s="41"/>
      <c r="AA304" s="44"/>
      <c r="AB304" s="41" t="s">
        <v>230</v>
      </c>
      <c r="AC304" s="41"/>
      <c r="AD304" s="41"/>
      <c r="AE304" s="41"/>
      <c r="AF304" s="41"/>
      <c r="AG304" s="41" t="s">
        <v>230</v>
      </c>
      <c r="AH304" s="41"/>
      <c r="AI304" s="41"/>
      <c r="AJ304" s="41"/>
      <c r="AK304" s="44"/>
      <c r="AL304" s="41" t="s">
        <v>230</v>
      </c>
      <c r="AM304" s="41"/>
      <c r="AN304" s="41"/>
      <c r="AO304" s="41"/>
      <c r="AP304" s="44"/>
      <c r="AQ304" s="41" t="s">
        <v>230</v>
      </c>
      <c r="AR304" s="41"/>
      <c r="AS304" s="41"/>
      <c r="AT304" s="41"/>
      <c r="AU304" s="44"/>
      <c r="AV304" s="41" t="s">
        <v>230</v>
      </c>
      <c r="AW304" s="44"/>
      <c r="AX304" s="47"/>
      <c r="AY304" s="49"/>
      <c r="AZ304" s="51"/>
      <c r="BA304" s="49" t="s">
        <v>230</v>
      </c>
      <c r="BB304" s="51"/>
      <c r="BC304" s="47"/>
      <c r="BD304" s="49"/>
      <c r="BE304" s="51"/>
      <c r="BF304" s="49" t="s">
        <v>230</v>
      </c>
      <c r="BG304" s="51"/>
      <c r="BH304" s="47"/>
      <c r="BI304" s="49"/>
      <c r="BJ304" s="51"/>
      <c r="BK304" s="49" t="s">
        <v>230</v>
      </c>
      <c r="BL304" s="51"/>
      <c r="BM304" s="47"/>
      <c r="BN304" s="53"/>
      <c r="BO304" s="54"/>
      <c r="BP304" s="53" t="s">
        <v>230</v>
      </c>
      <c r="BQ304" s="54"/>
      <c r="BR304" s="53"/>
      <c r="BS304" s="53"/>
      <c r="BT304" s="54"/>
      <c r="BU304" s="53" t="s">
        <v>230</v>
      </c>
      <c r="BV304" s="54"/>
      <c r="BW304" s="53"/>
      <c r="BX304" s="53"/>
      <c r="BY304" s="54"/>
      <c r="BZ304" s="53" t="s">
        <v>230</v>
      </c>
      <c r="CA304" s="54"/>
      <c r="CB304" s="53"/>
      <c r="CC304" s="53"/>
      <c r="CD304" s="54"/>
      <c r="CE304" s="53" t="s">
        <v>230</v>
      </c>
      <c r="CF304" s="53"/>
      <c r="CG304" s="53"/>
      <c r="CH304" s="53"/>
      <c r="CI304" s="54"/>
      <c r="CJ304" s="53" t="s">
        <v>230</v>
      </c>
      <c r="CK304" s="54"/>
      <c r="CL304" s="53"/>
      <c r="CM304" s="53"/>
      <c r="CN304" s="54"/>
      <c r="CO304" s="53" t="s">
        <v>230</v>
      </c>
      <c r="CP304" s="53"/>
      <c r="CQ304" s="53"/>
      <c r="CR304" s="57"/>
      <c r="CS304" s="1000"/>
      <c r="CT304" s="58" t="s">
        <v>230</v>
      </c>
      <c r="CU304" s="53"/>
      <c r="CV304" s="53"/>
      <c r="CW304" s="53"/>
      <c r="CX304" s="54"/>
      <c r="CY304" s="53"/>
      <c r="CZ304" s="54"/>
      <c r="DA304" s="53"/>
      <c r="DB304" s="53"/>
      <c r="DC304" s="54"/>
      <c r="DD304" s="53"/>
      <c r="DE304" s="54"/>
      <c r="DF304" s="53"/>
      <c r="DG304" s="53"/>
      <c r="DH304" s="54"/>
      <c r="DI304" s="53"/>
      <c r="DJ304" s="54"/>
      <c r="DK304" s="53"/>
      <c r="DL304" s="53"/>
      <c r="DM304" s="54"/>
      <c r="DN304" s="54"/>
      <c r="DO304" s="54"/>
      <c r="DP304" s="53"/>
      <c r="DQ304" s="53"/>
      <c r="DR304" s="54"/>
      <c r="DS304" s="54"/>
      <c r="DT304" s="54"/>
      <c r="DU304" s="53"/>
      <c r="DV304" s="53"/>
      <c r="DW304" s="54"/>
      <c r="DX304" s="54"/>
      <c r="DY304" s="987"/>
      <c r="DZ304" s="988"/>
      <c r="EA304" s="983"/>
      <c r="EB304" s="985"/>
      <c r="EC304" s="426"/>
      <c r="ED304" s="456"/>
      <c r="EE304" s="446"/>
      <c r="EF304" s="16"/>
    </row>
    <row r="305" ht="17.25" customHeight="1">
      <c r="A305" s="5"/>
      <c r="B305" s="5"/>
      <c r="C305" s="41"/>
      <c r="D305" s="41"/>
      <c r="E305" s="41"/>
      <c r="F305" s="41"/>
      <c r="G305" s="41"/>
      <c r="H305" s="41" t="s">
        <v>230</v>
      </c>
      <c r="I305" s="41"/>
      <c r="J305" s="41"/>
      <c r="K305" s="41"/>
      <c r="L305" s="44"/>
      <c r="M305" s="41" t="s">
        <v>230</v>
      </c>
      <c r="N305" s="41"/>
      <c r="O305" s="41"/>
      <c r="P305" s="41"/>
      <c r="Q305" s="44"/>
      <c r="R305" s="41" t="s">
        <v>230</v>
      </c>
      <c r="S305" s="41"/>
      <c r="T305" s="41"/>
      <c r="U305" s="41"/>
      <c r="V305" s="44"/>
      <c r="W305" s="41" t="s">
        <v>230</v>
      </c>
      <c r="X305" s="41"/>
      <c r="Y305" s="41"/>
      <c r="Z305" s="41"/>
      <c r="AA305" s="44"/>
      <c r="AB305" s="41" t="s">
        <v>230</v>
      </c>
      <c r="AC305" s="41"/>
      <c r="AD305" s="41"/>
      <c r="AE305" s="41"/>
      <c r="AF305" s="41"/>
      <c r="AG305" s="41" t="s">
        <v>230</v>
      </c>
      <c r="AH305" s="41"/>
      <c r="AI305" s="41"/>
      <c r="AJ305" s="41"/>
      <c r="AK305" s="44"/>
      <c r="AL305" s="41" t="s">
        <v>230</v>
      </c>
      <c r="AM305" s="41"/>
      <c r="AN305" s="41"/>
      <c r="AO305" s="41"/>
      <c r="AP305" s="44"/>
      <c r="AQ305" s="41" t="s">
        <v>230</v>
      </c>
      <c r="AR305" s="41"/>
      <c r="AS305" s="41"/>
      <c r="AT305" s="41"/>
      <c r="AU305" s="44"/>
      <c r="AV305" s="41" t="s">
        <v>230</v>
      </c>
      <c r="AW305" s="44"/>
      <c r="AX305" s="47"/>
      <c r="AY305" s="49"/>
      <c r="AZ305" s="51"/>
      <c r="BA305" s="49" t="s">
        <v>230</v>
      </c>
      <c r="BB305" s="51"/>
      <c r="BC305" s="47"/>
      <c r="BD305" s="49"/>
      <c r="BE305" s="51"/>
      <c r="BF305" s="49" t="s">
        <v>230</v>
      </c>
      <c r="BG305" s="51"/>
      <c r="BH305" s="47"/>
      <c r="BI305" s="49"/>
      <c r="BJ305" s="51"/>
      <c r="BK305" s="49" t="s">
        <v>230</v>
      </c>
      <c r="BL305" s="51"/>
      <c r="BM305" s="47"/>
      <c r="BN305" s="53"/>
      <c r="BO305" s="54"/>
      <c r="BP305" s="53" t="s">
        <v>230</v>
      </c>
      <c r="BQ305" s="54"/>
      <c r="BR305" s="53"/>
      <c r="BS305" s="53"/>
      <c r="BT305" s="54"/>
      <c r="BU305" s="53" t="s">
        <v>230</v>
      </c>
      <c r="BV305" s="54"/>
      <c r="BW305" s="53"/>
      <c r="BX305" s="53"/>
      <c r="BY305" s="54"/>
      <c r="BZ305" s="53" t="s">
        <v>230</v>
      </c>
      <c r="CA305" s="54"/>
      <c r="CB305" s="53"/>
      <c r="CC305" s="53"/>
      <c r="CD305" s="54"/>
      <c r="CE305" s="53" t="s">
        <v>230</v>
      </c>
      <c r="CF305" s="53"/>
      <c r="CG305" s="53"/>
      <c r="CH305" s="53"/>
      <c r="CI305" s="54"/>
      <c r="CJ305" s="53" t="s">
        <v>230</v>
      </c>
      <c r="CK305" s="54"/>
      <c r="CL305" s="53"/>
      <c r="CM305" s="53"/>
      <c r="CN305" s="54"/>
      <c r="CO305" s="53" t="s">
        <v>230</v>
      </c>
      <c r="CP305" s="53"/>
      <c r="CQ305" s="53"/>
      <c r="CR305" s="57"/>
      <c r="CS305" s="1000"/>
      <c r="CT305" s="58" t="s">
        <v>230</v>
      </c>
      <c r="CU305" s="53"/>
      <c r="CV305" s="53"/>
      <c r="CW305" s="53"/>
      <c r="CX305" s="54"/>
      <c r="CY305" s="53"/>
      <c r="CZ305" s="54"/>
      <c r="DA305" s="53"/>
      <c r="DB305" s="53"/>
      <c r="DC305" s="54"/>
      <c r="DD305" s="53"/>
      <c r="DE305" s="54"/>
      <c r="DF305" s="53"/>
      <c r="DG305" s="53"/>
      <c r="DH305" s="54"/>
      <c r="DI305" s="53"/>
      <c r="DJ305" s="54"/>
      <c r="DK305" s="53"/>
      <c r="DL305" s="53"/>
      <c r="DM305" s="54"/>
      <c r="DN305" s="54"/>
      <c r="DO305" s="54"/>
      <c r="DP305" s="53"/>
      <c r="DQ305" s="53"/>
      <c r="DR305" s="54"/>
      <c r="DS305" s="54"/>
      <c r="DT305" s="54"/>
      <c r="DU305" s="53"/>
      <c r="DV305" s="53"/>
      <c r="DW305" s="54"/>
      <c r="DX305" s="54"/>
      <c r="DY305" s="987"/>
      <c r="DZ305" s="988"/>
      <c r="EA305" s="983"/>
      <c r="EB305" s="985"/>
      <c r="EC305" s="426"/>
      <c r="ED305" s="456"/>
      <c r="EE305" s="446"/>
      <c r="EF305" s="16"/>
    </row>
    <row r="306" ht="17.25" customHeight="1">
      <c r="A306" s="5"/>
      <c r="B306" s="5"/>
      <c r="C306" s="41"/>
      <c r="D306" s="41"/>
      <c r="E306" s="41"/>
      <c r="F306" s="41"/>
      <c r="G306" s="41"/>
      <c r="H306" s="41" t="s">
        <v>230</v>
      </c>
      <c r="I306" s="41"/>
      <c r="J306" s="41"/>
      <c r="K306" s="41"/>
      <c r="L306" s="44"/>
      <c r="M306" s="41" t="s">
        <v>230</v>
      </c>
      <c r="N306" s="41"/>
      <c r="O306" s="41"/>
      <c r="P306" s="41"/>
      <c r="Q306" s="44"/>
      <c r="R306" s="41" t="s">
        <v>230</v>
      </c>
      <c r="S306" s="41"/>
      <c r="T306" s="41"/>
      <c r="U306" s="41"/>
      <c r="V306" s="44"/>
      <c r="W306" s="41" t="s">
        <v>230</v>
      </c>
      <c r="X306" s="41"/>
      <c r="Y306" s="41"/>
      <c r="Z306" s="41"/>
      <c r="AA306" s="44"/>
      <c r="AB306" s="41" t="s">
        <v>230</v>
      </c>
      <c r="AC306" s="41"/>
      <c r="AD306" s="41"/>
      <c r="AE306" s="41"/>
      <c r="AF306" s="41"/>
      <c r="AG306" s="41" t="s">
        <v>230</v>
      </c>
      <c r="AH306" s="41"/>
      <c r="AI306" s="41"/>
      <c r="AJ306" s="41"/>
      <c r="AK306" s="44"/>
      <c r="AL306" s="41" t="s">
        <v>230</v>
      </c>
      <c r="AM306" s="41"/>
      <c r="AN306" s="41"/>
      <c r="AO306" s="41"/>
      <c r="AP306" s="44"/>
      <c r="AQ306" s="41" t="s">
        <v>230</v>
      </c>
      <c r="AR306" s="41"/>
      <c r="AS306" s="41"/>
      <c r="AT306" s="41"/>
      <c r="AU306" s="44"/>
      <c r="AV306" s="41" t="s">
        <v>230</v>
      </c>
      <c r="AW306" s="44"/>
      <c r="AX306" s="47"/>
      <c r="AY306" s="49"/>
      <c r="AZ306" s="51"/>
      <c r="BA306" s="49" t="s">
        <v>230</v>
      </c>
      <c r="BB306" s="51"/>
      <c r="BC306" s="47"/>
      <c r="BD306" s="49"/>
      <c r="BE306" s="51"/>
      <c r="BF306" s="49" t="s">
        <v>230</v>
      </c>
      <c r="BG306" s="51"/>
      <c r="BH306" s="47"/>
      <c r="BI306" s="49"/>
      <c r="BJ306" s="51"/>
      <c r="BK306" s="49" t="s">
        <v>230</v>
      </c>
      <c r="BL306" s="51"/>
      <c r="BM306" s="47"/>
      <c r="BN306" s="53"/>
      <c r="BO306" s="54"/>
      <c r="BP306" s="53" t="s">
        <v>230</v>
      </c>
      <c r="BQ306" s="54"/>
      <c r="BR306" s="53"/>
      <c r="BS306" s="53"/>
      <c r="BT306" s="54"/>
      <c r="BU306" s="53" t="s">
        <v>230</v>
      </c>
      <c r="BV306" s="54"/>
      <c r="BW306" s="53"/>
      <c r="BX306" s="53"/>
      <c r="BY306" s="54"/>
      <c r="BZ306" s="53" t="s">
        <v>230</v>
      </c>
      <c r="CA306" s="54"/>
      <c r="CB306" s="53"/>
      <c r="CC306" s="53"/>
      <c r="CD306" s="54"/>
      <c r="CE306" s="53" t="s">
        <v>230</v>
      </c>
      <c r="CF306" s="53"/>
      <c r="CG306" s="53"/>
      <c r="CH306" s="53"/>
      <c r="CI306" s="54"/>
      <c r="CJ306" s="53" t="s">
        <v>230</v>
      </c>
      <c r="CK306" s="54"/>
      <c r="CL306" s="53"/>
      <c r="CM306" s="53"/>
      <c r="CN306" s="54"/>
      <c r="CO306" s="53" t="s">
        <v>230</v>
      </c>
      <c r="CP306" s="53"/>
      <c r="CQ306" s="53"/>
      <c r="CR306" s="57"/>
      <c r="CS306" s="1000"/>
      <c r="CT306" s="58" t="s">
        <v>230</v>
      </c>
      <c r="CU306" s="53"/>
      <c r="CV306" s="53"/>
      <c r="CW306" s="53"/>
      <c r="CX306" s="54"/>
      <c r="CY306" s="53"/>
      <c r="CZ306" s="54"/>
      <c r="DA306" s="53"/>
      <c r="DB306" s="53"/>
      <c r="DC306" s="54"/>
      <c r="DD306" s="53"/>
      <c r="DE306" s="54"/>
      <c r="DF306" s="53"/>
      <c r="DG306" s="53"/>
      <c r="DH306" s="54"/>
      <c r="DI306" s="53"/>
      <c r="DJ306" s="54"/>
      <c r="DK306" s="53"/>
      <c r="DL306" s="53"/>
      <c r="DM306" s="54"/>
      <c r="DN306" s="54"/>
      <c r="DO306" s="54"/>
      <c r="DP306" s="53"/>
      <c r="DQ306" s="53"/>
      <c r="DR306" s="54"/>
      <c r="DS306" s="54"/>
      <c r="DT306" s="54"/>
      <c r="DU306" s="53"/>
      <c r="DV306" s="53"/>
      <c r="DW306" s="54"/>
      <c r="DX306" s="54"/>
      <c r="DY306" s="987"/>
      <c r="DZ306" s="988"/>
      <c r="EA306" s="983"/>
      <c r="EB306" s="985"/>
      <c r="EC306" s="426"/>
      <c r="ED306" s="456"/>
      <c r="EE306" s="446"/>
      <c r="EF306" s="16"/>
    </row>
    <row r="307" ht="17.25" customHeight="1">
      <c r="A307" s="5"/>
      <c r="B307" s="5"/>
      <c r="C307" s="41"/>
      <c r="D307" s="41"/>
      <c r="E307" s="41"/>
      <c r="F307" s="41"/>
      <c r="G307" s="41"/>
      <c r="H307" s="41" t="s">
        <v>230</v>
      </c>
      <c r="I307" s="41"/>
      <c r="J307" s="41"/>
      <c r="K307" s="41"/>
      <c r="L307" s="44"/>
      <c r="M307" s="41" t="s">
        <v>230</v>
      </c>
      <c r="N307" s="41"/>
      <c r="O307" s="41"/>
      <c r="P307" s="41"/>
      <c r="Q307" s="44"/>
      <c r="R307" s="41" t="s">
        <v>230</v>
      </c>
      <c r="S307" s="41"/>
      <c r="T307" s="41"/>
      <c r="U307" s="41"/>
      <c r="V307" s="44"/>
      <c r="W307" s="41" t="s">
        <v>230</v>
      </c>
      <c r="X307" s="41"/>
      <c r="Y307" s="41"/>
      <c r="Z307" s="41"/>
      <c r="AA307" s="44"/>
      <c r="AB307" s="41" t="s">
        <v>230</v>
      </c>
      <c r="AC307" s="41"/>
      <c r="AD307" s="41"/>
      <c r="AE307" s="41"/>
      <c r="AF307" s="41"/>
      <c r="AG307" s="41" t="s">
        <v>230</v>
      </c>
      <c r="AH307" s="41"/>
      <c r="AI307" s="41"/>
      <c r="AJ307" s="41"/>
      <c r="AK307" s="44"/>
      <c r="AL307" s="41" t="s">
        <v>230</v>
      </c>
      <c r="AM307" s="41"/>
      <c r="AN307" s="41"/>
      <c r="AO307" s="41"/>
      <c r="AP307" s="44"/>
      <c r="AQ307" s="41" t="s">
        <v>230</v>
      </c>
      <c r="AR307" s="41"/>
      <c r="AS307" s="41"/>
      <c r="AT307" s="41"/>
      <c r="AU307" s="44"/>
      <c r="AV307" s="41" t="s">
        <v>230</v>
      </c>
      <c r="AW307" s="44"/>
      <c r="AX307" s="47"/>
      <c r="AY307" s="49"/>
      <c r="AZ307" s="51"/>
      <c r="BA307" s="49" t="s">
        <v>230</v>
      </c>
      <c r="BB307" s="51"/>
      <c r="BC307" s="47"/>
      <c r="BD307" s="49"/>
      <c r="BE307" s="51"/>
      <c r="BF307" s="49" t="s">
        <v>230</v>
      </c>
      <c r="BG307" s="51"/>
      <c r="BH307" s="47"/>
      <c r="BI307" s="49"/>
      <c r="BJ307" s="51"/>
      <c r="BK307" s="49" t="s">
        <v>230</v>
      </c>
      <c r="BL307" s="51"/>
      <c r="BM307" s="47"/>
      <c r="BN307" s="53"/>
      <c r="BO307" s="54"/>
      <c r="BP307" s="53" t="s">
        <v>230</v>
      </c>
      <c r="BQ307" s="54"/>
      <c r="BR307" s="53"/>
      <c r="BS307" s="53"/>
      <c r="BT307" s="54"/>
      <c r="BU307" s="53" t="s">
        <v>230</v>
      </c>
      <c r="BV307" s="54"/>
      <c r="BW307" s="53"/>
      <c r="BX307" s="53"/>
      <c r="BY307" s="54"/>
      <c r="BZ307" s="53" t="s">
        <v>230</v>
      </c>
      <c r="CA307" s="54"/>
      <c r="CB307" s="53"/>
      <c r="CC307" s="53"/>
      <c r="CD307" s="54"/>
      <c r="CE307" s="53" t="s">
        <v>230</v>
      </c>
      <c r="CF307" s="53"/>
      <c r="CG307" s="53"/>
      <c r="CH307" s="53"/>
      <c r="CI307" s="54"/>
      <c r="CJ307" s="53" t="s">
        <v>230</v>
      </c>
      <c r="CK307" s="54"/>
      <c r="CL307" s="53"/>
      <c r="CM307" s="53"/>
      <c r="CN307" s="54"/>
      <c r="CO307" s="53" t="s">
        <v>230</v>
      </c>
      <c r="CP307" s="53"/>
      <c r="CQ307" s="53"/>
      <c r="CR307" s="57"/>
      <c r="CS307" s="1000"/>
      <c r="CT307" s="58" t="s">
        <v>230</v>
      </c>
      <c r="CU307" s="53"/>
      <c r="CV307" s="53"/>
      <c r="CW307" s="53"/>
      <c r="CX307" s="54"/>
      <c r="CY307" s="53"/>
      <c r="CZ307" s="54"/>
      <c r="DA307" s="53"/>
      <c r="DB307" s="53"/>
      <c r="DC307" s="54"/>
      <c r="DD307" s="53"/>
      <c r="DE307" s="54"/>
      <c r="DF307" s="53"/>
      <c r="DG307" s="53"/>
      <c r="DH307" s="54"/>
      <c r="DI307" s="53"/>
      <c r="DJ307" s="54"/>
      <c r="DK307" s="53"/>
      <c r="DL307" s="53"/>
      <c r="DM307" s="54"/>
      <c r="DN307" s="54"/>
      <c r="DO307" s="54"/>
      <c r="DP307" s="53"/>
      <c r="DQ307" s="53"/>
      <c r="DR307" s="54"/>
      <c r="DS307" s="54"/>
      <c r="DT307" s="54"/>
      <c r="DU307" s="53"/>
      <c r="DV307" s="53"/>
      <c r="DW307" s="54"/>
      <c r="DX307" s="54"/>
      <c r="DY307" s="987"/>
      <c r="DZ307" s="988"/>
      <c r="EA307" s="983"/>
      <c r="EB307" s="985"/>
      <c r="EC307" s="426"/>
      <c r="ED307" s="456"/>
      <c r="EE307" s="446"/>
      <c r="EF307" s="16"/>
    </row>
    <row r="308" ht="17.25" customHeight="1">
      <c r="A308" s="5"/>
      <c r="B308" s="5"/>
      <c r="C308" s="41"/>
      <c r="D308" s="41"/>
      <c r="E308" s="41"/>
      <c r="F308" s="41"/>
      <c r="G308" s="41"/>
      <c r="H308" s="41" t="s">
        <v>230</v>
      </c>
      <c r="I308" s="41"/>
      <c r="J308" s="41"/>
      <c r="K308" s="41"/>
      <c r="L308" s="44"/>
      <c r="M308" s="41" t="s">
        <v>230</v>
      </c>
      <c r="N308" s="41"/>
      <c r="O308" s="41"/>
      <c r="P308" s="41"/>
      <c r="Q308" s="44"/>
      <c r="R308" s="41" t="s">
        <v>230</v>
      </c>
      <c r="S308" s="41"/>
      <c r="T308" s="41"/>
      <c r="U308" s="41"/>
      <c r="V308" s="44"/>
      <c r="W308" s="41" t="s">
        <v>230</v>
      </c>
      <c r="X308" s="41"/>
      <c r="Y308" s="41"/>
      <c r="Z308" s="41"/>
      <c r="AA308" s="44"/>
      <c r="AB308" s="41" t="s">
        <v>230</v>
      </c>
      <c r="AC308" s="41"/>
      <c r="AD308" s="41"/>
      <c r="AE308" s="41"/>
      <c r="AF308" s="41"/>
      <c r="AG308" s="41" t="s">
        <v>230</v>
      </c>
      <c r="AH308" s="41"/>
      <c r="AI308" s="41"/>
      <c r="AJ308" s="41"/>
      <c r="AK308" s="44"/>
      <c r="AL308" s="41" t="s">
        <v>230</v>
      </c>
      <c r="AM308" s="41"/>
      <c r="AN308" s="41"/>
      <c r="AO308" s="41"/>
      <c r="AP308" s="44"/>
      <c r="AQ308" s="41" t="s">
        <v>230</v>
      </c>
      <c r="AR308" s="41"/>
      <c r="AS308" s="41"/>
      <c r="AT308" s="41"/>
      <c r="AU308" s="44"/>
      <c r="AV308" s="41" t="s">
        <v>230</v>
      </c>
      <c r="AW308" s="44"/>
      <c r="AX308" s="47"/>
      <c r="AY308" s="49"/>
      <c r="AZ308" s="51"/>
      <c r="BA308" s="49" t="s">
        <v>230</v>
      </c>
      <c r="BB308" s="51"/>
      <c r="BC308" s="47"/>
      <c r="BD308" s="49"/>
      <c r="BE308" s="51"/>
      <c r="BF308" s="49" t="s">
        <v>230</v>
      </c>
      <c r="BG308" s="51"/>
      <c r="BH308" s="47"/>
      <c r="BI308" s="49"/>
      <c r="BJ308" s="51"/>
      <c r="BK308" s="49" t="s">
        <v>230</v>
      </c>
      <c r="BL308" s="51"/>
      <c r="BM308" s="47"/>
      <c r="BN308" s="53"/>
      <c r="BO308" s="54"/>
      <c r="BP308" s="53" t="s">
        <v>230</v>
      </c>
      <c r="BQ308" s="54"/>
      <c r="BR308" s="53"/>
      <c r="BS308" s="53"/>
      <c r="BT308" s="54"/>
      <c r="BU308" s="53" t="s">
        <v>230</v>
      </c>
      <c r="BV308" s="54"/>
      <c r="BW308" s="53"/>
      <c r="BX308" s="53"/>
      <c r="BY308" s="54"/>
      <c r="BZ308" s="53" t="s">
        <v>230</v>
      </c>
      <c r="CA308" s="54"/>
      <c r="CB308" s="53"/>
      <c r="CC308" s="53"/>
      <c r="CD308" s="54"/>
      <c r="CE308" s="53" t="s">
        <v>230</v>
      </c>
      <c r="CF308" s="53"/>
      <c r="CG308" s="53"/>
      <c r="CH308" s="53"/>
      <c r="CI308" s="54"/>
      <c r="CJ308" s="53" t="s">
        <v>230</v>
      </c>
      <c r="CK308" s="54"/>
      <c r="CL308" s="53"/>
      <c r="CM308" s="53"/>
      <c r="CN308" s="54"/>
      <c r="CO308" s="53" t="s">
        <v>230</v>
      </c>
      <c r="CP308" s="53"/>
      <c r="CQ308" s="53"/>
      <c r="CR308" s="57"/>
      <c r="CS308" s="1000"/>
      <c r="CT308" s="58" t="s">
        <v>230</v>
      </c>
      <c r="CU308" s="53"/>
      <c r="CV308" s="53"/>
      <c r="CW308" s="53"/>
      <c r="CX308" s="54"/>
      <c r="CY308" s="53"/>
      <c r="CZ308" s="54"/>
      <c r="DA308" s="53"/>
      <c r="DB308" s="53"/>
      <c r="DC308" s="54"/>
      <c r="DD308" s="53"/>
      <c r="DE308" s="54"/>
      <c r="DF308" s="53"/>
      <c r="DG308" s="53"/>
      <c r="DH308" s="54"/>
      <c r="DI308" s="53"/>
      <c r="DJ308" s="54"/>
      <c r="DK308" s="53"/>
      <c r="DL308" s="53"/>
      <c r="DM308" s="54"/>
      <c r="DN308" s="54"/>
      <c r="DO308" s="54"/>
      <c r="DP308" s="53"/>
      <c r="DQ308" s="53"/>
      <c r="DR308" s="54"/>
      <c r="DS308" s="54"/>
      <c r="DT308" s="54"/>
      <c r="DU308" s="53"/>
      <c r="DV308" s="53"/>
      <c r="DW308" s="54"/>
      <c r="DX308" s="54"/>
      <c r="DY308" s="987"/>
      <c r="DZ308" s="988"/>
      <c r="EA308" s="983"/>
      <c r="EB308" s="985"/>
      <c r="EC308" s="426"/>
      <c r="ED308" s="456"/>
      <c r="EE308" s="446"/>
      <c r="EF308" s="16"/>
    </row>
    <row r="309" ht="17.25" customHeight="1">
      <c r="A309" s="5"/>
      <c r="B309" s="5"/>
      <c r="C309" s="41"/>
      <c r="D309" s="41"/>
      <c r="E309" s="41"/>
      <c r="F309" s="41"/>
      <c r="G309" s="41"/>
      <c r="H309" s="41" t="s">
        <v>230</v>
      </c>
      <c r="I309" s="41"/>
      <c r="J309" s="41"/>
      <c r="K309" s="41"/>
      <c r="L309" s="44"/>
      <c r="M309" s="41" t="s">
        <v>230</v>
      </c>
      <c r="N309" s="41"/>
      <c r="O309" s="41"/>
      <c r="P309" s="41"/>
      <c r="Q309" s="44"/>
      <c r="R309" s="41" t="s">
        <v>230</v>
      </c>
      <c r="S309" s="41"/>
      <c r="T309" s="41"/>
      <c r="U309" s="41"/>
      <c r="V309" s="44"/>
      <c r="W309" s="41" t="s">
        <v>230</v>
      </c>
      <c r="X309" s="41"/>
      <c r="Y309" s="41"/>
      <c r="Z309" s="41"/>
      <c r="AA309" s="44"/>
      <c r="AB309" s="41" t="s">
        <v>230</v>
      </c>
      <c r="AC309" s="41"/>
      <c r="AD309" s="41"/>
      <c r="AE309" s="41"/>
      <c r="AF309" s="41"/>
      <c r="AG309" s="41" t="s">
        <v>230</v>
      </c>
      <c r="AH309" s="41"/>
      <c r="AI309" s="41"/>
      <c r="AJ309" s="41"/>
      <c r="AK309" s="44"/>
      <c r="AL309" s="41" t="s">
        <v>230</v>
      </c>
      <c r="AM309" s="41"/>
      <c r="AN309" s="41"/>
      <c r="AO309" s="41"/>
      <c r="AP309" s="44"/>
      <c r="AQ309" s="41" t="s">
        <v>230</v>
      </c>
      <c r="AR309" s="41"/>
      <c r="AS309" s="41"/>
      <c r="AT309" s="41"/>
      <c r="AU309" s="44"/>
      <c r="AV309" s="41" t="s">
        <v>230</v>
      </c>
      <c r="AW309" s="44"/>
      <c r="AX309" s="47"/>
      <c r="AY309" s="49"/>
      <c r="AZ309" s="51"/>
      <c r="BA309" s="49" t="s">
        <v>230</v>
      </c>
      <c r="BB309" s="51"/>
      <c r="BC309" s="47"/>
      <c r="BD309" s="49"/>
      <c r="BE309" s="51"/>
      <c r="BF309" s="49" t="s">
        <v>230</v>
      </c>
      <c r="BG309" s="51"/>
      <c r="BH309" s="47"/>
      <c r="BI309" s="49"/>
      <c r="BJ309" s="51"/>
      <c r="BK309" s="49" t="s">
        <v>230</v>
      </c>
      <c r="BL309" s="51"/>
      <c r="BM309" s="47"/>
      <c r="BN309" s="53"/>
      <c r="BO309" s="54"/>
      <c r="BP309" s="53" t="s">
        <v>230</v>
      </c>
      <c r="BQ309" s="54"/>
      <c r="BR309" s="53"/>
      <c r="BS309" s="53"/>
      <c r="BT309" s="54"/>
      <c r="BU309" s="53" t="s">
        <v>230</v>
      </c>
      <c r="BV309" s="54"/>
      <c r="BW309" s="53"/>
      <c r="BX309" s="53"/>
      <c r="BY309" s="54"/>
      <c r="BZ309" s="53" t="s">
        <v>230</v>
      </c>
      <c r="CA309" s="54"/>
      <c r="CB309" s="53"/>
      <c r="CC309" s="53"/>
      <c r="CD309" s="54"/>
      <c r="CE309" s="53" t="s">
        <v>230</v>
      </c>
      <c r="CF309" s="53"/>
      <c r="CG309" s="53"/>
      <c r="CH309" s="53"/>
      <c r="CI309" s="54"/>
      <c r="CJ309" s="53" t="s">
        <v>230</v>
      </c>
      <c r="CK309" s="54"/>
      <c r="CL309" s="53"/>
      <c r="CM309" s="53"/>
      <c r="CN309" s="54"/>
      <c r="CO309" s="53" t="s">
        <v>230</v>
      </c>
      <c r="CP309" s="53"/>
      <c r="CQ309" s="53"/>
      <c r="CR309" s="57"/>
      <c r="CS309" s="1000"/>
      <c r="CT309" s="58" t="s">
        <v>230</v>
      </c>
      <c r="CU309" s="53"/>
      <c r="CV309" s="53"/>
      <c r="CW309" s="53"/>
      <c r="CX309" s="54"/>
      <c r="CY309" s="53"/>
      <c r="CZ309" s="54"/>
      <c r="DA309" s="53"/>
      <c r="DB309" s="53"/>
      <c r="DC309" s="54"/>
      <c r="DD309" s="53"/>
      <c r="DE309" s="54"/>
      <c r="DF309" s="53"/>
      <c r="DG309" s="53"/>
      <c r="DH309" s="54"/>
      <c r="DI309" s="53"/>
      <c r="DJ309" s="54"/>
      <c r="DK309" s="53"/>
      <c r="DL309" s="53"/>
      <c r="DM309" s="54"/>
      <c r="DN309" s="54"/>
      <c r="DO309" s="54"/>
      <c r="DP309" s="53"/>
      <c r="DQ309" s="53"/>
      <c r="DR309" s="54"/>
      <c r="DS309" s="54"/>
      <c r="DT309" s="54"/>
      <c r="DU309" s="53"/>
      <c r="DV309" s="53"/>
      <c r="DW309" s="54"/>
      <c r="DX309" s="54"/>
      <c r="DY309" s="987"/>
      <c r="DZ309" s="988"/>
      <c r="EA309" s="983"/>
      <c r="EB309" s="985"/>
      <c r="EC309" s="426"/>
      <c r="ED309" s="456"/>
      <c r="EE309" s="446"/>
      <c r="EF309" s="16"/>
    </row>
    <row r="310" ht="17.25" customHeight="1">
      <c r="A310" s="5"/>
      <c r="B310" s="5"/>
      <c r="C310" s="41"/>
      <c r="D310" s="41"/>
      <c r="E310" s="41"/>
      <c r="F310" s="41"/>
      <c r="G310" s="41"/>
      <c r="H310" s="41" t="s">
        <v>230</v>
      </c>
      <c r="I310" s="41"/>
      <c r="J310" s="41"/>
      <c r="K310" s="41"/>
      <c r="L310" s="44"/>
      <c r="M310" s="41" t="s">
        <v>230</v>
      </c>
      <c r="N310" s="41"/>
      <c r="O310" s="41"/>
      <c r="P310" s="41"/>
      <c r="Q310" s="44"/>
      <c r="R310" s="41" t="s">
        <v>230</v>
      </c>
      <c r="S310" s="41"/>
      <c r="T310" s="41"/>
      <c r="U310" s="41"/>
      <c r="V310" s="44"/>
      <c r="W310" s="41" t="s">
        <v>230</v>
      </c>
      <c r="X310" s="41"/>
      <c r="Y310" s="41"/>
      <c r="Z310" s="41"/>
      <c r="AA310" s="44"/>
      <c r="AB310" s="41" t="s">
        <v>230</v>
      </c>
      <c r="AC310" s="41"/>
      <c r="AD310" s="41"/>
      <c r="AE310" s="41"/>
      <c r="AF310" s="41"/>
      <c r="AG310" s="41" t="s">
        <v>230</v>
      </c>
      <c r="AH310" s="41"/>
      <c r="AI310" s="41"/>
      <c r="AJ310" s="41"/>
      <c r="AK310" s="44"/>
      <c r="AL310" s="41" t="s">
        <v>230</v>
      </c>
      <c r="AM310" s="41"/>
      <c r="AN310" s="41"/>
      <c r="AO310" s="41"/>
      <c r="AP310" s="44"/>
      <c r="AQ310" s="41" t="s">
        <v>230</v>
      </c>
      <c r="AR310" s="41"/>
      <c r="AS310" s="41"/>
      <c r="AT310" s="41"/>
      <c r="AU310" s="44"/>
      <c r="AV310" s="41" t="s">
        <v>230</v>
      </c>
      <c r="AW310" s="44"/>
      <c r="AX310" s="47"/>
      <c r="AY310" s="49"/>
      <c r="AZ310" s="51"/>
      <c r="BA310" s="49" t="s">
        <v>230</v>
      </c>
      <c r="BB310" s="51"/>
      <c r="BC310" s="47"/>
      <c r="BD310" s="49"/>
      <c r="BE310" s="51"/>
      <c r="BF310" s="49" t="s">
        <v>230</v>
      </c>
      <c r="BG310" s="51"/>
      <c r="BH310" s="47"/>
      <c r="BI310" s="49"/>
      <c r="BJ310" s="51"/>
      <c r="BK310" s="49" t="s">
        <v>230</v>
      </c>
      <c r="BL310" s="51"/>
      <c r="BM310" s="47"/>
      <c r="BN310" s="53"/>
      <c r="BO310" s="54"/>
      <c r="BP310" s="53" t="s">
        <v>230</v>
      </c>
      <c r="BQ310" s="54"/>
      <c r="BR310" s="53"/>
      <c r="BS310" s="53"/>
      <c r="BT310" s="54"/>
      <c r="BU310" s="53" t="s">
        <v>230</v>
      </c>
      <c r="BV310" s="54"/>
      <c r="BW310" s="53"/>
      <c r="BX310" s="53"/>
      <c r="BY310" s="54"/>
      <c r="BZ310" s="53" t="s">
        <v>230</v>
      </c>
      <c r="CA310" s="54"/>
      <c r="CB310" s="53"/>
      <c r="CC310" s="53"/>
      <c r="CD310" s="54"/>
      <c r="CE310" s="53" t="s">
        <v>230</v>
      </c>
      <c r="CF310" s="53"/>
      <c r="CG310" s="53"/>
      <c r="CH310" s="53"/>
      <c r="CI310" s="54"/>
      <c r="CJ310" s="53" t="s">
        <v>230</v>
      </c>
      <c r="CK310" s="54"/>
      <c r="CL310" s="53"/>
      <c r="CM310" s="53"/>
      <c r="CN310" s="54"/>
      <c r="CO310" s="53" t="s">
        <v>230</v>
      </c>
      <c r="CP310" s="53"/>
      <c r="CQ310" s="53"/>
      <c r="CR310" s="57"/>
      <c r="CS310" s="1000"/>
      <c r="CT310" s="58" t="s">
        <v>230</v>
      </c>
      <c r="CU310" s="53"/>
      <c r="CV310" s="53"/>
      <c r="CW310" s="53"/>
      <c r="CX310" s="54"/>
      <c r="CY310" s="53"/>
      <c r="CZ310" s="54"/>
      <c r="DA310" s="53"/>
      <c r="DB310" s="53"/>
      <c r="DC310" s="54"/>
      <c r="DD310" s="53"/>
      <c r="DE310" s="54"/>
      <c r="DF310" s="53"/>
      <c r="DG310" s="53"/>
      <c r="DH310" s="54"/>
      <c r="DI310" s="53"/>
      <c r="DJ310" s="54"/>
      <c r="DK310" s="53"/>
      <c r="DL310" s="53"/>
      <c r="DM310" s="54"/>
      <c r="DN310" s="54"/>
      <c r="DO310" s="54"/>
      <c r="DP310" s="53"/>
      <c r="DQ310" s="53"/>
      <c r="DR310" s="54"/>
      <c r="DS310" s="54"/>
      <c r="DT310" s="54"/>
      <c r="DU310" s="53"/>
      <c r="DV310" s="53"/>
      <c r="DW310" s="54"/>
      <c r="DX310" s="54"/>
      <c r="DY310" s="987"/>
      <c r="DZ310" s="988"/>
      <c r="EA310" s="983"/>
      <c r="EB310" s="985"/>
      <c r="EC310" s="426"/>
      <c r="ED310" s="456"/>
      <c r="EE310" s="446"/>
      <c r="EF310" s="16"/>
    </row>
    <row r="311" ht="17.25" customHeight="1">
      <c r="A311" s="5"/>
      <c r="B311" s="5"/>
      <c r="C311" s="41"/>
      <c r="D311" s="41"/>
      <c r="E311" s="41"/>
      <c r="F311" s="41"/>
      <c r="G311" s="41"/>
      <c r="H311" s="41" t="s">
        <v>230</v>
      </c>
      <c r="I311" s="41"/>
      <c r="J311" s="41"/>
      <c r="K311" s="41"/>
      <c r="L311" s="44"/>
      <c r="M311" s="41" t="s">
        <v>230</v>
      </c>
      <c r="N311" s="41"/>
      <c r="O311" s="41"/>
      <c r="P311" s="41"/>
      <c r="Q311" s="44"/>
      <c r="R311" s="41" t="s">
        <v>230</v>
      </c>
      <c r="S311" s="41"/>
      <c r="T311" s="41"/>
      <c r="U311" s="41"/>
      <c r="V311" s="44"/>
      <c r="W311" s="41" t="s">
        <v>230</v>
      </c>
      <c r="X311" s="41"/>
      <c r="Y311" s="41"/>
      <c r="Z311" s="41"/>
      <c r="AA311" s="44"/>
      <c r="AB311" s="41" t="s">
        <v>230</v>
      </c>
      <c r="AC311" s="41"/>
      <c r="AD311" s="41"/>
      <c r="AE311" s="41"/>
      <c r="AF311" s="41"/>
      <c r="AG311" s="41" t="s">
        <v>230</v>
      </c>
      <c r="AH311" s="41"/>
      <c r="AI311" s="41"/>
      <c r="AJ311" s="41"/>
      <c r="AK311" s="44"/>
      <c r="AL311" s="41" t="s">
        <v>230</v>
      </c>
      <c r="AM311" s="41"/>
      <c r="AN311" s="41"/>
      <c r="AO311" s="41"/>
      <c r="AP311" s="44"/>
      <c r="AQ311" s="41" t="s">
        <v>230</v>
      </c>
      <c r="AR311" s="41"/>
      <c r="AS311" s="41"/>
      <c r="AT311" s="41"/>
      <c r="AU311" s="44"/>
      <c r="AV311" s="41" t="s">
        <v>230</v>
      </c>
      <c r="AW311" s="44"/>
      <c r="AX311" s="47"/>
      <c r="AY311" s="49"/>
      <c r="AZ311" s="51"/>
      <c r="BA311" s="49" t="s">
        <v>230</v>
      </c>
      <c r="BB311" s="51"/>
      <c r="BC311" s="47"/>
      <c r="BD311" s="49"/>
      <c r="BE311" s="51"/>
      <c r="BF311" s="49" t="s">
        <v>230</v>
      </c>
      <c r="BG311" s="51"/>
      <c r="BH311" s="47"/>
      <c r="BI311" s="49"/>
      <c r="BJ311" s="51"/>
      <c r="BK311" s="49" t="s">
        <v>230</v>
      </c>
      <c r="BL311" s="51"/>
      <c r="BM311" s="47"/>
      <c r="BN311" s="53"/>
      <c r="BO311" s="54"/>
      <c r="BP311" s="53" t="s">
        <v>230</v>
      </c>
      <c r="BQ311" s="54"/>
      <c r="BR311" s="53"/>
      <c r="BS311" s="53"/>
      <c r="BT311" s="54"/>
      <c r="BU311" s="53" t="s">
        <v>230</v>
      </c>
      <c r="BV311" s="54"/>
      <c r="BW311" s="53"/>
      <c r="BX311" s="53"/>
      <c r="BY311" s="54"/>
      <c r="BZ311" s="53" t="s">
        <v>230</v>
      </c>
      <c r="CA311" s="54"/>
      <c r="CB311" s="53"/>
      <c r="CC311" s="53"/>
      <c r="CD311" s="54"/>
      <c r="CE311" s="53" t="s">
        <v>230</v>
      </c>
      <c r="CF311" s="53"/>
      <c r="CG311" s="53"/>
      <c r="CH311" s="53"/>
      <c r="CI311" s="54"/>
      <c r="CJ311" s="53" t="s">
        <v>230</v>
      </c>
      <c r="CK311" s="54"/>
      <c r="CL311" s="53"/>
      <c r="CM311" s="53"/>
      <c r="CN311" s="54"/>
      <c r="CO311" s="53" t="s">
        <v>230</v>
      </c>
      <c r="CP311" s="53"/>
      <c r="CQ311" s="53"/>
      <c r="CR311" s="57"/>
      <c r="CS311" s="1000"/>
      <c r="CT311" s="58" t="s">
        <v>230</v>
      </c>
      <c r="CU311" s="53"/>
      <c r="CV311" s="53"/>
      <c r="CW311" s="53"/>
      <c r="CX311" s="54"/>
      <c r="CY311" s="53"/>
      <c r="CZ311" s="54"/>
      <c r="DA311" s="53"/>
      <c r="DB311" s="53"/>
      <c r="DC311" s="54"/>
      <c r="DD311" s="53"/>
      <c r="DE311" s="54"/>
      <c r="DF311" s="53"/>
      <c r="DG311" s="53"/>
      <c r="DH311" s="54"/>
      <c r="DI311" s="53"/>
      <c r="DJ311" s="54"/>
      <c r="DK311" s="53"/>
      <c r="DL311" s="53"/>
      <c r="DM311" s="54"/>
      <c r="DN311" s="54"/>
      <c r="DO311" s="54"/>
      <c r="DP311" s="53"/>
      <c r="DQ311" s="53"/>
      <c r="DR311" s="54"/>
      <c r="DS311" s="54"/>
      <c r="DT311" s="54"/>
      <c r="DU311" s="53"/>
      <c r="DV311" s="53"/>
      <c r="DW311" s="54"/>
      <c r="DX311" s="54"/>
      <c r="DY311" s="987"/>
      <c r="DZ311" s="988"/>
      <c r="EA311" s="983"/>
      <c r="EB311" s="985"/>
      <c r="EC311" s="426"/>
      <c r="ED311" s="456"/>
      <c r="EE311" s="446"/>
      <c r="EF311" s="16"/>
    </row>
    <row r="312" ht="17.25" customHeight="1">
      <c r="A312" s="5"/>
      <c r="B312" s="5"/>
      <c r="C312" s="41"/>
      <c r="D312" s="41"/>
      <c r="E312" s="41"/>
      <c r="F312" s="41"/>
      <c r="G312" s="41"/>
      <c r="H312" s="41" t="s">
        <v>230</v>
      </c>
      <c r="I312" s="41"/>
      <c r="J312" s="41"/>
      <c r="K312" s="41"/>
      <c r="L312" s="44"/>
      <c r="M312" s="41" t="s">
        <v>230</v>
      </c>
      <c r="N312" s="41"/>
      <c r="O312" s="41"/>
      <c r="P312" s="41"/>
      <c r="Q312" s="44"/>
      <c r="R312" s="41" t="s">
        <v>230</v>
      </c>
      <c r="S312" s="41"/>
      <c r="T312" s="41"/>
      <c r="U312" s="41"/>
      <c r="V312" s="44"/>
      <c r="W312" s="41" t="s">
        <v>230</v>
      </c>
      <c r="X312" s="41"/>
      <c r="Y312" s="41"/>
      <c r="Z312" s="41"/>
      <c r="AA312" s="44"/>
      <c r="AB312" s="41" t="s">
        <v>230</v>
      </c>
      <c r="AC312" s="41"/>
      <c r="AD312" s="41"/>
      <c r="AE312" s="41"/>
      <c r="AF312" s="41"/>
      <c r="AG312" s="41" t="s">
        <v>230</v>
      </c>
      <c r="AH312" s="41"/>
      <c r="AI312" s="41"/>
      <c r="AJ312" s="41"/>
      <c r="AK312" s="44"/>
      <c r="AL312" s="41" t="s">
        <v>230</v>
      </c>
      <c r="AM312" s="41"/>
      <c r="AN312" s="41"/>
      <c r="AO312" s="41"/>
      <c r="AP312" s="44"/>
      <c r="AQ312" s="41" t="s">
        <v>230</v>
      </c>
      <c r="AR312" s="41"/>
      <c r="AS312" s="41"/>
      <c r="AT312" s="41"/>
      <c r="AU312" s="44"/>
      <c r="AV312" s="41" t="s">
        <v>230</v>
      </c>
      <c r="AW312" s="44"/>
      <c r="AX312" s="47"/>
      <c r="AY312" s="49"/>
      <c r="AZ312" s="51"/>
      <c r="BA312" s="49" t="s">
        <v>230</v>
      </c>
      <c r="BB312" s="51"/>
      <c r="BC312" s="47"/>
      <c r="BD312" s="49"/>
      <c r="BE312" s="51"/>
      <c r="BF312" s="49" t="s">
        <v>230</v>
      </c>
      <c r="BG312" s="51"/>
      <c r="BH312" s="47"/>
      <c r="BI312" s="49"/>
      <c r="BJ312" s="51"/>
      <c r="BK312" s="49" t="s">
        <v>230</v>
      </c>
      <c r="BL312" s="51"/>
      <c r="BM312" s="47"/>
      <c r="BN312" s="53"/>
      <c r="BO312" s="54"/>
      <c r="BP312" s="53" t="s">
        <v>230</v>
      </c>
      <c r="BQ312" s="54"/>
      <c r="BR312" s="53"/>
      <c r="BS312" s="53"/>
      <c r="BT312" s="54"/>
      <c r="BU312" s="53" t="s">
        <v>230</v>
      </c>
      <c r="BV312" s="54"/>
      <c r="BW312" s="53"/>
      <c r="BX312" s="53"/>
      <c r="BY312" s="54"/>
      <c r="BZ312" s="53" t="s">
        <v>230</v>
      </c>
      <c r="CA312" s="54"/>
      <c r="CB312" s="53"/>
      <c r="CC312" s="53"/>
      <c r="CD312" s="54"/>
      <c r="CE312" s="53" t="s">
        <v>230</v>
      </c>
      <c r="CF312" s="53"/>
      <c r="CG312" s="53"/>
      <c r="CH312" s="53"/>
      <c r="CI312" s="54"/>
      <c r="CJ312" s="53" t="s">
        <v>230</v>
      </c>
      <c r="CK312" s="54"/>
      <c r="CL312" s="53"/>
      <c r="CM312" s="53"/>
      <c r="CN312" s="54"/>
      <c r="CO312" s="53" t="s">
        <v>230</v>
      </c>
      <c r="CP312" s="53"/>
      <c r="CQ312" s="53"/>
      <c r="CR312" s="57"/>
      <c r="CS312" s="1000"/>
      <c r="CT312" s="58" t="s">
        <v>230</v>
      </c>
      <c r="CU312" s="53"/>
      <c r="CV312" s="53"/>
      <c r="CW312" s="53"/>
      <c r="CX312" s="54"/>
      <c r="CY312" s="53"/>
      <c r="CZ312" s="54"/>
      <c r="DA312" s="53"/>
      <c r="DB312" s="53"/>
      <c r="DC312" s="54"/>
      <c r="DD312" s="53"/>
      <c r="DE312" s="54"/>
      <c r="DF312" s="53"/>
      <c r="DG312" s="53"/>
      <c r="DH312" s="54"/>
      <c r="DI312" s="53"/>
      <c r="DJ312" s="54"/>
      <c r="DK312" s="53"/>
      <c r="DL312" s="53"/>
      <c r="DM312" s="54"/>
      <c r="DN312" s="54"/>
      <c r="DO312" s="54"/>
      <c r="DP312" s="53"/>
      <c r="DQ312" s="53"/>
      <c r="DR312" s="54"/>
      <c r="DS312" s="54"/>
      <c r="DT312" s="54"/>
      <c r="DU312" s="53"/>
      <c r="DV312" s="53"/>
      <c r="DW312" s="54"/>
      <c r="DX312" s="54"/>
      <c r="DY312" s="987"/>
      <c r="DZ312" s="988"/>
      <c r="EA312" s="983"/>
      <c r="EB312" s="985"/>
      <c r="EC312" s="426"/>
      <c r="ED312" s="456"/>
      <c r="EE312" s="446"/>
      <c r="EF312" s="16"/>
    </row>
    <row r="313" ht="17.25" customHeight="1">
      <c r="A313" s="5"/>
      <c r="B313" s="5"/>
      <c r="C313" s="41"/>
      <c r="D313" s="41"/>
      <c r="E313" s="41"/>
      <c r="F313" s="41"/>
      <c r="G313" s="41"/>
      <c r="H313" s="41" t="s">
        <v>230</v>
      </c>
      <c r="I313" s="41"/>
      <c r="J313" s="41"/>
      <c r="K313" s="41"/>
      <c r="L313" s="44"/>
      <c r="M313" s="41" t="s">
        <v>230</v>
      </c>
      <c r="N313" s="41"/>
      <c r="O313" s="41"/>
      <c r="P313" s="41"/>
      <c r="Q313" s="44"/>
      <c r="R313" s="41" t="s">
        <v>230</v>
      </c>
      <c r="S313" s="41"/>
      <c r="T313" s="41"/>
      <c r="U313" s="41"/>
      <c r="V313" s="44"/>
      <c r="W313" s="41" t="s">
        <v>230</v>
      </c>
      <c r="X313" s="41"/>
      <c r="Y313" s="41"/>
      <c r="Z313" s="41"/>
      <c r="AA313" s="44"/>
      <c r="AB313" s="41" t="s">
        <v>230</v>
      </c>
      <c r="AC313" s="41"/>
      <c r="AD313" s="41"/>
      <c r="AE313" s="41"/>
      <c r="AF313" s="41"/>
      <c r="AG313" s="41" t="s">
        <v>230</v>
      </c>
      <c r="AH313" s="41"/>
      <c r="AI313" s="41"/>
      <c r="AJ313" s="41"/>
      <c r="AK313" s="44"/>
      <c r="AL313" s="41" t="s">
        <v>230</v>
      </c>
      <c r="AM313" s="41"/>
      <c r="AN313" s="41"/>
      <c r="AO313" s="41"/>
      <c r="AP313" s="44"/>
      <c r="AQ313" s="41" t="s">
        <v>230</v>
      </c>
      <c r="AR313" s="41"/>
      <c r="AS313" s="41"/>
      <c r="AT313" s="41"/>
      <c r="AU313" s="44"/>
      <c r="AV313" s="41" t="s">
        <v>230</v>
      </c>
      <c r="AW313" s="44"/>
      <c r="AX313" s="47"/>
      <c r="AY313" s="49"/>
      <c r="AZ313" s="51"/>
      <c r="BA313" s="49" t="s">
        <v>230</v>
      </c>
      <c r="BB313" s="51"/>
      <c r="BC313" s="47"/>
      <c r="BD313" s="49"/>
      <c r="BE313" s="51"/>
      <c r="BF313" s="49" t="s">
        <v>230</v>
      </c>
      <c r="BG313" s="51"/>
      <c r="BH313" s="47"/>
      <c r="BI313" s="49"/>
      <c r="BJ313" s="51"/>
      <c r="BK313" s="49" t="s">
        <v>230</v>
      </c>
      <c r="BL313" s="51"/>
      <c r="BM313" s="47"/>
      <c r="BN313" s="53"/>
      <c r="BO313" s="54"/>
      <c r="BP313" s="53" t="s">
        <v>230</v>
      </c>
      <c r="BQ313" s="54"/>
      <c r="BR313" s="53"/>
      <c r="BS313" s="53"/>
      <c r="BT313" s="54"/>
      <c r="BU313" s="53" t="s">
        <v>230</v>
      </c>
      <c r="BV313" s="54"/>
      <c r="BW313" s="53"/>
      <c r="BX313" s="53"/>
      <c r="BY313" s="54"/>
      <c r="BZ313" s="53" t="s">
        <v>230</v>
      </c>
      <c r="CA313" s="54"/>
      <c r="CB313" s="53"/>
      <c r="CC313" s="53"/>
      <c r="CD313" s="54"/>
      <c r="CE313" s="53" t="s">
        <v>230</v>
      </c>
      <c r="CF313" s="53"/>
      <c r="CG313" s="53"/>
      <c r="CH313" s="53"/>
      <c r="CI313" s="54"/>
      <c r="CJ313" s="53" t="s">
        <v>230</v>
      </c>
      <c r="CK313" s="54"/>
      <c r="CL313" s="53"/>
      <c r="CM313" s="53"/>
      <c r="CN313" s="54"/>
      <c r="CO313" s="53" t="s">
        <v>230</v>
      </c>
      <c r="CP313" s="53"/>
      <c r="CQ313" s="53"/>
      <c r="CR313" s="57"/>
      <c r="CS313" s="1000"/>
      <c r="CT313" s="58" t="s">
        <v>230</v>
      </c>
      <c r="CU313" s="53"/>
      <c r="CV313" s="53"/>
      <c r="CW313" s="53"/>
      <c r="CX313" s="54"/>
      <c r="CY313" s="53"/>
      <c r="CZ313" s="54"/>
      <c r="DA313" s="53"/>
      <c r="DB313" s="53"/>
      <c r="DC313" s="54"/>
      <c r="DD313" s="53"/>
      <c r="DE313" s="54"/>
      <c r="DF313" s="53"/>
      <c r="DG313" s="53"/>
      <c r="DH313" s="54"/>
      <c r="DI313" s="53"/>
      <c r="DJ313" s="54"/>
      <c r="DK313" s="53"/>
      <c r="DL313" s="53"/>
      <c r="DM313" s="54"/>
      <c r="DN313" s="54"/>
      <c r="DO313" s="54"/>
      <c r="DP313" s="53"/>
      <c r="DQ313" s="53"/>
      <c r="DR313" s="54"/>
      <c r="DS313" s="54"/>
      <c r="DT313" s="54"/>
      <c r="DU313" s="53"/>
      <c r="DV313" s="53"/>
      <c r="DW313" s="54"/>
      <c r="DX313" s="54"/>
      <c r="DY313" s="987"/>
      <c r="DZ313" s="988"/>
      <c r="EA313" s="983"/>
      <c r="EB313" s="985"/>
      <c r="EC313" s="426"/>
      <c r="ED313" s="456"/>
      <c r="EE313" s="446"/>
      <c r="EF313" s="16"/>
    </row>
    <row r="314" ht="17.25" customHeight="1">
      <c r="A314" s="5"/>
      <c r="B314" s="5"/>
      <c r="C314" s="41"/>
      <c r="D314" s="41"/>
      <c r="E314" s="41"/>
      <c r="F314" s="41"/>
      <c r="G314" s="41"/>
      <c r="H314" s="41" t="s">
        <v>230</v>
      </c>
      <c r="I314" s="41"/>
      <c r="J314" s="41"/>
      <c r="K314" s="41"/>
      <c r="L314" s="44"/>
      <c r="M314" s="41" t="s">
        <v>230</v>
      </c>
      <c r="N314" s="41"/>
      <c r="O314" s="41"/>
      <c r="P314" s="41"/>
      <c r="Q314" s="44"/>
      <c r="R314" s="41" t="s">
        <v>230</v>
      </c>
      <c r="S314" s="41"/>
      <c r="T314" s="41"/>
      <c r="U314" s="41"/>
      <c r="V314" s="44"/>
      <c r="W314" s="41" t="s">
        <v>230</v>
      </c>
      <c r="X314" s="41"/>
      <c r="Y314" s="41"/>
      <c r="Z314" s="41"/>
      <c r="AA314" s="44"/>
      <c r="AB314" s="41" t="s">
        <v>230</v>
      </c>
      <c r="AC314" s="41"/>
      <c r="AD314" s="41"/>
      <c r="AE314" s="41"/>
      <c r="AF314" s="41"/>
      <c r="AG314" s="41" t="s">
        <v>230</v>
      </c>
      <c r="AH314" s="41"/>
      <c r="AI314" s="41"/>
      <c r="AJ314" s="41"/>
      <c r="AK314" s="44"/>
      <c r="AL314" s="41" t="s">
        <v>230</v>
      </c>
      <c r="AM314" s="41"/>
      <c r="AN314" s="41"/>
      <c r="AO314" s="41"/>
      <c r="AP314" s="44"/>
      <c r="AQ314" s="41" t="s">
        <v>230</v>
      </c>
      <c r="AR314" s="41"/>
      <c r="AS314" s="41"/>
      <c r="AT314" s="41"/>
      <c r="AU314" s="44"/>
      <c r="AV314" s="41" t="s">
        <v>230</v>
      </c>
      <c r="AW314" s="44"/>
      <c r="AX314" s="47"/>
      <c r="AY314" s="49"/>
      <c r="AZ314" s="51"/>
      <c r="BA314" s="49" t="s">
        <v>230</v>
      </c>
      <c r="BB314" s="51"/>
      <c r="BC314" s="47"/>
      <c r="BD314" s="49"/>
      <c r="BE314" s="51"/>
      <c r="BF314" s="49" t="s">
        <v>230</v>
      </c>
      <c r="BG314" s="51"/>
      <c r="BH314" s="47"/>
      <c r="BI314" s="49"/>
      <c r="BJ314" s="51"/>
      <c r="BK314" s="49" t="s">
        <v>230</v>
      </c>
      <c r="BL314" s="51"/>
      <c r="BM314" s="47"/>
      <c r="BN314" s="53"/>
      <c r="BO314" s="54"/>
      <c r="BP314" s="53" t="s">
        <v>230</v>
      </c>
      <c r="BQ314" s="54"/>
      <c r="BR314" s="53"/>
      <c r="BS314" s="53"/>
      <c r="BT314" s="54"/>
      <c r="BU314" s="53" t="s">
        <v>230</v>
      </c>
      <c r="BV314" s="54"/>
      <c r="BW314" s="53"/>
      <c r="BX314" s="53"/>
      <c r="BY314" s="54"/>
      <c r="BZ314" s="53" t="s">
        <v>230</v>
      </c>
      <c r="CA314" s="54"/>
      <c r="CB314" s="53"/>
      <c r="CC314" s="53"/>
      <c r="CD314" s="54"/>
      <c r="CE314" s="53" t="s">
        <v>230</v>
      </c>
      <c r="CF314" s="53"/>
      <c r="CG314" s="53"/>
      <c r="CH314" s="53"/>
      <c r="CI314" s="54"/>
      <c r="CJ314" s="53" t="s">
        <v>230</v>
      </c>
      <c r="CK314" s="54"/>
      <c r="CL314" s="53"/>
      <c r="CM314" s="53"/>
      <c r="CN314" s="54"/>
      <c r="CO314" s="53" t="s">
        <v>230</v>
      </c>
      <c r="CP314" s="53"/>
      <c r="CQ314" s="53"/>
      <c r="CR314" s="57"/>
      <c r="CS314" s="1000"/>
      <c r="CT314" s="58" t="s">
        <v>230</v>
      </c>
      <c r="CU314" s="53"/>
      <c r="CV314" s="53"/>
      <c r="CW314" s="53"/>
      <c r="CX314" s="54"/>
      <c r="CY314" s="53"/>
      <c r="CZ314" s="54"/>
      <c r="DA314" s="53"/>
      <c r="DB314" s="53"/>
      <c r="DC314" s="54"/>
      <c r="DD314" s="53"/>
      <c r="DE314" s="54"/>
      <c r="DF314" s="53"/>
      <c r="DG314" s="53"/>
      <c r="DH314" s="54"/>
      <c r="DI314" s="53"/>
      <c r="DJ314" s="54"/>
      <c r="DK314" s="53"/>
      <c r="DL314" s="53"/>
      <c r="DM314" s="54"/>
      <c r="DN314" s="54"/>
      <c r="DO314" s="54"/>
      <c r="DP314" s="53"/>
      <c r="DQ314" s="53"/>
      <c r="DR314" s="54"/>
      <c r="DS314" s="54"/>
      <c r="DT314" s="54"/>
      <c r="DU314" s="53"/>
      <c r="DV314" s="53"/>
      <c r="DW314" s="54"/>
      <c r="DX314" s="54"/>
      <c r="DY314" s="987"/>
      <c r="DZ314" s="988"/>
      <c r="EA314" s="983"/>
      <c r="EB314" s="985"/>
      <c r="EC314" s="426"/>
      <c r="ED314" s="456"/>
      <c r="EE314" s="446"/>
      <c r="EF314" s="16"/>
    </row>
    <row r="315" ht="17.25" customHeight="1">
      <c r="A315" s="5"/>
      <c r="B315" s="5"/>
      <c r="C315" s="41"/>
      <c r="D315" s="41"/>
      <c r="E315" s="41"/>
      <c r="F315" s="41"/>
      <c r="G315" s="41"/>
      <c r="H315" s="41" t="s">
        <v>230</v>
      </c>
      <c r="I315" s="41"/>
      <c r="J315" s="41"/>
      <c r="K315" s="41"/>
      <c r="L315" s="44"/>
      <c r="M315" s="41" t="s">
        <v>230</v>
      </c>
      <c r="N315" s="41"/>
      <c r="O315" s="41"/>
      <c r="P315" s="41"/>
      <c r="Q315" s="44"/>
      <c r="R315" s="41" t="s">
        <v>230</v>
      </c>
      <c r="S315" s="41"/>
      <c r="T315" s="41"/>
      <c r="U315" s="41"/>
      <c r="V315" s="44"/>
      <c r="W315" s="41" t="s">
        <v>230</v>
      </c>
      <c r="X315" s="41"/>
      <c r="Y315" s="41"/>
      <c r="Z315" s="41"/>
      <c r="AA315" s="44"/>
      <c r="AB315" s="41" t="s">
        <v>230</v>
      </c>
      <c r="AC315" s="41"/>
      <c r="AD315" s="41"/>
      <c r="AE315" s="41"/>
      <c r="AF315" s="41"/>
      <c r="AG315" s="41" t="s">
        <v>230</v>
      </c>
      <c r="AH315" s="41"/>
      <c r="AI315" s="41"/>
      <c r="AJ315" s="41"/>
      <c r="AK315" s="44"/>
      <c r="AL315" s="41" t="s">
        <v>230</v>
      </c>
      <c r="AM315" s="41"/>
      <c r="AN315" s="41"/>
      <c r="AO315" s="41"/>
      <c r="AP315" s="44"/>
      <c r="AQ315" s="41" t="s">
        <v>230</v>
      </c>
      <c r="AR315" s="41"/>
      <c r="AS315" s="41"/>
      <c r="AT315" s="41"/>
      <c r="AU315" s="44"/>
      <c r="AV315" s="41" t="s">
        <v>230</v>
      </c>
      <c r="AW315" s="44"/>
      <c r="AX315" s="47"/>
      <c r="AY315" s="49"/>
      <c r="AZ315" s="51"/>
      <c r="BA315" s="49" t="s">
        <v>230</v>
      </c>
      <c r="BB315" s="51"/>
      <c r="BC315" s="47"/>
      <c r="BD315" s="49"/>
      <c r="BE315" s="51"/>
      <c r="BF315" s="49" t="s">
        <v>230</v>
      </c>
      <c r="BG315" s="51"/>
      <c r="BH315" s="47"/>
      <c r="BI315" s="49"/>
      <c r="BJ315" s="51"/>
      <c r="BK315" s="49" t="s">
        <v>230</v>
      </c>
      <c r="BL315" s="51"/>
      <c r="BM315" s="47"/>
      <c r="BN315" s="53"/>
      <c r="BO315" s="54"/>
      <c r="BP315" s="53" t="s">
        <v>230</v>
      </c>
      <c r="BQ315" s="54"/>
      <c r="BR315" s="53"/>
      <c r="BS315" s="53"/>
      <c r="BT315" s="54"/>
      <c r="BU315" s="53" t="s">
        <v>230</v>
      </c>
      <c r="BV315" s="54"/>
      <c r="BW315" s="53"/>
      <c r="BX315" s="53"/>
      <c r="BY315" s="54"/>
      <c r="BZ315" s="53" t="s">
        <v>230</v>
      </c>
      <c r="CA315" s="54"/>
      <c r="CB315" s="53"/>
      <c r="CC315" s="53"/>
      <c r="CD315" s="54"/>
      <c r="CE315" s="53" t="s">
        <v>230</v>
      </c>
      <c r="CF315" s="53"/>
      <c r="CG315" s="53"/>
      <c r="CH315" s="53"/>
      <c r="CI315" s="54"/>
      <c r="CJ315" s="53" t="s">
        <v>230</v>
      </c>
      <c r="CK315" s="54"/>
      <c r="CL315" s="53"/>
      <c r="CM315" s="53"/>
      <c r="CN315" s="54"/>
      <c r="CO315" s="53" t="s">
        <v>230</v>
      </c>
      <c r="CP315" s="53"/>
      <c r="CQ315" s="53"/>
      <c r="CR315" s="57"/>
      <c r="CS315" s="1000"/>
      <c r="CT315" s="58" t="s">
        <v>230</v>
      </c>
      <c r="CU315" s="53"/>
      <c r="CV315" s="53"/>
      <c r="CW315" s="53"/>
      <c r="CX315" s="54"/>
      <c r="CY315" s="53"/>
      <c r="CZ315" s="54"/>
      <c r="DA315" s="53"/>
      <c r="DB315" s="53"/>
      <c r="DC315" s="54"/>
      <c r="DD315" s="53"/>
      <c r="DE315" s="54"/>
      <c r="DF315" s="53"/>
      <c r="DG315" s="53"/>
      <c r="DH315" s="54"/>
      <c r="DI315" s="53"/>
      <c r="DJ315" s="54"/>
      <c r="DK315" s="53"/>
      <c r="DL315" s="53"/>
      <c r="DM315" s="54"/>
      <c r="DN315" s="54"/>
      <c r="DO315" s="54"/>
      <c r="DP315" s="53"/>
      <c r="DQ315" s="53"/>
      <c r="DR315" s="54"/>
      <c r="DS315" s="54"/>
      <c r="DT315" s="54"/>
      <c r="DU315" s="53"/>
      <c r="DV315" s="53"/>
      <c r="DW315" s="54"/>
      <c r="DX315" s="54"/>
      <c r="DY315" s="987"/>
      <c r="DZ315" s="988"/>
      <c r="EA315" s="983"/>
      <c r="EB315" s="985"/>
      <c r="EC315" s="426"/>
      <c r="ED315" s="456"/>
      <c r="EE315" s="446"/>
      <c r="EF315" s="16"/>
    </row>
    <row r="316" ht="17.25" customHeight="1">
      <c r="A316" s="5"/>
      <c r="B316" s="5"/>
      <c r="C316" s="41"/>
      <c r="D316" s="41"/>
      <c r="E316" s="41"/>
      <c r="F316" s="41"/>
      <c r="G316" s="41"/>
      <c r="H316" s="41" t="s">
        <v>230</v>
      </c>
      <c r="I316" s="41"/>
      <c r="J316" s="41"/>
      <c r="K316" s="41"/>
      <c r="L316" s="44"/>
      <c r="M316" s="41" t="s">
        <v>230</v>
      </c>
      <c r="N316" s="41"/>
      <c r="O316" s="41"/>
      <c r="P316" s="41"/>
      <c r="Q316" s="44"/>
      <c r="R316" s="41" t="s">
        <v>230</v>
      </c>
      <c r="S316" s="41"/>
      <c r="T316" s="41"/>
      <c r="U316" s="41"/>
      <c r="V316" s="44"/>
      <c r="W316" s="41" t="s">
        <v>230</v>
      </c>
      <c r="X316" s="41"/>
      <c r="Y316" s="41"/>
      <c r="Z316" s="41"/>
      <c r="AA316" s="44"/>
      <c r="AB316" s="41" t="s">
        <v>230</v>
      </c>
      <c r="AC316" s="41"/>
      <c r="AD316" s="41"/>
      <c r="AE316" s="41"/>
      <c r="AF316" s="41"/>
      <c r="AG316" s="41" t="s">
        <v>230</v>
      </c>
      <c r="AH316" s="41"/>
      <c r="AI316" s="41"/>
      <c r="AJ316" s="41"/>
      <c r="AK316" s="44"/>
      <c r="AL316" s="41" t="s">
        <v>230</v>
      </c>
      <c r="AM316" s="41"/>
      <c r="AN316" s="41"/>
      <c r="AO316" s="41"/>
      <c r="AP316" s="44"/>
      <c r="AQ316" s="41" t="s">
        <v>230</v>
      </c>
      <c r="AR316" s="41"/>
      <c r="AS316" s="41"/>
      <c r="AT316" s="41"/>
      <c r="AU316" s="44"/>
      <c r="AV316" s="41" t="s">
        <v>230</v>
      </c>
      <c r="AW316" s="44"/>
      <c r="AX316" s="47"/>
      <c r="AY316" s="49"/>
      <c r="AZ316" s="51"/>
      <c r="BA316" s="49" t="s">
        <v>230</v>
      </c>
      <c r="BB316" s="51"/>
      <c r="BC316" s="47"/>
      <c r="BD316" s="49"/>
      <c r="BE316" s="51"/>
      <c r="BF316" s="49" t="s">
        <v>230</v>
      </c>
      <c r="BG316" s="51"/>
      <c r="BH316" s="47"/>
      <c r="BI316" s="49"/>
      <c r="BJ316" s="51"/>
      <c r="BK316" s="49" t="s">
        <v>230</v>
      </c>
      <c r="BL316" s="51"/>
      <c r="BM316" s="47"/>
      <c r="BN316" s="53"/>
      <c r="BO316" s="54"/>
      <c r="BP316" s="53" t="s">
        <v>230</v>
      </c>
      <c r="BQ316" s="54"/>
      <c r="BR316" s="53"/>
      <c r="BS316" s="53"/>
      <c r="BT316" s="54"/>
      <c r="BU316" s="53" t="s">
        <v>230</v>
      </c>
      <c r="BV316" s="54"/>
      <c r="BW316" s="53"/>
      <c r="BX316" s="53"/>
      <c r="BY316" s="54"/>
      <c r="BZ316" s="53" t="s">
        <v>230</v>
      </c>
      <c r="CA316" s="54"/>
      <c r="CB316" s="53"/>
      <c r="CC316" s="53"/>
      <c r="CD316" s="54"/>
      <c r="CE316" s="53" t="s">
        <v>230</v>
      </c>
      <c r="CF316" s="53"/>
      <c r="CG316" s="53"/>
      <c r="CH316" s="53"/>
      <c r="CI316" s="54"/>
      <c r="CJ316" s="53" t="s">
        <v>230</v>
      </c>
      <c r="CK316" s="54"/>
      <c r="CL316" s="53"/>
      <c r="CM316" s="53"/>
      <c r="CN316" s="54"/>
      <c r="CO316" s="53" t="s">
        <v>230</v>
      </c>
      <c r="CP316" s="53"/>
      <c r="CQ316" s="53"/>
      <c r="CR316" s="57"/>
      <c r="CS316" s="1000"/>
      <c r="CT316" s="58" t="s">
        <v>230</v>
      </c>
      <c r="CU316" s="53"/>
      <c r="CV316" s="53"/>
      <c r="CW316" s="53"/>
      <c r="CX316" s="54"/>
      <c r="CY316" s="53"/>
      <c r="CZ316" s="54"/>
      <c r="DA316" s="53"/>
      <c r="DB316" s="53"/>
      <c r="DC316" s="54"/>
      <c r="DD316" s="53"/>
      <c r="DE316" s="54"/>
      <c r="DF316" s="53"/>
      <c r="DG316" s="53"/>
      <c r="DH316" s="54"/>
      <c r="DI316" s="53"/>
      <c r="DJ316" s="54"/>
      <c r="DK316" s="53"/>
      <c r="DL316" s="53"/>
      <c r="DM316" s="54"/>
      <c r="DN316" s="54"/>
      <c r="DO316" s="54"/>
      <c r="DP316" s="53"/>
      <c r="DQ316" s="53"/>
      <c r="DR316" s="54"/>
      <c r="DS316" s="54"/>
      <c r="DT316" s="54"/>
      <c r="DU316" s="53"/>
      <c r="DV316" s="53"/>
      <c r="DW316" s="54"/>
      <c r="DX316" s="54"/>
      <c r="DY316" s="987"/>
      <c r="DZ316" s="988"/>
      <c r="EA316" s="983"/>
      <c r="EB316" s="985"/>
      <c r="EC316" s="426"/>
      <c r="ED316" s="456"/>
      <c r="EE316" s="446"/>
      <c r="EF316" s="16"/>
    </row>
    <row r="317" ht="17.25" customHeight="1">
      <c r="A317" s="5"/>
      <c r="B317" s="5"/>
      <c r="C317" s="41"/>
      <c r="D317" s="41"/>
      <c r="E317" s="41"/>
      <c r="F317" s="41"/>
      <c r="G317" s="41"/>
      <c r="H317" s="41" t="s">
        <v>230</v>
      </c>
      <c r="I317" s="41"/>
      <c r="J317" s="41"/>
      <c r="K317" s="41"/>
      <c r="L317" s="44"/>
      <c r="M317" s="41" t="s">
        <v>230</v>
      </c>
      <c r="N317" s="41"/>
      <c r="O317" s="41"/>
      <c r="P317" s="41"/>
      <c r="Q317" s="44"/>
      <c r="R317" s="41" t="s">
        <v>230</v>
      </c>
      <c r="S317" s="41"/>
      <c r="T317" s="41"/>
      <c r="U317" s="41"/>
      <c r="V317" s="44"/>
      <c r="W317" s="41" t="s">
        <v>230</v>
      </c>
      <c r="X317" s="41"/>
      <c r="Y317" s="41"/>
      <c r="Z317" s="41"/>
      <c r="AA317" s="44"/>
      <c r="AB317" s="41" t="s">
        <v>230</v>
      </c>
      <c r="AC317" s="41"/>
      <c r="AD317" s="41"/>
      <c r="AE317" s="41"/>
      <c r="AF317" s="41"/>
      <c r="AG317" s="41" t="s">
        <v>230</v>
      </c>
      <c r="AH317" s="41"/>
      <c r="AI317" s="41"/>
      <c r="AJ317" s="41"/>
      <c r="AK317" s="44"/>
      <c r="AL317" s="41" t="s">
        <v>230</v>
      </c>
      <c r="AM317" s="41"/>
      <c r="AN317" s="41"/>
      <c r="AO317" s="41"/>
      <c r="AP317" s="44"/>
      <c r="AQ317" s="41" t="s">
        <v>230</v>
      </c>
      <c r="AR317" s="41"/>
      <c r="AS317" s="41"/>
      <c r="AT317" s="41"/>
      <c r="AU317" s="44"/>
      <c r="AV317" s="41" t="s">
        <v>230</v>
      </c>
      <c r="AW317" s="44"/>
      <c r="AX317" s="47"/>
      <c r="AY317" s="49"/>
      <c r="AZ317" s="51"/>
      <c r="BA317" s="49" t="s">
        <v>230</v>
      </c>
      <c r="BB317" s="51"/>
      <c r="BC317" s="47"/>
      <c r="BD317" s="49"/>
      <c r="BE317" s="51"/>
      <c r="BF317" s="49" t="s">
        <v>230</v>
      </c>
      <c r="BG317" s="51"/>
      <c r="BH317" s="47"/>
      <c r="BI317" s="49"/>
      <c r="BJ317" s="51"/>
      <c r="BK317" s="49" t="s">
        <v>230</v>
      </c>
      <c r="BL317" s="51"/>
      <c r="BM317" s="47"/>
      <c r="BN317" s="53"/>
      <c r="BO317" s="54"/>
      <c r="BP317" s="53" t="s">
        <v>230</v>
      </c>
      <c r="BQ317" s="54"/>
      <c r="BR317" s="53"/>
      <c r="BS317" s="53"/>
      <c r="BT317" s="54"/>
      <c r="BU317" s="53" t="s">
        <v>230</v>
      </c>
      <c r="BV317" s="54"/>
      <c r="BW317" s="53"/>
      <c r="BX317" s="53"/>
      <c r="BY317" s="54"/>
      <c r="BZ317" s="53" t="s">
        <v>230</v>
      </c>
      <c r="CA317" s="54"/>
      <c r="CB317" s="53"/>
      <c r="CC317" s="53"/>
      <c r="CD317" s="54"/>
      <c r="CE317" s="53" t="s">
        <v>230</v>
      </c>
      <c r="CF317" s="53"/>
      <c r="CG317" s="53"/>
      <c r="CH317" s="53"/>
      <c r="CI317" s="54"/>
      <c r="CJ317" s="53" t="s">
        <v>230</v>
      </c>
      <c r="CK317" s="54"/>
      <c r="CL317" s="53"/>
      <c r="CM317" s="53"/>
      <c r="CN317" s="54"/>
      <c r="CO317" s="53" t="s">
        <v>230</v>
      </c>
      <c r="CP317" s="53"/>
      <c r="CQ317" s="53"/>
      <c r="CR317" s="57"/>
      <c r="CS317" s="1000"/>
      <c r="CT317" s="58" t="s">
        <v>230</v>
      </c>
      <c r="CU317" s="53"/>
      <c r="CV317" s="53"/>
      <c r="CW317" s="53"/>
      <c r="CX317" s="54"/>
      <c r="CY317" s="53"/>
      <c r="CZ317" s="54"/>
      <c r="DA317" s="53"/>
      <c r="DB317" s="53"/>
      <c r="DC317" s="54"/>
      <c r="DD317" s="53"/>
      <c r="DE317" s="54"/>
      <c r="DF317" s="53"/>
      <c r="DG317" s="53"/>
      <c r="DH317" s="54"/>
      <c r="DI317" s="53"/>
      <c r="DJ317" s="54"/>
      <c r="DK317" s="53"/>
      <c r="DL317" s="53"/>
      <c r="DM317" s="54"/>
      <c r="DN317" s="54"/>
      <c r="DO317" s="54"/>
      <c r="DP317" s="53"/>
      <c r="DQ317" s="53"/>
      <c r="DR317" s="54"/>
      <c r="DS317" s="54"/>
      <c r="DT317" s="54"/>
      <c r="DU317" s="53"/>
      <c r="DV317" s="53"/>
      <c r="DW317" s="54"/>
      <c r="DX317" s="54"/>
      <c r="DY317" s="987"/>
      <c r="DZ317" s="988"/>
      <c r="EA317" s="983"/>
      <c r="EB317" s="985"/>
      <c r="EC317" s="426"/>
      <c r="ED317" s="456"/>
      <c r="EE317" s="446"/>
      <c r="EF317" s="16"/>
    </row>
    <row r="318" ht="17.25" customHeight="1">
      <c r="A318" s="5"/>
      <c r="B318" s="5"/>
      <c r="C318" s="41"/>
      <c r="D318" s="41"/>
      <c r="E318" s="41"/>
      <c r="F318" s="41"/>
      <c r="G318" s="41"/>
      <c r="H318" s="41" t="s">
        <v>230</v>
      </c>
      <c r="I318" s="41"/>
      <c r="J318" s="41"/>
      <c r="K318" s="41"/>
      <c r="L318" s="44"/>
      <c r="M318" s="41" t="s">
        <v>230</v>
      </c>
      <c r="N318" s="41"/>
      <c r="O318" s="41"/>
      <c r="P318" s="41"/>
      <c r="Q318" s="44"/>
      <c r="R318" s="41" t="s">
        <v>230</v>
      </c>
      <c r="S318" s="41"/>
      <c r="T318" s="41"/>
      <c r="U318" s="41"/>
      <c r="V318" s="44"/>
      <c r="W318" s="41" t="s">
        <v>230</v>
      </c>
      <c r="X318" s="41"/>
      <c r="Y318" s="41"/>
      <c r="Z318" s="41"/>
      <c r="AA318" s="44"/>
      <c r="AB318" s="41" t="s">
        <v>230</v>
      </c>
      <c r="AC318" s="41"/>
      <c r="AD318" s="41"/>
      <c r="AE318" s="41"/>
      <c r="AF318" s="41"/>
      <c r="AG318" s="41" t="s">
        <v>230</v>
      </c>
      <c r="AH318" s="41"/>
      <c r="AI318" s="41"/>
      <c r="AJ318" s="41"/>
      <c r="AK318" s="44"/>
      <c r="AL318" s="41" t="s">
        <v>230</v>
      </c>
      <c r="AM318" s="41"/>
      <c r="AN318" s="41"/>
      <c r="AO318" s="41"/>
      <c r="AP318" s="44"/>
      <c r="AQ318" s="41" t="s">
        <v>230</v>
      </c>
      <c r="AR318" s="41"/>
      <c r="AS318" s="41"/>
      <c r="AT318" s="41"/>
      <c r="AU318" s="44"/>
      <c r="AV318" s="41" t="s">
        <v>230</v>
      </c>
      <c r="AW318" s="44"/>
      <c r="AX318" s="47"/>
      <c r="AY318" s="49"/>
      <c r="AZ318" s="51"/>
      <c r="BA318" s="49" t="s">
        <v>230</v>
      </c>
      <c r="BB318" s="51"/>
      <c r="BC318" s="47"/>
      <c r="BD318" s="49"/>
      <c r="BE318" s="51"/>
      <c r="BF318" s="49" t="s">
        <v>230</v>
      </c>
      <c r="BG318" s="51"/>
      <c r="BH318" s="47"/>
      <c r="BI318" s="49"/>
      <c r="BJ318" s="51"/>
      <c r="BK318" s="49" t="s">
        <v>230</v>
      </c>
      <c r="BL318" s="51"/>
      <c r="BM318" s="47"/>
      <c r="BN318" s="53"/>
      <c r="BO318" s="54"/>
      <c r="BP318" s="53" t="s">
        <v>230</v>
      </c>
      <c r="BQ318" s="54"/>
      <c r="BR318" s="53"/>
      <c r="BS318" s="53"/>
      <c r="BT318" s="54"/>
      <c r="BU318" s="53" t="s">
        <v>230</v>
      </c>
      <c r="BV318" s="54"/>
      <c r="BW318" s="53"/>
      <c r="BX318" s="53"/>
      <c r="BY318" s="54"/>
      <c r="BZ318" s="53" t="s">
        <v>230</v>
      </c>
      <c r="CA318" s="54"/>
      <c r="CB318" s="53"/>
      <c r="CC318" s="53"/>
      <c r="CD318" s="54"/>
      <c r="CE318" s="53" t="s">
        <v>230</v>
      </c>
      <c r="CF318" s="53"/>
      <c r="CG318" s="53"/>
      <c r="CH318" s="53"/>
      <c r="CI318" s="54"/>
      <c r="CJ318" s="53" t="s">
        <v>230</v>
      </c>
      <c r="CK318" s="54"/>
      <c r="CL318" s="53"/>
      <c r="CM318" s="53"/>
      <c r="CN318" s="54"/>
      <c r="CO318" s="53" t="s">
        <v>230</v>
      </c>
      <c r="CP318" s="53"/>
      <c r="CQ318" s="53"/>
      <c r="CR318" s="57"/>
      <c r="CS318" s="1000"/>
      <c r="CT318" s="58" t="s">
        <v>230</v>
      </c>
      <c r="CU318" s="53"/>
      <c r="CV318" s="53"/>
      <c r="CW318" s="53"/>
      <c r="CX318" s="54"/>
      <c r="CY318" s="53"/>
      <c r="CZ318" s="54"/>
      <c r="DA318" s="53"/>
      <c r="DB318" s="53"/>
      <c r="DC318" s="54"/>
      <c r="DD318" s="53"/>
      <c r="DE318" s="54"/>
      <c r="DF318" s="53"/>
      <c r="DG318" s="53"/>
      <c r="DH318" s="54"/>
      <c r="DI318" s="53"/>
      <c r="DJ318" s="54"/>
      <c r="DK318" s="53"/>
      <c r="DL318" s="53"/>
      <c r="DM318" s="54"/>
      <c r="DN318" s="54"/>
      <c r="DO318" s="54"/>
      <c r="DP318" s="53"/>
      <c r="DQ318" s="53"/>
      <c r="DR318" s="54"/>
      <c r="DS318" s="54"/>
      <c r="DT318" s="54"/>
      <c r="DU318" s="53"/>
      <c r="DV318" s="53"/>
      <c r="DW318" s="54"/>
      <c r="DX318" s="54"/>
      <c r="DY318" s="987"/>
      <c r="DZ318" s="988"/>
      <c r="EA318" s="983"/>
      <c r="EB318" s="985"/>
      <c r="EC318" s="426"/>
      <c r="ED318" s="456"/>
      <c r="EE318" s="446"/>
      <c r="EF318" s="16"/>
    </row>
    <row r="319" ht="17.25" customHeight="1">
      <c r="A319" s="5"/>
      <c r="B319" s="5"/>
      <c r="C319" s="41"/>
      <c r="D319" s="41"/>
      <c r="E319" s="41"/>
      <c r="F319" s="41"/>
      <c r="G319" s="41"/>
      <c r="H319" s="41" t="s">
        <v>230</v>
      </c>
      <c r="I319" s="41"/>
      <c r="J319" s="41"/>
      <c r="K319" s="41"/>
      <c r="L319" s="44"/>
      <c r="M319" s="41" t="s">
        <v>230</v>
      </c>
      <c r="N319" s="41"/>
      <c r="O319" s="41"/>
      <c r="P319" s="41"/>
      <c r="Q319" s="44"/>
      <c r="R319" s="41" t="s">
        <v>230</v>
      </c>
      <c r="S319" s="41"/>
      <c r="T319" s="41"/>
      <c r="U319" s="41"/>
      <c r="V319" s="44"/>
      <c r="W319" s="41" t="s">
        <v>230</v>
      </c>
      <c r="X319" s="41"/>
      <c r="Y319" s="41"/>
      <c r="Z319" s="41"/>
      <c r="AA319" s="44"/>
      <c r="AB319" s="41" t="s">
        <v>230</v>
      </c>
      <c r="AC319" s="41"/>
      <c r="AD319" s="41"/>
      <c r="AE319" s="41"/>
      <c r="AF319" s="41"/>
      <c r="AG319" s="41" t="s">
        <v>230</v>
      </c>
      <c r="AH319" s="41"/>
      <c r="AI319" s="41"/>
      <c r="AJ319" s="41"/>
      <c r="AK319" s="44"/>
      <c r="AL319" s="41" t="s">
        <v>230</v>
      </c>
      <c r="AM319" s="41"/>
      <c r="AN319" s="41"/>
      <c r="AO319" s="41"/>
      <c r="AP319" s="44"/>
      <c r="AQ319" s="41" t="s">
        <v>230</v>
      </c>
      <c r="AR319" s="41"/>
      <c r="AS319" s="41"/>
      <c r="AT319" s="41"/>
      <c r="AU319" s="44"/>
      <c r="AV319" s="41" t="s">
        <v>230</v>
      </c>
      <c r="AW319" s="44"/>
      <c r="AX319" s="47"/>
      <c r="AY319" s="49"/>
      <c r="AZ319" s="51"/>
      <c r="BA319" s="49" t="s">
        <v>230</v>
      </c>
      <c r="BB319" s="51"/>
      <c r="BC319" s="47"/>
      <c r="BD319" s="49"/>
      <c r="BE319" s="51"/>
      <c r="BF319" s="49" t="s">
        <v>230</v>
      </c>
      <c r="BG319" s="51"/>
      <c r="BH319" s="47"/>
      <c r="BI319" s="49"/>
      <c r="BJ319" s="51"/>
      <c r="BK319" s="49" t="s">
        <v>230</v>
      </c>
      <c r="BL319" s="51"/>
      <c r="BM319" s="47"/>
      <c r="BN319" s="53"/>
      <c r="BO319" s="54"/>
      <c r="BP319" s="53" t="s">
        <v>230</v>
      </c>
      <c r="BQ319" s="54"/>
      <c r="BR319" s="53"/>
      <c r="BS319" s="53"/>
      <c r="BT319" s="54"/>
      <c r="BU319" s="53" t="s">
        <v>230</v>
      </c>
      <c r="BV319" s="54"/>
      <c r="BW319" s="53"/>
      <c r="BX319" s="53"/>
      <c r="BY319" s="54"/>
      <c r="BZ319" s="53" t="s">
        <v>230</v>
      </c>
      <c r="CA319" s="54"/>
      <c r="CB319" s="53"/>
      <c r="CC319" s="53"/>
      <c r="CD319" s="54"/>
      <c r="CE319" s="53" t="s">
        <v>230</v>
      </c>
      <c r="CF319" s="53"/>
      <c r="CG319" s="53"/>
      <c r="CH319" s="53"/>
      <c r="CI319" s="54"/>
      <c r="CJ319" s="53" t="s">
        <v>230</v>
      </c>
      <c r="CK319" s="54"/>
      <c r="CL319" s="53"/>
      <c r="CM319" s="53"/>
      <c r="CN319" s="54"/>
      <c r="CO319" s="53" t="s">
        <v>230</v>
      </c>
      <c r="CP319" s="53"/>
      <c r="CQ319" s="53"/>
      <c r="CR319" s="57"/>
      <c r="CS319" s="1000"/>
      <c r="CT319" s="58" t="s">
        <v>230</v>
      </c>
      <c r="CU319" s="53"/>
      <c r="CV319" s="53"/>
      <c r="CW319" s="53"/>
      <c r="CX319" s="54"/>
      <c r="CY319" s="53"/>
      <c r="CZ319" s="54"/>
      <c r="DA319" s="53"/>
      <c r="DB319" s="53"/>
      <c r="DC319" s="54"/>
      <c r="DD319" s="53"/>
      <c r="DE319" s="54"/>
      <c r="DF319" s="53"/>
      <c r="DG319" s="53"/>
      <c r="DH319" s="54"/>
      <c r="DI319" s="53"/>
      <c r="DJ319" s="54"/>
      <c r="DK319" s="53"/>
      <c r="DL319" s="53"/>
      <c r="DM319" s="54"/>
      <c r="DN319" s="54"/>
      <c r="DO319" s="54"/>
      <c r="DP319" s="53"/>
      <c r="DQ319" s="53"/>
      <c r="DR319" s="54"/>
      <c r="DS319" s="54"/>
      <c r="DT319" s="54"/>
      <c r="DU319" s="53"/>
      <c r="DV319" s="53"/>
      <c r="DW319" s="54"/>
      <c r="DX319" s="54"/>
      <c r="DY319" s="987"/>
      <c r="DZ319" s="988"/>
      <c r="EA319" s="983"/>
      <c r="EB319" s="985"/>
      <c r="EC319" s="426"/>
      <c r="ED319" s="456"/>
      <c r="EE319" s="446"/>
      <c r="EF319" s="16"/>
    </row>
    <row r="320" ht="17.25" customHeight="1">
      <c r="A320" s="5"/>
      <c r="B320" s="5"/>
      <c r="C320" s="41"/>
      <c r="D320" s="41"/>
      <c r="E320" s="41"/>
      <c r="F320" s="41"/>
      <c r="G320" s="41"/>
      <c r="H320" s="41" t="s">
        <v>230</v>
      </c>
      <c r="I320" s="41"/>
      <c r="J320" s="41"/>
      <c r="K320" s="41"/>
      <c r="L320" s="44"/>
      <c r="M320" s="41" t="s">
        <v>230</v>
      </c>
      <c r="N320" s="41"/>
      <c r="O320" s="41"/>
      <c r="P320" s="41"/>
      <c r="Q320" s="44"/>
      <c r="R320" s="41" t="s">
        <v>230</v>
      </c>
      <c r="S320" s="41"/>
      <c r="T320" s="41"/>
      <c r="U320" s="41"/>
      <c r="V320" s="44"/>
      <c r="W320" s="41" t="s">
        <v>230</v>
      </c>
      <c r="X320" s="41"/>
      <c r="Y320" s="41"/>
      <c r="Z320" s="41"/>
      <c r="AA320" s="44"/>
      <c r="AB320" s="41" t="s">
        <v>230</v>
      </c>
      <c r="AC320" s="41"/>
      <c r="AD320" s="41"/>
      <c r="AE320" s="41"/>
      <c r="AF320" s="41"/>
      <c r="AG320" s="41" t="s">
        <v>230</v>
      </c>
      <c r="AH320" s="41"/>
      <c r="AI320" s="41"/>
      <c r="AJ320" s="41"/>
      <c r="AK320" s="44"/>
      <c r="AL320" s="41" t="s">
        <v>230</v>
      </c>
      <c r="AM320" s="41"/>
      <c r="AN320" s="41"/>
      <c r="AO320" s="41"/>
      <c r="AP320" s="44"/>
      <c r="AQ320" s="41" t="s">
        <v>230</v>
      </c>
      <c r="AR320" s="41"/>
      <c r="AS320" s="41"/>
      <c r="AT320" s="41"/>
      <c r="AU320" s="44"/>
      <c r="AV320" s="41" t="s">
        <v>230</v>
      </c>
      <c r="AW320" s="44"/>
      <c r="AX320" s="47"/>
      <c r="AY320" s="49"/>
      <c r="AZ320" s="51"/>
      <c r="BA320" s="49" t="s">
        <v>230</v>
      </c>
      <c r="BB320" s="51"/>
      <c r="BC320" s="47"/>
      <c r="BD320" s="49"/>
      <c r="BE320" s="51"/>
      <c r="BF320" s="49" t="s">
        <v>230</v>
      </c>
      <c r="BG320" s="51"/>
      <c r="BH320" s="47"/>
      <c r="BI320" s="49"/>
      <c r="BJ320" s="51"/>
      <c r="BK320" s="49" t="s">
        <v>230</v>
      </c>
      <c r="BL320" s="51"/>
      <c r="BM320" s="47"/>
      <c r="BN320" s="53"/>
      <c r="BO320" s="54"/>
      <c r="BP320" s="53" t="s">
        <v>230</v>
      </c>
      <c r="BQ320" s="54"/>
      <c r="BR320" s="53"/>
      <c r="BS320" s="53"/>
      <c r="BT320" s="54"/>
      <c r="BU320" s="53" t="s">
        <v>230</v>
      </c>
      <c r="BV320" s="54"/>
      <c r="BW320" s="53"/>
      <c r="BX320" s="53"/>
      <c r="BY320" s="54"/>
      <c r="BZ320" s="53" t="s">
        <v>230</v>
      </c>
      <c r="CA320" s="54"/>
      <c r="CB320" s="53"/>
      <c r="CC320" s="53"/>
      <c r="CD320" s="54"/>
      <c r="CE320" s="53" t="s">
        <v>230</v>
      </c>
      <c r="CF320" s="53"/>
      <c r="CG320" s="53"/>
      <c r="CH320" s="53"/>
      <c r="CI320" s="54"/>
      <c r="CJ320" s="53" t="s">
        <v>230</v>
      </c>
      <c r="CK320" s="54"/>
      <c r="CL320" s="53"/>
      <c r="CM320" s="53"/>
      <c r="CN320" s="54"/>
      <c r="CO320" s="53" t="s">
        <v>230</v>
      </c>
      <c r="CP320" s="53"/>
      <c r="CQ320" s="53"/>
      <c r="CR320" s="57"/>
      <c r="CS320" s="1000"/>
      <c r="CT320" s="58" t="s">
        <v>230</v>
      </c>
      <c r="CU320" s="53"/>
      <c r="CV320" s="53"/>
      <c r="CW320" s="53"/>
      <c r="CX320" s="54"/>
      <c r="CY320" s="53"/>
      <c r="CZ320" s="54"/>
      <c r="DA320" s="53"/>
      <c r="DB320" s="53"/>
      <c r="DC320" s="54"/>
      <c r="DD320" s="53"/>
      <c r="DE320" s="54"/>
      <c r="DF320" s="53"/>
      <c r="DG320" s="53"/>
      <c r="DH320" s="54"/>
      <c r="DI320" s="53"/>
      <c r="DJ320" s="54"/>
      <c r="DK320" s="53"/>
      <c r="DL320" s="53"/>
      <c r="DM320" s="54"/>
      <c r="DN320" s="54"/>
      <c r="DO320" s="54"/>
      <c r="DP320" s="53"/>
      <c r="DQ320" s="53"/>
      <c r="DR320" s="54"/>
      <c r="DS320" s="54"/>
      <c r="DT320" s="54"/>
      <c r="DU320" s="53"/>
      <c r="DV320" s="53"/>
      <c r="DW320" s="54"/>
      <c r="DX320" s="54"/>
      <c r="DY320" s="987"/>
      <c r="DZ320" s="988"/>
      <c r="EA320" s="983"/>
      <c r="EB320" s="985"/>
      <c r="EC320" s="426"/>
      <c r="ED320" s="456"/>
      <c r="EE320" s="446"/>
      <c r="EF320" s="16"/>
    </row>
    <row r="321" ht="17.25" customHeight="1">
      <c r="A321" s="5"/>
      <c r="B321" s="5"/>
      <c r="C321" s="41"/>
      <c r="D321" s="41"/>
      <c r="E321" s="41"/>
      <c r="F321" s="41"/>
      <c r="G321" s="41"/>
      <c r="H321" s="41" t="s">
        <v>230</v>
      </c>
      <c r="I321" s="41"/>
      <c r="J321" s="41"/>
      <c r="K321" s="41"/>
      <c r="L321" s="44"/>
      <c r="M321" s="41" t="s">
        <v>230</v>
      </c>
      <c r="N321" s="41"/>
      <c r="O321" s="41"/>
      <c r="P321" s="41"/>
      <c r="Q321" s="44"/>
      <c r="R321" s="41" t="s">
        <v>230</v>
      </c>
      <c r="S321" s="41"/>
      <c r="T321" s="41"/>
      <c r="U321" s="41"/>
      <c r="V321" s="44"/>
      <c r="W321" s="41" t="s">
        <v>230</v>
      </c>
      <c r="X321" s="41"/>
      <c r="Y321" s="41"/>
      <c r="Z321" s="41"/>
      <c r="AA321" s="44"/>
      <c r="AB321" s="41" t="s">
        <v>230</v>
      </c>
      <c r="AC321" s="41"/>
      <c r="AD321" s="41"/>
      <c r="AE321" s="41"/>
      <c r="AF321" s="41"/>
      <c r="AG321" s="41" t="s">
        <v>230</v>
      </c>
      <c r="AH321" s="41"/>
      <c r="AI321" s="41"/>
      <c r="AJ321" s="41"/>
      <c r="AK321" s="44"/>
      <c r="AL321" s="41" t="s">
        <v>230</v>
      </c>
      <c r="AM321" s="41"/>
      <c r="AN321" s="41"/>
      <c r="AO321" s="41"/>
      <c r="AP321" s="44"/>
      <c r="AQ321" s="41" t="s">
        <v>230</v>
      </c>
      <c r="AR321" s="41"/>
      <c r="AS321" s="41"/>
      <c r="AT321" s="41"/>
      <c r="AU321" s="44"/>
      <c r="AV321" s="41" t="s">
        <v>230</v>
      </c>
      <c r="AW321" s="44"/>
      <c r="AX321" s="47"/>
      <c r="AY321" s="49"/>
      <c r="AZ321" s="51"/>
      <c r="BA321" s="49" t="s">
        <v>230</v>
      </c>
      <c r="BB321" s="51"/>
      <c r="BC321" s="47"/>
      <c r="BD321" s="49"/>
      <c r="BE321" s="51"/>
      <c r="BF321" s="49" t="s">
        <v>230</v>
      </c>
      <c r="BG321" s="51"/>
      <c r="BH321" s="47"/>
      <c r="BI321" s="49"/>
      <c r="BJ321" s="51"/>
      <c r="BK321" s="49" t="s">
        <v>230</v>
      </c>
      <c r="BL321" s="51"/>
      <c r="BM321" s="47"/>
      <c r="BN321" s="53"/>
      <c r="BO321" s="54"/>
      <c r="BP321" s="53" t="s">
        <v>230</v>
      </c>
      <c r="BQ321" s="54"/>
      <c r="BR321" s="53"/>
      <c r="BS321" s="53"/>
      <c r="BT321" s="54"/>
      <c r="BU321" s="53" t="s">
        <v>230</v>
      </c>
      <c r="BV321" s="54"/>
      <c r="BW321" s="53"/>
      <c r="BX321" s="53"/>
      <c r="BY321" s="54"/>
      <c r="BZ321" s="53" t="s">
        <v>230</v>
      </c>
      <c r="CA321" s="54"/>
      <c r="CB321" s="53"/>
      <c r="CC321" s="53"/>
      <c r="CD321" s="54"/>
      <c r="CE321" s="53" t="s">
        <v>230</v>
      </c>
      <c r="CF321" s="53"/>
      <c r="CG321" s="53"/>
      <c r="CH321" s="53"/>
      <c r="CI321" s="54"/>
      <c r="CJ321" s="53" t="s">
        <v>230</v>
      </c>
      <c r="CK321" s="54"/>
      <c r="CL321" s="53"/>
      <c r="CM321" s="53"/>
      <c r="CN321" s="54"/>
      <c r="CO321" s="53" t="s">
        <v>230</v>
      </c>
      <c r="CP321" s="53"/>
      <c r="CQ321" s="53"/>
      <c r="CR321" s="57"/>
      <c r="CS321" s="1000"/>
      <c r="CT321" s="58" t="s">
        <v>230</v>
      </c>
      <c r="CU321" s="53"/>
      <c r="CV321" s="53"/>
      <c r="CW321" s="53"/>
      <c r="CX321" s="54"/>
      <c r="CY321" s="53"/>
      <c r="CZ321" s="54"/>
      <c r="DA321" s="53"/>
      <c r="DB321" s="53"/>
      <c r="DC321" s="54"/>
      <c r="DD321" s="53"/>
      <c r="DE321" s="54"/>
      <c r="DF321" s="53"/>
      <c r="DG321" s="53"/>
      <c r="DH321" s="54"/>
      <c r="DI321" s="53"/>
      <c r="DJ321" s="54"/>
      <c r="DK321" s="53"/>
      <c r="DL321" s="53"/>
      <c r="DM321" s="54"/>
      <c r="DN321" s="54"/>
      <c r="DO321" s="54"/>
      <c r="DP321" s="53"/>
      <c r="DQ321" s="53"/>
      <c r="DR321" s="54"/>
      <c r="DS321" s="54"/>
      <c r="DT321" s="54"/>
      <c r="DU321" s="53"/>
      <c r="DV321" s="53"/>
      <c r="DW321" s="54"/>
      <c r="DX321" s="54"/>
      <c r="DY321" s="987"/>
      <c r="DZ321" s="988"/>
      <c r="EA321" s="983"/>
      <c r="EB321" s="985"/>
      <c r="EC321" s="426"/>
      <c r="ED321" s="456"/>
      <c r="EE321" s="446"/>
      <c r="EF321" s="16"/>
    </row>
    <row r="322" ht="17.25" customHeight="1">
      <c r="A322" s="5"/>
      <c r="B322" s="5"/>
      <c r="C322" s="41"/>
      <c r="D322" s="41"/>
      <c r="E322" s="41"/>
      <c r="F322" s="41"/>
      <c r="G322" s="41"/>
      <c r="H322" s="41" t="s">
        <v>230</v>
      </c>
      <c r="I322" s="41"/>
      <c r="J322" s="41"/>
      <c r="K322" s="41"/>
      <c r="L322" s="44"/>
      <c r="M322" s="41" t="s">
        <v>230</v>
      </c>
      <c r="N322" s="41"/>
      <c r="O322" s="41"/>
      <c r="P322" s="41"/>
      <c r="Q322" s="44"/>
      <c r="R322" s="41" t="s">
        <v>230</v>
      </c>
      <c r="S322" s="41"/>
      <c r="T322" s="41"/>
      <c r="U322" s="41"/>
      <c r="V322" s="44"/>
      <c r="W322" s="41" t="s">
        <v>230</v>
      </c>
      <c r="X322" s="41"/>
      <c r="Y322" s="41"/>
      <c r="Z322" s="41"/>
      <c r="AA322" s="44"/>
      <c r="AB322" s="41" t="s">
        <v>230</v>
      </c>
      <c r="AC322" s="41"/>
      <c r="AD322" s="41"/>
      <c r="AE322" s="41"/>
      <c r="AF322" s="41"/>
      <c r="AG322" s="41" t="s">
        <v>230</v>
      </c>
      <c r="AH322" s="41"/>
      <c r="AI322" s="41"/>
      <c r="AJ322" s="41"/>
      <c r="AK322" s="44"/>
      <c r="AL322" s="41" t="s">
        <v>230</v>
      </c>
      <c r="AM322" s="41"/>
      <c r="AN322" s="41"/>
      <c r="AO322" s="41"/>
      <c r="AP322" s="44"/>
      <c r="AQ322" s="41" t="s">
        <v>230</v>
      </c>
      <c r="AR322" s="41"/>
      <c r="AS322" s="41"/>
      <c r="AT322" s="41"/>
      <c r="AU322" s="44"/>
      <c r="AV322" s="41" t="s">
        <v>230</v>
      </c>
      <c r="AW322" s="44"/>
      <c r="AX322" s="47"/>
      <c r="AY322" s="49"/>
      <c r="AZ322" s="51"/>
      <c r="BA322" s="49" t="s">
        <v>230</v>
      </c>
      <c r="BB322" s="51"/>
      <c r="BC322" s="47"/>
      <c r="BD322" s="49"/>
      <c r="BE322" s="51"/>
      <c r="BF322" s="49" t="s">
        <v>230</v>
      </c>
      <c r="BG322" s="51"/>
      <c r="BH322" s="47"/>
      <c r="BI322" s="49"/>
      <c r="BJ322" s="51"/>
      <c r="BK322" s="49" t="s">
        <v>230</v>
      </c>
      <c r="BL322" s="51"/>
      <c r="BM322" s="47"/>
      <c r="BN322" s="53"/>
      <c r="BO322" s="54"/>
      <c r="BP322" s="53" t="s">
        <v>230</v>
      </c>
      <c r="BQ322" s="54"/>
      <c r="BR322" s="53"/>
      <c r="BS322" s="53"/>
      <c r="BT322" s="54"/>
      <c r="BU322" s="53" t="s">
        <v>230</v>
      </c>
      <c r="BV322" s="54"/>
      <c r="BW322" s="53"/>
      <c r="BX322" s="53"/>
      <c r="BY322" s="54"/>
      <c r="BZ322" s="53" t="s">
        <v>230</v>
      </c>
      <c r="CA322" s="54"/>
      <c r="CB322" s="53"/>
      <c r="CC322" s="53"/>
      <c r="CD322" s="54"/>
      <c r="CE322" s="53" t="s">
        <v>230</v>
      </c>
      <c r="CF322" s="53"/>
      <c r="CG322" s="53"/>
      <c r="CH322" s="53"/>
      <c r="CI322" s="54"/>
      <c r="CJ322" s="53" t="s">
        <v>230</v>
      </c>
      <c r="CK322" s="54"/>
      <c r="CL322" s="53"/>
      <c r="CM322" s="53"/>
      <c r="CN322" s="54"/>
      <c r="CO322" s="53" t="s">
        <v>230</v>
      </c>
      <c r="CP322" s="53"/>
      <c r="CQ322" s="53"/>
      <c r="CR322" s="57"/>
      <c r="CS322" s="1000"/>
      <c r="CT322" s="58" t="s">
        <v>230</v>
      </c>
      <c r="CU322" s="53"/>
      <c r="CV322" s="53"/>
      <c r="CW322" s="53"/>
      <c r="CX322" s="54"/>
      <c r="CY322" s="53"/>
      <c r="CZ322" s="54"/>
      <c r="DA322" s="53"/>
      <c r="DB322" s="53"/>
      <c r="DC322" s="54"/>
      <c r="DD322" s="53"/>
      <c r="DE322" s="54"/>
      <c r="DF322" s="53"/>
      <c r="DG322" s="53"/>
      <c r="DH322" s="54"/>
      <c r="DI322" s="53"/>
      <c r="DJ322" s="54"/>
      <c r="DK322" s="53"/>
      <c r="DL322" s="53"/>
      <c r="DM322" s="54"/>
      <c r="DN322" s="54"/>
      <c r="DO322" s="54"/>
      <c r="DP322" s="53"/>
      <c r="DQ322" s="53"/>
      <c r="DR322" s="54"/>
      <c r="DS322" s="54"/>
      <c r="DT322" s="54"/>
      <c r="DU322" s="53"/>
      <c r="DV322" s="53"/>
      <c r="DW322" s="54"/>
      <c r="DX322" s="54"/>
      <c r="DY322" s="987"/>
      <c r="DZ322" s="988"/>
      <c r="EA322" s="983"/>
      <c r="EB322" s="985"/>
      <c r="EC322" s="426"/>
      <c r="ED322" s="456"/>
      <c r="EE322" s="446"/>
      <c r="EF322" s="16"/>
    </row>
    <row r="323" ht="17.25" customHeight="1">
      <c r="A323" s="5"/>
      <c r="B323" s="5"/>
      <c r="C323" s="41"/>
      <c r="D323" s="41"/>
      <c r="E323" s="41"/>
      <c r="F323" s="41"/>
      <c r="G323" s="41"/>
      <c r="H323" s="41" t="s">
        <v>230</v>
      </c>
      <c r="I323" s="41"/>
      <c r="J323" s="41"/>
      <c r="K323" s="41"/>
      <c r="L323" s="44"/>
      <c r="M323" s="41" t="s">
        <v>230</v>
      </c>
      <c r="N323" s="41"/>
      <c r="O323" s="41"/>
      <c r="P323" s="41"/>
      <c r="Q323" s="44"/>
      <c r="R323" s="41" t="s">
        <v>230</v>
      </c>
      <c r="S323" s="41"/>
      <c r="T323" s="41"/>
      <c r="U323" s="41"/>
      <c r="V323" s="44"/>
      <c r="W323" s="41" t="s">
        <v>230</v>
      </c>
      <c r="X323" s="41"/>
      <c r="Y323" s="41"/>
      <c r="Z323" s="41"/>
      <c r="AA323" s="44"/>
      <c r="AB323" s="41" t="s">
        <v>230</v>
      </c>
      <c r="AC323" s="41"/>
      <c r="AD323" s="41"/>
      <c r="AE323" s="41"/>
      <c r="AF323" s="41"/>
      <c r="AG323" s="41" t="s">
        <v>230</v>
      </c>
      <c r="AH323" s="41"/>
      <c r="AI323" s="41"/>
      <c r="AJ323" s="41"/>
      <c r="AK323" s="44"/>
      <c r="AL323" s="41" t="s">
        <v>230</v>
      </c>
      <c r="AM323" s="41"/>
      <c r="AN323" s="41"/>
      <c r="AO323" s="41"/>
      <c r="AP323" s="44"/>
      <c r="AQ323" s="41" t="s">
        <v>230</v>
      </c>
      <c r="AR323" s="41"/>
      <c r="AS323" s="41"/>
      <c r="AT323" s="41"/>
      <c r="AU323" s="44"/>
      <c r="AV323" s="41" t="s">
        <v>230</v>
      </c>
      <c r="AW323" s="44"/>
      <c r="AX323" s="47"/>
      <c r="AY323" s="49"/>
      <c r="AZ323" s="51"/>
      <c r="BA323" s="49" t="s">
        <v>230</v>
      </c>
      <c r="BB323" s="51"/>
      <c r="BC323" s="47"/>
      <c r="BD323" s="49"/>
      <c r="BE323" s="51"/>
      <c r="BF323" s="49" t="s">
        <v>230</v>
      </c>
      <c r="BG323" s="51"/>
      <c r="BH323" s="47"/>
      <c r="BI323" s="49"/>
      <c r="BJ323" s="51"/>
      <c r="BK323" s="49" t="s">
        <v>230</v>
      </c>
      <c r="BL323" s="51"/>
      <c r="BM323" s="47"/>
      <c r="BN323" s="53"/>
      <c r="BO323" s="54"/>
      <c r="BP323" s="53" t="s">
        <v>230</v>
      </c>
      <c r="BQ323" s="54"/>
      <c r="BR323" s="53"/>
      <c r="BS323" s="53"/>
      <c r="BT323" s="54"/>
      <c r="BU323" s="53" t="s">
        <v>230</v>
      </c>
      <c r="BV323" s="54"/>
      <c r="BW323" s="53"/>
      <c r="BX323" s="53"/>
      <c r="BY323" s="54"/>
      <c r="BZ323" s="53" t="s">
        <v>230</v>
      </c>
      <c r="CA323" s="54"/>
      <c r="CB323" s="53"/>
      <c r="CC323" s="53"/>
      <c r="CD323" s="54"/>
      <c r="CE323" s="53" t="s">
        <v>230</v>
      </c>
      <c r="CF323" s="53"/>
      <c r="CG323" s="53"/>
      <c r="CH323" s="53"/>
      <c r="CI323" s="54"/>
      <c r="CJ323" s="53" t="s">
        <v>230</v>
      </c>
      <c r="CK323" s="54"/>
      <c r="CL323" s="53"/>
      <c r="CM323" s="53"/>
      <c r="CN323" s="54"/>
      <c r="CO323" s="53" t="s">
        <v>230</v>
      </c>
      <c r="CP323" s="53"/>
      <c r="CQ323" s="53"/>
      <c r="CR323" s="57"/>
      <c r="CS323" s="1000"/>
      <c r="CT323" s="58" t="s">
        <v>230</v>
      </c>
      <c r="CU323" s="53"/>
      <c r="CV323" s="53"/>
      <c r="CW323" s="53"/>
      <c r="CX323" s="54"/>
      <c r="CY323" s="53"/>
      <c r="CZ323" s="54"/>
      <c r="DA323" s="53"/>
      <c r="DB323" s="53"/>
      <c r="DC323" s="54"/>
      <c r="DD323" s="53"/>
      <c r="DE323" s="54"/>
      <c r="DF323" s="53"/>
      <c r="DG323" s="53"/>
      <c r="DH323" s="54"/>
      <c r="DI323" s="53"/>
      <c r="DJ323" s="54"/>
      <c r="DK323" s="53"/>
      <c r="DL323" s="53"/>
      <c r="DM323" s="54"/>
      <c r="DN323" s="54"/>
      <c r="DO323" s="54"/>
      <c r="DP323" s="53"/>
      <c r="DQ323" s="53"/>
      <c r="DR323" s="54"/>
      <c r="DS323" s="54"/>
      <c r="DT323" s="54"/>
      <c r="DU323" s="53"/>
      <c r="DV323" s="53"/>
      <c r="DW323" s="54"/>
      <c r="DX323" s="54"/>
      <c r="DY323" s="987"/>
      <c r="DZ323" s="988"/>
      <c r="EA323" s="983"/>
      <c r="EB323" s="985"/>
      <c r="EC323" s="426"/>
      <c r="ED323" s="456"/>
      <c r="EE323" s="446"/>
      <c r="EF323" s="16"/>
    </row>
    <row r="324" ht="17.25" customHeight="1">
      <c r="A324" s="5"/>
      <c r="B324" s="5"/>
      <c r="C324" s="41"/>
      <c r="D324" s="41"/>
      <c r="E324" s="41"/>
      <c r="F324" s="41"/>
      <c r="G324" s="41"/>
      <c r="H324" s="41" t="s">
        <v>230</v>
      </c>
      <c r="I324" s="41"/>
      <c r="J324" s="41"/>
      <c r="K324" s="41"/>
      <c r="L324" s="44"/>
      <c r="M324" s="41" t="s">
        <v>230</v>
      </c>
      <c r="N324" s="41"/>
      <c r="O324" s="41"/>
      <c r="P324" s="41"/>
      <c r="Q324" s="44"/>
      <c r="R324" s="41" t="s">
        <v>230</v>
      </c>
      <c r="S324" s="41"/>
      <c r="T324" s="41"/>
      <c r="U324" s="41"/>
      <c r="V324" s="44"/>
      <c r="W324" s="41" t="s">
        <v>230</v>
      </c>
      <c r="X324" s="41"/>
      <c r="Y324" s="41"/>
      <c r="Z324" s="41"/>
      <c r="AA324" s="44"/>
      <c r="AB324" s="41" t="s">
        <v>230</v>
      </c>
      <c r="AC324" s="41"/>
      <c r="AD324" s="41"/>
      <c r="AE324" s="41"/>
      <c r="AF324" s="41"/>
      <c r="AG324" s="41" t="s">
        <v>230</v>
      </c>
      <c r="AH324" s="41"/>
      <c r="AI324" s="41"/>
      <c r="AJ324" s="41"/>
      <c r="AK324" s="44"/>
      <c r="AL324" s="41" t="s">
        <v>230</v>
      </c>
      <c r="AM324" s="41"/>
      <c r="AN324" s="41"/>
      <c r="AO324" s="41"/>
      <c r="AP324" s="44"/>
      <c r="AQ324" s="41" t="s">
        <v>230</v>
      </c>
      <c r="AR324" s="41"/>
      <c r="AS324" s="41"/>
      <c r="AT324" s="41"/>
      <c r="AU324" s="44"/>
      <c r="AV324" s="41" t="s">
        <v>230</v>
      </c>
      <c r="AW324" s="44"/>
      <c r="AX324" s="47"/>
      <c r="AY324" s="49"/>
      <c r="AZ324" s="51"/>
      <c r="BA324" s="49" t="s">
        <v>230</v>
      </c>
      <c r="BB324" s="51"/>
      <c r="BC324" s="47"/>
      <c r="BD324" s="49"/>
      <c r="BE324" s="51"/>
      <c r="BF324" s="49" t="s">
        <v>230</v>
      </c>
      <c r="BG324" s="51"/>
      <c r="BH324" s="47"/>
      <c r="BI324" s="49"/>
      <c r="BJ324" s="51"/>
      <c r="BK324" s="49" t="s">
        <v>230</v>
      </c>
      <c r="BL324" s="51"/>
      <c r="BM324" s="47"/>
      <c r="BN324" s="53"/>
      <c r="BO324" s="54"/>
      <c r="BP324" s="53" t="s">
        <v>230</v>
      </c>
      <c r="BQ324" s="54"/>
      <c r="BR324" s="53"/>
      <c r="BS324" s="53"/>
      <c r="BT324" s="54"/>
      <c r="BU324" s="53" t="s">
        <v>230</v>
      </c>
      <c r="BV324" s="54"/>
      <c r="BW324" s="53"/>
      <c r="BX324" s="53"/>
      <c r="BY324" s="54"/>
      <c r="BZ324" s="53" t="s">
        <v>230</v>
      </c>
      <c r="CA324" s="54"/>
      <c r="CB324" s="53"/>
      <c r="CC324" s="53"/>
      <c r="CD324" s="54"/>
      <c r="CE324" s="53" t="s">
        <v>230</v>
      </c>
      <c r="CF324" s="53"/>
      <c r="CG324" s="53"/>
      <c r="CH324" s="53"/>
      <c r="CI324" s="54"/>
      <c r="CJ324" s="53" t="s">
        <v>230</v>
      </c>
      <c r="CK324" s="54"/>
      <c r="CL324" s="53"/>
      <c r="CM324" s="53"/>
      <c r="CN324" s="54"/>
      <c r="CO324" s="53" t="s">
        <v>230</v>
      </c>
      <c r="CP324" s="53"/>
      <c r="CQ324" s="53"/>
      <c r="CR324" s="57"/>
      <c r="CS324" s="1000"/>
      <c r="CT324" s="58" t="s">
        <v>230</v>
      </c>
      <c r="CU324" s="53"/>
      <c r="CV324" s="53"/>
      <c r="CW324" s="53"/>
      <c r="CX324" s="54"/>
      <c r="CY324" s="53"/>
      <c r="CZ324" s="54"/>
      <c r="DA324" s="53"/>
      <c r="DB324" s="53"/>
      <c r="DC324" s="54"/>
      <c r="DD324" s="53"/>
      <c r="DE324" s="54"/>
      <c r="DF324" s="53"/>
      <c r="DG324" s="53"/>
      <c r="DH324" s="54"/>
      <c r="DI324" s="53"/>
      <c r="DJ324" s="54"/>
      <c r="DK324" s="53"/>
      <c r="DL324" s="53"/>
      <c r="DM324" s="54"/>
      <c r="DN324" s="54"/>
      <c r="DO324" s="54"/>
      <c r="DP324" s="53"/>
      <c r="DQ324" s="53"/>
      <c r="DR324" s="54"/>
      <c r="DS324" s="54"/>
      <c r="DT324" s="54"/>
      <c r="DU324" s="53"/>
      <c r="DV324" s="53"/>
      <c r="DW324" s="54"/>
      <c r="DX324" s="54"/>
      <c r="DY324" s="987"/>
      <c r="DZ324" s="988"/>
      <c r="EA324" s="983"/>
      <c r="EB324" s="985"/>
      <c r="EC324" s="426"/>
      <c r="ED324" s="456"/>
      <c r="EE324" s="446"/>
      <c r="EF324" s="16"/>
    </row>
    <row r="325" ht="17.25" customHeight="1">
      <c r="A325" s="5"/>
      <c r="B325" s="5"/>
      <c r="C325" s="41"/>
      <c r="D325" s="41"/>
      <c r="E325" s="41"/>
      <c r="F325" s="41"/>
      <c r="G325" s="41"/>
      <c r="H325" s="41" t="s">
        <v>230</v>
      </c>
      <c r="I325" s="41"/>
      <c r="J325" s="41"/>
      <c r="K325" s="41"/>
      <c r="L325" s="44"/>
      <c r="M325" s="41" t="s">
        <v>230</v>
      </c>
      <c r="N325" s="41"/>
      <c r="O325" s="41"/>
      <c r="P325" s="41"/>
      <c r="Q325" s="44"/>
      <c r="R325" s="41" t="s">
        <v>230</v>
      </c>
      <c r="S325" s="41"/>
      <c r="T325" s="41"/>
      <c r="U325" s="41"/>
      <c r="V325" s="44"/>
      <c r="W325" s="41" t="s">
        <v>230</v>
      </c>
      <c r="X325" s="41"/>
      <c r="Y325" s="41"/>
      <c r="Z325" s="41"/>
      <c r="AA325" s="44"/>
      <c r="AB325" s="41" t="s">
        <v>230</v>
      </c>
      <c r="AC325" s="41"/>
      <c r="AD325" s="41"/>
      <c r="AE325" s="41"/>
      <c r="AF325" s="41"/>
      <c r="AG325" s="41" t="s">
        <v>230</v>
      </c>
      <c r="AH325" s="41"/>
      <c r="AI325" s="41"/>
      <c r="AJ325" s="41"/>
      <c r="AK325" s="44"/>
      <c r="AL325" s="41" t="s">
        <v>230</v>
      </c>
      <c r="AM325" s="41"/>
      <c r="AN325" s="41"/>
      <c r="AO325" s="41"/>
      <c r="AP325" s="44"/>
      <c r="AQ325" s="41" t="s">
        <v>230</v>
      </c>
      <c r="AR325" s="41"/>
      <c r="AS325" s="41"/>
      <c r="AT325" s="41"/>
      <c r="AU325" s="44"/>
      <c r="AV325" s="41" t="s">
        <v>230</v>
      </c>
      <c r="AW325" s="44"/>
      <c r="AX325" s="47"/>
      <c r="AY325" s="49"/>
      <c r="AZ325" s="51"/>
      <c r="BA325" s="49" t="s">
        <v>230</v>
      </c>
      <c r="BB325" s="51"/>
      <c r="BC325" s="47"/>
      <c r="BD325" s="49"/>
      <c r="BE325" s="51"/>
      <c r="BF325" s="49" t="s">
        <v>230</v>
      </c>
      <c r="BG325" s="51"/>
      <c r="BH325" s="47"/>
      <c r="BI325" s="49"/>
      <c r="BJ325" s="51"/>
      <c r="BK325" s="49" t="s">
        <v>230</v>
      </c>
      <c r="BL325" s="51"/>
      <c r="BM325" s="47"/>
      <c r="BN325" s="53"/>
      <c r="BO325" s="54"/>
      <c r="BP325" s="53" t="s">
        <v>230</v>
      </c>
      <c r="BQ325" s="54"/>
      <c r="BR325" s="53"/>
      <c r="BS325" s="53"/>
      <c r="BT325" s="54"/>
      <c r="BU325" s="53" t="s">
        <v>230</v>
      </c>
      <c r="BV325" s="54"/>
      <c r="BW325" s="53"/>
      <c r="BX325" s="53"/>
      <c r="BY325" s="54"/>
      <c r="BZ325" s="53" t="s">
        <v>230</v>
      </c>
      <c r="CA325" s="54"/>
      <c r="CB325" s="53"/>
      <c r="CC325" s="53"/>
      <c r="CD325" s="54"/>
      <c r="CE325" s="53" t="s">
        <v>230</v>
      </c>
      <c r="CF325" s="53"/>
      <c r="CG325" s="53"/>
      <c r="CH325" s="53"/>
      <c r="CI325" s="54"/>
      <c r="CJ325" s="53" t="s">
        <v>230</v>
      </c>
      <c r="CK325" s="54"/>
      <c r="CL325" s="53"/>
      <c r="CM325" s="53"/>
      <c r="CN325" s="54"/>
      <c r="CO325" s="53" t="s">
        <v>230</v>
      </c>
      <c r="CP325" s="53"/>
      <c r="CQ325" s="53"/>
      <c r="CR325" s="57"/>
      <c r="CS325" s="1000"/>
      <c r="CT325" s="58" t="s">
        <v>230</v>
      </c>
      <c r="CU325" s="53"/>
      <c r="CV325" s="53"/>
      <c r="CW325" s="53"/>
      <c r="CX325" s="54"/>
      <c r="CY325" s="53"/>
      <c r="CZ325" s="54"/>
      <c r="DA325" s="53"/>
      <c r="DB325" s="53"/>
      <c r="DC325" s="54"/>
      <c r="DD325" s="53"/>
      <c r="DE325" s="54"/>
      <c r="DF325" s="53"/>
      <c r="DG325" s="53"/>
      <c r="DH325" s="54"/>
      <c r="DI325" s="53"/>
      <c r="DJ325" s="54"/>
      <c r="DK325" s="53"/>
      <c r="DL325" s="53"/>
      <c r="DM325" s="54"/>
      <c r="DN325" s="54"/>
      <c r="DO325" s="54"/>
      <c r="DP325" s="53"/>
      <c r="DQ325" s="53"/>
      <c r="DR325" s="54"/>
      <c r="DS325" s="54"/>
      <c r="DT325" s="54"/>
      <c r="DU325" s="53"/>
      <c r="DV325" s="53"/>
      <c r="DW325" s="54"/>
      <c r="DX325" s="54"/>
      <c r="DY325" s="987"/>
      <c r="DZ325" s="988"/>
      <c r="EA325" s="983"/>
      <c r="EB325" s="985"/>
      <c r="EC325" s="426"/>
      <c r="ED325" s="456"/>
      <c r="EE325" s="446"/>
      <c r="EF325" s="16"/>
    </row>
    <row r="326" ht="17.25" customHeight="1">
      <c r="A326" s="5"/>
      <c r="B326" s="5"/>
      <c r="C326" s="41"/>
      <c r="D326" s="41"/>
      <c r="E326" s="41"/>
      <c r="F326" s="41"/>
      <c r="G326" s="41"/>
      <c r="H326" s="41" t="s">
        <v>230</v>
      </c>
      <c r="I326" s="41"/>
      <c r="J326" s="41"/>
      <c r="K326" s="41"/>
      <c r="L326" s="44"/>
      <c r="M326" s="41" t="s">
        <v>230</v>
      </c>
      <c r="N326" s="41"/>
      <c r="O326" s="41"/>
      <c r="P326" s="41"/>
      <c r="Q326" s="44"/>
      <c r="R326" s="41" t="s">
        <v>230</v>
      </c>
      <c r="S326" s="41"/>
      <c r="T326" s="41"/>
      <c r="U326" s="41"/>
      <c r="V326" s="44"/>
      <c r="W326" s="41" t="s">
        <v>230</v>
      </c>
      <c r="X326" s="41"/>
      <c r="Y326" s="41"/>
      <c r="Z326" s="41"/>
      <c r="AA326" s="44"/>
      <c r="AB326" s="41" t="s">
        <v>230</v>
      </c>
      <c r="AC326" s="41"/>
      <c r="AD326" s="41"/>
      <c r="AE326" s="41"/>
      <c r="AF326" s="41"/>
      <c r="AG326" s="41" t="s">
        <v>230</v>
      </c>
      <c r="AH326" s="41"/>
      <c r="AI326" s="41"/>
      <c r="AJ326" s="41"/>
      <c r="AK326" s="44"/>
      <c r="AL326" s="41" t="s">
        <v>230</v>
      </c>
      <c r="AM326" s="41"/>
      <c r="AN326" s="41"/>
      <c r="AO326" s="41"/>
      <c r="AP326" s="44"/>
      <c r="AQ326" s="41" t="s">
        <v>230</v>
      </c>
      <c r="AR326" s="41"/>
      <c r="AS326" s="41"/>
      <c r="AT326" s="41"/>
      <c r="AU326" s="44"/>
      <c r="AV326" s="41" t="s">
        <v>230</v>
      </c>
      <c r="AW326" s="44"/>
      <c r="AX326" s="47"/>
      <c r="AY326" s="49"/>
      <c r="AZ326" s="51"/>
      <c r="BA326" s="49" t="s">
        <v>230</v>
      </c>
      <c r="BB326" s="51"/>
      <c r="BC326" s="47"/>
      <c r="BD326" s="49"/>
      <c r="BE326" s="51"/>
      <c r="BF326" s="49" t="s">
        <v>230</v>
      </c>
      <c r="BG326" s="51"/>
      <c r="BH326" s="47"/>
      <c r="BI326" s="49"/>
      <c r="BJ326" s="51"/>
      <c r="BK326" s="49" t="s">
        <v>230</v>
      </c>
      <c r="BL326" s="51"/>
      <c r="BM326" s="47"/>
      <c r="BN326" s="53"/>
      <c r="BO326" s="54"/>
      <c r="BP326" s="53" t="s">
        <v>230</v>
      </c>
      <c r="BQ326" s="54"/>
      <c r="BR326" s="53"/>
      <c r="BS326" s="53"/>
      <c r="BT326" s="54"/>
      <c r="BU326" s="53" t="s">
        <v>230</v>
      </c>
      <c r="BV326" s="54"/>
      <c r="BW326" s="53"/>
      <c r="BX326" s="53"/>
      <c r="BY326" s="54"/>
      <c r="BZ326" s="53" t="s">
        <v>230</v>
      </c>
      <c r="CA326" s="54"/>
      <c r="CB326" s="53"/>
      <c r="CC326" s="53"/>
      <c r="CD326" s="54"/>
      <c r="CE326" s="53" t="s">
        <v>230</v>
      </c>
      <c r="CF326" s="53"/>
      <c r="CG326" s="53"/>
      <c r="CH326" s="53"/>
      <c r="CI326" s="54"/>
      <c r="CJ326" s="53" t="s">
        <v>230</v>
      </c>
      <c r="CK326" s="54"/>
      <c r="CL326" s="53"/>
      <c r="CM326" s="53"/>
      <c r="CN326" s="54"/>
      <c r="CO326" s="53" t="s">
        <v>230</v>
      </c>
      <c r="CP326" s="53"/>
      <c r="CQ326" s="53"/>
      <c r="CR326" s="57"/>
      <c r="CS326" s="1000"/>
      <c r="CT326" s="58" t="s">
        <v>230</v>
      </c>
      <c r="CU326" s="53"/>
      <c r="CV326" s="53"/>
      <c r="CW326" s="53"/>
      <c r="CX326" s="54"/>
      <c r="CY326" s="53"/>
      <c r="CZ326" s="54"/>
      <c r="DA326" s="53"/>
      <c r="DB326" s="53"/>
      <c r="DC326" s="54"/>
      <c r="DD326" s="53"/>
      <c r="DE326" s="54"/>
      <c r="DF326" s="53"/>
      <c r="DG326" s="53"/>
      <c r="DH326" s="54"/>
      <c r="DI326" s="53"/>
      <c r="DJ326" s="54"/>
      <c r="DK326" s="53"/>
      <c r="DL326" s="53"/>
      <c r="DM326" s="54"/>
      <c r="DN326" s="54"/>
      <c r="DO326" s="54"/>
      <c r="DP326" s="53"/>
      <c r="DQ326" s="53"/>
      <c r="DR326" s="54"/>
      <c r="DS326" s="54"/>
      <c r="DT326" s="54"/>
      <c r="DU326" s="53"/>
      <c r="DV326" s="53"/>
      <c r="DW326" s="54"/>
      <c r="DX326" s="54"/>
      <c r="DY326" s="987"/>
      <c r="DZ326" s="988"/>
      <c r="EA326" s="983"/>
      <c r="EB326" s="985"/>
      <c r="EC326" s="426"/>
      <c r="ED326" s="456"/>
      <c r="EE326" s="446"/>
      <c r="EF326" s="16"/>
    </row>
    <row r="327" ht="17.25" customHeight="1">
      <c r="A327" s="5"/>
      <c r="B327" s="5"/>
      <c r="C327" s="41"/>
      <c r="D327" s="41"/>
      <c r="E327" s="41"/>
      <c r="F327" s="41"/>
      <c r="G327" s="41"/>
      <c r="H327" s="41" t="s">
        <v>230</v>
      </c>
      <c r="I327" s="41"/>
      <c r="J327" s="41"/>
      <c r="K327" s="41"/>
      <c r="L327" s="44"/>
      <c r="M327" s="41" t="s">
        <v>230</v>
      </c>
      <c r="N327" s="41"/>
      <c r="O327" s="41"/>
      <c r="P327" s="41"/>
      <c r="Q327" s="44"/>
      <c r="R327" s="41" t="s">
        <v>230</v>
      </c>
      <c r="S327" s="41"/>
      <c r="T327" s="41"/>
      <c r="U327" s="41"/>
      <c r="V327" s="44"/>
      <c r="W327" s="41" t="s">
        <v>230</v>
      </c>
      <c r="X327" s="41"/>
      <c r="Y327" s="41"/>
      <c r="Z327" s="41"/>
      <c r="AA327" s="44"/>
      <c r="AB327" s="41" t="s">
        <v>230</v>
      </c>
      <c r="AC327" s="41"/>
      <c r="AD327" s="41"/>
      <c r="AE327" s="41"/>
      <c r="AF327" s="41"/>
      <c r="AG327" s="41" t="s">
        <v>230</v>
      </c>
      <c r="AH327" s="41"/>
      <c r="AI327" s="41"/>
      <c r="AJ327" s="41"/>
      <c r="AK327" s="44"/>
      <c r="AL327" s="41" t="s">
        <v>230</v>
      </c>
      <c r="AM327" s="41"/>
      <c r="AN327" s="41"/>
      <c r="AO327" s="41"/>
      <c r="AP327" s="44"/>
      <c r="AQ327" s="41" t="s">
        <v>230</v>
      </c>
      <c r="AR327" s="41"/>
      <c r="AS327" s="41"/>
      <c r="AT327" s="41"/>
      <c r="AU327" s="44"/>
      <c r="AV327" s="41" t="s">
        <v>230</v>
      </c>
      <c r="AW327" s="44"/>
      <c r="AX327" s="47"/>
      <c r="AY327" s="49"/>
      <c r="AZ327" s="51"/>
      <c r="BA327" s="49" t="s">
        <v>230</v>
      </c>
      <c r="BB327" s="51"/>
      <c r="BC327" s="47"/>
      <c r="BD327" s="49"/>
      <c r="BE327" s="51"/>
      <c r="BF327" s="49" t="s">
        <v>230</v>
      </c>
      <c r="BG327" s="51"/>
      <c r="BH327" s="47"/>
      <c r="BI327" s="49"/>
      <c r="BJ327" s="51"/>
      <c r="BK327" s="49" t="s">
        <v>230</v>
      </c>
      <c r="BL327" s="51"/>
      <c r="BM327" s="47"/>
      <c r="BN327" s="53"/>
      <c r="BO327" s="54"/>
      <c r="BP327" s="53" t="s">
        <v>230</v>
      </c>
      <c r="BQ327" s="54"/>
      <c r="BR327" s="53"/>
      <c r="BS327" s="53"/>
      <c r="BT327" s="54"/>
      <c r="BU327" s="53" t="s">
        <v>230</v>
      </c>
      <c r="BV327" s="54"/>
      <c r="BW327" s="53"/>
      <c r="BX327" s="53"/>
      <c r="BY327" s="54"/>
      <c r="BZ327" s="53" t="s">
        <v>230</v>
      </c>
      <c r="CA327" s="54"/>
      <c r="CB327" s="53"/>
      <c r="CC327" s="53"/>
      <c r="CD327" s="54"/>
      <c r="CE327" s="53" t="s">
        <v>230</v>
      </c>
      <c r="CF327" s="53"/>
      <c r="CG327" s="53"/>
      <c r="CH327" s="53"/>
      <c r="CI327" s="54"/>
      <c r="CJ327" s="53" t="s">
        <v>230</v>
      </c>
      <c r="CK327" s="54"/>
      <c r="CL327" s="53"/>
      <c r="CM327" s="53"/>
      <c r="CN327" s="54"/>
      <c r="CO327" s="53" t="s">
        <v>230</v>
      </c>
      <c r="CP327" s="53"/>
      <c r="CQ327" s="53"/>
      <c r="CR327" s="57"/>
      <c r="CS327" s="1000"/>
      <c r="CT327" s="58" t="s">
        <v>230</v>
      </c>
      <c r="CU327" s="53"/>
      <c r="CV327" s="53"/>
      <c r="CW327" s="53"/>
      <c r="CX327" s="54"/>
      <c r="CY327" s="53"/>
      <c r="CZ327" s="54"/>
      <c r="DA327" s="53"/>
      <c r="DB327" s="53"/>
      <c r="DC327" s="54"/>
      <c r="DD327" s="53"/>
      <c r="DE327" s="54"/>
      <c r="DF327" s="53"/>
      <c r="DG327" s="53"/>
      <c r="DH327" s="54"/>
      <c r="DI327" s="53"/>
      <c r="DJ327" s="54"/>
      <c r="DK327" s="53"/>
      <c r="DL327" s="53"/>
      <c r="DM327" s="54"/>
      <c r="DN327" s="54"/>
      <c r="DO327" s="54"/>
      <c r="DP327" s="53"/>
      <c r="DQ327" s="53"/>
      <c r="DR327" s="54"/>
      <c r="DS327" s="54"/>
      <c r="DT327" s="54"/>
      <c r="DU327" s="53"/>
      <c r="DV327" s="53"/>
      <c r="DW327" s="54"/>
      <c r="DX327" s="54"/>
      <c r="DY327" s="987"/>
      <c r="DZ327" s="988"/>
      <c r="EA327" s="983"/>
      <c r="EB327" s="985"/>
      <c r="EC327" s="426"/>
      <c r="ED327" s="456"/>
      <c r="EE327" s="446"/>
      <c r="EF327" s="16"/>
    </row>
    <row r="328" ht="17.25" customHeight="1">
      <c r="A328" s="5"/>
      <c r="B328" s="5"/>
      <c r="C328" s="41"/>
      <c r="D328" s="41"/>
      <c r="E328" s="41"/>
      <c r="F328" s="41"/>
      <c r="G328" s="41"/>
      <c r="H328" s="41" t="s">
        <v>230</v>
      </c>
      <c r="I328" s="41"/>
      <c r="J328" s="41"/>
      <c r="K328" s="41"/>
      <c r="L328" s="44"/>
      <c r="M328" s="41" t="s">
        <v>230</v>
      </c>
      <c r="N328" s="41"/>
      <c r="O328" s="41"/>
      <c r="P328" s="41"/>
      <c r="Q328" s="44"/>
      <c r="R328" s="41" t="s">
        <v>230</v>
      </c>
      <c r="S328" s="41"/>
      <c r="T328" s="41"/>
      <c r="U328" s="41"/>
      <c r="V328" s="44"/>
      <c r="W328" s="41" t="s">
        <v>230</v>
      </c>
      <c r="X328" s="41"/>
      <c r="Y328" s="41"/>
      <c r="Z328" s="41"/>
      <c r="AA328" s="44"/>
      <c r="AB328" s="41" t="s">
        <v>230</v>
      </c>
      <c r="AC328" s="41"/>
      <c r="AD328" s="41"/>
      <c r="AE328" s="41"/>
      <c r="AF328" s="41"/>
      <c r="AG328" s="41" t="s">
        <v>230</v>
      </c>
      <c r="AH328" s="41"/>
      <c r="AI328" s="41"/>
      <c r="AJ328" s="41"/>
      <c r="AK328" s="44"/>
      <c r="AL328" s="41" t="s">
        <v>230</v>
      </c>
      <c r="AM328" s="41"/>
      <c r="AN328" s="41"/>
      <c r="AO328" s="41"/>
      <c r="AP328" s="44"/>
      <c r="AQ328" s="41" t="s">
        <v>230</v>
      </c>
      <c r="AR328" s="41"/>
      <c r="AS328" s="41"/>
      <c r="AT328" s="41"/>
      <c r="AU328" s="44"/>
      <c r="AV328" s="41" t="s">
        <v>230</v>
      </c>
      <c r="AW328" s="44"/>
      <c r="AX328" s="47"/>
      <c r="AY328" s="49"/>
      <c r="AZ328" s="51"/>
      <c r="BA328" s="49" t="s">
        <v>230</v>
      </c>
      <c r="BB328" s="51"/>
      <c r="BC328" s="47"/>
      <c r="BD328" s="49"/>
      <c r="BE328" s="51"/>
      <c r="BF328" s="49" t="s">
        <v>230</v>
      </c>
      <c r="BG328" s="51"/>
      <c r="BH328" s="47"/>
      <c r="BI328" s="49"/>
      <c r="BJ328" s="51"/>
      <c r="BK328" s="49" t="s">
        <v>230</v>
      </c>
      <c r="BL328" s="51"/>
      <c r="BM328" s="47"/>
      <c r="BN328" s="53"/>
      <c r="BO328" s="54"/>
      <c r="BP328" s="53" t="s">
        <v>230</v>
      </c>
      <c r="BQ328" s="54"/>
      <c r="BR328" s="53"/>
      <c r="BS328" s="53"/>
      <c r="BT328" s="54"/>
      <c r="BU328" s="53" t="s">
        <v>230</v>
      </c>
      <c r="BV328" s="54"/>
      <c r="BW328" s="53"/>
      <c r="BX328" s="53"/>
      <c r="BY328" s="54"/>
      <c r="BZ328" s="53" t="s">
        <v>230</v>
      </c>
      <c r="CA328" s="54"/>
      <c r="CB328" s="53"/>
      <c r="CC328" s="53"/>
      <c r="CD328" s="54"/>
      <c r="CE328" s="53" t="s">
        <v>230</v>
      </c>
      <c r="CF328" s="53"/>
      <c r="CG328" s="53"/>
      <c r="CH328" s="53"/>
      <c r="CI328" s="54"/>
      <c r="CJ328" s="53" t="s">
        <v>230</v>
      </c>
      <c r="CK328" s="54"/>
      <c r="CL328" s="53"/>
      <c r="CM328" s="53"/>
      <c r="CN328" s="54"/>
      <c r="CO328" s="53" t="s">
        <v>230</v>
      </c>
      <c r="CP328" s="53"/>
      <c r="CQ328" s="53"/>
      <c r="CR328" s="57"/>
      <c r="CS328" s="1000"/>
      <c r="CT328" s="58" t="s">
        <v>230</v>
      </c>
      <c r="CU328" s="53"/>
      <c r="CV328" s="53"/>
      <c r="CW328" s="53"/>
      <c r="CX328" s="54"/>
      <c r="CY328" s="53"/>
      <c r="CZ328" s="54"/>
      <c r="DA328" s="53"/>
      <c r="DB328" s="53"/>
      <c r="DC328" s="54"/>
      <c r="DD328" s="53"/>
      <c r="DE328" s="54"/>
      <c r="DF328" s="53"/>
      <c r="DG328" s="53"/>
      <c r="DH328" s="54"/>
      <c r="DI328" s="53"/>
      <c r="DJ328" s="54"/>
      <c r="DK328" s="53"/>
      <c r="DL328" s="53"/>
      <c r="DM328" s="54"/>
      <c r="DN328" s="54"/>
      <c r="DO328" s="54"/>
      <c r="DP328" s="53"/>
      <c r="DQ328" s="53"/>
      <c r="DR328" s="54"/>
      <c r="DS328" s="54"/>
      <c r="DT328" s="54"/>
      <c r="DU328" s="53"/>
      <c r="DV328" s="53"/>
      <c r="DW328" s="54"/>
      <c r="DX328" s="54"/>
      <c r="DY328" s="987"/>
      <c r="DZ328" s="988"/>
      <c r="EA328" s="983"/>
      <c r="EB328" s="985"/>
      <c r="EC328" s="426"/>
      <c r="ED328" s="456"/>
      <c r="EE328" s="446"/>
      <c r="EF328" s="16"/>
    </row>
    <row r="329" ht="17.25" customHeight="1">
      <c r="A329" s="5"/>
      <c r="B329" s="5"/>
      <c r="C329" s="41"/>
      <c r="D329" s="41"/>
      <c r="E329" s="41"/>
      <c r="F329" s="41"/>
      <c r="G329" s="41"/>
      <c r="H329" s="41" t="s">
        <v>230</v>
      </c>
      <c r="I329" s="41"/>
      <c r="J329" s="41"/>
      <c r="K329" s="41"/>
      <c r="L329" s="44"/>
      <c r="M329" s="41" t="s">
        <v>230</v>
      </c>
      <c r="N329" s="41"/>
      <c r="O329" s="41"/>
      <c r="P329" s="41"/>
      <c r="Q329" s="44"/>
      <c r="R329" s="41" t="s">
        <v>230</v>
      </c>
      <c r="S329" s="41"/>
      <c r="T329" s="41"/>
      <c r="U329" s="41"/>
      <c r="V329" s="44"/>
      <c r="W329" s="41" t="s">
        <v>230</v>
      </c>
      <c r="X329" s="41"/>
      <c r="Y329" s="41"/>
      <c r="Z329" s="41"/>
      <c r="AA329" s="44"/>
      <c r="AB329" s="41" t="s">
        <v>230</v>
      </c>
      <c r="AC329" s="41"/>
      <c r="AD329" s="41"/>
      <c r="AE329" s="41"/>
      <c r="AF329" s="41"/>
      <c r="AG329" s="41" t="s">
        <v>230</v>
      </c>
      <c r="AH329" s="41"/>
      <c r="AI329" s="41"/>
      <c r="AJ329" s="41"/>
      <c r="AK329" s="44"/>
      <c r="AL329" s="41" t="s">
        <v>230</v>
      </c>
      <c r="AM329" s="41"/>
      <c r="AN329" s="41"/>
      <c r="AO329" s="41"/>
      <c r="AP329" s="44"/>
      <c r="AQ329" s="41" t="s">
        <v>230</v>
      </c>
      <c r="AR329" s="41"/>
      <c r="AS329" s="41"/>
      <c r="AT329" s="41"/>
      <c r="AU329" s="44"/>
      <c r="AV329" s="41" t="s">
        <v>230</v>
      </c>
      <c r="AW329" s="44"/>
      <c r="AX329" s="47"/>
      <c r="AY329" s="49"/>
      <c r="AZ329" s="51"/>
      <c r="BA329" s="49" t="s">
        <v>230</v>
      </c>
      <c r="BB329" s="51"/>
      <c r="BC329" s="47"/>
      <c r="BD329" s="49"/>
      <c r="BE329" s="51"/>
      <c r="BF329" s="49" t="s">
        <v>230</v>
      </c>
      <c r="BG329" s="51"/>
      <c r="BH329" s="47"/>
      <c r="BI329" s="49"/>
      <c r="BJ329" s="51"/>
      <c r="BK329" s="49" t="s">
        <v>230</v>
      </c>
      <c r="BL329" s="51"/>
      <c r="BM329" s="47"/>
      <c r="BN329" s="53"/>
      <c r="BO329" s="54"/>
      <c r="BP329" s="53" t="s">
        <v>230</v>
      </c>
      <c r="BQ329" s="54"/>
      <c r="BR329" s="53"/>
      <c r="BS329" s="53"/>
      <c r="BT329" s="54"/>
      <c r="BU329" s="53" t="s">
        <v>230</v>
      </c>
      <c r="BV329" s="54"/>
      <c r="BW329" s="53"/>
      <c r="BX329" s="53"/>
      <c r="BY329" s="54"/>
      <c r="BZ329" s="53" t="s">
        <v>230</v>
      </c>
      <c r="CA329" s="54"/>
      <c r="CB329" s="53"/>
      <c r="CC329" s="53"/>
      <c r="CD329" s="54"/>
      <c r="CE329" s="53" t="s">
        <v>230</v>
      </c>
      <c r="CF329" s="53"/>
      <c r="CG329" s="53"/>
      <c r="CH329" s="53"/>
      <c r="CI329" s="54"/>
      <c r="CJ329" s="53" t="s">
        <v>230</v>
      </c>
      <c r="CK329" s="54"/>
      <c r="CL329" s="53"/>
      <c r="CM329" s="53"/>
      <c r="CN329" s="54"/>
      <c r="CO329" s="53" t="s">
        <v>230</v>
      </c>
      <c r="CP329" s="53"/>
      <c r="CQ329" s="53"/>
      <c r="CR329" s="57"/>
      <c r="CS329" s="1000"/>
      <c r="CT329" s="58" t="s">
        <v>230</v>
      </c>
      <c r="CU329" s="53"/>
      <c r="CV329" s="53"/>
      <c r="CW329" s="53"/>
      <c r="CX329" s="54"/>
      <c r="CY329" s="53"/>
      <c r="CZ329" s="54"/>
      <c r="DA329" s="53"/>
      <c r="DB329" s="53"/>
      <c r="DC329" s="54"/>
      <c r="DD329" s="53"/>
      <c r="DE329" s="54"/>
      <c r="DF329" s="53"/>
      <c r="DG329" s="53"/>
      <c r="DH329" s="54"/>
      <c r="DI329" s="53"/>
      <c r="DJ329" s="54"/>
      <c r="DK329" s="53"/>
      <c r="DL329" s="53"/>
      <c r="DM329" s="54"/>
      <c r="DN329" s="54"/>
      <c r="DO329" s="54"/>
      <c r="DP329" s="53"/>
      <c r="DQ329" s="53"/>
      <c r="DR329" s="54"/>
      <c r="DS329" s="54"/>
      <c r="DT329" s="54"/>
      <c r="DU329" s="53"/>
      <c r="DV329" s="53"/>
      <c r="DW329" s="54"/>
      <c r="DX329" s="54"/>
      <c r="DY329" s="987"/>
      <c r="DZ329" s="988"/>
      <c r="EA329" s="983"/>
      <c r="EB329" s="985"/>
      <c r="EC329" s="426"/>
      <c r="ED329" s="456"/>
      <c r="EE329" s="446"/>
      <c r="EF329" s="16"/>
    </row>
    <row r="330" ht="17.25" customHeight="1">
      <c r="A330" s="5"/>
      <c r="B330" s="5"/>
      <c r="C330" s="41"/>
      <c r="D330" s="41"/>
      <c r="E330" s="41"/>
      <c r="F330" s="41"/>
      <c r="G330" s="41"/>
      <c r="H330" s="41" t="s">
        <v>230</v>
      </c>
      <c r="I330" s="41"/>
      <c r="J330" s="41"/>
      <c r="K330" s="41"/>
      <c r="L330" s="44"/>
      <c r="M330" s="41" t="s">
        <v>230</v>
      </c>
      <c r="N330" s="41"/>
      <c r="O330" s="41"/>
      <c r="P330" s="41"/>
      <c r="Q330" s="44"/>
      <c r="R330" s="41" t="s">
        <v>230</v>
      </c>
      <c r="S330" s="41"/>
      <c r="T330" s="41"/>
      <c r="U330" s="41"/>
      <c r="V330" s="44"/>
      <c r="W330" s="41" t="s">
        <v>230</v>
      </c>
      <c r="X330" s="41"/>
      <c r="Y330" s="41"/>
      <c r="Z330" s="41"/>
      <c r="AA330" s="44"/>
      <c r="AB330" s="41" t="s">
        <v>230</v>
      </c>
      <c r="AC330" s="41"/>
      <c r="AD330" s="41"/>
      <c r="AE330" s="41"/>
      <c r="AF330" s="41"/>
      <c r="AG330" s="41" t="s">
        <v>230</v>
      </c>
      <c r="AH330" s="41"/>
      <c r="AI330" s="41"/>
      <c r="AJ330" s="41"/>
      <c r="AK330" s="44"/>
      <c r="AL330" s="41" t="s">
        <v>230</v>
      </c>
      <c r="AM330" s="41"/>
      <c r="AN330" s="41"/>
      <c r="AO330" s="41"/>
      <c r="AP330" s="44"/>
      <c r="AQ330" s="41" t="s">
        <v>230</v>
      </c>
      <c r="AR330" s="41"/>
      <c r="AS330" s="41"/>
      <c r="AT330" s="41"/>
      <c r="AU330" s="44"/>
      <c r="AV330" s="41" t="s">
        <v>230</v>
      </c>
      <c r="AW330" s="44"/>
      <c r="AX330" s="47"/>
      <c r="AY330" s="49"/>
      <c r="AZ330" s="51"/>
      <c r="BA330" s="49" t="s">
        <v>230</v>
      </c>
      <c r="BB330" s="51"/>
      <c r="BC330" s="47"/>
      <c r="BD330" s="49"/>
      <c r="BE330" s="51"/>
      <c r="BF330" s="49" t="s">
        <v>230</v>
      </c>
      <c r="BG330" s="51"/>
      <c r="BH330" s="47"/>
      <c r="BI330" s="49"/>
      <c r="BJ330" s="51"/>
      <c r="BK330" s="49" t="s">
        <v>230</v>
      </c>
      <c r="BL330" s="51"/>
      <c r="BM330" s="47"/>
      <c r="BN330" s="53"/>
      <c r="BO330" s="54"/>
      <c r="BP330" s="53" t="s">
        <v>230</v>
      </c>
      <c r="BQ330" s="54"/>
      <c r="BR330" s="53"/>
      <c r="BS330" s="53"/>
      <c r="BT330" s="54"/>
      <c r="BU330" s="53" t="s">
        <v>230</v>
      </c>
      <c r="BV330" s="54"/>
      <c r="BW330" s="53"/>
      <c r="BX330" s="53"/>
      <c r="BY330" s="54"/>
      <c r="BZ330" s="53" t="s">
        <v>230</v>
      </c>
      <c r="CA330" s="54"/>
      <c r="CB330" s="53"/>
      <c r="CC330" s="53"/>
      <c r="CD330" s="54"/>
      <c r="CE330" s="53" t="s">
        <v>230</v>
      </c>
      <c r="CF330" s="53"/>
      <c r="CG330" s="53"/>
      <c r="CH330" s="53"/>
      <c r="CI330" s="54"/>
      <c r="CJ330" s="53" t="s">
        <v>230</v>
      </c>
      <c r="CK330" s="54"/>
      <c r="CL330" s="53"/>
      <c r="CM330" s="53"/>
      <c r="CN330" s="54"/>
      <c r="CO330" s="53" t="s">
        <v>230</v>
      </c>
      <c r="CP330" s="53"/>
      <c r="CQ330" s="53"/>
      <c r="CR330" s="57"/>
      <c r="CS330" s="1000"/>
      <c r="CT330" s="58" t="s">
        <v>230</v>
      </c>
      <c r="CU330" s="53"/>
      <c r="CV330" s="53"/>
      <c r="CW330" s="53"/>
      <c r="CX330" s="54"/>
      <c r="CY330" s="53"/>
      <c r="CZ330" s="54"/>
      <c r="DA330" s="53"/>
      <c r="DB330" s="53"/>
      <c r="DC330" s="54"/>
      <c r="DD330" s="53"/>
      <c r="DE330" s="54"/>
      <c r="DF330" s="53"/>
      <c r="DG330" s="53"/>
      <c r="DH330" s="54"/>
      <c r="DI330" s="53"/>
      <c r="DJ330" s="54"/>
      <c r="DK330" s="53"/>
      <c r="DL330" s="53"/>
      <c r="DM330" s="54"/>
      <c r="DN330" s="54"/>
      <c r="DO330" s="54"/>
      <c r="DP330" s="53"/>
      <c r="DQ330" s="53"/>
      <c r="DR330" s="54"/>
      <c r="DS330" s="54"/>
      <c r="DT330" s="54"/>
      <c r="DU330" s="53"/>
      <c r="DV330" s="53"/>
      <c r="DW330" s="54"/>
      <c r="DX330" s="54"/>
      <c r="DY330" s="987"/>
      <c r="DZ330" s="988"/>
      <c r="EA330" s="983"/>
      <c r="EB330" s="985"/>
      <c r="EC330" s="426"/>
      <c r="ED330" s="456"/>
      <c r="EE330" s="446"/>
      <c r="EF330" s="16"/>
    </row>
    <row r="331" ht="17.25" customHeight="1">
      <c r="A331" s="5"/>
      <c r="B331" s="5"/>
      <c r="C331" s="41"/>
      <c r="D331" s="41"/>
      <c r="E331" s="41"/>
      <c r="F331" s="41"/>
      <c r="G331" s="41"/>
      <c r="H331" s="41" t="s">
        <v>230</v>
      </c>
      <c r="I331" s="41"/>
      <c r="J331" s="41"/>
      <c r="K331" s="41"/>
      <c r="L331" s="44"/>
      <c r="M331" s="41" t="s">
        <v>230</v>
      </c>
      <c r="N331" s="41"/>
      <c r="O331" s="41"/>
      <c r="P331" s="41"/>
      <c r="Q331" s="44"/>
      <c r="R331" s="41" t="s">
        <v>230</v>
      </c>
      <c r="S331" s="41"/>
      <c r="T331" s="41"/>
      <c r="U331" s="41"/>
      <c r="V331" s="44"/>
      <c r="W331" s="41" t="s">
        <v>230</v>
      </c>
      <c r="X331" s="41"/>
      <c r="Y331" s="41"/>
      <c r="Z331" s="41"/>
      <c r="AA331" s="44"/>
      <c r="AB331" s="41" t="s">
        <v>230</v>
      </c>
      <c r="AC331" s="41"/>
      <c r="AD331" s="41"/>
      <c r="AE331" s="41"/>
      <c r="AF331" s="41"/>
      <c r="AG331" s="41" t="s">
        <v>230</v>
      </c>
      <c r="AH331" s="41"/>
      <c r="AI331" s="41"/>
      <c r="AJ331" s="41"/>
      <c r="AK331" s="44"/>
      <c r="AL331" s="41" t="s">
        <v>230</v>
      </c>
      <c r="AM331" s="41"/>
      <c r="AN331" s="41"/>
      <c r="AO331" s="41"/>
      <c r="AP331" s="44"/>
      <c r="AQ331" s="41" t="s">
        <v>230</v>
      </c>
      <c r="AR331" s="41"/>
      <c r="AS331" s="41"/>
      <c r="AT331" s="41"/>
      <c r="AU331" s="44"/>
      <c r="AV331" s="41" t="s">
        <v>230</v>
      </c>
      <c r="AW331" s="44"/>
      <c r="AX331" s="47"/>
      <c r="AY331" s="49"/>
      <c r="AZ331" s="51"/>
      <c r="BA331" s="49" t="s">
        <v>230</v>
      </c>
      <c r="BB331" s="51"/>
      <c r="BC331" s="47"/>
      <c r="BD331" s="49"/>
      <c r="BE331" s="51"/>
      <c r="BF331" s="49" t="s">
        <v>230</v>
      </c>
      <c r="BG331" s="51"/>
      <c r="BH331" s="47"/>
      <c r="BI331" s="49"/>
      <c r="BJ331" s="51"/>
      <c r="BK331" s="49" t="s">
        <v>230</v>
      </c>
      <c r="BL331" s="51"/>
      <c r="BM331" s="47"/>
      <c r="BN331" s="53"/>
      <c r="BO331" s="54"/>
      <c r="BP331" s="53" t="s">
        <v>230</v>
      </c>
      <c r="BQ331" s="54"/>
      <c r="BR331" s="53"/>
      <c r="BS331" s="53"/>
      <c r="BT331" s="54"/>
      <c r="BU331" s="53" t="s">
        <v>230</v>
      </c>
      <c r="BV331" s="54"/>
      <c r="BW331" s="53"/>
      <c r="BX331" s="53"/>
      <c r="BY331" s="54"/>
      <c r="BZ331" s="53" t="s">
        <v>230</v>
      </c>
      <c r="CA331" s="54"/>
      <c r="CB331" s="53"/>
      <c r="CC331" s="53"/>
      <c r="CD331" s="54"/>
      <c r="CE331" s="53" t="s">
        <v>230</v>
      </c>
      <c r="CF331" s="53"/>
      <c r="CG331" s="53"/>
      <c r="CH331" s="53"/>
      <c r="CI331" s="54"/>
      <c r="CJ331" s="53" t="s">
        <v>230</v>
      </c>
      <c r="CK331" s="54"/>
      <c r="CL331" s="53"/>
      <c r="CM331" s="53"/>
      <c r="CN331" s="54"/>
      <c r="CO331" s="53" t="s">
        <v>230</v>
      </c>
      <c r="CP331" s="53"/>
      <c r="CQ331" s="53"/>
      <c r="CR331" s="57"/>
      <c r="CS331" s="1000"/>
      <c r="CT331" s="58" t="s">
        <v>230</v>
      </c>
      <c r="CU331" s="53"/>
      <c r="CV331" s="53"/>
      <c r="CW331" s="53"/>
      <c r="CX331" s="54"/>
      <c r="CY331" s="53"/>
      <c r="CZ331" s="54"/>
      <c r="DA331" s="53"/>
      <c r="DB331" s="53"/>
      <c r="DC331" s="54"/>
      <c r="DD331" s="53"/>
      <c r="DE331" s="54"/>
      <c r="DF331" s="53"/>
      <c r="DG331" s="53"/>
      <c r="DH331" s="54"/>
      <c r="DI331" s="53"/>
      <c r="DJ331" s="54"/>
      <c r="DK331" s="53"/>
      <c r="DL331" s="53"/>
      <c r="DM331" s="54"/>
      <c r="DN331" s="54"/>
      <c r="DO331" s="54"/>
      <c r="DP331" s="53"/>
      <c r="DQ331" s="53"/>
      <c r="DR331" s="54"/>
      <c r="DS331" s="54"/>
      <c r="DT331" s="54"/>
      <c r="DU331" s="53"/>
      <c r="DV331" s="53"/>
      <c r="DW331" s="54"/>
      <c r="DX331" s="54"/>
      <c r="DY331" s="987"/>
      <c r="DZ331" s="988"/>
      <c r="EA331" s="983"/>
      <c r="EB331" s="985"/>
      <c r="EC331" s="426"/>
      <c r="ED331" s="456"/>
      <c r="EE331" s="446"/>
      <c r="EF331" s="16"/>
    </row>
    <row r="332" ht="17.25" customHeight="1">
      <c r="A332" s="5"/>
      <c r="B332" s="5"/>
      <c r="C332" s="41"/>
      <c r="D332" s="41"/>
      <c r="E332" s="41"/>
      <c r="F332" s="41"/>
      <c r="G332" s="41"/>
      <c r="H332" s="41" t="s">
        <v>230</v>
      </c>
      <c r="I332" s="41"/>
      <c r="J332" s="41"/>
      <c r="K332" s="41"/>
      <c r="L332" s="44"/>
      <c r="M332" s="41" t="s">
        <v>230</v>
      </c>
      <c r="N332" s="41"/>
      <c r="O332" s="41"/>
      <c r="P332" s="41"/>
      <c r="Q332" s="44"/>
      <c r="R332" s="41" t="s">
        <v>230</v>
      </c>
      <c r="S332" s="41"/>
      <c r="T332" s="41"/>
      <c r="U332" s="41"/>
      <c r="V332" s="44"/>
      <c r="W332" s="41" t="s">
        <v>230</v>
      </c>
      <c r="X332" s="41"/>
      <c r="Y332" s="41"/>
      <c r="Z332" s="41"/>
      <c r="AA332" s="44"/>
      <c r="AB332" s="41" t="s">
        <v>230</v>
      </c>
      <c r="AC332" s="41"/>
      <c r="AD332" s="41"/>
      <c r="AE332" s="41"/>
      <c r="AF332" s="41"/>
      <c r="AG332" s="41" t="s">
        <v>230</v>
      </c>
      <c r="AH332" s="41"/>
      <c r="AI332" s="41"/>
      <c r="AJ332" s="41"/>
      <c r="AK332" s="44"/>
      <c r="AL332" s="41" t="s">
        <v>230</v>
      </c>
      <c r="AM332" s="41"/>
      <c r="AN332" s="41"/>
      <c r="AO332" s="41"/>
      <c r="AP332" s="44"/>
      <c r="AQ332" s="41" t="s">
        <v>230</v>
      </c>
      <c r="AR332" s="41"/>
      <c r="AS332" s="41"/>
      <c r="AT332" s="41"/>
      <c r="AU332" s="44"/>
      <c r="AV332" s="41" t="s">
        <v>230</v>
      </c>
      <c r="AW332" s="44"/>
      <c r="AX332" s="47"/>
      <c r="AY332" s="49"/>
      <c r="AZ332" s="51"/>
      <c r="BA332" s="49" t="s">
        <v>230</v>
      </c>
      <c r="BB332" s="51"/>
      <c r="BC332" s="47"/>
      <c r="BD332" s="49"/>
      <c r="BE332" s="51"/>
      <c r="BF332" s="49" t="s">
        <v>230</v>
      </c>
      <c r="BG332" s="51"/>
      <c r="BH332" s="47"/>
      <c r="BI332" s="49"/>
      <c r="BJ332" s="51"/>
      <c r="BK332" s="49" t="s">
        <v>230</v>
      </c>
      <c r="BL332" s="51"/>
      <c r="BM332" s="47"/>
      <c r="BN332" s="53"/>
      <c r="BO332" s="54"/>
      <c r="BP332" s="53" t="s">
        <v>230</v>
      </c>
      <c r="BQ332" s="54"/>
      <c r="BR332" s="53"/>
      <c r="BS332" s="53"/>
      <c r="BT332" s="54"/>
      <c r="BU332" s="53" t="s">
        <v>230</v>
      </c>
      <c r="BV332" s="54"/>
      <c r="BW332" s="53"/>
      <c r="BX332" s="53"/>
      <c r="BY332" s="54"/>
      <c r="BZ332" s="53" t="s">
        <v>230</v>
      </c>
      <c r="CA332" s="54"/>
      <c r="CB332" s="53"/>
      <c r="CC332" s="53"/>
      <c r="CD332" s="54"/>
      <c r="CE332" s="53" t="s">
        <v>230</v>
      </c>
      <c r="CF332" s="53"/>
      <c r="CG332" s="53"/>
      <c r="CH332" s="53"/>
      <c r="CI332" s="54"/>
      <c r="CJ332" s="53" t="s">
        <v>230</v>
      </c>
      <c r="CK332" s="54"/>
      <c r="CL332" s="53"/>
      <c r="CM332" s="53"/>
      <c r="CN332" s="54"/>
      <c r="CO332" s="53" t="s">
        <v>230</v>
      </c>
      <c r="CP332" s="53"/>
      <c r="CQ332" s="53"/>
      <c r="CR332" s="57"/>
      <c r="CS332" s="1000"/>
      <c r="CT332" s="58" t="s">
        <v>230</v>
      </c>
      <c r="CU332" s="53"/>
      <c r="CV332" s="53"/>
      <c r="CW332" s="53"/>
      <c r="CX332" s="54"/>
      <c r="CY332" s="53"/>
      <c r="CZ332" s="54"/>
      <c r="DA332" s="53"/>
      <c r="DB332" s="53"/>
      <c r="DC332" s="54"/>
      <c r="DD332" s="53"/>
      <c r="DE332" s="54"/>
      <c r="DF332" s="53"/>
      <c r="DG332" s="53"/>
      <c r="DH332" s="54"/>
      <c r="DI332" s="53"/>
      <c r="DJ332" s="54"/>
      <c r="DK332" s="53"/>
      <c r="DL332" s="53"/>
      <c r="DM332" s="54"/>
      <c r="DN332" s="54"/>
      <c r="DO332" s="54"/>
      <c r="DP332" s="53"/>
      <c r="DQ332" s="53"/>
      <c r="DR332" s="54"/>
      <c r="DS332" s="54"/>
      <c r="DT332" s="54"/>
      <c r="DU332" s="53"/>
      <c r="DV332" s="53"/>
      <c r="DW332" s="54"/>
      <c r="DX332" s="54"/>
      <c r="DY332" s="987"/>
      <c r="DZ332" s="988"/>
      <c r="EA332" s="983"/>
      <c r="EB332" s="985"/>
      <c r="EC332" s="426"/>
      <c r="ED332" s="456"/>
      <c r="EE332" s="446"/>
      <c r="EF332" s="16"/>
    </row>
    <row r="333" ht="17.25" customHeight="1">
      <c r="A333" s="5"/>
      <c r="B333" s="5"/>
      <c r="C333" s="41"/>
      <c r="D333" s="41"/>
      <c r="E333" s="41"/>
      <c r="F333" s="41"/>
      <c r="G333" s="41"/>
      <c r="H333" s="41" t="s">
        <v>230</v>
      </c>
      <c r="I333" s="41"/>
      <c r="J333" s="41"/>
      <c r="K333" s="41"/>
      <c r="L333" s="44"/>
      <c r="M333" s="41" t="s">
        <v>230</v>
      </c>
      <c r="N333" s="41"/>
      <c r="O333" s="41"/>
      <c r="P333" s="41"/>
      <c r="Q333" s="44"/>
      <c r="R333" s="41" t="s">
        <v>230</v>
      </c>
      <c r="S333" s="41"/>
      <c r="T333" s="41"/>
      <c r="U333" s="41"/>
      <c r="V333" s="44"/>
      <c r="W333" s="41" t="s">
        <v>230</v>
      </c>
      <c r="X333" s="41"/>
      <c r="Y333" s="41"/>
      <c r="Z333" s="41"/>
      <c r="AA333" s="44"/>
      <c r="AB333" s="41" t="s">
        <v>230</v>
      </c>
      <c r="AC333" s="41"/>
      <c r="AD333" s="41"/>
      <c r="AE333" s="41"/>
      <c r="AF333" s="41"/>
      <c r="AG333" s="41" t="s">
        <v>230</v>
      </c>
      <c r="AH333" s="41"/>
      <c r="AI333" s="41"/>
      <c r="AJ333" s="41"/>
      <c r="AK333" s="44"/>
      <c r="AL333" s="41" t="s">
        <v>230</v>
      </c>
      <c r="AM333" s="41"/>
      <c r="AN333" s="41"/>
      <c r="AO333" s="41"/>
      <c r="AP333" s="44"/>
      <c r="AQ333" s="41" t="s">
        <v>230</v>
      </c>
      <c r="AR333" s="41"/>
      <c r="AS333" s="41"/>
      <c r="AT333" s="41"/>
      <c r="AU333" s="44"/>
      <c r="AV333" s="41" t="s">
        <v>230</v>
      </c>
      <c r="AW333" s="44"/>
      <c r="AX333" s="47"/>
      <c r="AY333" s="49"/>
      <c r="AZ333" s="51"/>
      <c r="BA333" s="49" t="s">
        <v>230</v>
      </c>
      <c r="BB333" s="51"/>
      <c r="BC333" s="47"/>
      <c r="BD333" s="49"/>
      <c r="BE333" s="51"/>
      <c r="BF333" s="49" t="s">
        <v>230</v>
      </c>
      <c r="BG333" s="51"/>
      <c r="BH333" s="47"/>
      <c r="BI333" s="49"/>
      <c r="BJ333" s="51"/>
      <c r="BK333" s="49" t="s">
        <v>230</v>
      </c>
      <c r="BL333" s="51"/>
      <c r="BM333" s="47"/>
      <c r="BN333" s="53"/>
      <c r="BO333" s="54"/>
      <c r="BP333" s="53" t="s">
        <v>230</v>
      </c>
      <c r="BQ333" s="54"/>
      <c r="BR333" s="53"/>
      <c r="BS333" s="53"/>
      <c r="BT333" s="54"/>
      <c r="BU333" s="53" t="s">
        <v>230</v>
      </c>
      <c r="BV333" s="54"/>
      <c r="BW333" s="53"/>
      <c r="BX333" s="53"/>
      <c r="BY333" s="54"/>
      <c r="BZ333" s="53" t="s">
        <v>230</v>
      </c>
      <c r="CA333" s="54"/>
      <c r="CB333" s="53"/>
      <c r="CC333" s="53"/>
      <c r="CD333" s="54"/>
      <c r="CE333" s="53" t="s">
        <v>230</v>
      </c>
      <c r="CF333" s="53"/>
      <c r="CG333" s="53"/>
      <c r="CH333" s="53"/>
      <c r="CI333" s="54"/>
      <c r="CJ333" s="53" t="s">
        <v>230</v>
      </c>
      <c r="CK333" s="54"/>
      <c r="CL333" s="53"/>
      <c r="CM333" s="53"/>
      <c r="CN333" s="54"/>
      <c r="CO333" s="53" t="s">
        <v>230</v>
      </c>
      <c r="CP333" s="53"/>
      <c r="CQ333" s="53"/>
      <c r="CR333" s="57"/>
      <c r="CS333" s="1000"/>
      <c r="CT333" s="58" t="s">
        <v>230</v>
      </c>
      <c r="CU333" s="53"/>
      <c r="CV333" s="53"/>
      <c r="CW333" s="53"/>
      <c r="CX333" s="54"/>
      <c r="CY333" s="53"/>
      <c r="CZ333" s="54"/>
      <c r="DA333" s="53"/>
      <c r="DB333" s="53"/>
      <c r="DC333" s="54"/>
      <c r="DD333" s="53"/>
      <c r="DE333" s="54"/>
      <c r="DF333" s="53"/>
      <c r="DG333" s="53"/>
      <c r="DH333" s="54"/>
      <c r="DI333" s="53"/>
      <c r="DJ333" s="54"/>
      <c r="DK333" s="53"/>
      <c r="DL333" s="53"/>
      <c r="DM333" s="54"/>
      <c r="DN333" s="54"/>
      <c r="DO333" s="54"/>
      <c r="DP333" s="53"/>
      <c r="DQ333" s="53"/>
      <c r="DR333" s="54"/>
      <c r="DS333" s="54"/>
      <c r="DT333" s="54"/>
      <c r="DU333" s="53"/>
      <c r="DV333" s="53"/>
      <c r="DW333" s="54"/>
      <c r="DX333" s="54"/>
      <c r="DY333" s="987"/>
      <c r="DZ333" s="988"/>
      <c r="EA333" s="983"/>
      <c r="EB333" s="985"/>
      <c r="EC333" s="426"/>
      <c r="ED333" s="456"/>
      <c r="EE333" s="446"/>
      <c r="EF333" s="16"/>
    </row>
    <row r="334" ht="17.25" customHeight="1">
      <c r="A334" s="5"/>
      <c r="B334" s="5"/>
      <c r="C334" s="41"/>
      <c r="D334" s="41"/>
      <c r="E334" s="41"/>
      <c r="F334" s="41"/>
      <c r="G334" s="41"/>
      <c r="H334" s="41" t="s">
        <v>230</v>
      </c>
      <c r="I334" s="41"/>
      <c r="J334" s="41"/>
      <c r="K334" s="41"/>
      <c r="L334" s="44"/>
      <c r="M334" s="41" t="s">
        <v>230</v>
      </c>
      <c r="N334" s="41"/>
      <c r="O334" s="41"/>
      <c r="P334" s="41"/>
      <c r="Q334" s="44"/>
      <c r="R334" s="41" t="s">
        <v>230</v>
      </c>
      <c r="S334" s="41"/>
      <c r="T334" s="41"/>
      <c r="U334" s="41"/>
      <c r="V334" s="44"/>
      <c r="W334" s="41" t="s">
        <v>230</v>
      </c>
      <c r="X334" s="41"/>
      <c r="Y334" s="41"/>
      <c r="Z334" s="41"/>
      <c r="AA334" s="44"/>
      <c r="AB334" s="41" t="s">
        <v>230</v>
      </c>
      <c r="AC334" s="41"/>
      <c r="AD334" s="41"/>
      <c r="AE334" s="41"/>
      <c r="AF334" s="41"/>
      <c r="AG334" s="41" t="s">
        <v>230</v>
      </c>
      <c r="AH334" s="41"/>
      <c r="AI334" s="41"/>
      <c r="AJ334" s="41"/>
      <c r="AK334" s="44"/>
      <c r="AL334" s="41" t="s">
        <v>230</v>
      </c>
      <c r="AM334" s="41"/>
      <c r="AN334" s="41"/>
      <c r="AO334" s="41"/>
      <c r="AP334" s="44"/>
      <c r="AQ334" s="41" t="s">
        <v>230</v>
      </c>
      <c r="AR334" s="41"/>
      <c r="AS334" s="41"/>
      <c r="AT334" s="41"/>
      <c r="AU334" s="44"/>
      <c r="AV334" s="41" t="s">
        <v>230</v>
      </c>
      <c r="AW334" s="44"/>
      <c r="AX334" s="47"/>
      <c r="AY334" s="49"/>
      <c r="AZ334" s="51"/>
      <c r="BA334" s="49" t="s">
        <v>230</v>
      </c>
      <c r="BB334" s="51"/>
      <c r="BC334" s="47"/>
      <c r="BD334" s="49"/>
      <c r="BE334" s="51"/>
      <c r="BF334" s="49" t="s">
        <v>230</v>
      </c>
      <c r="BG334" s="51"/>
      <c r="BH334" s="47"/>
      <c r="BI334" s="49"/>
      <c r="BJ334" s="51"/>
      <c r="BK334" s="49" t="s">
        <v>230</v>
      </c>
      <c r="BL334" s="51"/>
      <c r="BM334" s="47"/>
      <c r="BN334" s="53"/>
      <c r="BO334" s="54"/>
      <c r="BP334" s="53" t="s">
        <v>230</v>
      </c>
      <c r="BQ334" s="54"/>
      <c r="BR334" s="53"/>
      <c r="BS334" s="53"/>
      <c r="BT334" s="54"/>
      <c r="BU334" s="53" t="s">
        <v>230</v>
      </c>
      <c r="BV334" s="54"/>
      <c r="BW334" s="53"/>
      <c r="BX334" s="53"/>
      <c r="BY334" s="54"/>
      <c r="BZ334" s="53" t="s">
        <v>230</v>
      </c>
      <c r="CA334" s="54"/>
      <c r="CB334" s="53"/>
      <c r="CC334" s="53"/>
      <c r="CD334" s="54"/>
      <c r="CE334" s="53" t="s">
        <v>230</v>
      </c>
      <c r="CF334" s="53"/>
      <c r="CG334" s="53"/>
      <c r="CH334" s="53"/>
      <c r="CI334" s="54"/>
      <c r="CJ334" s="53" t="s">
        <v>230</v>
      </c>
      <c r="CK334" s="54"/>
      <c r="CL334" s="53"/>
      <c r="CM334" s="53"/>
      <c r="CN334" s="54"/>
      <c r="CO334" s="53" t="s">
        <v>230</v>
      </c>
      <c r="CP334" s="53"/>
      <c r="CQ334" s="53"/>
      <c r="CR334" s="57"/>
      <c r="CS334" s="1000"/>
      <c r="CT334" s="58" t="s">
        <v>230</v>
      </c>
      <c r="CU334" s="53"/>
      <c r="CV334" s="53"/>
      <c r="CW334" s="53"/>
      <c r="CX334" s="54"/>
      <c r="CY334" s="53"/>
      <c r="CZ334" s="54"/>
      <c r="DA334" s="53"/>
      <c r="DB334" s="53"/>
      <c r="DC334" s="54"/>
      <c r="DD334" s="53"/>
      <c r="DE334" s="54"/>
      <c r="DF334" s="53"/>
      <c r="DG334" s="53"/>
      <c r="DH334" s="54"/>
      <c r="DI334" s="53"/>
      <c r="DJ334" s="54"/>
      <c r="DK334" s="53"/>
      <c r="DL334" s="53"/>
      <c r="DM334" s="54"/>
      <c r="DN334" s="54"/>
      <c r="DO334" s="54"/>
      <c r="DP334" s="53"/>
      <c r="DQ334" s="53"/>
      <c r="DR334" s="54"/>
      <c r="DS334" s="54"/>
      <c r="DT334" s="54"/>
      <c r="DU334" s="53"/>
      <c r="DV334" s="53"/>
      <c r="DW334" s="54"/>
      <c r="DX334" s="54"/>
      <c r="DY334" s="987"/>
      <c r="DZ334" s="988"/>
      <c r="EA334" s="983"/>
      <c r="EB334" s="985"/>
      <c r="EC334" s="426"/>
      <c r="ED334" s="456"/>
      <c r="EE334" s="446"/>
      <c r="EF334" s="16"/>
    </row>
    <row r="335" ht="17.25" customHeight="1">
      <c r="A335" s="5"/>
      <c r="B335" s="5"/>
      <c r="C335" s="41"/>
      <c r="D335" s="41"/>
      <c r="E335" s="41"/>
      <c r="F335" s="41"/>
      <c r="G335" s="41"/>
      <c r="H335" s="41" t="s">
        <v>230</v>
      </c>
      <c r="I335" s="41"/>
      <c r="J335" s="41"/>
      <c r="K335" s="41"/>
      <c r="L335" s="44"/>
      <c r="M335" s="41" t="s">
        <v>230</v>
      </c>
      <c r="N335" s="41"/>
      <c r="O335" s="41"/>
      <c r="P335" s="41"/>
      <c r="Q335" s="44"/>
      <c r="R335" s="41" t="s">
        <v>230</v>
      </c>
      <c r="S335" s="41"/>
      <c r="T335" s="41"/>
      <c r="U335" s="41"/>
      <c r="V335" s="44"/>
      <c r="W335" s="41" t="s">
        <v>230</v>
      </c>
      <c r="X335" s="41"/>
      <c r="Y335" s="41"/>
      <c r="Z335" s="41"/>
      <c r="AA335" s="44"/>
      <c r="AB335" s="41" t="s">
        <v>230</v>
      </c>
      <c r="AC335" s="41"/>
      <c r="AD335" s="41"/>
      <c r="AE335" s="41"/>
      <c r="AF335" s="41"/>
      <c r="AG335" s="41" t="s">
        <v>230</v>
      </c>
      <c r="AH335" s="41"/>
      <c r="AI335" s="41"/>
      <c r="AJ335" s="41"/>
      <c r="AK335" s="44"/>
      <c r="AL335" s="41" t="s">
        <v>230</v>
      </c>
      <c r="AM335" s="41"/>
      <c r="AN335" s="41"/>
      <c r="AO335" s="41"/>
      <c r="AP335" s="44"/>
      <c r="AQ335" s="41" t="s">
        <v>230</v>
      </c>
      <c r="AR335" s="41"/>
      <c r="AS335" s="41"/>
      <c r="AT335" s="41"/>
      <c r="AU335" s="44"/>
      <c r="AV335" s="41" t="s">
        <v>230</v>
      </c>
      <c r="AW335" s="44"/>
      <c r="AX335" s="47"/>
      <c r="AY335" s="49"/>
      <c r="AZ335" s="51"/>
      <c r="BA335" s="49" t="s">
        <v>230</v>
      </c>
      <c r="BB335" s="51"/>
      <c r="BC335" s="47"/>
      <c r="BD335" s="49"/>
      <c r="BE335" s="51"/>
      <c r="BF335" s="49" t="s">
        <v>230</v>
      </c>
      <c r="BG335" s="51"/>
      <c r="BH335" s="47"/>
      <c r="BI335" s="49"/>
      <c r="BJ335" s="51"/>
      <c r="BK335" s="49" t="s">
        <v>230</v>
      </c>
      <c r="BL335" s="51"/>
      <c r="BM335" s="47"/>
      <c r="BN335" s="53"/>
      <c r="BO335" s="54"/>
      <c r="BP335" s="53" t="s">
        <v>230</v>
      </c>
      <c r="BQ335" s="54"/>
      <c r="BR335" s="53"/>
      <c r="BS335" s="53"/>
      <c r="BT335" s="54"/>
      <c r="BU335" s="53" t="s">
        <v>230</v>
      </c>
      <c r="BV335" s="54"/>
      <c r="BW335" s="53"/>
      <c r="BX335" s="53"/>
      <c r="BY335" s="54"/>
      <c r="BZ335" s="53" t="s">
        <v>230</v>
      </c>
      <c r="CA335" s="54"/>
      <c r="CB335" s="53"/>
      <c r="CC335" s="53"/>
      <c r="CD335" s="54"/>
      <c r="CE335" s="53" t="s">
        <v>230</v>
      </c>
      <c r="CF335" s="53"/>
      <c r="CG335" s="53"/>
      <c r="CH335" s="53"/>
      <c r="CI335" s="54"/>
      <c r="CJ335" s="53" t="s">
        <v>230</v>
      </c>
      <c r="CK335" s="54"/>
      <c r="CL335" s="53"/>
      <c r="CM335" s="53"/>
      <c r="CN335" s="54"/>
      <c r="CO335" s="53" t="s">
        <v>230</v>
      </c>
      <c r="CP335" s="53"/>
      <c r="CQ335" s="53"/>
      <c r="CR335" s="57"/>
      <c r="CS335" s="1000"/>
      <c r="CT335" s="58" t="s">
        <v>230</v>
      </c>
      <c r="CU335" s="53"/>
      <c r="CV335" s="53"/>
      <c r="CW335" s="53"/>
      <c r="CX335" s="54"/>
      <c r="CY335" s="53"/>
      <c r="CZ335" s="54"/>
      <c r="DA335" s="53"/>
      <c r="DB335" s="53"/>
      <c r="DC335" s="54"/>
      <c r="DD335" s="53"/>
      <c r="DE335" s="54"/>
      <c r="DF335" s="53"/>
      <c r="DG335" s="53"/>
      <c r="DH335" s="54"/>
      <c r="DI335" s="53"/>
      <c r="DJ335" s="54"/>
      <c r="DK335" s="53"/>
      <c r="DL335" s="53"/>
      <c r="DM335" s="54"/>
      <c r="DN335" s="54"/>
      <c r="DO335" s="54"/>
      <c r="DP335" s="53"/>
      <c r="DQ335" s="53"/>
      <c r="DR335" s="54"/>
      <c r="DS335" s="54"/>
      <c r="DT335" s="54"/>
      <c r="DU335" s="53"/>
      <c r="DV335" s="53"/>
      <c r="DW335" s="54"/>
      <c r="DX335" s="54"/>
      <c r="DY335" s="987"/>
      <c r="DZ335" s="988"/>
      <c r="EA335" s="983"/>
      <c r="EB335" s="985"/>
      <c r="EC335" s="426"/>
      <c r="ED335" s="456"/>
      <c r="EE335" s="446"/>
      <c r="EF335" s="16"/>
    </row>
    <row r="336" ht="17.25" customHeight="1">
      <c r="A336" s="5"/>
      <c r="B336" s="5"/>
      <c r="C336" s="41"/>
      <c r="D336" s="41"/>
      <c r="E336" s="41"/>
      <c r="F336" s="41"/>
      <c r="G336" s="41"/>
      <c r="H336" s="41" t="s">
        <v>230</v>
      </c>
      <c r="I336" s="41"/>
      <c r="J336" s="41"/>
      <c r="K336" s="41"/>
      <c r="L336" s="44"/>
      <c r="M336" s="41" t="s">
        <v>230</v>
      </c>
      <c r="N336" s="41"/>
      <c r="O336" s="41"/>
      <c r="P336" s="41"/>
      <c r="Q336" s="44"/>
      <c r="R336" s="41" t="s">
        <v>230</v>
      </c>
      <c r="S336" s="41"/>
      <c r="T336" s="41"/>
      <c r="U336" s="41"/>
      <c r="V336" s="44"/>
      <c r="W336" s="41" t="s">
        <v>230</v>
      </c>
      <c r="X336" s="41"/>
      <c r="Y336" s="41"/>
      <c r="Z336" s="41"/>
      <c r="AA336" s="44"/>
      <c r="AB336" s="41" t="s">
        <v>230</v>
      </c>
      <c r="AC336" s="41"/>
      <c r="AD336" s="41"/>
      <c r="AE336" s="41"/>
      <c r="AF336" s="41"/>
      <c r="AG336" s="41" t="s">
        <v>230</v>
      </c>
      <c r="AH336" s="41"/>
      <c r="AI336" s="41"/>
      <c r="AJ336" s="41"/>
      <c r="AK336" s="44"/>
      <c r="AL336" s="41" t="s">
        <v>230</v>
      </c>
      <c r="AM336" s="41"/>
      <c r="AN336" s="41"/>
      <c r="AO336" s="41"/>
      <c r="AP336" s="44"/>
      <c r="AQ336" s="41" t="s">
        <v>230</v>
      </c>
      <c r="AR336" s="41"/>
      <c r="AS336" s="41"/>
      <c r="AT336" s="41"/>
      <c r="AU336" s="44"/>
      <c r="AV336" s="41" t="s">
        <v>230</v>
      </c>
      <c r="AW336" s="44"/>
      <c r="AX336" s="47"/>
      <c r="AY336" s="49"/>
      <c r="AZ336" s="51"/>
      <c r="BA336" s="49" t="s">
        <v>230</v>
      </c>
      <c r="BB336" s="51"/>
      <c r="BC336" s="47"/>
      <c r="BD336" s="49"/>
      <c r="BE336" s="51"/>
      <c r="BF336" s="49" t="s">
        <v>230</v>
      </c>
      <c r="BG336" s="51"/>
      <c r="BH336" s="47"/>
      <c r="BI336" s="49"/>
      <c r="BJ336" s="51"/>
      <c r="BK336" s="49" t="s">
        <v>230</v>
      </c>
      <c r="BL336" s="51"/>
      <c r="BM336" s="47"/>
      <c r="BN336" s="53"/>
      <c r="BO336" s="54"/>
      <c r="BP336" s="53" t="s">
        <v>230</v>
      </c>
      <c r="BQ336" s="54"/>
      <c r="BR336" s="53"/>
      <c r="BS336" s="53"/>
      <c r="BT336" s="54"/>
      <c r="BU336" s="53" t="s">
        <v>230</v>
      </c>
      <c r="BV336" s="54"/>
      <c r="BW336" s="53"/>
      <c r="BX336" s="53"/>
      <c r="BY336" s="54"/>
      <c r="BZ336" s="53" t="s">
        <v>230</v>
      </c>
      <c r="CA336" s="54"/>
      <c r="CB336" s="53"/>
      <c r="CC336" s="53"/>
      <c r="CD336" s="54"/>
      <c r="CE336" s="53" t="s">
        <v>230</v>
      </c>
      <c r="CF336" s="53"/>
      <c r="CG336" s="53"/>
      <c r="CH336" s="53"/>
      <c r="CI336" s="54"/>
      <c r="CJ336" s="53" t="s">
        <v>230</v>
      </c>
      <c r="CK336" s="54"/>
      <c r="CL336" s="53"/>
      <c r="CM336" s="53"/>
      <c r="CN336" s="54"/>
      <c r="CO336" s="53" t="s">
        <v>230</v>
      </c>
      <c r="CP336" s="53"/>
      <c r="CQ336" s="53"/>
      <c r="CR336" s="57"/>
      <c r="CS336" s="1000"/>
      <c r="CT336" s="58" t="s">
        <v>230</v>
      </c>
      <c r="CU336" s="53"/>
      <c r="CV336" s="53"/>
      <c r="CW336" s="53"/>
      <c r="CX336" s="54"/>
      <c r="CY336" s="53"/>
      <c r="CZ336" s="54"/>
      <c r="DA336" s="53"/>
      <c r="DB336" s="53"/>
      <c r="DC336" s="54"/>
      <c r="DD336" s="53"/>
      <c r="DE336" s="54"/>
      <c r="DF336" s="53"/>
      <c r="DG336" s="53"/>
      <c r="DH336" s="54"/>
      <c r="DI336" s="53"/>
      <c r="DJ336" s="54"/>
      <c r="DK336" s="53"/>
      <c r="DL336" s="53"/>
      <c r="DM336" s="54"/>
      <c r="DN336" s="54"/>
      <c r="DO336" s="54"/>
      <c r="DP336" s="53"/>
      <c r="DQ336" s="53"/>
      <c r="DR336" s="54"/>
      <c r="DS336" s="54"/>
      <c r="DT336" s="54"/>
      <c r="DU336" s="53"/>
      <c r="DV336" s="53"/>
      <c r="DW336" s="54"/>
      <c r="DX336" s="54"/>
      <c r="DY336" s="987"/>
      <c r="DZ336" s="988"/>
      <c r="EA336" s="983"/>
      <c r="EB336" s="985"/>
      <c r="EC336" s="426"/>
      <c r="ED336" s="456"/>
      <c r="EE336" s="446"/>
      <c r="EF336" s="16"/>
    </row>
    <row r="337" ht="17.25" customHeight="1">
      <c r="A337" s="5"/>
      <c r="B337" s="5"/>
      <c r="C337" s="41"/>
      <c r="D337" s="41"/>
      <c r="E337" s="41"/>
      <c r="F337" s="41"/>
      <c r="G337" s="41"/>
      <c r="H337" s="41" t="s">
        <v>230</v>
      </c>
      <c r="I337" s="41"/>
      <c r="J337" s="41"/>
      <c r="K337" s="41"/>
      <c r="L337" s="44"/>
      <c r="M337" s="41" t="s">
        <v>230</v>
      </c>
      <c r="N337" s="41"/>
      <c r="O337" s="41"/>
      <c r="P337" s="41"/>
      <c r="Q337" s="44"/>
      <c r="R337" s="41" t="s">
        <v>230</v>
      </c>
      <c r="S337" s="41"/>
      <c r="T337" s="41"/>
      <c r="U337" s="41"/>
      <c r="V337" s="44"/>
      <c r="W337" s="41" t="s">
        <v>230</v>
      </c>
      <c r="X337" s="41"/>
      <c r="Y337" s="41"/>
      <c r="Z337" s="41"/>
      <c r="AA337" s="44"/>
      <c r="AB337" s="41" t="s">
        <v>230</v>
      </c>
      <c r="AC337" s="41"/>
      <c r="AD337" s="41"/>
      <c r="AE337" s="41"/>
      <c r="AF337" s="41"/>
      <c r="AG337" s="41" t="s">
        <v>230</v>
      </c>
      <c r="AH337" s="41"/>
      <c r="AI337" s="41"/>
      <c r="AJ337" s="41"/>
      <c r="AK337" s="44"/>
      <c r="AL337" s="41" t="s">
        <v>230</v>
      </c>
      <c r="AM337" s="41"/>
      <c r="AN337" s="41"/>
      <c r="AO337" s="41"/>
      <c r="AP337" s="44"/>
      <c r="AQ337" s="41" t="s">
        <v>230</v>
      </c>
      <c r="AR337" s="41"/>
      <c r="AS337" s="41"/>
      <c r="AT337" s="41"/>
      <c r="AU337" s="44"/>
      <c r="AV337" s="41" t="s">
        <v>230</v>
      </c>
      <c r="AW337" s="44"/>
      <c r="AX337" s="47"/>
      <c r="AY337" s="49"/>
      <c r="AZ337" s="51"/>
      <c r="BA337" s="49" t="s">
        <v>230</v>
      </c>
      <c r="BB337" s="51"/>
      <c r="BC337" s="47"/>
      <c r="BD337" s="49"/>
      <c r="BE337" s="51"/>
      <c r="BF337" s="49" t="s">
        <v>230</v>
      </c>
      <c r="BG337" s="51"/>
      <c r="BH337" s="47"/>
      <c r="BI337" s="49"/>
      <c r="BJ337" s="51"/>
      <c r="BK337" s="49" t="s">
        <v>230</v>
      </c>
      <c r="BL337" s="51"/>
      <c r="BM337" s="47"/>
      <c r="BN337" s="53"/>
      <c r="BO337" s="54"/>
      <c r="BP337" s="53" t="s">
        <v>230</v>
      </c>
      <c r="BQ337" s="54"/>
      <c r="BR337" s="53"/>
      <c r="BS337" s="53"/>
      <c r="BT337" s="54"/>
      <c r="BU337" s="53" t="s">
        <v>230</v>
      </c>
      <c r="BV337" s="54"/>
      <c r="BW337" s="53"/>
      <c r="BX337" s="53"/>
      <c r="BY337" s="54"/>
      <c r="BZ337" s="53" t="s">
        <v>230</v>
      </c>
      <c r="CA337" s="54"/>
      <c r="CB337" s="53"/>
      <c r="CC337" s="53"/>
      <c r="CD337" s="54"/>
      <c r="CE337" s="53" t="s">
        <v>230</v>
      </c>
      <c r="CF337" s="53"/>
      <c r="CG337" s="53"/>
      <c r="CH337" s="53"/>
      <c r="CI337" s="54"/>
      <c r="CJ337" s="53" t="s">
        <v>230</v>
      </c>
      <c r="CK337" s="54"/>
      <c r="CL337" s="53"/>
      <c r="CM337" s="53"/>
      <c r="CN337" s="54"/>
      <c r="CO337" s="53" t="s">
        <v>230</v>
      </c>
      <c r="CP337" s="53"/>
      <c r="CQ337" s="53"/>
      <c r="CR337" s="57"/>
      <c r="CS337" s="1000"/>
      <c r="CT337" s="58" t="s">
        <v>230</v>
      </c>
      <c r="CU337" s="53"/>
      <c r="CV337" s="53"/>
      <c r="CW337" s="53"/>
      <c r="CX337" s="54"/>
      <c r="CY337" s="53"/>
      <c r="CZ337" s="54"/>
      <c r="DA337" s="53"/>
      <c r="DB337" s="53"/>
      <c r="DC337" s="54"/>
      <c r="DD337" s="53"/>
      <c r="DE337" s="54"/>
      <c r="DF337" s="53"/>
      <c r="DG337" s="53"/>
      <c r="DH337" s="54"/>
      <c r="DI337" s="53"/>
      <c r="DJ337" s="54"/>
      <c r="DK337" s="53"/>
      <c r="DL337" s="53"/>
      <c r="DM337" s="54"/>
      <c r="DN337" s="54"/>
      <c r="DO337" s="54"/>
      <c r="DP337" s="53"/>
      <c r="DQ337" s="53"/>
      <c r="DR337" s="54"/>
      <c r="DS337" s="54"/>
      <c r="DT337" s="54"/>
      <c r="DU337" s="53"/>
      <c r="DV337" s="53"/>
      <c r="DW337" s="54"/>
      <c r="DX337" s="54"/>
      <c r="DY337" s="987"/>
      <c r="DZ337" s="988"/>
      <c r="EA337" s="983"/>
      <c r="EB337" s="985"/>
      <c r="EC337" s="426"/>
      <c r="ED337" s="456"/>
      <c r="EE337" s="446"/>
      <c r="EF337" s="16"/>
    </row>
    <row r="338" ht="17.25" customHeight="1">
      <c r="A338" s="5"/>
      <c r="B338" s="5"/>
      <c r="C338" s="41"/>
      <c r="D338" s="41"/>
      <c r="E338" s="41"/>
      <c r="F338" s="41"/>
      <c r="G338" s="41"/>
      <c r="H338" s="41" t="s">
        <v>230</v>
      </c>
      <c r="I338" s="41"/>
      <c r="J338" s="41"/>
      <c r="K338" s="41"/>
      <c r="L338" s="44"/>
      <c r="M338" s="41" t="s">
        <v>230</v>
      </c>
      <c r="N338" s="41"/>
      <c r="O338" s="41"/>
      <c r="P338" s="41"/>
      <c r="Q338" s="44"/>
      <c r="R338" s="41" t="s">
        <v>230</v>
      </c>
      <c r="S338" s="41"/>
      <c r="T338" s="41"/>
      <c r="U338" s="41"/>
      <c r="V338" s="44"/>
      <c r="W338" s="41" t="s">
        <v>230</v>
      </c>
      <c r="X338" s="41"/>
      <c r="Y338" s="41"/>
      <c r="Z338" s="41"/>
      <c r="AA338" s="44"/>
      <c r="AB338" s="41" t="s">
        <v>230</v>
      </c>
      <c r="AC338" s="41"/>
      <c r="AD338" s="41"/>
      <c r="AE338" s="41"/>
      <c r="AF338" s="41"/>
      <c r="AG338" s="41" t="s">
        <v>230</v>
      </c>
      <c r="AH338" s="41"/>
      <c r="AI338" s="41"/>
      <c r="AJ338" s="41"/>
      <c r="AK338" s="44"/>
      <c r="AL338" s="41" t="s">
        <v>230</v>
      </c>
      <c r="AM338" s="41"/>
      <c r="AN338" s="41"/>
      <c r="AO338" s="41"/>
      <c r="AP338" s="44"/>
      <c r="AQ338" s="41" t="s">
        <v>230</v>
      </c>
      <c r="AR338" s="41"/>
      <c r="AS338" s="41"/>
      <c r="AT338" s="41"/>
      <c r="AU338" s="44"/>
      <c r="AV338" s="41" t="s">
        <v>230</v>
      </c>
      <c r="AW338" s="44"/>
      <c r="AX338" s="47"/>
      <c r="AY338" s="49"/>
      <c r="AZ338" s="51"/>
      <c r="BA338" s="49" t="s">
        <v>230</v>
      </c>
      <c r="BB338" s="51"/>
      <c r="BC338" s="47"/>
      <c r="BD338" s="49"/>
      <c r="BE338" s="51"/>
      <c r="BF338" s="49" t="s">
        <v>230</v>
      </c>
      <c r="BG338" s="51"/>
      <c r="BH338" s="47"/>
      <c r="BI338" s="49"/>
      <c r="BJ338" s="51"/>
      <c r="BK338" s="49" t="s">
        <v>230</v>
      </c>
      <c r="BL338" s="51"/>
      <c r="BM338" s="47"/>
      <c r="BN338" s="53"/>
      <c r="BO338" s="54"/>
      <c r="BP338" s="53" t="s">
        <v>230</v>
      </c>
      <c r="BQ338" s="54"/>
      <c r="BR338" s="53"/>
      <c r="BS338" s="53"/>
      <c r="BT338" s="54"/>
      <c r="BU338" s="53" t="s">
        <v>230</v>
      </c>
      <c r="BV338" s="54"/>
      <c r="BW338" s="53"/>
      <c r="BX338" s="53"/>
      <c r="BY338" s="54"/>
      <c r="BZ338" s="53" t="s">
        <v>230</v>
      </c>
      <c r="CA338" s="54"/>
      <c r="CB338" s="53"/>
      <c r="CC338" s="53"/>
      <c r="CD338" s="54"/>
      <c r="CE338" s="53" t="s">
        <v>230</v>
      </c>
      <c r="CF338" s="53"/>
      <c r="CG338" s="53"/>
      <c r="CH338" s="53"/>
      <c r="CI338" s="54"/>
      <c r="CJ338" s="53" t="s">
        <v>230</v>
      </c>
      <c r="CK338" s="54"/>
      <c r="CL338" s="53"/>
      <c r="CM338" s="53"/>
      <c r="CN338" s="54"/>
      <c r="CO338" s="53" t="s">
        <v>230</v>
      </c>
      <c r="CP338" s="53"/>
      <c r="CQ338" s="53"/>
      <c r="CR338" s="57"/>
      <c r="CS338" s="1000"/>
      <c r="CT338" s="58" t="s">
        <v>230</v>
      </c>
      <c r="CU338" s="53"/>
      <c r="CV338" s="53"/>
      <c r="CW338" s="53"/>
      <c r="CX338" s="54"/>
      <c r="CY338" s="53"/>
      <c r="CZ338" s="54"/>
      <c r="DA338" s="53"/>
      <c r="DB338" s="53"/>
      <c r="DC338" s="54"/>
      <c r="DD338" s="53"/>
      <c r="DE338" s="54"/>
      <c r="DF338" s="53"/>
      <c r="DG338" s="53"/>
      <c r="DH338" s="54"/>
      <c r="DI338" s="53"/>
      <c r="DJ338" s="54"/>
      <c r="DK338" s="53"/>
      <c r="DL338" s="53"/>
      <c r="DM338" s="54"/>
      <c r="DN338" s="54"/>
      <c r="DO338" s="54"/>
      <c r="DP338" s="53"/>
      <c r="DQ338" s="53"/>
      <c r="DR338" s="54"/>
      <c r="DS338" s="54"/>
      <c r="DT338" s="54"/>
      <c r="DU338" s="53"/>
      <c r="DV338" s="53"/>
      <c r="DW338" s="54"/>
      <c r="DX338" s="54"/>
      <c r="DY338" s="987"/>
      <c r="DZ338" s="988"/>
      <c r="EA338" s="983"/>
      <c r="EB338" s="985"/>
      <c r="EC338" s="426"/>
      <c r="ED338" s="456"/>
      <c r="EE338" s="446"/>
      <c r="EF338" s="16"/>
    </row>
    <row r="339" ht="17.25" customHeight="1">
      <c r="A339" s="5"/>
      <c r="B339" s="5"/>
      <c r="C339" s="41"/>
      <c r="D339" s="41"/>
      <c r="E339" s="41"/>
      <c r="F339" s="41"/>
      <c r="G339" s="41"/>
      <c r="H339" s="41" t="s">
        <v>230</v>
      </c>
      <c r="I339" s="41"/>
      <c r="J339" s="41"/>
      <c r="K339" s="41"/>
      <c r="L339" s="44"/>
      <c r="M339" s="41" t="s">
        <v>230</v>
      </c>
      <c r="N339" s="41"/>
      <c r="O339" s="41"/>
      <c r="P339" s="41"/>
      <c r="Q339" s="44"/>
      <c r="R339" s="41" t="s">
        <v>230</v>
      </c>
      <c r="S339" s="41"/>
      <c r="T339" s="41"/>
      <c r="U339" s="41"/>
      <c r="V339" s="44"/>
      <c r="W339" s="41" t="s">
        <v>230</v>
      </c>
      <c r="X339" s="41"/>
      <c r="Y339" s="41"/>
      <c r="Z339" s="41"/>
      <c r="AA339" s="44"/>
      <c r="AB339" s="41" t="s">
        <v>230</v>
      </c>
      <c r="AC339" s="41"/>
      <c r="AD339" s="41"/>
      <c r="AE339" s="41"/>
      <c r="AF339" s="41"/>
      <c r="AG339" s="41" t="s">
        <v>230</v>
      </c>
      <c r="AH339" s="41"/>
      <c r="AI339" s="41"/>
      <c r="AJ339" s="41"/>
      <c r="AK339" s="44"/>
      <c r="AL339" s="41" t="s">
        <v>230</v>
      </c>
      <c r="AM339" s="41"/>
      <c r="AN339" s="41"/>
      <c r="AO339" s="41"/>
      <c r="AP339" s="44"/>
      <c r="AQ339" s="41" t="s">
        <v>230</v>
      </c>
      <c r="AR339" s="41"/>
      <c r="AS339" s="41"/>
      <c r="AT339" s="41"/>
      <c r="AU339" s="44"/>
      <c r="AV339" s="41" t="s">
        <v>230</v>
      </c>
      <c r="AW339" s="44"/>
      <c r="AX339" s="47"/>
      <c r="AY339" s="49"/>
      <c r="AZ339" s="51"/>
      <c r="BA339" s="49" t="s">
        <v>230</v>
      </c>
      <c r="BB339" s="51"/>
      <c r="BC339" s="47"/>
      <c r="BD339" s="49"/>
      <c r="BE339" s="51"/>
      <c r="BF339" s="49" t="s">
        <v>230</v>
      </c>
      <c r="BG339" s="51"/>
      <c r="BH339" s="47"/>
      <c r="BI339" s="49"/>
      <c r="BJ339" s="51"/>
      <c r="BK339" s="49" t="s">
        <v>230</v>
      </c>
      <c r="BL339" s="51"/>
      <c r="BM339" s="47"/>
      <c r="BN339" s="53"/>
      <c r="BO339" s="54"/>
      <c r="BP339" s="53" t="s">
        <v>230</v>
      </c>
      <c r="BQ339" s="54"/>
      <c r="BR339" s="53"/>
      <c r="BS339" s="53"/>
      <c r="BT339" s="54"/>
      <c r="BU339" s="53" t="s">
        <v>230</v>
      </c>
      <c r="BV339" s="54"/>
      <c r="BW339" s="53"/>
      <c r="BX339" s="53"/>
      <c r="BY339" s="54"/>
      <c r="BZ339" s="53" t="s">
        <v>230</v>
      </c>
      <c r="CA339" s="54"/>
      <c r="CB339" s="53"/>
      <c r="CC339" s="53"/>
      <c r="CD339" s="54"/>
      <c r="CE339" s="53" t="s">
        <v>230</v>
      </c>
      <c r="CF339" s="53"/>
      <c r="CG339" s="53"/>
      <c r="CH339" s="53"/>
      <c r="CI339" s="54"/>
      <c r="CJ339" s="53" t="s">
        <v>230</v>
      </c>
      <c r="CK339" s="54"/>
      <c r="CL339" s="53"/>
      <c r="CM339" s="53"/>
      <c r="CN339" s="54"/>
      <c r="CO339" s="53" t="s">
        <v>230</v>
      </c>
      <c r="CP339" s="53"/>
      <c r="CQ339" s="53"/>
      <c r="CR339" s="57"/>
      <c r="CS339" s="1000"/>
      <c r="CT339" s="58" t="s">
        <v>230</v>
      </c>
      <c r="CU339" s="53"/>
      <c r="CV339" s="53"/>
      <c r="CW339" s="53"/>
      <c r="CX339" s="54"/>
      <c r="CY339" s="53"/>
      <c r="CZ339" s="54"/>
      <c r="DA339" s="53"/>
      <c r="DB339" s="53"/>
      <c r="DC339" s="54"/>
      <c r="DD339" s="53"/>
      <c r="DE339" s="54"/>
      <c r="DF339" s="53"/>
      <c r="DG339" s="53"/>
      <c r="DH339" s="54"/>
      <c r="DI339" s="53"/>
      <c r="DJ339" s="54"/>
      <c r="DK339" s="53"/>
      <c r="DL339" s="53"/>
      <c r="DM339" s="54"/>
      <c r="DN339" s="54"/>
      <c r="DO339" s="54"/>
      <c r="DP339" s="53"/>
      <c r="DQ339" s="53"/>
      <c r="DR339" s="54"/>
      <c r="DS339" s="54"/>
      <c r="DT339" s="54"/>
      <c r="DU339" s="53"/>
      <c r="DV339" s="53"/>
      <c r="DW339" s="54"/>
      <c r="DX339" s="54"/>
      <c r="DY339" s="987"/>
      <c r="DZ339" s="988"/>
      <c r="EA339" s="983"/>
      <c r="EB339" s="985"/>
      <c r="EC339" s="426"/>
      <c r="ED339" s="456"/>
      <c r="EE339" s="446"/>
      <c r="EF339" s="16"/>
    </row>
    <row r="340" ht="17.25" customHeight="1">
      <c r="A340" s="5"/>
      <c r="B340" s="5"/>
      <c r="C340" s="41"/>
      <c r="D340" s="41"/>
      <c r="E340" s="41"/>
      <c r="F340" s="41"/>
      <c r="G340" s="41"/>
      <c r="H340" s="41" t="s">
        <v>230</v>
      </c>
      <c r="I340" s="41"/>
      <c r="J340" s="41"/>
      <c r="K340" s="41"/>
      <c r="L340" s="44"/>
      <c r="M340" s="41" t="s">
        <v>230</v>
      </c>
      <c r="N340" s="41"/>
      <c r="O340" s="41"/>
      <c r="P340" s="41"/>
      <c r="Q340" s="44"/>
      <c r="R340" s="41" t="s">
        <v>230</v>
      </c>
      <c r="S340" s="41"/>
      <c r="T340" s="41"/>
      <c r="U340" s="41"/>
      <c r="V340" s="44"/>
      <c r="W340" s="41" t="s">
        <v>230</v>
      </c>
      <c r="X340" s="41"/>
      <c r="Y340" s="41"/>
      <c r="Z340" s="41"/>
      <c r="AA340" s="44"/>
      <c r="AB340" s="41" t="s">
        <v>230</v>
      </c>
      <c r="AC340" s="41"/>
      <c r="AD340" s="41"/>
      <c r="AE340" s="41"/>
      <c r="AF340" s="41"/>
      <c r="AG340" s="41" t="s">
        <v>230</v>
      </c>
      <c r="AH340" s="41"/>
      <c r="AI340" s="41"/>
      <c r="AJ340" s="41"/>
      <c r="AK340" s="44"/>
      <c r="AL340" s="41" t="s">
        <v>230</v>
      </c>
      <c r="AM340" s="41"/>
      <c r="AN340" s="41"/>
      <c r="AO340" s="41"/>
      <c r="AP340" s="44"/>
      <c r="AQ340" s="41" t="s">
        <v>230</v>
      </c>
      <c r="AR340" s="41"/>
      <c r="AS340" s="41"/>
      <c r="AT340" s="41"/>
      <c r="AU340" s="44"/>
      <c r="AV340" s="41" t="s">
        <v>230</v>
      </c>
      <c r="AW340" s="44"/>
      <c r="AX340" s="47"/>
      <c r="AY340" s="49"/>
      <c r="AZ340" s="51"/>
      <c r="BA340" s="49" t="s">
        <v>230</v>
      </c>
      <c r="BB340" s="51"/>
      <c r="BC340" s="47"/>
      <c r="BD340" s="49"/>
      <c r="BE340" s="51"/>
      <c r="BF340" s="49" t="s">
        <v>230</v>
      </c>
      <c r="BG340" s="51"/>
      <c r="BH340" s="47"/>
      <c r="BI340" s="49"/>
      <c r="BJ340" s="51"/>
      <c r="BK340" s="49" t="s">
        <v>230</v>
      </c>
      <c r="BL340" s="51"/>
      <c r="BM340" s="47"/>
      <c r="BN340" s="53"/>
      <c r="BO340" s="54"/>
      <c r="BP340" s="53" t="s">
        <v>230</v>
      </c>
      <c r="BQ340" s="54"/>
      <c r="BR340" s="53"/>
      <c r="BS340" s="53"/>
      <c r="BT340" s="54"/>
      <c r="BU340" s="53" t="s">
        <v>230</v>
      </c>
      <c r="BV340" s="54"/>
      <c r="BW340" s="53"/>
      <c r="BX340" s="53"/>
      <c r="BY340" s="54"/>
      <c r="BZ340" s="53" t="s">
        <v>230</v>
      </c>
      <c r="CA340" s="54"/>
      <c r="CB340" s="53"/>
      <c r="CC340" s="53"/>
      <c r="CD340" s="54"/>
      <c r="CE340" s="53" t="s">
        <v>230</v>
      </c>
      <c r="CF340" s="53"/>
      <c r="CG340" s="53"/>
      <c r="CH340" s="53"/>
      <c r="CI340" s="54"/>
      <c r="CJ340" s="53" t="s">
        <v>230</v>
      </c>
      <c r="CK340" s="54"/>
      <c r="CL340" s="53"/>
      <c r="CM340" s="53"/>
      <c r="CN340" s="54"/>
      <c r="CO340" s="53" t="s">
        <v>230</v>
      </c>
      <c r="CP340" s="53"/>
      <c r="CQ340" s="53"/>
      <c r="CR340" s="57"/>
      <c r="CS340" s="1000"/>
      <c r="CT340" s="58" t="s">
        <v>230</v>
      </c>
      <c r="CU340" s="53"/>
      <c r="CV340" s="53"/>
      <c r="CW340" s="53"/>
      <c r="CX340" s="54"/>
      <c r="CY340" s="53"/>
      <c r="CZ340" s="54"/>
      <c r="DA340" s="53"/>
      <c r="DB340" s="53"/>
      <c r="DC340" s="54"/>
      <c r="DD340" s="53"/>
      <c r="DE340" s="54"/>
      <c r="DF340" s="53"/>
      <c r="DG340" s="53"/>
      <c r="DH340" s="54"/>
      <c r="DI340" s="53"/>
      <c r="DJ340" s="54"/>
      <c r="DK340" s="53"/>
      <c r="DL340" s="53"/>
      <c r="DM340" s="54"/>
      <c r="DN340" s="54"/>
      <c r="DO340" s="54"/>
      <c r="DP340" s="53"/>
      <c r="DQ340" s="53"/>
      <c r="DR340" s="54"/>
      <c r="DS340" s="54"/>
      <c r="DT340" s="54"/>
      <c r="DU340" s="53"/>
      <c r="DV340" s="53"/>
      <c r="DW340" s="54"/>
      <c r="DX340" s="54"/>
      <c r="DY340" s="987"/>
      <c r="DZ340" s="988"/>
      <c r="EA340" s="983"/>
      <c r="EB340" s="985"/>
      <c r="EC340" s="426"/>
      <c r="ED340" s="456"/>
      <c r="EE340" s="446"/>
      <c r="EF340" s="16"/>
    </row>
    <row r="341" ht="17.25" customHeight="1">
      <c r="A341" s="5"/>
      <c r="B341" s="5"/>
      <c r="C341" s="41"/>
      <c r="D341" s="41"/>
      <c r="E341" s="41"/>
      <c r="F341" s="41"/>
      <c r="G341" s="41"/>
      <c r="H341" s="41" t="s">
        <v>230</v>
      </c>
      <c r="I341" s="41"/>
      <c r="J341" s="41"/>
      <c r="K341" s="41"/>
      <c r="L341" s="44"/>
      <c r="M341" s="41" t="s">
        <v>230</v>
      </c>
      <c r="N341" s="41"/>
      <c r="O341" s="41"/>
      <c r="P341" s="41"/>
      <c r="Q341" s="44"/>
      <c r="R341" s="41" t="s">
        <v>230</v>
      </c>
      <c r="S341" s="41"/>
      <c r="T341" s="41"/>
      <c r="U341" s="41"/>
      <c r="V341" s="44"/>
      <c r="W341" s="41" t="s">
        <v>230</v>
      </c>
      <c r="X341" s="41"/>
      <c r="Y341" s="41"/>
      <c r="Z341" s="41"/>
      <c r="AA341" s="44"/>
      <c r="AB341" s="41" t="s">
        <v>230</v>
      </c>
      <c r="AC341" s="41"/>
      <c r="AD341" s="41"/>
      <c r="AE341" s="41"/>
      <c r="AF341" s="41"/>
      <c r="AG341" s="41" t="s">
        <v>230</v>
      </c>
      <c r="AH341" s="41"/>
      <c r="AI341" s="41"/>
      <c r="AJ341" s="41"/>
      <c r="AK341" s="44"/>
      <c r="AL341" s="41" t="s">
        <v>230</v>
      </c>
      <c r="AM341" s="41"/>
      <c r="AN341" s="41"/>
      <c r="AO341" s="41"/>
      <c r="AP341" s="44"/>
      <c r="AQ341" s="41" t="s">
        <v>230</v>
      </c>
      <c r="AR341" s="41"/>
      <c r="AS341" s="41"/>
      <c r="AT341" s="41"/>
      <c r="AU341" s="44"/>
      <c r="AV341" s="41" t="s">
        <v>230</v>
      </c>
      <c r="AW341" s="44"/>
      <c r="AX341" s="47"/>
      <c r="AY341" s="49"/>
      <c r="AZ341" s="51"/>
      <c r="BA341" s="49" t="s">
        <v>230</v>
      </c>
      <c r="BB341" s="51"/>
      <c r="BC341" s="47"/>
      <c r="BD341" s="49"/>
      <c r="BE341" s="51"/>
      <c r="BF341" s="49" t="s">
        <v>230</v>
      </c>
      <c r="BG341" s="51"/>
      <c r="BH341" s="47"/>
      <c r="BI341" s="49"/>
      <c r="BJ341" s="51"/>
      <c r="BK341" s="49" t="s">
        <v>230</v>
      </c>
      <c r="BL341" s="51"/>
      <c r="BM341" s="47"/>
      <c r="BN341" s="53"/>
      <c r="BO341" s="54"/>
      <c r="BP341" s="53" t="s">
        <v>230</v>
      </c>
      <c r="BQ341" s="54"/>
      <c r="BR341" s="53"/>
      <c r="BS341" s="53"/>
      <c r="BT341" s="54"/>
      <c r="BU341" s="53" t="s">
        <v>230</v>
      </c>
      <c r="BV341" s="54"/>
      <c r="BW341" s="53"/>
      <c r="BX341" s="53"/>
      <c r="BY341" s="54"/>
      <c r="BZ341" s="53" t="s">
        <v>230</v>
      </c>
      <c r="CA341" s="54"/>
      <c r="CB341" s="53"/>
      <c r="CC341" s="53"/>
      <c r="CD341" s="54"/>
      <c r="CE341" s="53" t="s">
        <v>230</v>
      </c>
      <c r="CF341" s="53"/>
      <c r="CG341" s="53"/>
      <c r="CH341" s="53"/>
      <c r="CI341" s="54"/>
      <c r="CJ341" s="53" t="s">
        <v>230</v>
      </c>
      <c r="CK341" s="54"/>
      <c r="CL341" s="53"/>
      <c r="CM341" s="53"/>
      <c r="CN341" s="54"/>
      <c r="CO341" s="53" t="s">
        <v>230</v>
      </c>
      <c r="CP341" s="53"/>
      <c r="CQ341" s="53"/>
      <c r="CR341" s="57"/>
      <c r="CS341" s="1000"/>
      <c r="CT341" s="58" t="s">
        <v>230</v>
      </c>
      <c r="CU341" s="53"/>
      <c r="CV341" s="53"/>
      <c r="CW341" s="53"/>
      <c r="CX341" s="54"/>
      <c r="CY341" s="53"/>
      <c r="CZ341" s="54"/>
      <c r="DA341" s="53"/>
      <c r="DB341" s="53"/>
      <c r="DC341" s="54"/>
      <c r="DD341" s="53"/>
      <c r="DE341" s="54"/>
      <c r="DF341" s="53"/>
      <c r="DG341" s="53"/>
      <c r="DH341" s="54"/>
      <c r="DI341" s="53"/>
      <c r="DJ341" s="54"/>
      <c r="DK341" s="53"/>
      <c r="DL341" s="53"/>
      <c r="DM341" s="54"/>
      <c r="DN341" s="54"/>
      <c r="DO341" s="54"/>
      <c r="DP341" s="53"/>
      <c r="DQ341" s="53"/>
      <c r="DR341" s="54"/>
      <c r="DS341" s="54"/>
      <c r="DT341" s="54"/>
      <c r="DU341" s="53"/>
      <c r="DV341" s="53"/>
      <c r="DW341" s="54"/>
      <c r="DX341" s="54"/>
      <c r="DY341" s="987"/>
      <c r="DZ341" s="988"/>
      <c r="EA341" s="983"/>
      <c r="EB341" s="985"/>
      <c r="EC341" s="426"/>
      <c r="ED341" s="456"/>
      <c r="EE341" s="446"/>
      <c r="EF341" s="16"/>
    </row>
    <row r="342" ht="17.25" customHeight="1">
      <c r="A342" s="5"/>
      <c r="B342" s="5"/>
      <c r="C342" s="41"/>
      <c r="D342" s="41"/>
      <c r="E342" s="41"/>
      <c r="F342" s="41"/>
      <c r="G342" s="41"/>
      <c r="H342" s="41" t="s">
        <v>230</v>
      </c>
      <c r="I342" s="41"/>
      <c r="J342" s="41"/>
      <c r="K342" s="41"/>
      <c r="L342" s="44"/>
      <c r="M342" s="41" t="s">
        <v>230</v>
      </c>
      <c r="N342" s="41"/>
      <c r="O342" s="41"/>
      <c r="P342" s="41"/>
      <c r="Q342" s="44"/>
      <c r="R342" s="41" t="s">
        <v>230</v>
      </c>
      <c r="S342" s="41"/>
      <c r="T342" s="41"/>
      <c r="U342" s="41"/>
      <c r="V342" s="44"/>
      <c r="W342" s="41" t="s">
        <v>230</v>
      </c>
      <c r="X342" s="41"/>
      <c r="Y342" s="41"/>
      <c r="Z342" s="41"/>
      <c r="AA342" s="44"/>
      <c r="AB342" s="41" t="s">
        <v>230</v>
      </c>
      <c r="AC342" s="41"/>
      <c r="AD342" s="41"/>
      <c r="AE342" s="41"/>
      <c r="AF342" s="41"/>
      <c r="AG342" s="41" t="s">
        <v>230</v>
      </c>
      <c r="AH342" s="41"/>
      <c r="AI342" s="41"/>
      <c r="AJ342" s="41"/>
      <c r="AK342" s="44"/>
      <c r="AL342" s="41" t="s">
        <v>230</v>
      </c>
      <c r="AM342" s="41"/>
      <c r="AN342" s="41"/>
      <c r="AO342" s="41"/>
      <c r="AP342" s="44"/>
      <c r="AQ342" s="41" t="s">
        <v>230</v>
      </c>
      <c r="AR342" s="41"/>
      <c r="AS342" s="41"/>
      <c r="AT342" s="41"/>
      <c r="AU342" s="44"/>
      <c r="AV342" s="41" t="s">
        <v>230</v>
      </c>
      <c r="AW342" s="44"/>
      <c r="AX342" s="47"/>
      <c r="AY342" s="49"/>
      <c r="AZ342" s="51"/>
      <c r="BA342" s="49" t="s">
        <v>230</v>
      </c>
      <c r="BB342" s="51"/>
      <c r="BC342" s="47"/>
      <c r="BD342" s="49"/>
      <c r="BE342" s="51"/>
      <c r="BF342" s="49" t="s">
        <v>230</v>
      </c>
      <c r="BG342" s="51"/>
      <c r="BH342" s="47"/>
      <c r="BI342" s="49"/>
      <c r="BJ342" s="51"/>
      <c r="BK342" s="49" t="s">
        <v>230</v>
      </c>
      <c r="BL342" s="51"/>
      <c r="BM342" s="47"/>
      <c r="BN342" s="53"/>
      <c r="BO342" s="54"/>
      <c r="BP342" s="53" t="s">
        <v>230</v>
      </c>
      <c r="BQ342" s="54"/>
      <c r="BR342" s="53"/>
      <c r="BS342" s="53"/>
      <c r="BT342" s="54"/>
      <c r="BU342" s="53" t="s">
        <v>230</v>
      </c>
      <c r="BV342" s="54"/>
      <c r="BW342" s="53"/>
      <c r="BX342" s="53"/>
      <c r="BY342" s="54"/>
      <c r="BZ342" s="53" t="s">
        <v>230</v>
      </c>
      <c r="CA342" s="54"/>
      <c r="CB342" s="53"/>
      <c r="CC342" s="53"/>
      <c r="CD342" s="54"/>
      <c r="CE342" s="53" t="s">
        <v>230</v>
      </c>
      <c r="CF342" s="53"/>
      <c r="CG342" s="53"/>
      <c r="CH342" s="53"/>
      <c r="CI342" s="54"/>
      <c r="CJ342" s="53" t="s">
        <v>230</v>
      </c>
      <c r="CK342" s="54"/>
      <c r="CL342" s="53"/>
      <c r="CM342" s="53"/>
      <c r="CN342" s="54"/>
      <c r="CO342" s="53" t="s">
        <v>230</v>
      </c>
      <c r="CP342" s="53"/>
      <c r="CQ342" s="53"/>
      <c r="CR342" s="57"/>
      <c r="CS342" s="1000"/>
      <c r="CT342" s="58" t="s">
        <v>230</v>
      </c>
      <c r="CU342" s="53"/>
      <c r="CV342" s="53"/>
      <c r="CW342" s="53"/>
      <c r="CX342" s="54"/>
      <c r="CY342" s="53"/>
      <c r="CZ342" s="54"/>
      <c r="DA342" s="53"/>
      <c r="DB342" s="53"/>
      <c r="DC342" s="54"/>
      <c r="DD342" s="53"/>
      <c r="DE342" s="54"/>
      <c r="DF342" s="53"/>
      <c r="DG342" s="53"/>
      <c r="DH342" s="54"/>
      <c r="DI342" s="53"/>
      <c r="DJ342" s="54"/>
      <c r="DK342" s="53"/>
      <c r="DL342" s="53"/>
      <c r="DM342" s="54"/>
      <c r="DN342" s="54"/>
      <c r="DO342" s="54"/>
      <c r="DP342" s="53"/>
      <c r="DQ342" s="53"/>
      <c r="DR342" s="54"/>
      <c r="DS342" s="54"/>
      <c r="DT342" s="54"/>
      <c r="DU342" s="53"/>
      <c r="DV342" s="53"/>
      <c r="DW342" s="54"/>
      <c r="DX342" s="54"/>
      <c r="DY342" s="987"/>
      <c r="DZ342" s="988"/>
      <c r="EA342" s="983"/>
      <c r="EB342" s="985"/>
      <c r="EC342" s="426"/>
      <c r="ED342" s="456"/>
      <c r="EE342" s="446"/>
      <c r="EF342" s="16"/>
    </row>
    <row r="343" ht="17.25" customHeight="1">
      <c r="A343" s="5"/>
      <c r="B343" s="5"/>
      <c r="C343" s="41"/>
      <c r="D343" s="41"/>
      <c r="E343" s="41"/>
      <c r="F343" s="41"/>
      <c r="G343" s="41"/>
      <c r="H343" s="41" t="s">
        <v>230</v>
      </c>
      <c r="I343" s="41"/>
      <c r="J343" s="41"/>
      <c r="K343" s="41"/>
      <c r="L343" s="44"/>
      <c r="M343" s="41" t="s">
        <v>230</v>
      </c>
      <c r="N343" s="41"/>
      <c r="O343" s="41"/>
      <c r="P343" s="41"/>
      <c r="Q343" s="44"/>
      <c r="R343" s="41" t="s">
        <v>230</v>
      </c>
      <c r="S343" s="41"/>
      <c r="T343" s="41"/>
      <c r="U343" s="41"/>
      <c r="V343" s="44"/>
      <c r="W343" s="41" t="s">
        <v>230</v>
      </c>
      <c r="X343" s="41"/>
      <c r="Y343" s="41"/>
      <c r="Z343" s="41"/>
      <c r="AA343" s="44"/>
      <c r="AB343" s="41" t="s">
        <v>230</v>
      </c>
      <c r="AC343" s="41"/>
      <c r="AD343" s="41"/>
      <c r="AE343" s="41"/>
      <c r="AF343" s="41"/>
      <c r="AG343" s="41" t="s">
        <v>230</v>
      </c>
      <c r="AH343" s="41"/>
      <c r="AI343" s="41"/>
      <c r="AJ343" s="41"/>
      <c r="AK343" s="44"/>
      <c r="AL343" s="41" t="s">
        <v>230</v>
      </c>
      <c r="AM343" s="41"/>
      <c r="AN343" s="41"/>
      <c r="AO343" s="41"/>
      <c r="AP343" s="44"/>
      <c r="AQ343" s="41" t="s">
        <v>230</v>
      </c>
      <c r="AR343" s="41"/>
      <c r="AS343" s="41"/>
      <c r="AT343" s="41"/>
      <c r="AU343" s="44"/>
      <c r="AV343" s="41" t="s">
        <v>230</v>
      </c>
      <c r="AW343" s="44"/>
      <c r="AX343" s="47"/>
      <c r="AY343" s="49"/>
      <c r="AZ343" s="51"/>
      <c r="BA343" s="49" t="s">
        <v>230</v>
      </c>
      <c r="BB343" s="51"/>
      <c r="BC343" s="47"/>
      <c r="BD343" s="49"/>
      <c r="BE343" s="51"/>
      <c r="BF343" s="49" t="s">
        <v>230</v>
      </c>
      <c r="BG343" s="51"/>
      <c r="BH343" s="47"/>
      <c r="BI343" s="49"/>
      <c r="BJ343" s="51"/>
      <c r="BK343" s="49" t="s">
        <v>230</v>
      </c>
      <c r="BL343" s="51"/>
      <c r="BM343" s="47"/>
      <c r="BN343" s="53"/>
      <c r="BO343" s="54"/>
      <c r="BP343" s="53" t="s">
        <v>230</v>
      </c>
      <c r="BQ343" s="54"/>
      <c r="BR343" s="53"/>
      <c r="BS343" s="53"/>
      <c r="BT343" s="54"/>
      <c r="BU343" s="53" t="s">
        <v>230</v>
      </c>
      <c r="BV343" s="54"/>
      <c r="BW343" s="53"/>
      <c r="BX343" s="53"/>
      <c r="BY343" s="54"/>
      <c r="BZ343" s="53" t="s">
        <v>230</v>
      </c>
      <c r="CA343" s="54"/>
      <c r="CB343" s="53"/>
      <c r="CC343" s="53"/>
      <c r="CD343" s="54"/>
      <c r="CE343" s="53" t="s">
        <v>230</v>
      </c>
      <c r="CF343" s="53"/>
      <c r="CG343" s="53"/>
      <c r="CH343" s="53"/>
      <c r="CI343" s="54"/>
      <c r="CJ343" s="53" t="s">
        <v>230</v>
      </c>
      <c r="CK343" s="54"/>
      <c r="CL343" s="53"/>
      <c r="CM343" s="53"/>
      <c r="CN343" s="54"/>
      <c r="CO343" s="53" t="s">
        <v>230</v>
      </c>
      <c r="CP343" s="53"/>
      <c r="CQ343" s="53"/>
      <c r="CR343" s="57"/>
      <c r="CS343" s="1000"/>
      <c r="CT343" s="58" t="s">
        <v>230</v>
      </c>
      <c r="CU343" s="53"/>
      <c r="CV343" s="53"/>
      <c r="CW343" s="53"/>
      <c r="CX343" s="54"/>
      <c r="CY343" s="53"/>
      <c r="CZ343" s="54"/>
      <c r="DA343" s="53"/>
      <c r="DB343" s="53"/>
      <c r="DC343" s="54"/>
      <c r="DD343" s="53"/>
      <c r="DE343" s="54"/>
      <c r="DF343" s="53"/>
      <c r="DG343" s="53"/>
      <c r="DH343" s="54"/>
      <c r="DI343" s="53"/>
      <c r="DJ343" s="54"/>
      <c r="DK343" s="53"/>
      <c r="DL343" s="53"/>
      <c r="DM343" s="54"/>
      <c r="DN343" s="54"/>
      <c r="DO343" s="54"/>
      <c r="DP343" s="53"/>
      <c r="DQ343" s="53"/>
      <c r="DR343" s="54"/>
      <c r="DS343" s="54"/>
      <c r="DT343" s="54"/>
      <c r="DU343" s="53"/>
      <c r="DV343" s="53"/>
      <c r="DW343" s="54"/>
      <c r="DX343" s="54"/>
      <c r="DY343" s="987"/>
      <c r="DZ343" s="988"/>
      <c r="EA343" s="983"/>
      <c r="EB343" s="985"/>
      <c r="EC343" s="426"/>
      <c r="ED343" s="456"/>
      <c r="EE343" s="446"/>
      <c r="EF343" s="16"/>
    </row>
    <row r="344" ht="17.25" customHeight="1">
      <c r="A344" s="5"/>
      <c r="B344" s="5"/>
      <c r="C344" s="41"/>
      <c r="D344" s="41"/>
      <c r="E344" s="41"/>
      <c r="F344" s="41"/>
      <c r="G344" s="41"/>
      <c r="H344" s="41" t="s">
        <v>230</v>
      </c>
      <c r="I344" s="41"/>
      <c r="J344" s="41"/>
      <c r="K344" s="41"/>
      <c r="L344" s="44"/>
      <c r="M344" s="41" t="s">
        <v>230</v>
      </c>
      <c r="N344" s="41"/>
      <c r="O344" s="41"/>
      <c r="P344" s="41"/>
      <c r="Q344" s="44"/>
      <c r="R344" s="41" t="s">
        <v>230</v>
      </c>
      <c r="S344" s="41"/>
      <c r="T344" s="41"/>
      <c r="U344" s="41"/>
      <c r="V344" s="44"/>
      <c r="W344" s="41" t="s">
        <v>230</v>
      </c>
      <c r="X344" s="41"/>
      <c r="Y344" s="41"/>
      <c r="Z344" s="41"/>
      <c r="AA344" s="44"/>
      <c r="AB344" s="41" t="s">
        <v>230</v>
      </c>
      <c r="AC344" s="41"/>
      <c r="AD344" s="41"/>
      <c r="AE344" s="41"/>
      <c r="AF344" s="41"/>
      <c r="AG344" s="41" t="s">
        <v>230</v>
      </c>
      <c r="AH344" s="41"/>
      <c r="AI344" s="41"/>
      <c r="AJ344" s="41"/>
      <c r="AK344" s="44"/>
      <c r="AL344" s="41" t="s">
        <v>230</v>
      </c>
      <c r="AM344" s="41"/>
      <c r="AN344" s="41"/>
      <c r="AO344" s="41"/>
      <c r="AP344" s="44"/>
      <c r="AQ344" s="41" t="s">
        <v>230</v>
      </c>
      <c r="AR344" s="41"/>
      <c r="AS344" s="41"/>
      <c r="AT344" s="41"/>
      <c r="AU344" s="44"/>
      <c r="AV344" s="41" t="s">
        <v>230</v>
      </c>
      <c r="AW344" s="44"/>
      <c r="AX344" s="47"/>
      <c r="AY344" s="49"/>
      <c r="AZ344" s="51"/>
      <c r="BA344" s="49" t="s">
        <v>230</v>
      </c>
      <c r="BB344" s="51"/>
      <c r="BC344" s="47"/>
      <c r="BD344" s="49"/>
      <c r="BE344" s="51"/>
      <c r="BF344" s="49" t="s">
        <v>230</v>
      </c>
      <c r="BG344" s="51"/>
      <c r="BH344" s="47"/>
      <c r="BI344" s="49"/>
      <c r="BJ344" s="51"/>
      <c r="BK344" s="49" t="s">
        <v>230</v>
      </c>
      <c r="BL344" s="51"/>
      <c r="BM344" s="47"/>
      <c r="BN344" s="53"/>
      <c r="BO344" s="54"/>
      <c r="BP344" s="53" t="s">
        <v>230</v>
      </c>
      <c r="BQ344" s="54"/>
      <c r="BR344" s="53"/>
      <c r="BS344" s="53"/>
      <c r="BT344" s="54"/>
      <c r="BU344" s="53" t="s">
        <v>230</v>
      </c>
      <c r="BV344" s="54"/>
      <c r="BW344" s="53"/>
      <c r="BX344" s="53"/>
      <c r="BY344" s="54"/>
      <c r="BZ344" s="53" t="s">
        <v>230</v>
      </c>
      <c r="CA344" s="54"/>
      <c r="CB344" s="53"/>
      <c r="CC344" s="53"/>
      <c r="CD344" s="54"/>
      <c r="CE344" s="53" t="s">
        <v>230</v>
      </c>
      <c r="CF344" s="53"/>
      <c r="CG344" s="53"/>
      <c r="CH344" s="53"/>
      <c r="CI344" s="54"/>
      <c r="CJ344" s="53" t="s">
        <v>230</v>
      </c>
      <c r="CK344" s="54"/>
      <c r="CL344" s="53"/>
      <c r="CM344" s="53"/>
      <c r="CN344" s="54"/>
      <c r="CO344" s="53" t="s">
        <v>230</v>
      </c>
      <c r="CP344" s="53"/>
      <c r="CQ344" s="53"/>
      <c r="CR344" s="57"/>
      <c r="CS344" s="1000"/>
      <c r="CT344" s="58" t="s">
        <v>230</v>
      </c>
      <c r="CU344" s="53"/>
      <c r="CV344" s="53"/>
      <c r="CW344" s="53"/>
      <c r="CX344" s="54"/>
      <c r="CY344" s="53"/>
      <c r="CZ344" s="54"/>
      <c r="DA344" s="53"/>
      <c r="DB344" s="53"/>
      <c r="DC344" s="54"/>
      <c r="DD344" s="53"/>
      <c r="DE344" s="54"/>
      <c r="DF344" s="53"/>
      <c r="DG344" s="53"/>
      <c r="DH344" s="54"/>
      <c r="DI344" s="53"/>
      <c r="DJ344" s="54"/>
      <c r="DK344" s="53"/>
      <c r="DL344" s="53"/>
      <c r="DM344" s="54"/>
      <c r="DN344" s="54"/>
      <c r="DO344" s="54"/>
      <c r="DP344" s="53"/>
      <c r="DQ344" s="53"/>
      <c r="DR344" s="54"/>
      <c r="DS344" s="54"/>
      <c r="DT344" s="54"/>
      <c r="DU344" s="53"/>
      <c r="DV344" s="53"/>
      <c r="DW344" s="54"/>
      <c r="DX344" s="54"/>
      <c r="DY344" s="987"/>
      <c r="DZ344" s="988"/>
      <c r="EA344" s="983"/>
      <c r="EB344" s="985"/>
      <c r="EC344" s="426"/>
      <c r="ED344" s="456"/>
      <c r="EE344" s="446"/>
      <c r="EF344" s="16"/>
    </row>
    <row r="345" ht="17.25" customHeight="1">
      <c r="A345" s="5"/>
      <c r="B345" s="5"/>
      <c r="C345" s="41"/>
      <c r="D345" s="41"/>
      <c r="E345" s="41"/>
      <c r="F345" s="41"/>
      <c r="G345" s="41"/>
      <c r="H345" s="41" t="s">
        <v>230</v>
      </c>
      <c r="I345" s="41"/>
      <c r="J345" s="41"/>
      <c r="K345" s="41"/>
      <c r="L345" s="44"/>
      <c r="M345" s="41" t="s">
        <v>230</v>
      </c>
      <c r="N345" s="41"/>
      <c r="O345" s="41"/>
      <c r="P345" s="41"/>
      <c r="Q345" s="44"/>
      <c r="R345" s="41" t="s">
        <v>230</v>
      </c>
      <c r="S345" s="41"/>
      <c r="T345" s="41"/>
      <c r="U345" s="41"/>
      <c r="V345" s="44"/>
      <c r="W345" s="41" t="s">
        <v>230</v>
      </c>
      <c r="X345" s="41"/>
      <c r="Y345" s="41"/>
      <c r="Z345" s="41"/>
      <c r="AA345" s="44"/>
      <c r="AB345" s="41" t="s">
        <v>230</v>
      </c>
      <c r="AC345" s="41"/>
      <c r="AD345" s="41"/>
      <c r="AE345" s="41"/>
      <c r="AF345" s="41"/>
      <c r="AG345" s="41" t="s">
        <v>230</v>
      </c>
      <c r="AH345" s="41"/>
      <c r="AI345" s="41"/>
      <c r="AJ345" s="41"/>
      <c r="AK345" s="44"/>
      <c r="AL345" s="41" t="s">
        <v>230</v>
      </c>
      <c r="AM345" s="41"/>
      <c r="AN345" s="41"/>
      <c r="AO345" s="41"/>
      <c r="AP345" s="44"/>
      <c r="AQ345" s="41" t="s">
        <v>230</v>
      </c>
      <c r="AR345" s="41"/>
      <c r="AS345" s="41"/>
      <c r="AT345" s="41"/>
      <c r="AU345" s="44"/>
      <c r="AV345" s="41" t="s">
        <v>230</v>
      </c>
      <c r="AW345" s="44"/>
      <c r="AX345" s="47"/>
      <c r="AY345" s="49"/>
      <c r="AZ345" s="51"/>
      <c r="BA345" s="49" t="s">
        <v>230</v>
      </c>
      <c r="BB345" s="51"/>
      <c r="BC345" s="47"/>
      <c r="BD345" s="49"/>
      <c r="BE345" s="51"/>
      <c r="BF345" s="49" t="s">
        <v>230</v>
      </c>
      <c r="BG345" s="51"/>
      <c r="BH345" s="47"/>
      <c r="BI345" s="49"/>
      <c r="BJ345" s="51"/>
      <c r="BK345" s="49" t="s">
        <v>230</v>
      </c>
      <c r="BL345" s="51"/>
      <c r="BM345" s="47"/>
      <c r="BN345" s="53"/>
      <c r="BO345" s="54"/>
      <c r="BP345" s="53" t="s">
        <v>230</v>
      </c>
      <c r="BQ345" s="54"/>
      <c r="BR345" s="53"/>
      <c r="BS345" s="53"/>
      <c r="BT345" s="54"/>
      <c r="BU345" s="53" t="s">
        <v>230</v>
      </c>
      <c r="BV345" s="54"/>
      <c r="BW345" s="53"/>
      <c r="BX345" s="53"/>
      <c r="BY345" s="54"/>
      <c r="BZ345" s="53" t="s">
        <v>230</v>
      </c>
      <c r="CA345" s="54"/>
      <c r="CB345" s="53"/>
      <c r="CC345" s="53"/>
      <c r="CD345" s="54"/>
      <c r="CE345" s="53" t="s">
        <v>230</v>
      </c>
      <c r="CF345" s="53"/>
      <c r="CG345" s="53"/>
      <c r="CH345" s="53"/>
      <c r="CI345" s="54"/>
      <c r="CJ345" s="53" t="s">
        <v>230</v>
      </c>
      <c r="CK345" s="54"/>
      <c r="CL345" s="53"/>
      <c r="CM345" s="53"/>
      <c r="CN345" s="54"/>
      <c r="CO345" s="53" t="s">
        <v>230</v>
      </c>
      <c r="CP345" s="53"/>
      <c r="CQ345" s="53"/>
      <c r="CR345" s="57"/>
      <c r="CS345" s="1000"/>
      <c r="CT345" s="58" t="s">
        <v>230</v>
      </c>
      <c r="CU345" s="53"/>
      <c r="CV345" s="53"/>
      <c r="CW345" s="53"/>
      <c r="CX345" s="54"/>
      <c r="CY345" s="53"/>
      <c r="CZ345" s="54"/>
      <c r="DA345" s="53"/>
      <c r="DB345" s="53"/>
      <c r="DC345" s="54"/>
      <c r="DD345" s="53"/>
      <c r="DE345" s="54"/>
      <c r="DF345" s="53"/>
      <c r="DG345" s="53"/>
      <c r="DH345" s="54"/>
      <c r="DI345" s="53"/>
      <c r="DJ345" s="54"/>
      <c r="DK345" s="53"/>
      <c r="DL345" s="53"/>
      <c r="DM345" s="54"/>
      <c r="DN345" s="54"/>
      <c r="DO345" s="54"/>
      <c r="DP345" s="53"/>
      <c r="DQ345" s="53"/>
      <c r="DR345" s="54"/>
      <c r="DS345" s="54"/>
      <c r="DT345" s="54"/>
      <c r="DU345" s="53"/>
      <c r="DV345" s="53"/>
      <c r="DW345" s="54"/>
      <c r="DX345" s="54"/>
      <c r="DY345" s="987"/>
      <c r="DZ345" s="988"/>
      <c r="EA345" s="983"/>
      <c r="EB345" s="985"/>
      <c r="EC345" s="426"/>
      <c r="ED345" s="456"/>
      <c r="EE345" s="446"/>
      <c r="EF345" s="16"/>
    </row>
    <row r="346" ht="17.25" customHeight="1">
      <c r="A346" s="5"/>
      <c r="B346" s="5"/>
      <c r="C346" s="41"/>
      <c r="D346" s="41"/>
      <c r="E346" s="41"/>
      <c r="F346" s="41"/>
      <c r="G346" s="41"/>
      <c r="H346" s="41" t="s">
        <v>230</v>
      </c>
      <c r="I346" s="41"/>
      <c r="J346" s="41"/>
      <c r="K346" s="41"/>
      <c r="L346" s="44"/>
      <c r="M346" s="41" t="s">
        <v>230</v>
      </c>
      <c r="N346" s="41"/>
      <c r="O346" s="41"/>
      <c r="P346" s="41"/>
      <c r="Q346" s="44"/>
      <c r="R346" s="41" t="s">
        <v>230</v>
      </c>
      <c r="S346" s="41"/>
      <c r="T346" s="41"/>
      <c r="U346" s="41"/>
      <c r="V346" s="44"/>
      <c r="W346" s="41" t="s">
        <v>230</v>
      </c>
      <c r="X346" s="41"/>
      <c r="Y346" s="41"/>
      <c r="Z346" s="41"/>
      <c r="AA346" s="44"/>
      <c r="AB346" s="41" t="s">
        <v>230</v>
      </c>
      <c r="AC346" s="41"/>
      <c r="AD346" s="41"/>
      <c r="AE346" s="41"/>
      <c r="AF346" s="41"/>
      <c r="AG346" s="41" t="s">
        <v>230</v>
      </c>
      <c r="AH346" s="41"/>
      <c r="AI346" s="41"/>
      <c r="AJ346" s="41"/>
      <c r="AK346" s="44"/>
      <c r="AL346" s="41" t="s">
        <v>230</v>
      </c>
      <c r="AM346" s="41"/>
      <c r="AN346" s="41"/>
      <c r="AO346" s="41"/>
      <c r="AP346" s="44"/>
      <c r="AQ346" s="41" t="s">
        <v>230</v>
      </c>
      <c r="AR346" s="41"/>
      <c r="AS346" s="41"/>
      <c r="AT346" s="41"/>
      <c r="AU346" s="44"/>
      <c r="AV346" s="41" t="s">
        <v>230</v>
      </c>
      <c r="AW346" s="44"/>
      <c r="AX346" s="47"/>
      <c r="AY346" s="49"/>
      <c r="AZ346" s="51"/>
      <c r="BA346" s="49" t="s">
        <v>230</v>
      </c>
      <c r="BB346" s="51"/>
      <c r="BC346" s="47"/>
      <c r="BD346" s="49"/>
      <c r="BE346" s="51"/>
      <c r="BF346" s="49" t="s">
        <v>230</v>
      </c>
      <c r="BG346" s="51"/>
      <c r="BH346" s="47"/>
      <c r="BI346" s="49"/>
      <c r="BJ346" s="51"/>
      <c r="BK346" s="49" t="s">
        <v>230</v>
      </c>
      <c r="BL346" s="51"/>
      <c r="BM346" s="47"/>
      <c r="BN346" s="53"/>
      <c r="BO346" s="54"/>
      <c r="BP346" s="53" t="s">
        <v>230</v>
      </c>
      <c r="BQ346" s="54"/>
      <c r="BR346" s="53"/>
      <c r="BS346" s="53"/>
      <c r="BT346" s="54"/>
      <c r="BU346" s="53" t="s">
        <v>230</v>
      </c>
      <c r="BV346" s="54"/>
      <c r="BW346" s="53"/>
      <c r="BX346" s="53"/>
      <c r="BY346" s="54"/>
      <c r="BZ346" s="53" t="s">
        <v>230</v>
      </c>
      <c r="CA346" s="54"/>
      <c r="CB346" s="53"/>
      <c r="CC346" s="53"/>
      <c r="CD346" s="54"/>
      <c r="CE346" s="53" t="s">
        <v>230</v>
      </c>
      <c r="CF346" s="53"/>
      <c r="CG346" s="53"/>
      <c r="CH346" s="53"/>
      <c r="CI346" s="54"/>
      <c r="CJ346" s="53" t="s">
        <v>230</v>
      </c>
      <c r="CK346" s="54"/>
      <c r="CL346" s="53"/>
      <c r="CM346" s="53"/>
      <c r="CN346" s="54"/>
      <c r="CO346" s="53" t="s">
        <v>230</v>
      </c>
      <c r="CP346" s="53"/>
      <c r="CQ346" s="53"/>
      <c r="CR346" s="57"/>
      <c r="CS346" s="1000"/>
      <c r="CT346" s="58" t="s">
        <v>230</v>
      </c>
      <c r="CU346" s="53"/>
      <c r="CV346" s="53"/>
      <c r="CW346" s="53"/>
      <c r="CX346" s="54"/>
      <c r="CY346" s="53"/>
      <c r="CZ346" s="54"/>
      <c r="DA346" s="53"/>
      <c r="DB346" s="53"/>
      <c r="DC346" s="54"/>
      <c r="DD346" s="53"/>
      <c r="DE346" s="54"/>
      <c r="DF346" s="53"/>
      <c r="DG346" s="53"/>
      <c r="DH346" s="54"/>
      <c r="DI346" s="53"/>
      <c r="DJ346" s="54"/>
      <c r="DK346" s="53"/>
      <c r="DL346" s="53"/>
      <c r="DM346" s="54"/>
      <c r="DN346" s="54"/>
      <c r="DO346" s="54"/>
      <c r="DP346" s="53"/>
      <c r="DQ346" s="53"/>
      <c r="DR346" s="54"/>
      <c r="DS346" s="54"/>
      <c r="DT346" s="54"/>
      <c r="DU346" s="53"/>
      <c r="DV346" s="53"/>
      <c r="DW346" s="54"/>
      <c r="DX346" s="54"/>
      <c r="DY346" s="987"/>
      <c r="DZ346" s="988"/>
      <c r="EA346" s="988"/>
      <c r="EB346" s="987"/>
      <c r="EC346" s="525"/>
      <c r="ED346" s="525"/>
      <c r="EE346" s="446"/>
      <c r="EF346" s="16"/>
    </row>
    <row r="347" ht="17.25" customHeight="1">
      <c r="A347" s="5"/>
      <c r="B347" s="5"/>
      <c r="C347" s="41"/>
      <c r="D347" s="41"/>
      <c r="E347" s="41"/>
      <c r="F347" s="41"/>
      <c r="G347" s="41"/>
      <c r="H347" s="41" t="s">
        <v>230</v>
      </c>
      <c r="I347" s="41"/>
      <c r="J347" s="41"/>
      <c r="K347" s="41"/>
      <c r="L347" s="44"/>
      <c r="M347" s="41" t="s">
        <v>230</v>
      </c>
      <c r="N347" s="41"/>
      <c r="O347" s="41"/>
      <c r="P347" s="41"/>
      <c r="Q347" s="44"/>
      <c r="R347" s="41" t="s">
        <v>230</v>
      </c>
      <c r="S347" s="41"/>
      <c r="T347" s="41"/>
      <c r="U347" s="41"/>
      <c r="V347" s="44"/>
      <c r="W347" s="41" t="s">
        <v>230</v>
      </c>
      <c r="X347" s="41"/>
      <c r="Y347" s="41"/>
      <c r="Z347" s="41"/>
      <c r="AA347" s="44"/>
      <c r="AB347" s="41" t="s">
        <v>230</v>
      </c>
      <c r="AC347" s="41"/>
      <c r="AD347" s="41"/>
      <c r="AE347" s="41"/>
      <c r="AF347" s="41"/>
      <c r="AG347" s="41" t="s">
        <v>230</v>
      </c>
      <c r="AH347" s="41"/>
      <c r="AI347" s="41"/>
      <c r="AJ347" s="41"/>
      <c r="AK347" s="44"/>
      <c r="AL347" s="41" t="s">
        <v>230</v>
      </c>
      <c r="AM347" s="41"/>
      <c r="AN347" s="41"/>
      <c r="AO347" s="41"/>
      <c r="AP347" s="44"/>
      <c r="AQ347" s="41" t="s">
        <v>230</v>
      </c>
      <c r="AR347" s="41"/>
      <c r="AS347" s="41"/>
      <c r="AT347" s="41"/>
      <c r="AU347" s="44"/>
      <c r="AV347" s="41" t="s">
        <v>230</v>
      </c>
      <c r="AW347" s="44"/>
      <c r="AX347" s="47"/>
      <c r="AY347" s="49"/>
      <c r="AZ347" s="51"/>
      <c r="BA347" s="49" t="s">
        <v>230</v>
      </c>
      <c r="BB347" s="51"/>
      <c r="BC347" s="47"/>
      <c r="BD347" s="49"/>
      <c r="BE347" s="51"/>
      <c r="BF347" s="49" t="s">
        <v>230</v>
      </c>
      <c r="BG347" s="51"/>
      <c r="BH347" s="47"/>
      <c r="BI347" s="49"/>
      <c r="BJ347" s="51"/>
      <c r="BK347" s="49" t="s">
        <v>230</v>
      </c>
      <c r="BL347" s="51"/>
      <c r="BM347" s="47"/>
      <c r="BN347" s="53"/>
      <c r="BO347" s="54"/>
      <c r="BP347" s="53" t="s">
        <v>230</v>
      </c>
      <c r="BQ347" s="54"/>
      <c r="BR347" s="53"/>
      <c r="BS347" s="53"/>
      <c r="BT347" s="54"/>
      <c r="BU347" s="53" t="s">
        <v>230</v>
      </c>
      <c r="BV347" s="54"/>
      <c r="BW347" s="53"/>
      <c r="BX347" s="53"/>
      <c r="BY347" s="54"/>
      <c r="BZ347" s="53" t="s">
        <v>230</v>
      </c>
      <c r="CA347" s="54"/>
      <c r="CB347" s="53"/>
      <c r="CC347" s="53"/>
      <c r="CD347" s="54"/>
      <c r="CE347" s="53" t="s">
        <v>230</v>
      </c>
      <c r="CF347" s="53"/>
      <c r="CG347" s="53"/>
      <c r="CH347" s="53"/>
      <c r="CI347" s="54"/>
      <c r="CJ347" s="53" t="s">
        <v>230</v>
      </c>
      <c r="CK347" s="54"/>
      <c r="CL347" s="53"/>
      <c r="CM347" s="53"/>
      <c r="CN347" s="54"/>
      <c r="CO347" s="53" t="s">
        <v>230</v>
      </c>
      <c r="CP347" s="53"/>
      <c r="CQ347" s="53"/>
      <c r="CR347" s="57"/>
      <c r="CS347" s="1000"/>
      <c r="CT347" s="58" t="s">
        <v>230</v>
      </c>
      <c r="CU347" s="53"/>
      <c r="CV347" s="53"/>
      <c r="CW347" s="53"/>
      <c r="CX347" s="54"/>
      <c r="CY347" s="53"/>
      <c r="CZ347" s="54"/>
      <c r="DA347" s="53"/>
      <c r="DB347" s="53"/>
      <c r="DC347" s="54"/>
      <c r="DD347" s="53"/>
      <c r="DE347" s="54"/>
      <c r="DF347" s="53"/>
      <c r="DG347" s="53"/>
      <c r="DH347" s="54"/>
      <c r="DI347" s="53"/>
      <c r="DJ347" s="54"/>
      <c r="DK347" s="53"/>
      <c r="DL347" s="53"/>
      <c r="DM347" s="54"/>
      <c r="DN347" s="54"/>
      <c r="DO347" s="54"/>
      <c r="DP347" s="53"/>
      <c r="DQ347" s="53"/>
      <c r="DR347" s="54"/>
      <c r="DS347" s="54"/>
      <c r="DT347" s="54"/>
      <c r="DU347" s="53"/>
      <c r="DV347" s="53"/>
      <c r="DW347" s="54"/>
      <c r="DX347" s="54"/>
      <c r="DY347" s="54"/>
      <c r="DZ347" s="988"/>
      <c r="EA347" s="988"/>
      <c r="EB347" s="987"/>
      <c r="EC347" s="525"/>
      <c r="ED347" s="525"/>
      <c r="EE347" s="446"/>
      <c r="EF347" s="16"/>
    </row>
    <row r="348" ht="17.25" customHeight="1">
      <c r="A348" s="5"/>
      <c r="B348" s="5"/>
      <c r="C348" s="41"/>
      <c r="D348" s="41"/>
      <c r="E348" s="41"/>
      <c r="F348" s="41"/>
      <c r="G348" s="41"/>
      <c r="H348" s="41" t="s">
        <v>230</v>
      </c>
      <c r="I348" s="41"/>
      <c r="J348" s="41"/>
      <c r="K348" s="41"/>
      <c r="L348" s="44"/>
      <c r="M348" s="41" t="s">
        <v>230</v>
      </c>
      <c r="N348" s="41"/>
      <c r="O348" s="41"/>
      <c r="P348" s="41"/>
      <c r="Q348" s="44"/>
      <c r="R348" s="41" t="s">
        <v>230</v>
      </c>
      <c r="S348" s="41"/>
      <c r="T348" s="41"/>
      <c r="U348" s="41"/>
      <c r="V348" s="44"/>
      <c r="W348" s="41" t="s">
        <v>230</v>
      </c>
      <c r="X348" s="41"/>
      <c r="Y348" s="41"/>
      <c r="Z348" s="41"/>
      <c r="AA348" s="44"/>
      <c r="AB348" s="41" t="s">
        <v>230</v>
      </c>
      <c r="AC348" s="41"/>
      <c r="AD348" s="41"/>
      <c r="AE348" s="41"/>
      <c r="AF348" s="41"/>
      <c r="AG348" s="41" t="s">
        <v>230</v>
      </c>
      <c r="AH348" s="41"/>
      <c r="AI348" s="41"/>
      <c r="AJ348" s="41"/>
      <c r="AK348" s="44"/>
      <c r="AL348" s="41" t="s">
        <v>230</v>
      </c>
      <c r="AM348" s="41"/>
      <c r="AN348" s="41"/>
      <c r="AO348" s="41"/>
      <c r="AP348" s="44"/>
      <c r="AQ348" s="41" t="s">
        <v>230</v>
      </c>
      <c r="AR348" s="41"/>
      <c r="AS348" s="41"/>
      <c r="AT348" s="41"/>
      <c r="AU348" s="44"/>
      <c r="AV348" s="41" t="s">
        <v>230</v>
      </c>
      <c r="AW348" s="44"/>
      <c r="AX348" s="47"/>
      <c r="AY348" s="49"/>
      <c r="AZ348" s="51"/>
      <c r="BA348" s="49" t="s">
        <v>230</v>
      </c>
      <c r="BB348" s="51"/>
      <c r="BC348" s="47"/>
      <c r="BD348" s="49"/>
      <c r="BE348" s="51"/>
      <c r="BF348" s="49" t="s">
        <v>230</v>
      </c>
      <c r="BG348" s="51"/>
      <c r="BH348" s="47"/>
      <c r="BI348" s="49"/>
      <c r="BJ348" s="51"/>
      <c r="BK348" s="49" t="s">
        <v>230</v>
      </c>
      <c r="BL348" s="51"/>
      <c r="BM348" s="47"/>
      <c r="BN348" s="53"/>
      <c r="BO348" s="54"/>
      <c r="BP348" s="53" t="s">
        <v>230</v>
      </c>
      <c r="BQ348" s="54"/>
      <c r="BR348" s="53"/>
      <c r="BS348" s="53"/>
      <c r="BT348" s="54"/>
      <c r="BU348" s="53" t="s">
        <v>230</v>
      </c>
      <c r="BV348" s="54"/>
      <c r="BW348" s="53"/>
      <c r="BX348" s="53"/>
      <c r="BY348" s="54"/>
      <c r="BZ348" s="53" t="s">
        <v>230</v>
      </c>
      <c r="CA348" s="54"/>
      <c r="CB348" s="53"/>
      <c r="CC348" s="53"/>
      <c r="CD348" s="54"/>
      <c r="CE348" s="53" t="s">
        <v>230</v>
      </c>
      <c r="CF348" s="53"/>
      <c r="CG348" s="53"/>
      <c r="CH348" s="53"/>
      <c r="CI348" s="54"/>
      <c r="CJ348" s="53" t="s">
        <v>230</v>
      </c>
      <c r="CK348" s="54"/>
      <c r="CL348" s="53"/>
      <c r="CM348" s="53"/>
      <c r="CN348" s="54"/>
      <c r="CO348" s="53" t="s">
        <v>230</v>
      </c>
      <c r="CP348" s="53"/>
      <c r="CQ348" s="53"/>
      <c r="CR348" s="57"/>
      <c r="CS348" s="1000"/>
      <c r="CT348" s="58" t="s">
        <v>230</v>
      </c>
      <c r="CU348" s="53"/>
      <c r="CV348" s="53"/>
      <c r="CW348" s="53"/>
      <c r="CX348" s="54"/>
      <c r="CY348" s="53"/>
      <c r="CZ348" s="54"/>
      <c r="DA348" s="53"/>
      <c r="DB348" s="53"/>
      <c r="DC348" s="54"/>
      <c r="DD348" s="53"/>
      <c r="DE348" s="54"/>
      <c r="DF348" s="53"/>
      <c r="DG348" s="53"/>
      <c r="DH348" s="54"/>
      <c r="DI348" s="53"/>
      <c r="DJ348" s="54"/>
      <c r="DK348" s="53"/>
      <c r="DL348" s="53"/>
      <c r="DM348" s="54"/>
      <c r="DN348" s="54"/>
      <c r="DO348" s="54"/>
      <c r="DP348" s="53"/>
      <c r="DQ348" s="53"/>
      <c r="DR348" s="54"/>
      <c r="DS348" s="54"/>
      <c r="DT348" s="54"/>
      <c r="DU348" s="53"/>
      <c r="DV348" s="53"/>
      <c r="DW348" s="54"/>
      <c r="DX348" s="54"/>
      <c r="DY348" s="54"/>
      <c r="DZ348" s="54"/>
      <c r="EA348" s="54"/>
      <c r="EB348" s="54"/>
      <c r="EC348" s="987"/>
      <c r="ED348" s="987"/>
      <c r="EE348" s="446"/>
      <c r="EF348" s="16"/>
    </row>
    <row r="349" ht="17.25" customHeight="1">
      <c r="A349" s="5"/>
      <c r="B349" s="5"/>
      <c r="C349" s="41"/>
      <c r="D349" s="41"/>
      <c r="E349" s="41"/>
      <c r="F349" s="41"/>
      <c r="G349" s="41"/>
      <c r="H349" s="41" t="s">
        <v>230</v>
      </c>
      <c r="I349" s="41"/>
      <c r="J349" s="41"/>
      <c r="K349" s="41"/>
      <c r="L349" s="44"/>
      <c r="M349" s="41" t="s">
        <v>230</v>
      </c>
      <c r="N349" s="41"/>
      <c r="O349" s="41"/>
      <c r="P349" s="41"/>
      <c r="Q349" s="44"/>
      <c r="R349" s="41" t="s">
        <v>230</v>
      </c>
      <c r="S349" s="41"/>
      <c r="T349" s="41"/>
      <c r="U349" s="41"/>
      <c r="V349" s="44"/>
      <c r="W349" s="41" t="s">
        <v>230</v>
      </c>
      <c r="X349" s="41"/>
      <c r="Y349" s="41"/>
      <c r="Z349" s="41"/>
      <c r="AA349" s="44"/>
      <c r="AB349" s="41" t="s">
        <v>230</v>
      </c>
      <c r="AC349" s="41"/>
      <c r="AD349" s="41"/>
      <c r="AE349" s="41"/>
      <c r="AF349" s="41"/>
      <c r="AG349" s="41" t="s">
        <v>230</v>
      </c>
      <c r="AH349" s="41"/>
      <c r="AI349" s="41"/>
      <c r="AJ349" s="41"/>
      <c r="AK349" s="44"/>
      <c r="AL349" s="41" t="s">
        <v>230</v>
      </c>
      <c r="AM349" s="41"/>
      <c r="AN349" s="41"/>
      <c r="AO349" s="41"/>
      <c r="AP349" s="44"/>
      <c r="AQ349" s="41" t="s">
        <v>230</v>
      </c>
      <c r="AR349" s="41"/>
      <c r="AS349" s="41"/>
      <c r="AT349" s="41"/>
      <c r="AU349" s="44"/>
      <c r="AV349" s="41" t="s">
        <v>230</v>
      </c>
      <c r="AW349" s="44"/>
      <c r="AX349" s="47"/>
      <c r="AY349" s="49"/>
      <c r="AZ349" s="51"/>
      <c r="BA349" s="49" t="s">
        <v>230</v>
      </c>
      <c r="BB349" s="51"/>
      <c r="BC349" s="47"/>
      <c r="BD349" s="49"/>
      <c r="BE349" s="51"/>
      <c r="BF349" s="49" t="s">
        <v>230</v>
      </c>
      <c r="BG349" s="51"/>
      <c r="BH349" s="47"/>
      <c r="BI349" s="49"/>
      <c r="BJ349" s="51"/>
      <c r="BK349" s="49" t="s">
        <v>230</v>
      </c>
      <c r="BL349" s="51"/>
      <c r="BM349" s="47"/>
      <c r="BN349" s="53"/>
      <c r="BO349" s="54"/>
      <c r="BP349" s="53" t="s">
        <v>230</v>
      </c>
      <c r="BQ349" s="54"/>
      <c r="BR349" s="53"/>
      <c r="BS349" s="53"/>
      <c r="BT349" s="54"/>
      <c r="BU349" s="53" t="s">
        <v>230</v>
      </c>
      <c r="BV349" s="54"/>
      <c r="BW349" s="53"/>
      <c r="BX349" s="53"/>
      <c r="BY349" s="54"/>
      <c r="BZ349" s="53" t="s">
        <v>230</v>
      </c>
      <c r="CA349" s="54"/>
      <c r="CB349" s="53"/>
      <c r="CC349" s="53"/>
      <c r="CD349" s="54"/>
      <c r="CE349" s="53" t="s">
        <v>230</v>
      </c>
      <c r="CF349" s="53"/>
      <c r="CG349" s="53"/>
      <c r="CH349" s="53"/>
      <c r="CI349" s="54"/>
      <c r="CJ349" s="53" t="s">
        <v>230</v>
      </c>
      <c r="CK349" s="54"/>
      <c r="CL349" s="53"/>
      <c r="CM349" s="53"/>
      <c r="CN349" s="54"/>
      <c r="CO349" s="53" t="s">
        <v>230</v>
      </c>
      <c r="CP349" s="53"/>
      <c r="CQ349" s="53"/>
      <c r="CR349" s="57"/>
      <c r="CS349" s="1000"/>
      <c r="CT349" s="58" t="s">
        <v>230</v>
      </c>
      <c r="CU349" s="53"/>
      <c r="CV349" s="53"/>
      <c r="CW349" s="53"/>
      <c r="CX349" s="54"/>
      <c r="CY349" s="53"/>
      <c r="CZ349" s="54"/>
      <c r="DA349" s="53"/>
      <c r="DB349" s="53"/>
      <c r="DC349" s="54"/>
      <c r="DD349" s="53"/>
      <c r="DE349" s="54"/>
      <c r="DF349" s="53"/>
      <c r="DG349" s="53"/>
      <c r="DH349" s="54"/>
      <c r="DI349" s="53"/>
      <c r="DJ349" s="54"/>
      <c r="DK349" s="53"/>
      <c r="DL349" s="53"/>
      <c r="DM349" s="54"/>
      <c r="DN349" s="54"/>
      <c r="DO349" s="54"/>
      <c r="DP349" s="53"/>
      <c r="DQ349" s="53"/>
      <c r="DR349" s="54"/>
      <c r="DS349" s="54"/>
      <c r="DT349" s="54"/>
      <c r="DU349" s="53"/>
      <c r="DV349" s="53"/>
      <c r="DW349" s="54"/>
      <c r="DX349" s="54"/>
      <c r="DY349" s="54"/>
      <c r="DZ349" s="54"/>
      <c r="EA349" s="54"/>
      <c r="EB349" s="54"/>
      <c r="EC349" s="987"/>
      <c r="ED349" s="987"/>
      <c r="EE349" s="446"/>
      <c r="EF349" s="16"/>
    </row>
    <row r="350" ht="17.25" customHeight="1">
      <c r="A350" s="5"/>
      <c r="B350" s="5"/>
      <c r="C350" s="41"/>
      <c r="D350" s="41"/>
      <c r="E350" s="41"/>
      <c r="F350" s="41"/>
      <c r="G350" s="41"/>
      <c r="H350" s="41" t="s">
        <v>230</v>
      </c>
      <c r="I350" s="41"/>
      <c r="J350" s="41"/>
      <c r="K350" s="41"/>
      <c r="L350" s="44"/>
      <c r="M350" s="41" t="s">
        <v>230</v>
      </c>
      <c r="N350" s="41"/>
      <c r="O350" s="41"/>
      <c r="P350" s="41"/>
      <c r="Q350" s="44"/>
      <c r="R350" s="41" t="s">
        <v>230</v>
      </c>
      <c r="S350" s="41"/>
      <c r="T350" s="41"/>
      <c r="U350" s="41"/>
      <c r="V350" s="44"/>
      <c r="W350" s="41" t="s">
        <v>230</v>
      </c>
      <c r="X350" s="41"/>
      <c r="Y350" s="41"/>
      <c r="Z350" s="41"/>
      <c r="AA350" s="44"/>
      <c r="AB350" s="41" t="s">
        <v>230</v>
      </c>
      <c r="AC350" s="41"/>
      <c r="AD350" s="41"/>
      <c r="AE350" s="41"/>
      <c r="AF350" s="41"/>
      <c r="AG350" s="41" t="s">
        <v>230</v>
      </c>
      <c r="AH350" s="41"/>
      <c r="AI350" s="41"/>
      <c r="AJ350" s="41"/>
      <c r="AK350" s="44"/>
      <c r="AL350" s="41" t="s">
        <v>230</v>
      </c>
      <c r="AM350" s="41"/>
      <c r="AN350" s="41"/>
      <c r="AO350" s="41"/>
      <c r="AP350" s="44"/>
      <c r="AQ350" s="41" t="s">
        <v>230</v>
      </c>
      <c r="AR350" s="41"/>
      <c r="AS350" s="41"/>
      <c r="AT350" s="41"/>
      <c r="AU350" s="44"/>
      <c r="AV350" s="41" t="s">
        <v>230</v>
      </c>
      <c r="AW350" s="44"/>
      <c r="AX350" s="47"/>
      <c r="AY350" s="49"/>
      <c r="AZ350" s="51"/>
      <c r="BA350" s="49" t="s">
        <v>230</v>
      </c>
      <c r="BB350" s="51"/>
      <c r="BC350" s="47"/>
      <c r="BD350" s="49"/>
      <c r="BE350" s="51"/>
      <c r="BF350" s="49" t="s">
        <v>230</v>
      </c>
      <c r="BG350" s="51"/>
      <c r="BH350" s="47"/>
      <c r="BI350" s="49"/>
      <c r="BJ350" s="51"/>
      <c r="BK350" s="49" t="s">
        <v>230</v>
      </c>
      <c r="BL350" s="51"/>
      <c r="BM350" s="47"/>
      <c r="BN350" s="53"/>
      <c r="BO350" s="54"/>
      <c r="BP350" s="53" t="s">
        <v>230</v>
      </c>
      <c r="BQ350" s="54"/>
      <c r="BR350" s="53"/>
      <c r="BS350" s="53"/>
      <c r="BT350" s="54"/>
      <c r="BU350" s="53" t="s">
        <v>230</v>
      </c>
      <c r="BV350" s="54"/>
      <c r="BW350" s="53"/>
      <c r="BX350" s="53"/>
      <c r="BY350" s="54"/>
      <c r="BZ350" s="53" t="s">
        <v>230</v>
      </c>
      <c r="CA350" s="54"/>
      <c r="CB350" s="53"/>
      <c r="CC350" s="53"/>
      <c r="CD350" s="54"/>
      <c r="CE350" s="53" t="s">
        <v>230</v>
      </c>
      <c r="CF350" s="53"/>
      <c r="CG350" s="53"/>
      <c r="CH350" s="53"/>
      <c r="CI350" s="54"/>
      <c r="CJ350" s="53" t="s">
        <v>230</v>
      </c>
      <c r="CK350" s="54"/>
      <c r="CL350" s="53"/>
      <c r="CM350" s="53"/>
      <c r="CN350" s="54"/>
      <c r="CO350" s="53" t="s">
        <v>230</v>
      </c>
      <c r="CP350" s="53"/>
      <c r="CQ350" s="53"/>
      <c r="CR350" s="57"/>
      <c r="CS350" s="1000"/>
      <c r="CT350" s="58" t="s">
        <v>230</v>
      </c>
      <c r="CU350" s="53"/>
      <c r="CV350" s="53"/>
      <c r="CW350" s="53"/>
      <c r="CX350" s="54"/>
      <c r="CY350" s="53"/>
      <c r="CZ350" s="54"/>
      <c r="DA350" s="53"/>
      <c r="DB350" s="53"/>
      <c r="DC350" s="54"/>
      <c r="DD350" s="53"/>
      <c r="DE350" s="54"/>
      <c r="DF350" s="53"/>
      <c r="DG350" s="53"/>
      <c r="DH350" s="54"/>
      <c r="DI350" s="53"/>
      <c r="DJ350" s="54"/>
      <c r="DK350" s="53"/>
      <c r="DL350" s="53"/>
      <c r="DM350" s="54"/>
      <c r="DN350" s="54"/>
      <c r="DO350" s="54"/>
      <c r="DP350" s="53"/>
      <c r="DQ350" s="53"/>
      <c r="DR350" s="54"/>
      <c r="DS350" s="54"/>
      <c r="DT350" s="54"/>
      <c r="DU350" s="53"/>
      <c r="DV350" s="53"/>
      <c r="DW350" s="54"/>
      <c r="DX350" s="54"/>
      <c r="DY350" s="54"/>
      <c r="DZ350" s="54"/>
      <c r="EA350" s="54"/>
      <c r="EB350" s="54"/>
      <c r="EC350" s="987"/>
      <c r="ED350" s="987"/>
      <c r="EE350" s="446"/>
      <c r="EF350" s="16"/>
    </row>
    <row r="351" ht="17.25" customHeight="1">
      <c r="A351" s="5"/>
      <c r="B351" s="5"/>
      <c r="C351" s="41"/>
      <c r="D351" s="41"/>
      <c r="E351" s="41"/>
      <c r="F351" s="41"/>
      <c r="G351" s="41"/>
      <c r="H351" s="41" t="s">
        <v>230</v>
      </c>
      <c r="I351" s="41"/>
      <c r="J351" s="41"/>
      <c r="K351" s="41"/>
      <c r="L351" s="44"/>
      <c r="M351" s="41" t="s">
        <v>230</v>
      </c>
      <c r="N351" s="41"/>
      <c r="O351" s="41"/>
      <c r="P351" s="41"/>
      <c r="Q351" s="44"/>
      <c r="R351" s="41" t="s">
        <v>230</v>
      </c>
      <c r="S351" s="41"/>
      <c r="T351" s="41"/>
      <c r="U351" s="41"/>
      <c r="V351" s="44"/>
      <c r="W351" s="41" t="s">
        <v>230</v>
      </c>
      <c r="X351" s="41"/>
      <c r="Y351" s="41"/>
      <c r="Z351" s="41"/>
      <c r="AA351" s="44"/>
      <c r="AB351" s="41" t="s">
        <v>230</v>
      </c>
      <c r="AC351" s="41"/>
      <c r="AD351" s="41"/>
      <c r="AE351" s="41"/>
      <c r="AF351" s="41"/>
      <c r="AG351" s="41" t="s">
        <v>230</v>
      </c>
      <c r="AH351" s="41"/>
      <c r="AI351" s="41"/>
      <c r="AJ351" s="41"/>
      <c r="AK351" s="44"/>
      <c r="AL351" s="41" t="s">
        <v>230</v>
      </c>
      <c r="AM351" s="41"/>
      <c r="AN351" s="41"/>
      <c r="AO351" s="41"/>
      <c r="AP351" s="44"/>
      <c r="AQ351" s="41" t="s">
        <v>230</v>
      </c>
      <c r="AR351" s="41"/>
      <c r="AS351" s="41"/>
      <c r="AT351" s="41"/>
      <c r="AU351" s="44"/>
      <c r="AV351" s="41" t="s">
        <v>230</v>
      </c>
      <c r="AW351" s="44"/>
      <c r="AX351" s="47"/>
      <c r="AY351" s="49"/>
      <c r="AZ351" s="51"/>
      <c r="BA351" s="49" t="s">
        <v>230</v>
      </c>
      <c r="BB351" s="51"/>
      <c r="BC351" s="47"/>
      <c r="BD351" s="49"/>
      <c r="BE351" s="51"/>
      <c r="BF351" s="49" t="s">
        <v>230</v>
      </c>
      <c r="BG351" s="51"/>
      <c r="BH351" s="47"/>
      <c r="BI351" s="49"/>
      <c r="BJ351" s="51"/>
      <c r="BK351" s="49" t="s">
        <v>230</v>
      </c>
      <c r="BL351" s="51"/>
      <c r="BM351" s="47"/>
      <c r="BN351" s="53"/>
      <c r="BO351" s="54"/>
      <c r="BP351" s="53" t="s">
        <v>230</v>
      </c>
      <c r="BQ351" s="54"/>
      <c r="BR351" s="53"/>
      <c r="BS351" s="53"/>
      <c r="BT351" s="54"/>
      <c r="BU351" s="53" t="s">
        <v>230</v>
      </c>
      <c r="BV351" s="54"/>
      <c r="BW351" s="53"/>
      <c r="BX351" s="53"/>
      <c r="BY351" s="54"/>
      <c r="BZ351" s="53" t="s">
        <v>230</v>
      </c>
      <c r="CA351" s="54"/>
      <c r="CB351" s="53"/>
      <c r="CC351" s="53"/>
      <c r="CD351" s="54"/>
      <c r="CE351" s="53" t="s">
        <v>230</v>
      </c>
      <c r="CF351" s="53"/>
      <c r="CG351" s="53"/>
      <c r="CH351" s="53"/>
      <c r="CI351" s="54"/>
      <c r="CJ351" s="53" t="s">
        <v>230</v>
      </c>
      <c r="CK351" s="54"/>
      <c r="CL351" s="53"/>
      <c r="CM351" s="53"/>
      <c r="CN351" s="54"/>
      <c r="CO351" s="53" t="s">
        <v>230</v>
      </c>
      <c r="CP351" s="53"/>
      <c r="CQ351" s="53"/>
      <c r="CR351" s="57"/>
      <c r="CS351" s="1000"/>
      <c r="CT351" s="58" t="s">
        <v>230</v>
      </c>
      <c r="CU351" s="53"/>
      <c r="CV351" s="53"/>
      <c r="CW351" s="53"/>
      <c r="CX351" s="54"/>
      <c r="CY351" s="53"/>
      <c r="CZ351" s="54"/>
      <c r="DA351" s="53"/>
      <c r="DB351" s="53"/>
      <c r="DC351" s="54"/>
      <c r="DD351" s="53"/>
      <c r="DE351" s="54"/>
      <c r="DF351" s="53"/>
      <c r="DG351" s="53"/>
      <c r="DH351" s="54"/>
      <c r="DI351" s="53"/>
      <c r="DJ351" s="54"/>
      <c r="DK351" s="53"/>
      <c r="DL351" s="53"/>
      <c r="DM351" s="54"/>
      <c r="DN351" s="54"/>
      <c r="DO351" s="54"/>
      <c r="DP351" s="53"/>
      <c r="DQ351" s="53"/>
      <c r="DR351" s="54"/>
      <c r="DS351" s="54"/>
      <c r="DT351" s="54"/>
      <c r="DU351" s="53"/>
      <c r="DV351" s="53"/>
      <c r="DW351" s="54"/>
      <c r="DX351" s="54"/>
      <c r="DY351" s="54"/>
      <c r="DZ351" s="53"/>
      <c r="EA351" s="154"/>
      <c r="EB351" s="1022"/>
      <c r="EC351" s="525"/>
      <c r="ED351" s="525"/>
      <c r="EE351" s="446"/>
      <c r="EF351" s="16"/>
    </row>
    <row r="352" ht="17.25" customHeight="1">
      <c r="A352" s="5"/>
      <c r="B352" s="5"/>
      <c r="C352" s="41"/>
      <c r="D352" s="41"/>
      <c r="E352" s="41"/>
      <c r="F352" s="41"/>
      <c r="G352" s="41"/>
      <c r="H352" s="41" t="s">
        <v>230</v>
      </c>
      <c r="I352" s="41"/>
      <c r="J352" s="41"/>
      <c r="K352" s="41"/>
      <c r="L352" s="44"/>
      <c r="M352" s="41" t="s">
        <v>230</v>
      </c>
      <c r="N352" s="41"/>
      <c r="O352" s="41"/>
      <c r="P352" s="41"/>
      <c r="Q352" s="44"/>
      <c r="R352" s="41" t="s">
        <v>230</v>
      </c>
      <c r="S352" s="41"/>
      <c r="T352" s="41"/>
      <c r="U352" s="41"/>
      <c r="V352" s="44"/>
      <c r="W352" s="41" t="s">
        <v>230</v>
      </c>
      <c r="X352" s="41"/>
      <c r="Y352" s="41"/>
      <c r="Z352" s="41"/>
      <c r="AA352" s="44"/>
      <c r="AB352" s="41" t="s">
        <v>230</v>
      </c>
      <c r="AC352" s="41"/>
      <c r="AD352" s="41"/>
      <c r="AE352" s="41"/>
      <c r="AF352" s="41"/>
      <c r="AG352" s="41" t="s">
        <v>230</v>
      </c>
      <c r="AH352" s="41"/>
      <c r="AI352" s="41"/>
      <c r="AJ352" s="41"/>
      <c r="AK352" s="44"/>
      <c r="AL352" s="41" t="s">
        <v>230</v>
      </c>
      <c r="AM352" s="41"/>
      <c r="AN352" s="41"/>
      <c r="AO352" s="41"/>
      <c r="AP352" s="44"/>
      <c r="AQ352" s="41" t="s">
        <v>230</v>
      </c>
      <c r="AR352" s="41"/>
      <c r="AS352" s="41"/>
      <c r="AT352" s="41"/>
      <c r="AU352" s="44"/>
      <c r="AV352" s="41" t="s">
        <v>230</v>
      </c>
      <c r="AW352" s="44"/>
      <c r="AX352" s="47"/>
      <c r="AY352" s="49"/>
      <c r="AZ352" s="51"/>
      <c r="BA352" s="49" t="s">
        <v>230</v>
      </c>
      <c r="BB352" s="51"/>
      <c r="BC352" s="47"/>
      <c r="BD352" s="49"/>
      <c r="BE352" s="51"/>
      <c r="BF352" s="49" t="s">
        <v>230</v>
      </c>
      <c r="BG352" s="51"/>
      <c r="BH352" s="47"/>
      <c r="BI352" s="49"/>
      <c r="BJ352" s="51"/>
      <c r="BK352" s="49" t="s">
        <v>230</v>
      </c>
      <c r="BL352" s="51"/>
      <c r="BM352" s="47"/>
      <c r="BN352" s="53"/>
      <c r="BO352" s="54"/>
      <c r="BP352" s="53" t="s">
        <v>230</v>
      </c>
      <c r="BQ352" s="54"/>
      <c r="BR352" s="53"/>
      <c r="BS352" s="53"/>
      <c r="BT352" s="54"/>
      <c r="BU352" s="53" t="s">
        <v>230</v>
      </c>
      <c r="BV352" s="54"/>
      <c r="BW352" s="53"/>
      <c r="BX352" s="53"/>
      <c r="BY352" s="54"/>
      <c r="BZ352" s="53" t="s">
        <v>230</v>
      </c>
      <c r="CA352" s="54"/>
      <c r="CB352" s="53"/>
      <c r="CC352" s="53"/>
      <c r="CD352" s="54"/>
      <c r="CE352" s="53" t="s">
        <v>230</v>
      </c>
      <c r="CF352" s="53"/>
      <c r="CG352" s="53"/>
      <c r="CH352" s="53"/>
      <c r="CI352" s="54"/>
      <c r="CJ352" s="53" t="s">
        <v>230</v>
      </c>
      <c r="CK352" s="54"/>
      <c r="CL352" s="53"/>
      <c r="CM352" s="53"/>
      <c r="CN352" s="54"/>
      <c r="CO352" s="53" t="s">
        <v>230</v>
      </c>
      <c r="CP352" s="53"/>
      <c r="CQ352" s="53"/>
      <c r="CR352" s="57"/>
      <c r="CS352" s="1000"/>
      <c r="CT352" s="58" t="s">
        <v>230</v>
      </c>
      <c r="CU352" s="53"/>
      <c r="CV352" s="53"/>
      <c r="CW352" s="53"/>
      <c r="CX352" s="54"/>
      <c r="CY352" s="53"/>
      <c r="CZ352" s="54"/>
      <c r="DA352" s="53"/>
      <c r="DB352" s="53"/>
      <c r="DC352" s="54"/>
      <c r="DD352" s="53"/>
      <c r="DE352" s="54"/>
      <c r="DF352" s="53"/>
      <c r="DG352" s="53"/>
      <c r="DH352" s="54"/>
      <c r="DI352" s="53"/>
      <c r="DJ352" s="54"/>
      <c r="DK352" s="53"/>
      <c r="DL352" s="53"/>
      <c r="DM352" s="54"/>
      <c r="DN352" s="54"/>
      <c r="DO352" s="54"/>
      <c r="DP352" s="53"/>
      <c r="DQ352" s="53"/>
      <c r="DR352" s="54"/>
      <c r="DS352" s="54"/>
      <c r="DT352" s="54"/>
      <c r="DU352" s="53"/>
      <c r="DV352" s="53"/>
      <c r="DW352" s="54"/>
      <c r="DX352" s="54"/>
      <c r="DY352" s="54"/>
      <c r="DZ352" s="53"/>
      <c r="EA352" s="154"/>
      <c r="EB352" s="1022"/>
      <c r="EC352" s="525"/>
      <c r="ED352" s="525"/>
      <c r="EE352" s="446"/>
      <c r="EF352" s="16"/>
    </row>
    <row r="353" ht="7.5" customHeight="1">
      <c r="A353" s="5"/>
      <c r="B353" s="5"/>
      <c r="C353" s="5"/>
      <c r="D353" s="5"/>
      <c r="E353" s="5"/>
      <c r="F353" s="5"/>
      <c r="G353" s="5"/>
      <c r="H353" s="5" t="s">
        <v>230</v>
      </c>
      <c r="I353" s="5"/>
      <c r="J353" s="5"/>
      <c r="K353" s="5"/>
      <c r="L353" s="9"/>
      <c r="M353" s="5" t="s">
        <v>230</v>
      </c>
      <c r="N353" s="5"/>
      <c r="O353" s="5"/>
      <c r="P353" s="5"/>
      <c r="Q353" s="9"/>
      <c r="R353" s="5" t="s">
        <v>230</v>
      </c>
      <c r="S353" s="5"/>
      <c r="T353" s="5"/>
      <c r="U353" s="5"/>
      <c r="V353" s="9"/>
      <c r="W353" s="5" t="s">
        <v>230</v>
      </c>
      <c r="X353" s="5"/>
      <c r="Y353" s="5"/>
      <c r="Z353" s="5"/>
      <c r="AA353" s="9"/>
      <c r="AB353" s="5" t="s">
        <v>230</v>
      </c>
      <c r="AC353" s="5"/>
      <c r="AD353" s="5"/>
      <c r="AE353" s="5"/>
      <c r="AF353" s="5"/>
      <c r="AG353" s="5" t="s">
        <v>230</v>
      </c>
      <c r="AH353" s="5"/>
      <c r="AI353" s="5"/>
      <c r="AJ353" s="5"/>
      <c r="AK353" s="9"/>
      <c r="AL353" s="5" t="s">
        <v>230</v>
      </c>
      <c r="AM353" s="5"/>
      <c r="AN353" s="5"/>
      <c r="AO353" s="5"/>
      <c r="AP353" s="9"/>
      <c r="AQ353" s="5" t="s">
        <v>230</v>
      </c>
      <c r="AR353" s="5"/>
      <c r="AS353" s="5"/>
      <c r="AT353" s="5"/>
      <c r="AU353" s="9"/>
      <c r="AV353" s="5" t="s">
        <v>230</v>
      </c>
      <c r="AW353" s="9"/>
      <c r="AX353" s="16"/>
      <c r="AY353" s="17"/>
      <c r="AZ353" s="19"/>
      <c r="BA353" s="17" t="s">
        <v>230</v>
      </c>
      <c r="BB353" s="19"/>
      <c r="BC353" s="16"/>
      <c r="BD353" s="17"/>
      <c r="BE353" s="19"/>
      <c r="BF353" s="17" t="s">
        <v>230</v>
      </c>
      <c r="BG353" s="19"/>
      <c r="BH353" s="16"/>
      <c r="BI353" s="17"/>
      <c r="BJ353" s="19"/>
      <c r="BK353" s="17" t="s">
        <v>230</v>
      </c>
      <c r="BL353" s="19"/>
      <c r="BM353" s="16"/>
      <c r="BN353" s="24"/>
      <c r="BO353" s="26"/>
      <c r="BP353" s="24" t="s">
        <v>230</v>
      </c>
      <c r="BQ353" s="26"/>
      <c r="BR353" s="24"/>
      <c r="BS353" s="24"/>
      <c r="BT353" s="26"/>
      <c r="BU353" s="24" t="s">
        <v>230</v>
      </c>
      <c r="BV353" s="26"/>
      <c r="BW353" s="24"/>
      <c r="BX353" s="24"/>
      <c r="BY353" s="26"/>
      <c r="BZ353" s="24" t="s">
        <v>230</v>
      </c>
      <c r="CA353" s="26"/>
      <c r="CB353" s="24"/>
      <c r="CC353" s="24"/>
      <c r="CD353" s="26"/>
      <c r="CE353" s="24" t="s">
        <v>230</v>
      </c>
      <c r="CF353" s="24"/>
      <c r="CG353" s="24"/>
      <c r="CH353" s="24"/>
      <c r="CI353" s="26"/>
      <c r="CJ353" s="24" t="s">
        <v>230</v>
      </c>
      <c r="CK353" s="26"/>
      <c r="CL353" s="24"/>
      <c r="CM353" s="24"/>
      <c r="CN353" s="26"/>
      <c r="CO353" s="24" t="s">
        <v>230</v>
      </c>
      <c r="CP353" s="24"/>
      <c r="CQ353" s="24"/>
      <c r="CR353" s="33"/>
      <c r="CS353" s="35"/>
      <c r="CT353" s="35" t="s">
        <v>230</v>
      </c>
      <c r="CU353" s="24"/>
      <c r="CV353" s="24"/>
      <c r="CW353" s="24"/>
      <c r="CX353" s="26"/>
      <c r="CY353" s="24"/>
      <c r="CZ353" s="26"/>
      <c r="DA353" s="24"/>
      <c r="DB353" s="24"/>
      <c r="DC353" s="26"/>
      <c r="DD353" s="24"/>
      <c r="DE353" s="26"/>
      <c r="DF353" s="24"/>
      <c r="DG353" s="24"/>
      <c r="DH353" s="26"/>
      <c r="DI353" s="24"/>
      <c r="DJ353" s="26"/>
      <c r="DK353" s="24"/>
      <c r="DL353" s="24"/>
      <c r="DM353" s="26"/>
      <c r="DN353" s="26"/>
      <c r="DO353" s="26"/>
      <c r="DP353" s="24"/>
      <c r="DQ353" s="24"/>
      <c r="DR353" s="26"/>
      <c r="DS353" s="26"/>
      <c r="DT353" s="26"/>
      <c r="DU353" s="24"/>
      <c r="DV353" s="24"/>
      <c r="DW353" s="26"/>
      <c r="DX353" s="26"/>
      <c r="DY353" s="26"/>
      <c r="DZ353" s="24"/>
      <c r="EA353" s="24"/>
      <c r="EB353" s="26"/>
      <c r="EC353" s="499"/>
      <c r="ED353" s="499"/>
      <c r="EE353" s="16"/>
      <c r="EF353" s="16"/>
    </row>
  </sheetData>
  <mergeCells count="27">
    <mergeCell ref="C3:D3"/>
    <mergeCell ref="F3:G3"/>
    <mergeCell ref="K3:L3"/>
    <mergeCell ref="P3:Q3"/>
    <mergeCell ref="U3:V3"/>
    <mergeCell ref="Z3:AA3"/>
    <mergeCell ref="AE3:AF3"/>
    <mergeCell ref="AJ3:AK3"/>
    <mergeCell ref="AO3:AP3"/>
    <mergeCell ref="AT3:AU3"/>
    <mergeCell ref="AY3:AZ3"/>
    <mergeCell ref="BD3:BE3"/>
    <mergeCell ref="BI3:BJ3"/>
    <mergeCell ref="BN3:BO3"/>
    <mergeCell ref="DB3:DC3"/>
    <mergeCell ref="DG3:DH3"/>
    <mergeCell ref="DL3:DM3"/>
    <mergeCell ref="DQ3:DR3"/>
    <mergeCell ref="DV3:DW3"/>
    <mergeCell ref="EA3:EB3"/>
    <mergeCell ref="BS3:BT3"/>
    <mergeCell ref="BX3:BY3"/>
    <mergeCell ref="CC3:CD3"/>
    <mergeCell ref="CH3:CI3"/>
    <mergeCell ref="CM3:CN3"/>
    <mergeCell ref="CR3:CS3"/>
    <mergeCell ref="CW3:CX3"/>
  </mergeCells>
  <conditionalFormatting sqref="C5:D242 F5:EE242">
    <cfRule type="containsBlanks" dxfId="5" priority="1">
      <formula>LEN(TRIM(C5))=0</formula>
    </cfRule>
  </conditionalFormatting>
  <conditionalFormatting sqref="AU5:AU242 AW5:AW14 AZ5:BB242 BE5:BE242 BF5:BG18 BJ5:BL242 BO5:BO7 BP5:BQ242 BT5:BV242 BY5:CA242 CD5:CF242 CI5:CK242 CN5:CP242 CS5:CU242 CX5:CZ242 DC5:DE242 DH5:DJ242 DM5:DO242 DR5:DT242 DW5:DY242 EB5:EB242 EC5:ED353 AV6:AV14 BO9:BO242 AV18:AW242 BF20:BG242">
    <cfRule type="expression" dxfId="4" priority="2">
      <formula>VLOOKUP(AU5,{#REF!,#REF!},2,0)="X"</formula>
    </cfRule>
  </conditionalFormatting>
  <conditionalFormatting sqref="H1:I353 M1:N353 R1:S353 W1:X353 AB1:AC353 AL1:AM353 AQ1:AR353 AV1:AW353 BA1:BB353 BF1:BG353 BK1:BL353 BP1:BQ353 BU1:BV353 BZ1:CA353 CE1:CF353 CJ1:CK353 CO1:CP353 CT1:CU353 CY1:CZ353 DD1:DE353 DI1:DJ353 DN1:DO353 DS1:DT353 DX1:DY353 EC1:ED353 AG1:AH353">
    <cfRule type="cellIs" dxfId="28" priority="3" operator="equal">
      <formula>"X"</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sheetViews>
  <sheetFormatPr customHeight="1" defaultColWidth="12.63" defaultRowHeight="15.75"/>
  <cols>
    <col customWidth="1" min="1" max="2" width="1.38"/>
    <col customWidth="1" min="3" max="3" width="3.88"/>
    <col customWidth="1" min="4" max="4" width="6.38"/>
    <col customWidth="1" min="5" max="5" width="19.13"/>
    <col customWidth="1" min="6" max="6" width="12.63"/>
    <col customWidth="1" min="7" max="11" width="3.25"/>
    <col customWidth="1" min="12" max="12" width="1.25"/>
    <col customWidth="1" min="13" max="13" width="1.38"/>
  </cols>
  <sheetData>
    <row r="1" ht="7.5" customHeight="1">
      <c r="A1" s="7" t="s">
        <v>2</v>
      </c>
      <c r="B1" s="10"/>
      <c r="C1" s="10"/>
      <c r="D1" s="10"/>
      <c r="E1" s="10"/>
      <c r="F1" s="10"/>
      <c r="G1" s="10"/>
      <c r="H1" s="10"/>
      <c r="I1" s="10"/>
      <c r="J1" s="10"/>
      <c r="K1" s="10"/>
      <c r="L1" s="10"/>
      <c r="M1" s="10"/>
    </row>
    <row r="2" ht="7.5" customHeight="1">
      <c r="A2" s="10"/>
      <c r="B2" s="12"/>
      <c r="C2" s="14"/>
      <c r="D2" s="14"/>
      <c r="E2" s="14"/>
      <c r="F2" s="14"/>
      <c r="G2" s="14"/>
      <c r="H2" s="14"/>
      <c r="I2" s="14"/>
      <c r="J2" s="14"/>
      <c r="K2" s="14"/>
      <c r="L2" s="18"/>
      <c r="M2" s="10"/>
    </row>
    <row r="3" ht="22.5" customHeight="1">
      <c r="A3" s="10"/>
      <c r="B3" s="21"/>
      <c r="C3" s="27" t="s">
        <v>3</v>
      </c>
      <c r="D3" s="29"/>
      <c r="E3" s="29"/>
      <c r="F3" s="29"/>
      <c r="G3" s="29"/>
      <c r="H3" s="29"/>
      <c r="I3" s="29"/>
      <c r="J3" s="29"/>
      <c r="K3" s="31"/>
      <c r="L3" s="32"/>
      <c r="M3" s="10"/>
    </row>
    <row r="4" ht="17.25" customHeight="1">
      <c r="A4" s="10"/>
      <c r="B4" s="21"/>
      <c r="C4" s="36">
        <v>1.0</v>
      </c>
      <c r="D4" s="55" t="str">
        <f>vlookup(E4,Source!$G$3:$L$18,5,FALSE)</f>
        <v/>
      </c>
      <c r="E4" s="68" t="str">
        <f>Data!$AO$5</f>
        <v>Ian Heslin</v>
      </c>
      <c r="F4" s="77" t="str">
        <f>CountIF(G4:K5,"W")&amp;"-"&amp;CountIF(G4:K5,"L")</f>
        <v>7-0</v>
      </c>
      <c r="G4" s="84" t="str">
        <f>vlookup($E4,Data!$T$5:$AD$12,5,FALSE)</f>
        <v>W</v>
      </c>
      <c r="H4" s="90" t="str">
        <f>vlookup($E4,Data!$T$5:$AD$12,6,FALSE)</f>
        <v>W</v>
      </c>
      <c r="I4" s="90" t="str">
        <f>vlookup($E4,Data!$T$5:$AD$12,7,FALSE)</f>
        <v>W</v>
      </c>
      <c r="J4" s="90" t="str">
        <f>vlookup($E4,Data!$T$5:$AD$12,8,FALSE)</f>
        <v>W</v>
      </c>
      <c r="K4" s="101" t="str">
        <f>vlookup($E4,Data!$T$5:$AD$12,9,FALSE)</f>
        <v>W</v>
      </c>
      <c r="L4" s="32"/>
      <c r="M4" s="10"/>
    </row>
    <row r="5" ht="17.25" customHeight="1">
      <c r="A5" s="10"/>
      <c r="B5" s="21"/>
      <c r="C5" s="105"/>
      <c r="D5" s="105"/>
      <c r="E5" s="112" t="str">
        <f>vlookup(E4,Source!$G$3:$L$18,2,FALSE)</f>
        <v>RIP Zamazentas</v>
      </c>
      <c r="F5" s="115"/>
      <c r="G5" s="120" t="str">
        <f>vlookup($E4,Data!$T$5:$AAD$12,10,FALSE)</f>
        <v>W</v>
      </c>
      <c r="H5" s="126" t="str">
        <f>vlookup($E4,Data!$T$5:$AD$12,11,FALSE)</f>
        <v>W</v>
      </c>
      <c r="I5" s="126"/>
      <c r="J5" s="126"/>
      <c r="K5" s="128"/>
      <c r="L5" s="32"/>
      <c r="M5" s="10"/>
    </row>
    <row r="6" ht="17.25" customHeight="1">
      <c r="A6" s="10"/>
      <c r="B6" s="21"/>
      <c r="C6" s="132">
        <v>2.0</v>
      </c>
      <c r="D6" s="139" t="str">
        <f>vlookup(E6,Source!$G$3:$L$18,5,FALSE)</f>
        <v/>
      </c>
      <c r="E6" s="142" t="str">
        <f>Data!$AO$6</f>
        <v>Jackson McLoughlin</v>
      </c>
      <c r="F6" s="149" t="str">
        <f>CountIF(G6:K7,"W")&amp;"-"&amp;CountIF(G6:K7,"L")</f>
        <v>5-1</v>
      </c>
      <c r="G6" s="156" t="str">
        <f>vlookup(E6,Data!$T$5:$AD$12,5,FALSE)</f>
        <v>L</v>
      </c>
      <c r="H6" s="158" t="str">
        <f>vlookup(E6,Data!$T$5:$AD$12,6,FALSE)</f>
        <v>W</v>
      </c>
      <c r="I6" s="158" t="str">
        <f>vlookup(E6,Data!$T$5:$AD$12,7,FALSE)</f>
        <v>W</v>
      </c>
      <c r="J6" s="158" t="str">
        <f>vlookup(E6,Data!$T$5:$AD$12,8,FALSE)</f>
        <v>W</v>
      </c>
      <c r="K6" s="163" t="str">
        <f>vlookup(E6,Data!$T$5:$AD$12,9,FALSE)</f>
        <v>W</v>
      </c>
      <c r="L6" s="32"/>
      <c r="M6" s="10"/>
    </row>
    <row r="7" ht="17.25" customHeight="1">
      <c r="A7" s="10"/>
      <c r="B7" s="21"/>
      <c r="C7" s="105"/>
      <c r="D7" s="105"/>
      <c r="E7" s="167" t="str">
        <f>vlookup(E6,Source!$G$3:$L$18,2,FALSE)</f>
        <v>Jackson's Team</v>
      </c>
      <c r="F7" s="115"/>
      <c r="G7" s="169" t="str">
        <f>vlookup(E6,Data!$T$5:$AD$12,10,FALSE)</f>
        <v>W</v>
      </c>
      <c r="H7" s="172" t="str">
        <f>vlookup(E6,Data!$T$5:$AD$12,11,FALSE)</f>
        <v/>
      </c>
      <c r="I7" s="172"/>
      <c r="J7" s="172"/>
      <c r="K7" s="176"/>
      <c r="L7" s="32"/>
      <c r="M7" s="10"/>
    </row>
    <row r="8" ht="17.25" customHeight="1">
      <c r="A8" s="10"/>
      <c r="B8" s="21"/>
      <c r="C8" s="132">
        <v>3.0</v>
      </c>
      <c r="D8" s="190" t="str">
        <f>vlookup(E8,Source!$G$3:$L$18,5,FALSE)</f>
        <v/>
      </c>
      <c r="E8" s="192" t="str">
        <f>Data!$AO$7</f>
        <v>Ryan Evans</v>
      </c>
      <c r="F8" s="196" t="str">
        <f>CountIF(G8:K9,"W")&amp;"-"&amp;CountIF(G8:K9,"L")</f>
        <v>4-3</v>
      </c>
      <c r="G8" s="202" t="str">
        <f>vlookup(E8,Data!$T$5:$AD$12,5,FALSE)</f>
        <v>L</v>
      </c>
      <c r="H8" s="204" t="str">
        <f>vlookup(E8,Data!$T$5:$AD$12,6,FALSE)</f>
        <v>W</v>
      </c>
      <c r="I8" s="204" t="str">
        <f>vlookup(E8,Data!$T$5:$AD$12,7,FALSE)</f>
        <v>W</v>
      </c>
      <c r="J8" s="204" t="str">
        <f>vlookup(E8,Data!$T$5:$AD$12,8,FALSE)</f>
        <v>W</v>
      </c>
      <c r="K8" s="212" t="str">
        <f>vlookup(E8,Data!$T$5:$AD$12,9,FALSE)</f>
        <v>L</v>
      </c>
      <c r="L8" s="32"/>
      <c r="M8" s="10"/>
    </row>
    <row r="9" ht="17.25" customHeight="1">
      <c r="A9" s="10"/>
      <c r="B9" s="21"/>
      <c r="C9" s="105"/>
      <c r="D9" s="105"/>
      <c r="E9" s="219" t="str">
        <f>vlookup(E8,Source!$G$3:$L$18,2,FALSE)</f>
        <v>Sweepers</v>
      </c>
      <c r="F9" s="115"/>
      <c r="G9" s="224" t="str">
        <f>vlookup(E8,Data!$T$5:$AD$12,10,FALSE)</f>
        <v>W</v>
      </c>
      <c r="H9" s="228" t="str">
        <f>vlookup(E8,Data!$T$5:$AD$12,11,FALSE)</f>
        <v>L</v>
      </c>
      <c r="I9" s="228"/>
      <c r="J9" s="228"/>
      <c r="K9" s="230"/>
      <c r="L9" s="32"/>
      <c r="M9" s="10"/>
    </row>
    <row r="10" ht="17.25" customHeight="1">
      <c r="A10" s="10"/>
      <c r="B10" s="21"/>
      <c r="C10" s="132">
        <v>4.0</v>
      </c>
      <c r="D10" s="238" t="str">
        <f>vlookup(E10,Source!$G$3:$L$18,5,FALSE)</f>
        <v/>
      </c>
      <c r="E10" s="242" t="str">
        <f>Data!$AO$8</f>
        <v>Zach VanSickle</v>
      </c>
      <c r="F10" s="247" t="str">
        <f>CountIF(G10:K11,"W")&amp;"-"&amp;CountIF(G10:K11,"L")</f>
        <v>2-2</v>
      </c>
      <c r="G10" s="248" t="str">
        <f>vlookup(E10,Data!$T$5:$AD$12,5,FALSE)</f>
        <v>W</v>
      </c>
      <c r="H10" s="249" t="str">
        <f>vlookup(E10,Data!$T$5:$AD$12,6,FALSE)</f>
        <v>L</v>
      </c>
      <c r="I10" s="249" t="str">
        <f>vlookup(E10,Data!$T$5:$AD$12,7,FALSE)</f>
        <v>W</v>
      </c>
      <c r="J10" s="249" t="str">
        <f>vlookup(E10,Data!$T$5:$AD$12,8,FALSE)</f>
        <v>L</v>
      </c>
      <c r="K10" s="253" t="str">
        <f>vlookup(E10,Data!$T$5:$AD$12,9,FALSE)</f>
        <v/>
      </c>
      <c r="L10" s="32"/>
      <c r="M10" s="10"/>
    </row>
    <row r="11" ht="17.25" customHeight="1">
      <c r="A11" s="10"/>
      <c r="B11" s="21"/>
      <c r="C11" s="105"/>
      <c r="D11" s="105"/>
      <c r="E11" s="254" t="str">
        <f>vlookup(E10,Source!$G$3:$L$18,2,FALSE)</f>
        <v>Zach's Team</v>
      </c>
      <c r="F11" s="115"/>
      <c r="G11" s="256" t="str">
        <f>vlookup(E10,Data!$T$5:$AD$12,10,FALSE)</f>
        <v/>
      </c>
      <c r="H11" s="258" t="str">
        <f>vlookup(E10,Data!$T$5:$AD$12,11,FALSE)</f>
        <v/>
      </c>
      <c r="I11" s="258"/>
      <c r="J11" s="258"/>
      <c r="K11" s="259"/>
      <c r="L11" s="32"/>
      <c r="M11" s="10"/>
    </row>
    <row r="12" ht="17.25" customHeight="1">
      <c r="A12" s="10"/>
      <c r="B12" s="21"/>
      <c r="C12" s="132">
        <v>5.0</v>
      </c>
      <c r="D12" s="261" t="str">
        <f>vlookup(E12,Source!$G$3:$L$18,5,FALSE)</f>
        <v/>
      </c>
      <c r="E12" s="262" t="str">
        <f>Data!$AO$9</f>
        <v>Marcus</v>
      </c>
      <c r="F12" s="264" t="str">
        <f>CountIF(G12:K13,"W")&amp;"-"&amp;CountIF(G12:K13,"L")</f>
        <v>2-3</v>
      </c>
      <c r="G12" s="267" t="str">
        <f>vlookup(E12,Data!$T$5:$AD$12,5,FALSE)</f>
        <v>W</v>
      </c>
      <c r="H12" s="268" t="str">
        <f>vlookup(E12,Data!$T$5:$AD$12,6,FALSE)</f>
        <v>W</v>
      </c>
      <c r="I12" s="268" t="str">
        <f>vlookup(E12,Data!$T$5:$AD$12,7,FALSE)</f>
        <v>L</v>
      </c>
      <c r="J12" s="268" t="str">
        <f>vlookup(E12,Data!$T$5:$AD$12,8,FALSE)</f>
        <v>L</v>
      </c>
      <c r="K12" s="269" t="str">
        <f>vlookup(E12,Data!$T$5:$AD$12,9,FALSE)</f>
        <v/>
      </c>
      <c r="L12" s="32"/>
      <c r="M12" s="270"/>
    </row>
    <row r="13" ht="17.25" customHeight="1">
      <c r="A13" s="10"/>
      <c r="B13" s="21"/>
      <c r="C13" s="105"/>
      <c r="D13" s="105"/>
      <c r="E13" s="274" t="str">
        <f>vlookup(E12,Source!$G$3:$L$18,2,FALSE)</f>
        <v>Marcus' Team</v>
      </c>
      <c r="F13" s="115"/>
      <c r="G13" s="275" t="str">
        <f>vlookup(E12,Data!$T$5:$AD$12,10,FALSE)</f>
        <v>L</v>
      </c>
      <c r="H13" s="276" t="str">
        <f>vlookup(E12,Data!$T$5:$AD$12,11,FALSE)</f>
        <v/>
      </c>
      <c r="I13" s="276"/>
      <c r="J13" s="276"/>
      <c r="K13" s="277"/>
      <c r="L13" s="32"/>
      <c r="M13" s="10"/>
    </row>
    <row r="14" ht="17.25" customHeight="1">
      <c r="A14" s="10"/>
      <c r="B14" s="21"/>
      <c r="C14" s="132">
        <v>6.0</v>
      </c>
      <c r="D14" s="280" t="str">
        <f>vlookup(E14,Source!$G$3:$L$18,5,FALSE)</f>
        <v/>
      </c>
      <c r="E14" s="281" t="str">
        <f>Data!$AO$10</f>
        <v>Ryan Tidey</v>
      </c>
      <c r="F14" s="282" t="str">
        <f>CountIF(G14:K15,"W")&amp;"-"&amp;CountIF(G14:K15,"L")</f>
        <v>1-4</v>
      </c>
      <c r="G14" s="283" t="str">
        <f>vlookup(E14,Data!$T$5:$AD$12,5,FALSE)</f>
        <v>W</v>
      </c>
      <c r="H14" s="284" t="str">
        <f>vlookup(E14,Data!$T$5:$AD$12,6,FALSE)</f>
        <v>L</v>
      </c>
      <c r="I14" s="284" t="str">
        <f>vlookup(E14,Data!$T$5:$AD$12,7,FALSE)</f>
        <v>L</v>
      </c>
      <c r="J14" s="284" t="str">
        <f>vlookup(E14,Data!$T$5:$AD$12,8,FALSE)</f>
        <v>L</v>
      </c>
      <c r="K14" s="287" t="str">
        <f>vlookup(E14,Data!$T$5:$AD$12,9,FALSE)</f>
        <v/>
      </c>
      <c r="L14" s="32"/>
      <c r="M14" s="10"/>
    </row>
    <row r="15" ht="17.25" customHeight="1">
      <c r="A15" s="10"/>
      <c r="B15" s="21"/>
      <c r="C15" s="105"/>
      <c r="D15" s="105"/>
      <c r="E15" s="288" t="str">
        <f>vlookup(E14,Source!$G$3:$L$18,2,FALSE)</f>
        <v>Ryan T.'s Team</v>
      </c>
      <c r="F15" s="115"/>
      <c r="G15" s="289" t="str">
        <f>vlookup(E14,Data!$T$5:$AD$12,10,FALSE)</f>
        <v>L</v>
      </c>
      <c r="H15" s="291" t="str">
        <f>vlookup(E14,Data!$T$5:$AD$12,11,FALSE)</f>
        <v/>
      </c>
      <c r="I15" s="291"/>
      <c r="J15" s="291"/>
      <c r="K15" s="292"/>
      <c r="L15" s="32"/>
      <c r="M15" s="10"/>
    </row>
    <row r="16" ht="17.25" customHeight="1">
      <c r="A16" s="10"/>
      <c r="B16" s="21"/>
      <c r="C16" s="132">
        <v>7.0</v>
      </c>
      <c r="D16" s="299" t="str">
        <f>vlookup(E16,Source!$G$3:$L$18,5,FALSE)</f>
        <v/>
      </c>
      <c r="E16" s="302" t="str">
        <f>Data!$AO$11</f>
        <v>Tyler Gottfredsen</v>
      </c>
      <c r="F16" s="307" t="str">
        <f>CountIF(G16:K17,"W")&amp;"-"&amp;CountIF(G16:K17,"L")</f>
        <v>1-4</v>
      </c>
      <c r="G16" s="308" t="str">
        <f>vlookup(E16,Data!$T$5:$AD$12,5,FALSE)</f>
        <v>L</v>
      </c>
      <c r="H16" s="310" t="str">
        <f>vlookup(E16,Data!$T$5:$AD$12,6,FALSE)</f>
        <v>L</v>
      </c>
      <c r="I16" s="310" t="str">
        <f>vlookup(E16,Data!$T$5:$AD$12,7,FALSE)</f>
        <v>L</v>
      </c>
      <c r="J16" s="310" t="str">
        <f>vlookup(E16,Data!$T$5:$AD$12,8,FALSE)</f>
        <v>W</v>
      </c>
      <c r="K16" s="321" t="str">
        <f>vlookup(E16,Data!$T$5:$AD$12,9,FALSE)</f>
        <v/>
      </c>
      <c r="L16" s="32"/>
      <c r="M16" s="10"/>
    </row>
    <row r="17" ht="17.25" customHeight="1">
      <c r="A17" s="10"/>
      <c r="B17" s="21"/>
      <c r="C17" s="105"/>
      <c r="D17" s="105"/>
      <c r="E17" s="332" t="str">
        <f>vlookup(E16,Source!$G$3:$L$18,2,FALSE)</f>
        <v>Tyler's Team</v>
      </c>
      <c r="F17" s="115"/>
      <c r="G17" s="336" t="str">
        <f>vlookup(E16,Data!$T$5:$AD$12,10,FALSE)</f>
        <v>L</v>
      </c>
      <c r="H17" s="341" t="str">
        <f>vlookup(E16,Data!$T$5:$AD$12,11,FALSE)</f>
        <v/>
      </c>
      <c r="I17" s="341"/>
      <c r="J17" s="341"/>
      <c r="K17" s="343"/>
      <c r="L17" s="32"/>
      <c r="M17" s="10"/>
    </row>
    <row r="18" ht="17.25" customHeight="1">
      <c r="A18" s="10"/>
      <c r="B18" s="21"/>
      <c r="C18" s="132">
        <v>8.0</v>
      </c>
      <c r="D18" s="344" t="str">
        <f>vlookup(E18,Source!$G$3:$L$18,5,FALSE)</f>
        <v/>
      </c>
      <c r="E18" s="345" t="str">
        <f>Data!$AO$12</f>
        <v>Dick Hansen</v>
      </c>
      <c r="F18" s="347" t="str">
        <f>CountIF(G18:K19,"W")&amp;"-"&amp;CountIF(G18:K19,"L")</f>
        <v>0-5</v>
      </c>
      <c r="G18" s="349" t="str">
        <f>vlookup(E18,Data!$T$5:$AD$12,5,FALSE)</f>
        <v>L</v>
      </c>
      <c r="H18" s="350" t="str">
        <f>vlookup(E18,Data!$T$5:$AD$12,6,FALSE)</f>
        <v>L</v>
      </c>
      <c r="I18" s="350" t="str">
        <f>vlookup(E18,Data!$T$5:$AD$12,7,FALSE)</f>
        <v>L</v>
      </c>
      <c r="J18" s="350" t="str">
        <f>vlookup(E18,Data!$T$5:$AD$12,8,FALSE)</f>
        <v>L</v>
      </c>
      <c r="K18" s="351" t="str">
        <f>vlookup(E18,Data!$T$5:$AD$12,9,FALSE)</f>
        <v>L</v>
      </c>
      <c r="L18" s="32"/>
      <c r="M18" s="10"/>
    </row>
    <row r="19" ht="17.25" customHeight="1">
      <c r="A19" s="10"/>
      <c r="B19" s="21"/>
      <c r="C19" s="105"/>
      <c r="D19" s="105"/>
      <c r="E19" s="352" t="str">
        <f>vlookup(E18,Source!$G$3:$L$18,2,FALSE)</f>
        <v>Dick's Team</v>
      </c>
      <c r="F19" s="115"/>
      <c r="G19" s="355" t="str">
        <f>vlookup(E18,Data!$T$5:$AD$12,10,FALSE)</f>
        <v/>
      </c>
      <c r="H19" s="356" t="str">
        <f>vlookup(E18,Data!$T$5:$AD$12,11,FALSE)</f>
        <v/>
      </c>
      <c r="I19" s="356"/>
      <c r="J19" s="356"/>
      <c r="K19" s="357"/>
      <c r="L19" s="32"/>
      <c r="M19" s="10"/>
    </row>
    <row r="20" ht="7.5" customHeight="1">
      <c r="A20" s="10"/>
      <c r="B20" s="358"/>
      <c r="C20" s="359"/>
      <c r="D20" s="359"/>
      <c r="E20" s="359"/>
      <c r="F20" s="359"/>
      <c r="G20" s="359"/>
      <c r="H20" s="359"/>
      <c r="I20" s="359"/>
      <c r="J20" s="359"/>
      <c r="K20" s="359"/>
      <c r="L20" s="360"/>
      <c r="M20" s="10"/>
    </row>
    <row r="21" ht="7.5" customHeight="1">
      <c r="A21" s="10"/>
      <c r="B21" s="10"/>
      <c r="C21" s="10"/>
      <c r="D21" s="10"/>
      <c r="E21" s="10"/>
      <c r="F21" s="10"/>
      <c r="G21" s="10"/>
      <c r="H21" s="10"/>
      <c r="I21" s="10"/>
      <c r="J21" s="10"/>
      <c r="K21" s="10"/>
      <c r="L21" s="10"/>
      <c r="M21" s="10"/>
    </row>
  </sheetData>
  <mergeCells count="25">
    <mergeCell ref="C3:K3"/>
    <mergeCell ref="C4:C5"/>
    <mergeCell ref="D4:D5"/>
    <mergeCell ref="E5:F5"/>
    <mergeCell ref="C6:C7"/>
    <mergeCell ref="D6:D7"/>
    <mergeCell ref="E7:F7"/>
    <mergeCell ref="D12:D13"/>
    <mergeCell ref="E13:F13"/>
    <mergeCell ref="C8:C9"/>
    <mergeCell ref="D8:D9"/>
    <mergeCell ref="E9:F9"/>
    <mergeCell ref="C10:C11"/>
    <mergeCell ref="D10:D11"/>
    <mergeCell ref="E11:F11"/>
    <mergeCell ref="C12:C13"/>
    <mergeCell ref="D18:D19"/>
    <mergeCell ref="E19:F19"/>
    <mergeCell ref="C14:C15"/>
    <mergeCell ref="D14:D15"/>
    <mergeCell ref="E15:F15"/>
    <mergeCell ref="C16:C17"/>
    <mergeCell ref="D16:D17"/>
    <mergeCell ref="E17:F17"/>
    <mergeCell ref="C18:C19"/>
  </mergeCells>
  <conditionalFormatting sqref="G4:K19">
    <cfRule type="cellIs" dxfId="0" priority="1" operator="equal">
      <formula>"W"</formula>
    </cfRule>
  </conditionalFormatting>
  <conditionalFormatting sqref="G4:K19">
    <cfRule type="cellIs" dxfId="1" priority="2" operator="equal">
      <formula>"L"</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9EFF"/>
    <outlinePr summaryBelow="0" summaryRight="0"/>
  </sheetPr>
  <sheetViews>
    <sheetView showGridLines="0" workbookViewId="0"/>
  </sheetViews>
  <sheetFormatPr customHeight="1" defaultColWidth="12.63" defaultRowHeight="15.75"/>
  <cols>
    <col customWidth="1" min="1" max="2" width="1.38"/>
    <col customWidth="1" min="3" max="3" width="4.5"/>
    <col customWidth="1" min="4" max="4" width="13.88"/>
    <col customWidth="1" min="5" max="7" width="3.88"/>
    <col customWidth="1" min="8" max="8" width="5.13"/>
    <col customWidth="1" min="9" max="9" width="1.38"/>
    <col customWidth="1" min="10" max="10" width="4.5"/>
    <col customWidth="1" min="11" max="11" width="13.88"/>
    <col customWidth="1" min="12" max="14" width="3.88"/>
    <col customWidth="1" min="15" max="15" width="5.13"/>
    <col customWidth="1" min="16" max="16" width="1.38"/>
    <col customWidth="1" min="17" max="17" width="4.5"/>
    <col customWidth="1" min="18" max="18" width="13.88"/>
    <col customWidth="1" min="19" max="21" width="3.88"/>
    <col customWidth="1" min="22" max="22" width="5.13"/>
    <col customWidth="1" min="23" max="23" width="1.38"/>
    <col customWidth="1" min="24" max="24" width="4.5"/>
    <col customWidth="1" min="25" max="25" width="13.88"/>
    <col customWidth="1" min="26" max="28" width="3.88"/>
    <col customWidth="1" min="29" max="29" width="5.13"/>
    <col customWidth="1" min="30" max="31" width="1.38"/>
  </cols>
  <sheetData>
    <row r="1" ht="7.5" customHeight="1">
      <c r="A1" s="168">
        <v>0.0</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row>
    <row r="2" ht="7.5" customHeight="1">
      <c r="A2" s="168"/>
      <c r="B2" s="173"/>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9"/>
      <c r="AE2" s="168"/>
    </row>
    <row r="3">
      <c r="A3" s="168"/>
      <c r="B3" s="180"/>
      <c r="C3" s="186" t="str">
        <f>Source!H3</f>
        <v>Ryan T.'s Team</v>
      </c>
      <c r="D3" s="188"/>
      <c r="E3" s="188"/>
      <c r="F3" s="188"/>
      <c r="G3" s="188"/>
      <c r="H3" s="191"/>
      <c r="I3" s="195"/>
      <c r="J3" s="186" t="str">
        <f>Source!H4</f>
        <v>Marcus' Team</v>
      </c>
      <c r="K3" s="188"/>
      <c r="L3" s="188"/>
      <c r="M3" s="188"/>
      <c r="N3" s="188"/>
      <c r="O3" s="191"/>
      <c r="P3" s="195"/>
      <c r="Q3" s="186" t="str">
        <f>Source!H5</f>
        <v>RIP Zamazentas</v>
      </c>
      <c r="R3" s="188"/>
      <c r="S3" s="188"/>
      <c r="T3" s="188"/>
      <c r="U3" s="188"/>
      <c r="V3" s="191"/>
      <c r="W3" s="195"/>
      <c r="X3" s="186" t="str">
        <f>Source!H6</f>
        <v>Sweepers</v>
      </c>
      <c r="Y3" s="188"/>
      <c r="Z3" s="188"/>
      <c r="AA3" s="188"/>
      <c r="AB3" s="188"/>
      <c r="AC3" s="191"/>
      <c r="AD3" s="218"/>
      <c r="AE3" s="221"/>
    </row>
    <row r="4">
      <c r="A4" s="168"/>
      <c r="B4" s="180"/>
      <c r="C4" s="225" t="str">
        <f>Source!G3</f>
        <v>Ryan Tidey</v>
      </c>
      <c r="D4" s="226"/>
      <c r="E4" s="229" t="s">
        <v>74</v>
      </c>
      <c r="F4" s="231"/>
      <c r="G4" s="231"/>
      <c r="H4" s="234" t="str">
        <f>Source!J3</f>
        <v>EST</v>
      </c>
      <c r="I4" s="236"/>
      <c r="J4" s="225" t="str">
        <f>Source!G4</f>
        <v>Marcus</v>
      </c>
      <c r="K4" s="226"/>
      <c r="L4" s="229" t="s">
        <v>74</v>
      </c>
      <c r="M4" s="231"/>
      <c r="N4" s="231"/>
      <c r="O4" s="234" t="str">
        <f>Source!J4</f>
        <v>EST</v>
      </c>
      <c r="P4" s="236"/>
      <c r="Q4" s="225" t="str">
        <f>Source!G5</f>
        <v>Ian Heslin</v>
      </c>
      <c r="R4" s="226"/>
      <c r="S4" s="229" t="s">
        <v>74</v>
      </c>
      <c r="T4" s="231"/>
      <c r="U4" s="231"/>
      <c r="V4" s="234" t="str">
        <f>Source!J5</f>
        <v>CST</v>
      </c>
      <c r="W4" s="236"/>
      <c r="X4" s="225" t="str">
        <f>Source!G6</f>
        <v>Ryan Evans</v>
      </c>
      <c r="Y4" s="226"/>
      <c r="Z4" s="229" t="s">
        <v>74</v>
      </c>
      <c r="AA4" s="231"/>
      <c r="AB4" s="231"/>
      <c r="AC4" s="234" t="str">
        <f>Source!J6</f>
        <v>CST</v>
      </c>
      <c r="AD4" s="218"/>
      <c r="AE4" s="221"/>
    </row>
    <row r="5" ht="17.25" customHeight="1">
      <c r="A5" s="221"/>
      <c r="B5" s="252"/>
      <c r="C5" s="260" t="str">
        <f t="array" ref="C5:C16">IFERROR(VLOOKUP(D5:D16,{Pokedex!$I$2:$I35,Pokedex!$H$2:$H35},2,FALSE),"")</f>
        <v/>
      </c>
      <c r="D5" s="266" t="s">
        <v>83</v>
      </c>
      <c r="E5" s="273" t="str">
        <f t="array" ref="E5:G16">iferror(vlookup(Data!$G5:$I16,Data!$T$28:$U$46,2,0),"")</f>
        <v/>
      </c>
      <c r="F5" s="273"/>
      <c r="G5" s="273"/>
      <c r="H5" s="286">
        <f t="array" ref="H5:H16">IFNA(VLOOKUP(SUBSTITUTE(D5:D16," (T)",""),{Source!$B$2:$B35,Source!$C$2:$D35},IF(RIGHT(D5:D16)=")",3,2),0),"")</f>
        <v>19</v>
      </c>
      <c r="I5" s="195"/>
      <c r="J5" s="260" t="str">
        <f t="array" ref="J5:J16">IFERROR(VLOOKUP(K5:K16,{Pokedex!$I$2:$I35,Pokedex!$H$2:$H35},2,FALSE),"")</f>
        <v/>
      </c>
      <c r="K5" s="266" t="s">
        <v>86</v>
      </c>
      <c r="L5" s="273" t="str">
        <f t="array" ref="L5:N16">iferror(vlookup(Data!$G17:$I28,Data!$T$28:$U$46,2,0),"")</f>
        <v/>
      </c>
      <c r="M5" s="273"/>
      <c r="N5" s="273"/>
      <c r="O5" s="286">
        <f t="array" ref="O5:O16">IFNA(VLOOKUP(SUBSTITUTE(K5:K16," (T)",""),{Source!$B$2:$B35,Source!$C$2:$D35},IF(RIGHT(K5:K16)=")",3,2),0),"")</f>
        <v>19</v>
      </c>
      <c r="P5" s="195"/>
      <c r="Q5" s="260" t="str">
        <f t="array" ref="Q5:Q16">IFERROR(VLOOKUP(R5:R16,{Pokedex!$I$2:$I35,Pokedex!$H$2:$H35},2,FALSE),"")</f>
        <v/>
      </c>
      <c r="R5" s="266" t="s">
        <v>115</v>
      </c>
      <c r="S5" s="273" t="str">
        <f t="array" ref="S5:U16">iferror(vlookup(Data!$G29:$I40,Data!$T$28:$U$46,2,0),"")</f>
        <v/>
      </c>
      <c r="T5" s="273"/>
      <c r="U5" s="273"/>
      <c r="V5" s="286">
        <f t="array" ref="V5:V16">IFNA(VLOOKUP(SUBSTITUTE(R5:R16," (T)",""),{Source!$B$2:$B35,Source!$C$2:$D35},IF(RIGHT(R5:R16)=")",3,2),0),"")</f>
        <v>14</v>
      </c>
      <c r="W5" s="195"/>
      <c r="X5" s="260" t="str">
        <f t="array" ref="X5:X16">IFERROR(VLOOKUP(Y5:Y16,{Pokedex!$I$2:$I35,Pokedex!$H$2:$H35},2,FALSE),"")</f>
        <v/>
      </c>
      <c r="Y5" s="372" t="s">
        <v>147</v>
      </c>
      <c r="Z5" s="273" t="str">
        <f t="array" ref="Z5:AB16">iferror(vlookup(Data!$G41:$I52,Data!$T$28:$U$46,2,0),"")</f>
        <v/>
      </c>
      <c r="AA5" s="273"/>
      <c r="AB5" s="273"/>
      <c r="AC5" s="286">
        <f t="array" ref="AC5:AC16">IFNA(VLOOKUP(SUBSTITUTE(Y5:Y16," (T)",""),{Source!$B$2:$B35,Source!$C$2:$D35},IF(RIGHT(Y5:Y16)=")",3,2),0),"")</f>
        <v>19</v>
      </c>
      <c r="AD5" s="393"/>
      <c r="AE5" s="168"/>
    </row>
    <row r="6" ht="17.25" customHeight="1">
      <c r="A6" s="221"/>
      <c r="B6" s="252"/>
      <c r="C6" s="394"/>
      <c r="D6" s="372" t="s">
        <v>176</v>
      </c>
      <c r="E6" s="395"/>
      <c r="F6" s="395"/>
      <c r="G6" s="395"/>
      <c r="H6" s="396">
        <v>16.0</v>
      </c>
      <c r="I6" s="195"/>
      <c r="J6" s="394"/>
      <c r="K6" s="372" t="s">
        <v>123</v>
      </c>
      <c r="L6" s="395"/>
      <c r="M6" s="395"/>
      <c r="N6" s="395"/>
      <c r="O6" s="396">
        <v>16.0</v>
      </c>
      <c r="P6" s="195"/>
      <c r="Q6" s="394"/>
      <c r="R6" s="372" t="s">
        <v>96</v>
      </c>
      <c r="S6" s="395"/>
      <c r="T6" s="395"/>
      <c r="U6" s="395"/>
      <c r="V6" s="396">
        <v>16.0</v>
      </c>
      <c r="W6" s="195"/>
      <c r="X6" s="394"/>
      <c r="Y6" s="405" t="s">
        <v>143</v>
      </c>
      <c r="Z6" s="395"/>
      <c r="AA6" s="395"/>
      <c r="AB6" s="395"/>
      <c r="AC6" s="396">
        <v>17.0</v>
      </c>
      <c r="AD6" s="393"/>
      <c r="AE6" s="168"/>
    </row>
    <row r="7" ht="17.25" customHeight="1">
      <c r="A7" s="221"/>
      <c r="B7" s="252"/>
      <c r="C7" s="394"/>
      <c r="D7" s="372" t="s">
        <v>88</v>
      </c>
      <c r="E7" s="395"/>
      <c r="F7" s="395"/>
      <c r="G7" s="395"/>
      <c r="H7" s="396">
        <v>15.0</v>
      </c>
      <c r="I7" s="195"/>
      <c r="J7" s="394"/>
      <c r="K7" s="372" t="s">
        <v>156</v>
      </c>
      <c r="L7" s="395"/>
      <c r="M7" s="395"/>
      <c r="N7" s="395"/>
      <c r="O7" s="396">
        <v>14.0</v>
      </c>
      <c r="P7" s="195"/>
      <c r="Q7" s="394"/>
      <c r="R7" s="372" t="s">
        <v>99</v>
      </c>
      <c r="S7" s="395"/>
      <c r="T7" s="395"/>
      <c r="U7" s="395"/>
      <c r="V7" s="396">
        <v>18.0</v>
      </c>
      <c r="W7" s="195"/>
      <c r="X7" s="394"/>
      <c r="Y7" s="372" t="s">
        <v>113</v>
      </c>
      <c r="Z7" s="395"/>
      <c r="AA7" s="395"/>
      <c r="AB7" s="395"/>
      <c r="AC7" s="396">
        <v>16.0</v>
      </c>
      <c r="AD7" s="393"/>
      <c r="AE7" s="168"/>
    </row>
    <row r="8" ht="17.25" customHeight="1">
      <c r="A8" s="221"/>
      <c r="B8" s="252"/>
      <c r="C8" s="411"/>
      <c r="D8" s="412" t="s">
        <v>191</v>
      </c>
      <c r="E8" s="417"/>
      <c r="F8" s="417"/>
      <c r="G8" s="417"/>
      <c r="H8" s="396">
        <v>14.0</v>
      </c>
      <c r="I8" s="195"/>
      <c r="J8" s="411"/>
      <c r="K8" s="412" t="s">
        <v>102</v>
      </c>
      <c r="L8" s="417"/>
      <c r="M8" s="417"/>
      <c r="N8" s="417"/>
      <c r="O8" s="396">
        <v>13.0</v>
      </c>
      <c r="P8" s="195"/>
      <c r="Q8" s="411"/>
      <c r="R8" s="412" t="s">
        <v>129</v>
      </c>
      <c r="S8" s="417"/>
      <c r="T8" s="417"/>
      <c r="U8" s="417"/>
      <c r="V8" s="396">
        <v>13.0</v>
      </c>
      <c r="W8" s="195"/>
      <c r="X8" s="411"/>
      <c r="Y8" s="412" t="s">
        <v>119</v>
      </c>
      <c r="Z8" s="417"/>
      <c r="AA8" s="417"/>
      <c r="AB8" s="417"/>
      <c r="AC8" s="396">
        <v>13.0</v>
      </c>
      <c r="AD8" s="393"/>
      <c r="AE8" s="168"/>
    </row>
    <row r="9" ht="17.25" customHeight="1">
      <c r="A9" s="221"/>
      <c r="B9" s="252"/>
      <c r="C9" s="411"/>
      <c r="D9" s="412" t="s">
        <v>124</v>
      </c>
      <c r="E9" s="417"/>
      <c r="F9" s="417"/>
      <c r="G9" s="417"/>
      <c r="H9" s="396">
        <v>14.0</v>
      </c>
      <c r="I9" s="195"/>
      <c r="J9" s="411"/>
      <c r="K9" s="412" t="s">
        <v>161</v>
      </c>
      <c r="L9" s="417"/>
      <c r="M9" s="417"/>
      <c r="N9" s="417"/>
      <c r="O9" s="396">
        <v>11.0</v>
      </c>
      <c r="P9" s="195"/>
      <c r="Q9" s="411"/>
      <c r="R9" s="412" t="s">
        <v>121</v>
      </c>
      <c r="S9" s="417"/>
      <c r="T9" s="417"/>
      <c r="U9" s="417"/>
      <c r="V9" s="396">
        <v>15.0</v>
      </c>
      <c r="W9" s="195"/>
      <c r="X9" s="411"/>
      <c r="Y9" s="412" t="s">
        <v>130</v>
      </c>
      <c r="Z9" s="417"/>
      <c r="AA9" s="417"/>
      <c r="AB9" s="417"/>
      <c r="AC9" s="396">
        <v>5.0</v>
      </c>
      <c r="AD9" s="393"/>
      <c r="AE9" s="168"/>
    </row>
    <row r="10" ht="17.25" customHeight="1">
      <c r="A10" s="221"/>
      <c r="B10" s="252"/>
      <c r="C10" s="411"/>
      <c r="D10" s="412" t="s">
        <v>206</v>
      </c>
      <c r="E10" s="417"/>
      <c r="F10" s="417"/>
      <c r="G10" s="417"/>
      <c r="H10" s="396">
        <v>11.0</v>
      </c>
      <c r="I10" s="195"/>
      <c r="J10" s="411"/>
      <c r="K10" s="412" t="s">
        <v>211</v>
      </c>
      <c r="L10" s="417"/>
      <c r="M10" s="417"/>
      <c r="N10" s="417"/>
      <c r="O10" s="396">
        <v>9.0</v>
      </c>
      <c r="P10" s="195"/>
      <c r="Q10" s="411"/>
      <c r="R10" s="412" t="s">
        <v>79</v>
      </c>
      <c r="S10" s="417"/>
      <c r="T10" s="417"/>
      <c r="U10" s="417"/>
      <c r="V10" s="396">
        <v>12.0</v>
      </c>
      <c r="W10" s="195"/>
      <c r="X10" s="411"/>
      <c r="Y10" s="412" t="s">
        <v>126</v>
      </c>
      <c r="Z10" s="417"/>
      <c r="AA10" s="417"/>
      <c r="AB10" s="417"/>
      <c r="AC10" s="396">
        <v>8.0</v>
      </c>
      <c r="AD10" s="393"/>
      <c r="AE10" s="168"/>
    </row>
    <row r="11" ht="17.25" customHeight="1">
      <c r="A11" s="221"/>
      <c r="B11" s="252"/>
      <c r="C11" s="411"/>
      <c r="D11" s="412" t="s">
        <v>146</v>
      </c>
      <c r="E11" s="417"/>
      <c r="F11" s="417"/>
      <c r="G11" s="417"/>
      <c r="H11" s="396">
        <v>10.0</v>
      </c>
      <c r="I11" s="195"/>
      <c r="J11" s="411"/>
      <c r="K11" s="412" t="s">
        <v>185</v>
      </c>
      <c r="L11" s="417"/>
      <c r="M11" s="417"/>
      <c r="N11" s="428"/>
      <c r="O11" s="396">
        <v>12.0</v>
      </c>
      <c r="P11" s="195"/>
      <c r="Q11" s="411"/>
      <c r="R11" s="412" t="s">
        <v>144</v>
      </c>
      <c r="S11" s="417"/>
      <c r="T11" s="417"/>
      <c r="U11" s="417"/>
      <c r="V11" s="396">
        <v>15.0</v>
      </c>
      <c r="W11" s="195"/>
      <c r="X11" s="411"/>
      <c r="Y11" s="412" t="s">
        <v>202</v>
      </c>
      <c r="Z11" s="417"/>
      <c r="AA11" s="417"/>
      <c r="AB11" s="417"/>
      <c r="AC11" s="396">
        <v>8.0</v>
      </c>
      <c r="AD11" s="393"/>
      <c r="AE11" s="168"/>
    </row>
    <row r="12" ht="17.25" customHeight="1">
      <c r="A12" s="168"/>
      <c r="B12" s="180"/>
      <c r="C12" s="435"/>
      <c r="D12" s="437" t="s">
        <v>180</v>
      </c>
      <c r="E12" s="440"/>
      <c r="F12" s="440"/>
      <c r="G12" s="440"/>
      <c r="H12" s="396">
        <v>13.0</v>
      </c>
      <c r="I12" s="195"/>
      <c r="J12" s="435"/>
      <c r="K12" s="437" t="s">
        <v>224</v>
      </c>
      <c r="L12" s="440"/>
      <c r="M12" s="440"/>
      <c r="N12" s="440"/>
      <c r="O12" s="396">
        <v>14.0</v>
      </c>
      <c r="P12" s="195"/>
      <c r="Q12" s="435"/>
      <c r="R12" s="437" t="s">
        <v>159</v>
      </c>
      <c r="S12" s="440"/>
      <c r="T12" s="440"/>
      <c r="U12" s="440"/>
      <c r="V12" s="396">
        <v>13.0</v>
      </c>
      <c r="W12" s="195"/>
      <c r="X12" s="435"/>
      <c r="Y12" s="437" t="s">
        <v>85</v>
      </c>
      <c r="Z12" s="440"/>
      <c r="AA12" s="440"/>
      <c r="AB12" s="440"/>
      <c r="AC12" s="396">
        <v>15.0</v>
      </c>
      <c r="AD12" s="393"/>
      <c r="AE12" s="168"/>
    </row>
    <row r="13" ht="17.25" customHeight="1">
      <c r="A13" s="221"/>
      <c r="B13" s="252"/>
      <c r="C13" s="435"/>
      <c r="D13" s="437" t="s">
        <v>197</v>
      </c>
      <c r="E13" s="440"/>
      <c r="F13" s="440"/>
      <c r="G13" s="440"/>
      <c r="H13" s="396">
        <v>12.0</v>
      </c>
      <c r="I13" s="195"/>
      <c r="J13" s="435"/>
      <c r="K13" s="437" t="s">
        <v>109</v>
      </c>
      <c r="L13" s="440"/>
      <c r="M13" s="440"/>
      <c r="N13" s="440"/>
      <c r="O13" s="396">
        <v>14.0</v>
      </c>
      <c r="P13" s="195"/>
      <c r="Q13" s="435"/>
      <c r="R13" s="437" t="s">
        <v>135</v>
      </c>
      <c r="S13" s="440"/>
      <c r="T13" s="440"/>
      <c r="U13" s="440"/>
      <c r="V13" s="396">
        <v>8.0</v>
      </c>
      <c r="W13" s="195"/>
      <c r="X13" s="435"/>
      <c r="Y13" s="437" t="s">
        <v>195</v>
      </c>
      <c r="Z13" s="440"/>
      <c r="AA13" s="440"/>
      <c r="AB13" s="440"/>
      <c r="AC13" s="396">
        <v>13.0</v>
      </c>
      <c r="AD13" s="393"/>
      <c r="AE13" s="168" t="s">
        <v>228</v>
      </c>
    </row>
    <row r="14" ht="17.25" customHeight="1">
      <c r="A14" s="221"/>
      <c r="B14" s="252"/>
      <c r="C14" s="435"/>
      <c r="D14" s="437" t="s">
        <v>199</v>
      </c>
      <c r="E14" s="440"/>
      <c r="F14" s="440"/>
      <c r="G14" s="440"/>
      <c r="H14" s="396">
        <v>1.0</v>
      </c>
      <c r="I14" s="195"/>
      <c r="J14" s="435"/>
      <c r="K14" s="437" t="s">
        <v>229</v>
      </c>
      <c r="L14" s="440"/>
      <c r="M14" s="440"/>
      <c r="N14" s="440"/>
      <c r="O14" s="396">
        <v>3.0</v>
      </c>
      <c r="P14" s="195"/>
      <c r="Q14" s="435"/>
      <c r="R14" s="437" t="s">
        <v>201</v>
      </c>
      <c r="S14" s="440"/>
      <c r="T14" s="440"/>
      <c r="U14" s="440"/>
      <c r="V14" s="396">
        <v>1.0</v>
      </c>
      <c r="W14" s="195"/>
      <c r="X14" s="435"/>
      <c r="Y14" s="437" t="s">
        <v>114</v>
      </c>
      <c r="Z14" s="440"/>
      <c r="AA14" s="440"/>
      <c r="AB14" s="440"/>
      <c r="AC14" s="396">
        <v>11.0</v>
      </c>
      <c r="AD14" s="393"/>
      <c r="AE14" s="168"/>
    </row>
    <row r="15" ht="17.25" customHeight="1">
      <c r="A15" s="221"/>
      <c r="B15" s="252"/>
      <c r="C15" s="451"/>
      <c r="D15" s="437"/>
      <c r="E15" s="440"/>
      <c r="F15" s="440"/>
      <c r="G15" s="440"/>
      <c r="H15" s="396" t="s">
        <v>230</v>
      </c>
      <c r="I15" s="195"/>
      <c r="J15" s="451"/>
      <c r="K15" s="437"/>
      <c r="L15" s="440"/>
      <c r="M15" s="440"/>
      <c r="N15" s="440"/>
      <c r="O15" s="396" t="s">
        <v>230</v>
      </c>
      <c r="P15" s="195"/>
      <c r="Q15" s="451"/>
      <c r="R15" s="437"/>
      <c r="S15" s="440"/>
      <c r="T15" s="440"/>
      <c r="U15" s="440"/>
      <c r="V15" s="396" t="s">
        <v>230</v>
      </c>
      <c r="W15" s="195"/>
      <c r="X15" s="451"/>
      <c r="Y15" s="437"/>
      <c r="Z15" s="440"/>
      <c r="AA15" s="440"/>
      <c r="AB15" s="440"/>
      <c r="AC15" s="396" t="s">
        <v>230</v>
      </c>
      <c r="AD15" s="393"/>
      <c r="AE15" s="168"/>
    </row>
    <row r="16">
      <c r="A16" s="221"/>
      <c r="B16" s="252"/>
      <c r="C16" s="451"/>
      <c r="D16" s="437"/>
      <c r="E16" s="440"/>
      <c r="F16" s="440"/>
      <c r="G16" s="440"/>
      <c r="H16" s="396" t="s">
        <v>230</v>
      </c>
      <c r="I16" s="195"/>
      <c r="J16" s="451"/>
      <c r="K16" s="437"/>
      <c r="L16" s="440"/>
      <c r="M16" s="440"/>
      <c r="N16" s="440"/>
      <c r="O16" s="396" t="s">
        <v>230</v>
      </c>
      <c r="P16" s="195"/>
      <c r="Q16" s="451"/>
      <c r="R16" s="437"/>
      <c r="S16" s="440"/>
      <c r="T16" s="440"/>
      <c r="U16" s="440"/>
      <c r="V16" s="396" t="s">
        <v>230</v>
      </c>
      <c r="W16" s="195"/>
      <c r="X16" s="451"/>
      <c r="Y16" s="437"/>
      <c r="Z16" s="440"/>
      <c r="AA16" s="440"/>
      <c r="AB16" s="440"/>
      <c r="AC16" s="396" t="s">
        <v>230</v>
      </c>
      <c r="AD16" s="393"/>
      <c r="AE16" s="221"/>
    </row>
    <row r="17" ht="15.75" customHeight="1">
      <c r="A17" s="168"/>
      <c r="B17" s="252"/>
      <c r="C17" s="467" t="s">
        <v>231</v>
      </c>
      <c r="D17" s="471" t="str">
        <f>125-SUM(H5:H16)&amp;" points"</f>
        <v>0 points</v>
      </c>
      <c r="E17" s="29"/>
      <c r="F17" s="29"/>
      <c r="G17" s="29"/>
      <c r="H17" s="31"/>
      <c r="I17" s="236"/>
      <c r="J17" s="467" t="s">
        <v>231</v>
      </c>
      <c r="K17" s="471" t="str">
        <f>125-SUM(O5:O16)&amp;" points"</f>
        <v>0 points</v>
      </c>
      <c r="L17" s="29"/>
      <c r="M17" s="29"/>
      <c r="N17" s="29"/>
      <c r="O17" s="31"/>
      <c r="P17" s="236"/>
      <c r="Q17" s="467" t="s">
        <v>234</v>
      </c>
      <c r="R17" s="471" t="str">
        <f>125-SUM(V5:V16)&amp;" points"</f>
        <v>0 points</v>
      </c>
      <c r="S17" s="29"/>
      <c r="T17" s="29"/>
      <c r="U17" s="29"/>
      <c r="V17" s="31"/>
      <c r="W17" s="236"/>
      <c r="X17" s="467" t="s">
        <v>236</v>
      </c>
      <c r="Y17" s="471" t="str">
        <f>125-SUM(AC5:AC16)&amp;" points"</f>
        <v>0 points</v>
      </c>
      <c r="Z17" s="29"/>
      <c r="AA17" s="29"/>
      <c r="AB17" s="29"/>
      <c r="AC17" s="31"/>
      <c r="AD17" s="218"/>
      <c r="AE17" s="168"/>
    </row>
    <row r="18" ht="16.5" customHeight="1">
      <c r="A18" s="35"/>
      <c r="B18" s="474"/>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433"/>
      <c r="AE18" s="477" t="s">
        <v>242</v>
      </c>
    </row>
    <row r="19" ht="15.75" customHeight="1">
      <c r="A19" s="168"/>
      <c r="B19" s="474"/>
      <c r="C19" s="186" t="str">
        <f>Source!H7</f>
        <v>Tyler's Team</v>
      </c>
      <c r="D19" s="188"/>
      <c r="E19" s="188"/>
      <c r="F19" s="188"/>
      <c r="G19" s="188"/>
      <c r="H19" s="191"/>
      <c r="I19" s="195"/>
      <c r="J19" s="186" t="str">
        <f>Source!H8</f>
        <v>Dick's Team</v>
      </c>
      <c r="K19" s="188"/>
      <c r="L19" s="188"/>
      <c r="M19" s="188"/>
      <c r="N19" s="188"/>
      <c r="O19" s="191"/>
      <c r="P19" s="236"/>
      <c r="Q19" s="186" t="str">
        <f>Source!H9</f>
        <v>Jackson's Team</v>
      </c>
      <c r="R19" s="188"/>
      <c r="S19" s="188"/>
      <c r="T19" s="188"/>
      <c r="U19" s="188"/>
      <c r="V19" s="191"/>
      <c r="W19" s="236"/>
      <c r="X19" s="186" t="str">
        <f>Source!H10</f>
        <v>Zach's Team</v>
      </c>
      <c r="Y19" s="188"/>
      <c r="Z19" s="188"/>
      <c r="AA19" s="188"/>
      <c r="AB19" s="188"/>
      <c r="AC19" s="191"/>
      <c r="AD19" s="433"/>
      <c r="AE19" s="168" t="s">
        <v>228</v>
      </c>
    </row>
    <row r="20" ht="15.75" customHeight="1">
      <c r="A20" s="168"/>
      <c r="B20" s="474"/>
      <c r="C20" s="225" t="str">
        <f>Source!G7</f>
        <v>Tyler Gottfredsen</v>
      </c>
      <c r="D20" s="226"/>
      <c r="E20" s="229" t="s">
        <v>74</v>
      </c>
      <c r="F20" s="231"/>
      <c r="G20" s="231"/>
      <c r="H20" s="234" t="str">
        <f>Source!J7</f>
        <v>CST</v>
      </c>
      <c r="I20" s="236"/>
      <c r="J20" s="225" t="str">
        <f>Source!G8</f>
        <v>Dick Hansen</v>
      </c>
      <c r="K20" s="226"/>
      <c r="L20" s="229" t="s">
        <v>74</v>
      </c>
      <c r="M20" s="231"/>
      <c r="N20" s="231"/>
      <c r="O20" s="234" t="str">
        <f>Source!J8</f>
        <v>CST</v>
      </c>
      <c r="P20" s="236"/>
      <c r="Q20" s="225" t="str">
        <f>Source!G9</f>
        <v>Jackson McLoughlin</v>
      </c>
      <c r="R20" s="226"/>
      <c r="S20" s="229" t="s">
        <v>74</v>
      </c>
      <c r="T20" s="231"/>
      <c r="U20" s="231"/>
      <c r="V20" s="234" t="str">
        <f>Source!J9</f>
        <v>EST</v>
      </c>
      <c r="W20" s="236"/>
      <c r="X20" s="225" t="str">
        <f>Source!G10</f>
        <v>Zach VanSickle</v>
      </c>
      <c r="Y20" s="226"/>
      <c r="Z20" s="229" t="s">
        <v>74</v>
      </c>
      <c r="AA20" s="231"/>
      <c r="AB20" s="231"/>
      <c r="AC20" s="234" t="str">
        <f>Source!J10</f>
        <v>CST</v>
      </c>
      <c r="AD20" s="433"/>
      <c r="AE20" s="168"/>
    </row>
    <row r="21" ht="15.75" customHeight="1">
      <c r="A21" s="168"/>
      <c r="B21" s="474"/>
      <c r="C21" s="260" t="str">
        <f t="array" ref="C21:C32">IFERROR(VLOOKUP(D21:D32,{Pokedex!$I$2:$I35,Pokedex!$H$2:$H35},2,FALSE),"")</f>
        <v/>
      </c>
      <c r="D21" s="266" t="s">
        <v>186</v>
      </c>
      <c r="E21" s="273" t="str">
        <f t="array" ref="E21:G32">iferror(vlookup(Data!$G53:$I64,Data!$T$28:$U$46,2,0),"")</f>
        <v/>
      </c>
      <c r="F21" s="273"/>
      <c r="G21" s="273"/>
      <c r="H21" s="286">
        <f t="array" ref="H21:H32">IFNA(VLOOKUP(SUBSTITUTE(D21:D32," (T)",""),{Source!$B$2:$B35,Source!$C$2:$D35},IF(RIGHT(D21:D32)=")",3,2),0),"")</f>
        <v>19</v>
      </c>
      <c r="I21" s="195"/>
      <c r="J21" s="260" t="str">
        <f t="array" ref="J21:J32">IFERROR(VLOOKUP(K21:K32,{Pokedex!$I$2:$I35,Pokedex!$H$2:$H35},2,FALSE),"")</f>
        <v/>
      </c>
      <c r="K21" s="493" t="s">
        <v>246</v>
      </c>
      <c r="L21" s="273" t="str">
        <f t="array" ref="L21:N32">iferror(vlookup(Data!$G65:$I76,Data!$T$28:$U$46,2,0),"")</f>
        <v/>
      </c>
      <c r="M21" s="273"/>
      <c r="N21" s="273"/>
      <c r="O21" s="286">
        <f t="array" ref="O21:O32">IFNA(VLOOKUP(SUBSTITUTE(K21:K32," (T)",""),{Source!$B$2:$B35,Source!$C$2:$D35},IF(RIGHT(K21:K32)=")",3,2),0),"")</f>
        <v>18</v>
      </c>
      <c r="P21" s="195"/>
      <c r="Q21" s="260" t="str">
        <f t="array" ref="Q21:Q32">IFERROR(VLOOKUP(R21:R32,{Pokedex!$I$2:$I35,Pokedex!$H$2:$H35},2,FALSE),"")</f>
        <v/>
      </c>
      <c r="R21" s="266" t="s">
        <v>166</v>
      </c>
      <c r="S21" s="273" t="str">
        <f t="array" ref="S21:U32">iferror(vlookup(Data!$G77:$I88,Data!$T$28:$U$46,2,0),"")</f>
        <v/>
      </c>
      <c r="T21" s="273"/>
      <c r="U21" s="273"/>
      <c r="V21" s="286">
        <f t="array" ref="V21:V32">IFNA(VLOOKUP(SUBSTITUTE(R21:R32," (T)",""),{Source!$B$2:$B35,Source!$C$2:$D35},IF(RIGHT(R21:R32)=")",3,2),0),"")</f>
        <v>15</v>
      </c>
      <c r="W21" s="195"/>
      <c r="X21" s="260" t="str">
        <f t="array" ref="X21:X32">IFERROR(VLOOKUP(Y21:Y32,{Pokedex!$I$2:$I35,Pokedex!$H$2:$H35},2,FALSE),"")</f>
        <v/>
      </c>
      <c r="Y21" s="372" t="s">
        <v>137</v>
      </c>
      <c r="Z21" s="273" t="str">
        <f t="array" ref="Z21:AB32">iferror(vlookup(Data!$G89:$I100,Data!$T$28:$U$46,2,0),"")</f>
        <v/>
      </c>
      <c r="AA21" s="273"/>
      <c r="AB21" s="273"/>
      <c r="AC21" s="286">
        <f t="array" ref="AC21:AC32">IFNA(VLOOKUP(SUBSTITUTE(Y21:Y32," (T)",""),{Source!$B$2:$B35,Source!$C$2:$D35},IF(RIGHT(Y21:Y32)=")",3,2),0),"")</f>
        <v>18</v>
      </c>
      <c r="AD21" s="433"/>
      <c r="AE21" s="168"/>
    </row>
    <row r="22" ht="15.75" customHeight="1">
      <c r="A22" s="168"/>
      <c r="B22" s="474"/>
      <c r="C22" s="394"/>
      <c r="D22" s="372" t="s">
        <v>112</v>
      </c>
      <c r="E22" s="395"/>
      <c r="F22" s="395"/>
      <c r="G22" s="395"/>
      <c r="H22" s="396">
        <v>15.0</v>
      </c>
      <c r="I22" s="195"/>
      <c r="J22" s="394"/>
      <c r="K22" s="528" t="s">
        <v>243</v>
      </c>
      <c r="L22" s="395"/>
      <c r="M22" s="395"/>
      <c r="N22" s="395"/>
      <c r="O22" s="396">
        <v>17.0</v>
      </c>
      <c r="P22" s="195"/>
      <c r="Q22" s="394"/>
      <c r="R22" s="372" t="s">
        <v>104</v>
      </c>
      <c r="S22" s="395"/>
      <c r="T22" s="395"/>
      <c r="U22" s="395"/>
      <c r="V22" s="396">
        <v>15.0</v>
      </c>
      <c r="W22" s="195"/>
      <c r="X22" s="394"/>
      <c r="Y22" s="372" t="s">
        <v>118</v>
      </c>
      <c r="Z22" s="395"/>
      <c r="AA22" s="395"/>
      <c r="AB22" s="395"/>
      <c r="AC22" s="396">
        <v>16.0</v>
      </c>
      <c r="AD22" s="433"/>
      <c r="AE22" s="168"/>
    </row>
    <row r="23" ht="15.75" customHeight="1">
      <c r="A23" s="168"/>
      <c r="B23" s="474"/>
      <c r="C23" s="394"/>
      <c r="D23" s="372" t="s">
        <v>175</v>
      </c>
      <c r="E23" s="395"/>
      <c r="F23" s="395"/>
      <c r="G23" s="395"/>
      <c r="H23" s="396">
        <v>13.0</v>
      </c>
      <c r="I23" s="195"/>
      <c r="J23" s="394"/>
      <c r="K23" s="528" t="s">
        <v>237</v>
      </c>
      <c r="L23" s="395"/>
      <c r="M23" s="395"/>
      <c r="N23" s="395"/>
      <c r="O23" s="396">
        <v>12.0</v>
      </c>
      <c r="P23" s="195"/>
      <c r="Q23" s="394"/>
      <c r="R23" s="372" t="s">
        <v>97</v>
      </c>
      <c r="S23" s="395"/>
      <c r="T23" s="395"/>
      <c r="U23" s="395"/>
      <c r="V23" s="396">
        <v>13.0</v>
      </c>
      <c r="W23" s="195"/>
      <c r="X23" s="394"/>
      <c r="Y23" s="372" t="s">
        <v>225</v>
      </c>
      <c r="Z23" s="395"/>
      <c r="AA23" s="395"/>
      <c r="AB23" s="395"/>
      <c r="AC23" s="396">
        <v>12.0</v>
      </c>
      <c r="AD23" s="433"/>
      <c r="AE23" s="168"/>
    </row>
    <row r="24" ht="15.75" customHeight="1">
      <c r="A24" s="168"/>
      <c r="B24" s="474"/>
      <c r="C24" s="411"/>
      <c r="D24" s="412" t="s">
        <v>244</v>
      </c>
      <c r="E24" s="417"/>
      <c r="F24" s="417"/>
      <c r="G24" s="417"/>
      <c r="H24" s="396">
        <v>12.0</v>
      </c>
      <c r="I24" s="195"/>
      <c r="J24" s="411"/>
      <c r="K24" s="531" t="s">
        <v>208</v>
      </c>
      <c r="L24" s="417"/>
      <c r="M24" s="417"/>
      <c r="N24" s="417"/>
      <c r="O24" s="396">
        <v>11.0</v>
      </c>
      <c r="P24" s="195"/>
      <c r="Q24" s="411"/>
      <c r="R24" s="412" t="s">
        <v>170</v>
      </c>
      <c r="S24" s="417"/>
      <c r="T24" s="417"/>
      <c r="U24" s="417"/>
      <c r="V24" s="396">
        <v>9.0</v>
      </c>
      <c r="W24" s="195"/>
      <c r="X24" s="411"/>
      <c r="Y24" s="412" t="s">
        <v>107</v>
      </c>
      <c r="Z24" s="417"/>
      <c r="AA24" s="417"/>
      <c r="AB24" s="417"/>
      <c r="AC24" s="396">
        <v>12.0</v>
      </c>
      <c r="AD24" s="433"/>
      <c r="AE24" s="168" t="s">
        <v>228</v>
      </c>
    </row>
    <row r="25" ht="15.75" customHeight="1">
      <c r="A25" s="168"/>
      <c r="B25" s="474"/>
      <c r="C25" s="411"/>
      <c r="D25" s="412" t="s">
        <v>222</v>
      </c>
      <c r="E25" s="417"/>
      <c r="F25" s="417"/>
      <c r="G25" s="417"/>
      <c r="H25" s="396">
        <v>12.0</v>
      </c>
      <c r="I25" s="195"/>
      <c r="J25" s="411"/>
      <c r="K25" s="534" t="s">
        <v>245</v>
      </c>
      <c r="L25" s="417"/>
      <c r="M25" s="417"/>
      <c r="N25" s="417"/>
      <c r="O25" s="396">
        <v>12.0</v>
      </c>
      <c r="P25" s="195"/>
      <c r="Q25" s="411"/>
      <c r="R25" s="412" t="s">
        <v>168</v>
      </c>
      <c r="S25" s="417"/>
      <c r="T25" s="417"/>
      <c r="U25" s="417"/>
      <c r="V25" s="396">
        <v>16.0</v>
      </c>
      <c r="W25" s="195"/>
      <c r="X25" s="411"/>
      <c r="Y25" s="412" t="s">
        <v>133</v>
      </c>
      <c r="Z25" s="417"/>
      <c r="AA25" s="417"/>
      <c r="AB25" s="417"/>
      <c r="AC25" s="396">
        <v>11.0</v>
      </c>
      <c r="AD25" s="433"/>
      <c r="AE25" s="168"/>
    </row>
    <row r="26" ht="15.75" customHeight="1">
      <c r="A26" s="168"/>
      <c r="B26" s="474"/>
      <c r="C26" s="411"/>
      <c r="D26" s="412" t="s">
        <v>153</v>
      </c>
      <c r="E26" s="417"/>
      <c r="F26" s="417"/>
      <c r="G26" s="417"/>
      <c r="H26" s="396">
        <v>9.0</v>
      </c>
      <c r="I26" s="195"/>
      <c r="J26" s="411"/>
      <c r="K26" s="531" t="s">
        <v>149</v>
      </c>
      <c r="L26" s="417"/>
      <c r="M26" s="417"/>
      <c r="N26" s="417"/>
      <c r="O26" s="396">
        <v>11.0</v>
      </c>
      <c r="P26" s="195"/>
      <c r="Q26" s="411"/>
      <c r="R26" s="412" t="s">
        <v>91</v>
      </c>
      <c r="S26" s="417"/>
      <c r="T26" s="417"/>
      <c r="U26" s="417"/>
      <c r="V26" s="396">
        <v>13.0</v>
      </c>
      <c r="W26" s="195"/>
      <c r="X26" s="411"/>
      <c r="Y26" s="412" t="s">
        <v>188</v>
      </c>
      <c r="Z26" s="417"/>
      <c r="AA26" s="417"/>
      <c r="AB26" s="417"/>
      <c r="AC26" s="396">
        <v>16.0</v>
      </c>
      <c r="AD26" s="433"/>
      <c r="AE26" s="168"/>
    </row>
    <row r="27" ht="15.75" customHeight="1">
      <c r="A27" s="168"/>
      <c r="B27" s="474"/>
      <c r="C27" s="411"/>
      <c r="D27" s="412" t="s">
        <v>165</v>
      </c>
      <c r="E27" s="417"/>
      <c r="F27" s="417"/>
      <c r="G27" s="417"/>
      <c r="H27" s="396">
        <v>18.0</v>
      </c>
      <c r="I27" s="195"/>
      <c r="J27" s="411"/>
      <c r="K27" s="531" t="s">
        <v>210</v>
      </c>
      <c r="L27" s="417"/>
      <c r="M27" s="417"/>
      <c r="N27" s="417"/>
      <c r="O27" s="396">
        <v>6.0</v>
      </c>
      <c r="P27" s="195"/>
      <c r="Q27" s="411"/>
      <c r="R27" s="412" t="s">
        <v>142</v>
      </c>
      <c r="S27" s="417"/>
      <c r="T27" s="417"/>
      <c r="U27" s="417"/>
      <c r="V27" s="396">
        <v>15.0</v>
      </c>
      <c r="W27" s="195"/>
      <c r="X27" s="411"/>
      <c r="Y27" s="412" t="s">
        <v>238</v>
      </c>
      <c r="Z27" s="417"/>
      <c r="AA27" s="417"/>
      <c r="AB27" s="417"/>
      <c r="AC27" s="396">
        <v>14.0</v>
      </c>
      <c r="AD27" s="433"/>
      <c r="AE27" s="168"/>
    </row>
    <row r="28" ht="15.75" customHeight="1">
      <c r="A28" s="168"/>
      <c r="B28" s="474"/>
      <c r="C28" s="435"/>
      <c r="D28" s="437" t="s">
        <v>235</v>
      </c>
      <c r="E28" s="440"/>
      <c r="F28" s="440"/>
      <c r="G28" s="440"/>
      <c r="H28" s="396">
        <v>8.0</v>
      </c>
      <c r="I28" s="195"/>
      <c r="J28" s="435"/>
      <c r="K28" s="531" t="s">
        <v>241</v>
      </c>
      <c r="L28" s="440"/>
      <c r="M28" s="440"/>
      <c r="N28" s="440"/>
      <c r="O28" s="396">
        <v>12.0</v>
      </c>
      <c r="P28" s="195"/>
      <c r="Q28" s="435"/>
      <c r="R28" s="437" t="s">
        <v>90</v>
      </c>
      <c r="S28" s="440"/>
      <c r="T28" s="440"/>
      <c r="U28" s="440"/>
      <c r="V28" s="396">
        <v>8.0</v>
      </c>
      <c r="W28" s="195"/>
      <c r="X28" s="435"/>
      <c r="Y28" s="437" t="s">
        <v>239</v>
      </c>
      <c r="Z28" s="440"/>
      <c r="AA28" s="440"/>
      <c r="AB28" s="440"/>
      <c r="AC28" s="396">
        <v>12.0</v>
      </c>
      <c r="AD28" s="433"/>
      <c r="AE28" s="168"/>
    </row>
    <row r="29" ht="15.75" customHeight="1">
      <c r="A29" s="168"/>
      <c r="B29" s="474"/>
      <c r="C29" s="435"/>
      <c r="D29" s="437" t="s">
        <v>205</v>
      </c>
      <c r="E29" s="440"/>
      <c r="F29" s="440"/>
      <c r="G29" s="440"/>
      <c r="H29" s="396">
        <v>12.0</v>
      </c>
      <c r="I29" s="195"/>
      <c r="J29" s="435"/>
      <c r="K29" s="531" t="s">
        <v>155</v>
      </c>
      <c r="L29" s="440"/>
      <c r="M29" s="440"/>
      <c r="N29" s="440"/>
      <c r="O29" s="396">
        <v>16.0</v>
      </c>
      <c r="P29" s="195"/>
      <c r="Q29" s="435"/>
      <c r="R29" s="437" t="s">
        <v>214</v>
      </c>
      <c r="S29" s="440"/>
      <c r="T29" s="440"/>
      <c r="U29" s="440"/>
      <c r="V29" s="396">
        <v>9.0</v>
      </c>
      <c r="W29" s="195"/>
      <c r="X29" s="435"/>
      <c r="Y29" s="437" t="s">
        <v>138</v>
      </c>
      <c r="Z29" s="440"/>
      <c r="AA29" s="440"/>
      <c r="AB29" s="440"/>
      <c r="AC29" s="396">
        <v>9.0</v>
      </c>
      <c r="AD29" s="433"/>
      <c r="AE29" s="168"/>
    </row>
    <row r="30" ht="15.75" customHeight="1">
      <c r="A30" s="168"/>
      <c r="B30" s="474"/>
      <c r="C30" s="435"/>
      <c r="D30" s="437" t="s">
        <v>131</v>
      </c>
      <c r="E30" s="440"/>
      <c r="F30" s="440"/>
      <c r="G30" s="440"/>
      <c r="H30" s="396">
        <v>5.0</v>
      </c>
      <c r="I30" s="195"/>
      <c r="J30" s="435"/>
      <c r="K30" s="531" t="s">
        <v>177</v>
      </c>
      <c r="L30" s="440"/>
      <c r="M30" s="440"/>
      <c r="N30" s="440"/>
      <c r="O30" s="396">
        <v>10.0</v>
      </c>
      <c r="P30" s="195"/>
      <c r="Q30" s="435"/>
      <c r="R30" s="437" t="s">
        <v>132</v>
      </c>
      <c r="S30" s="440"/>
      <c r="T30" s="440"/>
      <c r="U30" s="440"/>
      <c r="V30" s="396">
        <v>12.0</v>
      </c>
      <c r="W30" s="195"/>
      <c r="X30" s="435"/>
      <c r="Y30" s="437" t="s">
        <v>217</v>
      </c>
      <c r="Z30" s="440"/>
      <c r="AA30" s="440"/>
      <c r="AB30" s="440"/>
      <c r="AC30" s="396">
        <v>5.0</v>
      </c>
      <c r="AD30" s="433"/>
      <c r="AE30" s="168"/>
    </row>
    <row r="31" ht="15.75" customHeight="1">
      <c r="A31" s="168"/>
      <c r="B31" s="474"/>
      <c r="C31" s="451"/>
      <c r="D31" s="437"/>
      <c r="E31" s="440"/>
      <c r="F31" s="440"/>
      <c r="G31" s="440"/>
      <c r="H31" s="396" t="s">
        <v>230</v>
      </c>
      <c r="I31" s="195"/>
      <c r="J31" s="451"/>
      <c r="K31" s="437"/>
      <c r="L31" s="440"/>
      <c r="M31" s="440"/>
      <c r="N31" s="440"/>
      <c r="O31" s="396" t="s">
        <v>230</v>
      </c>
      <c r="P31" s="195"/>
      <c r="Q31" s="451"/>
      <c r="R31" s="437"/>
      <c r="S31" s="440"/>
      <c r="T31" s="440"/>
      <c r="U31" s="440"/>
      <c r="V31" s="396" t="s">
        <v>230</v>
      </c>
      <c r="W31" s="195"/>
      <c r="X31" s="451"/>
      <c r="Y31" s="437" t="s">
        <v>218</v>
      </c>
      <c r="Z31" s="440"/>
      <c r="AA31" s="440"/>
      <c r="AB31" s="440"/>
      <c r="AC31" s="396">
        <v>0.0</v>
      </c>
      <c r="AD31" s="433"/>
      <c r="AE31" s="168"/>
    </row>
    <row r="32" ht="15.75" customHeight="1">
      <c r="A32" s="168"/>
      <c r="B32" s="474"/>
      <c r="C32" s="451"/>
      <c r="D32" s="437"/>
      <c r="E32" s="440"/>
      <c r="F32" s="440"/>
      <c r="G32" s="440"/>
      <c r="H32" s="396" t="s">
        <v>230</v>
      </c>
      <c r="I32" s="195"/>
      <c r="J32" s="451"/>
      <c r="K32" s="437"/>
      <c r="L32" s="440"/>
      <c r="M32" s="440"/>
      <c r="N32" s="440"/>
      <c r="O32" s="396" t="s">
        <v>230</v>
      </c>
      <c r="P32" s="195"/>
      <c r="Q32" s="451"/>
      <c r="R32" s="437"/>
      <c r="S32" s="440"/>
      <c r="T32" s="440"/>
      <c r="U32" s="440"/>
      <c r="V32" s="396" t="s">
        <v>230</v>
      </c>
      <c r="W32" s="195"/>
      <c r="X32" s="451"/>
      <c r="Y32" s="437" t="s">
        <v>221</v>
      </c>
      <c r="Z32" s="440"/>
      <c r="AA32" s="440"/>
      <c r="AB32" s="440"/>
      <c r="AC32" s="396">
        <v>0.0</v>
      </c>
      <c r="AD32" s="433"/>
      <c r="AE32" s="168"/>
    </row>
    <row r="33" ht="15.75" customHeight="1">
      <c r="A33" s="168"/>
      <c r="B33" s="474"/>
      <c r="C33" s="467" t="s">
        <v>273</v>
      </c>
      <c r="D33" s="471" t="str">
        <f>125-SUM(H21:H32)&amp;" points"</f>
        <v>2 points</v>
      </c>
      <c r="E33" s="29"/>
      <c r="F33" s="29"/>
      <c r="G33" s="29"/>
      <c r="H33" s="31"/>
      <c r="I33" s="236"/>
      <c r="J33" s="467" t="s">
        <v>275</v>
      </c>
      <c r="K33" s="471" t="str">
        <f>125-SUM(O21:O32)&amp;" points"</f>
        <v>0 points</v>
      </c>
      <c r="L33" s="29"/>
      <c r="M33" s="29"/>
      <c r="N33" s="29"/>
      <c r="O33" s="31"/>
      <c r="P33" s="236"/>
      <c r="Q33" s="467" t="s">
        <v>278</v>
      </c>
      <c r="R33" s="471" t="str">
        <f>125-SUM(V21:V32)&amp;" points"</f>
        <v>0 points</v>
      </c>
      <c r="S33" s="29"/>
      <c r="T33" s="29"/>
      <c r="U33" s="29"/>
      <c r="V33" s="31"/>
      <c r="W33" s="236"/>
      <c r="X33" s="467" t="s">
        <v>231</v>
      </c>
      <c r="Y33" s="471" t="str">
        <f>125-SUM(AC21:AC32)&amp;" points"</f>
        <v>0 points</v>
      </c>
      <c r="Z33" s="29"/>
      <c r="AA33" s="29"/>
      <c r="AB33" s="29"/>
      <c r="AC33" s="31"/>
      <c r="AD33" s="433"/>
      <c r="AE33" s="168"/>
    </row>
    <row r="34" ht="7.5" customHeight="1">
      <c r="A34" s="35"/>
      <c r="B34" s="549"/>
      <c r="C34" s="550"/>
      <c r="D34" s="550"/>
      <c r="E34" s="550"/>
      <c r="F34" s="550"/>
      <c r="G34" s="550"/>
      <c r="H34" s="550"/>
      <c r="I34" s="550"/>
      <c r="J34" s="550"/>
      <c r="K34" s="550"/>
      <c r="L34" s="550"/>
      <c r="M34" s="550"/>
      <c r="N34" s="550"/>
      <c r="O34" s="550"/>
      <c r="P34" s="550"/>
      <c r="Q34" s="550"/>
      <c r="R34" s="550"/>
      <c r="S34" s="550"/>
      <c r="T34" s="550"/>
      <c r="U34" s="550"/>
      <c r="V34" s="550"/>
      <c r="W34" s="550"/>
      <c r="X34" s="550"/>
      <c r="Y34" s="550"/>
      <c r="Z34" s="550"/>
      <c r="AA34" s="550"/>
      <c r="AB34" s="550"/>
      <c r="AC34" s="550"/>
      <c r="AD34" s="551"/>
      <c r="AE34" s="35"/>
    </row>
    <row r="35" ht="7.5" customHeight="1">
      <c r="A35" s="168"/>
      <c r="B35" s="168"/>
      <c r="C35" s="168"/>
      <c r="D35" s="168"/>
      <c r="E35" s="168"/>
      <c r="F35" s="168"/>
      <c r="G35" s="168"/>
      <c r="H35" s="168"/>
      <c r="I35" s="168"/>
      <c r="J35" s="168"/>
      <c r="K35" s="168"/>
      <c r="L35" s="168"/>
      <c r="M35" s="168"/>
      <c r="N35" s="168"/>
      <c r="O35" s="168"/>
      <c r="P35" s="168"/>
      <c r="Q35" s="168"/>
      <c r="R35" s="168" t="s">
        <v>282</v>
      </c>
      <c r="S35" s="168">
        <v>7.0</v>
      </c>
      <c r="T35" s="168"/>
      <c r="U35" s="168"/>
      <c r="V35" s="168"/>
      <c r="W35" s="168"/>
      <c r="X35" s="168"/>
      <c r="Y35" s="168"/>
      <c r="Z35" s="168"/>
      <c r="AA35" s="168"/>
      <c r="AB35" s="168"/>
      <c r="AC35" s="168"/>
      <c r="AD35" s="168"/>
      <c r="AE35" s="168"/>
    </row>
  </sheetData>
  <mergeCells count="32">
    <mergeCell ref="S4:U4"/>
    <mergeCell ref="X4:Y4"/>
    <mergeCell ref="C3:H3"/>
    <mergeCell ref="J3:O3"/>
    <mergeCell ref="Q3:V3"/>
    <mergeCell ref="X3:AC3"/>
    <mergeCell ref="C4:D4"/>
    <mergeCell ref="E4:G4"/>
    <mergeCell ref="J4:K4"/>
    <mergeCell ref="Z4:AB4"/>
    <mergeCell ref="J19:O19"/>
    <mergeCell ref="Q19:V19"/>
    <mergeCell ref="L4:N4"/>
    <mergeCell ref="Q4:R4"/>
    <mergeCell ref="D17:H17"/>
    <mergeCell ref="K17:O17"/>
    <mergeCell ref="R17:V17"/>
    <mergeCell ref="Y17:AC17"/>
    <mergeCell ref="X19:AC19"/>
    <mergeCell ref="X20:Y20"/>
    <mergeCell ref="Z20:AB20"/>
    <mergeCell ref="D33:H33"/>
    <mergeCell ref="K33:O33"/>
    <mergeCell ref="R33:V33"/>
    <mergeCell ref="Y33:AC33"/>
    <mergeCell ref="C19:H19"/>
    <mergeCell ref="C20:D20"/>
    <mergeCell ref="E20:G20"/>
    <mergeCell ref="J20:K20"/>
    <mergeCell ref="L20:N20"/>
    <mergeCell ref="Q20:R20"/>
    <mergeCell ref="S20:U20"/>
  </mergeCells>
  <conditionalFormatting sqref="Y9">
    <cfRule type="expression" dxfId="4" priority="1">
      <formula>VLOOKUP(Y9,{#REF!,#REF!},2,0)="X"</formula>
    </cfRule>
  </conditionalFormatting>
  <conditionalFormatting sqref="Y9 Y13">
    <cfRule type="containsBlanks" dxfId="5" priority="2">
      <formula>LEN(TRIM(Y9))=0</formula>
    </cfRule>
  </conditionalFormatting>
  <conditionalFormatting sqref="D5:G16 K5:N16 R5:U16 Y5:AB16 D21:G32 K21:N32 R21:U32 Y21:AB32">
    <cfRule type="expression" dxfId="6" priority="3">
      <formula>COUNTIF({$D$5:$AE$32},D5)&gt;1</formula>
    </cfRule>
  </conditionalFormatting>
  <dataValidations>
    <dataValidation type="list" allowBlank="1" showDropDown="1" showErrorMessage="1" sqref="L5 S5 Z5 D5:G16 D21:G32 K21:N32 R21:U32 Y21:AB32">
      <formula1>Pokedex!$I$3:$I35</formula1>
    </dataValidation>
    <dataValidation type="list" allowBlank="1" showDropDown="1" showErrorMessage="1" sqref="K5 M5:N5 R5 T5:U5 Y5 AA5:AB5 Z6:AB6 Y7:AB8 Z9:AB9 K6:N10 K11:M11 Y10:AB12 Z13:AB13 K12:N16 R6:U16 Y14:AB16">
      <formula1>Pokedex!$I$2:$I35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1.38"/>
    <col customWidth="1" min="3" max="3" width="3.88"/>
    <col customWidth="1" min="4" max="4" width="5.75"/>
    <col customWidth="1" min="5" max="5" width="3.88"/>
    <col customWidth="1" min="6" max="6" width="18.75"/>
    <col customWidth="1" hidden="1" min="7" max="9" width="3.88"/>
    <col customWidth="1" min="10" max="13" width="3.88"/>
    <col customWidth="1" min="14" max="15" width="1.38"/>
    <col customWidth="1" hidden="1" min="16" max="17" width="3.88"/>
    <col customWidth="1" hidden="1" min="18" max="18" width="15.13"/>
    <col customWidth="1" hidden="1" min="19" max="22" width="3.88"/>
    <col customWidth="1" hidden="1" min="23" max="23" width="1.38"/>
  </cols>
  <sheetData>
    <row r="1" ht="7.5" customHeight="1">
      <c r="A1" s="174"/>
      <c r="B1" s="177"/>
      <c r="C1" s="177"/>
      <c r="D1" s="178"/>
      <c r="E1" s="178"/>
      <c r="F1" s="178"/>
      <c r="G1" s="178"/>
      <c r="H1" s="178"/>
      <c r="I1" s="178"/>
      <c r="J1" s="178"/>
      <c r="K1" s="178"/>
      <c r="L1" s="178"/>
      <c r="M1" s="178"/>
      <c r="N1" s="177"/>
      <c r="O1" s="177"/>
      <c r="P1" s="177"/>
      <c r="Q1" s="177"/>
      <c r="R1" s="177"/>
      <c r="S1" s="177"/>
      <c r="T1" s="177"/>
      <c r="U1" s="177"/>
      <c r="V1" s="177"/>
      <c r="W1" s="177"/>
    </row>
    <row r="2" ht="7.5" customHeight="1">
      <c r="A2" s="177"/>
      <c r="B2" s="183"/>
      <c r="C2" s="184"/>
      <c r="D2" s="185"/>
      <c r="E2" s="185"/>
      <c r="F2" s="185"/>
      <c r="G2" s="185"/>
      <c r="H2" s="185"/>
      <c r="I2" s="185"/>
      <c r="J2" s="185"/>
      <c r="K2" s="185"/>
      <c r="L2" s="185"/>
      <c r="M2" s="185"/>
      <c r="N2" s="187"/>
      <c r="O2" s="177"/>
      <c r="P2" s="189"/>
      <c r="Q2" s="189"/>
      <c r="R2" s="189"/>
      <c r="S2" s="189"/>
      <c r="T2" s="189"/>
      <c r="U2" s="189"/>
      <c r="V2" s="189"/>
      <c r="W2" s="177"/>
    </row>
    <row r="3">
      <c r="A3" s="193"/>
      <c r="B3" s="194"/>
      <c r="C3" s="197"/>
      <c r="D3" s="29"/>
      <c r="E3" s="29"/>
      <c r="F3" s="29"/>
      <c r="G3" s="29"/>
      <c r="H3" s="29"/>
      <c r="I3" s="29"/>
      <c r="J3" s="29"/>
      <c r="K3" s="29"/>
      <c r="L3" s="29"/>
      <c r="M3" s="31"/>
      <c r="N3" s="201"/>
      <c r="O3" s="193"/>
      <c r="P3" s="203" t="s">
        <v>70</v>
      </c>
      <c r="Q3" s="29"/>
      <c r="R3" s="29"/>
      <c r="S3" s="29"/>
      <c r="T3" s="29"/>
      <c r="U3" s="29"/>
      <c r="V3" s="31"/>
      <c r="W3" s="193"/>
    </row>
    <row r="4">
      <c r="A4" s="193"/>
      <c r="B4" s="194"/>
      <c r="C4" s="206" t="s">
        <v>71</v>
      </c>
      <c r="D4" s="208" t="s">
        <v>72</v>
      </c>
      <c r="E4" s="209" t="s">
        <v>73</v>
      </c>
      <c r="F4" s="210"/>
      <c r="G4" s="209" t="s">
        <v>74</v>
      </c>
      <c r="H4" s="147"/>
      <c r="I4" s="210"/>
      <c r="J4" s="208" t="s">
        <v>75</v>
      </c>
      <c r="K4" s="208" t="s">
        <v>76</v>
      </c>
      <c r="L4" s="208" t="s">
        <v>77</v>
      </c>
      <c r="M4" s="211" t="s">
        <v>78</v>
      </c>
      <c r="N4" s="201"/>
      <c r="O4" s="193"/>
      <c r="P4" s="213" t="s">
        <v>71</v>
      </c>
      <c r="Q4" s="214" t="s">
        <v>73</v>
      </c>
      <c r="R4" s="210"/>
      <c r="S4" s="215" t="s">
        <v>75</v>
      </c>
      <c r="T4" s="215" t="s">
        <v>76</v>
      </c>
      <c r="U4" s="215" t="s">
        <v>77</v>
      </c>
      <c r="V4" s="216" t="s">
        <v>78</v>
      </c>
      <c r="W4" s="193"/>
    </row>
    <row r="5" ht="3.75" customHeight="1">
      <c r="A5" s="177"/>
      <c r="B5" s="194"/>
      <c r="C5" s="189"/>
      <c r="D5" s="217"/>
      <c r="E5" s="217"/>
      <c r="F5" s="217"/>
      <c r="G5" s="217"/>
      <c r="H5" s="217"/>
      <c r="I5" s="217"/>
      <c r="J5" s="217"/>
      <c r="K5" s="217"/>
      <c r="L5" s="217"/>
      <c r="M5" s="217"/>
      <c r="N5" s="220"/>
      <c r="O5" s="177"/>
      <c r="P5" s="189"/>
      <c r="Q5" s="189"/>
      <c r="R5" s="189"/>
      <c r="S5" s="189"/>
      <c r="T5" s="189"/>
      <c r="U5" s="189"/>
      <c r="V5" s="189"/>
      <c r="W5" s="177"/>
    </row>
    <row r="6">
      <c r="A6" s="177"/>
      <c r="B6" s="222"/>
      <c r="C6" s="223">
        <v>1.0</v>
      </c>
      <c r="D6" s="233" t="str">
        <f t="array" ref="D6:M101">SORT(Data!D5:M100,8,FALSE,10,FALSE,7,true)</f>
        <v>RIP</v>
      </c>
      <c r="E6" s="235"/>
      <c r="F6" s="237" t="s">
        <v>79</v>
      </c>
      <c r="G6" s="239" t="s">
        <v>80</v>
      </c>
      <c r="H6" s="240" t="s">
        <v>81</v>
      </c>
      <c r="I6" s="241" t="s">
        <v>82</v>
      </c>
      <c r="J6" s="243">
        <v>6.0</v>
      </c>
      <c r="K6" s="244">
        <v>9.0</v>
      </c>
      <c r="L6" s="245">
        <v>2.0</v>
      </c>
      <c r="M6" s="246">
        <v>7.0</v>
      </c>
      <c r="N6" s="220"/>
      <c r="O6" s="177"/>
      <c r="P6" s="223">
        <v>1.0</v>
      </c>
      <c r="Q6" s="235" t="str">
        <f t="array" ref="Q6:Q156">IFERROR(VLOOKUP(R6:R156,Pokedex!$C$2:$D158,2,FALSE),"")</f>
        <v>ursaluna-bloodmoon</v>
      </c>
      <c r="R6" s="237" t="str">
        <f>IFERROR(__xludf.DUMMYFUNCTION("iferror(filter(UNIQUE({Data!F6:F64;#REF!}),UNIQUE({Data!F6:F64;#REF!})&lt;&gt;""""),"" "")"),"ursaluna-bloodmoon")</f>
        <v>ursaluna-bloodmoon</v>
      </c>
      <c r="S6" s="245" t="str">
        <f t="array" ref="S6:S156">SUMIF(Data!F6:F64,R6:R156,Data!J6:J64)+SUMIF(#REF!,R6:R156,#REF!)</f>
        <v>#N/A</v>
      </c>
      <c r="T6" s="245" t="str">
        <f t="array" ref="T6:T156">SUMIF(Data!F6:F64,R6:R156,Data!K6:K64)+SUMIF(#REF!,R6:R156,#REF!)</f>
        <v>#N/A</v>
      </c>
      <c r="U6" s="245" t="str">
        <f t="array" ref="U6:U156">SUMIF(Data!F6:F64,R6:R156,Data!L6:L64)+SUMIF(#REF!,R6:R156,#REF!)</f>
        <v>#N/A</v>
      </c>
      <c r="V6" s="290" t="str">
        <f t="array" ref="V6:V156">SUMIF(Data!F6:F64,R6:R156,Data!M6:M64)+SUMIF(#REF!,R6:R156,#REF!)</f>
        <v>#N/A</v>
      </c>
      <c r="W6" s="177"/>
    </row>
    <row r="7">
      <c r="A7" s="177"/>
      <c r="B7" s="222"/>
      <c r="C7" s="293">
        <f t="shared" ref="C7:C156" si="1">C6+1</f>
        <v>2</v>
      </c>
      <c r="D7" s="294" t="s">
        <v>84</v>
      </c>
      <c r="E7" s="295"/>
      <c r="F7" s="297" t="s">
        <v>85</v>
      </c>
      <c r="G7" s="300"/>
      <c r="H7" s="301"/>
      <c r="I7" s="303"/>
      <c r="J7" s="304">
        <v>5.0</v>
      </c>
      <c r="K7" s="305">
        <v>9.0</v>
      </c>
      <c r="L7" s="294">
        <v>4.0</v>
      </c>
      <c r="M7" s="306">
        <v>5.0</v>
      </c>
      <c r="N7" s="220"/>
      <c r="O7" s="177"/>
      <c r="P7" s="293">
        <f t="shared" ref="P7:P156" si="2">P6+1</f>
        <v>2</v>
      </c>
      <c r="Q7" s="295"/>
      <c r="R7" s="297" t="str">
        <f>IFERROR(__xludf.DUMMYFUNCTION("""COMPUTED_VALUE"""),"Iron Hands")</f>
        <v>Iron Hands</v>
      </c>
      <c r="S7" s="294" t="e">
        <v>#N/A</v>
      </c>
      <c r="T7" s="294" t="e">
        <v>#N/A</v>
      </c>
      <c r="U7" s="294" t="e">
        <v>#N/A</v>
      </c>
      <c r="V7" s="309" t="e">
        <v>#N/A</v>
      </c>
      <c r="W7" s="177"/>
    </row>
    <row r="8">
      <c r="A8" s="177"/>
      <c r="B8" s="222"/>
      <c r="C8" s="311">
        <f t="shared" si="1"/>
        <v>3</v>
      </c>
      <c r="D8" s="312" t="s">
        <v>87</v>
      </c>
      <c r="E8" s="313"/>
      <c r="F8" s="314" t="s">
        <v>83</v>
      </c>
      <c r="G8" s="315"/>
      <c r="H8" s="316"/>
      <c r="I8" s="317"/>
      <c r="J8" s="318">
        <v>5.0</v>
      </c>
      <c r="K8" s="319">
        <v>8.0</v>
      </c>
      <c r="L8" s="312">
        <v>4.0</v>
      </c>
      <c r="M8" s="320">
        <v>4.0</v>
      </c>
      <c r="N8" s="220"/>
      <c r="O8" s="177"/>
      <c r="P8" s="311">
        <f t="shared" si="2"/>
        <v>3</v>
      </c>
      <c r="Q8" s="313"/>
      <c r="R8" s="314" t="str">
        <f>IFERROR(__xludf.DUMMYFUNCTION("""COMPUTED_VALUE"""),"Skeledirge (T)")</f>
        <v>Skeledirge (T)</v>
      </c>
      <c r="S8" s="312" t="e">
        <v>#N/A</v>
      </c>
      <c r="T8" s="312" t="e">
        <v>#N/A</v>
      </c>
      <c r="U8" s="312" t="e">
        <v>#N/A</v>
      </c>
      <c r="V8" s="322" t="e">
        <v>#N/A</v>
      </c>
      <c r="W8" s="177"/>
    </row>
    <row r="9">
      <c r="A9" s="177"/>
      <c r="B9" s="222"/>
      <c r="C9" s="323">
        <f t="shared" si="1"/>
        <v>4</v>
      </c>
      <c r="D9" s="324" t="s">
        <v>87</v>
      </c>
      <c r="E9" s="325"/>
      <c r="F9" s="326" t="s">
        <v>88</v>
      </c>
      <c r="G9" s="328"/>
      <c r="H9" s="329"/>
      <c r="I9" s="331"/>
      <c r="J9" s="333">
        <v>5.0</v>
      </c>
      <c r="K9" s="334">
        <v>7.0</v>
      </c>
      <c r="L9" s="324">
        <v>4.0</v>
      </c>
      <c r="M9" s="335">
        <v>3.0</v>
      </c>
      <c r="N9" s="220"/>
      <c r="O9" s="177"/>
      <c r="P9" s="337">
        <f t="shared" si="2"/>
        <v>4</v>
      </c>
      <c r="Q9" s="338"/>
      <c r="R9" s="339" t="str">
        <f>IFERROR(__xludf.DUMMYFUNCTION("""COMPUTED_VALUE"""),"Walking Wake")</f>
        <v>Walking Wake</v>
      </c>
      <c r="S9" s="340" t="e">
        <v>#N/A</v>
      </c>
      <c r="T9" s="340" t="e">
        <v>#N/A</v>
      </c>
      <c r="U9" s="340" t="e">
        <v>#N/A</v>
      </c>
      <c r="V9" s="342" t="e">
        <v>#N/A</v>
      </c>
      <c r="W9" s="177"/>
    </row>
    <row r="10">
      <c r="A10" s="177"/>
      <c r="B10" s="222"/>
      <c r="C10" s="323">
        <f t="shared" si="1"/>
        <v>5</v>
      </c>
      <c r="D10" s="324" t="s">
        <v>89</v>
      </c>
      <c r="E10" s="325"/>
      <c r="F10" s="326" t="s">
        <v>90</v>
      </c>
      <c r="G10" s="328"/>
      <c r="H10" s="329"/>
      <c r="I10" s="331"/>
      <c r="J10" s="333">
        <v>5.0</v>
      </c>
      <c r="K10" s="334">
        <v>6.0</v>
      </c>
      <c r="L10" s="324">
        <v>0.0</v>
      </c>
      <c r="M10" s="335">
        <v>6.0</v>
      </c>
      <c r="N10" s="220"/>
      <c r="O10" s="177"/>
      <c r="P10" s="337">
        <f t="shared" si="2"/>
        <v>5</v>
      </c>
      <c r="Q10" s="338"/>
      <c r="R10" s="339" t="str">
        <f>IFERROR(__xludf.DUMMYFUNCTION("""COMPUTED_VALUE"""),"Alomomola (T)")</f>
        <v>Alomomola (T)</v>
      </c>
      <c r="S10" s="340" t="e">
        <v>#N/A</v>
      </c>
      <c r="T10" s="340" t="e">
        <v>#N/A</v>
      </c>
      <c r="U10" s="340" t="e">
        <v>#N/A</v>
      </c>
      <c r="V10" s="342" t="e">
        <v>#N/A</v>
      </c>
      <c r="W10" s="177"/>
    </row>
    <row r="11">
      <c r="A11" s="177"/>
      <c r="B11" s="222"/>
      <c r="C11" s="323">
        <f t="shared" si="1"/>
        <v>6</v>
      </c>
      <c r="D11" s="324" t="s">
        <v>89</v>
      </c>
      <c r="E11" s="325"/>
      <c r="F11" s="326" t="s">
        <v>91</v>
      </c>
      <c r="G11" s="328" t="s">
        <v>92</v>
      </c>
      <c r="H11" s="329" t="s">
        <v>93</v>
      </c>
      <c r="I11" s="331" t="s">
        <v>81</v>
      </c>
      <c r="J11" s="333">
        <v>3.0</v>
      </c>
      <c r="K11" s="334">
        <v>6.0</v>
      </c>
      <c r="L11" s="324">
        <v>2.0</v>
      </c>
      <c r="M11" s="335">
        <v>4.0</v>
      </c>
      <c r="N11" s="220"/>
      <c r="O11" s="177"/>
      <c r="P11" s="337">
        <f t="shared" si="2"/>
        <v>6</v>
      </c>
      <c r="Q11" s="338" t="s">
        <v>94</v>
      </c>
      <c r="R11" s="339" t="str">
        <f>IFERROR(__xludf.DUMMYFUNCTION("""COMPUTED_VALUE"""),"Cobalion")</f>
        <v>Cobalion</v>
      </c>
      <c r="S11" s="340" t="e">
        <v>#N/A</v>
      </c>
      <c r="T11" s="340" t="e">
        <v>#N/A</v>
      </c>
      <c r="U11" s="340" t="e">
        <v>#N/A</v>
      </c>
      <c r="V11" s="342" t="e">
        <v>#N/A</v>
      </c>
      <c r="W11" s="177"/>
    </row>
    <row r="12">
      <c r="A12" s="177"/>
      <c r="B12" s="222"/>
      <c r="C12" s="323">
        <f t="shared" si="1"/>
        <v>7</v>
      </c>
      <c r="D12" s="324" t="s">
        <v>95</v>
      </c>
      <c r="E12" s="325"/>
      <c r="F12" s="326" t="s">
        <v>96</v>
      </c>
      <c r="G12" s="328"/>
      <c r="H12" s="329"/>
      <c r="I12" s="331"/>
      <c r="J12" s="333">
        <v>6.0</v>
      </c>
      <c r="K12" s="334">
        <v>6.0</v>
      </c>
      <c r="L12" s="324">
        <v>3.0</v>
      </c>
      <c r="M12" s="335">
        <v>3.0</v>
      </c>
      <c r="N12" s="220"/>
      <c r="O12" s="177"/>
      <c r="P12" s="337">
        <f t="shared" si="2"/>
        <v>7</v>
      </c>
      <c r="Q12" s="338"/>
      <c r="R12" s="339" t="str">
        <f>IFERROR(__xludf.DUMMYFUNCTION("""COMPUTED_VALUE"""),"Hoopa-Unbound (T)")</f>
        <v>Hoopa-Unbound (T)</v>
      </c>
      <c r="S12" s="340" t="e">
        <v>#N/A</v>
      </c>
      <c r="T12" s="340" t="e">
        <v>#N/A</v>
      </c>
      <c r="U12" s="340" t="e">
        <v>#N/A</v>
      </c>
      <c r="V12" s="342" t="e">
        <v>#N/A</v>
      </c>
      <c r="W12" s="177"/>
    </row>
    <row r="13">
      <c r="A13" s="177"/>
      <c r="B13" s="222"/>
      <c r="C13" s="323">
        <f t="shared" si="1"/>
        <v>8</v>
      </c>
      <c r="D13" s="324" t="s">
        <v>89</v>
      </c>
      <c r="E13" s="325"/>
      <c r="F13" s="326" t="s">
        <v>97</v>
      </c>
      <c r="G13" s="328"/>
      <c r="H13" s="329"/>
      <c r="I13" s="331"/>
      <c r="J13" s="333">
        <v>6.0</v>
      </c>
      <c r="K13" s="334">
        <v>6.0</v>
      </c>
      <c r="L13" s="324">
        <v>4.0</v>
      </c>
      <c r="M13" s="335">
        <v>2.0</v>
      </c>
      <c r="N13" s="220"/>
      <c r="O13" s="177"/>
      <c r="P13" s="337">
        <f t="shared" si="2"/>
        <v>8</v>
      </c>
      <c r="Q13" s="338" t="s">
        <v>98</v>
      </c>
      <c r="R13" s="339" t="str">
        <f>IFERROR(__xludf.DUMMYFUNCTION("""COMPUTED_VALUE"""),"Krookodile")</f>
        <v>Krookodile</v>
      </c>
      <c r="S13" s="340" t="e">
        <v>#N/A</v>
      </c>
      <c r="T13" s="340" t="e">
        <v>#N/A</v>
      </c>
      <c r="U13" s="340" t="e">
        <v>#N/A</v>
      </c>
      <c r="V13" s="342" t="e">
        <v>#N/A</v>
      </c>
      <c r="W13" s="177"/>
    </row>
    <row r="14">
      <c r="A14" s="177"/>
      <c r="B14" s="222"/>
      <c r="C14" s="323">
        <f t="shared" si="1"/>
        <v>9</v>
      </c>
      <c r="D14" s="324" t="s">
        <v>95</v>
      </c>
      <c r="E14" s="325"/>
      <c r="F14" s="326" t="s">
        <v>99</v>
      </c>
      <c r="G14" s="328"/>
      <c r="H14" s="329"/>
      <c r="I14" s="331"/>
      <c r="J14" s="333">
        <v>5.0</v>
      </c>
      <c r="K14" s="334">
        <v>5.0</v>
      </c>
      <c r="L14" s="324">
        <v>0.0</v>
      </c>
      <c r="M14" s="335">
        <v>5.0</v>
      </c>
      <c r="N14" s="220"/>
      <c r="O14" s="177"/>
      <c r="P14" s="337">
        <f t="shared" si="2"/>
        <v>9</v>
      </c>
      <c r="Q14" s="338" t="s">
        <v>100</v>
      </c>
      <c r="R14" s="339" t="str">
        <f>IFERROR(__xludf.DUMMYFUNCTION("""COMPUTED_VALUE"""),"Zweilous")</f>
        <v>Zweilous</v>
      </c>
      <c r="S14" s="340" t="e">
        <v>#N/A</v>
      </c>
      <c r="T14" s="340" t="e">
        <v>#N/A</v>
      </c>
      <c r="U14" s="340" t="e">
        <v>#N/A</v>
      </c>
      <c r="V14" s="342" t="e">
        <v>#N/A</v>
      </c>
      <c r="W14" s="177"/>
    </row>
    <row r="15">
      <c r="A15" s="177"/>
      <c r="B15" s="222"/>
      <c r="C15" s="323">
        <f t="shared" si="1"/>
        <v>10</v>
      </c>
      <c r="D15" s="324" t="s">
        <v>101</v>
      </c>
      <c r="E15" s="325"/>
      <c r="F15" s="326" t="s">
        <v>102</v>
      </c>
      <c r="G15" s="328"/>
      <c r="H15" s="329"/>
      <c r="I15" s="331"/>
      <c r="J15" s="333">
        <v>3.0</v>
      </c>
      <c r="K15" s="334">
        <v>5.0</v>
      </c>
      <c r="L15" s="324">
        <v>2.0</v>
      </c>
      <c r="M15" s="335">
        <v>3.0</v>
      </c>
      <c r="N15" s="220"/>
      <c r="O15" s="177"/>
      <c r="P15" s="337">
        <f t="shared" si="2"/>
        <v>10</v>
      </c>
      <c r="Q15" s="338" t="s">
        <v>103</v>
      </c>
      <c r="R15" s="339" t="str">
        <f>IFERROR(__xludf.DUMMYFUNCTION("""COMPUTED_VALUE"""),"Dragapult")</f>
        <v>Dragapult</v>
      </c>
      <c r="S15" s="340" t="e">
        <v>#N/A</v>
      </c>
      <c r="T15" s="340" t="e">
        <v>#N/A</v>
      </c>
      <c r="U15" s="340" t="e">
        <v>#N/A</v>
      </c>
      <c r="V15" s="342" t="e">
        <v>#N/A</v>
      </c>
      <c r="W15" s="177"/>
    </row>
    <row r="16">
      <c r="A16" s="177"/>
      <c r="B16" s="222"/>
      <c r="C16" s="323">
        <f t="shared" si="1"/>
        <v>11</v>
      </c>
      <c r="D16" s="324" t="s">
        <v>89</v>
      </c>
      <c r="E16" s="325"/>
      <c r="F16" s="326" t="s">
        <v>104</v>
      </c>
      <c r="G16" s="328"/>
      <c r="H16" s="329"/>
      <c r="I16" s="331"/>
      <c r="J16" s="333">
        <v>5.0</v>
      </c>
      <c r="K16" s="334">
        <v>5.0</v>
      </c>
      <c r="L16" s="324">
        <v>5.0</v>
      </c>
      <c r="M16" s="335">
        <v>0.0</v>
      </c>
      <c r="N16" s="220"/>
      <c r="O16" s="177"/>
      <c r="P16" s="337">
        <f t="shared" si="2"/>
        <v>11</v>
      </c>
      <c r="Q16" s="338" t="s">
        <v>105</v>
      </c>
      <c r="R16" s="339" t="str">
        <f>IFERROR(__xludf.DUMMYFUNCTION("""COMPUTED_VALUE"""),"Meowscarada")</f>
        <v>Meowscarada</v>
      </c>
      <c r="S16" s="340" t="e">
        <v>#N/A</v>
      </c>
      <c r="T16" s="340" t="e">
        <v>#N/A</v>
      </c>
      <c r="U16" s="340" t="e">
        <v>#N/A</v>
      </c>
      <c r="V16" s="342" t="e">
        <v>#N/A</v>
      </c>
      <c r="W16" s="177"/>
    </row>
    <row r="17">
      <c r="A17" s="177"/>
      <c r="B17" s="222"/>
      <c r="C17" s="323">
        <f t="shared" si="1"/>
        <v>12</v>
      </c>
      <c r="D17" s="324" t="s">
        <v>106</v>
      </c>
      <c r="E17" s="325"/>
      <c r="F17" s="326" t="s">
        <v>107</v>
      </c>
      <c r="G17" s="328"/>
      <c r="H17" s="329"/>
      <c r="I17" s="331"/>
      <c r="J17" s="333">
        <v>3.0</v>
      </c>
      <c r="K17" s="334">
        <v>4.0</v>
      </c>
      <c r="L17" s="324">
        <v>1.0</v>
      </c>
      <c r="M17" s="335">
        <v>3.0</v>
      </c>
      <c r="N17" s="220"/>
      <c r="O17" s="177"/>
      <c r="P17" s="337">
        <f t="shared" si="2"/>
        <v>12</v>
      </c>
      <c r="Q17" s="338" t="s">
        <v>108</v>
      </c>
      <c r="R17" s="339" t="str">
        <f>IFERROR(__xludf.DUMMYFUNCTION("""COMPUTED_VALUE"""),"Jirachi")</f>
        <v>Jirachi</v>
      </c>
      <c r="S17" s="340" t="e">
        <v>#N/A</v>
      </c>
      <c r="T17" s="340" t="e">
        <v>#N/A</v>
      </c>
      <c r="U17" s="340" t="e">
        <v>#N/A</v>
      </c>
      <c r="V17" s="342" t="e">
        <v>#N/A</v>
      </c>
      <c r="W17" s="177"/>
    </row>
    <row r="18">
      <c r="A18" s="177"/>
      <c r="B18" s="222"/>
      <c r="C18" s="323">
        <f t="shared" si="1"/>
        <v>13</v>
      </c>
      <c r="D18" s="324" t="s">
        <v>101</v>
      </c>
      <c r="E18" s="325"/>
      <c r="F18" s="326" t="s">
        <v>109</v>
      </c>
      <c r="G18" s="328"/>
      <c r="H18" s="329"/>
      <c r="I18" s="331"/>
      <c r="J18" s="333">
        <v>3.0</v>
      </c>
      <c r="K18" s="334">
        <v>4.0</v>
      </c>
      <c r="L18" s="324">
        <v>3.0</v>
      </c>
      <c r="M18" s="335">
        <v>1.0</v>
      </c>
      <c r="N18" s="220"/>
      <c r="O18" s="177"/>
      <c r="P18" s="337">
        <f t="shared" si="2"/>
        <v>13</v>
      </c>
      <c r="Q18" s="338" t="s">
        <v>110</v>
      </c>
      <c r="R18" s="339" t="str">
        <f>IFERROR(__xludf.DUMMYFUNCTION("""COMPUTED_VALUE"""),"Keldeo")</f>
        <v>Keldeo</v>
      </c>
      <c r="S18" s="340" t="e">
        <v>#N/A</v>
      </c>
      <c r="T18" s="340" t="e">
        <v>#N/A</v>
      </c>
      <c r="U18" s="340" t="e">
        <v>#N/A</v>
      </c>
      <c r="V18" s="342" t="e">
        <v>#N/A</v>
      </c>
      <c r="W18" s="177"/>
    </row>
    <row r="19">
      <c r="A19" s="177"/>
      <c r="B19" s="222"/>
      <c r="C19" s="323">
        <f t="shared" si="1"/>
        <v>14</v>
      </c>
      <c r="D19" s="324" t="s">
        <v>111</v>
      </c>
      <c r="E19" s="325"/>
      <c r="F19" s="326" t="s">
        <v>112</v>
      </c>
      <c r="G19" s="328"/>
      <c r="H19" s="329"/>
      <c r="I19" s="331"/>
      <c r="J19" s="333">
        <v>3.0</v>
      </c>
      <c r="K19" s="334">
        <v>4.0</v>
      </c>
      <c r="L19" s="324">
        <v>3.0</v>
      </c>
      <c r="M19" s="335">
        <v>1.0</v>
      </c>
      <c r="N19" s="220"/>
      <c r="O19" s="177"/>
      <c r="P19" s="337">
        <f t="shared" si="2"/>
        <v>14</v>
      </c>
      <c r="Q19" s="338"/>
      <c r="R19" s="339" t="str">
        <f>IFERROR(__xludf.DUMMYFUNCTION("""COMPUTED_VALUE"""),"Kleavor (T)")</f>
        <v>Kleavor (T)</v>
      </c>
      <c r="S19" s="340" t="e">
        <v>#N/A</v>
      </c>
      <c r="T19" s="340" t="e">
        <v>#N/A</v>
      </c>
      <c r="U19" s="340" t="e">
        <v>#N/A</v>
      </c>
      <c r="V19" s="342" t="e">
        <v>#N/A</v>
      </c>
      <c r="W19" s="177"/>
    </row>
    <row r="20">
      <c r="A20" s="177"/>
      <c r="B20" s="222"/>
      <c r="C20" s="323">
        <f t="shared" si="1"/>
        <v>15</v>
      </c>
      <c r="D20" s="324" t="s">
        <v>84</v>
      </c>
      <c r="E20" s="325"/>
      <c r="F20" s="326" t="s">
        <v>113</v>
      </c>
      <c r="G20" s="328"/>
      <c r="H20" s="329"/>
      <c r="I20" s="331"/>
      <c r="J20" s="333">
        <v>5.0</v>
      </c>
      <c r="K20" s="334">
        <v>4.0</v>
      </c>
      <c r="L20" s="324">
        <v>3.0</v>
      </c>
      <c r="M20" s="335">
        <v>1.0</v>
      </c>
      <c r="N20" s="220"/>
      <c r="O20" s="177"/>
      <c r="P20" s="337">
        <f t="shared" si="2"/>
        <v>15</v>
      </c>
      <c r="Q20" s="338"/>
      <c r="R20" s="339" t="str">
        <f>IFERROR(__xludf.DUMMYFUNCTION("""COMPUTED_VALUE"""),"Tornadus-Incarnate (T)")</f>
        <v>Tornadus-Incarnate (T)</v>
      </c>
      <c r="S20" s="340" t="e">
        <v>#N/A</v>
      </c>
      <c r="T20" s="340" t="e">
        <v>#N/A</v>
      </c>
      <c r="U20" s="340" t="e">
        <v>#N/A</v>
      </c>
      <c r="V20" s="342" t="e">
        <v>#N/A</v>
      </c>
      <c r="W20" s="177"/>
    </row>
    <row r="21">
      <c r="A21" s="177"/>
      <c r="B21" s="222"/>
      <c r="C21" s="323">
        <f t="shared" si="1"/>
        <v>16</v>
      </c>
      <c r="D21" s="324" t="s">
        <v>84</v>
      </c>
      <c r="E21" s="325"/>
      <c r="F21" s="326" t="s">
        <v>114</v>
      </c>
      <c r="G21" s="328"/>
      <c r="H21" s="329"/>
      <c r="I21" s="331"/>
      <c r="J21" s="333">
        <v>5.0</v>
      </c>
      <c r="K21" s="334">
        <v>4.0</v>
      </c>
      <c r="L21" s="324">
        <v>3.0</v>
      </c>
      <c r="M21" s="335">
        <v>1.0</v>
      </c>
      <c r="N21" s="220"/>
      <c r="O21" s="177"/>
      <c r="P21" s="337">
        <f t="shared" si="2"/>
        <v>16</v>
      </c>
      <c r="Q21" s="338" t="s">
        <v>116</v>
      </c>
      <c r="R21" s="339" t="str">
        <f>IFERROR(__xludf.DUMMYFUNCTION("""COMPUTED_VALUE"""),"Grimmsnarl")</f>
        <v>Grimmsnarl</v>
      </c>
      <c r="S21" s="340" t="e">
        <v>#N/A</v>
      </c>
      <c r="T21" s="340" t="e">
        <v>#N/A</v>
      </c>
      <c r="U21" s="340" t="e">
        <v>#N/A</v>
      </c>
      <c r="V21" s="342" t="e">
        <v>#N/A</v>
      </c>
      <c r="W21" s="177"/>
    </row>
    <row r="22">
      <c r="A22" s="177"/>
      <c r="B22" s="222"/>
      <c r="C22" s="323">
        <f t="shared" si="1"/>
        <v>17</v>
      </c>
      <c r="D22" s="324" t="s">
        <v>95</v>
      </c>
      <c r="E22" s="325"/>
      <c r="F22" s="326" t="s">
        <v>115</v>
      </c>
      <c r="G22" s="328"/>
      <c r="H22" s="329"/>
      <c r="I22" s="331"/>
      <c r="J22" s="333">
        <v>2.0</v>
      </c>
      <c r="K22" s="334">
        <v>3.0</v>
      </c>
      <c r="L22" s="324">
        <v>0.0</v>
      </c>
      <c r="M22" s="335">
        <v>3.0</v>
      </c>
      <c r="N22" s="220"/>
      <c r="O22" s="177"/>
      <c r="P22" s="337">
        <f t="shared" si="2"/>
        <v>17</v>
      </c>
      <c r="Q22" s="338" t="s">
        <v>117</v>
      </c>
      <c r="R22" s="339" t="str">
        <f>IFERROR(__xludf.DUMMYFUNCTION("""COMPUTED_VALUE"""),"Cinderace")</f>
        <v>Cinderace</v>
      </c>
      <c r="S22" s="340" t="e">
        <v>#N/A</v>
      </c>
      <c r="T22" s="340" t="e">
        <v>#N/A</v>
      </c>
      <c r="U22" s="340" t="e">
        <v>#N/A</v>
      </c>
      <c r="V22" s="342" t="e">
        <v>#N/A</v>
      </c>
      <c r="W22" s="177"/>
    </row>
    <row r="23">
      <c r="A23" s="177"/>
      <c r="B23" s="222"/>
      <c r="C23" s="323">
        <f t="shared" si="1"/>
        <v>18</v>
      </c>
      <c r="D23" s="324" t="s">
        <v>106</v>
      </c>
      <c r="E23" s="325"/>
      <c r="F23" s="326" t="s">
        <v>118</v>
      </c>
      <c r="G23" s="328"/>
      <c r="H23" s="329"/>
      <c r="I23" s="331"/>
      <c r="J23" s="333">
        <v>1.0</v>
      </c>
      <c r="K23" s="334">
        <v>3.0</v>
      </c>
      <c r="L23" s="324">
        <v>1.0</v>
      </c>
      <c r="M23" s="335">
        <v>2.0</v>
      </c>
      <c r="N23" s="220"/>
      <c r="O23" s="177"/>
      <c r="P23" s="337">
        <f t="shared" si="2"/>
        <v>18</v>
      </c>
      <c r="Q23" s="338"/>
      <c r="R23" s="339" t="str">
        <f>IFERROR(__xludf.DUMMYFUNCTION("""COMPUTED_VALUE"""),"Landorus-Incarnate")</f>
        <v>Landorus-Incarnate</v>
      </c>
      <c r="S23" s="340" t="e">
        <v>#N/A</v>
      </c>
      <c r="T23" s="340" t="e">
        <v>#N/A</v>
      </c>
      <c r="U23" s="340" t="e">
        <v>#N/A</v>
      </c>
      <c r="V23" s="342" t="e">
        <v>#N/A</v>
      </c>
      <c r="W23" s="177"/>
    </row>
    <row r="24">
      <c r="A24" s="177"/>
      <c r="B24" s="222"/>
      <c r="C24" s="323">
        <f t="shared" si="1"/>
        <v>19</v>
      </c>
      <c r="D24" s="324" t="s">
        <v>84</v>
      </c>
      <c r="E24" s="325"/>
      <c r="F24" s="326" t="s">
        <v>119</v>
      </c>
      <c r="G24" s="328"/>
      <c r="H24" s="329"/>
      <c r="I24" s="331"/>
      <c r="J24" s="333">
        <v>2.0</v>
      </c>
      <c r="K24" s="334">
        <v>3.0</v>
      </c>
      <c r="L24" s="324">
        <v>1.0</v>
      </c>
      <c r="M24" s="335">
        <v>2.0</v>
      </c>
      <c r="N24" s="220"/>
      <c r="O24" s="177"/>
      <c r="P24" s="337">
        <f t="shared" si="2"/>
        <v>19</v>
      </c>
      <c r="Q24" s="338" t="s">
        <v>120</v>
      </c>
      <c r="R24" s="339" t="str">
        <f>IFERROR(__xludf.DUMMYFUNCTION("""COMPUTED_VALUE"""),"Dusclops")</f>
        <v>Dusclops</v>
      </c>
      <c r="S24" s="340" t="e">
        <v>#N/A</v>
      </c>
      <c r="T24" s="340" t="e">
        <v>#N/A</v>
      </c>
      <c r="U24" s="340" t="e">
        <v>#N/A</v>
      </c>
      <c r="V24" s="342" t="e">
        <v>#N/A</v>
      </c>
      <c r="W24" s="177"/>
    </row>
    <row r="25">
      <c r="A25" s="177"/>
      <c r="B25" s="222"/>
      <c r="C25" s="323">
        <f t="shared" si="1"/>
        <v>20</v>
      </c>
      <c r="D25" s="324" t="s">
        <v>95</v>
      </c>
      <c r="E25" s="325"/>
      <c r="F25" s="326" t="s">
        <v>121</v>
      </c>
      <c r="G25" s="328"/>
      <c r="H25" s="329"/>
      <c r="I25" s="331"/>
      <c r="J25" s="333">
        <v>3.0</v>
      </c>
      <c r="K25" s="334">
        <v>3.0</v>
      </c>
      <c r="L25" s="324">
        <v>1.0</v>
      </c>
      <c r="M25" s="335">
        <v>2.0</v>
      </c>
      <c r="N25" s="220"/>
      <c r="O25" s="177"/>
      <c r="P25" s="337">
        <f t="shared" si="2"/>
        <v>20</v>
      </c>
      <c r="Q25" s="338" t="s">
        <v>122</v>
      </c>
      <c r="R25" s="339" t="str">
        <f>IFERROR(__xludf.DUMMYFUNCTION("""COMPUTED_VALUE"""),"Annihilape")</f>
        <v>Annihilape</v>
      </c>
      <c r="S25" s="340" t="e">
        <v>#N/A</v>
      </c>
      <c r="T25" s="340" t="e">
        <v>#N/A</v>
      </c>
      <c r="U25" s="340" t="e">
        <v>#N/A</v>
      </c>
      <c r="V25" s="342" t="e">
        <v>#N/A</v>
      </c>
      <c r="W25" s="177"/>
    </row>
    <row r="26">
      <c r="A26" s="177"/>
      <c r="B26" s="222"/>
      <c r="C26" s="323">
        <f t="shared" si="1"/>
        <v>21</v>
      </c>
      <c r="D26" s="324" t="s">
        <v>101</v>
      </c>
      <c r="E26" s="325"/>
      <c r="F26" s="326" t="s">
        <v>123</v>
      </c>
      <c r="G26" s="328"/>
      <c r="H26" s="329"/>
      <c r="I26" s="331"/>
      <c r="J26" s="333">
        <v>3.0</v>
      </c>
      <c r="K26" s="334">
        <v>3.0</v>
      </c>
      <c r="L26" s="324">
        <v>2.0</v>
      </c>
      <c r="M26" s="335">
        <v>1.0</v>
      </c>
      <c r="N26" s="220"/>
      <c r="O26" s="177"/>
      <c r="P26" s="337">
        <f t="shared" si="2"/>
        <v>21</v>
      </c>
      <c r="Q26" s="338"/>
      <c r="R26" s="339" t="str">
        <f>IFERROR(__xludf.DUMMYFUNCTION("""COMPUTED_VALUE"""),"Enamorus-Incarnate")</f>
        <v>Enamorus-Incarnate</v>
      </c>
      <c r="S26" s="340" t="e">
        <v>#N/A</v>
      </c>
      <c r="T26" s="340" t="e">
        <v>#N/A</v>
      </c>
      <c r="U26" s="340" t="e">
        <v>#N/A</v>
      </c>
      <c r="V26" s="342" t="e">
        <v>#N/A</v>
      </c>
      <c r="W26" s="177"/>
    </row>
    <row r="27">
      <c r="A27" s="177"/>
      <c r="B27" s="222"/>
      <c r="C27" s="323">
        <f t="shared" si="1"/>
        <v>22</v>
      </c>
      <c r="D27" s="324" t="s">
        <v>87</v>
      </c>
      <c r="E27" s="325"/>
      <c r="F27" s="326" t="s">
        <v>124</v>
      </c>
      <c r="G27" s="328"/>
      <c r="H27" s="329"/>
      <c r="I27" s="331"/>
      <c r="J27" s="333">
        <v>4.0</v>
      </c>
      <c r="K27" s="334">
        <v>3.0</v>
      </c>
      <c r="L27" s="324">
        <v>3.0</v>
      </c>
      <c r="M27" s="335">
        <v>0.0</v>
      </c>
      <c r="N27" s="220"/>
      <c r="O27" s="177"/>
      <c r="P27" s="337">
        <f t="shared" si="2"/>
        <v>22</v>
      </c>
      <c r="Q27" s="338" t="s">
        <v>125</v>
      </c>
      <c r="R27" s="339" t="str">
        <f>IFERROR(__xludf.DUMMYFUNCTION("""COMPUTED_VALUE"""),"Palafin")</f>
        <v>Palafin</v>
      </c>
      <c r="S27" s="340" t="e">
        <v>#N/A</v>
      </c>
      <c r="T27" s="340" t="e">
        <v>#N/A</v>
      </c>
      <c r="U27" s="340" t="e">
        <v>#N/A</v>
      </c>
      <c r="V27" s="342" t="e">
        <v>#N/A</v>
      </c>
      <c r="W27" s="177"/>
    </row>
    <row r="28">
      <c r="A28" s="177"/>
      <c r="B28" s="222"/>
      <c r="C28" s="323">
        <f t="shared" si="1"/>
        <v>23</v>
      </c>
      <c r="D28" s="324" t="s">
        <v>84</v>
      </c>
      <c r="E28" s="325"/>
      <c r="F28" s="326" t="s">
        <v>126</v>
      </c>
      <c r="G28" s="328" t="s">
        <v>81</v>
      </c>
      <c r="H28" s="329" t="s">
        <v>127</v>
      </c>
      <c r="I28" s="331" t="s">
        <v>128</v>
      </c>
      <c r="J28" s="333">
        <v>4.0</v>
      </c>
      <c r="K28" s="334">
        <v>3.0</v>
      </c>
      <c r="L28" s="324">
        <v>3.0</v>
      </c>
      <c r="M28" s="335">
        <v>0.0</v>
      </c>
      <c r="N28" s="220"/>
      <c r="O28" s="177"/>
      <c r="P28" s="337">
        <f t="shared" si="2"/>
        <v>23</v>
      </c>
      <c r="Q28" s="338" t="s">
        <v>129</v>
      </c>
      <c r="R28" s="339" t="str">
        <f>IFERROR(__xludf.DUMMYFUNCTION("""COMPUTED_VALUE"""),"ogerpon-hearthflame")</f>
        <v>ogerpon-hearthflame</v>
      </c>
      <c r="S28" s="340" t="e">
        <v>#N/A</v>
      </c>
      <c r="T28" s="340" t="e">
        <v>#N/A</v>
      </c>
      <c r="U28" s="340" t="e">
        <v>#N/A</v>
      </c>
      <c r="V28" s="342" t="e">
        <v>#N/A</v>
      </c>
      <c r="W28" s="177"/>
    </row>
    <row r="29">
      <c r="A29" s="177"/>
      <c r="B29" s="222"/>
      <c r="C29" s="323">
        <f t="shared" si="1"/>
        <v>24</v>
      </c>
      <c r="D29" s="324" t="s">
        <v>84</v>
      </c>
      <c r="E29" s="325"/>
      <c r="F29" s="326" t="s">
        <v>130</v>
      </c>
      <c r="G29" s="328"/>
      <c r="H29" s="329"/>
      <c r="I29" s="331"/>
      <c r="J29" s="333">
        <v>5.0</v>
      </c>
      <c r="K29" s="334">
        <v>3.0</v>
      </c>
      <c r="L29" s="324">
        <v>3.0</v>
      </c>
      <c r="M29" s="335">
        <v>0.0</v>
      </c>
      <c r="N29" s="220"/>
      <c r="O29" s="177"/>
      <c r="P29" s="337">
        <f t="shared" si="2"/>
        <v>24</v>
      </c>
      <c r="Q29" s="338"/>
      <c r="R29" s="339" t="str">
        <f>IFERROR(__xludf.DUMMYFUNCTION("""COMPUTED_VALUE"""),"Hisuian Samurott")</f>
        <v>Hisuian Samurott</v>
      </c>
      <c r="S29" s="340" t="e">
        <v>#N/A</v>
      </c>
      <c r="T29" s="340" t="e">
        <v>#N/A</v>
      </c>
      <c r="U29" s="340" t="e">
        <v>#N/A</v>
      </c>
      <c r="V29" s="342" t="e">
        <v>#N/A</v>
      </c>
      <c r="W29" s="177"/>
    </row>
    <row r="30">
      <c r="A30" s="177"/>
      <c r="B30" s="222"/>
      <c r="C30" s="323">
        <f t="shared" si="1"/>
        <v>25</v>
      </c>
      <c r="D30" s="324" t="s">
        <v>111</v>
      </c>
      <c r="E30" s="325"/>
      <c r="F30" s="326" t="s">
        <v>131</v>
      </c>
      <c r="G30" s="328"/>
      <c r="H30" s="329"/>
      <c r="I30" s="331"/>
      <c r="J30" s="333">
        <v>1.0</v>
      </c>
      <c r="K30" s="334">
        <v>2.0</v>
      </c>
      <c r="L30" s="324">
        <v>0.0</v>
      </c>
      <c r="M30" s="335">
        <v>2.0</v>
      </c>
      <c r="N30" s="220"/>
      <c r="O30" s="177"/>
      <c r="P30" s="337">
        <f t="shared" si="2"/>
        <v>25</v>
      </c>
      <c r="Q30" s="338"/>
      <c r="R30" s="339" t="str">
        <f>IFERROR(__xludf.DUMMYFUNCTION("""COMPUTED_VALUE"""),"Mamoswine (T)")</f>
        <v>Mamoswine (T)</v>
      </c>
      <c r="S30" s="340" t="e">
        <v>#N/A</v>
      </c>
      <c r="T30" s="340" t="e">
        <v>#N/A</v>
      </c>
      <c r="U30" s="340" t="e">
        <v>#N/A</v>
      </c>
      <c r="V30" s="342" t="e">
        <v>#N/A</v>
      </c>
      <c r="W30" s="177"/>
    </row>
    <row r="31">
      <c r="A31" s="177"/>
      <c r="B31" s="222"/>
      <c r="C31" s="323">
        <f t="shared" si="1"/>
        <v>26</v>
      </c>
      <c r="D31" s="324" t="s">
        <v>89</v>
      </c>
      <c r="E31" s="325"/>
      <c r="F31" s="326" t="s">
        <v>132</v>
      </c>
      <c r="G31" s="328"/>
      <c r="H31" s="329"/>
      <c r="I31" s="331"/>
      <c r="J31" s="333">
        <v>2.0</v>
      </c>
      <c r="K31" s="334">
        <v>2.0</v>
      </c>
      <c r="L31" s="324">
        <v>1.0</v>
      </c>
      <c r="M31" s="335">
        <v>1.0</v>
      </c>
      <c r="N31" s="220"/>
      <c r="O31" s="177"/>
      <c r="P31" s="337">
        <f t="shared" si="2"/>
        <v>26</v>
      </c>
      <c r="Q31" s="338"/>
      <c r="R31" s="339" t="str">
        <f>IFERROR(__xludf.DUMMYFUNCTION("""COMPUTED_VALUE"""),"Galarian Slowking")</f>
        <v>Galarian Slowking</v>
      </c>
      <c r="S31" s="340" t="e">
        <v>#N/A</v>
      </c>
      <c r="T31" s="340" t="e">
        <v>#N/A</v>
      </c>
      <c r="U31" s="340" t="e">
        <v>#N/A</v>
      </c>
      <c r="V31" s="342" t="e">
        <v>#N/A</v>
      </c>
      <c r="W31" s="177"/>
    </row>
    <row r="32">
      <c r="A32" s="177"/>
      <c r="B32" s="222"/>
      <c r="C32" s="323">
        <f t="shared" si="1"/>
        <v>27</v>
      </c>
      <c r="D32" s="324" t="s">
        <v>106</v>
      </c>
      <c r="E32" s="325"/>
      <c r="F32" s="326" t="s">
        <v>133</v>
      </c>
      <c r="G32" s="328"/>
      <c r="H32" s="329"/>
      <c r="I32" s="331"/>
      <c r="J32" s="333">
        <v>2.0</v>
      </c>
      <c r="K32" s="334">
        <v>2.0</v>
      </c>
      <c r="L32" s="324">
        <v>1.0</v>
      </c>
      <c r="M32" s="335">
        <v>1.0</v>
      </c>
      <c r="N32" s="220"/>
      <c r="O32" s="177"/>
      <c r="P32" s="337">
        <f t="shared" si="2"/>
        <v>27</v>
      </c>
      <c r="Q32" s="338" t="s">
        <v>134</v>
      </c>
      <c r="R32" s="339" t="str">
        <f>IFERROR(__xludf.DUMMYFUNCTION("""COMPUTED_VALUE"""),"Scizor")</f>
        <v>Scizor</v>
      </c>
      <c r="S32" s="340" t="e">
        <v>#N/A</v>
      </c>
      <c r="T32" s="340" t="e">
        <v>#N/A</v>
      </c>
      <c r="U32" s="340" t="e">
        <v>#N/A</v>
      </c>
      <c r="V32" s="342" t="e">
        <v>#N/A</v>
      </c>
      <c r="W32" s="177"/>
    </row>
    <row r="33">
      <c r="A33" s="177"/>
      <c r="B33" s="222"/>
      <c r="C33" s="323">
        <f t="shared" si="1"/>
        <v>28</v>
      </c>
      <c r="D33" s="324" t="s">
        <v>95</v>
      </c>
      <c r="E33" s="325"/>
      <c r="F33" s="326" t="s">
        <v>135</v>
      </c>
      <c r="G33" s="328" t="s">
        <v>127</v>
      </c>
      <c r="H33" s="329" t="s">
        <v>81</v>
      </c>
      <c r="I33" s="331" t="s">
        <v>136</v>
      </c>
      <c r="J33" s="333">
        <v>3.0</v>
      </c>
      <c r="K33" s="334">
        <v>2.0</v>
      </c>
      <c r="L33" s="324">
        <v>1.0</v>
      </c>
      <c r="M33" s="335">
        <v>1.0</v>
      </c>
      <c r="N33" s="220"/>
      <c r="O33" s="177"/>
      <c r="P33" s="337">
        <f t="shared" si="2"/>
        <v>28</v>
      </c>
      <c r="Q33" s="338"/>
      <c r="R33" s="339" t="str">
        <f>IFERROR(__xludf.DUMMYFUNCTION("""COMPUTED_VALUE"""),"Ribombee (T)")</f>
        <v>Ribombee (T)</v>
      </c>
      <c r="S33" s="340" t="e">
        <v>#N/A</v>
      </c>
      <c r="T33" s="340" t="e">
        <v>#N/A</v>
      </c>
      <c r="U33" s="340" t="e">
        <v>#N/A</v>
      </c>
      <c r="V33" s="342" t="e">
        <v>#N/A</v>
      </c>
      <c r="W33" s="177"/>
    </row>
    <row r="34">
      <c r="A34" s="177"/>
      <c r="B34" s="222"/>
      <c r="C34" s="323">
        <f t="shared" si="1"/>
        <v>29</v>
      </c>
      <c r="D34" s="324" t="s">
        <v>106</v>
      </c>
      <c r="E34" s="325"/>
      <c r="F34" s="326" t="s">
        <v>137</v>
      </c>
      <c r="G34" s="328"/>
      <c r="H34" s="329"/>
      <c r="I34" s="331"/>
      <c r="J34" s="333">
        <v>3.0</v>
      </c>
      <c r="K34" s="334">
        <v>2.0</v>
      </c>
      <c r="L34" s="324">
        <v>2.0</v>
      </c>
      <c r="M34" s="335">
        <v>0.0</v>
      </c>
      <c r="N34" s="220"/>
      <c r="O34" s="177"/>
      <c r="P34" s="337">
        <f t="shared" si="2"/>
        <v>29</v>
      </c>
      <c r="Q34" s="338"/>
      <c r="R34" s="339" t="str">
        <f>IFERROR(__xludf.DUMMYFUNCTION("""COMPUTED_VALUE"""),"Alolan Vulpix")</f>
        <v>Alolan Vulpix</v>
      </c>
      <c r="S34" s="340" t="e">
        <v>#N/A</v>
      </c>
      <c r="T34" s="340" t="e">
        <v>#N/A</v>
      </c>
      <c r="U34" s="340" t="e">
        <v>#N/A</v>
      </c>
      <c r="V34" s="342" t="e">
        <v>#N/A</v>
      </c>
      <c r="W34" s="177"/>
    </row>
    <row r="35">
      <c r="A35" s="177"/>
      <c r="B35" s="222"/>
      <c r="C35" s="323">
        <f t="shared" si="1"/>
        <v>30</v>
      </c>
      <c r="D35" s="324" t="s">
        <v>106</v>
      </c>
      <c r="E35" s="325"/>
      <c r="F35" s="326" t="s">
        <v>138</v>
      </c>
      <c r="G35" s="328" t="s">
        <v>92</v>
      </c>
      <c r="H35" s="329" t="s">
        <v>139</v>
      </c>
      <c r="I35" s="331" t="s">
        <v>140</v>
      </c>
      <c r="J35" s="333">
        <v>3.0</v>
      </c>
      <c r="K35" s="334">
        <v>2.0</v>
      </c>
      <c r="L35" s="324">
        <v>2.0</v>
      </c>
      <c r="M35" s="335">
        <v>0.0</v>
      </c>
      <c r="N35" s="220"/>
      <c r="O35" s="177"/>
      <c r="P35" s="337">
        <f t="shared" si="2"/>
        <v>30</v>
      </c>
      <c r="Q35" s="338" t="s">
        <v>141</v>
      </c>
      <c r="R35" s="339" t="str">
        <f>IFERROR(__xludf.DUMMYFUNCTION("""COMPUTED_VALUE"""),"Darkrai")</f>
        <v>Darkrai</v>
      </c>
      <c r="S35" s="340" t="e">
        <v>#N/A</v>
      </c>
      <c r="T35" s="340" t="e">
        <v>#N/A</v>
      </c>
      <c r="U35" s="340" t="e">
        <v>#N/A</v>
      </c>
      <c r="V35" s="342" t="e">
        <v>#N/A</v>
      </c>
      <c r="W35" s="177"/>
    </row>
    <row r="36">
      <c r="A36" s="177"/>
      <c r="B36" s="222"/>
      <c r="C36" s="323">
        <f t="shared" si="1"/>
        <v>31</v>
      </c>
      <c r="D36" s="324" t="s">
        <v>89</v>
      </c>
      <c r="E36" s="325"/>
      <c r="F36" s="326" t="s">
        <v>142</v>
      </c>
      <c r="G36" s="328"/>
      <c r="H36" s="329"/>
      <c r="I36" s="331"/>
      <c r="J36" s="333">
        <v>4.0</v>
      </c>
      <c r="K36" s="334">
        <v>2.0</v>
      </c>
      <c r="L36" s="324">
        <v>2.0</v>
      </c>
      <c r="M36" s="335">
        <v>0.0</v>
      </c>
      <c r="N36" s="220"/>
      <c r="O36" s="177"/>
      <c r="P36" s="337">
        <f t="shared" si="2"/>
        <v>31</v>
      </c>
      <c r="Q36" s="338" t="s">
        <v>143</v>
      </c>
      <c r="R36" s="339" t="str">
        <f>IFERROR(__xludf.DUMMYFUNCTION("""COMPUTED_VALUE"""),"tornadus-therian")</f>
        <v>tornadus-therian</v>
      </c>
      <c r="S36" s="340" t="e">
        <v>#N/A</v>
      </c>
      <c r="T36" s="340" t="e">
        <v>#N/A</v>
      </c>
      <c r="U36" s="340" t="e">
        <v>#N/A</v>
      </c>
      <c r="V36" s="342" t="e">
        <v>#N/A</v>
      </c>
      <c r="W36" s="177"/>
    </row>
    <row r="37">
      <c r="A37" s="177"/>
      <c r="B37" s="222"/>
      <c r="C37" s="323">
        <f t="shared" si="1"/>
        <v>32</v>
      </c>
      <c r="D37" s="324" t="s">
        <v>95</v>
      </c>
      <c r="E37" s="325"/>
      <c r="F37" s="326" t="s">
        <v>144</v>
      </c>
      <c r="G37" s="328"/>
      <c r="H37" s="329"/>
      <c r="I37" s="331"/>
      <c r="J37" s="333">
        <v>6.0</v>
      </c>
      <c r="K37" s="334">
        <v>2.0</v>
      </c>
      <c r="L37" s="324">
        <v>2.0</v>
      </c>
      <c r="M37" s="335">
        <v>0.0</v>
      </c>
      <c r="N37" s="220"/>
      <c r="O37" s="177"/>
      <c r="P37" s="337">
        <f t="shared" si="2"/>
        <v>32</v>
      </c>
      <c r="Q37" s="338" t="s">
        <v>145</v>
      </c>
      <c r="R37" s="339" t="str">
        <f>IFERROR(__xludf.DUMMYFUNCTION("""COMPUTED_VALUE"""),"Blaziken")</f>
        <v>Blaziken</v>
      </c>
      <c r="S37" s="340" t="e">
        <v>#N/A</v>
      </c>
      <c r="T37" s="340" t="e">
        <v>#N/A</v>
      </c>
      <c r="U37" s="340" t="e">
        <v>#N/A</v>
      </c>
      <c r="V37" s="342" t="e">
        <v>#N/A</v>
      </c>
      <c r="W37" s="177"/>
    </row>
    <row r="38">
      <c r="A38" s="177"/>
      <c r="B38" s="222"/>
      <c r="C38" s="323">
        <f t="shared" si="1"/>
        <v>33</v>
      </c>
      <c r="D38" s="324" t="s">
        <v>87</v>
      </c>
      <c r="E38" s="325"/>
      <c r="F38" s="326" t="s">
        <v>146</v>
      </c>
      <c r="G38" s="328"/>
      <c r="H38" s="329"/>
      <c r="I38" s="331"/>
      <c r="J38" s="333">
        <v>3.0</v>
      </c>
      <c r="K38" s="334">
        <v>2.0</v>
      </c>
      <c r="L38" s="324">
        <v>3.0</v>
      </c>
      <c r="M38" s="335">
        <v>-1.0</v>
      </c>
      <c r="N38" s="220"/>
      <c r="O38" s="177"/>
      <c r="P38" s="337">
        <f t="shared" si="2"/>
        <v>33</v>
      </c>
      <c r="Q38" s="338" t="s">
        <v>119</v>
      </c>
      <c r="R38" s="339" t="str">
        <f>IFERROR(__xludf.DUMMYFUNCTION("""COMPUTED_VALUE"""),"clefable")</f>
        <v>clefable</v>
      </c>
      <c r="S38" s="340" t="e">
        <v>#N/A</v>
      </c>
      <c r="T38" s="340" t="e">
        <v>#N/A</v>
      </c>
      <c r="U38" s="340" t="e">
        <v>#N/A</v>
      </c>
      <c r="V38" s="342" t="e">
        <v>#N/A</v>
      </c>
      <c r="W38" s="177"/>
    </row>
    <row r="39">
      <c r="A39" s="177"/>
      <c r="B39" s="222"/>
      <c r="C39" s="323">
        <f t="shared" si="1"/>
        <v>34</v>
      </c>
      <c r="D39" s="324" t="s">
        <v>148</v>
      </c>
      <c r="E39" s="325"/>
      <c r="F39" s="326" t="s">
        <v>149</v>
      </c>
      <c r="G39" s="328" t="s">
        <v>128</v>
      </c>
      <c r="H39" s="329" t="s">
        <v>150</v>
      </c>
      <c r="I39" s="331" t="s">
        <v>81</v>
      </c>
      <c r="J39" s="333">
        <v>3.0</v>
      </c>
      <c r="K39" s="334">
        <v>2.0</v>
      </c>
      <c r="L39" s="324">
        <v>3.0</v>
      </c>
      <c r="M39" s="335">
        <v>-1.0</v>
      </c>
      <c r="N39" s="220"/>
      <c r="O39" s="177"/>
      <c r="P39" s="337">
        <f t="shared" si="2"/>
        <v>34</v>
      </c>
      <c r="Q39" s="338" t="s">
        <v>152</v>
      </c>
      <c r="R39" s="339" t="str">
        <f>IFERROR(__xludf.DUMMYFUNCTION("""COMPUTED_VALUE"""),"Chansey")</f>
        <v>Chansey</v>
      </c>
      <c r="S39" s="340" t="e">
        <v>#N/A</v>
      </c>
      <c r="T39" s="340" t="e">
        <v>#N/A</v>
      </c>
      <c r="U39" s="340" t="e">
        <v>#N/A</v>
      </c>
      <c r="V39" s="342" t="e">
        <v>#N/A</v>
      </c>
      <c r="W39" s="177"/>
    </row>
    <row r="40">
      <c r="A40" s="177"/>
      <c r="B40" s="222"/>
      <c r="C40" s="323">
        <f t="shared" si="1"/>
        <v>35</v>
      </c>
      <c r="D40" s="324" t="s">
        <v>111</v>
      </c>
      <c r="E40" s="325"/>
      <c r="F40" s="326" t="s">
        <v>153</v>
      </c>
      <c r="G40" s="328"/>
      <c r="H40" s="329"/>
      <c r="I40" s="331"/>
      <c r="J40" s="333">
        <v>4.0</v>
      </c>
      <c r="K40" s="334">
        <v>2.0</v>
      </c>
      <c r="L40" s="324">
        <v>3.0</v>
      </c>
      <c r="M40" s="335">
        <v>-1.0</v>
      </c>
      <c r="N40" s="220"/>
      <c r="O40" s="177"/>
      <c r="P40" s="337">
        <f t="shared" si="2"/>
        <v>35</v>
      </c>
      <c r="Q40" s="338"/>
      <c r="R40" s="339" t="str">
        <f>IFERROR(__xludf.DUMMYFUNCTION("""COMPUTED_VALUE"""),"Kingdra (T)")</f>
        <v>Kingdra (T)</v>
      </c>
      <c r="S40" s="340" t="e">
        <v>#N/A</v>
      </c>
      <c r="T40" s="340" t="e">
        <v>#N/A</v>
      </c>
      <c r="U40" s="340" t="e">
        <v>#N/A</v>
      </c>
      <c r="V40" s="342" t="e">
        <v>#N/A</v>
      </c>
      <c r="W40" s="177"/>
    </row>
    <row r="41">
      <c r="A41" s="177"/>
      <c r="B41" s="222"/>
      <c r="C41" s="323">
        <f t="shared" si="1"/>
        <v>36</v>
      </c>
      <c r="D41" s="324" t="s">
        <v>148</v>
      </c>
      <c r="E41" s="325"/>
      <c r="F41" s="326" t="s">
        <v>155</v>
      </c>
      <c r="G41" s="328"/>
      <c r="H41" s="329"/>
      <c r="I41" s="331"/>
      <c r="J41" s="333">
        <v>4.0</v>
      </c>
      <c r="K41" s="334">
        <v>2.0</v>
      </c>
      <c r="L41" s="324">
        <v>4.0</v>
      </c>
      <c r="M41" s="335">
        <v>-2.0</v>
      </c>
      <c r="N41" s="220"/>
      <c r="O41" s="177"/>
      <c r="P41" s="337">
        <f t="shared" si="2"/>
        <v>36</v>
      </c>
      <c r="Q41" s="338"/>
      <c r="R41" s="339" t="str">
        <f>IFERROR(__xludf.DUMMYFUNCTION("""COMPUTED_VALUE"""),"Ninetales (T)")</f>
        <v>Ninetales (T)</v>
      </c>
      <c r="S41" s="340" t="e">
        <v>#N/A</v>
      </c>
      <c r="T41" s="340" t="e">
        <v>#N/A</v>
      </c>
      <c r="U41" s="340" t="e">
        <v>#N/A</v>
      </c>
      <c r="V41" s="342" t="e">
        <v>#N/A</v>
      </c>
      <c r="W41" s="177"/>
    </row>
    <row r="42">
      <c r="A42" s="177"/>
      <c r="B42" s="222"/>
      <c r="C42" s="323">
        <f t="shared" si="1"/>
        <v>37</v>
      </c>
      <c r="D42" s="324" t="s">
        <v>101</v>
      </c>
      <c r="E42" s="325"/>
      <c r="F42" s="326" t="s">
        <v>156</v>
      </c>
      <c r="G42" s="328"/>
      <c r="H42" s="329"/>
      <c r="I42" s="331"/>
      <c r="J42" s="333">
        <v>5.0</v>
      </c>
      <c r="K42" s="334">
        <v>2.0</v>
      </c>
      <c r="L42" s="324">
        <v>4.0</v>
      </c>
      <c r="M42" s="335">
        <v>-2.0</v>
      </c>
      <c r="N42" s="220"/>
      <c r="O42" s="177"/>
      <c r="P42" s="337">
        <f t="shared" si="2"/>
        <v>37</v>
      </c>
      <c r="Q42" s="338" t="s">
        <v>157</v>
      </c>
      <c r="R42" s="339" t="str">
        <f>IFERROR(__xludf.DUMMYFUNCTION("""COMPUTED_VALUE"""),"Dragonite")</f>
        <v>Dragonite</v>
      </c>
      <c r="S42" s="340" t="e">
        <v>#N/A</v>
      </c>
      <c r="T42" s="340" t="e">
        <v>#N/A</v>
      </c>
      <c r="U42" s="340" t="e">
        <v>#N/A</v>
      </c>
      <c r="V42" s="342" t="e">
        <v>#N/A</v>
      </c>
      <c r="W42" s="177"/>
    </row>
    <row r="43">
      <c r="A43" s="177"/>
      <c r="B43" s="222"/>
      <c r="C43" s="323">
        <f t="shared" si="1"/>
        <v>38</v>
      </c>
      <c r="D43" s="324" t="s">
        <v>95</v>
      </c>
      <c r="E43" s="325"/>
      <c r="F43" s="326" t="s">
        <v>159</v>
      </c>
      <c r="G43" s="328"/>
      <c r="H43" s="329"/>
      <c r="I43" s="331"/>
      <c r="J43" s="333">
        <v>1.0</v>
      </c>
      <c r="K43" s="334">
        <v>1.0</v>
      </c>
      <c r="L43" s="324">
        <v>0.0</v>
      </c>
      <c r="M43" s="335">
        <v>1.0</v>
      </c>
      <c r="N43" s="220"/>
      <c r="O43" s="177"/>
      <c r="P43" s="337">
        <f t="shared" si="2"/>
        <v>38</v>
      </c>
      <c r="Q43" s="338" t="s">
        <v>160</v>
      </c>
      <c r="R43" s="339" t="str">
        <f>IFERROR(__xludf.DUMMYFUNCTION("""COMPUTED_VALUE"""),"Corviknight")</f>
        <v>Corviknight</v>
      </c>
      <c r="S43" s="340" t="e">
        <v>#N/A</v>
      </c>
      <c r="T43" s="340" t="e">
        <v>#N/A</v>
      </c>
      <c r="U43" s="340" t="e">
        <v>#N/A</v>
      </c>
      <c r="V43" s="342" t="e">
        <v>#N/A</v>
      </c>
      <c r="W43" s="177"/>
    </row>
    <row r="44">
      <c r="A44" s="177"/>
      <c r="B44" s="222"/>
      <c r="C44" s="323">
        <f t="shared" si="1"/>
        <v>39</v>
      </c>
      <c r="D44" s="324" t="s">
        <v>101</v>
      </c>
      <c r="E44" s="325"/>
      <c r="F44" s="326" t="s">
        <v>161</v>
      </c>
      <c r="G44" s="328" t="s">
        <v>162</v>
      </c>
      <c r="H44" s="329" t="s">
        <v>163</v>
      </c>
      <c r="I44" s="331" t="s">
        <v>164</v>
      </c>
      <c r="J44" s="333">
        <v>1.0</v>
      </c>
      <c r="K44" s="334">
        <v>1.0</v>
      </c>
      <c r="L44" s="324">
        <v>1.0</v>
      </c>
      <c r="M44" s="335">
        <v>0.0</v>
      </c>
      <c r="N44" s="220"/>
      <c r="O44" s="177"/>
      <c r="P44" s="337">
        <f t="shared" si="2"/>
        <v>39</v>
      </c>
      <c r="Q44" s="338"/>
      <c r="R44" s="339" t="str">
        <f>IFERROR(__xludf.DUMMYFUNCTION("""COMPUTED_VALUE"""),"Sandy Shocks")</f>
        <v>Sandy Shocks</v>
      </c>
      <c r="S44" s="340" t="e">
        <v>#N/A</v>
      </c>
      <c r="T44" s="340" t="e">
        <v>#N/A</v>
      </c>
      <c r="U44" s="340" t="e">
        <v>#N/A</v>
      </c>
      <c r="V44" s="342" t="e">
        <v>#N/A</v>
      </c>
      <c r="W44" s="177"/>
    </row>
    <row r="45">
      <c r="A45" s="177"/>
      <c r="B45" s="222"/>
      <c r="C45" s="323">
        <f t="shared" si="1"/>
        <v>40</v>
      </c>
      <c r="D45" s="324" t="s">
        <v>111</v>
      </c>
      <c r="E45" s="325"/>
      <c r="F45" s="326" t="s">
        <v>165</v>
      </c>
      <c r="G45" s="328"/>
      <c r="H45" s="329"/>
      <c r="I45" s="331"/>
      <c r="J45" s="333">
        <v>1.0</v>
      </c>
      <c r="K45" s="334">
        <v>1.0</v>
      </c>
      <c r="L45" s="324">
        <v>1.0</v>
      </c>
      <c r="M45" s="335">
        <v>0.0</v>
      </c>
      <c r="N45" s="220"/>
      <c r="O45" s="177"/>
      <c r="P45" s="337">
        <f t="shared" si="2"/>
        <v>40</v>
      </c>
      <c r="Q45" s="338"/>
      <c r="R45" s="339" t="str">
        <f>IFERROR(__xludf.DUMMYFUNCTION("""COMPUTED_VALUE"""),"Iron Valiant")</f>
        <v>Iron Valiant</v>
      </c>
      <c r="S45" s="340" t="e">
        <v>#N/A</v>
      </c>
      <c r="T45" s="340" t="e">
        <v>#N/A</v>
      </c>
      <c r="U45" s="340" t="e">
        <v>#N/A</v>
      </c>
      <c r="V45" s="342" t="e">
        <v>#N/A</v>
      </c>
      <c r="W45" s="177"/>
    </row>
    <row r="46">
      <c r="A46" s="177"/>
      <c r="B46" s="222"/>
      <c r="C46" s="323">
        <f t="shared" si="1"/>
        <v>41</v>
      </c>
      <c r="D46" s="324" t="s">
        <v>89</v>
      </c>
      <c r="E46" s="325"/>
      <c r="F46" s="326" t="s">
        <v>166</v>
      </c>
      <c r="G46" s="328"/>
      <c r="H46" s="329"/>
      <c r="I46" s="331"/>
      <c r="J46" s="333">
        <v>1.0</v>
      </c>
      <c r="K46" s="334">
        <v>1.0</v>
      </c>
      <c r="L46" s="324">
        <v>1.0</v>
      </c>
      <c r="M46" s="335">
        <v>0.0</v>
      </c>
      <c r="N46" s="220"/>
      <c r="O46" s="177"/>
      <c r="P46" s="337">
        <f t="shared" si="2"/>
        <v>41</v>
      </c>
      <c r="Q46" s="338" t="s">
        <v>167</v>
      </c>
      <c r="R46" s="339" t="str">
        <f>IFERROR(__xludf.DUMMYFUNCTION("""COMPUTED_VALUE"""),"Zapdos")</f>
        <v>Zapdos</v>
      </c>
      <c r="S46" s="340" t="e">
        <v>#N/A</v>
      </c>
      <c r="T46" s="340" t="e">
        <v>#N/A</v>
      </c>
      <c r="U46" s="340" t="e">
        <v>#N/A</v>
      </c>
      <c r="V46" s="342" t="e">
        <v>#N/A</v>
      </c>
      <c r="W46" s="177"/>
    </row>
    <row r="47">
      <c r="A47" s="177"/>
      <c r="B47" s="222"/>
      <c r="C47" s="323">
        <f t="shared" si="1"/>
        <v>42</v>
      </c>
      <c r="D47" s="324" t="s">
        <v>89</v>
      </c>
      <c r="E47" s="325"/>
      <c r="F47" s="326" t="s">
        <v>168</v>
      </c>
      <c r="G47" s="328"/>
      <c r="H47" s="329"/>
      <c r="I47" s="331"/>
      <c r="J47" s="333">
        <v>1.0</v>
      </c>
      <c r="K47" s="334">
        <v>1.0</v>
      </c>
      <c r="L47" s="324">
        <v>1.0</v>
      </c>
      <c r="M47" s="335">
        <v>0.0</v>
      </c>
      <c r="N47" s="220"/>
      <c r="O47" s="177"/>
      <c r="P47" s="337">
        <f t="shared" si="2"/>
        <v>42</v>
      </c>
      <c r="Q47" s="338" t="s">
        <v>169</v>
      </c>
      <c r="R47" s="339" t="str">
        <f>IFERROR(__xludf.DUMMYFUNCTION("""COMPUTED_VALUE"""),"Latias")</f>
        <v>Latias</v>
      </c>
      <c r="S47" s="340" t="e">
        <v>#N/A</v>
      </c>
      <c r="T47" s="340" t="e">
        <v>#N/A</v>
      </c>
      <c r="U47" s="340" t="e">
        <v>#N/A</v>
      </c>
      <c r="V47" s="342" t="e">
        <v>#N/A</v>
      </c>
      <c r="W47" s="177"/>
    </row>
    <row r="48">
      <c r="A48" s="177"/>
      <c r="B48" s="222"/>
      <c r="C48" s="323">
        <f t="shared" si="1"/>
        <v>43</v>
      </c>
      <c r="D48" s="324" t="s">
        <v>89</v>
      </c>
      <c r="E48" s="325"/>
      <c r="F48" s="326" t="s">
        <v>170</v>
      </c>
      <c r="G48" s="328" t="s">
        <v>171</v>
      </c>
      <c r="H48" s="329" t="s">
        <v>172</v>
      </c>
      <c r="I48" s="331" t="s">
        <v>173</v>
      </c>
      <c r="J48" s="333">
        <v>3.0</v>
      </c>
      <c r="K48" s="334">
        <v>1.0</v>
      </c>
      <c r="L48" s="324">
        <v>1.0</v>
      </c>
      <c r="M48" s="335">
        <v>0.0</v>
      </c>
      <c r="N48" s="220"/>
      <c r="O48" s="177"/>
      <c r="P48" s="337">
        <f t="shared" si="2"/>
        <v>43</v>
      </c>
      <c r="Q48" s="338" t="s">
        <v>174</v>
      </c>
      <c r="R48" s="339" t="str">
        <f>IFERROR(__xludf.DUMMYFUNCTION("""COMPUTED_VALUE"""),"Gliscor")</f>
        <v>Gliscor</v>
      </c>
      <c r="S48" s="340" t="e">
        <v>#N/A</v>
      </c>
      <c r="T48" s="340" t="e">
        <v>#N/A</v>
      </c>
      <c r="U48" s="340" t="e">
        <v>#N/A</v>
      </c>
      <c r="V48" s="342" t="e">
        <v>#N/A</v>
      </c>
      <c r="W48" s="177"/>
    </row>
    <row r="49">
      <c r="A49" s="177"/>
      <c r="B49" s="222"/>
      <c r="C49" s="323">
        <f t="shared" si="1"/>
        <v>44</v>
      </c>
      <c r="D49" s="324" t="s">
        <v>111</v>
      </c>
      <c r="E49" s="325"/>
      <c r="F49" s="326" t="s">
        <v>175</v>
      </c>
      <c r="G49" s="328"/>
      <c r="H49" s="329"/>
      <c r="I49" s="331"/>
      <c r="J49" s="333">
        <v>2.0</v>
      </c>
      <c r="K49" s="334">
        <v>1.0</v>
      </c>
      <c r="L49" s="324">
        <v>2.0</v>
      </c>
      <c r="M49" s="335">
        <v>-1.0</v>
      </c>
      <c r="N49" s="220"/>
      <c r="O49" s="177"/>
      <c r="P49" s="337">
        <f t="shared" si="2"/>
        <v>44</v>
      </c>
      <c r="Q49" s="338"/>
      <c r="R49" s="339" t="str">
        <f>IFERROR(__xludf.DUMMYFUNCTION("""COMPUTED_VALUE"""),"Basculegion (T)")</f>
        <v>Basculegion (T)</v>
      </c>
      <c r="S49" s="340" t="e">
        <v>#N/A</v>
      </c>
      <c r="T49" s="340" t="e">
        <v>#N/A</v>
      </c>
      <c r="U49" s="340" t="e">
        <v>#N/A</v>
      </c>
      <c r="V49" s="342" t="e">
        <v>#N/A</v>
      </c>
      <c r="W49" s="177"/>
    </row>
    <row r="50">
      <c r="A50" s="177"/>
      <c r="B50" s="222"/>
      <c r="C50" s="323">
        <f t="shared" si="1"/>
        <v>45</v>
      </c>
      <c r="D50" s="324" t="s">
        <v>148</v>
      </c>
      <c r="E50" s="325"/>
      <c r="F50" s="326" t="s">
        <v>177</v>
      </c>
      <c r="G50" s="328" t="s">
        <v>178</v>
      </c>
      <c r="H50" s="329" t="s">
        <v>81</v>
      </c>
      <c r="I50" s="331" t="s">
        <v>82</v>
      </c>
      <c r="J50" s="333">
        <v>2.0</v>
      </c>
      <c r="K50" s="334">
        <v>1.0</v>
      </c>
      <c r="L50" s="324">
        <v>2.0</v>
      </c>
      <c r="M50" s="335">
        <v>-1.0</v>
      </c>
      <c r="N50" s="220"/>
      <c r="O50" s="177"/>
      <c r="P50" s="337">
        <f t="shared" si="2"/>
        <v>45</v>
      </c>
      <c r="Q50" s="338" t="s">
        <v>179</v>
      </c>
      <c r="R50" s="339" t="str">
        <f>IFERROR(__xludf.DUMMYFUNCTION("""COMPUTED_VALUE"""),"Pelipper")</f>
        <v>Pelipper</v>
      </c>
      <c r="S50" s="340" t="e">
        <v>#N/A</v>
      </c>
      <c r="T50" s="340" t="e">
        <v>#N/A</v>
      </c>
      <c r="U50" s="340" t="e">
        <v>#N/A</v>
      </c>
      <c r="V50" s="342" t="e">
        <v>#N/A</v>
      </c>
      <c r="W50" s="177"/>
    </row>
    <row r="51">
      <c r="A51" s="177"/>
      <c r="B51" s="222"/>
      <c r="C51" s="323">
        <f t="shared" si="1"/>
        <v>46</v>
      </c>
      <c r="D51" s="324" t="s">
        <v>87</v>
      </c>
      <c r="E51" s="325"/>
      <c r="F51" s="326" t="s">
        <v>180</v>
      </c>
      <c r="G51" s="328" t="s">
        <v>181</v>
      </c>
      <c r="H51" s="329" t="s">
        <v>182</v>
      </c>
      <c r="I51" s="331" t="s">
        <v>171</v>
      </c>
      <c r="J51" s="333">
        <v>3.0</v>
      </c>
      <c r="K51" s="334">
        <v>1.0</v>
      </c>
      <c r="L51" s="324">
        <v>2.0</v>
      </c>
      <c r="M51" s="335">
        <v>-1.0</v>
      </c>
      <c r="N51" s="220"/>
      <c r="O51" s="177"/>
      <c r="P51" s="337">
        <f t="shared" si="2"/>
        <v>46</v>
      </c>
      <c r="Q51" s="338" t="s">
        <v>183</v>
      </c>
      <c r="R51" s="339" t="str">
        <f>IFERROR(__xludf.DUMMYFUNCTION("""COMPUTED_VALUE"""),"Spectrier")</f>
        <v>Spectrier</v>
      </c>
      <c r="S51" s="340" t="e">
        <v>#N/A</v>
      </c>
      <c r="T51" s="340" t="e">
        <v>#N/A</v>
      </c>
      <c r="U51" s="340" t="e">
        <v>#N/A</v>
      </c>
      <c r="V51" s="342" t="e">
        <v>#N/A</v>
      </c>
      <c r="W51" s="177"/>
    </row>
    <row r="52">
      <c r="A52" s="177"/>
      <c r="B52" s="222"/>
      <c r="C52" s="323">
        <f t="shared" si="1"/>
        <v>47</v>
      </c>
      <c r="D52" s="324" t="s">
        <v>101</v>
      </c>
      <c r="E52" s="325"/>
      <c r="F52" s="326" t="s">
        <v>185</v>
      </c>
      <c r="G52" s="328"/>
      <c r="H52" s="329"/>
      <c r="I52" s="331"/>
      <c r="J52" s="333">
        <v>3.0</v>
      </c>
      <c r="K52" s="334">
        <v>1.0</v>
      </c>
      <c r="L52" s="324">
        <v>3.0</v>
      </c>
      <c r="M52" s="335">
        <v>-2.0</v>
      </c>
      <c r="N52" s="220"/>
      <c r="O52" s="177"/>
      <c r="P52" s="337">
        <f t="shared" si="2"/>
        <v>47</v>
      </c>
      <c r="Q52" s="338"/>
      <c r="R52" s="339" t="str">
        <f>IFERROR(__xludf.DUMMYFUNCTION("""COMPUTED_VALUE"""),"Sinistcha (T)")</f>
        <v>Sinistcha (T)</v>
      </c>
      <c r="S52" s="340" t="e">
        <v>#N/A</v>
      </c>
      <c r="T52" s="340" t="e">
        <v>#N/A</v>
      </c>
      <c r="U52" s="340" t="e">
        <v>#N/A</v>
      </c>
      <c r="V52" s="342" t="e">
        <v>#N/A</v>
      </c>
      <c r="W52" s="177"/>
    </row>
    <row r="53">
      <c r="A53" s="177"/>
      <c r="B53" s="222"/>
      <c r="C53" s="323">
        <f t="shared" si="1"/>
        <v>48</v>
      </c>
      <c r="D53" s="324" t="s">
        <v>111</v>
      </c>
      <c r="E53" s="325"/>
      <c r="F53" s="326" t="s">
        <v>186</v>
      </c>
      <c r="G53" s="328"/>
      <c r="H53" s="329"/>
      <c r="I53" s="331"/>
      <c r="J53" s="333">
        <v>3.0</v>
      </c>
      <c r="K53" s="334">
        <v>1.0</v>
      </c>
      <c r="L53" s="324">
        <v>3.0</v>
      </c>
      <c r="M53" s="335">
        <v>-2.0</v>
      </c>
      <c r="N53" s="220"/>
      <c r="O53" s="177"/>
      <c r="P53" s="337">
        <f t="shared" si="2"/>
        <v>48</v>
      </c>
      <c r="Q53" s="338"/>
      <c r="R53" s="339" t="str">
        <f>IFERROR(__xludf.DUMMYFUNCTION("""COMPUTED_VALUE"""),"Archaludon (T)")</f>
        <v>Archaludon (T)</v>
      </c>
      <c r="S53" s="340" t="e">
        <v>#N/A</v>
      </c>
      <c r="T53" s="340" t="e">
        <v>#N/A</v>
      </c>
      <c r="U53" s="340" t="e">
        <v>#N/A</v>
      </c>
      <c r="V53" s="342" t="e">
        <v>#N/A</v>
      </c>
      <c r="W53" s="177"/>
    </row>
    <row r="54">
      <c r="A54" s="177"/>
      <c r="B54" s="222"/>
      <c r="C54" s="323">
        <f t="shared" si="1"/>
        <v>49</v>
      </c>
      <c r="D54" s="324" t="s">
        <v>106</v>
      </c>
      <c r="E54" s="325"/>
      <c r="F54" s="326" t="s">
        <v>188</v>
      </c>
      <c r="G54" s="328"/>
      <c r="H54" s="329"/>
      <c r="I54" s="331"/>
      <c r="J54" s="333">
        <v>3.0</v>
      </c>
      <c r="K54" s="334">
        <v>1.0</v>
      </c>
      <c r="L54" s="324">
        <v>3.0</v>
      </c>
      <c r="M54" s="335">
        <v>-2.0</v>
      </c>
      <c r="N54" s="220"/>
      <c r="O54" s="177"/>
      <c r="P54" s="337">
        <f t="shared" si="2"/>
        <v>49</v>
      </c>
      <c r="Q54" s="338" t="s">
        <v>189</v>
      </c>
      <c r="R54" s="339" t="str">
        <f>IFERROR(__xludf.DUMMYFUNCTION("""COMPUTED_VALUE"""),"Cinccino")</f>
        <v>Cinccino</v>
      </c>
      <c r="S54" s="340" t="e">
        <v>#N/A</v>
      </c>
      <c r="T54" s="340" t="e">
        <v>#N/A</v>
      </c>
      <c r="U54" s="340" t="e">
        <v>#N/A</v>
      </c>
      <c r="V54" s="342" t="e">
        <v>#N/A</v>
      </c>
      <c r="W54" s="177"/>
    </row>
    <row r="55">
      <c r="A55" s="177"/>
      <c r="B55" s="222"/>
      <c r="C55" s="323">
        <f t="shared" si="1"/>
        <v>50</v>
      </c>
      <c r="D55" s="324" t="s">
        <v>87</v>
      </c>
      <c r="E55" s="325"/>
      <c r="F55" s="326" t="s">
        <v>191</v>
      </c>
      <c r="G55" s="328" t="s">
        <v>192</v>
      </c>
      <c r="H55" s="329" t="s">
        <v>163</v>
      </c>
      <c r="I55" s="331" t="s">
        <v>193</v>
      </c>
      <c r="J55" s="333">
        <v>4.0</v>
      </c>
      <c r="K55" s="334">
        <v>1.0</v>
      </c>
      <c r="L55" s="324">
        <v>3.0</v>
      </c>
      <c r="M55" s="335">
        <v>-2.0</v>
      </c>
      <c r="N55" s="220"/>
      <c r="O55" s="177"/>
      <c r="P55" s="337">
        <f t="shared" si="2"/>
        <v>50</v>
      </c>
      <c r="Q55" s="338"/>
      <c r="R55" s="339"/>
      <c r="S55" s="340" t="e">
        <v>#N/A</v>
      </c>
      <c r="T55" s="340" t="e">
        <v>#N/A</v>
      </c>
      <c r="U55" s="340" t="e">
        <v>#N/A</v>
      </c>
      <c r="V55" s="342" t="e">
        <v>#N/A</v>
      </c>
      <c r="W55" s="177"/>
    </row>
    <row r="56">
      <c r="A56" s="177"/>
      <c r="B56" s="222"/>
      <c r="C56" s="323">
        <f t="shared" si="1"/>
        <v>51</v>
      </c>
      <c r="D56" s="324" t="s">
        <v>84</v>
      </c>
      <c r="E56" s="325"/>
      <c r="F56" s="326" t="s">
        <v>195</v>
      </c>
      <c r="G56" s="328"/>
      <c r="H56" s="329"/>
      <c r="I56" s="331"/>
      <c r="J56" s="333">
        <v>6.0</v>
      </c>
      <c r="K56" s="334">
        <v>1.0</v>
      </c>
      <c r="L56" s="324">
        <v>4.0</v>
      </c>
      <c r="M56" s="335">
        <v>-3.0</v>
      </c>
      <c r="N56" s="220"/>
      <c r="O56" s="177"/>
      <c r="P56" s="337">
        <f t="shared" si="2"/>
        <v>51</v>
      </c>
      <c r="Q56" s="338"/>
      <c r="R56" s="339"/>
      <c r="S56" s="340" t="e">
        <v>#N/A</v>
      </c>
      <c r="T56" s="340" t="e">
        <v>#N/A</v>
      </c>
      <c r="U56" s="340" t="e">
        <v>#N/A</v>
      </c>
      <c r="V56" s="342" t="e">
        <v>#N/A</v>
      </c>
      <c r="W56" s="177"/>
    </row>
    <row r="57">
      <c r="A57" s="177"/>
      <c r="B57" s="222"/>
      <c r="C57" s="323">
        <f t="shared" si="1"/>
        <v>52</v>
      </c>
      <c r="D57" s="324" t="s">
        <v>87</v>
      </c>
      <c r="E57" s="325"/>
      <c r="F57" s="326" t="s">
        <v>197</v>
      </c>
      <c r="G57" s="328"/>
      <c r="H57" s="329"/>
      <c r="I57" s="331"/>
      <c r="J57" s="333">
        <v>0.0</v>
      </c>
      <c r="K57" s="334">
        <v>0.0</v>
      </c>
      <c r="L57" s="324">
        <v>0.0</v>
      </c>
      <c r="M57" s="335">
        <v>0.0</v>
      </c>
      <c r="N57" s="220"/>
      <c r="O57" s="177"/>
      <c r="P57" s="337">
        <f t="shared" si="2"/>
        <v>52</v>
      </c>
      <c r="Q57" s="338"/>
      <c r="R57" s="339"/>
      <c r="S57" s="340" t="e">
        <v>#N/A</v>
      </c>
      <c r="T57" s="340" t="e">
        <v>#N/A</v>
      </c>
      <c r="U57" s="340" t="e">
        <v>#N/A</v>
      </c>
      <c r="V57" s="342" t="e">
        <v>#N/A</v>
      </c>
      <c r="W57" s="177"/>
    </row>
    <row r="58">
      <c r="A58" s="177"/>
      <c r="B58" s="222"/>
      <c r="C58" s="323">
        <f t="shared" si="1"/>
        <v>53</v>
      </c>
      <c r="D58" s="324" t="s">
        <v>87</v>
      </c>
      <c r="E58" s="325"/>
      <c r="F58" s="326" t="s">
        <v>199</v>
      </c>
      <c r="G58" s="328"/>
      <c r="H58" s="329"/>
      <c r="I58" s="331"/>
      <c r="J58" s="333">
        <v>0.0</v>
      </c>
      <c r="K58" s="334">
        <v>0.0</v>
      </c>
      <c r="L58" s="324">
        <v>0.0</v>
      </c>
      <c r="M58" s="335">
        <v>0.0</v>
      </c>
      <c r="N58" s="220"/>
      <c r="O58" s="177"/>
      <c r="P58" s="337">
        <f t="shared" si="2"/>
        <v>53</v>
      </c>
      <c r="Q58" s="338"/>
      <c r="R58" s="339"/>
      <c r="S58" s="340" t="e">
        <v>#N/A</v>
      </c>
      <c r="T58" s="340" t="e">
        <v>#N/A</v>
      </c>
      <c r="U58" s="340" t="e">
        <v>#N/A</v>
      </c>
      <c r="V58" s="342" t="e">
        <v>#N/A</v>
      </c>
      <c r="W58" s="177"/>
    </row>
    <row r="59">
      <c r="A59" s="177"/>
      <c r="B59" s="222"/>
      <c r="C59" s="323">
        <f t="shared" si="1"/>
        <v>54</v>
      </c>
      <c r="D59" s="324" t="s">
        <v>87</v>
      </c>
      <c r="E59" s="325"/>
      <c r="F59" s="326"/>
      <c r="G59" s="328"/>
      <c r="H59" s="329"/>
      <c r="I59" s="331"/>
      <c r="J59" s="333">
        <v>0.0</v>
      </c>
      <c r="K59" s="334">
        <v>0.0</v>
      </c>
      <c r="L59" s="324">
        <v>0.0</v>
      </c>
      <c r="M59" s="335">
        <v>0.0</v>
      </c>
      <c r="N59" s="220"/>
      <c r="O59" s="177"/>
      <c r="P59" s="337">
        <f t="shared" si="2"/>
        <v>54</v>
      </c>
      <c r="Q59" s="338"/>
      <c r="R59" s="339"/>
      <c r="S59" s="340" t="e">
        <v>#N/A</v>
      </c>
      <c r="T59" s="340" t="e">
        <v>#N/A</v>
      </c>
      <c r="U59" s="340" t="e">
        <v>#N/A</v>
      </c>
      <c r="V59" s="342" t="e">
        <v>#N/A</v>
      </c>
      <c r="W59" s="177"/>
    </row>
    <row r="60">
      <c r="A60" s="177"/>
      <c r="B60" s="222"/>
      <c r="C60" s="323">
        <f t="shared" si="1"/>
        <v>55</v>
      </c>
      <c r="D60" s="324" t="s">
        <v>87</v>
      </c>
      <c r="E60" s="325"/>
      <c r="F60" s="326"/>
      <c r="G60" s="328"/>
      <c r="H60" s="329"/>
      <c r="I60" s="331"/>
      <c r="J60" s="333">
        <v>0.0</v>
      </c>
      <c r="K60" s="334">
        <v>0.0</v>
      </c>
      <c r="L60" s="324">
        <v>0.0</v>
      </c>
      <c r="M60" s="335">
        <v>0.0</v>
      </c>
      <c r="N60" s="220"/>
      <c r="O60" s="177"/>
      <c r="P60" s="337">
        <f t="shared" si="2"/>
        <v>55</v>
      </c>
      <c r="Q60" s="338"/>
      <c r="R60" s="339"/>
      <c r="S60" s="340" t="e">
        <v>#N/A</v>
      </c>
      <c r="T60" s="340" t="e">
        <v>#N/A</v>
      </c>
      <c r="U60" s="340" t="e">
        <v>#N/A</v>
      </c>
      <c r="V60" s="342" t="e">
        <v>#N/A</v>
      </c>
      <c r="W60" s="177"/>
    </row>
    <row r="61">
      <c r="A61" s="177"/>
      <c r="B61" s="222"/>
      <c r="C61" s="323">
        <f t="shared" si="1"/>
        <v>56</v>
      </c>
      <c r="D61" s="324" t="s">
        <v>101</v>
      </c>
      <c r="E61" s="325"/>
      <c r="F61" s="326"/>
      <c r="G61" s="328"/>
      <c r="H61" s="329"/>
      <c r="I61" s="331"/>
      <c r="J61" s="333">
        <v>0.0</v>
      </c>
      <c r="K61" s="334">
        <v>0.0</v>
      </c>
      <c r="L61" s="324">
        <v>0.0</v>
      </c>
      <c r="M61" s="335">
        <v>0.0</v>
      </c>
      <c r="N61" s="220"/>
      <c r="O61" s="177"/>
      <c r="P61" s="337">
        <f t="shared" si="2"/>
        <v>56</v>
      </c>
      <c r="Q61" s="338"/>
      <c r="R61" s="339"/>
      <c r="S61" s="340" t="e">
        <v>#N/A</v>
      </c>
      <c r="T61" s="340" t="e">
        <v>#N/A</v>
      </c>
      <c r="U61" s="340" t="e">
        <v>#N/A</v>
      </c>
      <c r="V61" s="342" t="e">
        <v>#N/A</v>
      </c>
      <c r="W61" s="177"/>
    </row>
    <row r="62">
      <c r="A62" s="177"/>
      <c r="B62" s="222"/>
      <c r="C62" s="323">
        <f t="shared" si="1"/>
        <v>57</v>
      </c>
      <c r="D62" s="324" t="s">
        <v>101</v>
      </c>
      <c r="E62" s="325"/>
      <c r="F62" s="326"/>
      <c r="G62" s="328"/>
      <c r="H62" s="329"/>
      <c r="I62" s="331"/>
      <c r="J62" s="333">
        <v>0.0</v>
      </c>
      <c r="K62" s="334">
        <v>0.0</v>
      </c>
      <c r="L62" s="324">
        <v>0.0</v>
      </c>
      <c r="M62" s="335">
        <v>0.0</v>
      </c>
      <c r="N62" s="220"/>
      <c r="O62" s="177"/>
      <c r="P62" s="337">
        <f t="shared" si="2"/>
        <v>57</v>
      </c>
      <c r="Q62" s="338"/>
      <c r="R62" s="339"/>
      <c r="S62" s="340" t="e">
        <v>#N/A</v>
      </c>
      <c r="T62" s="340" t="e">
        <v>#N/A</v>
      </c>
      <c r="U62" s="340" t="e">
        <v>#N/A</v>
      </c>
      <c r="V62" s="342" t="e">
        <v>#N/A</v>
      </c>
      <c r="W62" s="177"/>
    </row>
    <row r="63">
      <c r="A63" s="177"/>
      <c r="B63" s="222"/>
      <c r="C63" s="323">
        <f t="shared" si="1"/>
        <v>58</v>
      </c>
      <c r="D63" s="324" t="s">
        <v>95</v>
      </c>
      <c r="E63" s="325"/>
      <c r="F63" s="326" t="s">
        <v>201</v>
      </c>
      <c r="G63" s="328"/>
      <c r="H63" s="329"/>
      <c r="I63" s="331"/>
      <c r="J63" s="333">
        <v>0.0</v>
      </c>
      <c r="K63" s="334">
        <v>0.0</v>
      </c>
      <c r="L63" s="324">
        <v>0.0</v>
      </c>
      <c r="M63" s="335">
        <v>0.0</v>
      </c>
      <c r="N63" s="220"/>
      <c r="O63" s="177"/>
      <c r="P63" s="337">
        <f t="shared" si="2"/>
        <v>58</v>
      </c>
      <c r="Q63" s="338"/>
      <c r="R63" s="339"/>
      <c r="S63" s="340" t="e">
        <v>#N/A</v>
      </c>
      <c r="T63" s="340" t="e">
        <v>#N/A</v>
      </c>
      <c r="U63" s="340" t="e">
        <v>#N/A</v>
      </c>
      <c r="V63" s="342" t="e">
        <v>#N/A</v>
      </c>
      <c r="W63" s="177"/>
    </row>
    <row r="64">
      <c r="A64" s="177"/>
      <c r="B64" s="222"/>
      <c r="C64" s="323">
        <f t="shared" si="1"/>
        <v>59</v>
      </c>
      <c r="D64" s="324" t="s">
        <v>95</v>
      </c>
      <c r="E64" s="325"/>
      <c r="F64" s="326"/>
      <c r="G64" s="328"/>
      <c r="H64" s="329"/>
      <c r="I64" s="331"/>
      <c r="J64" s="333">
        <v>0.0</v>
      </c>
      <c r="K64" s="334">
        <v>0.0</v>
      </c>
      <c r="L64" s="324">
        <v>0.0</v>
      </c>
      <c r="M64" s="335">
        <v>0.0</v>
      </c>
      <c r="N64" s="220"/>
      <c r="O64" s="177"/>
      <c r="P64" s="337">
        <f t="shared" si="2"/>
        <v>59</v>
      </c>
      <c r="Q64" s="338"/>
      <c r="R64" s="339"/>
      <c r="S64" s="340" t="e">
        <v>#N/A</v>
      </c>
      <c r="T64" s="340" t="e">
        <v>#N/A</v>
      </c>
      <c r="U64" s="340" t="e">
        <v>#N/A</v>
      </c>
      <c r="V64" s="342" t="e">
        <v>#N/A</v>
      </c>
      <c r="W64" s="177"/>
    </row>
    <row r="65">
      <c r="A65" s="177"/>
      <c r="B65" s="222"/>
      <c r="C65" s="323">
        <f t="shared" si="1"/>
        <v>60</v>
      </c>
      <c r="D65" s="324" t="s">
        <v>95</v>
      </c>
      <c r="E65" s="325"/>
      <c r="F65" s="326"/>
      <c r="G65" s="328"/>
      <c r="H65" s="329"/>
      <c r="I65" s="331"/>
      <c r="J65" s="333">
        <v>0.0</v>
      </c>
      <c r="K65" s="334">
        <v>0.0</v>
      </c>
      <c r="L65" s="324">
        <v>0.0</v>
      </c>
      <c r="M65" s="335">
        <v>0.0</v>
      </c>
      <c r="N65" s="220"/>
      <c r="O65" s="177"/>
      <c r="P65" s="337">
        <f t="shared" si="2"/>
        <v>60</v>
      </c>
      <c r="Q65" s="338"/>
      <c r="R65" s="339"/>
      <c r="S65" s="340" t="e">
        <v>#N/A</v>
      </c>
      <c r="T65" s="340" t="e">
        <v>#N/A</v>
      </c>
      <c r="U65" s="340" t="e">
        <v>#N/A</v>
      </c>
      <c r="V65" s="342" t="e">
        <v>#N/A</v>
      </c>
      <c r="W65" s="177"/>
    </row>
    <row r="66">
      <c r="A66" s="177"/>
      <c r="B66" s="222"/>
      <c r="C66" s="323">
        <f t="shared" si="1"/>
        <v>61</v>
      </c>
      <c r="D66" s="324" t="s">
        <v>84</v>
      </c>
      <c r="E66" s="325"/>
      <c r="F66" s="326" t="s">
        <v>202</v>
      </c>
      <c r="G66" s="328" t="s">
        <v>139</v>
      </c>
      <c r="H66" s="329" t="s">
        <v>203</v>
      </c>
      <c r="I66" s="331" t="s">
        <v>92</v>
      </c>
      <c r="J66" s="333">
        <v>0.0</v>
      </c>
      <c r="K66" s="334">
        <v>0.0</v>
      </c>
      <c r="L66" s="324">
        <v>0.0</v>
      </c>
      <c r="M66" s="335">
        <v>0.0</v>
      </c>
      <c r="N66" s="220"/>
      <c r="O66" s="177"/>
      <c r="P66" s="337">
        <f t="shared" si="2"/>
        <v>61</v>
      </c>
      <c r="Q66" s="338"/>
      <c r="R66" s="339"/>
      <c r="S66" s="340" t="e">
        <v>#N/A</v>
      </c>
      <c r="T66" s="340" t="e">
        <v>#N/A</v>
      </c>
      <c r="U66" s="340" t="e">
        <v>#N/A</v>
      </c>
      <c r="V66" s="342" t="e">
        <v>#N/A</v>
      </c>
      <c r="W66" s="177"/>
    </row>
    <row r="67">
      <c r="A67" s="177"/>
      <c r="B67" s="222"/>
      <c r="C67" s="323">
        <f t="shared" si="1"/>
        <v>62</v>
      </c>
      <c r="D67" s="324" t="s">
        <v>84</v>
      </c>
      <c r="E67" s="325"/>
      <c r="F67" s="326"/>
      <c r="G67" s="328"/>
      <c r="H67" s="329"/>
      <c r="I67" s="331"/>
      <c r="J67" s="333">
        <v>0.0</v>
      </c>
      <c r="K67" s="334">
        <v>0.0</v>
      </c>
      <c r="L67" s="324">
        <v>0.0</v>
      </c>
      <c r="M67" s="335">
        <v>0.0</v>
      </c>
      <c r="N67" s="220"/>
      <c r="O67" s="177"/>
      <c r="P67" s="337">
        <f t="shared" si="2"/>
        <v>62</v>
      </c>
      <c r="Q67" s="338"/>
      <c r="R67" s="339"/>
      <c r="S67" s="340" t="e">
        <v>#N/A</v>
      </c>
      <c r="T67" s="340" t="e">
        <v>#N/A</v>
      </c>
      <c r="U67" s="340" t="e">
        <v>#N/A</v>
      </c>
      <c r="V67" s="342" t="e">
        <v>#N/A</v>
      </c>
      <c r="W67" s="177"/>
    </row>
    <row r="68">
      <c r="A68" s="177"/>
      <c r="B68" s="222"/>
      <c r="C68" s="323">
        <f t="shared" si="1"/>
        <v>63</v>
      </c>
      <c r="D68" s="324" t="s">
        <v>84</v>
      </c>
      <c r="E68" s="325"/>
      <c r="F68" s="326"/>
      <c r="G68" s="328"/>
      <c r="H68" s="329"/>
      <c r="I68" s="331"/>
      <c r="J68" s="333">
        <v>0.0</v>
      </c>
      <c r="K68" s="334">
        <v>0.0</v>
      </c>
      <c r="L68" s="324">
        <v>0.0</v>
      </c>
      <c r="M68" s="335">
        <v>0.0</v>
      </c>
      <c r="N68" s="220"/>
      <c r="O68" s="177"/>
      <c r="P68" s="337">
        <f t="shared" si="2"/>
        <v>63</v>
      </c>
      <c r="Q68" s="338"/>
      <c r="R68" s="339"/>
      <c r="S68" s="340" t="e">
        <v>#N/A</v>
      </c>
      <c r="T68" s="340" t="e">
        <v>#N/A</v>
      </c>
      <c r="U68" s="340" t="e">
        <v>#N/A</v>
      </c>
      <c r="V68" s="342" t="e">
        <v>#N/A</v>
      </c>
      <c r="W68" s="177"/>
    </row>
    <row r="69">
      <c r="A69" s="177"/>
      <c r="B69" s="222"/>
      <c r="C69" s="323">
        <f t="shared" si="1"/>
        <v>64</v>
      </c>
      <c r="D69" s="324" t="s">
        <v>111</v>
      </c>
      <c r="E69" s="325"/>
      <c r="F69" s="326" t="s">
        <v>205</v>
      </c>
      <c r="G69" s="328" t="s">
        <v>173</v>
      </c>
      <c r="H69" s="329" t="s">
        <v>171</v>
      </c>
      <c r="I69" s="331" t="s">
        <v>140</v>
      </c>
      <c r="J69" s="333">
        <v>0.0</v>
      </c>
      <c r="K69" s="334">
        <v>0.0</v>
      </c>
      <c r="L69" s="324">
        <v>0.0</v>
      </c>
      <c r="M69" s="335">
        <v>0.0</v>
      </c>
      <c r="N69" s="220"/>
      <c r="O69" s="177"/>
      <c r="P69" s="337">
        <f t="shared" si="2"/>
        <v>64</v>
      </c>
      <c r="Q69" s="338"/>
      <c r="R69" s="339"/>
      <c r="S69" s="340" t="e">
        <v>#N/A</v>
      </c>
      <c r="T69" s="340" t="e">
        <v>#N/A</v>
      </c>
      <c r="U69" s="340" t="e">
        <v>#N/A</v>
      </c>
      <c r="V69" s="342" t="e">
        <v>#N/A</v>
      </c>
      <c r="W69" s="177"/>
    </row>
    <row r="70">
      <c r="A70" s="177"/>
      <c r="B70" s="222"/>
      <c r="C70" s="323">
        <f t="shared" si="1"/>
        <v>65</v>
      </c>
      <c r="D70" s="324" t="s">
        <v>111</v>
      </c>
      <c r="E70" s="325"/>
      <c r="F70" s="326"/>
      <c r="G70" s="328"/>
      <c r="H70" s="329"/>
      <c r="I70" s="331"/>
      <c r="J70" s="333">
        <v>0.0</v>
      </c>
      <c r="K70" s="334">
        <v>0.0</v>
      </c>
      <c r="L70" s="324">
        <v>0.0</v>
      </c>
      <c r="M70" s="335">
        <v>0.0</v>
      </c>
      <c r="N70" s="220"/>
      <c r="O70" s="177"/>
      <c r="P70" s="337">
        <f t="shared" si="2"/>
        <v>65</v>
      </c>
      <c r="Q70" s="338"/>
      <c r="R70" s="339"/>
      <c r="S70" s="340" t="e">
        <v>#N/A</v>
      </c>
      <c r="T70" s="340" t="e">
        <v>#N/A</v>
      </c>
      <c r="U70" s="340" t="e">
        <v>#N/A</v>
      </c>
      <c r="V70" s="342" t="e">
        <v>#N/A</v>
      </c>
      <c r="W70" s="177"/>
    </row>
    <row r="71">
      <c r="A71" s="177"/>
      <c r="B71" s="222"/>
      <c r="C71" s="323">
        <f t="shared" si="1"/>
        <v>66</v>
      </c>
      <c r="D71" s="324" t="s">
        <v>111</v>
      </c>
      <c r="E71" s="325"/>
      <c r="F71" s="326"/>
      <c r="G71" s="328"/>
      <c r="H71" s="329"/>
      <c r="I71" s="331"/>
      <c r="J71" s="333">
        <v>0.0</v>
      </c>
      <c r="K71" s="334">
        <v>0.0</v>
      </c>
      <c r="L71" s="324">
        <v>0.0</v>
      </c>
      <c r="M71" s="335">
        <v>0.0</v>
      </c>
      <c r="N71" s="220"/>
      <c r="O71" s="177"/>
      <c r="P71" s="337">
        <f t="shared" si="2"/>
        <v>66</v>
      </c>
      <c r="Q71" s="338"/>
      <c r="R71" s="339"/>
      <c r="S71" s="340" t="e">
        <v>#N/A</v>
      </c>
      <c r="T71" s="340" t="e">
        <v>#N/A</v>
      </c>
      <c r="U71" s="340" t="e">
        <v>#N/A</v>
      </c>
      <c r="V71" s="342" t="e">
        <v>#N/A</v>
      </c>
      <c r="W71" s="177"/>
    </row>
    <row r="72">
      <c r="A72" s="177"/>
      <c r="B72" s="222"/>
      <c r="C72" s="323">
        <f t="shared" si="1"/>
        <v>67</v>
      </c>
      <c r="D72" s="324" t="s">
        <v>148</v>
      </c>
      <c r="E72" s="325"/>
      <c r="F72" s="326" t="s">
        <v>208</v>
      </c>
      <c r="G72" s="328" t="s">
        <v>150</v>
      </c>
      <c r="H72" s="329" t="s">
        <v>136</v>
      </c>
      <c r="I72" s="331" t="s">
        <v>209</v>
      </c>
      <c r="J72" s="333">
        <v>0.0</v>
      </c>
      <c r="K72" s="334">
        <v>0.0</v>
      </c>
      <c r="L72" s="324">
        <v>0.0</v>
      </c>
      <c r="M72" s="335">
        <v>0.0</v>
      </c>
      <c r="N72" s="220"/>
      <c r="O72" s="177"/>
      <c r="P72" s="337">
        <f t="shared" si="2"/>
        <v>67</v>
      </c>
      <c r="Q72" s="338"/>
      <c r="R72" s="339"/>
      <c r="S72" s="340" t="e">
        <v>#N/A</v>
      </c>
      <c r="T72" s="340" t="e">
        <v>#N/A</v>
      </c>
      <c r="U72" s="340" t="e">
        <v>#N/A</v>
      </c>
      <c r="V72" s="342" t="e">
        <v>#N/A</v>
      </c>
      <c r="W72" s="177"/>
    </row>
    <row r="73">
      <c r="A73" s="177"/>
      <c r="B73" s="222"/>
      <c r="C73" s="323">
        <f t="shared" si="1"/>
        <v>68</v>
      </c>
      <c r="D73" s="324" t="s">
        <v>148</v>
      </c>
      <c r="E73" s="325"/>
      <c r="F73" s="326" t="s">
        <v>210</v>
      </c>
      <c r="G73" s="328"/>
      <c r="H73" s="329"/>
      <c r="I73" s="331"/>
      <c r="J73" s="333">
        <v>0.0</v>
      </c>
      <c r="K73" s="334">
        <v>0.0</v>
      </c>
      <c r="L73" s="324">
        <v>0.0</v>
      </c>
      <c r="M73" s="335">
        <v>0.0</v>
      </c>
      <c r="N73" s="220"/>
      <c r="O73" s="177"/>
      <c r="P73" s="337">
        <f t="shared" si="2"/>
        <v>68</v>
      </c>
      <c r="Q73" s="338"/>
      <c r="R73" s="339"/>
      <c r="S73" s="340" t="e">
        <v>#N/A</v>
      </c>
      <c r="T73" s="340" t="e">
        <v>#N/A</v>
      </c>
      <c r="U73" s="340" t="e">
        <v>#N/A</v>
      </c>
      <c r="V73" s="342" t="e">
        <v>#N/A</v>
      </c>
      <c r="W73" s="177"/>
    </row>
    <row r="74">
      <c r="A74" s="177"/>
      <c r="B74" s="222"/>
      <c r="C74" s="323">
        <f t="shared" si="1"/>
        <v>69</v>
      </c>
      <c r="D74" s="324" t="s">
        <v>148</v>
      </c>
      <c r="E74" s="325"/>
      <c r="F74" s="326"/>
      <c r="G74" s="328"/>
      <c r="H74" s="329"/>
      <c r="I74" s="331"/>
      <c r="J74" s="333">
        <v>0.0</v>
      </c>
      <c r="K74" s="334">
        <v>0.0</v>
      </c>
      <c r="L74" s="324">
        <v>0.0</v>
      </c>
      <c r="M74" s="335">
        <v>0.0</v>
      </c>
      <c r="N74" s="220"/>
      <c r="O74" s="177"/>
      <c r="P74" s="337">
        <f t="shared" si="2"/>
        <v>69</v>
      </c>
      <c r="Q74" s="338"/>
      <c r="R74" s="339"/>
      <c r="S74" s="340" t="e">
        <v>#N/A</v>
      </c>
      <c r="T74" s="340" t="e">
        <v>#N/A</v>
      </c>
      <c r="U74" s="340" t="e">
        <v>#N/A</v>
      </c>
      <c r="V74" s="342" t="e">
        <v>#N/A</v>
      </c>
      <c r="W74" s="177"/>
    </row>
    <row r="75">
      <c r="A75" s="177"/>
      <c r="B75" s="222"/>
      <c r="C75" s="323">
        <f t="shared" si="1"/>
        <v>70</v>
      </c>
      <c r="D75" s="324" t="s">
        <v>148</v>
      </c>
      <c r="E75" s="325"/>
      <c r="F75" s="326"/>
      <c r="G75" s="328"/>
      <c r="H75" s="329"/>
      <c r="I75" s="331"/>
      <c r="J75" s="333">
        <v>0.0</v>
      </c>
      <c r="K75" s="334">
        <v>0.0</v>
      </c>
      <c r="L75" s="324">
        <v>0.0</v>
      </c>
      <c r="M75" s="335">
        <v>0.0</v>
      </c>
      <c r="N75" s="220"/>
      <c r="O75" s="177"/>
      <c r="P75" s="337">
        <f t="shared" si="2"/>
        <v>70</v>
      </c>
      <c r="Q75" s="338"/>
      <c r="R75" s="339"/>
      <c r="S75" s="340" t="e">
        <v>#N/A</v>
      </c>
      <c r="T75" s="340" t="e">
        <v>#N/A</v>
      </c>
      <c r="U75" s="340" t="e">
        <v>#N/A</v>
      </c>
      <c r="V75" s="342" t="e">
        <v>#N/A</v>
      </c>
      <c r="W75" s="177"/>
    </row>
    <row r="76">
      <c r="A76" s="177"/>
      <c r="B76" s="222"/>
      <c r="C76" s="323">
        <f t="shared" si="1"/>
        <v>71</v>
      </c>
      <c r="D76" s="324" t="s">
        <v>89</v>
      </c>
      <c r="E76" s="325"/>
      <c r="F76" s="326" t="s">
        <v>214</v>
      </c>
      <c r="G76" s="328" t="s">
        <v>82</v>
      </c>
      <c r="H76" s="329" t="s">
        <v>193</v>
      </c>
      <c r="I76" s="331" t="s">
        <v>215</v>
      </c>
      <c r="J76" s="333">
        <v>0.0</v>
      </c>
      <c r="K76" s="334">
        <v>0.0</v>
      </c>
      <c r="L76" s="324">
        <v>0.0</v>
      </c>
      <c r="M76" s="335">
        <v>0.0</v>
      </c>
      <c r="N76" s="220"/>
      <c r="O76" s="177"/>
      <c r="P76" s="337">
        <f t="shared" si="2"/>
        <v>71</v>
      </c>
      <c r="Q76" s="338"/>
      <c r="R76" s="339"/>
      <c r="S76" s="340" t="e">
        <v>#N/A</v>
      </c>
      <c r="T76" s="340" t="e">
        <v>#N/A</v>
      </c>
      <c r="U76" s="340" t="e">
        <v>#N/A</v>
      </c>
      <c r="V76" s="342" t="e">
        <v>#N/A</v>
      </c>
      <c r="W76" s="177"/>
    </row>
    <row r="77">
      <c r="A77" s="177"/>
      <c r="B77" s="222"/>
      <c r="C77" s="323">
        <f t="shared" si="1"/>
        <v>72</v>
      </c>
      <c r="D77" s="324" t="s">
        <v>89</v>
      </c>
      <c r="E77" s="325"/>
      <c r="F77" s="326"/>
      <c r="G77" s="328"/>
      <c r="H77" s="329"/>
      <c r="I77" s="331"/>
      <c r="J77" s="333">
        <v>0.0</v>
      </c>
      <c r="K77" s="334">
        <v>0.0</v>
      </c>
      <c r="L77" s="324">
        <v>0.0</v>
      </c>
      <c r="M77" s="335">
        <v>0.0</v>
      </c>
      <c r="N77" s="220"/>
      <c r="O77" s="177"/>
      <c r="P77" s="337">
        <f t="shared" si="2"/>
        <v>72</v>
      </c>
      <c r="Q77" s="338"/>
      <c r="R77" s="339"/>
      <c r="S77" s="340" t="e">
        <v>#N/A</v>
      </c>
      <c r="T77" s="340" t="e">
        <v>#N/A</v>
      </c>
      <c r="U77" s="340" t="e">
        <v>#N/A</v>
      </c>
      <c r="V77" s="342" t="e">
        <v>#N/A</v>
      </c>
      <c r="W77" s="177"/>
    </row>
    <row r="78">
      <c r="A78" s="177"/>
      <c r="B78" s="222"/>
      <c r="C78" s="323">
        <f t="shared" si="1"/>
        <v>73</v>
      </c>
      <c r="D78" s="324" t="s">
        <v>89</v>
      </c>
      <c r="E78" s="325"/>
      <c r="F78" s="326"/>
      <c r="G78" s="328"/>
      <c r="H78" s="329"/>
      <c r="I78" s="331"/>
      <c r="J78" s="333">
        <v>0.0</v>
      </c>
      <c r="K78" s="334">
        <v>0.0</v>
      </c>
      <c r="L78" s="324">
        <v>0.0</v>
      </c>
      <c r="M78" s="335">
        <v>0.0</v>
      </c>
      <c r="N78" s="220"/>
      <c r="O78" s="177"/>
      <c r="P78" s="337">
        <f t="shared" si="2"/>
        <v>73</v>
      </c>
      <c r="Q78" s="338"/>
      <c r="R78" s="339"/>
      <c r="S78" s="340" t="e">
        <v>#N/A</v>
      </c>
      <c r="T78" s="340" t="e">
        <v>#N/A</v>
      </c>
      <c r="U78" s="340" t="e">
        <v>#N/A</v>
      </c>
      <c r="V78" s="342" t="e">
        <v>#N/A</v>
      </c>
      <c r="W78" s="177"/>
    </row>
    <row r="79">
      <c r="A79" s="177"/>
      <c r="B79" s="222"/>
      <c r="C79" s="323">
        <f t="shared" si="1"/>
        <v>74</v>
      </c>
      <c r="D79" s="324" t="s">
        <v>106</v>
      </c>
      <c r="E79" s="325"/>
      <c r="F79" s="326" t="s">
        <v>217</v>
      </c>
      <c r="G79" s="328" t="s">
        <v>139</v>
      </c>
      <c r="H79" s="329" t="s">
        <v>163</v>
      </c>
      <c r="I79" s="331" t="s">
        <v>171</v>
      </c>
      <c r="J79" s="333">
        <v>0.0</v>
      </c>
      <c r="K79" s="334">
        <v>0.0</v>
      </c>
      <c r="L79" s="324">
        <v>0.0</v>
      </c>
      <c r="M79" s="335">
        <v>0.0</v>
      </c>
      <c r="N79" s="220"/>
      <c r="O79" s="177"/>
      <c r="P79" s="337">
        <f t="shared" si="2"/>
        <v>74</v>
      </c>
      <c r="Q79" s="338"/>
      <c r="R79" s="339"/>
      <c r="S79" s="340" t="e">
        <v>#N/A</v>
      </c>
      <c r="T79" s="340" t="e">
        <v>#N/A</v>
      </c>
      <c r="U79" s="340" t="e">
        <v>#N/A</v>
      </c>
      <c r="V79" s="342" t="e">
        <v>#N/A</v>
      </c>
      <c r="W79" s="177"/>
    </row>
    <row r="80">
      <c r="A80" s="177"/>
      <c r="B80" s="222"/>
      <c r="C80" s="323">
        <f t="shared" si="1"/>
        <v>75</v>
      </c>
      <c r="D80" s="324" t="s">
        <v>106</v>
      </c>
      <c r="E80" s="325"/>
      <c r="F80" s="326" t="s">
        <v>218</v>
      </c>
      <c r="G80" s="328" t="s">
        <v>219</v>
      </c>
      <c r="H80" s="329" t="s">
        <v>219</v>
      </c>
      <c r="I80" s="331" t="s">
        <v>219</v>
      </c>
      <c r="J80" s="333">
        <v>0.0</v>
      </c>
      <c r="K80" s="334">
        <v>0.0</v>
      </c>
      <c r="L80" s="324">
        <v>0.0</v>
      </c>
      <c r="M80" s="335">
        <v>0.0</v>
      </c>
      <c r="N80" s="220"/>
      <c r="O80" s="177"/>
      <c r="P80" s="337">
        <f t="shared" si="2"/>
        <v>75</v>
      </c>
      <c r="Q80" s="338"/>
      <c r="R80" s="339"/>
      <c r="S80" s="340" t="e">
        <v>#N/A</v>
      </c>
      <c r="T80" s="340" t="e">
        <v>#N/A</v>
      </c>
      <c r="U80" s="340" t="e">
        <v>#N/A</v>
      </c>
      <c r="V80" s="342" t="e">
        <v>#N/A</v>
      </c>
      <c r="W80" s="177"/>
    </row>
    <row r="81">
      <c r="A81" s="177"/>
      <c r="B81" s="222"/>
      <c r="C81" s="323">
        <f t="shared" si="1"/>
        <v>76</v>
      </c>
      <c r="D81" s="324" t="s">
        <v>106</v>
      </c>
      <c r="E81" s="325"/>
      <c r="F81" s="326" t="s">
        <v>221</v>
      </c>
      <c r="G81" s="328"/>
      <c r="H81" s="329"/>
      <c r="I81" s="331"/>
      <c r="J81" s="333">
        <v>0.0</v>
      </c>
      <c r="K81" s="334">
        <v>0.0</v>
      </c>
      <c r="L81" s="324">
        <v>0.0</v>
      </c>
      <c r="M81" s="335">
        <v>0.0</v>
      </c>
      <c r="N81" s="220"/>
      <c r="O81" s="177"/>
      <c r="P81" s="337">
        <f t="shared" si="2"/>
        <v>76</v>
      </c>
      <c r="Q81" s="338"/>
      <c r="R81" s="339"/>
      <c r="S81" s="340" t="e">
        <v>#N/A</v>
      </c>
      <c r="T81" s="340" t="e">
        <v>#N/A</v>
      </c>
      <c r="U81" s="340" t="e">
        <v>#N/A</v>
      </c>
      <c r="V81" s="342" t="e">
        <v>#N/A</v>
      </c>
      <c r="W81" s="177"/>
    </row>
    <row r="82">
      <c r="A82" s="177"/>
      <c r="B82" s="222"/>
      <c r="C82" s="323">
        <f t="shared" si="1"/>
        <v>77</v>
      </c>
      <c r="D82" s="324" t="s">
        <v>111</v>
      </c>
      <c r="E82" s="325"/>
      <c r="F82" s="326" t="s">
        <v>222</v>
      </c>
      <c r="G82" s="328" t="s">
        <v>163</v>
      </c>
      <c r="H82" s="329" t="s">
        <v>223</v>
      </c>
      <c r="I82" s="331" t="s">
        <v>93</v>
      </c>
      <c r="J82" s="333">
        <v>1.0</v>
      </c>
      <c r="K82" s="334">
        <v>0.0</v>
      </c>
      <c r="L82" s="324">
        <v>0.0</v>
      </c>
      <c r="M82" s="335">
        <v>0.0</v>
      </c>
      <c r="N82" s="220"/>
      <c r="O82" s="177"/>
      <c r="P82" s="337">
        <f t="shared" si="2"/>
        <v>77</v>
      </c>
      <c r="Q82" s="338"/>
      <c r="R82" s="339"/>
      <c r="S82" s="340" t="e">
        <v>#N/A</v>
      </c>
      <c r="T82" s="340" t="e">
        <v>#N/A</v>
      </c>
      <c r="U82" s="340" t="e">
        <v>#N/A</v>
      </c>
      <c r="V82" s="342" t="e">
        <v>#N/A</v>
      </c>
      <c r="W82" s="177"/>
    </row>
    <row r="83">
      <c r="A83" s="177"/>
      <c r="B83" s="222"/>
      <c r="C83" s="323">
        <f t="shared" si="1"/>
        <v>78</v>
      </c>
      <c r="D83" s="324" t="s">
        <v>106</v>
      </c>
      <c r="E83" s="325"/>
      <c r="F83" s="326" t="s">
        <v>225</v>
      </c>
      <c r="G83" s="328" t="s">
        <v>139</v>
      </c>
      <c r="H83" s="329" t="s">
        <v>171</v>
      </c>
      <c r="I83" s="331" t="s">
        <v>173</v>
      </c>
      <c r="J83" s="333">
        <v>1.0</v>
      </c>
      <c r="K83" s="334">
        <v>0.0</v>
      </c>
      <c r="L83" s="324">
        <v>0.0</v>
      </c>
      <c r="M83" s="335">
        <v>0.0</v>
      </c>
      <c r="N83" s="220"/>
      <c r="O83" s="177"/>
      <c r="P83" s="337">
        <f t="shared" si="2"/>
        <v>78</v>
      </c>
      <c r="Q83" s="338"/>
      <c r="R83" s="339"/>
      <c r="S83" s="340" t="e">
        <v>#N/A</v>
      </c>
      <c r="T83" s="340" t="e">
        <v>#N/A</v>
      </c>
      <c r="U83" s="340" t="e">
        <v>#N/A</v>
      </c>
      <c r="V83" s="342" t="e">
        <v>#N/A</v>
      </c>
      <c r="W83" s="177"/>
    </row>
    <row r="84">
      <c r="A84" s="177"/>
      <c r="B84" s="222"/>
      <c r="C84" s="323">
        <f t="shared" si="1"/>
        <v>79</v>
      </c>
      <c r="D84" s="324" t="s">
        <v>87</v>
      </c>
      <c r="E84" s="325"/>
      <c r="F84" s="326" t="s">
        <v>206</v>
      </c>
      <c r="G84" s="328" t="s">
        <v>163</v>
      </c>
      <c r="H84" s="329" t="s">
        <v>140</v>
      </c>
      <c r="I84" s="331" t="s">
        <v>171</v>
      </c>
      <c r="J84" s="333">
        <v>1.0</v>
      </c>
      <c r="K84" s="334">
        <v>0.0</v>
      </c>
      <c r="L84" s="324">
        <v>1.0</v>
      </c>
      <c r="M84" s="335">
        <v>-1.0</v>
      </c>
      <c r="N84" s="220"/>
      <c r="O84" s="177"/>
      <c r="P84" s="337">
        <f t="shared" si="2"/>
        <v>79</v>
      </c>
      <c r="Q84" s="338"/>
      <c r="R84" s="339"/>
      <c r="S84" s="340" t="e">
        <v>#N/A</v>
      </c>
      <c r="T84" s="340" t="e">
        <v>#N/A</v>
      </c>
      <c r="U84" s="340" t="e">
        <v>#N/A</v>
      </c>
      <c r="V84" s="342" t="e">
        <v>#N/A</v>
      </c>
      <c r="W84" s="177"/>
    </row>
    <row r="85">
      <c r="A85" s="177"/>
      <c r="B85" s="222"/>
      <c r="C85" s="323">
        <f t="shared" si="1"/>
        <v>80</v>
      </c>
      <c r="D85" s="324" t="s">
        <v>101</v>
      </c>
      <c r="E85" s="325"/>
      <c r="F85" s="326" t="s">
        <v>211</v>
      </c>
      <c r="G85" s="328" t="s">
        <v>140</v>
      </c>
      <c r="H85" s="329" t="s">
        <v>93</v>
      </c>
      <c r="I85" s="331" t="s">
        <v>227</v>
      </c>
      <c r="J85" s="333">
        <v>1.0</v>
      </c>
      <c r="K85" s="334">
        <v>0.0</v>
      </c>
      <c r="L85" s="324">
        <v>1.0</v>
      </c>
      <c r="M85" s="335">
        <v>-1.0</v>
      </c>
      <c r="N85" s="220"/>
      <c r="O85" s="177"/>
      <c r="P85" s="337">
        <f t="shared" si="2"/>
        <v>80</v>
      </c>
      <c r="Q85" s="338"/>
      <c r="R85" s="339"/>
      <c r="S85" s="340" t="e">
        <v>#N/A</v>
      </c>
      <c r="T85" s="340" t="e">
        <v>#N/A</v>
      </c>
      <c r="U85" s="340" t="e">
        <v>#N/A</v>
      </c>
      <c r="V85" s="342" t="e">
        <v>#N/A</v>
      </c>
      <c r="W85" s="177"/>
    </row>
    <row r="86">
      <c r="A86" s="177"/>
      <c r="B86" s="222"/>
      <c r="C86" s="323">
        <f t="shared" si="1"/>
        <v>81</v>
      </c>
      <c r="D86" s="324" t="s">
        <v>101</v>
      </c>
      <c r="E86" s="325"/>
      <c r="F86" s="326" t="s">
        <v>224</v>
      </c>
      <c r="G86" s="328"/>
      <c r="H86" s="329"/>
      <c r="I86" s="331"/>
      <c r="J86" s="333">
        <v>1.0</v>
      </c>
      <c r="K86" s="334">
        <v>0.0</v>
      </c>
      <c r="L86" s="324">
        <v>1.0</v>
      </c>
      <c r="M86" s="335">
        <v>-1.0</v>
      </c>
      <c r="N86" s="220"/>
      <c r="O86" s="177"/>
      <c r="P86" s="337">
        <f t="shared" si="2"/>
        <v>81</v>
      </c>
      <c r="Q86" s="338"/>
      <c r="R86" s="339"/>
      <c r="S86" s="340" t="e">
        <v>#N/A</v>
      </c>
      <c r="T86" s="340" t="e">
        <v>#N/A</v>
      </c>
      <c r="U86" s="340" t="e">
        <v>#N/A</v>
      </c>
      <c r="V86" s="342" t="e">
        <v>#N/A</v>
      </c>
      <c r="W86" s="177"/>
    </row>
    <row r="87">
      <c r="A87" s="177"/>
      <c r="B87" s="222"/>
      <c r="C87" s="323">
        <f t="shared" si="1"/>
        <v>82</v>
      </c>
      <c r="D87" s="324" t="s">
        <v>95</v>
      </c>
      <c r="E87" s="325"/>
      <c r="F87" s="326" t="s">
        <v>129</v>
      </c>
      <c r="G87" s="328"/>
      <c r="H87" s="329"/>
      <c r="I87" s="331"/>
      <c r="J87" s="333">
        <v>1.0</v>
      </c>
      <c r="K87" s="334">
        <v>0.0</v>
      </c>
      <c r="L87" s="324">
        <v>1.0</v>
      </c>
      <c r="M87" s="335">
        <v>-1.0</v>
      </c>
      <c r="N87" s="220"/>
      <c r="O87" s="177"/>
      <c r="P87" s="337">
        <f t="shared" si="2"/>
        <v>82</v>
      </c>
      <c r="Q87" s="338"/>
      <c r="R87" s="339"/>
      <c r="S87" s="340" t="e">
        <v>#N/A</v>
      </c>
      <c r="T87" s="340" t="e">
        <v>#N/A</v>
      </c>
      <c r="U87" s="340" t="e">
        <v>#N/A</v>
      </c>
      <c r="V87" s="342" t="e">
        <v>#N/A</v>
      </c>
      <c r="W87" s="177"/>
    </row>
    <row r="88">
      <c r="A88" s="177"/>
      <c r="B88" s="222"/>
      <c r="C88" s="323">
        <f t="shared" si="1"/>
        <v>83</v>
      </c>
      <c r="D88" s="324" t="s">
        <v>84</v>
      </c>
      <c r="E88" s="325"/>
      <c r="F88" s="326" t="s">
        <v>147</v>
      </c>
      <c r="G88" s="328"/>
      <c r="H88" s="329"/>
      <c r="I88" s="331"/>
      <c r="J88" s="333">
        <v>1.0</v>
      </c>
      <c r="K88" s="334">
        <v>0.0</v>
      </c>
      <c r="L88" s="324">
        <v>1.0</v>
      </c>
      <c r="M88" s="335">
        <v>-1.0</v>
      </c>
      <c r="N88" s="220"/>
      <c r="O88" s="177"/>
      <c r="P88" s="337">
        <f t="shared" si="2"/>
        <v>83</v>
      </c>
      <c r="Q88" s="338"/>
      <c r="R88" s="339"/>
      <c r="S88" s="340" t="e">
        <v>#N/A</v>
      </c>
      <c r="T88" s="340" t="e">
        <v>#N/A</v>
      </c>
      <c r="U88" s="340" t="e">
        <v>#N/A</v>
      </c>
      <c r="V88" s="342" t="e">
        <v>#N/A</v>
      </c>
      <c r="W88" s="177"/>
    </row>
    <row r="89">
      <c r="A89" s="177"/>
      <c r="B89" s="222"/>
      <c r="C89" s="323">
        <f t="shared" si="1"/>
        <v>84</v>
      </c>
      <c r="D89" s="324" t="s">
        <v>84</v>
      </c>
      <c r="E89" s="325"/>
      <c r="F89" s="326" t="s">
        <v>143</v>
      </c>
      <c r="G89" s="328"/>
      <c r="H89" s="329"/>
      <c r="I89" s="331"/>
      <c r="J89" s="333">
        <v>1.0</v>
      </c>
      <c r="K89" s="334">
        <v>0.0</v>
      </c>
      <c r="L89" s="324">
        <v>1.0</v>
      </c>
      <c r="M89" s="335">
        <v>-1.0</v>
      </c>
      <c r="N89" s="220"/>
      <c r="O89" s="177"/>
      <c r="P89" s="337">
        <f t="shared" si="2"/>
        <v>84</v>
      </c>
      <c r="Q89" s="338"/>
      <c r="R89" s="339"/>
      <c r="S89" s="340" t="e">
        <v>#N/A</v>
      </c>
      <c r="T89" s="340" t="e">
        <v>#N/A</v>
      </c>
      <c r="U89" s="340" t="e">
        <v>#N/A</v>
      </c>
      <c r="V89" s="342" t="e">
        <v>#N/A</v>
      </c>
      <c r="W89" s="177"/>
    </row>
    <row r="90">
      <c r="A90" s="177"/>
      <c r="B90" s="222"/>
      <c r="C90" s="323">
        <f t="shared" si="1"/>
        <v>85</v>
      </c>
      <c r="D90" s="324" t="s">
        <v>101</v>
      </c>
      <c r="E90" s="325"/>
      <c r="F90" s="326" t="s">
        <v>86</v>
      </c>
      <c r="G90" s="328"/>
      <c r="H90" s="329"/>
      <c r="I90" s="331"/>
      <c r="J90" s="333">
        <v>2.0</v>
      </c>
      <c r="K90" s="334">
        <v>0.0</v>
      </c>
      <c r="L90" s="324">
        <v>2.0</v>
      </c>
      <c r="M90" s="335">
        <v>-2.0</v>
      </c>
      <c r="N90" s="220"/>
      <c r="O90" s="177"/>
      <c r="P90" s="337">
        <f t="shared" si="2"/>
        <v>85</v>
      </c>
      <c r="Q90" s="338"/>
      <c r="R90" s="339"/>
      <c r="S90" s="340" t="e">
        <v>#N/A</v>
      </c>
      <c r="T90" s="340" t="e">
        <v>#N/A</v>
      </c>
      <c r="U90" s="340" t="e">
        <v>#N/A</v>
      </c>
      <c r="V90" s="342" t="e">
        <v>#N/A</v>
      </c>
      <c r="W90" s="177"/>
    </row>
    <row r="91">
      <c r="A91" s="177"/>
      <c r="B91" s="222"/>
      <c r="C91" s="323">
        <f t="shared" si="1"/>
        <v>86</v>
      </c>
      <c r="D91" s="324" t="s">
        <v>101</v>
      </c>
      <c r="E91" s="325"/>
      <c r="F91" s="326" t="s">
        <v>229</v>
      </c>
      <c r="G91" s="328"/>
      <c r="H91" s="329"/>
      <c r="I91" s="331"/>
      <c r="J91" s="333">
        <v>2.0</v>
      </c>
      <c r="K91" s="334">
        <v>0.0</v>
      </c>
      <c r="L91" s="324">
        <v>2.0</v>
      </c>
      <c r="M91" s="335">
        <v>-2.0</v>
      </c>
      <c r="N91" s="220"/>
      <c r="O91" s="177"/>
      <c r="P91" s="337">
        <f t="shared" si="2"/>
        <v>86</v>
      </c>
      <c r="Q91" s="338"/>
      <c r="R91" s="339"/>
      <c r="S91" s="340" t="e">
        <v>#N/A</v>
      </c>
      <c r="T91" s="340" t="e">
        <v>#N/A</v>
      </c>
      <c r="U91" s="340" t="e">
        <v>#N/A</v>
      </c>
      <c r="V91" s="342" t="e">
        <v>#N/A</v>
      </c>
      <c r="W91" s="177"/>
    </row>
    <row r="92">
      <c r="A92" s="177"/>
      <c r="B92" s="222"/>
      <c r="C92" s="323">
        <f t="shared" si="1"/>
        <v>87</v>
      </c>
      <c r="D92" s="324" t="s">
        <v>111</v>
      </c>
      <c r="E92" s="325"/>
      <c r="F92" s="326" t="s">
        <v>235</v>
      </c>
      <c r="G92" s="328" t="s">
        <v>192</v>
      </c>
      <c r="H92" s="329" t="s">
        <v>182</v>
      </c>
      <c r="I92" s="331" t="s">
        <v>173</v>
      </c>
      <c r="J92" s="333">
        <v>2.0</v>
      </c>
      <c r="K92" s="334">
        <v>0.0</v>
      </c>
      <c r="L92" s="324">
        <v>2.0</v>
      </c>
      <c r="M92" s="335">
        <v>-2.0</v>
      </c>
      <c r="N92" s="220"/>
      <c r="O92" s="177"/>
      <c r="P92" s="337">
        <f t="shared" si="2"/>
        <v>87</v>
      </c>
      <c r="Q92" s="338"/>
      <c r="R92" s="339"/>
      <c r="S92" s="340" t="e">
        <v>#N/A</v>
      </c>
      <c r="T92" s="340" t="e">
        <v>#N/A</v>
      </c>
      <c r="U92" s="340" t="e">
        <v>#N/A</v>
      </c>
      <c r="V92" s="342" t="e">
        <v>#N/A</v>
      </c>
      <c r="W92" s="177"/>
    </row>
    <row r="93">
      <c r="A93" s="177"/>
      <c r="B93" s="222"/>
      <c r="C93" s="323">
        <f t="shared" si="1"/>
        <v>88</v>
      </c>
      <c r="D93" s="324" t="s">
        <v>148</v>
      </c>
      <c r="E93" s="325"/>
      <c r="F93" s="326" t="s">
        <v>237</v>
      </c>
      <c r="G93" s="328"/>
      <c r="H93" s="329"/>
      <c r="I93" s="331"/>
      <c r="J93" s="333">
        <v>2.0</v>
      </c>
      <c r="K93" s="334">
        <v>0.0</v>
      </c>
      <c r="L93" s="324">
        <v>2.0</v>
      </c>
      <c r="M93" s="335">
        <v>-2.0</v>
      </c>
      <c r="N93" s="220"/>
      <c r="O93" s="177"/>
      <c r="P93" s="337">
        <f t="shared" si="2"/>
        <v>88</v>
      </c>
      <c r="Q93" s="338"/>
      <c r="R93" s="339"/>
      <c r="S93" s="340" t="e">
        <v>#N/A</v>
      </c>
      <c r="T93" s="340" t="e">
        <v>#N/A</v>
      </c>
      <c r="U93" s="340" t="e">
        <v>#N/A</v>
      </c>
      <c r="V93" s="342" t="e">
        <v>#N/A</v>
      </c>
      <c r="W93" s="177"/>
    </row>
    <row r="94">
      <c r="A94" s="177"/>
      <c r="B94" s="222"/>
      <c r="C94" s="323">
        <f t="shared" si="1"/>
        <v>89</v>
      </c>
      <c r="D94" s="324" t="s">
        <v>106</v>
      </c>
      <c r="E94" s="325"/>
      <c r="F94" s="326" t="s">
        <v>238</v>
      </c>
      <c r="G94" s="328"/>
      <c r="H94" s="329"/>
      <c r="I94" s="331"/>
      <c r="J94" s="333">
        <v>2.0</v>
      </c>
      <c r="K94" s="334">
        <v>0.0</v>
      </c>
      <c r="L94" s="324">
        <v>2.0</v>
      </c>
      <c r="M94" s="335">
        <v>-2.0</v>
      </c>
      <c r="N94" s="220"/>
      <c r="O94" s="177"/>
      <c r="P94" s="337">
        <f t="shared" si="2"/>
        <v>89</v>
      </c>
      <c r="Q94" s="338"/>
      <c r="R94" s="339"/>
      <c r="S94" s="340" t="e">
        <v>#N/A</v>
      </c>
      <c r="T94" s="340" t="e">
        <v>#N/A</v>
      </c>
      <c r="U94" s="340" t="e">
        <v>#N/A</v>
      </c>
      <c r="V94" s="342" t="e">
        <v>#N/A</v>
      </c>
      <c r="W94" s="177"/>
    </row>
    <row r="95">
      <c r="A95" s="177"/>
      <c r="B95" s="222"/>
      <c r="C95" s="323">
        <f t="shared" si="1"/>
        <v>90</v>
      </c>
      <c r="D95" s="324" t="s">
        <v>106</v>
      </c>
      <c r="E95" s="325"/>
      <c r="F95" s="326" t="s">
        <v>239</v>
      </c>
      <c r="G95" s="328"/>
      <c r="H95" s="329"/>
      <c r="I95" s="331"/>
      <c r="J95" s="333">
        <v>2.0</v>
      </c>
      <c r="K95" s="334">
        <v>0.0</v>
      </c>
      <c r="L95" s="324">
        <v>2.0</v>
      </c>
      <c r="M95" s="335">
        <v>-2.0</v>
      </c>
      <c r="N95" s="220"/>
      <c r="O95" s="177"/>
      <c r="P95" s="337">
        <f t="shared" si="2"/>
        <v>90</v>
      </c>
      <c r="Q95" s="338"/>
      <c r="R95" s="339"/>
      <c r="S95" s="340" t="e">
        <v>#N/A</v>
      </c>
      <c r="T95" s="340" t="e">
        <v>#N/A</v>
      </c>
      <c r="U95" s="340" t="e">
        <v>#N/A</v>
      </c>
      <c r="V95" s="342" t="e">
        <v>#N/A</v>
      </c>
      <c r="W95" s="177"/>
    </row>
    <row r="96">
      <c r="A96" s="177"/>
      <c r="B96" s="222"/>
      <c r="C96" s="323">
        <f t="shared" si="1"/>
        <v>91</v>
      </c>
      <c r="D96" s="324" t="s">
        <v>148</v>
      </c>
      <c r="E96" s="325"/>
      <c r="F96" s="326" t="s">
        <v>241</v>
      </c>
      <c r="G96" s="328"/>
      <c r="H96" s="329"/>
      <c r="I96" s="331"/>
      <c r="J96" s="333">
        <v>3.0</v>
      </c>
      <c r="K96" s="334">
        <v>0.0</v>
      </c>
      <c r="L96" s="324">
        <v>3.0</v>
      </c>
      <c r="M96" s="335">
        <v>-3.0</v>
      </c>
      <c r="N96" s="220"/>
      <c r="O96" s="177"/>
      <c r="P96" s="337">
        <f t="shared" si="2"/>
        <v>91</v>
      </c>
      <c r="Q96" s="338"/>
      <c r="R96" s="339"/>
      <c r="S96" s="340" t="e">
        <v>#N/A</v>
      </c>
      <c r="T96" s="340" t="e">
        <v>#N/A</v>
      </c>
      <c r="U96" s="340" t="e">
        <v>#N/A</v>
      </c>
      <c r="V96" s="342" t="e">
        <v>#N/A</v>
      </c>
      <c r="W96" s="177"/>
    </row>
    <row r="97">
      <c r="A97" s="177"/>
      <c r="B97" s="222"/>
      <c r="C97" s="323">
        <f t="shared" si="1"/>
        <v>92</v>
      </c>
      <c r="D97" s="324" t="s">
        <v>148</v>
      </c>
      <c r="E97" s="325"/>
      <c r="F97" s="326" t="s">
        <v>243</v>
      </c>
      <c r="G97" s="328"/>
      <c r="H97" s="329"/>
      <c r="I97" s="331"/>
      <c r="J97" s="333">
        <v>4.0</v>
      </c>
      <c r="K97" s="334">
        <v>0.0</v>
      </c>
      <c r="L97" s="324">
        <v>3.0</v>
      </c>
      <c r="M97" s="335">
        <v>-3.0</v>
      </c>
      <c r="N97" s="220"/>
      <c r="O97" s="177"/>
      <c r="P97" s="337">
        <f t="shared" si="2"/>
        <v>92</v>
      </c>
      <c r="Q97" s="338"/>
      <c r="R97" s="339"/>
      <c r="S97" s="340" t="e">
        <v>#N/A</v>
      </c>
      <c r="T97" s="340" t="e">
        <v>#N/A</v>
      </c>
      <c r="U97" s="340" t="e">
        <v>#N/A</v>
      </c>
      <c r="V97" s="342" t="e">
        <v>#N/A</v>
      </c>
      <c r="W97" s="177"/>
    </row>
    <row r="98">
      <c r="A98" s="177"/>
      <c r="B98" s="222"/>
      <c r="C98" s="323">
        <f t="shared" si="1"/>
        <v>93</v>
      </c>
      <c r="D98" s="324" t="s">
        <v>111</v>
      </c>
      <c r="E98" s="325"/>
      <c r="F98" s="326" t="s">
        <v>244</v>
      </c>
      <c r="G98" s="328"/>
      <c r="H98" s="329"/>
      <c r="I98" s="331"/>
      <c r="J98" s="333">
        <v>4.0</v>
      </c>
      <c r="K98" s="334">
        <v>0.0</v>
      </c>
      <c r="L98" s="324">
        <v>4.0</v>
      </c>
      <c r="M98" s="335">
        <v>-4.0</v>
      </c>
      <c r="N98" s="220"/>
      <c r="O98" s="177"/>
      <c r="P98" s="337">
        <f t="shared" si="2"/>
        <v>93</v>
      </c>
      <c r="Q98" s="338"/>
      <c r="R98" s="339"/>
      <c r="S98" s="340" t="e">
        <v>#N/A</v>
      </c>
      <c r="T98" s="340" t="e">
        <v>#N/A</v>
      </c>
      <c r="U98" s="340" t="e">
        <v>#N/A</v>
      </c>
      <c r="V98" s="342" t="e">
        <v>#N/A</v>
      </c>
      <c r="W98" s="177"/>
    </row>
    <row r="99">
      <c r="A99" s="177"/>
      <c r="B99" s="222"/>
      <c r="C99" s="323">
        <f t="shared" si="1"/>
        <v>94</v>
      </c>
      <c r="D99" s="324" t="s">
        <v>148</v>
      </c>
      <c r="E99" s="325"/>
      <c r="F99" s="326" t="s">
        <v>245</v>
      </c>
      <c r="G99" s="328"/>
      <c r="H99" s="329"/>
      <c r="I99" s="331"/>
      <c r="J99" s="333">
        <v>4.0</v>
      </c>
      <c r="K99" s="334">
        <v>0.0</v>
      </c>
      <c r="L99" s="324">
        <v>4.0</v>
      </c>
      <c r="M99" s="335">
        <v>-4.0</v>
      </c>
      <c r="N99" s="220"/>
      <c r="O99" s="177"/>
      <c r="P99" s="337">
        <f t="shared" si="2"/>
        <v>94</v>
      </c>
      <c r="Q99" s="338"/>
      <c r="R99" s="339"/>
      <c r="S99" s="340" t="e">
        <v>#N/A</v>
      </c>
      <c r="T99" s="340" t="e">
        <v>#N/A</v>
      </c>
      <c r="U99" s="340" t="e">
        <v>#N/A</v>
      </c>
      <c r="V99" s="342" t="e">
        <v>#N/A</v>
      </c>
      <c r="W99" s="177"/>
    </row>
    <row r="100">
      <c r="A100" s="177"/>
      <c r="B100" s="222"/>
      <c r="C100" s="323">
        <f t="shared" si="1"/>
        <v>95</v>
      </c>
      <c r="D100" s="324" t="s">
        <v>87</v>
      </c>
      <c r="E100" s="325"/>
      <c r="F100" s="326" t="s">
        <v>176</v>
      </c>
      <c r="G100" s="328"/>
      <c r="H100" s="329"/>
      <c r="I100" s="331"/>
      <c r="J100" s="333">
        <v>5.0</v>
      </c>
      <c r="K100" s="334">
        <v>0.0</v>
      </c>
      <c r="L100" s="324">
        <v>4.0</v>
      </c>
      <c r="M100" s="335">
        <v>-4.0</v>
      </c>
      <c r="N100" s="220"/>
      <c r="O100" s="177"/>
      <c r="P100" s="337">
        <f t="shared" si="2"/>
        <v>95</v>
      </c>
      <c r="Q100" s="338"/>
      <c r="R100" s="339"/>
      <c r="S100" s="340" t="e">
        <v>#N/A</v>
      </c>
      <c r="T100" s="340" t="e">
        <v>#N/A</v>
      </c>
      <c r="U100" s="340" t="e">
        <v>#N/A</v>
      </c>
      <c r="V100" s="342" t="e">
        <v>#N/A</v>
      </c>
      <c r="W100" s="177"/>
    </row>
    <row r="101">
      <c r="A101" s="177"/>
      <c r="B101" s="222"/>
      <c r="C101" s="323">
        <f t="shared" si="1"/>
        <v>96</v>
      </c>
      <c r="D101" s="324" t="s">
        <v>148</v>
      </c>
      <c r="E101" s="325"/>
      <c r="F101" s="326" t="s">
        <v>246</v>
      </c>
      <c r="G101" s="481"/>
      <c r="H101" s="482"/>
      <c r="I101" s="483"/>
      <c r="J101" s="333">
        <v>5.0</v>
      </c>
      <c r="K101" s="334">
        <v>0.0</v>
      </c>
      <c r="L101" s="324">
        <v>4.0</v>
      </c>
      <c r="M101" s="335">
        <v>-4.0</v>
      </c>
      <c r="N101" s="220"/>
      <c r="O101" s="177"/>
      <c r="P101" s="337">
        <f t="shared" si="2"/>
        <v>96</v>
      </c>
      <c r="Q101" s="338"/>
      <c r="R101" s="339"/>
      <c r="S101" s="340" t="e">
        <v>#N/A</v>
      </c>
      <c r="T101" s="340" t="e">
        <v>#N/A</v>
      </c>
      <c r="U101" s="340" t="e">
        <v>#N/A</v>
      </c>
      <c r="V101" s="342" t="e">
        <v>#N/A</v>
      </c>
      <c r="W101" s="177"/>
    </row>
    <row r="102" hidden="1">
      <c r="A102" s="177"/>
      <c r="B102" s="222"/>
      <c r="C102" s="323">
        <f t="shared" si="1"/>
        <v>97</v>
      </c>
      <c r="D102" s="324"/>
      <c r="E102" s="325"/>
      <c r="F102" s="326"/>
      <c r="G102" s="326"/>
      <c r="H102" s="326"/>
      <c r="I102" s="326"/>
      <c r="J102" s="324"/>
      <c r="K102" s="324"/>
      <c r="L102" s="324"/>
      <c r="M102" s="484"/>
      <c r="N102" s="220"/>
      <c r="O102" s="177"/>
      <c r="P102" s="337">
        <f t="shared" si="2"/>
        <v>97</v>
      </c>
      <c r="Q102" s="338"/>
      <c r="R102" s="339"/>
      <c r="S102" s="340" t="e">
        <v>#N/A</v>
      </c>
      <c r="T102" s="340" t="e">
        <v>#N/A</v>
      </c>
      <c r="U102" s="340" t="e">
        <v>#N/A</v>
      </c>
      <c r="V102" s="342" t="e">
        <v>#N/A</v>
      </c>
      <c r="W102" s="177"/>
    </row>
    <row r="103" hidden="1">
      <c r="A103" s="177"/>
      <c r="B103" s="222"/>
      <c r="C103" s="323">
        <f t="shared" si="1"/>
        <v>98</v>
      </c>
      <c r="D103" s="324"/>
      <c r="E103" s="325"/>
      <c r="F103" s="326"/>
      <c r="G103" s="326"/>
      <c r="H103" s="326"/>
      <c r="I103" s="326"/>
      <c r="J103" s="324"/>
      <c r="K103" s="324"/>
      <c r="L103" s="324"/>
      <c r="M103" s="484"/>
      <c r="N103" s="220"/>
      <c r="O103" s="177"/>
      <c r="P103" s="337">
        <f t="shared" si="2"/>
        <v>98</v>
      </c>
      <c r="Q103" s="338"/>
      <c r="R103" s="339"/>
      <c r="S103" s="340" t="e">
        <v>#N/A</v>
      </c>
      <c r="T103" s="340" t="e">
        <v>#N/A</v>
      </c>
      <c r="U103" s="340" t="e">
        <v>#N/A</v>
      </c>
      <c r="V103" s="342" t="e">
        <v>#N/A</v>
      </c>
      <c r="W103" s="177"/>
    </row>
    <row r="104" hidden="1">
      <c r="A104" s="177"/>
      <c r="B104" s="222"/>
      <c r="C104" s="323">
        <f t="shared" si="1"/>
        <v>99</v>
      </c>
      <c r="D104" s="324"/>
      <c r="E104" s="325"/>
      <c r="F104" s="326"/>
      <c r="G104" s="326"/>
      <c r="H104" s="326"/>
      <c r="I104" s="326"/>
      <c r="J104" s="324"/>
      <c r="K104" s="324"/>
      <c r="L104" s="324"/>
      <c r="M104" s="484"/>
      <c r="N104" s="220"/>
      <c r="O104" s="177"/>
      <c r="P104" s="337">
        <f t="shared" si="2"/>
        <v>99</v>
      </c>
      <c r="Q104" s="338"/>
      <c r="R104" s="339"/>
      <c r="S104" s="340" t="e">
        <v>#N/A</v>
      </c>
      <c r="T104" s="340" t="e">
        <v>#N/A</v>
      </c>
      <c r="U104" s="340" t="e">
        <v>#N/A</v>
      </c>
      <c r="V104" s="342" t="e">
        <v>#N/A</v>
      </c>
      <c r="W104" s="177"/>
    </row>
    <row r="105" hidden="1">
      <c r="A105" s="177"/>
      <c r="B105" s="222"/>
      <c r="C105" s="323">
        <f t="shared" si="1"/>
        <v>100</v>
      </c>
      <c r="D105" s="324"/>
      <c r="E105" s="325"/>
      <c r="F105" s="326"/>
      <c r="G105" s="326"/>
      <c r="H105" s="326"/>
      <c r="I105" s="326"/>
      <c r="J105" s="324"/>
      <c r="K105" s="324"/>
      <c r="L105" s="324"/>
      <c r="M105" s="484"/>
      <c r="N105" s="220"/>
      <c r="O105" s="177"/>
      <c r="P105" s="337">
        <f t="shared" si="2"/>
        <v>100</v>
      </c>
      <c r="Q105" s="338"/>
      <c r="R105" s="339"/>
      <c r="S105" s="340" t="e">
        <v>#N/A</v>
      </c>
      <c r="T105" s="340" t="e">
        <v>#N/A</v>
      </c>
      <c r="U105" s="340" t="e">
        <v>#N/A</v>
      </c>
      <c r="V105" s="342" t="e">
        <v>#N/A</v>
      </c>
      <c r="W105" s="177"/>
    </row>
    <row r="106" hidden="1">
      <c r="A106" s="177"/>
      <c r="B106" s="222"/>
      <c r="C106" s="323">
        <f t="shared" si="1"/>
        <v>101</v>
      </c>
      <c r="D106" s="324"/>
      <c r="E106" s="325"/>
      <c r="F106" s="326"/>
      <c r="G106" s="326"/>
      <c r="H106" s="326"/>
      <c r="I106" s="326"/>
      <c r="J106" s="324"/>
      <c r="K106" s="324"/>
      <c r="L106" s="324"/>
      <c r="M106" s="484"/>
      <c r="N106" s="220"/>
      <c r="O106" s="177"/>
      <c r="P106" s="337">
        <f t="shared" si="2"/>
        <v>101</v>
      </c>
      <c r="Q106" s="338"/>
      <c r="R106" s="339"/>
      <c r="S106" s="340" t="e">
        <v>#N/A</v>
      </c>
      <c r="T106" s="340" t="e">
        <v>#N/A</v>
      </c>
      <c r="U106" s="340" t="e">
        <v>#N/A</v>
      </c>
      <c r="V106" s="342" t="e">
        <v>#N/A</v>
      </c>
      <c r="W106" s="177"/>
    </row>
    <row r="107" hidden="1">
      <c r="A107" s="177"/>
      <c r="B107" s="222"/>
      <c r="C107" s="323">
        <f t="shared" si="1"/>
        <v>102</v>
      </c>
      <c r="D107" s="324"/>
      <c r="E107" s="325"/>
      <c r="F107" s="326"/>
      <c r="G107" s="326"/>
      <c r="H107" s="326"/>
      <c r="I107" s="326"/>
      <c r="J107" s="324"/>
      <c r="K107" s="324"/>
      <c r="L107" s="324"/>
      <c r="M107" s="484"/>
      <c r="N107" s="220"/>
      <c r="O107" s="177"/>
      <c r="P107" s="337">
        <f t="shared" si="2"/>
        <v>102</v>
      </c>
      <c r="Q107" s="338"/>
      <c r="R107" s="339"/>
      <c r="S107" s="340" t="e">
        <v>#N/A</v>
      </c>
      <c r="T107" s="340" t="e">
        <v>#N/A</v>
      </c>
      <c r="U107" s="340" t="e">
        <v>#N/A</v>
      </c>
      <c r="V107" s="342" t="e">
        <v>#N/A</v>
      </c>
      <c r="W107" s="177"/>
    </row>
    <row r="108" hidden="1">
      <c r="A108" s="177"/>
      <c r="B108" s="222"/>
      <c r="C108" s="323">
        <f t="shared" si="1"/>
        <v>103</v>
      </c>
      <c r="D108" s="324"/>
      <c r="E108" s="325"/>
      <c r="F108" s="326"/>
      <c r="G108" s="326"/>
      <c r="H108" s="326"/>
      <c r="I108" s="326"/>
      <c r="J108" s="324"/>
      <c r="K108" s="324"/>
      <c r="L108" s="324"/>
      <c r="M108" s="484"/>
      <c r="N108" s="220"/>
      <c r="O108" s="177"/>
      <c r="P108" s="337">
        <f t="shared" si="2"/>
        <v>103</v>
      </c>
      <c r="Q108" s="338"/>
      <c r="R108" s="339"/>
      <c r="S108" s="340" t="e">
        <v>#N/A</v>
      </c>
      <c r="T108" s="340" t="e">
        <v>#N/A</v>
      </c>
      <c r="U108" s="340" t="e">
        <v>#N/A</v>
      </c>
      <c r="V108" s="342" t="e">
        <v>#N/A</v>
      </c>
      <c r="W108" s="177"/>
    </row>
    <row r="109" hidden="1">
      <c r="A109" s="177"/>
      <c r="B109" s="222"/>
      <c r="C109" s="323">
        <f t="shared" si="1"/>
        <v>104</v>
      </c>
      <c r="D109" s="324"/>
      <c r="E109" s="325"/>
      <c r="F109" s="326"/>
      <c r="G109" s="326"/>
      <c r="H109" s="326"/>
      <c r="I109" s="326"/>
      <c r="J109" s="324"/>
      <c r="K109" s="324"/>
      <c r="L109" s="324"/>
      <c r="M109" s="484"/>
      <c r="N109" s="220"/>
      <c r="O109" s="177"/>
      <c r="P109" s="337">
        <f t="shared" si="2"/>
        <v>104</v>
      </c>
      <c r="Q109" s="338"/>
      <c r="R109" s="339"/>
      <c r="S109" s="340" t="e">
        <v>#N/A</v>
      </c>
      <c r="T109" s="340" t="e">
        <v>#N/A</v>
      </c>
      <c r="U109" s="340" t="e">
        <v>#N/A</v>
      </c>
      <c r="V109" s="342" t="e">
        <v>#N/A</v>
      </c>
      <c r="W109" s="177"/>
    </row>
    <row r="110" hidden="1">
      <c r="A110" s="177"/>
      <c r="B110" s="222"/>
      <c r="C110" s="323">
        <f t="shared" si="1"/>
        <v>105</v>
      </c>
      <c r="D110" s="324"/>
      <c r="E110" s="325"/>
      <c r="F110" s="326"/>
      <c r="G110" s="326"/>
      <c r="H110" s="326"/>
      <c r="I110" s="326"/>
      <c r="J110" s="324"/>
      <c r="K110" s="324"/>
      <c r="L110" s="324"/>
      <c r="M110" s="484"/>
      <c r="N110" s="220"/>
      <c r="O110" s="177"/>
      <c r="P110" s="337">
        <f t="shared" si="2"/>
        <v>105</v>
      </c>
      <c r="Q110" s="338"/>
      <c r="R110" s="339"/>
      <c r="S110" s="340" t="e">
        <v>#N/A</v>
      </c>
      <c r="T110" s="340" t="e">
        <v>#N/A</v>
      </c>
      <c r="U110" s="340" t="e">
        <v>#N/A</v>
      </c>
      <c r="V110" s="342" t="e">
        <v>#N/A</v>
      </c>
      <c r="W110" s="177"/>
    </row>
    <row r="111" hidden="1">
      <c r="A111" s="177"/>
      <c r="B111" s="222"/>
      <c r="C111" s="323">
        <f t="shared" si="1"/>
        <v>106</v>
      </c>
      <c r="D111" s="324"/>
      <c r="E111" s="325"/>
      <c r="F111" s="326"/>
      <c r="G111" s="326"/>
      <c r="H111" s="326"/>
      <c r="I111" s="326"/>
      <c r="J111" s="324"/>
      <c r="K111" s="324"/>
      <c r="L111" s="324"/>
      <c r="M111" s="484"/>
      <c r="N111" s="220"/>
      <c r="O111" s="177"/>
      <c r="P111" s="337">
        <f t="shared" si="2"/>
        <v>106</v>
      </c>
      <c r="Q111" s="338"/>
      <c r="R111" s="339"/>
      <c r="S111" s="340" t="e">
        <v>#N/A</v>
      </c>
      <c r="T111" s="340" t="e">
        <v>#N/A</v>
      </c>
      <c r="U111" s="340" t="e">
        <v>#N/A</v>
      </c>
      <c r="V111" s="342" t="e">
        <v>#N/A</v>
      </c>
      <c r="W111" s="177"/>
    </row>
    <row r="112" hidden="1">
      <c r="A112" s="177"/>
      <c r="B112" s="222"/>
      <c r="C112" s="323">
        <f t="shared" si="1"/>
        <v>107</v>
      </c>
      <c r="D112" s="324"/>
      <c r="E112" s="325"/>
      <c r="F112" s="326"/>
      <c r="G112" s="326"/>
      <c r="H112" s="326"/>
      <c r="I112" s="326"/>
      <c r="J112" s="324"/>
      <c r="K112" s="324"/>
      <c r="L112" s="324"/>
      <c r="M112" s="484"/>
      <c r="N112" s="220"/>
      <c r="O112" s="177"/>
      <c r="P112" s="337">
        <f t="shared" si="2"/>
        <v>107</v>
      </c>
      <c r="Q112" s="338"/>
      <c r="R112" s="339"/>
      <c r="S112" s="340" t="e">
        <v>#N/A</v>
      </c>
      <c r="T112" s="340" t="e">
        <v>#N/A</v>
      </c>
      <c r="U112" s="340" t="e">
        <v>#N/A</v>
      </c>
      <c r="V112" s="342" t="e">
        <v>#N/A</v>
      </c>
      <c r="W112" s="177"/>
    </row>
    <row r="113" hidden="1">
      <c r="A113" s="177"/>
      <c r="B113" s="222"/>
      <c r="C113" s="323">
        <f t="shared" si="1"/>
        <v>108</v>
      </c>
      <c r="D113" s="324"/>
      <c r="E113" s="325"/>
      <c r="F113" s="326"/>
      <c r="G113" s="326"/>
      <c r="H113" s="326"/>
      <c r="I113" s="326"/>
      <c r="J113" s="324"/>
      <c r="K113" s="324"/>
      <c r="L113" s="324"/>
      <c r="M113" s="484"/>
      <c r="N113" s="220"/>
      <c r="O113" s="177"/>
      <c r="P113" s="337">
        <f t="shared" si="2"/>
        <v>108</v>
      </c>
      <c r="Q113" s="338"/>
      <c r="R113" s="339"/>
      <c r="S113" s="340" t="e">
        <v>#N/A</v>
      </c>
      <c r="T113" s="340" t="e">
        <v>#N/A</v>
      </c>
      <c r="U113" s="340" t="e">
        <v>#N/A</v>
      </c>
      <c r="V113" s="342" t="e">
        <v>#N/A</v>
      </c>
      <c r="W113" s="177"/>
    </row>
    <row r="114" hidden="1">
      <c r="A114" s="177"/>
      <c r="B114" s="222"/>
      <c r="C114" s="323">
        <f t="shared" si="1"/>
        <v>109</v>
      </c>
      <c r="D114" s="324"/>
      <c r="E114" s="325"/>
      <c r="F114" s="326"/>
      <c r="G114" s="326"/>
      <c r="H114" s="326"/>
      <c r="I114" s="326"/>
      <c r="J114" s="324"/>
      <c r="K114" s="324"/>
      <c r="L114" s="324"/>
      <c r="M114" s="484"/>
      <c r="N114" s="220"/>
      <c r="O114" s="177"/>
      <c r="P114" s="337">
        <f t="shared" si="2"/>
        <v>109</v>
      </c>
      <c r="Q114" s="338"/>
      <c r="R114" s="339"/>
      <c r="S114" s="340" t="e">
        <v>#N/A</v>
      </c>
      <c r="T114" s="340" t="e">
        <v>#N/A</v>
      </c>
      <c r="U114" s="340" t="e">
        <v>#N/A</v>
      </c>
      <c r="V114" s="342" t="e">
        <v>#N/A</v>
      </c>
      <c r="W114" s="177"/>
    </row>
    <row r="115" hidden="1">
      <c r="A115" s="177"/>
      <c r="B115" s="222"/>
      <c r="C115" s="323">
        <f t="shared" si="1"/>
        <v>110</v>
      </c>
      <c r="D115" s="324"/>
      <c r="E115" s="325"/>
      <c r="F115" s="326"/>
      <c r="G115" s="326"/>
      <c r="H115" s="326"/>
      <c r="I115" s="326"/>
      <c r="J115" s="324"/>
      <c r="K115" s="324"/>
      <c r="L115" s="324"/>
      <c r="M115" s="484"/>
      <c r="N115" s="220"/>
      <c r="O115" s="177"/>
      <c r="P115" s="337">
        <f t="shared" si="2"/>
        <v>110</v>
      </c>
      <c r="Q115" s="338"/>
      <c r="R115" s="339"/>
      <c r="S115" s="340" t="e">
        <v>#N/A</v>
      </c>
      <c r="T115" s="340" t="e">
        <v>#N/A</v>
      </c>
      <c r="U115" s="340" t="e">
        <v>#N/A</v>
      </c>
      <c r="V115" s="342" t="e">
        <v>#N/A</v>
      </c>
      <c r="W115" s="177"/>
    </row>
    <row r="116" hidden="1">
      <c r="A116" s="177"/>
      <c r="B116" s="222"/>
      <c r="C116" s="323">
        <f t="shared" si="1"/>
        <v>111</v>
      </c>
      <c r="D116" s="324"/>
      <c r="E116" s="325"/>
      <c r="F116" s="326"/>
      <c r="G116" s="326"/>
      <c r="H116" s="326"/>
      <c r="I116" s="326"/>
      <c r="J116" s="324"/>
      <c r="K116" s="324"/>
      <c r="L116" s="324"/>
      <c r="M116" s="484"/>
      <c r="N116" s="220"/>
      <c r="O116" s="177"/>
      <c r="P116" s="337">
        <f t="shared" si="2"/>
        <v>111</v>
      </c>
      <c r="Q116" s="338"/>
      <c r="R116" s="339"/>
      <c r="S116" s="340" t="e">
        <v>#N/A</v>
      </c>
      <c r="T116" s="340" t="e">
        <v>#N/A</v>
      </c>
      <c r="U116" s="340" t="e">
        <v>#N/A</v>
      </c>
      <c r="V116" s="342" t="e">
        <v>#N/A</v>
      </c>
      <c r="W116" s="177"/>
    </row>
    <row r="117" hidden="1">
      <c r="A117" s="177"/>
      <c r="B117" s="222"/>
      <c r="C117" s="323">
        <f t="shared" si="1"/>
        <v>112</v>
      </c>
      <c r="D117" s="324"/>
      <c r="E117" s="325"/>
      <c r="F117" s="326"/>
      <c r="G117" s="326"/>
      <c r="H117" s="326"/>
      <c r="I117" s="326"/>
      <c r="J117" s="324"/>
      <c r="K117" s="324"/>
      <c r="L117" s="324"/>
      <c r="M117" s="484"/>
      <c r="N117" s="220"/>
      <c r="O117" s="177"/>
      <c r="P117" s="337">
        <f t="shared" si="2"/>
        <v>112</v>
      </c>
      <c r="Q117" s="338"/>
      <c r="R117" s="339"/>
      <c r="S117" s="340" t="e">
        <v>#N/A</v>
      </c>
      <c r="T117" s="340" t="e">
        <v>#N/A</v>
      </c>
      <c r="U117" s="340" t="e">
        <v>#N/A</v>
      </c>
      <c r="V117" s="342" t="e">
        <v>#N/A</v>
      </c>
      <c r="W117" s="177"/>
    </row>
    <row r="118" hidden="1">
      <c r="A118" s="177"/>
      <c r="B118" s="222"/>
      <c r="C118" s="323">
        <f t="shared" si="1"/>
        <v>113</v>
      </c>
      <c r="D118" s="324"/>
      <c r="E118" s="325"/>
      <c r="F118" s="326"/>
      <c r="G118" s="326"/>
      <c r="H118" s="326"/>
      <c r="I118" s="326"/>
      <c r="J118" s="324"/>
      <c r="K118" s="324"/>
      <c r="L118" s="324"/>
      <c r="M118" s="484"/>
      <c r="N118" s="220"/>
      <c r="O118" s="177"/>
      <c r="P118" s="337">
        <f t="shared" si="2"/>
        <v>113</v>
      </c>
      <c r="Q118" s="338"/>
      <c r="R118" s="339"/>
      <c r="S118" s="340" t="e">
        <v>#N/A</v>
      </c>
      <c r="T118" s="340" t="e">
        <v>#N/A</v>
      </c>
      <c r="U118" s="340" t="e">
        <v>#N/A</v>
      </c>
      <c r="V118" s="342" t="e">
        <v>#N/A</v>
      </c>
      <c r="W118" s="177"/>
    </row>
    <row r="119" hidden="1">
      <c r="A119" s="177"/>
      <c r="B119" s="222"/>
      <c r="C119" s="323">
        <f t="shared" si="1"/>
        <v>114</v>
      </c>
      <c r="D119" s="324"/>
      <c r="E119" s="325"/>
      <c r="F119" s="326"/>
      <c r="G119" s="326"/>
      <c r="H119" s="326"/>
      <c r="I119" s="326"/>
      <c r="J119" s="324"/>
      <c r="K119" s="324"/>
      <c r="L119" s="324"/>
      <c r="M119" s="484"/>
      <c r="N119" s="220"/>
      <c r="O119" s="177"/>
      <c r="P119" s="337">
        <f t="shared" si="2"/>
        <v>114</v>
      </c>
      <c r="Q119" s="338"/>
      <c r="R119" s="339"/>
      <c r="S119" s="340" t="e">
        <v>#N/A</v>
      </c>
      <c r="T119" s="340" t="e">
        <v>#N/A</v>
      </c>
      <c r="U119" s="340" t="e">
        <v>#N/A</v>
      </c>
      <c r="V119" s="342" t="e">
        <v>#N/A</v>
      </c>
      <c r="W119" s="177"/>
    </row>
    <row r="120" hidden="1">
      <c r="A120" s="177"/>
      <c r="B120" s="222"/>
      <c r="C120" s="323">
        <f t="shared" si="1"/>
        <v>115</v>
      </c>
      <c r="D120" s="324"/>
      <c r="E120" s="325"/>
      <c r="F120" s="326"/>
      <c r="G120" s="326"/>
      <c r="H120" s="326"/>
      <c r="I120" s="326"/>
      <c r="J120" s="324"/>
      <c r="K120" s="324"/>
      <c r="L120" s="324"/>
      <c r="M120" s="484"/>
      <c r="N120" s="220"/>
      <c r="O120" s="177"/>
      <c r="P120" s="337">
        <f t="shared" si="2"/>
        <v>115</v>
      </c>
      <c r="Q120" s="338"/>
      <c r="R120" s="339"/>
      <c r="S120" s="340" t="e">
        <v>#N/A</v>
      </c>
      <c r="T120" s="340" t="e">
        <v>#N/A</v>
      </c>
      <c r="U120" s="340" t="e">
        <v>#N/A</v>
      </c>
      <c r="V120" s="342" t="e">
        <v>#N/A</v>
      </c>
      <c r="W120" s="177"/>
    </row>
    <row r="121" hidden="1">
      <c r="A121" s="177"/>
      <c r="B121" s="222"/>
      <c r="C121" s="323">
        <f t="shared" si="1"/>
        <v>116</v>
      </c>
      <c r="D121" s="324"/>
      <c r="E121" s="325"/>
      <c r="F121" s="326"/>
      <c r="G121" s="326"/>
      <c r="H121" s="326"/>
      <c r="I121" s="326"/>
      <c r="J121" s="324"/>
      <c r="K121" s="324"/>
      <c r="L121" s="324"/>
      <c r="M121" s="484"/>
      <c r="N121" s="220"/>
      <c r="O121" s="177"/>
      <c r="P121" s="337">
        <f t="shared" si="2"/>
        <v>116</v>
      </c>
      <c r="Q121" s="338"/>
      <c r="R121" s="339"/>
      <c r="S121" s="340" t="e">
        <v>#N/A</v>
      </c>
      <c r="T121" s="340" t="e">
        <v>#N/A</v>
      </c>
      <c r="U121" s="340" t="e">
        <v>#N/A</v>
      </c>
      <c r="V121" s="342" t="e">
        <v>#N/A</v>
      </c>
      <c r="W121" s="177"/>
    </row>
    <row r="122" hidden="1">
      <c r="A122" s="177"/>
      <c r="B122" s="222"/>
      <c r="C122" s="323">
        <f t="shared" si="1"/>
        <v>117</v>
      </c>
      <c r="D122" s="324"/>
      <c r="E122" s="325"/>
      <c r="F122" s="326"/>
      <c r="G122" s="326"/>
      <c r="H122" s="326"/>
      <c r="I122" s="326"/>
      <c r="J122" s="324"/>
      <c r="K122" s="324"/>
      <c r="L122" s="324"/>
      <c r="M122" s="484"/>
      <c r="N122" s="220"/>
      <c r="O122" s="177"/>
      <c r="P122" s="337">
        <f t="shared" si="2"/>
        <v>117</v>
      </c>
      <c r="Q122" s="338"/>
      <c r="R122" s="339"/>
      <c r="S122" s="340" t="e">
        <v>#N/A</v>
      </c>
      <c r="T122" s="340" t="e">
        <v>#N/A</v>
      </c>
      <c r="U122" s="340" t="e">
        <v>#N/A</v>
      </c>
      <c r="V122" s="342" t="e">
        <v>#N/A</v>
      </c>
      <c r="W122" s="177"/>
    </row>
    <row r="123" hidden="1">
      <c r="A123" s="177"/>
      <c r="B123" s="222"/>
      <c r="C123" s="323">
        <f t="shared" si="1"/>
        <v>118</v>
      </c>
      <c r="D123" s="324"/>
      <c r="E123" s="325"/>
      <c r="F123" s="326"/>
      <c r="G123" s="326"/>
      <c r="H123" s="326"/>
      <c r="I123" s="326"/>
      <c r="J123" s="324"/>
      <c r="K123" s="324"/>
      <c r="L123" s="324"/>
      <c r="M123" s="484"/>
      <c r="N123" s="220"/>
      <c r="O123" s="177"/>
      <c r="P123" s="337">
        <f t="shared" si="2"/>
        <v>118</v>
      </c>
      <c r="Q123" s="338"/>
      <c r="R123" s="339"/>
      <c r="S123" s="340" t="e">
        <v>#N/A</v>
      </c>
      <c r="T123" s="340" t="e">
        <v>#N/A</v>
      </c>
      <c r="U123" s="340" t="e">
        <v>#N/A</v>
      </c>
      <c r="V123" s="342" t="e">
        <v>#N/A</v>
      </c>
      <c r="W123" s="177"/>
    </row>
    <row r="124" hidden="1">
      <c r="A124" s="177"/>
      <c r="B124" s="222"/>
      <c r="C124" s="323">
        <f t="shared" si="1"/>
        <v>119</v>
      </c>
      <c r="D124" s="324"/>
      <c r="E124" s="325"/>
      <c r="F124" s="326"/>
      <c r="G124" s="326"/>
      <c r="H124" s="326"/>
      <c r="I124" s="326"/>
      <c r="J124" s="324"/>
      <c r="K124" s="324"/>
      <c r="L124" s="324"/>
      <c r="M124" s="484"/>
      <c r="N124" s="220"/>
      <c r="O124" s="177"/>
      <c r="P124" s="337">
        <f t="shared" si="2"/>
        <v>119</v>
      </c>
      <c r="Q124" s="338"/>
      <c r="R124" s="339"/>
      <c r="S124" s="340" t="e">
        <v>#N/A</v>
      </c>
      <c r="T124" s="340" t="e">
        <v>#N/A</v>
      </c>
      <c r="U124" s="340" t="e">
        <v>#N/A</v>
      </c>
      <c r="V124" s="342" t="e">
        <v>#N/A</v>
      </c>
      <c r="W124" s="177"/>
    </row>
    <row r="125" hidden="1">
      <c r="A125" s="177"/>
      <c r="B125" s="222"/>
      <c r="C125" s="323">
        <f t="shared" si="1"/>
        <v>120</v>
      </c>
      <c r="D125" s="324"/>
      <c r="E125" s="325"/>
      <c r="F125" s="326"/>
      <c r="G125" s="326"/>
      <c r="H125" s="326"/>
      <c r="I125" s="326"/>
      <c r="J125" s="324"/>
      <c r="K125" s="324"/>
      <c r="L125" s="324"/>
      <c r="M125" s="484"/>
      <c r="N125" s="220"/>
      <c r="O125" s="177"/>
      <c r="P125" s="337">
        <f t="shared" si="2"/>
        <v>120</v>
      </c>
      <c r="Q125" s="338"/>
      <c r="R125" s="339"/>
      <c r="S125" s="340" t="e">
        <v>#N/A</v>
      </c>
      <c r="T125" s="340" t="e">
        <v>#N/A</v>
      </c>
      <c r="U125" s="340" t="e">
        <v>#N/A</v>
      </c>
      <c r="V125" s="342" t="e">
        <v>#N/A</v>
      </c>
      <c r="W125" s="177"/>
    </row>
    <row r="126" hidden="1">
      <c r="A126" s="177"/>
      <c r="B126" s="222"/>
      <c r="C126" s="323">
        <f t="shared" si="1"/>
        <v>121</v>
      </c>
      <c r="D126" s="324"/>
      <c r="E126" s="325"/>
      <c r="F126" s="326"/>
      <c r="G126" s="326"/>
      <c r="H126" s="326"/>
      <c r="I126" s="326"/>
      <c r="J126" s="324"/>
      <c r="K126" s="324"/>
      <c r="L126" s="324"/>
      <c r="M126" s="484"/>
      <c r="N126" s="220"/>
      <c r="O126" s="177"/>
      <c r="P126" s="337">
        <f t="shared" si="2"/>
        <v>121</v>
      </c>
      <c r="Q126" s="338"/>
      <c r="R126" s="339"/>
      <c r="S126" s="340" t="e">
        <v>#N/A</v>
      </c>
      <c r="T126" s="340" t="e">
        <v>#N/A</v>
      </c>
      <c r="U126" s="340" t="e">
        <v>#N/A</v>
      </c>
      <c r="V126" s="342" t="e">
        <v>#N/A</v>
      </c>
      <c r="W126" s="177"/>
    </row>
    <row r="127" hidden="1">
      <c r="A127" s="177"/>
      <c r="B127" s="222"/>
      <c r="C127" s="323">
        <f t="shared" si="1"/>
        <v>122</v>
      </c>
      <c r="D127" s="324"/>
      <c r="E127" s="325"/>
      <c r="F127" s="326"/>
      <c r="G127" s="326"/>
      <c r="H127" s="326"/>
      <c r="I127" s="326"/>
      <c r="J127" s="324"/>
      <c r="K127" s="324"/>
      <c r="L127" s="324"/>
      <c r="M127" s="484"/>
      <c r="N127" s="220"/>
      <c r="O127" s="177"/>
      <c r="P127" s="337">
        <f t="shared" si="2"/>
        <v>122</v>
      </c>
      <c r="Q127" s="338"/>
      <c r="R127" s="339"/>
      <c r="S127" s="340" t="e">
        <v>#N/A</v>
      </c>
      <c r="T127" s="340" t="e">
        <v>#N/A</v>
      </c>
      <c r="U127" s="340" t="e">
        <v>#N/A</v>
      </c>
      <c r="V127" s="342" t="e">
        <v>#N/A</v>
      </c>
      <c r="W127" s="177"/>
    </row>
    <row r="128" hidden="1">
      <c r="A128" s="177"/>
      <c r="B128" s="222"/>
      <c r="C128" s="323">
        <f t="shared" si="1"/>
        <v>123</v>
      </c>
      <c r="D128" s="324"/>
      <c r="E128" s="325"/>
      <c r="F128" s="326"/>
      <c r="G128" s="326"/>
      <c r="H128" s="326"/>
      <c r="I128" s="326"/>
      <c r="J128" s="324"/>
      <c r="K128" s="324"/>
      <c r="L128" s="324"/>
      <c r="M128" s="484"/>
      <c r="N128" s="220"/>
      <c r="O128" s="177"/>
      <c r="P128" s="337">
        <f t="shared" si="2"/>
        <v>123</v>
      </c>
      <c r="Q128" s="338"/>
      <c r="R128" s="339"/>
      <c r="S128" s="340" t="e">
        <v>#N/A</v>
      </c>
      <c r="T128" s="340" t="e">
        <v>#N/A</v>
      </c>
      <c r="U128" s="340" t="e">
        <v>#N/A</v>
      </c>
      <c r="V128" s="342" t="e">
        <v>#N/A</v>
      </c>
      <c r="W128" s="177"/>
    </row>
    <row r="129" hidden="1">
      <c r="A129" s="177"/>
      <c r="B129" s="222"/>
      <c r="C129" s="323">
        <f t="shared" si="1"/>
        <v>124</v>
      </c>
      <c r="D129" s="324"/>
      <c r="E129" s="325"/>
      <c r="F129" s="326"/>
      <c r="G129" s="326"/>
      <c r="H129" s="326"/>
      <c r="I129" s="326"/>
      <c r="J129" s="324"/>
      <c r="K129" s="324"/>
      <c r="L129" s="324"/>
      <c r="M129" s="484"/>
      <c r="N129" s="220"/>
      <c r="O129" s="177"/>
      <c r="P129" s="337">
        <f t="shared" si="2"/>
        <v>124</v>
      </c>
      <c r="Q129" s="338"/>
      <c r="R129" s="339"/>
      <c r="S129" s="340" t="e">
        <v>#N/A</v>
      </c>
      <c r="T129" s="340" t="e">
        <v>#N/A</v>
      </c>
      <c r="U129" s="340" t="e">
        <v>#N/A</v>
      </c>
      <c r="V129" s="342" t="e">
        <v>#N/A</v>
      </c>
      <c r="W129" s="177"/>
    </row>
    <row r="130" hidden="1">
      <c r="A130" s="177"/>
      <c r="B130" s="222"/>
      <c r="C130" s="323">
        <f t="shared" si="1"/>
        <v>125</v>
      </c>
      <c r="D130" s="324"/>
      <c r="E130" s="325"/>
      <c r="F130" s="326"/>
      <c r="G130" s="326"/>
      <c r="H130" s="326"/>
      <c r="I130" s="326"/>
      <c r="J130" s="324"/>
      <c r="K130" s="324"/>
      <c r="L130" s="324"/>
      <c r="M130" s="484"/>
      <c r="N130" s="220"/>
      <c r="O130" s="177"/>
      <c r="P130" s="337">
        <f t="shared" si="2"/>
        <v>125</v>
      </c>
      <c r="Q130" s="338"/>
      <c r="R130" s="339"/>
      <c r="S130" s="340" t="e">
        <v>#N/A</v>
      </c>
      <c r="T130" s="340" t="e">
        <v>#N/A</v>
      </c>
      <c r="U130" s="340" t="e">
        <v>#N/A</v>
      </c>
      <c r="V130" s="342" t="e">
        <v>#N/A</v>
      </c>
      <c r="W130" s="177"/>
    </row>
    <row r="131" hidden="1">
      <c r="A131" s="177"/>
      <c r="B131" s="222"/>
      <c r="C131" s="323">
        <f t="shared" si="1"/>
        <v>126</v>
      </c>
      <c r="D131" s="324"/>
      <c r="E131" s="325"/>
      <c r="F131" s="326"/>
      <c r="G131" s="326"/>
      <c r="H131" s="326"/>
      <c r="I131" s="326"/>
      <c r="J131" s="324"/>
      <c r="K131" s="324"/>
      <c r="L131" s="324"/>
      <c r="M131" s="484"/>
      <c r="N131" s="220"/>
      <c r="O131" s="177"/>
      <c r="P131" s="337">
        <f t="shared" si="2"/>
        <v>126</v>
      </c>
      <c r="Q131" s="338"/>
      <c r="R131" s="339"/>
      <c r="S131" s="340" t="e">
        <v>#N/A</v>
      </c>
      <c r="T131" s="340" t="e">
        <v>#N/A</v>
      </c>
      <c r="U131" s="340" t="e">
        <v>#N/A</v>
      </c>
      <c r="V131" s="342" t="e">
        <v>#N/A</v>
      </c>
      <c r="W131" s="177"/>
    </row>
    <row r="132" hidden="1">
      <c r="A132" s="177"/>
      <c r="B132" s="222"/>
      <c r="C132" s="323">
        <f t="shared" si="1"/>
        <v>127</v>
      </c>
      <c r="D132" s="324"/>
      <c r="E132" s="325"/>
      <c r="F132" s="326"/>
      <c r="G132" s="326"/>
      <c r="H132" s="326"/>
      <c r="I132" s="326"/>
      <c r="J132" s="324"/>
      <c r="K132" s="324"/>
      <c r="L132" s="324"/>
      <c r="M132" s="484"/>
      <c r="N132" s="220"/>
      <c r="O132" s="177"/>
      <c r="P132" s="337">
        <f t="shared" si="2"/>
        <v>127</v>
      </c>
      <c r="Q132" s="338"/>
      <c r="R132" s="339"/>
      <c r="S132" s="340" t="e">
        <v>#N/A</v>
      </c>
      <c r="T132" s="340" t="e">
        <v>#N/A</v>
      </c>
      <c r="U132" s="340" t="e">
        <v>#N/A</v>
      </c>
      <c r="V132" s="342" t="e">
        <v>#N/A</v>
      </c>
      <c r="W132" s="177"/>
    </row>
    <row r="133" hidden="1">
      <c r="A133" s="177"/>
      <c r="B133" s="222"/>
      <c r="C133" s="323">
        <f t="shared" si="1"/>
        <v>128</v>
      </c>
      <c r="D133" s="324"/>
      <c r="E133" s="325"/>
      <c r="F133" s="326"/>
      <c r="G133" s="326"/>
      <c r="H133" s="326"/>
      <c r="I133" s="326"/>
      <c r="J133" s="324"/>
      <c r="K133" s="324"/>
      <c r="L133" s="324"/>
      <c r="M133" s="484"/>
      <c r="N133" s="220"/>
      <c r="O133" s="177"/>
      <c r="P133" s="337">
        <f t="shared" si="2"/>
        <v>128</v>
      </c>
      <c r="Q133" s="338"/>
      <c r="R133" s="339"/>
      <c r="S133" s="340" t="e">
        <v>#N/A</v>
      </c>
      <c r="T133" s="340" t="e">
        <v>#N/A</v>
      </c>
      <c r="U133" s="340" t="e">
        <v>#N/A</v>
      </c>
      <c r="V133" s="342" t="e">
        <v>#N/A</v>
      </c>
      <c r="W133" s="177"/>
    </row>
    <row r="134" hidden="1">
      <c r="A134" s="177"/>
      <c r="B134" s="222"/>
      <c r="C134" s="323">
        <f t="shared" si="1"/>
        <v>129</v>
      </c>
      <c r="D134" s="324"/>
      <c r="E134" s="325"/>
      <c r="F134" s="326"/>
      <c r="G134" s="326"/>
      <c r="H134" s="326"/>
      <c r="I134" s="326"/>
      <c r="J134" s="324"/>
      <c r="K134" s="324"/>
      <c r="L134" s="324"/>
      <c r="M134" s="484"/>
      <c r="N134" s="220"/>
      <c r="O134" s="177"/>
      <c r="P134" s="337">
        <f t="shared" si="2"/>
        <v>129</v>
      </c>
      <c r="Q134" s="338"/>
      <c r="R134" s="339"/>
      <c r="S134" s="340" t="e">
        <v>#N/A</v>
      </c>
      <c r="T134" s="340" t="e">
        <v>#N/A</v>
      </c>
      <c r="U134" s="340" t="e">
        <v>#N/A</v>
      </c>
      <c r="V134" s="342" t="e">
        <v>#N/A</v>
      </c>
      <c r="W134" s="177"/>
    </row>
    <row r="135" hidden="1">
      <c r="A135" s="177"/>
      <c r="B135" s="222"/>
      <c r="C135" s="323">
        <f t="shared" si="1"/>
        <v>130</v>
      </c>
      <c r="D135" s="324"/>
      <c r="E135" s="325"/>
      <c r="F135" s="326"/>
      <c r="G135" s="326"/>
      <c r="H135" s="326"/>
      <c r="I135" s="326"/>
      <c r="J135" s="324"/>
      <c r="K135" s="324"/>
      <c r="L135" s="324"/>
      <c r="M135" s="484"/>
      <c r="N135" s="220"/>
      <c r="O135" s="177"/>
      <c r="P135" s="337">
        <f t="shared" si="2"/>
        <v>130</v>
      </c>
      <c r="Q135" s="338"/>
      <c r="R135" s="339"/>
      <c r="S135" s="340" t="e">
        <v>#N/A</v>
      </c>
      <c r="T135" s="340" t="e">
        <v>#N/A</v>
      </c>
      <c r="U135" s="340" t="e">
        <v>#N/A</v>
      </c>
      <c r="V135" s="342" t="e">
        <v>#N/A</v>
      </c>
      <c r="W135" s="177"/>
    </row>
    <row r="136" hidden="1">
      <c r="A136" s="177"/>
      <c r="B136" s="222"/>
      <c r="C136" s="323">
        <f t="shared" si="1"/>
        <v>131</v>
      </c>
      <c r="D136" s="324"/>
      <c r="E136" s="325"/>
      <c r="F136" s="326"/>
      <c r="G136" s="326"/>
      <c r="H136" s="326"/>
      <c r="I136" s="326"/>
      <c r="J136" s="324"/>
      <c r="K136" s="324"/>
      <c r="L136" s="324"/>
      <c r="M136" s="484"/>
      <c r="N136" s="220"/>
      <c r="O136" s="177"/>
      <c r="P136" s="337">
        <f t="shared" si="2"/>
        <v>131</v>
      </c>
      <c r="Q136" s="338"/>
      <c r="R136" s="339"/>
      <c r="S136" s="340" t="e">
        <v>#N/A</v>
      </c>
      <c r="T136" s="340" t="e">
        <v>#N/A</v>
      </c>
      <c r="U136" s="340" t="e">
        <v>#N/A</v>
      </c>
      <c r="V136" s="342" t="e">
        <v>#N/A</v>
      </c>
      <c r="W136" s="177"/>
    </row>
    <row r="137" hidden="1">
      <c r="A137" s="177"/>
      <c r="B137" s="222"/>
      <c r="C137" s="323">
        <f t="shared" si="1"/>
        <v>132</v>
      </c>
      <c r="D137" s="324"/>
      <c r="E137" s="325"/>
      <c r="F137" s="326"/>
      <c r="G137" s="326"/>
      <c r="H137" s="326"/>
      <c r="I137" s="326"/>
      <c r="J137" s="324"/>
      <c r="K137" s="324"/>
      <c r="L137" s="324"/>
      <c r="M137" s="484"/>
      <c r="N137" s="220"/>
      <c r="O137" s="177"/>
      <c r="P137" s="337">
        <f t="shared" si="2"/>
        <v>132</v>
      </c>
      <c r="Q137" s="338"/>
      <c r="R137" s="339"/>
      <c r="S137" s="340" t="e">
        <v>#N/A</v>
      </c>
      <c r="T137" s="340" t="e">
        <v>#N/A</v>
      </c>
      <c r="U137" s="340" t="e">
        <v>#N/A</v>
      </c>
      <c r="V137" s="342" t="e">
        <v>#N/A</v>
      </c>
      <c r="W137" s="177"/>
    </row>
    <row r="138" hidden="1">
      <c r="A138" s="177"/>
      <c r="B138" s="222"/>
      <c r="C138" s="323">
        <f t="shared" si="1"/>
        <v>133</v>
      </c>
      <c r="D138" s="324"/>
      <c r="E138" s="325"/>
      <c r="F138" s="326"/>
      <c r="G138" s="326"/>
      <c r="H138" s="326"/>
      <c r="I138" s="326"/>
      <c r="J138" s="324"/>
      <c r="K138" s="324"/>
      <c r="L138" s="324"/>
      <c r="M138" s="484"/>
      <c r="N138" s="220"/>
      <c r="O138" s="177"/>
      <c r="P138" s="337">
        <f t="shared" si="2"/>
        <v>133</v>
      </c>
      <c r="Q138" s="338"/>
      <c r="R138" s="339"/>
      <c r="S138" s="340" t="e">
        <v>#N/A</v>
      </c>
      <c r="T138" s="340" t="e">
        <v>#N/A</v>
      </c>
      <c r="U138" s="340" t="e">
        <v>#N/A</v>
      </c>
      <c r="V138" s="342" t="e">
        <v>#N/A</v>
      </c>
      <c r="W138" s="177"/>
    </row>
    <row r="139" hidden="1">
      <c r="A139" s="177"/>
      <c r="B139" s="222"/>
      <c r="C139" s="323">
        <f t="shared" si="1"/>
        <v>134</v>
      </c>
      <c r="D139" s="324"/>
      <c r="E139" s="325"/>
      <c r="F139" s="326"/>
      <c r="G139" s="326"/>
      <c r="H139" s="326"/>
      <c r="I139" s="326"/>
      <c r="J139" s="324"/>
      <c r="K139" s="324"/>
      <c r="L139" s="324"/>
      <c r="M139" s="484"/>
      <c r="N139" s="220"/>
      <c r="O139" s="177"/>
      <c r="P139" s="337">
        <f t="shared" si="2"/>
        <v>134</v>
      </c>
      <c r="Q139" s="338"/>
      <c r="R139" s="339"/>
      <c r="S139" s="340" t="e">
        <v>#N/A</v>
      </c>
      <c r="T139" s="340" t="e">
        <v>#N/A</v>
      </c>
      <c r="U139" s="340" t="e">
        <v>#N/A</v>
      </c>
      <c r="V139" s="342" t="e">
        <v>#N/A</v>
      </c>
      <c r="W139" s="177"/>
    </row>
    <row r="140" hidden="1">
      <c r="A140" s="177"/>
      <c r="B140" s="222"/>
      <c r="C140" s="323">
        <f t="shared" si="1"/>
        <v>135</v>
      </c>
      <c r="D140" s="324"/>
      <c r="E140" s="325"/>
      <c r="F140" s="326"/>
      <c r="G140" s="326"/>
      <c r="H140" s="326"/>
      <c r="I140" s="326"/>
      <c r="J140" s="324"/>
      <c r="K140" s="324"/>
      <c r="L140" s="324"/>
      <c r="M140" s="484"/>
      <c r="N140" s="220"/>
      <c r="O140" s="177"/>
      <c r="P140" s="337">
        <f t="shared" si="2"/>
        <v>135</v>
      </c>
      <c r="Q140" s="338"/>
      <c r="R140" s="339"/>
      <c r="S140" s="340" t="e">
        <v>#N/A</v>
      </c>
      <c r="T140" s="340" t="e">
        <v>#N/A</v>
      </c>
      <c r="U140" s="340" t="e">
        <v>#N/A</v>
      </c>
      <c r="V140" s="342" t="e">
        <v>#N/A</v>
      </c>
      <c r="W140" s="177"/>
    </row>
    <row r="141" hidden="1">
      <c r="A141" s="177"/>
      <c r="B141" s="222"/>
      <c r="C141" s="323">
        <f t="shared" si="1"/>
        <v>136</v>
      </c>
      <c r="D141" s="324"/>
      <c r="E141" s="325"/>
      <c r="F141" s="326"/>
      <c r="G141" s="326"/>
      <c r="H141" s="326"/>
      <c r="I141" s="326"/>
      <c r="J141" s="324"/>
      <c r="K141" s="324"/>
      <c r="L141" s="324"/>
      <c r="M141" s="484"/>
      <c r="N141" s="220"/>
      <c r="O141" s="177"/>
      <c r="P141" s="337">
        <f t="shared" si="2"/>
        <v>136</v>
      </c>
      <c r="Q141" s="338"/>
      <c r="R141" s="339"/>
      <c r="S141" s="340" t="e">
        <v>#N/A</v>
      </c>
      <c r="T141" s="340" t="e">
        <v>#N/A</v>
      </c>
      <c r="U141" s="340" t="e">
        <v>#N/A</v>
      </c>
      <c r="V141" s="342" t="e">
        <v>#N/A</v>
      </c>
      <c r="W141" s="177"/>
    </row>
    <row r="142" hidden="1">
      <c r="A142" s="177"/>
      <c r="B142" s="222"/>
      <c r="C142" s="323">
        <f t="shared" si="1"/>
        <v>137</v>
      </c>
      <c r="D142" s="324"/>
      <c r="E142" s="325"/>
      <c r="F142" s="326"/>
      <c r="G142" s="326"/>
      <c r="H142" s="326"/>
      <c r="I142" s="326"/>
      <c r="J142" s="324"/>
      <c r="K142" s="324"/>
      <c r="L142" s="324"/>
      <c r="M142" s="484"/>
      <c r="N142" s="220"/>
      <c r="O142" s="177"/>
      <c r="P142" s="337">
        <f t="shared" si="2"/>
        <v>137</v>
      </c>
      <c r="Q142" s="338"/>
      <c r="R142" s="339"/>
      <c r="S142" s="340" t="e">
        <v>#N/A</v>
      </c>
      <c r="T142" s="340" t="e">
        <v>#N/A</v>
      </c>
      <c r="U142" s="340" t="e">
        <v>#N/A</v>
      </c>
      <c r="V142" s="342" t="e">
        <v>#N/A</v>
      </c>
      <c r="W142" s="177"/>
    </row>
    <row r="143" hidden="1">
      <c r="A143" s="177"/>
      <c r="B143" s="222"/>
      <c r="C143" s="323">
        <f t="shared" si="1"/>
        <v>138</v>
      </c>
      <c r="D143" s="324"/>
      <c r="E143" s="325"/>
      <c r="F143" s="326"/>
      <c r="G143" s="326"/>
      <c r="H143" s="326"/>
      <c r="I143" s="326"/>
      <c r="J143" s="324"/>
      <c r="K143" s="324"/>
      <c r="L143" s="324"/>
      <c r="M143" s="484"/>
      <c r="N143" s="220"/>
      <c r="O143" s="177"/>
      <c r="P143" s="337">
        <f t="shared" si="2"/>
        <v>138</v>
      </c>
      <c r="Q143" s="338"/>
      <c r="R143" s="339"/>
      <c r="S143" s="340" t="e">
        <v>#N/A</v>
      </c>
      <c r="T143" s="340" t="e">
        <v>#N/A</v>
      </c>
      <c r="U143" s="340" t="e">
        <v>#N/A</v>
      </c>
      <c r="V143" s="342" t="e">
        <v>#N/A</v>
      </c>
      <c r="W143" s="177"/>
    </row>
    <row r="144" hidden="1">
      <c r="A144" s="177"/>
      <c r="B144" s="222"/>
      <c r="C144" s="323">
        <f t="shared" si="1"/>
        <v>139</v>
      </c>
      <c r="D144" s="324"/>
      <c r="E144" s="325"/>
      <c r="F144" s="326"/>
      <c r="G144" s="326"/>
      <c r="H144" s="326"/>
      <c r="I144" s="326"/>
      <c r="J144" s="324"/>
      <c r="K144" s="324"/>
      <c r="L144" s="324"/>
      <c r="M144" s="484"/>
      <c r="N144" s="220"/>
      <c r="O144" s="177"/>
      <c r="P144" s="337">
        <f t="shared" si="2"/>
        <v>139</v>
      </c>
      <c r="Q144" s="338"/>
      <c r="R144" s="339"/>
      <c r="S144" s="340" t="e">
        <v>#N/A</v>
      </c>
      <c r="T144" s="340" t="e">
        <v>#N/A</v>
      </c>
      <c r="U144" s="340" t="e">
        <v>#N/A</v>
      </c>
      <c r="V144" s="342" t="e">
        <v>#N/A</v>
      </c>
      <c r="W144" s="177"/>
    </row>
    <row r="145" hidden="1">
      <c r="A145" s="177"/>
      <c r="B145" s="222"/>
      <c r="C145" s="323">
        <f t="shared" si="1"/>
        <v>140</v>
      </c>
      <c r="D145" s="324"/>
      <c r="E145" s="325"/>
      <c r="F145" s="326"/>
      <c r="G145" s="326"/>
      <c r="H145" s="326"/>
      <c r="I145" s="326"/>
      <c r="J145" s="324"/>
      <c r="K145" s="324"/>
      <c r="L145" s="324"/>
      <c r="M145" s="484"/>
      <c r="N145" s="220"/>
      <c r="O145" s="177"/>
      <c r="P145" s="337">
        <f t="shared" si="2"/>
        <v>140</v>
      </c>
      <c r="Q145" s="338"/>
      <c r="R145" s="339"/>
      <c r="S145" s="340" t="e">
        <v>#N/A</v>
      </c>
      <c r="T145" s="340" t="e">
        <v>#N/A</v>
      </c>
      <c r="U145" s="340" t="e">
        <v>#N/A</v>
      </c>
      <c r="V145" s="342" t="e">
        <v>#N/A</v>
      </c>
      <c r="W145" s="177"/>
    </row>
    <row r="146" hidden="1">
      <c r="A146" s="177"/>
      <c r="B146" s="222"/>
      <c r="C146" s="323">
        <f t="shared" si="1"/>
        <v>141</v>
      </c>
      <c r="D146" s="324"/>
      <c r="E146" s="325"/>
      <c r="F146" s="326"/>
      <c r="G146" s="326"/>
      <c r="H146" s="326"/>
      <c r="I146" s="326"/>
      <c r="J146" s="324"/>
      <c r="K146" s="324"/>
      <c r="L146" s="324"/>
      <c r="M146" s="484"/>
      <c r="N146" s="220"/>
      <c r="O146" s="177"/>
      <c r="P146" s="337">
        <f t="shared" si="2"/>
        <v>141</v>
      </c>
      <c r="Q146" s="338"/>
      <c r="R146" s="339"/>
      <c r="S146" s="340" t="e">
        <v>#N/A</v>
      </c>
      <c r="T146" s="340" t="e">
        <v>#N/A</v>
      </c>
      <c r="U146" s="340" t="e">
        <v>#N/A</v>
      </c>
      <c r="V146" s="342" t="e">
        <v>#N/A</v>
      </c>
      <c r="W146" s="177"/>
    </row>
    <row r="147" hidden="1">
      <c r="A147" s="177"/>
      <c r="B147" s="222"/>
      <c r="C147" s="323">
        <f t="shared" si="1"/>
        <v>142</v>
      </c>
      <c r="D147" s="324"/>
      <c r="E147" s="325"/>
      <c r="F147" s="326"/>
      <c r="G147" s="326"/>
      <c r="H147" s="326"/>
      <c r="I147" s="326"/>
      <c r="J147" s="324"/>
      <c r="K147" s="324"/>
      <c r="L147" s="324"/>
      <c r="M147" s="484"/>
      <c r="N147" s="220"/>
      <c r="O147" s="177"/>
      <c r="P147" s="337">
        <f t="shared" si="2"/>
        <v>142</v>
      </c>
      <c r="Q147" s="338"/>
      <c r="R147" s="339"/>
      <c r="S147" s="340" t="e">
        <v>#N/A</v>
      </c>
      <c r="T147" s="340" t="e">
        <v>#N/A</v>
      </c>
      <c r="U147" s="340" t="e">
        <v>#N/A</v>
      </c>
      <c r="V147" s="342" t="e">
        <v>#N/A</v>
      </c>
      <c r="W147" s="177"/>
    </row>
    <row r="148" hidden="1">
      <c r="A148" s="177"/>
      <c r="B148" s="222"/>
      <c r="C148" s="323">
        <f t="shared" si="1"/>
        <v>143</v>
      </c>
      <c r="D148" s="324"/>
      <c r="E148" s="325"/>
      <c r="F148" s="326"/>
      <c r="G148" s="326"/>
      <c r="H148" s="326"/>
      <c r="I148" s="326"/>
      <c r="J148" s="324"/>
      <c r="K148" s="324"/>
      <c r="L148" s="324"/>
      <c r="M148" s="484"/>
      <c r="N148" s="220"/>
      <c r="O148" s="177"/>
      <c r="P148" s="337">
        <f t="shared" si="2"/>
        <v>143</v>
      </c>
      <c r="Q148" s="338"/>
      <c r="R148" s="339"/>
      <c r="S148" s="340" t="e">
        <v>#N/A</v>
      </c>
      <c r="T148" s="340" t="e">
        <v>#N/A</v>
      </c>
      <c r="U148" s="340" t="e">
        <v>#N/A</v>
      </c>
      <c r="V148" s="342" t="e">
        <v>#N/A</v>
      </c>
      <c r="W148" s="177"/>
    </row>
    <row r="149" hidden="1">
      <c r="A149" s="177"/>
      <c r="B149" s="222"/>
      <c r="C149" s="323">
        <f t="shared" si="1"/>
        <v>144</v>
      </c>
      <c r="D149" s="324"/>
      <c r="E149" s="325"/>
      <c r="F149" s="326"/>
      <c r="G149" s="326"/>
      <c r="H149" s="326"/>
      <c r="I149" s="326"/>
      <c r="J149" s="324"/>
      <c r="K149" s="324"/>
      <c r="L149" s="324"/>
      <c r="M149" s="484"/>
      <c r="N149" s="220"/>
      <c r="O149" s="177"/>
      <c r="P149" s="337">
        <f t="shared" si="2"/>
        <v>144</v>
      </c>
      <c r="Q149" s="338"/>
      <c r="R149" s="339"/>
      <c r="S149" s="340" t="e">
        <v>#N/A</v>
      </c>
      <c r="T149" s="340" t="e">
        <v>#N/A</v>
      </c>
      <c r="U149" s="340" t="e">
        <v>#N/A</v>
      </c>
      <c r="V149" s="342" t="e">
        <v>#N/A</v>
      </c>
      <c r="W149" s="177"/>
    </row>
    <row r="150" hidden="1">
      <c r="A150" s="177"/>
      <c r="B150" s="222"/>
      <c r="C150" s="323">
        <f t="shared" si="1"/>
        <v>145</v>
      </c>
      <c r="D150" s="324"/>
      <c r="E150" s="325"/>
      <c r="F150" s="326"/>
      <c r="G150" s="326"/>
      <c r="H150" s="326"/>
      <c r="I150" s="326"/>
      <c r="J150" s="324"/>
      <c r="K150" s="324"/>
      <c r="L150" s="324"/>
      <c r="M150" s="484"/>
      <c r="N150" s="220"/>
      <c r="O150" s="177"/>
      <c r="P150" s="337">
        <f t="shared" si="2"/>
        <v>145</v>
      </c>
      <c r="Q150" s="338"/>
      <c r="R150" s="339"/>
      <c r="S150" s="340" t="e">
        <v>#N/A</v>
      </c>
      <c r="T150" s="340" t="e">
        <v>#N/A</v>
      </c>
      <c r="U150" s="340" t="e">
        <v>#N/A</v>
      </c>
      <c r="V150" s="342" t="e">
        <v>#N/A</v>
      </c>
      <c r="W150" s="177"/>
    </row>
    <row r="151" hidden="1">
      <c r="A151" s="177"/>
      <c r="B151" s="222"/>
      <c r="C151" s="323">
        <f t="shared" si="1"/>
        <v>146</v>
      </c>
      <c r="D151" s="324"/>
      <c r="E151" s="325"/>
      <c r="F151" s="326"/>
      <c r="G151" s="326"/>
      <c r="H151" s="326"/>
      <c r="I151" s="326"/>
      <c r="J151" s="324"/>
      <c r="K151" s="324"/>
      <c r="L151" s="324"/>
      <c r="M151" s="484"/>
      <c r="N151" s="220"/>
      <c r="O151" s="177"/>
      <c r="P151" s="337">
        <f t="shared" si="2"/>
        <v>146</v>
      </c>
      <c r="Q151" s="338"/>
      <c r="R151" s="339"/>
      <c r="S151" s="340" t="e">
        <v>#N/A</v>
      </c>
      <c r="T151" s="340" t="e">
        <v>#N/A</v>
      </c>
      <c r="U151" s="340" t="e">
        <v>#N/A</v>
      </c>
      <c r="V151" s="342" t="e">
        <v>#N/A</v>
      </c>
      <c r="W151" s="177"/>
    </row>
    <row r="152" hidden="1">
      <c r="A152" s="177"/>
      <c r="B152" s="222"/>
      <c r="C152" s="323">
        <f t="shared" si="1"/>
        <v>147</v>
      </c>
      <c r="D152" s="324"/>
      <c r="E152" s="325"/>
      <c r="F152" s="326"/>
      <c r="G152" s="326"/>
      <c r="H152" s="326"/>
      <c r="I152" s="326"/>
      <c r="J152" s="324"/>
      <c r="K152" s="324"/>
      <c r="L152" s="324"/>
      <c r="M152" s="484"/>
      <c r="N152" s="220"/>
      <c r="O152" s="177"/>
      <c r="P152" s="337">
        <f t="shared" si="2"/>
        <v>147</v>
      </c>
      <c r="Q152" s="338"/>
      <c r="R152" s="339"/>
      <c r="S152" s="340" t="e">
        <v>#N/A</v>
      </c>
      <c r="T152" s="340" t="e">
        <v>#N/A</v>
      </c>
      <c r="U152" s="340" t="e">
        <v>#N/A</v>
      </c>
      <c r="V152" s="342" t="e">
        <v>#N/A</v>
      </c>
      <c r="W152" s="177"/>
    </row>
    <row r="153" hidden="1">
      <c r="A153" s="177"/>
      <c r="B153" s="222"/>
      <c r="C153" s="323">
        <f t="shared" si="1"/>
        <v>148</v>
      </c>
      <c r="D153" s="324"/>
      <c r="E153" s="325"/>
      <c r="F153" s="326"/>
      <c r="G153" s="326"/>
      <c r="H153" s="326"/>
      <c r="I153" s="326"/>
      <c r="J153" s="324"/>
      <c r="K153" s="324"/>
      <c r="L153" s="324"/>
      <c r="M153" s="484"/>
      <c r="N153" s="220"/>
      <c r="O153" s="177"/>
      <c r="P153" s="337">
        <f t="shared" si="2"/>
        <v>148</v>
      </c>
      <c r="Q153" s="338"/>
      <c r="R153" s="339"/>
      <c r="S153" s="340" t="e">
        <v>#N/A</v>
      </c>
      <c r="T153" s="340" t="e">
        <v>#N/A</v>
      </c>
      <c r="U153" s="340" t="e">
        <v>#N/A</v>
      </c>
      <c r="V153" s="342" t="e">
        <v>#N/A</v>
      </c>
      <c r="W153" s="177"/>
    </row>
    <row r="154" hidden="1">
      <c r="A154" s="177"/>
      <c r="B154" s="222"/>
      <c r="C154" s="323">
        <f t="shared" si="1"/>
        <v>149</v>
      </c>
      <c r="D154" s="324"/>
      <c r="E154" s="325"/>
      <c r="F154" s="326"/>
      <c r="G154" s="326"/>
      <c r="H154" s="326"/>
      <c r="I154" s="326"/>
      <c r="J154" s="324"/>
      <c r="K154" s="324"/>
      <c r="L154" s="324"/>
      <c r="M154" s="484"/>
      <c r="N154" s="220"/>
      <c r="O154" s="177"/>
      <c r="P154" s="337">
        <f t="shared" si="2"/>
        <v>149</v>
      </c>
      <c r="Q154" s="338"/>
      <c r="R154" s="339"/>
      <c r="S154" s="340" t="e">
        <v>#N/A</v>
      </c>
      <c r="T154" s="340" t="e">
        <v>#N/A</v>
      </c>
      <c r="U154" s="340" t="e">
        <v>#N/A</v>
      </c>
      <c r="V154" s="342" t="e">
        <v>#N/A</v>
      </c>
      <c r="W154" s="177"/>
    </row>
    <row r="155" hidden="1">
      <c r="A155" s="177"/>
      <c r="B155" s="222"/>
      <c r="C155" s="323">
        <f t="shared" si="1"/>
        <v>150</v>
      </c>
      <c r="D155" s="324"/>
      <c r="E155" s="325"/>
      <c r="F155" s="326"/>
      <c r="G155" s="326"/>
      <c r="H155" s="326"/>
      <c r="I155" s="326"/>
      <c r="J155" s="324"/>
      <c r="K155" s="324"/>
      <c r="L155" s="324"/>
      <c r="M155" s="484"/>
      <c r="N155" s="220"/>
      <c r="O155" s="177"/>
      <c r="P155" s="337">
        <f t="shared" si="2"/>
        <v>150</v>
      </c>
      <c r="Q155" s="338"/>
      <c r="R155" s="339"/>
      <c r="S155" s="340" t="e">
        <v>#N/A</v>
      </c>
      <c r="T155" s="340" t="e">
        <v>#N/A</v>
      </c>
      <c r="U155" s="340" t="e">
        <v>#N/A</v>
      </c>
      <c r="V155" s="342" t="e">
        <v>#N/A</v>
      </c>
      <c r="W155" s="177"/>
    </row>
    <row r="156" hidden="1">
      <c r="A156" s="177"/>
      <c r="B156" s="222"/>
      <c r="C156" s="323">
        <f t="shared" si="1"/>
        <v>151</v>
      </c>
      <c r="D156" s="324"/>
      <c r="E156" s="325"/>
      <c r="F156" s="326"/>
      <c r="G156" s="326"/>
      <c r="H156" s="326"/>
      <c r="I156" s="326"/>
      <c r="J156" s="324"/>
      <c r="K156" s="324"/>
      <c r="L156" s="324"/>
      <c r="M156" s="484"/>
      <c r="N156" s="220"/>
      <c r="O156" s="177"/>
      <c r="P156" s="337">
        <f t="shared" si="2"/>
        <v>151</v>
      </c>
      <c r="Q156" s="338"/>
      <c r="R156" s="339"/>
      <c r="S156" s="340" t="e">
        <v>#N/A</v>
      </c>
      <c r="T156" s="340" t="e">
        <v>#N/A</v>
      </c>
      <c r="U156" s="340" t="e">
        <v>#N/A</v>
      </c>
      <c r="V156" s="342" t="e">
        <v>#N/A</v>
      </c>
      <c r="W156" s="177"/>
    </row>
    <row r="157" ht="7.5" customHeight="1">
      <c r="A157" s="177"/>
      <c r="B157" s="500"/>
      <c r="C157" s="501"/>
      <c r="D157" s="501"/>
      <c r="E157" s="501"/>
      <c r="F157" s="501"/>
      <c r="G157" s="501"/>
      <c r="H157" s="501"/>
      <c r="I157" s="501"/>
      <c r="J157" s="501"/>
      <c r="K157" s="501"/>
      <c r="L157" s="501"/>
      <c r="M157" s="501"/>
      <c r="N157" s="220"/>
      <c r="O157" s="177"/>
      <c r="P157" s="177"/>
      <c r="Q157" s="177"/>
      <c r="R157" s="177"/>
      <c r="S157" s="177"/>
      <c r="T157" s="177"/>
      <c r="U157" s="177"/>
      <c r="V157" s="177"/>
      <c r="W157" s="177"/>
    </row>
    <row r="158" ht="7.5" customHeight="1">
      <c r="A158" s="177"/>
      <c r="B158" s="177"/>
      <c r="C158" s="177"/>
      <c r="D158" s="503"/>
      <c r="E158" s="505"/>
      <c r="F158" s="505"/>
      <c r="G158" s="505"/>
      <c r="H158" s="505"/>
      <c r="I158" s="505"/>
      <c r="J158" s="506"/>
      <c r="K158" s="506"/>
      <c r="L158" s="506"/>
      <c r="M158" s="506"/>
      <c r="N158" s="507"/>
      <c r="O158" s="177"/>
      <c r="P158" s="177"/>
      <c r="Q158" s="177"/>
      <c r="R158" s="177"/>
      <c r="S158" s="177"/>
      <c r="T158" s="177"/>
      <c r="U158" s="177"/>
      <c r="V158" s="177"/>
      <c r="W158" s="177"/>
    </row>
  </sheetData>
  <mergeCells count="5">
    <mergeCell ref="C3:M3"/>
    <mergeCell ref="P3:V3"/>
    <mergeCell ref="E4:F4"/>
    <mergeCell ref="G4:I4"/>
    <mergeCell ref="Q4:R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1.38"/>
    <col customWidth="1" min="3" max="3" width="16.38"/>
    <col customWidth="1" min="4" max="4" width="3.88"/>
    <col customWidth="1" min="5" max="6" width="3.25"/>
    <col customWidth="1" min="7" max="7" width="3.88"/>
    <col customWidth="1" min="8" max="8" width="16.5"/>
    <col customWidth="1" min="9" max="10" width="1.38"/>
  </cols>
  <sheetData>
    <row r="1" ht="7.5" customHeight="1">
      <c r="A1" s="362"/>
      <c r="B1" s="362"/>
      <c r="C1" s="363"/>
      <c r="D1" s="363"/>
      <c r="E1" s="363"/>
      <c r="F1" s="363"/>
      <c r="G1" s="363"/>
      <c r="H1" s="363"/>
      <c r="I1" s="364"/>
      <c r="J1" s="364"/>
    </row>
    <row r="2" ht="7.5" customHeight="1">
      <c r="A2" s="362"/>
      <c r="B2" s="365"/>
      <c r="C2" s="366"/>
      <c r="D2" s="366"/>
      <c r="E2" s="366"/>
      <c r="F2" s="366"/>
      <c r="G2" s="366"/>
      <c r="H2" s="366"/>
      <c r="I2" s="367"/>
      <c r="J2" s="364"/>
    </row>
    <row r="3">
      <c r="A3" s="362"/>
      <c r="B3" s="369"/>
      <c r="C3" s="371"/>
      <c r="D3" s="29"/>
      <c r="E3" s="29"/>
      <c r="F3" s="29"/>
      <c r="G3" s="29"/>
      <c r="H3" s="31"/>
      <c r="I3" s="373"/>
      <c r="J3" s="374"/>
    </row>
    <row r="4">
      <c r="A4" s="362"/>
      <c r="B4" s="369"/>
      <c r="C4" s="375" t="s">
        <v>151</v>
      </c>
      <c r="D4" s="376"/>
      <c r="E4" s="377" t="s">
        <v>78</v>
      </c>
      <c r="F4" s="376"/>
      <c r="G4" s="378" t="s">
        <v>154</v>
      </c>
      <c r="H4" s="31"/>
      <c r="I4" s="379"/>
      <c r="J4" s="380"/>
    </row>
    <row r="5" ht="3.75" customHeight="1">
      <c r="A5" s="362"/>
      <c r="B5" s="369"/>
      <c r="C5" s="381"/>
      <c r="D5" s="381"/>
      <c r="E5" s="381"/>
      <c r="F5" s="381"/>
      <c r="G5" s="381"/>
      <c r="H5" s="381"/>
      <c r="I5" s="382"/>
      <c r="J5" s="383"/>
    </row>
    <row r="6" ht="18.75" customHeight="1">
      <c r="A6" s="384"/>
      <c r="B6" s="385"/>
      <c r="C6" s="386" t="s">
        <v>158</v>
      </c>
      <c r="D6" s="129"/>
      <c r="E6" s="129"/>
      <c r="F6" s="129"/>
      <c r="G6" s="129"/>
      <c r="H6" s="131"/>
      <c r="I6" s="373"/>
      <c r="J6" s="374"/>
    </row>
    <row r="7">
      <c r="A7" s="364"/>
      <c r="B7" s="387"/>
      <c r="C7" s="390" t="str">
        <f t="array" ref="C7:C10">Source!$Q$3:$Q$6</f>
        <v>Ryan Tidey</v>
      </c>
      <c r="D7" s="391"/>
      <c r="E7" s="392">
        <f>Stats!$D$12</f>
        <v>6</v>
      </c>
      <c r="F7" s="392">
        <f>Stats!$H$12</f>
        <v>-6</v>
      </c>
      <c r="G7" s="397" t="str">
        <f t="array" ref="G7:G10">Source!$S$3:$S$6</f>
        <v>Tyler Gottfredsen</v>
      </c>
      <c r="H7" s="131"/>
      <c r="I7" s="398"/>
      <c r="J7" s="399"/>
    </row>
    <row r="8">
      <c r="A8" s="364"/>
      <c r="B8" s="387"/>
      <c r="C8" s="400" t="s">
        <v>184</v>
      </c>
      <c r="D8" s="401"/>
      <c r="E8" s="403">
        <f>Stats!$D$23</f>
        <v>4</v>
      </c>
      <c r="F8" s="403">
        <f>Stats!$H$23</f>
        <v>-3</v>
      </c>
      <c r="G8" s="406" t="s">
        <v>187</v>
      </c>
      <c r="H8" s="136"/>
      <c r="I8" s="398"/>
      <c r="J8" s="407"/>
    </row>
    <row r="9">
      <c r="A9" s="364"/>
      <c r="B9" s="387"/>
      <c r="C9" s="408" t="s">
        <v>190</v>
      </c>
      <c r="D9" s="401"/>
      <c r="E9" s="409">
        <f>Stats!$D$34</f>
        <v>4</v>
      </c>
      <c r="F9" s="409">
        <f>Stats!$H$34</f>
        <v>-4</v>
      </c>
      <c r="G9" s="410" t="s">
        <v>194</v>
      </c>
      <c r="H9" s="136"/>
      <c r="I9" s="398"/>
      <c r="J9" s="407"/>
    </row>
    <row r="10">
      <c r="A10" s="364"/>
      <c r="B10" s="387"/>
      <c r="C10" s="400" t="s">
        <v>196</v>
      </c>
      <c r="D10" s="401"/>
      <c r="E10" s="403">
        <f>Stats!$D$45</f>
        <v>-3</v>
      </c>
      <c r="F10" s="403">
        <f>Stats!$H$45</f>
        <v>3</v>
      </c>
      <c r="G10" s="413" t="s">
        <v>198</v>
      </c>
      <c r="H10" s="136"/>
      <c r="I10" s="398"/>
      <c r="J10" s="407"/>
    </row>
    <row r="11" ht="7.5" customHeight="1">
      <c r="A11" s="364"/>
      <c r="B11" s="387"/>
      <c r="C11" s="414"/>
      <c r="D11" s="414"/>
      <c r="E11" s="414"/>
      <c r="F11" s="414"/>
      <c r="G11" s="414"/>
      <c r="I11" s="415"/>
      <c r="J11" s="416"/>
    </row>
    <row r="12" ht="18.75" customHeight="1">
      <c r="A12" s="384"/>
      <c r="B12" s="385"/>
      <c r="C12" s="386" t="s">
        <v>200</v>
      </c>
      <c r="D12" s="129"/>
      <c r="E12" s="129"/>
      <c r="F12" s="129"/>
      <c r="G12" s="129"/>
      <c r="H12" s="131"/>
      <c r="I12" s="373"/>
      <c r="J12" s="374"/>
    </row>
    <row r="13">
      <c r="A13" s="364"/>
      <c r="B13" s="387"/>
      <c r="C13" s="390" t="str">
        <f t="array" ref="C13:C16">Source!$Q$11:$Q$14</f>
        <v>Ryan Tidey</v>
      </c>
      <c r="D13" s="391"/>
      <c r="E13" s="392">
        <f>Stats!$M$12</f>
        <v>-2</v>
      </c>
      <c r="F13" s="418">
        <f>Stats!$Q$12</f>
        <v>2</v>
      </c>
      <c r="G13" s="397" t="str">
        <f t="array" ref="G13:G16">Source!$S$11:$S$14</f>
        <v>Marcus</v>
      </c>
      <c r="H13" s="131"/>
      <c r="I13" s="398"/>
      <c r="J13" s="407"/>
    </row>
    <row r="14">
      <c r="A14" s="364"/>
      <c r="B14" s="387"/>
      <c r="C14" s="400" t="s">
        <v>190</v>
      </c>
      <c r="D14" s="401"/>
      <c r="E14" s="403">
        <f>Stats!$M$23</f>
        <v>4</v>
      </c>
      <c r="F14" s="403">
        <f>Stats!$Q$23</f>
        <v>-4</v>
      </c>
      <c r="G14" s="406" t="s">
        <v>204</v>
      </c>
      <c r="H14" s="136"/>
      <c r="I14" s="398"/>
      <c r="J14" s="407"/>
    </row>
    <row r="15">
      <c r="A15" s="364"/>
      <c r="B15" s="387"/>
      <c r="C15" s="408" t="s">
        <v>196</v>
      </c>
      <c r="D15" s="401"/>
      <c r="E15" s="409">
        <f>Stats!$M$34</f>
        <v>6</v>
      </c>
      <c r="F15" s="409">
        <f>Stats!$Q$34</f>
        <v>-6</v>
      </c>
      <c r="G15" s="421" t="s">
        <v>187</v>
      </c>
      <c r="H15" s="136"/>
      <c r="I15" s="398"/>
      <c r="J15" s="407"/>
    </row>
    <row r="16">
      <c r="A16" s="364"/>
      <c r="B16" s="387"/>
      <c r="C16" s="400" t="s">
        <v>194</v>
      </c>
      <c r="D16" s="401"/>
      <c r="E16" s="403">
        <f>Stats!$M$45</f>
        <v>3</v>
      </c>
      <c r="F16" s="403">
        <f>Stats!$Q$45</f>
        <v>-3</v>
      </c>
      <c r="G16" s="413" t="s">
        <v>198</v>
      </c>
      <c r="H16" s="136"/>
      <c r="I16" s="398"/>
      <c r="J16" s="407"/>
    </row>
    <row r="17" ht="7.5" customHeight="1">
      <c r="A17" s="364"/>
      <c r="B17" s="387"/>
      <c r="C17" s="414"/>
      <c r="D17" s="414"/>
      <c r="E17" s="414"/>
      <c r="F17" s="414"/>
      <c r="G17" s="414"/>
      <c r="H17" s="414"/>
      <c r="I17" s="415"/>
      <c r="J17" s="416"/>
    </row>
    <row r="18" ht="18.75" customHeight="1">
      <c r="A18" s="384"/>
      <c r="B18" s="385"/>
      <c r="C18" s="386" t="s">
        <v>207</v>
      </c>
      <c r="D18" s="129"/>
      <c r="E18" s="129"/>
      <c r="F18" s="129"/>
      <c r="G18" s="129"/>
      <c r="H18" s="131"/>
      <c r="I18" s="373"/>
      <c r="J18" s="374"/>
    </row>
    <row r="19">
      <c r="A19" s="364"/>
      <c r="B19" s="387"/>
      <c r="C19" s="390" t="str">
        <f t="array" ref="C19:C22">Source!$Q$19:$Q$22</f>
        <v>Ryan Tidey</v>
      </c>
      <c r="D19" s="391"/>
      <c r="E19" s="418">
        <f>Stats!$V$12</f>
        <v>-3</v>
      </c>
      <c r="F19" s="418">
        <f>Stats!$Z$12</f>
        <v>3</v>
      </c>
      <c r="G19" s="397" t="str">
        <f t="array" ref="G19:G22">Source!$S$19:$S$22</f>
        <v>Ian Heslin</v>
      </c>
      <c r="H19" s="131"/>
      <c r="I19" s="398"/>
      <c r="J19" s="407"/>
    </row>
    <row r="20">
      <c r="A20" s="364"/>
      <c r="B20" s="387"/>
      <c r="C20" s="400" t="s">
        <v>184</v>
      </c>
      <c r="D20" s="401"/>
      <c r="E20" s="403">
        <f>Stats!$V$23</f>
        <v>-3</v>
      </c>
      <c r="F20" s="403">
        <f>Stats!$Z$23</f>
        <v>3</v>
      </c>
      <c r="G20" s="413" t="s">
        <v>196</v>
      </c>
      <c r="H20" s="136"/>
      <c r="I20" s="398"/>
      <c r="J20" s="407"/>
    </row>
    <row r="21">
      <c r="A21" s="364"/>
      <c r="B21" s="387"/>
      <c r="C21" s="408" t="s">
        <v>204</v>
      </c>
      <c r="D21" s="401"/>
      <c r="E21" s="409">
        <f>Stats!$V$34</f>
        <v>-2</v>
      </c>
      <c r="F21" s="409">
        <f>Stats!$Z$34</f>
        <v>2</v>
      </c>
      <c r="G21" s="410" t="s">
        <v>198</v>
      </c>
      <c r="H21" s="136"/>
      <c r="I21" s="398"/>
      <c r="J21" s="407"/>
    </row>
    <row r="22">
      <c r="A22" s="364"/>
      <c r="B22" s="387"/>
      <c r="C22" s="400" t="s">
        <v>187</v>
      </c>
      <c r="D22" s="401"/>
      <c r="E22" s="403">
        <f>Stats!$V$45</f>
        <v>-4</v>
      </c>
      <c r="F22" s="403">
        <f>Stats!$Z$45</f>
        <v>4</v>
      </c>
      <c r="G22" s="413" t="s">
        <v>194</v>
      </c>
      <c r="H22" s="136"/>
      <c r="I22" s="398"/>
      <c r="J22" s="407"/>
    </row>
    <row r="23" ht="7.5" customHeight="1">
      <c r="A23" s="430"/>
      <c r="B23" s="431"/>
      <c r="C23" s="432"/>
      <c r="D23" s="432"/>
      <c r="E23" s="432"/>
      <c r="F23" s="432"/>
      <c r="G23" s="432"/>
      <c r="H23" s="432"/>
      <c r="I23" s="433"/>
      <c r="J23" s="35"/>
    </row>
    <row r="24" ht="18.75" customHeight="1">
      <c r="A24" s="430"/>
      <c r="B24" s="434"/>
      <c r="C24" s="436" t="s">
        <v>220</v>
      </c>
      <c r="D24" s="147"/>
      <c r="E24" s="147"/>
      <c r="F24" s="147"/>
      <c r="G24" s="147"/>
      <c r="H24" s="148"/>
      <c r="I24" s="438"/>
      <c r="J24" s="441"/>
    </row>
    <row r="25" ht="18.75" customHeight="1">
      <c r="A25" s="430"/>
      <c r="B25" s="434"/>
      <c r="C25" s="448" t="str">
        <f t="array" ref="C25:C28">Source!$Q$27:$Q$30</f>
        <v>Ryan Tidey</v>
      </c>
      <c r="D25" s="401"/>
      <c r="E25" s="449">
        <f>Stats!$AE$12</f>
        <v>-2</v>
      </c>
      <c r="F25" s="449">
        <f>Stats!$AI$12</f>
        <v>2</v>
      </c>
      <c r="G25" s="448" t="str">
        <f t="array" ref="G25:G28">Source!$S$27:$S$30</f>
        <v>Ryan Evans</v>
      </c>
      <c r="H25" s="136"/>
      <c r="I25" s="433"/>
      <c r="J25" s="35"/>
    </row>
    <row r="26">
      <c r="A26" s="430"/>
      <c r="B26" s="434"/>
      <c r="C26" s="450" t="s">
        <v>190</v>
      </c>
      <c r="D26" s="401"/>
      <c r="E26" s="452">
        <f>Stats!$AE$23</f>
        <v>5</v>
      </c>
      <c r="F26" s="452">
        <f>Stats!$AI$23</f>
        <v>-5</v>
      </c>
      <c r="G26" s="454" t="s">
        <v>198</v>
      </c>
      <c r="H26" s="136"/>
      <c r="I26" s="433"/>
      <c r="J26" s="35"/>
    </row>
    <row r="27">
      <c r="A27" s="364"/>
      <c r="B27" s="387"/>
      <c r="C27" s="408" t="s">
        <v>184</v>
      </c>
      <c r="D27" s="401"/>
      <c r="E27" s="409">
        <f>Stats!$AE$34</f>
        <v>-5</v>
      </c>
      <c r="F27" s="409">
        <f>Stats!$AI$34</f>
        <v>5</v>
      </c>
      <c r="G27" s="410" t="s">
        <v>194</v>
      </c>
      <c r="H27" s="136"/>
      <c r="I27" s="398"/>
      <c r="J27" s="407"/>
    </row>
    <row r="28">
      <c r="A28" s="364"/>
      <c r="B28" s="387"/>
      <c r="C28" s="400" t="s">
        <v>204</v>
      </c>
      <c r="D28" s="401"/>
      <c r="E28" s="403">
        <f>Stats!$AE$45</f>
        <v>3</v>
      </c>
      <c r="F28" s="403">
        <f>Stats!$AI$45</f>
        <v>-3</v>
      </c>
      <c r="G28" s="413" t="s">
        <v>187</v>
      </c>
      <c r="H28" s="136"/>
      <c r="I28" s="398"/>
      <c r="J28" s="407"/>
    </row>
    <row r="29" ht="7.5" customHeight="1">
      <c r="A29" s="364"/>
      <c r="B29" s="387"/>
      <c r="C29" s="414"/>
      <c r="D29" s="414"/>
      <c r="E29" s="414"/>
      <c r="F29" s="414"/>
      <c r="G29" s="414"/>
      <c r="H29" s="414"/>
      <c r="I29" s="415"/>
      <c r="J29" s="416"/>
    </row>
    <row r="30" ht="18.75" customHeight="1">
      <c r="A30" s="384"/>
      <c r="B30" s="385"/>
      <c r="C30" s="386" t="s">
        <v>233</v>
      </c>
      <c r="D30" s="129"/>
      <c r="E30" s="129"/>
      <c r="F30" s="129"/>
      <c r="G30" s="129"/>
      <c r="H30" s="131"/>
      <c r="I30" s="373"/>
      <c r="J30" s="374"/>
    </row>
    <row r="31">
      <c r="A31" s="364"/>
      <c r="B31" s="387"/>
      <c r="C31" s="390" t="str">
        <f t="array" ref="C31:C34">Source!$Q$35:$Q$38</f>
        <v>Ryan Tidey</v>
      </c>
      <c r="D31" s="391"/>
      <c r="E31" s="418">
        <f>Stats!$AN$12</f>
        <v>0</v>
      </c>
      <c r="F31" s="418">
        <f>Stats!$AR$12</f>
        <v>0</v>
      </c>
      <c r="G31" s="397" t="str">
        <f t="array" ref="G31:G34">Source!$S$35:$S$38</f>
        <v>Zach VanSickle</v>
      </c>
      <c r="H31" s="131"/>
      <c r="I31" s="398"/>
      <c r="J31" s="407"/>
    </row>
    <row r="32">
      <c r="A32" s="364"/>
      <c r="B32" s="387"/>
      <c r="C32" s="400" t="s">
        <v>196</v>
      </c>
      <c r="D32" s="401"/>
      <c r="E32" s="403">
        <f>Stats!$AN$23</f>
        <v>-3</v>
      </c>
      <c r="F32" s="403">
        <f>Stats!$AR$23</f>
        <v>3</v>
      </c>
      <c r="G32" s="413" t="s">
        <v>194</v>
      </c>
      <c r="H32" s="136"/>
      <c r="I32" s="398"/>
      <c r="J32" s="480"/>
    </row>
    <row r="33">
      <c r="A33" s="364"/>
      <c r="B33" s="387"/>
      <c r="C33" s="408" t="s">
        <v>190</v>
      </c>
      <c r="D33" s="401"/>
      <c r="E33" s="409">
        <f>Stats!$AN$34</f>
        <v>6</v>
      </c>
      <c r="F33" s="409">
        <f>Stats!$AR$34</f>
        <v>-6</v>
      </c>
      <c r="G33" s="410" t="s">
        <v>187</v>
      </c>
      <c r="H33" s="136"/>
      <c r="I33" s="398"/>
      <c r="J33" s="407"/>
    </row>
    <row r="34">
      <c r="A34" s="364"/>
      <c r="B34" s="387"/>
      <c r="C34" s="400" t="s">
        <v>184</v>
      </c>
      <c r="D34" s="401"/>
      <c r="E34" s="403">
        <f>Stats!$AN$45</f>
        <v>0</v>
      </c>
      <c r="F34" s="403">
        <f>Stats!$AR$45</f>
        <v>0</v>
      </c>
      <c r="G34" s="413" t="s">
        <v>204</v>
      </c>
      <c r="H34" s="136"/>
      <c r="I34" s="398"/>
      <c r="J34" s="407"/>
    </row>
    <row r="35" ht="7.5" customHeight="1">
      <c r="A35" s="364"/>
      <c r="B35" s="387"/>
      <c r="C35" s="414"/>
      <c r="D35" s="414"/>
      <c r="E35" s="414"/>
      <c r="F35" s="414"/>
      <c r="G35" s="414"/>
      <c r="H35" s="414"/>
      <c r="I35" s="415"/>
      <c r="J35" s="416"/>
    </row>
    <row r="36" ht="18.75" customHeight="1">
      <c r="A36" s="384"/>
      <c r="B36" s="385"/>
      <c r="C36" s="386" t="s">
        <v>248</v>
      </c>
      <c r="D36" s="129"/>
      <c r="E36" s="129"/>
      <c r="F36" s="129"/>
      <c r="G36" s="129"/>
      <c r="H36" s="131"/>
      <c r="I36" s="373"/>
      <c r="J36" s="374"/>
    </row>
    <row r="37" ht="15.75" customHeight="1">
      <c r="A37" s="364"/>
      <c r="B37" s="387"/>
      <c r="C37" s="390" t="str">
        <f t="array" ref="C37:C40">Source!$Q$43:$Q$46</f>
        <v>Ryan Tidey</v>
      </c>
      <c r="D37" s="391"/>
      <c r="E37" s="418">
        <f>Stats!$AW$12</f>
        <v>-1</v>
      </c>
      <c r="F37" s="418">
        <f>Stats!$BA$12</f>
        <v>1</v>
      </c>
      <c r="G37" s="397" t="str">
        <f t="array" ref="G37:G40">Source!$S$43:$S$46</f>
        <v>Jackson McLoughlin</v>
      </c>
      <c r="H37" s="131"/>
      <c r="I37" s="398"/>
      <c r="J37" s="407"/>
    </row>
    <row r="38" ht="15.75" customHeight="1">
      <c r="A38" s="364"/>
      <c r="B38" s="387"/>
      <c r="C38" s="400" t="s">
        <v>187</v>
      </c>
      <c r="D38" s="401"/>
      <c r="E38" s="403">
        <f>Stats!$AW$23</f>
        <v>0</v>
      </c>
      <c r="F38" s="403">
        <f>Stats!$BA$23</f>
        <v>0</v>
      </c>
      <c r="G38" s="413" t="s">
        <v>198</v>
      </c>
      <c r="H38" s="136"/>
      <c r="I38" s="398"/>
      <c r="J38" s="407"/>
    </row>
    <row r="39" ht="15.75" customHeight="1">
      <c r="A39" s="364"/>
      <c r="B39" s="387"/>
      <c r="C39" s="408" t="s">
        <v>196</v>
      </c>
      <c r="D39" s="401"/>
      <c r="E39" s="409">
        <f>Stats!$AW$34</f>
        <v>1</v>
      </c>
      <c r="F39" s="409">
        <f>Stats!$BA$34</f>
        <v>-1</v>
      </c>
      <c r="G39" s="410" t="s">
        <v>204</v>
      </c>
      <c r="H39" s="136"/>
      <c r="I39" s="398"/>
      <c r="J39" s="407"/>
    </row>
    <row r="40" ht="15.75" customHeight="1">
      <c r="A40" s="364"/>
      <c r="B40" s="387"/>
      <c r="C40" s="400" t="s">
        <v>184</v>
      </c>
      <c r="D40" s="401"/>
      <c r="E40" s="403">
        <f>Stats!$AW$45</f>
        <v>-5</v>
      </c>
      <c r="F40" s="403">
        <f>Stats!$BA$45</f>
        <v>5</v>
      </c>
      <c r="G40" s="413" t="s">
        <v>190</v>
      </c>
      <c r="H40" s="136"/>
      <c r="I40" s="398"/>
      <c r="J40" s="407"/>
    </row>
    <row r="41" ht="7.5" customHeight="1">
      <c r="A41" s="364"/>
      <c r="B41" s="387"/>
      <c r="C41" s="414"/>
      <c r="D41" s="414"/>
      <c r="E41" s="414"/>
      <c r="F41" s="414"/>
      <c r="G41" s="414"/>
      <c r="H41" s="414"/>
      <c r="I41" s="415"/>
      <c r="J41" s="416"/>
    </row>
    <row r="42" ht="18.75" customHeight="1">
      <c r="A42" s="364"/>
      <c r="B42" s="385"/>
      <c r="C42" s="386" t="s">
        <v>251</v>
      </c>
      <c r="D42" s="129"/>
      <c r="E42" s="129"/>
      <c r="F42" s="129"/>
      <c r="G42" s="129"/>
      <c r="H42" s="131"/>
      <c r="I42" s="398"/>
      <c r="J42" s="364"/>
    </row>
    <row r="43" ht="15.75" customHeight="1">
      <c r="A43" s="364"/>
      <c r="B43" s="387"/>
      <c r="C43" s="390" t="str">
        <f t="array" ref="C43:C46">Source!$Q$51:$Q$54</f>
        <v>Ryan Tidey</v>
      </c>
      <c r="D43" s="391"/>
      <c r="E43" s="418">
        <f>Stats!$BF$12</f>
        <v>0</v>
      </c>
      <c r="F43" s="418">
        <f>Stats!$BJ$12</f>
        <v>0</v>
      </c>
      <c r="G43" s="397" t="str">
        <f t="array" ref="G43:G46">Source!$S$51:$S$54</f>
        <v>Dick Hansen</v>
      </c>
      <c r="H43" s="131"/>
      <c r="I43" s="398"/>
      <c r="J43" s="364"/>
    </row>
    <row r="44" ht="15.75" customHeight="1">
      <c r="A44" s="364"/>
      <c r="B44" s="387"/>
      <c r="C44" s="400" t="s">
        <v>204</v>
      </c>
      <c r="D44" s="401"/>
      <c r="E44" s="403">
        <f>Stats!$BF$23</f>
        <v>0</v>
      </c>
      <c r="F44" s="403">
        <f>Stats!$BJ$23</f>
        <v>0</v>
      </c>
      <c r="G44" s="413" t="s">
        <v>194</v>
      </c>
      <c r="H44" s="136"/>
      <c r="I44" s="398"/>
      <c r="J44" s="407"/>
    </row>
    <row r="45" ht="15.75" customHeight="1">
      <c r="A45" s="364"/>
      <c r="B45" s="387"/>
      <c r="C45" s="408" t="s">
        <v>184</v>
      </c>
      <c r="D45" s="401"/>
      <c r="E45" s="409">
        <f>Stats!$BF$34</f>
        <v>0</v>
      </c>
      <c r="F45" s="409">
        <f>Stats!$BJ$34</f>
        <v>0</v>
      </c>
      <c r="G45" s="410" t="s">
        <v>198</v>
      </c>
      <c r="H45" s="136"/>
      <c r="I45" s="398"/>
      <c r="J45" s="364"/>
    </row>
    <row r="46" ht="15.75" customHeight="1">
      <c r="A46" s="364"/>
      <c r="B46" s="387"/>
      <c r="C46" s="400" t="s">
        <v>190</v>
      </c>
      <c r="D46" s="401"/>
      <c r="E46" s="403">
        <f>Stats!$BF$45</f>
        <v>3</v>
      </c>
      <c r="F46" s="403">
        <f>Stats!$BJ$45</f>
        <v>-3</v>
      </c>
      <c r="G46" s="413" t="s">
        <v>196</v>
      </c>
      <c r="H46" s="136"/>
      <c r="I46" s="398"/>
      <c r="J46" s="364"/>
    </row>
    <row r="47" ht="15.75" customHeight="1">
      <c r="A47" s="364"/>
      <c r="B47" s="489"/>
      <c r="C47" s="490"/>
      <c r="D47" s="490"/>
      <c r="E47" s="490"/>
      <c r="F47" s="490"/>
      <c r="G47" s="490"/>
      <c r="H47" s="490"/>
      <c r="I47" s="491"/>
      <c r="J47" s="364"/>
    </row>
    <row r="48" ht="7.5" customHeight="1">
      <c r="A48" s="364"/>
      <c r="B48" s="364"/>
      <c r="C48" s="492"/>
      <c r="D48" s="492"/>
      <c r="E48" s="492"/>
      <c r="F48" s="492"/>
      <c r="G48" s="492"/>
      <c r="H48" s="492"/>
      <c r="I48" s="364"/>
      <c r="J48" s="364"/>
    </row>
  </sheetData>
  <mergeCells count="68">
    <mergeCell ref="G26:H26"/>
    <mergeCell ref="G27:H27"/>
    <mergeCell ref="G21:H21"/>
    <mergeCell ref="G22:H22"/>
    <mergeCell ref="C24:H24"/>
    <mergeCell ref="C25:D25"/>
    <mergeCell ref="G25:H25"/>
    <mergeCell ref="C26:D26"/>
    <mergeCell ref="C27:D27"/>
    <mergeCell ref="G32:H32"/>
    <mergeCell ref="G33:H33"/>
    <mergeCell ref="C28:D28"/>
    <mergeCell ref="G28:H28"/>
    <mergeCell ref="C30:H30"/>
    <mergeCell ref="C31:D31"/>
    <mergeCell ref="G31:H31"/>
    <mergeCell ref="C32:D32"/>
    <mergeCell ref="C33:D33"/>
    <mergeCell ref="G38:H38"/>
    <mergeCell ref="G39:H39"/>
    <mergeCell ref="C34:D34"/>
    <mergeCell ref="G34:H34"/>
    <mergeCell ref="C36:H36"/>
    <mergeCell ref="C37:D37"/>
    <mergeCell ref="G37:H37"/>
    <mergeCell ref="C38:D38"/>
    <mergeCell ref="C39:D39"/>
    <mergeCell ref="G44:H44"/>
    <mergeCell ref="G45:H45"/>
    <mergeCell ref="C40:D40"/>
    <mergeCell ref="G40:H40"/>
    <mergeCell ref="C42:H42"/>
    <mergeCell ref="C43:D43"/>
    <mergeCell ref="G43:H43"/>
    <mergeCell ref="C44:D44"/>
    <mergeCell ref="C45:D45"/>
    <mergeCell ref="G7:H7"/>
    <mergeCell ref="G8:H8"/>
    <mergeCell ref="C3:H3"/>
    <mergeCell ref="C4:D4"/>
    <mergeCell ref="E4:F4"/>
    <mergeCell ref="G4:H4"/>
    <mergeCell ref="C6:H6"/>
    <mergeCell ref="C7:D7"/>
    <mergeCell ref="C8:D8"/>
    <mergeCell ref="C13:D13"/>
    <mergeCell ref="C14:D14"/>
    <mergeCell ref="C15:D15"/>
    <mergeCell ref="C16:D16"/>
    <mergeCell ref="C9:D9"/>
    <mergeCell ref="G9:H9"/>
    <mergeCell ref="C10:D10"/>
    <mergeCell ref="G10:H10"/>
    <mergeCell ref="G11:H11"/>
    <mergeCell ref="C12:H12"/>
    <mergeCell ref="G13:H13"/>
    <mergeCell ref="C20:D20"/>
    <mergeCell ref="C21:D21"/>
    <mergeCell ref="C22:D22"/>
    <mergeCell ref="G14:H14"/>
    <mergeCell ref="G15:H15"/>
    <mergeCell ref="G16:H16"/>
    <mergeCell ref="C18:H18"/>
    <mergeCell ref="C19:D19"/>
    <mergeCell ref="G19:H19"/>
    <mergeCell ref="G20:H20"/>
    <mergeCell ref="C46:D46"/>
    <mergeCell ref="G46:H46"/>
  </mergeCells>
  <conditionalFormatting sqref="A1:J48">
    <cfRule type="cellIs" dxfId="2" priority="1" operator="equal">
      <formula>"W"</formula>
    </cfRule>
  </conditionalFormatting>
  <conditionalFormatting sqref="A1:J48">
    <cfRule type="cellIs" dxfId="3" priority="2" operator="equal">
      <formula>"L"</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9EFF"/>
    <outlinePr summaryBelow="0" summaryRight="0"/>
  </sheetPr>
  <sheetViews>
    <sheetView showGridLines="0" workbookViewId="0"/>
  </sheetViews>
  <sheetFormatPr customHeight="1" defaultColWidth="12.63" defaultRowHeight="15.75"/>
  <cols>
    <col customWidth="1" min="1" max="2" width="1.38"/>
    <col customWidth="1" min="3" max="3" width="15.13"/>
    <col customWidth="1" min="4" max="6" width="3.25"/>
    <col customWidth="1" min="7" max="7" width="16.38"/>
    <col customWidth="1" min="8" max="10" width="3.25"/>
    <col customWidth="1" min="11" max="11" width="1.38"/>
    <col customWidth="1" min="12" max="12" width="15.13"/>
    <col customWidth="1" min="13" max="15" width="3.25"/>
    <col customWidth="1" min="16" max="16" width="16.38"/>
    <col customWidth="1" min="17" max="19" width="3.25"/>
    <col customWidth="1" min="20" max="20" width="1.38"/>
    <col customWidth="1" min="21" max="21" width="15.13"/>
    <col customWidth="1" min="22" max="24" width="3.25"/>
    <col customWidth="1" min="25" max="25" width="16.38"/>
    <col customWidth="1" min="26" max="28" width="3.25"/>
    <col customWidth="1" min="29" max="29" width="1.38"/>
    <col customWidth="1" min="30" max="30" width="16.38"/>
    <col customWidth="1" min="31" max="33" width="3.25"/>
    <col customWidth="1" min="34" max="34" width="15.13"/>
    <col customWidth="1" min="35" max="37" width="3.25"/>
    <col customWidth="1" min="38" max="38" width="1.38"/>
    <col customWidth="1" min="39" max="39" width="15.13"/>
    <col customWidth="1" min="40" max="42" width="3.25"/>
    <col customWidth="1" min="43" max="43" width="16.38"/>
    <col customWidth="1" min="44" max="46" width="3.25"/>
    <col customWidth="1" min="47" max="47" width="1.38"/>
    <col customWidth="1" min="48" max="48" width="16.38"/>
    <col customWidth="1" min="49" max="51" width="3.25"/>
    <col customWidth="1" min="52" max="52" width="15.13"/>
    <col customWidth="1" min="53" max="55" width="3.25"/>
    <col customWidth="1" min="56" max="56" width="1.38"/>
    <col customWidth="1" min="57" max="57" width="15.13"/>
    <col customWidth="1" min="58" max="60" width="3.25"/>
    <col customWidth="1" min="61" max="61" width="16.38"/>
    <col customWidth="1" min="62" max="64" width="3.25"/>
    <col customWidth="1" min="65" max="66" width="1.38"/>
  </cols>
  <sheetData>
    <row r="1" ht="7.5" customHeight="1">
      <c r="A1" s="502" t="s">
        <v>256</v>
      </c>
      <c r="B1" s="504"/>
      <c r="C1" s="504"/>
      <c r="D1" s="504"/>
      <c r="E1" s="504"/>
      <c r="F1" s="504"/>
      <c r="G1" s="504"/>
      <c r="H1" s="504"/>
      <c r="I1" s="504"/>
      <c r="J1" s="504"/>
      <c r="K1" s="504"/>
      <c r="L1" s="504"/>
      <c r="M1" s="504"/>
      <c r="N1" s="504"/>
      <c r="O1" s="504"/>
      <c r="P1" s="504"/>
      <c r="Q1" s="504"/>
      <c r="R1" s="504"/>
      <c r="S1" s="504"/>
      <c r="T1" s="504"/>
      <c r="U1" s="504"/>
      <c r="V1" s="504"/>
      <c r="W1" s="504"/>
      <c r="X1" s="504"/>
      <c r="Y1" s="504"/>
      <c r="Z1" s="504"/>
      <c r="AA1" s="504"/>
      <c r="AB1" s="504"/>
      <c r="AC1" s="504"/>
      <c r="AD1" s="504"/>
      <c r="AE1" s="504"/>
      <c r="AF1" s="504"/>
      <c r="AG1" s="504"/>
      <c r="AH1" s="504"/>
      <c r="AI1" s="504"/>
      <c r="AJ1" s="504"/>
      <c r="AK1" s="504"/>
      <c r="AL1" s="504"/>
      <c r="AM1" s="504"/>
      <c r="AN1" s="504"/>
      <c r="AO1" s="504"/>
      <c r="AP1" s="504"/>
      <c r="AQ1" s="504"/>
      <c r="AR1" s="504"/>
      <c r="AS1" s="504"/>
      <c r="AT1" s="504"/>
      <c r="AU1" s="504"/>
      <c r="AV1" s="504"/>
      <c r="AW1" s="504"/>
      <c r="AX1" s="504"/>
      <c r="AY1" s="504"/>
      <c r="AZ1" s="504"/>
      <c r="BA1" s="504"/>
      <c r="BB1" s="504"/>
      <c r="BC1" s="504"/>
      <c r="BD1" s="504"/>
      <c r="BE1" s="504"/>
      <c r="BF1" s="504"/>
      <c r="BG1" s="504"/>
      <c r="BH1" s="504"/>
      <c r="BI1" s="504"/>
      <c r="BJ1" s="504"/>
      <c r="BK1" s="504"/>
      <c r="BL1" s="504"/>
      <c r="BM1" s="504"/>
      <c r="BN1" s="504"/>
    </row>
    <row r="2" ht="7.5" customHeight="1">
      <c r="A2" s="504"/>
      <c r="B2" s="508"/>
      <c r="C2" s="509"/>
      <c r="D2" s="509"/>
      <c r="E2" s="509"/>
      <c r="F2" s="509"/>
      <c r="G2" s="509"/>
      <c r="H2" s="509"/>
      <c r="I2" s="509"/>
      <c r="J2" s="509"/>
      <c r="K2" s="509"/>
      <c r="L2" s="509"/>
      <c r="M2" s="509"/>
      <c r="N2" s="509"/>
      <c r="O2" s="509"/>
      <c r="P2" s="509"/>
      <c r="Q2" s="509"/>
      <c r="R2" s="509"/>
      <c r="S2" s="509"/>
      <c r="T2" s="509"/>
      <c r="U2" s="509"/>
      <c r="V2" s="509"/>
      <c r="W2" s="509"/>
      <c r="X2" s="509"/>
      <c r="Y2" s="509"/>
      <c r="Z2" s="509"/>
      <c r="AA2" s="509"/>
      <c r="AB2" s="509"/>
      <c r="AC2" s="509"/>
      <c r="AD2" s="509"/>
      <c r="AE2" s="509"/>
      <c r="AF2" s="509"/>
      <c r="AG2" s="509"/>
      <c r="AH2" s="509"/>
      <c r="AI2" s="509"/>
      <c r="AJ2" s="509"/>
      <c r="AK2" s="509"/>
      <c r="AL2" s="509"/>
      <c r="AM2" s="509"/>
      <c r="AN2" s="509"/>
      <c r="AO2" s="509"/>
      <c r="AP2" s="509"/>
      <c r="AQ2" s="509"/>
      <c r="AR2" s="509"/>
      <c r="AS2" s="509"/>
      <c r="AT2" s="509"/>
      <c r="AU2" s="509"/>
      <c r="AV2" s="509"/>
      <c r="AW2" s="509"/>
      <c r="AX2" s="509"/>
      <c r="AY2" s="509"/>
      <c r="AZ2" s="509"/>
      <c r="BA2" s="509"/>
      <c r="BB2" s="509"/>
      <c r="BC2" s="509"/>
      <c r="BD2" s="509"/>
      <c r="BE2" s="509"/>
      <c r="BF2" s="509"/>
      <c r="BG2" s="509"/>
      <c r="BH2" s="509"/>
      <c r="BI2" s="509"/>
      <c r="BJ2" s="509"/>
      <c r="BK2" s="509"/>
      <c r="BL2" s="509"/>
      <c r="BM2" s="510"/>
      <c r="BN2" s="504"/>
    </row>
    <row r="3">
      <c r="A3" s="177"/>
      <c r="B3" s="222"/>
      <c r="C3" s="511" t="s">
        <v>158</v>
      </c>
      <c r="D3" s="29"/>
      <c r="E3" s="29"/>
      <c r="F3" s="29"/>
      <c r="G3" s="29"/>
      <c r="H3" s="29"/>
      <c r="I3" s="29"/>
      <c r="J3" s="31"/>
      <c r="K3" s="222"/>
      <c r="L3" s="511" t="s">
        <v>200</v>
      </c>
      <c r="M3" s="29"/>
      <c r="N3" s="29"/>
      <c r="O3" s="29"/>
      <c r="P3" s="29"/>
      <c r="Q3" s="29"/>
      <c r="R3" s="29"/>
      <c r="S3" s="31"/>
      <c r="T3" s="222"/>
      <c r="U3" s="511" t="s">
        <v>207</v>
      </c>
      <c r="V3" s="29"/>
      <c r="W3" s="29"/>
      <c r="X3" s="29"/>
      <c r="Y3" s="29"/>
      <c r="Z3" s="29"/>
      <c r="AA3" s="29"/>
      <c r="AB3" s="31"/>
      <c r="AC3" s="222"/>
      <c r="AD3" s="511" t="s">
        <v>220</v>
      </c>
      <c r="AE3" s="29"/>
      <c r="AF3" s="29"/>
      <c r="AG3" s="29"/>
      <c r="AH3" s="29"/>
      <c r="AI3" s="29"/>
      <c r="AJ3" s="29"/>
      <c r="AK3" s="31"/>
      <c r="AL3" s="222"/>
      <c r="AM3" s="511" t="s">
        <v>233</v>
      </c>
      <c r="AN3" s="29"/>
      <c r="AO3" s="29"/>
      <c r="AP3" s="29"/>
      <c r="AQ3" s="29"/>
      <c r="AR3" s="29"/>
      <c r="AS3" s="29"/>
      <c r="AT3" s="31"/>
      <c r="AU3" s="222"/>
      <c r="AV3" s="511" t="s">
        <v>248</v>
      </c>
      <c r="AW3" s="29"/>
      <c r="AX3" s="29"/>
      <c r="AY3" s="29"/>
      <c r="AZ3" s="29"/>
      <c r="BA3" s="29"/>
      <c r="BB3" s="29"/>
      <c r="BC3" s="31"/>
      <c r="BD3" s="222"/>
      <c r="BE3" s="511" t="s">
        <v>251</v>
      </c>
      <c r="BF3" s="29"/>
      <c r="BG3" s="29"/>
      <c r="BH3" s="29"/>
      <c r="BI3" s="29"/>
      <c r="BJ3" s="29"/>
      <c r="BK3" s="29"/>
      <c r="BL3" s="31"/>
      <c r="BM3" s="512"/>
      <c r="BN3" s="513"/>
    </row>
    <row r="4" ht="3.75" customHeight="1">
      <c r="A4" s="504"/>
      <c r="B4" s="514"/>
      <c r="C4" s="515"/>
      <c r="D4" s="515"/>
      <c r="E4" s="515"/>
      <c r="F4" s="515"/>
      <c r="G4" s="515"/>
      <c r="H4" s="515"/>
      <c r="I4" s="515"/>
      <c r="J4" s="515"/>
      <c r="K4" s="514"/>
      <c r="L4" s="515"/>
      <c r="M4" s="515"/>
      <c r="N4" s="515"/>
      <c r="O4" s="515"/>
      <c r="P4" s="515"/>
      <c r="Q4" s="515"/>
      <c r="R4" s="515"/>
      <c r="S4" s="515"/>
      <c r="T4" s="514"/>
      <c r="U4" s="515"/>
      <c r="V4" s="515"/>
      <c r="W4" s="515"/>
      <c r="X4" s="515"/>
      <c r="Y4" s="515"/>
      <c r="Z4" s="515"/>
      <c r="AA4" s="515"/>
      <c r="AB4" s="515"/>
      <c r="AC4" s="514"/>
      <c r="AD4" s="515"/>
      <c r="AE4" s="515"/>
      <c r="AF4" s="515"/>
      <c r="AG4" s="515"/>
      <c r="AH4" s="515"/>
      <c r="AI4" s="515"/>
      <c r="AJ4" s="515"/>
      <c r="AK4" s="515"/>
      <c r="AL4" s="514"/>
      <c r="AM4" s="515"/>
      <c r="AN4" s="515"/>
      <c r="AO4" s="515"/>
      <c r="AP4" s="515"/>
      <c r="AQ4" s="515"/>
      <c r="AR4" s="515"/>
      <c r="AS4" s="515"/>
      <c r="AT4" s="515"/>
      <c r="AU4" s="514"/>
      <c r="AV4" s="515"/>
      <c r="AW4" s="515"/>
      <c r="AX4" s="515"/>
      <c r="AY4" s="515"/>
      <c r="AZ4" s="515"/>
      <c r="BA4" s="515"/>
      <c r="BB4" s="515"/>
      <c r="BC4" s="515"/>
      <c r="BD4" s="514"/>
      <c r="BE4" s="515"/>
      <c r="BF4" s="515"/>
      <c r="BG4" s="515"/>
      <c r="BH4" s="515"/>
      <c r="BI4" s="515"/>
      <c r="BJ4" s="515"/>
      <c r="BK4" s="515"/>
      <c r="BL4" s="515"/>
      <c r="BM4" s="516"/>
      <c r="BN4" s="504"/>
    </row>
    <row r="5">
      <c r="A5" s="504"/>
      <c r="B5" s="514"/>
      <c r="C5" s="517" t="str">
        <f>Schedule!$C$7</f>
        <v>Ryan Tidey</v>
      </c>
      <c r="D5" s="519" t="s">
        <v>76</v>
      </c>
      <c r="E5" s="520" t="s">
        <v>77</v>
      </c>
      <c r="F5" s="520" t="s">
        <v>78</v>
      </c>
      <c r="G5" s="521" t="str">
        <f>Schedule!$G$7</f>
        <v>Tyler Gottfredsen</v>
      </c>
      <c r="H5" s="522" t="s">
        <v>76</v>
      </c>
      <c r="I5" s="523" t="s">
        <v>77</v>
      </c>
      <c r="J5" s="524" t="s">
        <v>78</v>
      </c>
      <c r="K5" s="514"/>
      <c r="L5" s="517" t="str">
        <f>Schedule!$C$13</f>
        <v>Ryan Tidey</v>
      </c>
      <c r="M5" s="519" t="s">
        <v>76</v>
      </c>
      <c r="N5" s="520" t="s">
        <v>77</v>
      </c>
      <c r="O5" s="520" t="s">
        <v>78</v>
      </c>
      <c r="P5" s="521" t="str">
        <f>Schedule!$G$13</f>
        <v>Marcus</v>
      </c>
      <c r="Q5" s="522" t="s">
        <v>76</v>
      </c>
      <c r="R5" s="523" t="s">
        <v>77</v>
      </c>
      <c r="S5" s="524" t="s">
        <v>78</v>
      </c>
      <c r="T5" s="514"/>
      <c r="U5" s="517" t="str">
        <f>Schedule!$C$19</f>
        <v>Ryan Tidey</v>
      </c>
      <c r="V5" s="519" t="s">
        <v>76</v>
      </c>
      <c r="W5" s="520" t="s">
        <v>77</v>
      </c>
      <c r="X5" s="520" t="s">
        <v>78</v>
      </c>
      <c r="Y5" s="521" t="str">
        <f>Schedule!$G$19</f>
        <v>Ian Heslin</v>
      </c>
      <c r="Z5" s="522" t="s">
        <v>76</v>
      </c>
      <c r="AA5" s="523" t="s">
        <v>77</v>
      </c>
      <c r="AB5" s="524" t="s">
        <v>78</v>
      </c>
      <c r="AC5" s="514"/>
      <c r="AD5" s="517" t="str">
        <f>Schedule!$C$25</f>
        <v>Ryan Tidey</v>
      </c>
      <c r="AE5" s="519" t="s">
        <v>76</v>
      </c>
      <c r="AF5" s="520" t="s">
        <v>77</v>
      </c>
      <c r="AG5" s="520" t="s">
        <v>78</v>
      </c>
      <c r="AH5" s="521" t="str">
        <f>Schedule!$G$25</f>
        <v>Ryan Evans</v>
      </c>
      <c r="AI5" s="522" t="s">
        <v>76</v>
      </c>
      <c r="AJ5" s="523" t="s">
        <v>77</v>
      </c>
      <c r="AK5" s="524" t="s">
        <v>78</v>
      </c>
      <c r="AL5" s="514"/>
      <c r="AM5" s="517" t="str">
        <f>Schedule!$C$31</f>
        <v>Ryan Tidey</v>
      </c>
      <c r="AN5" s="519" t="s">
        <v>76</v>
      </c>
      <c r="AO5" s="520" t="s">
        <v>77</v>
      </c>
      <c r="AP5" s="520" t="s">
        <v>78</v>
      </c>
      <c r="AQ5" s="521" t="str">
        <f>Schedule!$G$31</f>
        <v>Zach VanSickle</v>
      </c>
      <c r="AR5" s="522" t="s">
        <v>76</v>
      </c>
      <c r="AS5" s="523" t="s">
        <v>77</v>
      </c>
      <c r="AT5" s="524" t="s">
        <v>78</v>
      </c>
      <c r="AU5" s="514"/>
      <c r="AV5" s="517" t="str">
        <f>Schedule!$C$37</f>
        <v>Ryan Tidey</v>
      </c>
      <c r="AW5" s="519" t="s">
        <v>76</v>
      </c>
      <c r="AX5" s="520" t="s">
        <v>77</v>
      </c>
      <c r="AY5" s="520" t="s">
        <v>78</v>
      </c>
      <c r="AZ5" s="521" t="str">
        <f>Schedule!$G$37</f>
        <v>Jackson McLoughlin</v>
      </c>
      <c r="BA5" s="522" t="s">
        <v>76</v>
      </c>
      <c r="BB5" s="523" t="s">
        <v>77</v>
      </c>
      <c r="BC5" s="524" t="s">
        <v>78</v>
      </c>
      <c r="BD5" s="514"/>
      <c r="BE5" s="517" t="str">
        <f>Schedule!$C$43</f>
        <v>Ryan Tidey</v>
      </c>
      <c r="BF5" s="519" t="s">
        <v>76</v>
      </c>
      <c r="BG5" s="520" t="s">
        <v>77</v>
      </c>
      <c r="BH5" s="520" t="s">
        <v>78</v>
      </c>
      <c r="BI5" s="521" t="str">
        <f>Schedule!$G$43</f>
        <v>Dick Hansen</v>
      </c>
      <c r="BJ5" s="522" t="s">
        <v>76</v>
      </c>
      <c r="BK5" s="523" t="s">
        <v>77</v>
      </c>
      <c r="BL5" s="524" t="s">
        <v>78</v>
      </c>
      <c r="BM5" s="516"/>
      <c r="BN5" s="504"/>
    </row>
    <row r="6">
      <c r="A6" s="504"/>
      <c r="B6" s="514"/>
      <c r="C6" s="526" t="s">
        <v>88</v>
      </c>
      <c r="D6" s="527"/>
      <c r="E6" s="527"/>
      <c r="F6" s="529">
        <f t="shared" ref="F6:F11" si="1">D6-E6</f>
        <v>0</v>
      </c>
      <c r="G6" s="526" t="s">
        <v>244</v>
      </c>
      <c r="H6" s="527"/>
      <c r="I6" s="527">
        <v>1.0</v>
      </c>
      <c r="J6" s="530">
        <f t="shared" ref="J6:J11" si="2">H6-I6</f>
        <v>-1</v>
      </c>
      <c r="K6" s="514"/>
      <c r="L6" s="526" t="s">
        <v>180</v>
      </c>
      <c r="M6" s="527"/>
      <c r="N6" s="527">
        <v>1.0</v>
      </c>
      <c r="O6" s="529">
        <f t="shared" ref="O6:O11" si="3">M6-N6</f>
        <v>-1</v>
      </c>
      <c r="P6" s="526" t="s">
        <v>86</v>
      </c>
      <c r="Q6" s="527"/>
      <c r="R6" s="527">
        <v>1.0</v>
      </c>
      <c r="S6" s="530">
        <f t="shared" ref="S6:S11" si="4">Q6-R6</f>
        <v>-1</v>
      </c>
      <c r="T6" s="514"/>
      <c r="U6" s="526" t="s">
        <v>88</v>
      </c>
      <c r="V6" s="527">
        <v>1.0</v>
      </c>
      <c r="W6" s="527">
        <v>1.0</v>
      </c>
      <c r="X6" s="529">
        <f t="shared" ref="X6:X11" si="5">V6-W6</f>
        <v>0</v>
      </c>
      <c r="Y6" s="526" t="s">
        <v>135</v>
      </c>
      <c r="Z6" s="527"/>
      <c r="AA6" s="527">
        <v>1.0</v>
      </c>
      <c r="AB6" s="530">
        <f t="shared" ref="AB6:AB11" si="6">Z6-AA6</f>
        <v>-1</v>
      </c>
      <c r="AC6" s="514"/>
      <c r="AD6" s="526" t="s">
        <v>83</v>
      </c>
      <c r="AE6" s="527">
        <v>2.0</v>
      </c>
      <c r="AF6" s="527">
        <v>1.0</v>
      </c>
      <c r="AG6" s="529">
        <f t="shared" ref="AG6:AG11" si="7">AE6-AF6</f>
        <v>1</v>
      </c>
      <c r="AH6" s="526" t="s">
        <v>113</v>
      </c>
      <c r="AI6" s="527">
        <v>3.0</v>
      </c>
      <c r="AJ6" s="527">
        <v>0.0</v>
      </c>
      <c r="AK6" s="530">
        <f t="shared" ref="AK6:AK11" si="8">AI6-AJ6</f>
        <v>3</v>
      </c>
      <c r="AL6" s="514"/>
      <c r="AM6" s="526"/>
      <c r="AN6" s="527"/>
      <c r="AO6" s="527"/>
      <c r="AP6" s="529">
        <f t="shared" ref="AP6:AP11" si="9">AN6-AO6</f>
        <v>0</v>
      </c>
      <c r="AQ6" s="526"/>
      <c r="AR6" s="527"/>
      <c r="AS6" s="527"/>
      <c r="AT6" s="530">
        <f t="shared" ref="AT6:AT11" si="10">AR6-AS6</f>
        <v>0</v>
      </c>
      <c r="AU6" s="514"/>
      <c r="AV6" s="526" t="s">
        <v>83</v>
      </c>
      <c r="AW6" s="527"/>
      <c r="AX6" s="527">
        <v>1.0</v>
      </c>
      <c r="AY6" s="529">
        <f t="shared" ref="AY6:AY11" si="11">AW6-AX6</f>
        <v>-1</v>
      </c>
      <c r="AZ6" s="526" t="s">
        <v>166</v>
      </c>
      <c r="BA6" s="527">
        <v>1.0</v>
      </c>
      <c r="BB6" s="527">
        <v>1.0</v>
      </c>
      <c r="BC6" s="530">
        <f t="shared" ref="BC6:BC11" si="12">BA6-BB6</f>
        <v>0</v>
      </c>
      <c r="BD6" s="514"/>
      <c r="BE6" s="526"/>
      <c r="BF6" s="527"/>
      <c r="BG6" s="527"/>
      <c r="BH6" s="529">
        <f t="shared" ref="BH6:BH11" si="13">BF6-BG6</f>
        <v>0</v>
      </c>
      <c r="BI6" s="526"/>
      <c r="BJ6" s="527"/>
      <c r="BK6" s="527"/>
      <c r="BL6" s="530">
        <f t="shared" ref="BL6:BL11" si="14">BJ6-BK6</f>
        <v>0</v>
      </c>
      <c r="BM6" s="516"/>
      <c r="BN6" s="504"/>
    </row>
    <row r="7">
      <c r="A7" s="504"/>
      <c r="B7" s="514"/>
      <c r="C7" s="532" t="s">
        <v>83</v>
      </c>
      <c r="D7" s="533">
        <v>6.0</v>
      </c>
      <c r="E7" s="533"/>
      <c r="F7" s="529">
        <f t="shared" si="1"/>
        <v>6</v>
      </c>
      <c r="G7" s="532" t="s">
        <v>186</v>
      </c>
      <c r="H7" s="533"/>
      <c r="I7" s="533">
        <v>1.0</v>
      </c>
      <c r="J7" s="530">
        <f t="shared" si="2"/>
        <v>-1</v>
      </c>
      <c r="K7" s="514"/>
      <c r="L7" s="532" t="s">
        <v>83</v>
      </c>
      <c r="M7" s="533"/>
      <c r="N7" s="533">
        <v>1.0</v>
      </c>
      <c r="O7" s="529">
        <f t="shared" si="3"/>
        <v>-1</v>
      </c>
      <c r="P7" s="532" t="s">
        <v>156</v>
      </c>
      <c r="Q7" s="533"/>
      <c r="R7" s="533">
        <v>1.0</v>
      </c>
      <c r="S7" s="530">
        <f t="shared" si="4"/>
        <v>-1</v>
      </c>
      <c r="T7" s="514"/>
      <c r="U7" s="532" t="s">
        <v>124</v>
      </c>
      <c r="V7" s="533">
        <v>1.0</v>
      </c>
      <c r="W7" s="533">
        <v>1.0</v>
      </c>
      <c r="X7" s="529">
        <f t="shared" si="5"/>
        <v>0</v>
      </c>
      <c r="Y7" s="532" t="s">
        <v>79</v>
      </c>
      <c r="Z7" s="533">
        <v>1.0</v>
      </c>
      <c r="AA7" s="533">
        <v>1.0</v>
      </c>
      <c r="AB7" s="530">
        <f t="shared" si="6"/>
        <v>0</v>
      </c>
      <c r="AC7" s="514"/>
      <c r="AD7" s="532" t="s">
        <v>176</v>
      </c>
      <c r="AE7" s="533">
        <v>0.0</v>
      </c>
      <c r="AF7" s="533">
        <v>1.0</v>
      </c>
      <c r="AG7" s="529">
        <f t="shared" si="7"/>
        <v>-1</v>
      </c>
      <c r="AH7" s="532" t="s">
        <v>85</v>
      </c>
      <c r="AI7" s="533">
        <v>1.0</v>
      </c>
      <c r="AJ7" s="533">
        <v>1.0</v>
      </c>
      <c r="AK7" s="530">
        <f t="shared" si="8"/>
        <v>0</v>
      </c>
      <c r="AL7" s="514"/>
      <c r="AM7" s="532"/>
      <c r="AN7" s="533"/>
      <c r="AO7" s="533"/>
      <c r="AP7" s="529">
        <f t="shared" si="9"/>
        <v>0</v>
      </c>
      <c r="AQ7" s="532"/>
      <c r="AR7" s="533"/>
      <c r="AS7" s="533"/>
      <c r="AT7" s="530">
        <f t="shared" si="10"/>
        <v>0</v>
      </c>
      <c r="AU7" s="514"/>
      <c r="AV7" s="532" t="s">
        <v>176</v>
      </c>
      <c r="AW7" s="533"/>
      <c r="AX7" s="533">
        <v>1.0</v>
      </c>
      <c r="AY7" s="529">
        <f t="shared" si="11"/>
        <v>-1</v>
      </c>
      <c r="AZ7" s="532" t="s">
        <v>97</v>
      </c>
      <c r="BA7" s="533"/>
      <c r="BB7" s="533">
        <v>1.0</v>
      </c>
      <c r="BC7" s="530">
        <f t="shared" si="12"/>
        <v>-1</v>
      </c>
      <c r="BD7" s="514"/>
      <c r="BE7" s="532"/>
      <c r="BF7" s="533"/>
      <c r="BG7" s="533"/>
      <c r="BH7" s="529">
        <f t="shared" si="13"/>
        <v>0</v>
      </c>
      <c r="BI7" s="532"/>
      <c r="BJ7" s="533"/>
      <c r="BK7" s="533"/>
      <c r="BL7" s="530">
        <f t="shared" si="14"/>
        <v>0</v>
      </c>
      <c r="BM7" s="516"/>
      <c r="BN7" s="504"/>
    </row>
    <row r="8">
      <c r="A8" s="504"/>
      <c r="B8" s="514"/>
      <c r="C8" s="532" t="s">
        <v>176</v>
      </c>
      <c r="D8" s="533"/>
      <c r="E8" s="533"/>
      <c r="F8" s="529">
        <f t="shared" si="1"/>
        <v>0</v>
      </c>
      <c r="G8" s="532" t="s">
        <v>265</v>
      </c>
      <c r="H8" s="533"/>
      <c r="I8" s="533">
        <v>1.0</v>
      </c>
      <c r="J8" s="530">
        <f t="shared" si="2"/>
        <v>-1</v>
      </c>
      <c r="K8" s="514"/>
      <c r="L8" s="532" t="s">
        <v>88</v>
      </c>
      <c r="M8" s="533">
        <v>4.0</v>
      </c>
      <c r="N8" s="533">
        <v>1.0</v>
      </c>
      <c r="O8" s="529">
        <f t="shared" si="3"/>
        <v>3</v>
      </c>
      <c r="P8" s="532" t="s">
        <v>161</v>
      </c>
      <c r="Q8" s="533">
        <v>1.0</v>
      </c>
      <c r="R8" s="533">
        <v>1.0</v>
      </c>
      <c r="S8" s="530">
        <f t="shared" si="4"/>
        <v>0</v>
      </c>
      <c r="T8" s="514"/>
      <c r="U8" s="532" t="s">
        <v>191</v>
      </c>
      <c r="V8" s="533"/>
      <c r="W8" s="533">
        <v>1.0</v>
      </c>
      <c r="X8" s="529">
        <f t="shared" si="5"/>
        <v>-1</v>
      </c>
      <c r="Y8" s="532" t="s">
        <v>121</v>
      </c>
      <c r="Z8" s="533">
        <v>1.0</v>
      </c>
      <c r="AA8" s="533">
        <v>1.0</v>
      </c>
      <c r="AB8" s="530">
        <f t="shared" si="6"/>
        <v>0</v>
      </c>
      <c r="AC8" s="514"/>
      <c r="AD8" s="532" t="s">
        <v>191</v>
      </c>
      <c r="AE8" s="533">
        <v>1.0</v>
      </c>
      <c r="AF8" s="533">
        <v>1.0</v>
      </c>
      <c r="AG8" s="529">
        <f t="shared" si="7"/>
        <v>0</v>
      </c>
      <c r="AH8" s="532" t="s">
        <v>114</v>
      </c>
      <c r="AI8" s="533">
        <v>1.0</v>
      </c>
      <c r="AJ8" s="533">
        <v>0.0</v>
      </c>
      <c r="AK8" s="530">
        <f t="shared" si="8"/>
        <v>1</v>
      </c>
      <c r="AL8" s="514"/>
      <c r="AM8" s="532"/>
      <c r="AN8" s="533"/>
      <c r="AO8" s="533"/>
      <c r="AP8" s="529">
        <f t="shared" si="9"/>
        <v>0</v>
      </c>
      <c r="AQ8" s="532"/>
      <c r="AR8" s="533"/>
      <c r="AS8" s="533"/>
      <c r="AT8" s="530">
        <f t="shared" si="10"/>
        <v>0</v>
      </c>
      <c r="AU8" s="514"/>
      <c r="AV8" s="532" t="s">
        <v>191</v>
      </c>
      <c r="AW8" s="533"/>
      <c r="AX8" s="533">
        <v>1.0</v>
      </c>
      <c r="AY8" s="529">
        <f t="shared" si="11"/>
        <v>-1</v>
      </c>
      <c r="AZ8" s="532" t="s">
        <v>91</v>
      </c>
      <c r="BA8" s="533">
        <v>1.0</v>
      </c>
      <c r="BB8" s="533">
        <v>1.0</v>
      </c>
      <c r="BC8" s="530">
        <f t="shared" si="12"/>
        <v>0</v>
      </c>
      <c r="BD8" s="514"/>
      <c r="BE8" s="532"/>
      <c r="BF8" s="533"/>
      <c r="BG8" s="533"/>
      <c r="BH8" s="529">
        <f t="shared" si="13"/>
        <v>0</v>
      </c>
      <c r="BI8" s="532"/>
      <c r="BJ8" s="533"/>
      <c r="BK8" s="533"/>
      <c r="BL8" s="530">
        <f t="shared" si="14"/>
        <v>0</v>
      </c>
      <c r="BM8" s="516"/>
      <c r="BN8" s="504"/>
    </row>
    <row r="9">
      <c r="A9" s="504"/>
      <c r="B9" s="514"/>
      <c r="C9" s="532" t="s">
        <v>191</v>
      </c>
      <c r="D9" s="533"/>
      <c r="E9" s="533"/>
      <c r="F9" s="529">
        <f t="shared" si="1"/>
        <v>0</v>
      </c>
      <c r="G9" s="532" t="s">
        <v>267</v>
      </c>
      <c r="H9" s="533"/>
      <c r="I9" s="533">
        <v>1.0</v>
      </c>
      <c r="J9" s="530">
        <f t="shared" si="2"/>
        <v>-1</v>
      </c>
      <c r="K9" s="514"/>
      <c r="L9" s="532" t="s">
        <v>146</v>
      </c>
      <c r="M9" s="533"/>
      <c r="N9" s="533">
        <v>1.0</v>
      </c>
      <c r="O9" s="529">
        <f t="shared" si="3"/>
        <v>-1</v>
      </c>
      <c r="P9" s="532" t="s">
        <v>109</v>
      </c>
      <c r="Q9" s="533">
        <v>3.0</v>
      </c>
      <c r="R9" s="533">
        <v>1.0</v>
      </c>
      <c r="S9" s="530">
        <f t="shared" si="4"/>
        <v>2</v>
      </c>
      <c r="T9" s="514"/>
      <c r="U9" s="532" t="s">
        <v>180</v>
      </c>
      <c r="V9" s="533">
        <v>1.0</v>
      </c>
      <c r="W9" s="533">
        <v>1.0</v>
      </c>
      <c r="X9" s="529">
        <f t="shared" si="5"/>
        <v>0</v>
      </c>
      <c r="Y9" s="532" t="s">
        <v>96</v>
      </c>
      <c r="Z9" s="533">
        <v>1.0</v>
      </c>
      <c r="AA9" s="533"/>
      <c r="AB9" s="530">
        <f t="shared" si="6"/>
        <v>1</v>
      </c>
      <c r="AC9" s="514"/>
      <c r="AD9" s="532" t="s">
        <v>124</v>
      </c>
      <c r="AE9" s="533">
        <v>0.0</v>
      </c>
      <c r="AF9" s="533">
        <v>1.0</v>
      </c>
      <c r="AG9" s="529">
        <f t="shared" si="7"/>
        <v>-1</v>
      </c>
      <c r="AH9" s="532" t="s">
        <v>126</v>
      </c>
      <c r="AI9" s="533">
        <v>0.0</v>
      </c>
      <c r="AJ9" s="533">
        <v>1.0</v>
      </c>
      <c r="AK9" s="530">
        <f t="shared" si="8"/>
        <v>-1</v>
      </c>
      <c r="AL9" s="514"/>
      <c r="AM9" s="532"/>
      <c r="AN9" s="533"/>
      <c r="AO9" s="533"/>
      <c r="AP9" s="529">
        <f t="shared" si="9"/>
        <v>0</v>
      </c>
      <c r="AQ9" s="532"/>
      <c r="AR9" s="533"/>
      <c r="AS9" s="533"/>
      <c r="AT9" s="530">
        <f t="shared" si="10"/>
        <v>0</v>
      </c>
      <c r="AU9" s="514"/>
      <c r="AV9" s="532" t="s">
        <v>124</v>
      </c>
      <c r="AW9" s="533">
        <v>2.0</v>
      </c>
      <c r="AX9" s="533">
        <v>1.0</v>
      </c>
      <c r="AY9" s="529">
        <f t="shared" si="11"/>
        <v>1</v>
      </c>
      <c r="AZ9" s="532" t="s">
        <v>168</v>
      </c>
      <c r="BA9" s="533">
        <v>1.0</v>
      </c>
      <c r="BB9" s="533">
        <v>1.0</v>
      </c>
      <c r="BC9" s="530">
        <f t="shared" si="12"/>
        <v>0</v>
      </c>
      <c r="BD9" s="514"/>
      <c r="BE9" s="532"/>
      <c r="BF9" s="533"/>
      <c r="BG9" s="533"/>
      <c r="BH9" s="529">
        <f t="shared" si="13"/>
        <v>0</v>
      </c>
      <c r="BI9" s="532"/>
      <c r="BJ9" s="533"/>
      <c r="BK9" s="533"/>
      <c r="BL9" s="530">
        <f t="shared" si="14"/>
        <v>0</v>
      </c>
      <c r="BM9" s="516"/>
      <c r="BN9" s="504"/>
    </row>
    <row r="10">
      <c r="A10" s="504"/>
      <c r="B10" s="514"/>
      <c r="C10" s="532" t="s">
        <v>180</v>
      </c>
      <c r="D10" s="533"/>
      <c r="E10" s="533"/>
      <c r="F10" s="529">
        <f t="shared" si="1"/>
        <v>0</v>
      </c>
      <c r="G10" s="532" t="s">
        <v>153</v>
      </c>
      <c r="H10" s="533"/>
      <c r="I10" s="533">
        <v>1.0</v>
      </c>
      <c r="J10" s="530">
        <f t="shared" si="2"/>
        <v>-1</v>
      </c>
      <c r="K10" s="514"/>
      <c r="L10" s="532" t="s">
        <v>206</v>
      </c>
      <c r="M10" s="533"/>
      <c r="N10" s="533">
        <v>1.0</v>
      </c>
      <c r="O10" s="529">
        <f t="shared" si="3"/>
        <v>-1</v>
      </c>
      <c r="P10" s="532" t="s">
        <v>185</v>
      </c>
      <c r="Q10" s="533"/>
      <c r="R10" s="533">
        <v>1.0</v>
      </c>
      <c r="S10" s="530">
        <f t="shared" si="4"/>
        <v>-1</v>
      </c>
      <c r="T10" s="514"/>
      <c r="U10" s="532" t="s">
        <v>176</v>
      </c>
      <c r="V10" s="533"/>
      <c r="W10" s="533">
        <v>1.0</v>
      </c>
      <c r="X10" s="529">
        <f t="shared" si="5"/>
        <v>-1</v>
      </c>
      <c r="Y10" s="532" t="s">
        <v>268</v>
      </c>
      <c r="Z10" s="533">
        <v>3.0</v>
      </c>
      <c r="AA10" s="533"/>
      <c r="AB10" s="530">
        <f t="shared" si="6"/>
        <v>3</v>
      </c>
      <c r="AC10" s="514"/>
      <c r="AD10" s="532" t="s">
        <v>88</v>
      </c>
      <c r="AE10" s="533">
        <v>0.0</v>
      </c>
      <c r="AF10" s="533">
        <v>1.0</v>
      </c>
      <c r="AG10" s="529">
        <f t="shared" si="7"/>
        <v>-1</v>
      </c>
      <c r="AH10" s="532" t="s">
        <v>130</v>
      </c>
      <c r="AI10" s="533">
        <v>1.0</v>
      </c>
      <c r="AJ10" s="533">
        <v>1.0</v>
      </c>
      <c r="AK10" s="530">
        <f t="shared" si="8"/>
        <v>0</v>
      </c>
      <c r="AL10" s="514"/>
      <c r="AM10" s="532"/>
      <c r="AN10" s="533"/>
      <c r="AO10" s="533"/>
      <c r="AP10" s="529">
        <f t="shared" si="9"/>
        <v>0</v>
      </c>
      <c r="AQ10" s="532"/>
      <c r="AR10" s="533"/>
      <c r="AS10" s="533"/>
      <c r="AT10" s="530">
        <f t="shared" si="10"/>
        <v>0</v>
      </c>
      <c r="AU10" s="514"/>
      <c r="AV10" s="532" t="s">
        <v>88</v>
      </c>
      <c r="AW10" s="533">
        <v>2.0</v>
      </c>
      <c r="AX10" s="533">
        <v>1.0</v>
      </c>
      <c r="AY10" s="529">
        <f t="shared" si="11"/>
        <v>1</v>
      </c>
      <c r="AZ10" s="532" t="s">
        <v>90</v>
      </c>
      <c r="BA10" s="533">
        <v>3.0</v>
      </c>
      <c r="BB10" s="533"/>
      <c r="BC10" s="530">
        <f t="shared" si="12"/>
        <v>3</v>
      </c>
      <c r="BD10" s="514"/>
      <c r="BE10" s="532"/>
      <c r="BF10" s="533"/>
      <c r="BG10" s="533"/>
      <c r="BH10" s="529">
        <f t="shared" si="13"/>
        <v>0</v>
      </c>
      <c r="BI10" s="532"/>
      <c r="BJ10" s="533"/>
      <c r="BK10" s="533"/>
      <c r="BL10" s="530">
        <f t="shared" si="14"/>
        <v>0</v>
      </c>
      <c r="BM10" s="516"/>
      <c r="BN10" s="504"/>
    </row>
    <row r="11">
      <c r="A11" s="504"/>
      <c r="B11" s="514"/>
      <c r="C11" s="536" t="s">
        <v>124</v>
      </c>
      <c r="D11" s="537"/>
      <c r="E11" s="537"/>
      <c r="F11" s="529">
        <f t="shared" si="1"/>
        <v>0</v>
      </c>
      <c r="G11" s="536" t="s">
        <v>175</v>
      </c>
      <c r="H11" s="537"/>
      <c r="I11" s="537">
        <v>1.0</v>
      </c>
      <c r="J11" s="530">
        <f t="shared" si="2"/>
        <v>-1</v>
      </c>
      <c r="K11" s="514"/>
      <c r="L11" s="536" t="s">
        <v>176</v>
      </c>
      <c r="M11" s="537"/>
      <c r="N11" s="537">
        <v>1.0</v>
      </c>
      <c r="O11" s="529">
        <f t="shared" si="3"/>
        <v>-1</v>
      </c>
      <c r="P11" s="536" t="s">
        <v>123</v>
      </c>
      <c r="Q11" s="537">
        <v>3.0</v>
      </c>
      <c r="R11" s="537"/>
      <c r="S11" s="530">
        <f t="shared" si="4"/>
        <v>3</v>
      </c>
      <c r="T11" s="514"/>
      <c r="U11" s="536" t="s">
        <v>83</v>
      </c>
      <c r="V11" s="537"/>
      <c r="W11" s="537">
        <v>1.0</v>
      </c>
      <c r="X11" s="529">
        <f t="shared" si="5"/>
        <v>-1</v>
      </c>
      <c r="Y11" s="536" t="s">
        <v>144</v>
      </c>
      <c r="Z11" s="537"/>
      <c r="AA11" s="537"/>
      <c r="AB11" s="530">
        <f t="shared" si="6"/>
        <v>0</v>
      </c>
      <c r="AC11" s="514"/>
      <c r="AD11" s="536" t="s">
        <v>146</v>
      </c>
      <c r="AE11" s="537">
        <v>1.0</v>
      </c>
      <c r="AF11" s="537">
        <v>1.0</v>
      </c>
      <c r="AG11" s="529">
        <f t="shared" si="7"/>
        <v>0</v>
      </c>
      <c r="AH11" s="536" t="s">
        <v>195</v>
      </c>
      <c r="AI11" s="537">
        <v>0.0</v>
      </c>
      <c r="AJ11" s="537">
        <v>1.0</v>
      </c>
      <c r="AK11" s="530">
        <f t="shared" si="8"/>
        <v>-1</v>
      </c>
      <c r="AL11" s="514"/>
      <c r="AM11" s="536"/>
      <c r="AN11" s="537"/>
      <c r="AO11" s="537"/>
      <c r="AP11" s="529">
        <f t="shared" si="9"/>
        <v>0</v>
      </c>
      <c r="AQ11" s="536"/>
      <c r="AR11" s="537"/>
      <c r="AS11" s="537"/>
      <c r="AT11" s="530">
        <f t="shared" si="10"/>
        <v>0</v>
      </c>
      <c r="AU11" s="514"/>
      <c r="AV11" s="536" t="s">
        <v>146</v>
      </c>
      <c r="AW11" s="537">
        <v>1.0</v>
      </c>
      <c r="AX11" s="537">
        <v>1.0</v>
      </c>
      <c r="AY11" s="529">
        <f t="shared" si="11"/>
        <v>0</v>
      </c>
      <c r="AZ11" s="536" t="s">
        <v>104</v>
      </c>
      <c r="BA11" s="537"/>
      <c r="BB11" s="537">
        <v>1.0</v>
      </c>
      <c r="BC11" s="530">
        <f t="shared" si="12"/>
        <v>-1</v>
      </c>
      <c r="BD11" s="514"/>
      <c r="BE11" s="536"/>
      <c r="BF11" s="537"/>
      <c r="BG11" s="537"/>
      <c r="BH11" s="529">
        <f t="shared" si="13"/>
        <v>0</v>
      </c>
      <c r="BI11" s="536"/>
      <c r="BJ11" s="537"/>
      <c r="BK11" s="537"/>
      <c r="BL11" s="530">
        <f t="shared" si="14"/>
        <v>0</v>
      </c>
      <c r="BM11" s="516"/>
      <c r="BN11" s="504"/>
    </row>
    <row r="12">
      <c r="A12" s="504"/>
      <c r="B12" s="514"/>
      <c r="C12" s="538" t="s">
        <v>270</v>
      </c>
      <c r="D12" s="539">
        <f>SUM(F6:F11)</f>
        <v>6</v>
      </c>
      <c r="E12" s="231"/>
      <c r="F12" s="231"/>
      <c r="G12" s="538" t="s">
        <v>270</v>
      </c>
      <c r="H12" s="539">
        <f>SUM(J6:J11)</f>
        <v>-6</v>
      </c>
      <c r="I12" s="231"/>
      <c r="J12" s="540"/>
      <c r="K12" s="514"/>
      <c r="L12" s="538" t="s">
        <v>270</v>
      </c>
      <c r="M12" s="539">
        <f>SUM(O6:O11)</f>
        <v>-2</v>
      </c>
      <c r="N12" s="231"/>
      <c r="O12" s="231"/>
      <c r="P12" s="538" t="s">
        <v>270</v>
      </c>
      <c r="Q12" s="539">
        <f>SUM(S6:S11)</f>
        <v>2</v>
      </c>
      <c r="R12" s="231"/>
      <c r="S12" s="540"/>
      <c r="T12" s="514"/>
      <c r="U12" s="538" t="s">
        <v>270</v>
      </c>
      <c r="V12" s="539">
        <f>SUM(X6:X11)</f>
        <v>-3</v>
      </c>
      <c r="W12" s="231"/>
      <c r="X12" s="231"/>
      <c r="Y12" s="538" t="s">
        <v>270</v>
      </c>
      <c r="Z12" s="539">
        <f>SUM(AB6:AB11)</f>
        <v>3</v>
      </c>
      <c r="AA12" s="231"/>
      <c r="AB12" s="540"/>
      <c r="AC12" s="514"/>
      <c r="AD12" s="538" t="s">
        <v>270</v>
      </c>
      <c r="AE12" s="539">
        <f>SUM(AG6:AG11)</f>
        <v>-2</v>
      </c>
      <c r="AF12" s="231"/>
      <c r="AG12" s="231"/>
      <c r="AH12" s="538" t="s">
        <v>270</v>
      </c>
      <c r="AI12" s="539">
        <f>SUM(AK6:AK11)</f>
        <v>2</v>
      </c>
      <c r="AJ12" s="231"/>
      <c r="AK12" s="540"/>
      <c r="AL12" s="514"/>
      <c r="AM12" s="538" t="s">
        <v>270</v>
      </c>
      <c r="AN12" s="539">
        <f>SUM(AP6:AP11)</f>
        <v>0</v>
      </c>
      <c r="AO12" s="231"/>
      <c r="AP12" s="231"/>
      <c r="AQ12" s="538" t="s">
        <v>270</v>
      </c>
      <c r="AR12" s="539">
        <f>SUM(AT6:AT11)</f>
        <v>0</v>
      </c>
      <c r="AS12" s="231"/>
      <c r="AT12" s="540"/>
      <c r="AU12" s="514"/>
      <c r="AV12" s="538" t="s">
        <v>270</v>
      </c>
      <c r="AW12" s="539">
        <f>SUM(AY6:AY11)</f>
        <v>-1</v>
      </c>
      <c r="AX12" s="231"/>
      <c r="AY12" s="231"/>
      <c r="AZ12" s="538" t="s">
        <v>270</v>
      </c>
      <c r="BA12" s="539">
        <f>SUM(BC6:BC11)</f>
        <v>1</v>
      </c>
      <c r="BB12" s="231"/>
      <c r="BC12" s="540"/>
      <c r="BD12" s="514"/>
      <c r="BE12" s="538" t="s">
        <v>270</v>
      </c>
      <c r="BF12" s="539">
        <f>SUM(BH6:BH11)</f>
        <v>0</v>
      </c>
      <c r="BG12" s="231"/>
      <c r="BH12" s="231"/>
      <c r="BI12" s="538" t="s">
        <v>270</v>
      </c>
      <c r="BJ12" s="539">
        <f>SUM(BL6:BL11)</f>
        <v>0</v>
      </c>
      <c r="BK12" s="231"/>
      <c r="BL12" s="540"/>
      <c r="BM12" s="516"/>
      <c r="BN12" s="504"/>
    </row>
    <row r="13">
      <c r="A13" s="2"/>
      <c r="B13" s="542"/>
      <c r="C13" s="543" t="s">
        <v>274</v>
      </c>
      <c r="D13" s="188"/>
      <c r="E13" s="188"/>
      <c r="F13" s="544"/>
      <c r="G13" s="547" t="s">
        <v>276</v>
      </c>
      <c r="H13" s="188"/>
      <c r="I13" s="188"/>
      <c r="J13" s="191"/>
      <c r="K13" s="548"/>
      <c r="L13" s="543" t="s">
        <v>274</v>
      </c>
      <c r="M13" s="188"/>
      <c r="N13" s="188"/>
      <c r="O13" s="544"/>
      <c r="P13" s="547" t="s">
        <v>279</v>
      </c>
      <c r="Q13" s="188"/>
      <c r="R13" s="188"/>
      <c r="S13" s="191"/>
      <c r="T13" s="548"/>
      <c r="U13" s="543" t="s">
        <v>274</v>
      </c>
      <c r="V13" s="188"/>
      <c r="W13" s="188"/>
      <c r="X13" s="544"/>
      <c r="Y13" s="547" t="s">
        <v>281</v>
      </c>
      <c r="Z13" s="188"/>
      <c r="AA13" s="188"/>
      <c r="AB13" s="191"/>
      <c r="AC13" s="548"/>
      <c r="AD13" s="543" t="s">
        <v>274</v>
      </c>
      <c r="AE13" s="188"/>
      <c r="AF13" s="188"/>
      <c r="AG13" s="544"/>
      <c r="AH13" s="543"/>
      <c r="AI13" s="188"/>
      <c r="AJ13" s="188"/>
      <c r="AK13" s="191"/>
      <c r="AL13" s="548"/>
      <c r="AM13" s="543" t="s">
        <v>274</v>
      </c>
      <c r="AN13" s="188"/>
      <c r="AO13" s="188"/>
      <c r="AP13" s="544"/>
      <c r="AQ13" s="543"/>
      <c r="AR13" s="188"/>
      <c r="AS13" s="188"/>
      <c r="AT13" s="191"/>
      <c r="AU13" s="548"/>
      <c r="AV13" s="543" t="s">
        <v>274</v>
      </c>
      <c r="AW13" s="188"/>
      <c r="AX13" s="188"/>
      <c r="AY13" s="544"/>
      <c r="AZ13" s="543"/>
      <c r="BA13" s="188"/>
      <c r="BB13" s="188"/>
      <c r="BC13" s="191"/>
      <c r="BD13" s="548"/>
      <c r="BE13" s="543" t="s">
        <v>274</v>
      </c>
      <c r="BF13" s="188"/>
      <c r="BG13" s="188"/>
      <c r="BH13" s="544"/>
      <c r="BI13" s="543"/>
      <c r="BJ13" s="188"/>
      <c r="BK13" s="188"/>
      <c r="BL13" s="191"/>
      <c r="BM13" s="552"/>
      <c r="BN13" s="2"/>
    </row>
    <row r="14">
      <c r="A14" s="2"/>
      <c r="B14" s="542"/>
      <c r="C14" s="553" t="s">
        <v>284</v>
      </c>
      <c r="D14" s="231"/>
      <c r="E14" s="231"/>
      <c r="F14" s="540"/>
      <c r="G14" s="555" t="str">
        <f>IF(D12&gt;H12,C5,IF(D12=H12,"",G5))</f>
        <v>Ryan Tidey</v>
      </c>
      <c r="H14" s="231"/>
      <c r="I14" s="231"/>
      <c r="J14" s="540"/>
      <c r="K14" s="542"/>
      <c r="L14" s="553" t="s">
        <v>284</v>
      </c>
      <c r="M14" s="231"/>
      <c r="N14" s="231"/>
      <c r="O14" s="540"/>
      <c r="P14" s="555" t="str">
        <f>IF(M12&gt;Q12,L5,IF(M12=Q12,"",P5))</f>
        <v>Marcus</v>
      </c>
      <c r="Q14" s="231"/>
      <c r="R14" s="231"/>
      <c r="S14" s="540"/>
      <c r="T14" s="542"/>
      <c r="U14" s="553" t="s">
        <v>284</v>
      </c>
      <c r="V14" s="231"/>
      <c r="W14" s="231"/>
      <c r="X14" s="540"/>
      <c r="Y14" s="555" t="str">
        <f>IF(V12&gt;Z12,U5,IF(V12=Z12,"",Y5))</f>
        <v>Ian Heslin</v>
      </c>
      <c r="Z14" s="231"/>
      <c r="AA14" s="231"/>
      <c r="AB14" s="540"/>
      <c r="AC14" s="542"/>
      <c r="AD14" s="553" t="s">
        <v>284</v>
      </c>
      <c r="AE14" s="231"/>
      <c r="AF14" s="231"/>
      <c r="AG14" s="540"/>
      <c r="AH14" s="555" t="str">
        <f>IF(AE12&gt;AI12,AD5,IF(AE12=AI12,"",AH5))</f>
        <v>Ryan Evans</v>
      </c>
      <c r="AI14" s="231"/>
      <c r="AJ14" s="231"/>
      <c r="AK14" s="540"/>
      <c r="AL14" s="542"/>
      <c r="AM14" s="553" t="s">
        <v>284</v>
      </c>
      <c r="AN14" s="231"/>
      <c r="AO14" s="231"/>
      <c r="AP14" s="540"/>
      <c r="AQ14" s="555" t="str">
        <f>IF(AN12&gt;AR12,AM5,IF(AN12=AR12,"",AQ5))</f>
        <v/>
      </c>
      <c r="AR14" s="231"/>
      <c r="AS14" s="231"/>
      <c r="AT14" s="540"/>
      <c r="AU14" s="542"/>
      <c r="AV14" s="553" t="s">
        <v>284</v>
      </c>
      <c r="AW14" s="231"/>
      <c r="AX14" s="231"/>
      <c r="AY14" s="540"/>
      <c r="AZ14" s="555" t="str">
        <f>IF(AW12&gt;BA12,AV5,IF(AW12=BA12,"",AZ5))</f>
        <v>Jackson McLoughlin</v>
      </c>
      <c r="BA14" s="231"/>
      <c r="BB14" s="231"/>
      <c r="BC14" s="540"/>
      <c r="BD14" s="542"/>
      <c r="BE14" s="553" t="s">
        <v>284</v>
      </c>
      <c r="BF14" s="231"/>
      <c r="BG14" s="231"/>
      <c r="BH14" s="540"/>
      <c r="BI14" s="555" t="str">
        <f>IF(BF12&gt;BJ12,BE5,IF(BF12=BJ12,"",BI5))</f>
        <v/>
      </c>
      <c r="BJ14" s="231"/>
      <c r="BK14" s="231"/>
      <c r="BL14" s="540"/>
      <c r="BM14" s="561"/>
      <c r="BN14" s="2"/>
    </row>
    <row r="15" ht="7.5" customHeight="1">
      <c r="A15" s="504"/>
      <c r="B15" s="514"/>
      <c r="C15" s="515"/>
      <c r="D15" s="562"/>
      <c r="E15" s="562"/>
      <c r="F15" s="562"/>
      <c r="G15" s="562"/>
      <c r="H15" s="562"/>
      <c r="I15" s="562"/>
      <c r="J15" s="563"/>
      <c r="K15" s="515"/>
      <c r="L15" s="515"/>
      <c r="M15" s="562"/>
      <c r="N15" s="562"/>
      <c r="O15" s="562"/>
      <c r="P15" s="562"/>
      <c r="Q15" s="562"/>
      <c r="R15" s="562"/>
      <c r="S15" s="563"/>
      <c r="T15" s="515"/>
      <c r="U15" s="515"/>
      <c r="V15" s="562"/>
      <c r="W15" s="562"/>
      <c r="X15" s="562"/>
      <c r="Y15" s="562"/>
      <c r="Z15" s="562"/>
      <c r="AA15" s="562"/>
      <c r="AB15" s="563"/>
      <c r="AC15" s="515"/>
      <c r="AD15" s="515"/>
      <c r="AE15" s="562"/>
      <c r="AF15" s="562"/>
      <c r="AG15" s="562"/>
      <c r="AH15" s="562"/>
      <c r="AI15" s="562"/>
      <c r="AJ15" s="562"/>
      <c r="AK15" s="563"/>
      <c r="AL15" s="515"/>
      <c r="AM15" s="515"/>
      <c r="AN15" s="562"/>
      <c r="AO15" s="562"/>
      <c r="AP15" s="562"/>
      <c r="AQ15" s="562"/>
      <c r="AR15" s="562"/>
      <c r="AS15" s="562"/>
      <c r="AT15" s="563"/>
      <c r="AU15" s="515"/>
      <c r="AV15" s="515"/>
      <c r="AW15" s="562"/>
      <c r="AX15" s="562"/>
      <c r="AY15" s="562"/>
      <c r="AZ15" s="562"/>
      <c r="BA15" s="562"/>
      <c r="BB15" s="562"/>
      <c r="BC15" s="563"/>
      <c r="BD15" s="515"/>
      <c r="BE15" s="515"/>
      <c r="BF15" s="562"/>
      <c r="BG15" s="562"/>
      <c r="BH15" s="562"/>
      <c r="BI15" s="562"/>
      <c r="BJ15" s="562"/>
      <c r="BK15" s="562"/>
      <c r="BL15" s="562"/>
      <c r="BM15" s="516"/>
      <c r="BN15" s="504"/>
    </row>
    <row r="16">
      <c r="A16" s="504"/>
      <c r="B16" s="514"/>
      <c r="C16" s="517" t="str">
        <f>Schedule!$C$8</f>
        <v>Marcus</v>
      </c>
      <c r="D16" s="564" t="s">
        <v>76</v>
      </c>
      <c r="E16" s="565" t="s">
        <v>77</v>
      </c>
      <c r="F16" s="565" t="s">
        <v>78</v>
      </c>
      <c r="G16" s="566" t="str">
        <f>Schedule!$G$8</f>
        <v>Dick Hansen</v>
      </c>
      <c r="H16" s="567" t="s">
        <v>76</v>
      </c>
      <c r="I16" s="568" t="s">
        <v>77</v>
      </c>
      <c r="J16" s="569" t="s">
        <v>78</v>
      </c>
      <c r="K16" s="514"/>
      <c r="L16" s="517" t="str">
        <f>Schedule!$C$14</f>
        <v>Ian Heslin</v>
      </c>
      <c r="M16" s="564" t="s">
        <v>76</v>
      </c>
      <c r="N16" s="565" t="s">
        <v>77</v>
      </c>
      <c r="O16" s="565" t="s">
        <v>78</v>
      </c>
      <c r="P16" s="566" t="str">
        <f>Schedule!$G$14</f>
        <v>Tyler Gottfredsen</v>
      </c>
      <c r="Q16" s="567" t="s">
        <v>76</v>
      </c>
      <c r="R16" s="568" t="s">
        <v>77</v>
      </c>
      <c r="S16" s="569" t="s">
        <v>78</v>
      </c>
      <c r="T16" s="514"/>
      <c r="U16" s="517" t="str">
        <f>Schedule!$C$20</f>
        <v>Marcus</v>
      </c>
      <c r="V16" s="564" t="s">
        <v>76</v>
      </c>
      <c r="W16" s="565" t="s">
        <v>77</v>
      </c>
      <c r="X16" s="565" t="s">
        <v>78</v>
      </c>
      <c r="Y16" s="566" t="str">
        <f>Schedule!$G$20</f>
        <v>Ryan Evans</v>
      </c>
      <c r="Z16" s="567" t="s">
        <v>76</v>
      </c>
      <c r="AA16" s="568" t="s">
        <v>77</v>
      </c>
      <c r="AB16" s="569" t="s">
        <v>78</v>
      </c>
      <c r="AC16" s="514"/>
      <c r="AD16" s="517" t="str">
        <f>Schedule!$C$26</f>
        <v>Ian Heslin</v>
      </c>
      <c r="AE16" s="564" t="s">
        <v>76</v>
      </c>
      <c r="AF16" s="565" t="s">
        <v>77</v>
      </c>
      <c r="AG16" s="565" t="s">
        <v>78</v>
      </c>
      <c r="AH16" s="566" t="str">
        <f>Schedule!$G$26</f>
        <v>Zach VanSickle</v>
      </c>
      <c r="AI16" s="567" t="s">
        <v>76</v>
      </c>
      <c r="AJ16" s="568" t="s">
        <v>77</v>
      </c>
      <c r="AK16" s="569" t="s">
        <v>78</v>
      </c>
      <c r="AL16" s="514"/>
      <c r="AM16" s="517" t="str">
        <f>Schedule!$C$32</f>
        <v>Ryan Evans</v>
      </c>
      <c r="AN16" s="564" t="s">
        <v>76</v>
      </c>
      <c r="AO16" s="565" t="s">
        <v>77</v>
      </c>
      <c r="AP16" s="565" t="s">
        <v>78</v>
      </c>
      <c r="AQ16" s="566" t="str">
        <f>Schedule!$G$32</f>
        <v>Jackson McLoughlin</v>
      </c>
      <c r="AR16" s="567" t="s">
        <v>76</v>
      </c>
      <c r="AS16" s="568" t="s">
        <v>77</v>
      </c>
      <c r="AT16" s="569" t="s">
        <v>78</v>
      </c>
      <c r="AU16" s="514"/>
      <c r="AV16" s="517" t="str">
        <f>Schedule!$C$38</f>
        <v>Dick Hansen</v>
      </c>
      <c r="AW16" s="564" t="s">
        <v>76</v>
      </c>
      <c r="AX16" s="565" t="s">
        <v>77</v>
      </c>
      <c r="AY16" s="565" t="s">
        <v>78</v>
      </c>
      <c r="AZ16" s="566" t="str">
        <f>Schedule!$G$38</f>
        <v>Zach VanSickle</v>
      </c>
      <c r="BA16" s="567" t="s">
        <v>76</v>
      </c>
      <c r="BB16" s="568" t="s">
        <v>77</v>
      </c>
      <c r="BC16" s="569" t="s">
        <v>78</v>
      </c>
      <c r="BD16" s="514"/>
      <c r="BE16" s="517" t="str">
        <f>Schedule!$C$44</f>
        <v>Tyler Gottfredsen</v>
      </c>
      <c r="BF16" s="564" t="s">
        <v>76</v>
      </c>
      <c r="BG16" s="565" t="s">
        <v>77</v>
      </c>
      <c r="BH16" s="565" t="s">
        <v>78</v>
      </c>
      <c r="BI16" s="566" t="str">
        <f>Schedule!$G$44</f>
        <v>Jackson McLoughlin</v>
      </c>
      <c r="BJ16" s="567" t="s">
        <v>76</v>
      </c>
      <c r="BK16" s="568" t="s">
        <v>77</v>
      </c>
      <c r="BL16" s="569" t="s">
        <v>78</v>
      </c>
      <c r="BM16" s="516"/>
      <c r="BN16" s="504"/>
    </row>
    <row r="17">
      <c r="A17" s="504"/>
      <c r="B17" s="514"/>
      <c r="C17" s="526" t="s">
        <v>156</v>
      </c>
      <c r="D17" s="572">
        <v>1.0</v>
      </c>
      <c r="E17" s="572"/>
      <c r="F17" s="529">
        <f t="shared" ref="F17:F22" si="15">D17-E17</f>
        <v>1</v>
      </c>
      <c r="G17" s="573" t="s">
        <v>245</v>
      </c>
      <c r="H17" s="572"/>
      <c r="I17" s="572">
        <v>1.0</v>
      </c>
      <c r="J17" s="530">
        <f t="shared" ref="J17:J22" si="16">H17-I17</f>
        <v>-1</v>
      </c>
      <c r="K17" s="514"/>
      <c r="L17" s="526" t="s">
        <v>144</v>
      </c>
      <c r="M17" s="572">
        <v>1.0</v>
      </c>
      <c r="N17" s="572">
        <v>1.0</v>
      </c>
      <c r="O17" s="529">
        <f t="shared" ref="O17:O22" si="17">M17-N17</f>
        <v>0</v>
      </c>
      <c r="P17" s="573" t="s">
        <v>244</v>
      </c>
      <c r="Q17" s="572"/>
      <c r="R17" s="572">
        <v>1.0</v>
      </c>
      <c r="S17" s="530">
        <f t="shared" ref="S17:S22" si="18">Q17-R17</f>
        <v>-1</v>
      </c>
      <c r="T17" s="514"/>
      <c r="U17" s="526" t="s">
        <v>229</v>
      </c>
      <c r="V17" s="572">
        <v>0.0</v>
      </c>
      <c r="W17" s="572">
        <v>1.0</v>
      </c>
      <c r="X17" s="529">
        <f t="shared" ref="X17:X22" si="19">V17-W17</f>
        <v>-1</v>
      </c>
      <c r="Y17" s="573" t="s">
        <v>195</v>
      </c>
      <c r="Z17" s="572">
        <v>0.0</v>
      </c>
      <c r="AA17" s="572">
        <v>0.0</v>
      </c>
      <c r="AB17" s="530">
        <f t="shared" ref="AB17:AB22" si="20">Z17-AA17</f>
        <v>0</v>
      </c>
      <c r="AC17" s="514"/>
      <c r="AD17" s="526" t="s">
        <v>79</v>
      </c>
      <c r="AE17" s="572">
        <v>3.0</v>
      </c>
      <c r="AF17" s="572">
        <v>1.0</v>
      </c>
      <c r="AG17" s="529">
        <f t="shared" ref="AG17:AG22" si="21">AE17-AF17</f>
        <v>2</v>
      </c>
      <c r="AH17" s="573" t="s">
        <v>300</v>
      </c>
      <c r="AI17" s="572">
        <v>0.0</v>
      </c>
      <c r="AJ17" s="572">
        <v>1.0</v>
      </c>
      <c r="AK17" s="530">
        <f t="shared" ref="AK17:AK22" si="22">AI17-AJ17</f>
        <v>-1</v>
      </c>
      <c r="AL17" s="514"/>
      <c r="AM17" s="526" t="s">
        <v>113</v>
      </c>
      <c r="AN17" s="572">
        <v>1.0</v>
      </c>
      <c r="AO17" s="572">
        <v>1.0</v>
      </c>
      <c r="AP17" s="529">
        <f t="shared" ref="AP17:AP22" si="23">AN17-AO17</f>
        <v>0</v>
      </c>
      <c r="AQ17" s="573" t="s">
        <v>97</v>
      </c>
      <c r="AR17" s="572"/>
      <c r="AS17" s="572">
        <v>1.0</v>
      </c>
      <c r="AT17" s="530">
        <f t="shared" ref="AT17:AT22" si="24">AR17-AS17</f>
        <v>-1</v>
      </c>
      <c r="AU17" s="514"/>
      <c r="AV17" s="526"/>
      <c r="AW17" s="572"/>
      <c r="AX17" s="572"/>
      <c r="AY17" s="529">
        <f t="shared" ref="AY17:AY22" si="25">AW17-AX17</f>
        <v>0</v>
      </c>
      <c r="AZ17" s="573"/>
      <c r="BA17" s="572"/>
      <c r="BB17" s="572"/>
      <c r="BC17" s="530">
        <f t="shared" ref="BC17:BC22" si="26">BA17-BB17</f>
        <v>0</v>
      </c>
      <c r="BD17" s="514"/>
      <c r="BE17" s="526"/>
      <c r="BF17" s="572"/>
      <c r="BG17" s="572"/>
      <c r="BH17" s="529">
        <f t="shared" ref="BH17:BH22" si="27">BF17-BG17</f>
        <v>0</v>
      </c>
      <c r="BI17" s="573"/>
      <c r="BJ17" s="572"/>
      <c r="BK17" s="572"/>
      <c r="BL17" s="530">
        <f t="shared" ref="BL17:BL22" si="28">BJ17-BK17</f>
        <v>0</v>
      </c>
      <c r="BM17" s="516"/>
      <c r="BN17" s="504"/>
    </row>
    <row r="18">
      <c r="A18" s="504"/>
      <c r="B18" s="514"/>
      <c r="C18" s="532" t="s">
        <v>102</v>
      </c>
      <c r="D18" s="580">
        <v>3.0</v>
      </c>
      <c r="E18" s="580"/>
      <c r="F18" s="529">
        <f t="shared" si="15"/>
        <v>3</v>
      </c>
      <c r="G18" s="581" t="s">
        <v>149</v>
      </c>
      <c r="H18" s="580"/>
      <c r="I18" s="580">
        <v>1.0</v>
      </c>
      <c r="J18" s="530">
        <f t="shared" si="16"/>
        <v>-1</v>
      </c>
      <c r="K18" s="514"/>
      <c r="L18" s="532" t="s">
        <v>301</v>
      </c>
      <c r="M18" s="580"/>
      <c r="N18" s="580"/>
      <c r="O18" s="529">
        <f t="shared" si="17"/>
        <v>0</v>
      </c>
      <c r="P18" s="581" t="s">
        <v>153</v>
      </c>
      <c r="Q18" s="580"/>
      <c r="R18" s="580">
        <v>1.0</v>
      </c>
      <c r="S18" s="530">
        <f t="shared" si="18"/>
        <v>-1</v>
      </c>
      <c r="T18" s="514"/>
      <c r="U18" s="532" t="s">
        <v>109</v>
      </c>
      <c r="V18" s="580">
        <v>0.0</v>
      </c>
      <c r="W18" s="580">
        <v>1.0</v>
      </c>
      <c r="X18" s="529">
        <f t="shared" si="19"/>
        <v>-1</v>
      </c>
      <c r="Y18" s="581" t="s">
        <v>85</v>
      </c>
      <c r="Z18" s="580">
        <v>2.0</v>
      </c>
      <c r="AA18" s="580">
        <v>1.0</v>
      </c>
      <c r="AB18" s="530">
        <f t="shared" si="20"/>
        <v>1</v>
      </c>
      <c r="AC18" s="514"/>
      <c r="AD18" s="532" t="s">
        <v>144</v>
      </c>
      <c r="AE18" s="580">
        <v>0.0</v>
      </c>
      <c r="AF18" s="580">
        <v>0.0</v>
      </c>
      <c r="AG18" s="529">
        <f t="shared" si="21"/>
        <v>0</v>
      </c>
      <c r="AH18" s="581" t="s">
        <v>137</v>
      </c>
      <c r="AI18" s="580">
        <v>1.0</v>
      </c>
      <c r="AJ18" s="580">
        <v>1.0</v>
      </c>
      <c r="AK18" s="530">
        <f t="shared" si="22"/>
        <v>0</v>
      </c>
      <c r="AL18" s="514"/>
      <c r="AM18" s="532" t="s">
        <v>114</v>
      </c>
      <c r="AN18" s="580">
        <v>0.0</v>
      </c>
      <c r="AO18" s="580">
        <v>1.0</v>
      </c>
      <c r="AP18" s="529">
        <f t="shared" si="23"/>
        <v>-1</v>
      </c>
      <c r="AQ18" s="581" t="s">
        <v>170</v>
      </c>
      <c r="AR18" s="580"/>
      <c r="AS18" s="580"/>
      <c r="AT18" s="530">
        <f t="shared" si="24"/>
        <v>0</v>
      </c>
      <c r="AU18" s="514"/>
      <c r="AV18" s="532"/>
      <c r="AW18" s="580"/>
      <c r="AX18" s="580"/>
      <c r="AY18" s="529">
        <f t="shared" si="25"/>
        <v>0</v>
      </c>
      <c r="AZ18" s="581"/>
      <c r="BA18" s="580"/>
      <c r="BB18" s="580"/>
      <c r="BC18" s="530">
        <f t="shared" si="26"/>
        <v>0</v>
      </c>
      <c r="BD18" s="514"/>
      <c r="BE18" s="532"/>
      <c r="BF18" s="580"/>
      <c r="BG18" s="580"/>
      <c r="BH18" s="529">
        <f t="shared" si="27"/>
        <v>0</v>
      </c>
      <c r="BI18" s="581"/>
      <c r="BJ18" s="580"/>
      <c r="BK18" s="580"/>
      <c r="BL18" s="530">
        <f t="shared" si="28"/>
        <v>0</v>
      </c>
      <c r="BM18" s="516"/>
      <c r="BN18" s="504"/>
    </row>
    <row r="19">
      <c r="A19" s="504"/>
      <c r="B19" s="514"/>
      <c r="C19" s="532"/>
      <c r="D19" s="580"/>
      <c r="E19" s="580"/>
      <c r="F19" s="529">
        <f t="shared" si="15"/>
        <v>0</v>
      </c>
      <c r="G19" s="581" t="s">
        <v>237</v>
      </c>
      <c r="H19" s="580"/>
      <c r="I19" s="580">
        <v>1.0</v>
      </c>
      <c r="J19" s="530">
        <f t="shared" si="16"/>
        <v>-1</v>
      </c>
      <c r="K19" s="514"/>
      <c r="L19" s="532" t="s">
        <v>99</v>
      </c>
      <c r="M19" s="580"/>
      <c r="N19" s="580"/>
      <c r="O19" s="529">
        <f t="shared" si="17"/>
        <v>0</v>
      </c>
      <c r="P19" s="581" t="s">
        <v>186</v>
      </c>
      <c r="Q19" s="580"/>
      <c r="R19" s="580">
        <v>1.0</v>
      </c>
      <c r="S19" s="530">
        <f t="shared" si="18"/>
        <v>-1</v>
      </c>
      <c r="T19" s="514"/>
      <c r="U19" s="532" t="s">
        <v>102</v>
      </c>
      <c r="V19" s="580">
        <v>2.0</v>
      </c>
      <c r="W19" s="580">
        <v>1.0</v>
      </c>
      <c r="X19" s="529">
        <f t="shared" si="19"/>
        <v>1</v>
      </c>
      <c r="Y19" s="581" t="s">
        <v>302</v>
      </c>
      <c r="Z19" s="580">
        <v>2.0</v>
      </c>
      <c r="AA19" s="580">
        <v>0.0</v>
      </c>
      <c r="AB19" s="530">
        <f t="shared" si="20"/>
        <v>2</v>
      </c>
      <c r="AC19" s="514"/>
      <c r="AD19" s="532" t="s">
        <v>303</v>
      </c>
      <c r="AE19" s="580">
        <v>0.0</v>
      </c>
      <c r="AF19" s="580">
        <v>0.0</v>
      </c>
      <c r="AG19" s="529">
        <f t="shared" si="21"/>
        <v>0</v>
      </c>
      <c r="AH19" s="581" t="s">
        <v>133</v>
      </c>
      <c r="AI19" s="580">
        <v>0.0</v>
      </c>
      <c r="AJ19" s="580">
        <v>1.0</v>
      </c>
      <c r="AK19" s="530">
        <f t="shared" si="22"/>
        <v>-1</v>
      </c>
      <c r="AL19" s="514"/>
      <c r="AM19" s="532" t="s">
        <v>85</v>
      </c>
      <c r="AN19" s="580">
        <v>0.0</v>
      </c>
      <c r="AO19" s="580">
        <v>1.0</v>
      </c>
      <c r="AP19" s="529">
        <f t="shared" si="23"/>
        <v>-1</v>
      </c>
      <c r="AQ19" s="581" t="s">
        <v>304</v>
      </c>
      <c r="AR19" s="580">
        <v>2.0</v>
      </c>
      <c r="AS19" s="580"/>
      <c r="AT19" s="530">
        <f t="shared" si="24"/>
        <v>2</v>
      </c>
      <c r="AU19" s="514"/>
      <c r="AV19" s="532"/>
      <c r="AW19" s="580"/>
      <c r="AX19" s="580"/>
      <c r="AY19" s="529">
        <f t="shared" si="25"/>
        <v>0</v>
      </c>
      <c r="AZ19" s="581"/>
      <c r="BA19" s="580"/>
      <c r="BB19" s="580"/>
      <c r="BC19" s="530">
        <f t="shared" si="26"/>
        <v>0</v>
      </c>
      <c r="BD19" s="514"/>
      <c r="BE19" s="532"/>
      <c r="BF19" s="580"/>
      <c r="BG19" s="580"/>
      <c r="BH19" s="529">
        <f t="shared" si="27"/>
        <v>0</v>
      </c>
      <c r="BI19" s="581"/>
      <c r="BJ19" s="580"/>
      <c r="BK19" s="580"/>
      <c r="BL19" s="530">
        <f t="shared" si="28"/>
        <v>0</v>
      </c>
      <c r="BM19" s="516"/>
      <c r="BN19" s="504"/>
    </row>
    <row r="20">
      <c r="A20" s="504"/>
      <c r="B20" s="514"/>
      <c r="C20" s="532"/>
      <c r="D20" s="580"/>
      <c r="E20" s="580"/>
      <c r="F20" s="529">
        <f t="shared" si="15"/>
        <v>0</v>
      </c>
      <c r="G20" s="581" t="s">
        <v>243</v>
      </c>
      <c r="H20" s="580"/>
      <c r="I20" s="580"/>
      <c r="J20" s="530">
        <f t="shared" si="16"/>
        <v>0</v>
      </c>
      <c r="K20" s="514"/>
      <c r="L20" s="532" t="s">
        <v>268</v>
      </c>
      <c r="M20" s="580">
        <v>2.0</v>
      </c>
      <c r="N20" s="580"/>
      <c r="O20" s="529">
        <f t="shared" si="17"/>
        <v>2</v>
      </c>
      <c r="P20" s="581" t="s">
        <v>112</v>
      </c>
      <c r="Q20" s="580">
        <v>1.0</v>
      </c>
      <c r="R20" s="580">
        <v>1.0</v>
      </c>
      <c r="S20" s="530">
        <f t="shared" si="18"/>
        <v>0</v>
      </c>
      <c r="T20" s="514"/>
      <c r="U20" s="532" t="s">
        <v>185</v>
      </c>
      <c r="V20" s="580">
        <v>1.0</v>
      </c>
      <c r="W20" s="580">
        <v>1.0</v>
      </c>
      <c r="X20" s="529">
        <f t="shared" si="19"/>
        <v>0</v>
      </c>
      <c r="Y20" s="581" t="s">
        <v>130</v>
      </c>
      <c r="Z20" s="580">
        <v>1.0</v>
      </c>
      <c r="AA20" s="580">
        <v>0.0</v>
      </c>
      <c r="AB20" s="530">
        <f t="shared" si="20"/>
        <v>1</v>
      </c>
      <c r="AC20" s="514"/>
      <c r="AD20" s="532" t="s">
        <v>268</v>
      </c>
      <c r="AE20" s="580">
        <v>0.0</v>
      </c>
      <c r="AF20" s="580">
        <v>0.0</v>
      </c>
      <c r="AG20" s="529">
        <f t="shared" si="21"/>
        <v>0</v>
      </c>
      <c r="AH20" s="581" t="s">
        <v>238</v>
      </c>
      <c r="AI20" s="580">
        <v>0.0</v>
      </c>
      <c r="AJ20" s="580">
        <v>1.0</v>
      </c>
      <c r="AK20" s="530">
        <f t="shared" si="22"/>
        <v>-1</v>
      </c>
      <c r="AL20" s="514"/>
      <c r="AM20" s="532" t="s">
        <v>302</v>
      </c>
      <c r="AN20" s="580">
        <v>1.0</v>
      </c>
      <c r="AO20" s="580">
        <v>1.0</v>
      </c>
      <c r="AP20" s="529">
        <f t="shared" si="23"/>
        <v>0</v>
      </c>
      <c r="AQ20" s="581" t="s">
        <v>90</v>
      </c>
      <c r="AR20" s="580">
        <v>1.0</v>
      </c>
      <c r="AS20" s="580"/>
      <c r="AT20" s="530">
        <f t="shared" si="24"/>
        <v>1</v>
      </c>
      <c r="AU20" s="514"/>
      <c r="AV20" s="532"/>
      <c r="AW20" s="580"/>
      <c r="AX20" s="580"/>
      <c r="AY20" s="529">
        <f t="shared" si="25"/>
        <v>0</v>
      </c>
      <c r="AZ20" s="581"/>
      <c r="BA20" s="580"/>
      <c r="BB20" s="580"/>
      <c r="BC20" s="530">
        <f t="shared" si="26"/>
        <v>0</v>
      </c>
      <c r="BD20" s="514"/>
      <c r="BE20" s="532"/>
      <c r="BF20" s="580"/>
      <c r="BG20" s="580"/>
      <c r="BH20" s="529">
        <f t="shared" si="27"/>
        <v>0</v>
      </c>
      <c r="BI20" s="581"/>
      <c r="BJ20" s="580"/>
      <c r="BK20" s="580"/>
      <c r="BL20" s="530">
        <f t="shared" si="28"/>
        <v>0</v>
      </c>
      <c r="BM20" s="516"/>
      <c r="BN20" s="504"/>
    </row>
    <row r="21">
      <c r="A21" s="504"/>
      <c r="B21" s="514"/>
      <c r="C21" s="532"/>
      <c r="D21" s="580"/>
      <c r="E21" s="580"/>
      <c r="F21" s="529">
        <f t="shared" si="15"/>
        <v>0</v>
      </c>
      <c r="G21" s="581" t="s">
        <v>246</v>
      </c>
      <c r="H21" s="580"/>
      <c r="I21" s="580"/>
      <c r="J21" s="530">
        <f t="shared" si="16"/>
        <v>0</v>
      </c>
      <c r="K21" s="514"/>
      <c r="L21" s="532" t="s">
        <v>96</v>
      </c>
      <c r="M21" s="580">
        <v>1.0</v>
      </c>
      <c r="N21" s="580">
        <v>1.0</v>
      </c>
      <c r="O21" s="529">
        <f t="shared" si="17"/>
        <v>0</v>
      </c>
      <c r="P21" s="581" t="s">
        <v>235</v>
      </c>
      <c r="Q21" s="580"/>
      <c r="R21" s="580">
        <v>1.0</v>
      </c>
      <c r="S21" s="530">
        <f t="shared" si="18"/>
        <v>-1</v>
      </c>
      <c r="T21" s="514"/>
      <c r="U21" s="532" t="s">
        <v>211</v>
      </c>
      <c r="V21" s="580">
        <v>0.0</v>
      </c>
      <c r="W21" s="580">
        <v>1.0</v>
      </c>
      <c r="X21" s="529">
        <f t="shared" si="19"/>
        <v>-1</v>
      </c>
      <c r="Y21" s="581" t="s">
        <v>147</v>
      </c>
      <c r="Z21" s="580">
        <v>0.0</v>
      </c>
      <c r="AA21" s="580">
        <v>1.0</v>
      </c>
      <c r="AB21" s="530">
        <f t="shared" si="20"/>
        <v>-1</v>
      </c>
      <c r="AC21" s="514"/>
      <c r="AD21" s="532" t="s">
        <v>305</v>
      </c>
      <c r="AE21" s="580">
        <v>2.0</v>
      </c>
      <c r="AF21" s="580">
        <v>0.0</v>
      </c>
      <c r="AG21" s="529">
        <f t="shared" si="21"/>
        <v>2</v>
      </c>
      <c r="AH21" s="581" t="s">
        <v>107</v>
      </c>
      <c r="AI21" s="580">
        <v>0.0</v>
      </c>
      <c r="AJ21" s="580">
        <v>1.0</v>
      </c>
      <c r="AK21" s="530">
        <f t="shared" si="22"/>
        <v>-1</v>
      </c>
      <c r="AL21" s="514"/>
      <c r="AM21" s="532" t="s">
        <v>195</v>
      </c>
      <c r="AN21" s="580">
        <v>1.0</v>
      </c>
      <c r="AO21" s="580">
        <v>1.0</v>
      </c>
      <c r="AP21" s="529">
        <f t="shared" si="23"/>
        <v>0</v>
      </c>
      <c r="AQ21" s="581" t="s">
        <v>104</v>
      </c>
      <c r="AR21" s="580">
        <v>1.0</v>
      </c>
      <c r="AS21" s="580">
        <v>1.0</v>
      </c>
      <c r="AT21" s="530">
        <f t="shared" si="24"/>
        <v>0</v>
      </c>
      <c r="AU21" s="514"/>
      <c r="AV21" s="532"/>
      <c r="AW21" s="580"/>
      <c r="AX21" s="580"/>
      <c r="AY21" s="529">
        <f t="shared" si="25"/>
        <v>0</v>
      </c>
      <c r="AZ21" s="581"/>
      <c r="BA21" s="580"/>
      <c r="BB21" s="580"/>
      <c r="BC21" s="530">
        <f t="shared" si="26"/>
        <v>0</v>
      </c>
      <c r="BD21" s="514"/>
      <c r="BE21" s="532"/>
      <c r="BF21" s="580"/>
      <c r="BG21" s="580"/>
      <c r="BH21" s="529">
        <f t="shared" si="27"/>
        <v>0</v>
      </c>
      <c r="BI21" s="581"/>
      <c r="BJ21" s="580"/>
      <c r="BK21" s="580"/>
      <c r="BL21" s="530">
        <f t="shared" si="28"/>
        <v>0</v>
      </c>
      <c r="BM21" s="516"/>
      <c r="BN21" s="504"/>
    </row>
    <row r="22">
      <c r="A22" s="504"/>
      <c r="B22" s="514"/>
      <c r="C22" s="536"/>
      <c r="D22" s="584"/>
      <c r="E22" s="584"/>
      <c r="F22" s="529">
        <f t="shared" si="15"/>
        <v>0</v>
      </c>
      <c r="G22" s="585"/>
      <c r="H22" s="584"/>
      <c r="I22" s="584"/>
      <c r="J22" s="530">
        <f t="shared" si="16"/>
        <v>0</v>
      </c>
      <c r="K22" s="514"/>
      <c r="L22" s="536" t="s">
        <v>135</v>
      </c>
      <c r="M22" s="584">
        <v>2.0</v>
      </c>
      <c r="N22" s="584"/>
      <c r="O22" s="529">
        <f t="shared" si="17"/>
        <v>2</v>
      </c>
      <c r="P22" s="585" t="s">
        <v>175</v>
      </c>
      <c r="Q22" s="584">
        <v>1.0</v>
      </c>
      <c r="R22" s="584">
        <v>1.0</v>
      </c>
      <c r="S22" s="530">
        <f t="shared" si="18"/>
        <v>0</v>
      </c>
      <c r="T22" s="514"/>
      <c r="U22" s="536" t="s">
        <v>156</v>
      </c>
      <c r="V22" s="584">
        <v>0.0</v>
      </c>
      <c r="W22" s="584">
        <v>1.0</v>
      </c>
      <c r="X22" s="529">
        <f t="shared" si="19"/>
        <v>-1</v>
      </c>
      <c r="Y22" s="585" t="s">
        <v>126</v>
      </c>
      <c r="Z22" s="584">
        <v>1.0</v>
      </c>
      <c r="AA22" s="584">
        <v>1.0</v>
      </c>
      <c r="AB22" s="530">
        <f t="shared" si="20"/>
        <v>0</v>
      </c>
      <c r="AC22" s="514"/>
      <c r="AD22" s="536" t="s">
        <v>99</v>
      </c>
      <c r="AE22" s="584">
        <v>1.0</v>
      </c>
      <c r="AF22" s="584">
        <v>0.0</v>
      </c>
      <c r="AG22" s="529">
        <f t="shared" si="21"/>
        <v>1</v>
      </c>
      <c r="AH22" s="585" t="s">
        <v>188</v>
      </c>
      <c r="AI22" s="584">
        <v>0.0</v>
      </c>
      <c r="AJ22" s="584">
        <v>1.0</v>
      </c>
      <c r="AK22" s="530">
        <f t="shared" si="22"/>
        <v>-1</v>
      </c>
      <c r="AL22" s="514"/>
      <c r="AM22" s="536" t="s">
        <v>306</v>
      </c>
      <c r="AN22" s="584">
        <v>0.0</v>
      </c>
      <c r="AO22" s="584">
        <v>1.0</v>
      </c>
      <c r="AP22" s="529">
        <f t="shared" si="23"/>
        <v>-1</v>
      </c>
      <c r="AQ22" s="585" t="s">
        <v>142</v>
      </c>
      <c r="AR22" s="584">
        <v>2.0</v>
      </c>
      <c r="AS22" s="584">
        <v>1.0</v>
      </c>
      <c r="AT22" s="530">
        <f t="shared" si="24"/>
        <v>1</v>
      </c>
      <c r="AU22" s="514"/>
      <c r="AV22" s="536"/>
      <c r="AW22" s="584"/>
      <c r="AX22" s="584"/>
      <c r="AY22" s="529">
        <f t="shared" si="25"/>
        <v>0</v>
      </c>
      <c r="AZ22" s="585"/>
      <c r="BA22" s="584"/>
      <c r="BB22" s="584"/>
      <c r="BC22" s="530">
        <f t="shared" si="26"/>
        <v>0</v>
      </c>
      <c r="BD22" s="514"/>
      <c r="BE22" s="536"/>
      <c r="BF22" s="584"/>
      <c r="BG22" s="584"/>
      <c r="BH22" s="529">
        <f t="shared" si="27"/>
        <v>0</v>
      </c>
      <c r="BI22" s="585"/>
      <c r="BJ22" s="584"/>
      <c r="BK22" s="584"/>
      <c r="BL22" s="530">
        <f t="shared" si="28"/>
        <v>0</v>
      </c>
      <c r="BM22" s="516"/>
      <c r="BN22" s="504"/>
    </row>
    <row r="23">
      <c r="A23" s="504"/>
      <c r="B23" s="514"/>
      <c r="C23" s="538" t="s">
        <v>270</v>
      </c>
      <c r="D23" s="589">
        <f>SUM(F17:F22)</f>
        <v>4</v>
      </c>
      <c r="E23" s="231"/>
      <c r="F23" s="231"/>
      <c r="G23" s="590" t="s">
        <v>270</v>
      </c>
      <c r="H23" s="589">
        <f>SUM(J17:J22)</f>
        <v>-3</v>
      </c>
      <c r="I23" s="231"/>
      <c r="J23" s="540"/>
      <c r="K23" s="514"/>
      <c r="L23" s="538" t="s">
        <v>270</v>
      </c>
      <c r="M23" s="589">
        <f>SUM(O17:O22)</f>
        <v>4</v>
      </c>
      <c r="N23" s="231"/>
      <c r="O23" s="231"/>
      <c r="P23" s="590" t="s">
        <v>270</v>
      </c>
      <c r="Q23" s="589">
        <f>SUM(S17:S22)</f>
        <v>-4</v>
      </c>
      <c r="R23" s="231"/>
      <c r="S23" s="540"/>
      <c r="T23" s="514"/>
      <c r="U23" s="538" t="s">
        <v>270</v>
      </c>
      <c r="V23" s="589">
        <f>SUM(X17:X22)</f>
        <v>-3</v>
      </c>
      <c r="W23" s="231"/>
      <c r="X23" s="231"/>
      <c r="Y23" s="590" t="s">
        <v>270</v>
      </c>
      <c r="Z23" s="589">
        <f>SUM(AB17:AB22)</f>
        <v>3</v>
      </c>
      <c r="AA23" s="231"/>
      <c r="AB23" s="540"/>
      <c r="AC23" s="514"/>
      <c r="AD23" s="538" t="s">
        <v>270</v>
      </c>
      <c r="AE23" s="589">
        <f>SUM(AG17:AG22)</f>
        <v>5</v>
      </c>
      <c r="AF23" s="231"/>
      <c r="AG23" s="231"/>
      <c r="AH23" s="590" t="s">
        <v>270</v>
      </c>
      <c r="AI23" s="589">
        <f>SUM(AK17:AK22)</f>
        <v>-5</v>
      </c>
      <c r="AJ23" s="231"/>
      <c r="AK23" s="540"/>
      <c r="AL23" s="514"/>
      <c r="AM23" s="538" t="s">
        <v>270</v>
      </c>
      <c r="AN23" s="589">
        <f>SUM(AP17:AP22)</f>
        <v>-3</v>
      </c>
      <c r="AO23" s="231"/>
      <c r="AP23" s="231"/>
      <c r="AQ23" s="590" t="s">
        <v>270</v>
      </c>
      <c r="AR23" s="589">
        <f>SUM(AT17:AT22)</f>
        <v>3</v>
      </c>
      <c r="AS23" s="231"/>
      <c r="AT23" s="540"/>
      <c r="AU23" s="514"/>
      <c r="AV23" s="538" t="s">
        <v>270</v>
      </c>
      <c r="AW23" s="589">
        <f>SUM(AY17:AY22)</f>
        <v>0</v>
      </c>
      <c r="AX23" s="231"/>
      <c r="AY23" s="231"/>
      <c r="AZ23" s="590" t="s">
        <v>270</v>
      </c>
      <c r="BA23" s="589">
        <f>SUM(BC17:BC22)</f>
        <v>0</v>
      </c>
      <c r="BB23" s="231"/>
      <c r="BC23" s="540"/>
      <c r="BD23" s="514"/>
      <c r="BE23" s="538" t="s">
        <v>270</v>
      </c>
      <c r="BF23" s="589">
        <f>SUM(BH17:BH22)</f>
        <v>0</v>
      </c>
      <c r="BG23" s="231"/>
      <c r="BH23" s="231"/>
      <c r="BI23" s="590" t="s">
        <v>270</v>
      </c>
      <c r="BJ23" s="589">
        <f>SUM(BL17:BL22)</f>
        <v>0</v>
      </c>
      <c r="BK23" s="231"/>
      <c r="BL23" s="540"/>
      <c r="BM23" s="516"/>
      <c r="BN23" s="504"/>
    </row>
    <row r="24">
      <c r="A24" s="2"/>
      <c r="B24" s="542"/>
      <c r="C24" s="543" t="s">
        <v>274</v>
      </c>
      <c r="D24" s="188"/>
      <c r="E24" s="188"/>
      <c r="F24" s="544"/>
      <c r="G24" s="543"/>
      <c r="H24" s="188"/>
      <c r="I24" s="188"/>
      <c r="J24" s="191"/>
      <c r="K24" s="548"/>
      <c r="L24" s="543" t="s">
        <v>274</v>
      </c>
      <c r="M24" s="188"/>
      <c r="N24" s="188"/>
      <c r="O24" s="544"/>
      <c r="P24" s="547" t="s">
        <v>308</v>
      </c>
      <c r="Q24" s="188"/>
      <c r="R24" s="188"/>
      <c r="S24" s="191"/>
      <c r="T24" s="548"/>
      <c r="U24" s="543" t="s">
        <v>274</v>
      </c>
      <c r="V24" s="188"/>
      <c r="W24" s="188"/>
      <c r="X24" s="544"/>
      <c r="Y24" s="543" t="s">
        <v>309</v>
      </c>
      <c r="Z24" s="188"/>
      <c r="AA24" s="188"/>
      <c r="AB24" s="191"/>
      <c r="AC24" s="548"/>
      <c r="AD24" s="543" t="s">
        <v>274</v>
      </c>
      <c r="AE24" s="188"/>
      <c r="AF24" s="188"/>
      <c r="AG24" s="544"/>
      <c r="AH24" s="547" t="s">
        <v>310</v>
      </c>
      <c r="AI24" s="188"/>
      <c r="AJ24" s="188"/>
      <c r="AK24" s="191"/>
      <c r="AL24" s="548"/>
      <c r="AM24" s="543" t="s">
        <v>274</v>
      </c>
      <c r="AN24" s="188"/>
      <c r="AO24" s="188"/>
      <c r="AP24" s="544"/>
      <c r="AQ24" s="543"/>
      <c r="AR24" s="188"/>
      <c r="AS24" s="188"/>
      <c r="AT24" s="191"/>
      <c r="AU24" s="548"/>
      <c r="AV24" s="543" t="s">
        <v>274</v>
      </c>
      <c r="AW24" s="188"/>
      <c r="AX24" s="188"/>
      <c r="AY24" s="544"/>
      <c r="AZ24" s="543"/>
      <c r="BA24" s="188"/>
      <c r="BB24" s="188"/>
      <c r="BC24" s="191"/>
      <c r="BD24" s="548"/>
      <c r="BE24" s="543" t="s">
        <v>274</v>
      </c>
      <c r="BF24" s="188"/>
      <c r="BG24" s="188"/>
      <c r="BH24" s="544"/>
      <c r="BI24" s="543"/>
      <c r="BJ24" s="188"/>
      <c r="BK24" s="188"/>
      <c r="BL24" s="191"/>
      <c r="BM24" s="552"/>
      <c r="BN24" s="2"/>
    </row>
    <row r="25">
      <c r="A25" s="2"/>
      <c r="B25" s="542"/>
      <c r="C25" s="553" t="s">
        <v>284</v>
      </c>
      <c r="D25" s="231"/>
      <c r="E25" s="231"/>
      <c r="F25" s="540"/>
      <c r="G25" s="555" t="str">
        <f>IF(D23&gt;H23,C16,IF(D23=H23,"",G16))</f>
        <v>Marcus</v>
      </c>
      <c r="H25" s="231"/>
      <c r="I25" s="231"/>
      <c r="J25" s="540"/>
      <c r="K25" s="542"/>
      <c r="L25" s="553" t="s">
        <v>284</v>
      </c>
      <c r="M25" s="231"/>
      <c r="N25" s="231"/>
      <c r="O25" s="540"/>
      <c r="P25" s="555" t="str">
        <f>IF(M23&gt;Q23,L16,IF(M23=Q23,"",P16))</f>
        <v>Ian Heslin</v>
      </c>
      <c r="Q25" s="231"/>
      <c r="R25" s="231"/>
      <c r="S25" s="540"/>
      <c r="T25" s="542"/>
      <c r="U25" s="553" t="s">
        <v>284</v>
      </c>
      <c r="V25" s="231"/>
      <c r="W25" s="231"/>
      <c r="X25" s="540"/>
      <c r="Y25" s="555" t="str">
        <f>IF(V23&gt;Z23,U16,IF(V23=Z23,"",Y16))</f>
        <v>Ryan Evans</v>
      </c>
      <c r="Z25" s="231"/>
      <c r="AA25" s="231"/>
      <c r="AB25" s="540"/>
      <c r="AC25" s="542"/>
      <c r="AD25" s="553" t="s">
        <v>284</v>
      </c>
      <c r="AE25" s="231"/>
      <c r="AF25" s="231"/>
      <c r="AG25" s="540"/>
      <c r="AH25" s="555" t="str">
        <f>IF(AE23&gt;AI23,AD16,IF(AE23=AI23,"",AH16))</f>
        <v>Ian Heslin</v>
      </c>
      <c r="AI25" s="231"/>
      <c r="AJ25" s="231"/>
      <c r="AK25" s="540"/>
      <c r="AL25" s="542"/>
      <c r="AM25" s="553" t="s">
        <v>284</v>
      </c>
      <c r="AN25" s="231"/>
      <c r="AO25" s="231"/>
      <c r="AP25" s="540"/>
      <c r="AQ25" s="555" t="str">
        <f>IF(AN23&gt;AR23,AM16,IF(AN23=AR23,"",AQ16))</f>
        <v>Jackson McLoughlin</v>
      </c>
      <c r="AR25" s="231"/>
      <c r="AS25" s="231"/>
      <c r="AT25" s="540"/>
      <c r="AU25" s="542"/>
      <c r="AV25" s="553" t="s">
        <v>284</v>
      </c>
      <c r="AW25" s="231"/>
      <c r="AX25" s="231"/>
      <c r="AY25" s="540"/>
      <c r="AZ25" s="555" t="str">
        <f>IF(AW23&gt;BA23,AV16,IF(AW23=BA23,"",AZ16))</f>
        <v/>
      </c>
      <c r="BA25" s="231"/>
      <c r="BB25" s="231"/>
      <c r="BC25" s="540"/>
      <c r="BD25" s="542"/>
      <c r="BE25" s="553" t="s">
        <v>284</v>
      </c>
      <c r="BF25" s="231"/>
      <c r="BG25" s="231"/>
      <c r="BH25" s="540"/>
      <c r="BI25" s="555" t="str">
        <f>IF(BF23&gt;BJ23,BE16,IF(BF23=BJ23,"",BI16))</f>
        <v/>
      </c>
      <c r="BJ25" s="231"/>
      <c r="BK25" s="231"/>
      <c r="BL25" s="540"/>
      <c r="BM25" s="561"/>
      <c r="BN25" s="2"/>
    </row>
    <row r="26" ht="7.5" customHeight="1">
      <c r="A26" s="504"/>
      <c r="B26" s="514"/>
      <c r="C26" s="515"/>
      <c r="D26" s="562"/>
      <c r="E26" s="562"/>
      <c r="F26" s="562"/>
      <c r="G26" s="562"/>
      <c r="H26" s="562"/>
      <c r="I26" s="562"/>
      <c r="J26" s="563"/>
      <c r="K26" s="515"/>
      <c r="L26" s="515"/>
      <c r="M26" s="562"/>
      <c r="N26" s="562"/>
      <c r="O26" s="562"/>
      <c r="P26" s="562"/>
      <c r="Q26" s="562"/>
      <c r="R26" s="562"/>
      <c r="S26" s="563"/>
      <c r="T26" s="515"/>
      <c r="U26" s="515"/>
      <c r="V26" s="562"/>
      <c r="W26" s="562"/>
      <c r="X26" s="562"/>
      <c r="Y26" s="562"/>
      <c r="Z26" s="562"/>
      <c r="AA26" s="562"/>
      <c r="AB26" s="563"/>
      <c r="AC26" s="515"/>
      <c r="AD26" s="515"/>
      <c r="AE26" s="562"/>
      <c r="AF26" s="562"/>
      <c r="AG26" s="562"/>
      <c r="AH26" s="562"/>
      <c r="AI26" s="562"/>
      <c r="AJ26" s="562"/>
      <c r="AK26" s="563"/>
      <c r="AL26" s="515"/>
      <c r="AM26" s="515"/>
      <c r="AN26" s="562"/>
      <c r="AO26" s="562"/>
      <c r="AP26" s="562"/>
      <c r="AQ26" s="562"/>
      <c r="AR26" s="562"/>
      <c r="AS26" s="562"/>
      <c r="AT26" s="563"/>
      <c r="AU26" s="515"/>
      <c r="AV26" s="515"/>
      <c r="AW26" s="562"/>
      <c r="AX26" s="562"/>
      <c r="AY26" s="562"/>
      <c r="AZ26" s="562"/>
      <c r="BA26" s="562"/>
      <c r="BB26" s="562"/>
      <c r="BC26" s="563"/>
      <c r="BD26" s="515"/>
      <c r="BE26" s="515"/>
      <c r="BF26" s="562"/>
      <c r="BG26" s="562"/>
      <c r="BH26" s="562"/>
      <c r="BI26" s="562"/>
      <c r="BJ26" s="562"/>
      <c r="BK26" s="562"/>
      <c r="BL26" s="562"/>
      <c r="BM26" s="516"/>
      <c r="BN26" s="504"/>
    </row>
    <row r="27">
      <c r="A27" s="504"/>
      <c r="B27" s="514"/>
      <c r="C27" s="517" t="str">
        <f>Schedule!$C$9</f>
        <v>Ian Heslin</v>
      </c>
      <c r="D27" s="564" t="s">
        <v>76</v>
      </c>
      <c r="E27" s="565" t="s">
        <v>77</v>
      </c>
      <c r="F27" s="565" t="s">
        <v>78</v>
      </c>
      <c r="G27" s="566" t="str">
        <f>Schedule!$G$9</f>
        <v>Jackson McLoughlin</v>
      </c>
      <c r="H27" s="567" t="s">
        <v>76</v>
      </c>
      <c r="I27" s="568" t="s">
        <v>77</v>
      </c>
      <c r="J27" s="569" t="s">
        <v>78</v>
      </c>
      <c r="K27" s="514"/>
      <c r="L27" s="517" t="str">
        <f>Schedule!$C$15</f>
        <v>Ryan Evans</v>
      </c>
      <c r="M27" s="564" t="s">
        <v>76</v>
      </c>
      <c r="N27" s="565" t="s">
        <v>77</v>
      </c>
      <c r="O27" s="565" t="s">
        <v>78</v>
      </c>
      <c r="P27" s="566" t="str">
        <f>Schedule!$G$15</f>
        <v>Dick Hansen</v>
      </c>
      <c r="Q27" s="567" t="s">
        <v>76</v>
      </c>
      <c r="R27" s="568" t="s">
        <v>77</v>
      </c>
      <c r="S27" s="569" t="s">
        <v>78</v>
      </c>
      <c r="T27" s="514"/>
      <c r="U27" s="517" t="str">
        <f>Schedule!$C$21</f>
        <v>Tyler Gottfredsen</v>
      </c>
      <c r="V27" s="564" t="s">
        <v>76</v>
      </c>
      <c r="W27" s="565" t="s">
        <v>77</v>
      </c>
      <c r="X27" s="565" t="s">
        <v>78</v>
      </c>
      <c r="Y27" s="566" t="str">
        <f>Schedule!$G$21</f>
        <v>Zach VanSickle</v>
      </c>
      <c r="Z27" s="567" t="s">
        <v>76</v>
      </c>
      <c r="AA27" s="568" t="s">
        <v>77</v>
      </c>
      <c r="AB27" s="569" t="s">
        <v>78</v>
      </c>
      <c r="AC27" s="514"/>
      <c r="AD27" s="517" t="str">
        <f>Schedule!$C$27</f>
        <v>Marcus</v>
      </c>
      <c r="AE27" s="564" t="s">
        <v>76</v>
      </c>
      <c r="AF27" s="565" t="s">
        <v>77</v>
      </c>
      <c r="AG27" s="565" t="s">
        <v>78</v>
      </c>
      <c r="AH27" s="566" t="str">
        <f>Schedule!$G$27</f>
        <v>Jackson McLoughlin</v>
      </c>
      <c r="AI27" s="567" t="s">
        <v>76</v>
      </c>
      <c r="AJ27" s="568" t="s">
        <v>77</v>
      </c>
      <c r="AK27" s="569" t="s">
        <v>78</v>
      </c>
      <c r="AL27" s="514"/>
      <c r="AM27" s="517" t="str">
        <f>Schedule!$C$33</f>
        <v>Ian Heslin</v>
      </c>
      <c r="AN27" s="564" t="s">
        <v>76</v>
      </c>
      <c r="AO27" s="565" t="s">
        <v>77</v>
      </c>
      <c r="AP27" s="565" t="s">
        <v>78</v>
      </c>
      <c r="AQ27" s="566" t="str">
        <f>Schedule!$G$33</f>
        <v>Dick Hansen</v>
      </c>
      <c r="AR27" s="567" t="s">
        <v>76</v>
      </c>
      <c r="AS27" s="568" t="s">
        <v>77</v>
      </c>
      <c r="AT27" s="569" t="s">
        <v>78</v>
      </c>
      <c r="AU27" s="514"/>
      <c r="AV27" s="517" t="str">
        <f>Schedule!$C$39</f>
        <v>Ryan Evans</v>
      </c>
      <c r="AW27" s="564" t="s">
        <v>76</v>
      </c>
      <c r="AX27" s="565" t="s">
        <v>77</v>
      </c>
      <c r="AY27" s="565" t="s">
        <v>78</v>
      </c>
      <c r="AZ27" s="566" t="str">
        <f>Schedule!$G$39</f>
        <v>Tyler Gottfredsen</v>
      </c>
      <c r="BA27" s="567" t="s">
        <v>76</v>
      </c>
      <c r="BB27" s="568" t="s">
        <v>77</v>
      </c>
      <c r="BC27" s="569" t="s">
        <v>78</v>
      </c>
      <c r="BD27" s="514"/>
      <c r="BE27" s="517" t="str">
        <f>Schedule!$C$45</f>
        <v>Marcus</v>
      </c>
      <c r="BF27" s="564" t="s">
        <v>76</v>
      </c>
      <c r="BG27" s="565" t="s">
        <v>77</v>
      </c>
      <c r="BH27" s="565" t="s">
        <v>78</v>
      </c>
      <c r="BI27" s="566" t="str">
        <f>Schedule!$G$45</f>
        <v>Zach VanSickle</v>
      </c>
      <c r="BJ27" s="567" t="s">
        <v>76</v>
      </c>
      <c r="BK27" s="568" t="s">
        <v>77</v>
      </c>
      <c r="BL27" s="569" t="s">
        <v>78</v>
      </c>
      <c r="BM27" s="516"/>
      <c r="BN27" s="504"/>
    </row>
    <row r="28">
      <c r="A28" s="504"/>
      <c r="B28" s="514"/>
      <c r="C28" s="597" t="s">
        <v>314</v>
      </c>
      <c r="D28" s="598"/>
      <c r="E28" s="598">
        <v>1.0</v>
      </c>
      <c r="F28" s="599">
        <f t="shared" ref="F28:F33" si="29">D28-E28</f>
        <v>-1</v>
      </c>
      <c r="G28" s="600" t="s">
        <v>97</v>
      </c>
      <c r="H28" s="598">
        <v>1.0</v>
      </c>
      <c r="I28" s="598">
        <v>1.0</v>
      </c>
      <c r="J28" s="599">
        <f t="shared" ref="J28:J33" si="30">H28-I28</f>
        <v>0</v>
      </c>
      <c r="K28" s="514"/>
      <c r="L28" s="597" t="s">
        <v>113</v>
      </c>
      <c r="M28" s="598">
        <v>0.0</v>
      </c>
      <c r="N28" s="598">
        <v>0.0</v>
      </c>
      <c r="O28" s="599">
        <f t="shared" ref="O28:O33" si="31">M28-N28</f>
        <v>0</v>
      </c>
      <c r="P28" s="600" t="s">
        <v>246</v>
      </c>
      <c r="Q28" s="598">
        <v>0.0</v>
      </c>
      <c r="R28" s="598">
        <v>1.0</v>
      </c>
      <c r="S28" s="599">
        <f t="shared" ref="S28:S33" si="32">Q28-R28</f>
        <v>-1</v>
      </c>
      <c r="T28" s="514"/>
      <c r="U28" s="597" t="s">
        <v>186</v>
      </c>
      <c r="V28" s="598">
        <v>1.0</v>
      </c>
      <c r="W28" s="598">
        <v>1.0</v>
      </c>
      <c r="X28" s="599">
        <f t="shared" ref="X28:X33" si="33">V28-W28</f>
        <v>0</v>
      </c>
      <c r="Y28" s="600" t="s">
        <v>300</v>
      </c>
      <c r="Z28" s="598">
        <v>0.0</v>
      </c>
      <c r="AA28" s="598">
        <v>1.0</v>
      </c>
      <c r="AB28" s="599">
        <f t="shared" ref="AB28:AB33" si="34">Z28-AA28</f>
        <v>-1</v>
      </c>
      <c r="AC28" s="514"/>
      <c r="AD28" s="597" t="s">
        <v>86</v>
      </c>
      <c r="AE28" s="598"/>
      <c r="AF28" s="598">
        <v>1.0</v>
      </c>
      <c r="AG28" s="599">
        <f t="shared" ref="AG28:AG33" si="35">AE28-AF28</f>
        <v>-1</v>
      </c>
      <c r="AH28" s="600" t="s">
        <v>170</v>
      </c>
      <c r="AI28" s="598">
        <v>1.0</v>
      </c>
      <c r="AJ28" s="598"/>
      <c r="AK28" s="599">
        <f t="shared" ref="AK28:AK33" si="36">AI28-AJ28</f>
        <v>1</v>
      </c>
      <c r="AL28" s="514"/>
      <c r="AM28" s="597" t="s">
        <v>135</v>
      </c>
      <c r="AN28" s="602"/>
      <c r="AO28" s="602"/>
      <c r="AP28" s="603">
        <f t="shared" ref="AP28:AP33" si="37">AN28-AO28</f>
        <v>0</v>
      </c>
      <c r="AQ28" s="600" t="s">
        <v>243</v>
      </c>
      <c r="AR28" s="604"/>
      <c r="AS28" s="602">
        <v>1.0</v>
      </c>
      <c r="AT28" s="603">
        <f t="shared" ref="AT28:AT33" si="38">AR28-AS28</f>
        <v>-1</v>
      </c>
      <c r="AU28" s="514"/>
      <c r="AV28" s="605"/>
      <c r="AW28" s="598">
        <v>1.0</v>
      </c>
      <c r="AX28" s="598"/>
      <c r="AY28" s="599">
        <f t="shared" ref="AY28:AY33" si="39">AW28-AX28</f>
        <v>1</v>
      </c>
      <c r="AZ28" s="608"/>
      <c r="BA28" s="598"/>
      <c r="BB28" s="598">
        <v>1.0</v>
      </c>
      <c r="BC28" s="599">
        <f t="shared" ref="BC28:BC33" si="40">BA28-BB28</f>
        <v>-1</v>
      </c>
      <c r="BD28" s="514"/>
      <c r="BE28" s="605"/>
      <c r="BF28" s="598"/>
      <c r="BG28" s="598"/>
      <c r="BH28" s="599">
        <f t="shared" ref="BH28:BH33" si="41">BF28-BG28</f>
        <v>0</v>
      </c>
      <c r="BI28" s="608"/>
      <c r="BJ28" s="598"/>
      <c r="BK28" s="598"/>
      <c r="BL28" s="599">
        <f t="shared" ref="BL28:BL33" si="42">BJ28-BK28</f>
        <v>0</v>
      </c>
      <c r="BM28" s="516"/>
      <c r="BN28" s="504"/>
    </row>
    <row r="29">
      <c r="A29" s="504"/>
      <c r="B29" s="514"/>
      <c r="C29" s="611" t="s">
        <v>121</v>
      </c>
      <c r="D29" s="612">
        <v>1.0</v>
      </c>
      <c r="E29" s="612"/>
      <c r="F29" s="613">
        <f t="shared" si="29"/>
        <v>1</v>
      </c>
      <c r="G29" s="614" t="s">
        <v>91</v>
      </c>
      <c r="H29" s="612">
        <v>1.0</v>
      </c>
      <c r="I29" s="612">
        <v>1.0</v>
      </c>
      <c r="J29" s="613">
        <f t="shared" si="30"/>
        <v>0</v>
      </c>
      <c r="K29" s="514"/>
      <c r="L29" s="611" t="s">
        <v>114</v>
      </c>
      <c r="M29" s="612">
        <v>0.0</v>
      </c>
      <c r="N29" s="612">
        <v>0.0</v>
      </c>
      <c r="O29" s="613">
        <f t="shared" si="31"/>
        <v>0</v>
      </c>
      <c r="P29" s="614" t="s">
        <v>155</v>
      </c>
      <c r="Q29" s="612">
        <v>0.0</v>
      </c>
      <c r="R29" s="612">
        <v>1.0</v>
      </c>
      <c r="S29" s="613">
        <f t="shared" si="32"/>
        <v>-1</v>
      </c>
      <c r="T29" s="514"/>
      <c r="U29" s="611" t="s">
        <v>267</v>
      </c>
      <c r="V29" s="615">
        <v>1.0</v>
      </c>
      <c r="W29" s="615">
        <v>1.0</v>
      </c>
      <c r="X29" s="613">
        <f t="shared" si="33"/>
        <v>0</v>
      </c>
      <c r="Y29" s="614" t="s">
        <v>239</v>
      </c>
      <c r="Z29" s="615">
        <v>0.0</v>
      </c>
      <c r="AA29" s="615">
        <v>1.0</v>
      </c>
      <c r="AB29" s="613">
        <f t="shared" si="34"/>
        <v>-1</v>
      </c>
      <c r="AC29" s="514"/>
      <c r="AD29" s="611" t="s">
        <v>123</v>
      </c>
      <c r="AE29" s="618"/>
      <c r="AF29" s="612">
        <v>1.0</v>
      </c>
      <c r="AG29" s="613">
        <f t="shared" si="35"/>
        <v>-1</v>
      </c>
      <c r="AH29" s="614" t="s">
        <v>104</v>
      </c>
      <c r="AI29" s="612">
        <v>1.0</v>
      </c>
      <c r="AJ29" s="612">
        <v>1.0</v>
      </c>
      <c r="AK29" s="613">
        <f t="shared" si="36"/>
        <v>0</v>
      </c>
      <c r="AL29" s="514"/>
      <c r="AM29" s="611" t="s">
        <v>79</v>
      </c>
      <c r="AN29" s="621">
        <v>1.0</v>
      </c>
      <c r="AO29" s="621"/>
      <c r="AP29" s="530">
        <f t="shared" si="37"/>
        <v>1</v>
      </c>
      <c r="AQ29" s="614" t="s">
        <v>246</v>
      </c>
      <c r="AR29" s="622"/>
      <c r="AS29" s="621">
        <v>1.0</v>
      </c>
      <c r="AT29" s="530">
        <f t="shared" si="38"/>
        <v>-1</v>
      </c>
      <c r="AU29" s="514"/>
      <c r="AV29" s="623"/>
      <c r="AW29" s="625"/>
      <c r="AX29" s="615"/>
      <c r="AY29" s="613">
        <f t="shared" si="39"/>
        <v>0</v>
      </c>
      <c r="AZ29" s="626"/>
      <c r="BA29" s="625"/>
      <c r="BB29" s="615"/>
      <c r="BC29" s="613">
        <f t="shared" si="40"/>
        <v>0</v>
      </c>
      <c r="BD29" s="514"/>
      <c r="BE29" s="623"/>
      <c r="BF29" s="625"/>
      <c r="BG29" s="615"/>
      <c r="BH29" s="613">
        <f t="shared" si="41"/>
        <v>0</v>
      </c>
      <c r="BI29" s="626"/>
      <c r="BJ29" s="625"/>
      <c r="BK29" s="615"/>
      <c r="BL29" s="613">
        <f t="shared" si="42"/>
        <v>0</v>
      </c>
      <c r="BM29" s="516"/>
      <c r="BN29" s="504"/>
    </row>
    <row r="30">
      <c r="A30" s="504"/>
      <c r="B30" s="514"/>
      <c r="C30" s="611" t="s">
        <v>317</v>
      </c>
      <c r="D30" s="618"/>
      <c r="E30" s="612">
        <v>1.0</v>
      </c>
      <c r="F30" s="613">
        <f t="shared" si="29"/>
        <v>-1</v>
      </c>
      <c r="G30" s="614" t="s">
        <v>304</v>
      </c>
      <c r="H30" s="612"/>
      <c r="I30" s="612">
        <v>1.0</v>
      </c>
      <c r="J30" s="613">
        <f t="shared" si="30"/>
        <v>-1</v>
      </c>
      <c r="K30" s="514"/>
      <c r="L30" s="611" t="s">
        <v>85</v>
      </c>
      <c r="M30" s="612">
        <v>6.0</v>
      </c>
      <c r="N30" s="612">
        <v>0.0</v>
      </c>
      <c r="O30" s="613">
        <f t="shared" si="31"/>
        <v>6</v>
      </c>
      <c r="P30" s="614" t="s">
        <v>243</v>
      </c>
      <c r="Q30" s="612">
        <v>0.0</v>
      </c>
      <c r="R30" s="612">
        <v>1.0</v>
      </c>
      <c r="S30" s="613">
        <f t="shared" si="32"/>
        <v>-1</v>
      </c>
      <c r="T30" s="514"/>
      <c r="U30" s="611" t="s">
        <v>244</v>
      </c>
      <c r="V30" s="615">
        <v>0.0</v>
      </c>
      <c r="W30" s="615">
        <v>1.0</v>
      </c>
      <c r="X30" s="613">
        <f t="shared" si="33"/>
        <v>-1</v>
      </c>
      <c r="Y30" s="614" t="s">
        <v>107</v>
      </c>
      <c r="Z30" s="615">
        <v>4.0</v>
      </c>
      <c r="AA30" s="615">
        <v>0.0</v>
      </c>
      <c r="AB30" s="613">
        <f t="shared" si="34"/>
        <v>4</v>
      </c>
      <c r="AC30" s="514"/>
      <c r="AD30" s="611" t="s">
        <v>156</v>
      </c>
      <c r="AE30" s="612">
        <v>1.0</v>
      </c>
      <c r="AF30" s="612">
        <v>1.0</v>
      </c>
      <c r="AG30" s="613">
        <f t="shared" si="35"/>
        <v>0</v>
      </c>
      <c r="AH30" s="614" t="s">
        <v>97</v>
      </c>
      <c r="AI30" s="612">
        <v>3.0</v>
      </c>
      <c r="AJ30" s="612"/>
      <c r="AK30" s="613">
        <f t="shared" si="36"/>
        <v>3</v>
      </c>
      <c r="AL30" s="514"/>
      <c r="AM30" s="611" t="s">
        <v>96</v>
      </c>
      <c r="AN30" s="621">
        <v>3.0</v>
      </c>
      <c r="AO30" s="622"/>
      <c r="AP30" s="530">
        <f t="shared" si="37"/>
        <v>3</v>
      </c>
      <c r="AQ30" s="614" t="s">
        <v>319</v>
      </c>
      <c r="AR30" s="621"/>
      <c r="AS30" s="621">
        <v>1.0</v>
      </c>
      <c r="AT30" s="530">
        <f t="shared" si="38"/>
        <v>-1</v>
      </c>
      <c r="AU30" s="514"/>
      <c r="AV30" s="623"/>
      <c r="AW30" s="625"/>
      <c r="AX30" s="625"/>
      <c r="AY30" s="613">
        <f t="shared" si="39"/>
        <v>0</v>
      </c>
      <c r="AZ30" s="626"/>
      <c r="BA30" s="615"/>
      <c r="BB30" s="615"/>
      <c r="BC30" s="613">
        <f t="shared" si="40"/>
        <v>0</v>
      </c>
      <c r="BD30" s="514"/>
      <c r="BE30" s="623"/>
      <c r="BF30" s="625"/>
      <c r="BG30" s="625"/>
      <c r="BH30" s="613">
        <f t="shared" si="41"/>
        <v>0</v>
      </c>
      <c r="BI30" s="626"/>
      <c r="BJ30" s="615"/>
      <c r="BK30" s="615"/>
      <c r="BL30" s="613">
        <f t="shared" si="42"/>
        <v>0</v>
      </c>
      <c r="BM30" s="516"/>
      <c r="BN30" s="504"/>
    </row>
    <row r="31">
      <c r="A31" s="504"/>
      <c r="B31" s="514"/>
      <c r="C31" s="611" t="s">
        <v>96</v>
      </c>
      <c r="D31" s="612">
        <v>1.0</v>
      </c>
      <c r="E31" s="612"/>
      <c r="F31" s="613">
        <f t="shared" si="29"/>
        <v>1</v>
      </c>
      <c r="G31" s="614" t="s">
        <v>320</v>
      </c>
      <c r="H31" s="618"/>
      <c r="I31" s="612">
        <v>1.0</v>
      </c>
      <c r="J31" s="613">
        <f t="shared" si="30"/>
        <v>-1</v>
      </c>
      <c r="K31" s="514"/>
      <c r="L31" s="611" t="s">
        <v>195</v>
      </c>
      <c r="M31" s="612">
        <v>0.0</v>
      </c>
      <c r="N31" s="612">
        <v>0.0</v>
      </c>
      <c r="O31" s="613">
        <f t="shared" si="31"/>
        <v>0</v>
      </c>
      <c r="P31" s="614" t="s">
        <v>245</v>
      </c>
      <c r="Q31" s="612">
        <v>0.0</v>
      </c>
      <c r="R31" s="612">
        <v>1.0</v>
      </c>
      <c r="S31" s="613">
        <f t="shared" si="32"/>
        <v>-1</v>
      </c>
      <c r="T31" s="514"/>
      <c r="U31" s="611" t="s">
        <v>153</v>
      </c>
      <c r="V31" s="615">
        <v>0.0</v>
      </c>
      <c r="W31" s="615">
        <v>1.0</v>
      </c>
      <c r="X31" s="613">
        <f t="shared" si="33"/>
        <v>-1</v>
      </c>
      <c r="Y31" s="614" t="s">
        <v>238</v>
      </c>
      <c r="Z31" s="615">
        <v>0.0</v>
      </c>
      <c r="AA31" s="615">
        <v>1.0</v>
      </c>
      <c r="AB31" s="613">
        <f t="shared" si="34"/>
        <v>-1</v>
      </c>
      <c r="AC31" s="514"/>
      <c r="AD31" s="611" t="s">
        <v>102</v>
      </c>
      <c r="AE31" s="612"/>
      <c r="AF31" s="612">
        <v>1.0</v>
      </c>
      <c r="AG31" s="613">
        <f t="shared" si="35"/>
        <v>-1</v>
      </c>
      <c r="AH31" s="614" t="s">
        <v>90</v>
      </c>
      <c r="AI31" s="618"/>
      <c r="AJ31" s="612"/>
      <c r="AK31" s="613">
        <f t="shared" si="36"/>
        <v>0</v>
      </c>
      <c r="AL31" s="514"/>
      <c r="AM31" s="611" t="s">
        <v>121</v>
      </c>
      <c r="AN31" s="621">
        <v>1.0</v>
      </c>
      <c r="AO31" s="621"/>
      <c r="AP31" s="530">
        <f t="shared" si="37"/>
        <v>1</v>
      </c>
      <c r="AQ31" s="614" t="s">
        <v>241</v>
      </c>
      <c r="AR31" s="622"/>
      <c r="AS31" s="621">
        <v>1.0</v>
      </c>
      <c r="AT31" s="530">
        <f t="shared" si="38"/>
        <v>-1</v>
      </c>
      <c r="AU31" s="514"/>
      <c r="AV31" s="623"/>
      <c r="AW31" s="615"/>
      <c r="AX31" s="615"/>
      <c r="AY31" s="613">
        <f t="shared" si="39"/>
        <v>0</v>
      </c>
      <c r="AZ31" s="626"/>
      <c r="BA31" s="625"/>
      <c r="BB31" s="615"/>
      <c r="BC31" s="613">
        <f t="shared" si="40"/>
        <v>0</v>
      </c>
      <c r="BD31" s="514"/>
      <c r="BE31" s="623"/>
      <c r="BF31" s="615"/>
      <c r="BG31" s="615"/>
      <c r="BH31" s="613">
        <f t="shared" si="41"/>
        <v>0</v>
      </c>
      <c r="BI31" s="626"/>
      <c r="BJ31" s="625"/>
      <c r="BK31" s="615"/>
      <c r="BL31" s="613">
        <f t="shared" si="42"/>
        <v>0</v>
      </c>
      <c r="BM31" s="516"/>
      <c r="BN31" s="504"/>
    </row>
    <row r="32">
      <c r="A32" s="504"/>
      <c r="B32" s="514"/>
      <c r="C32" s="611" t="s">
        <v>268</v>
      </c>
      <c r="D32" s="612">
        <v>4.0</v>
      </c>
      <c r="E32" s="612"/>
      <c r="F32" s="613">
        <f t="shared" si="29"/>
        <v>4</v>
      </c>
      <c r="G32" s="614" t="s">
        <v>323</v>
      </c>
      <c r="H32" s="612"/>
      <c r="I32" s="612">
        <v>1.0</v>
      </c>
      <c r="J32" s="613">
        <f t="shared" si="30"/>
        <v>-1</v>
      </c>
      <c r="K32" s="514"/>
      <c r="L32" s="611" t="s">
        <v>130</v>
      </c>
      <c r="M32" s="612">
        <v>0.0</v>
      </c>
      <c r="N32" s="612">
        <v>0.0</v>
      </c>
      <c r="O32" s="613">
        <f t="shared" si="31"/>
        <v>0</v>
      </c>
      <c r="P32" s="614" t="s">
        <v>237</v>
      </c>
      <c r="Q32" s="612">
        <v>0.0</v>
      </c>
      <c r="R32" s="612">
        <v>1.0</v>
      </c>
      <c r="S32" s="613">
        <f t="shared" si="32"/>
        <v>-1</v>
      </c>
      <c r="T32" s="514"/>
      <c r="U32" s="611" t="s">
        <v>165</v>
      </c>
      <c r="V32" s="615">
        <v>1.0</v>
      </c>
      <c r="W32" s="615">
        <v>1.0</v>
      </c>
      <c r="X32" s="613">
        <f t="shared" si="33"/>
        <v>0</v>
      </c>
      <c r="Y32" s="614" t="s">
        <v>138</v>
      </c>
      <c r="Z32" s="615">
        <v>2.0</v>
      </c>
      <c r="AA32" s="615">
        <v>1.0</v>
      </c>
      <c r="AB32" s="613">
        <f t="shared" si="34"/>
        <v>1</v>
      </c>
      <c r="AC32" s="514"/>
      <c r="AD32" s="611" t="s">
        <v>325</v>
      </c>
      <c r="AE32" s="612"/>
      <c r="AF32" s="612">
        <v>1.0</v>
      </c>
      <c r="AG32" s="613">
        <f t="shared" si="35"/>
        <v>-1</v>
      </c>
      <c r="AH32" s="614" t="s">
        <v>142</v>
      </c>
      <c r="AI32" s="612"/>
      <c r="AJ32" s="612"/>
      <c r="AK32" s="613">
        <f t="shared" si="36"/>
        <v>0</v>
      </c>
      <c r="AL32" s="514"/>
      <c r="AM32" s="611" t="s">
        <v>99</v>
      </c>
      <c r="AN32" s="621">
        <v>1.0</v>
      </c>
      <c r="AO32" s="621"/>
      <c r="AP32" s="530">
        <f t="shared" si="37"/>
        <v>1</v>
      </c>
      <c r="AQ32" s="614" t="s">
        <v>155</v>
      </c>
      <c r="AR32" s="621"/>
      <c r="AS32" s="621">
        <v>1.0</v>
      </c>
      <c r="AT32" s="530">
        <f t="shared" si="38"/>
        <v>-1</v>
      </c>
      <c r="AU32" s="514"/>
      <c r="AV32" s="623"/>
      <c r="AW32" s="615"/>
      <c r="AX32" s="615"/>
      <c r="AY32" s="613">
        <f t="shared" si="39"/>
        <v>0</v>
      </c>
      <c r="AZ32" s="626"/>
      <c r="BA32" s="615"/>
      <c r="BB32" s="615"/>
      <c r="BC32" s="613">
        <f t="shared" si="40"/>
        <v>0</v>
      </c>
      <c r="BD32" s="514"/>
      <c r="BE32" s="623"/>
      <c r="BF32" s="615"/>
      <c r="BG32" s="615"/>
      <c r="BH32" s="613">
        <f t="shared" si="41"/>
        <v>0</v>
      </c>
      <c r="BI32" s="626"/>
      <c r="BJ32" s="615"/>
      <c r="BK32" s="615"/>
      <c r="BL32" s="613">
        <f t="shared" si="42"/>
        <v>0</v>
      </c>
      <c r="BM32" s="516"/>
      <c r="BN32" s="504"/>
    </row>
    <row r="33">
      <c r="A33" s="504"/>
      <c r="B33" s="514"/>
      <c r="C33" s="611" t="s">
        <v>79</v>
      </c>
      <c r="D33" s="612"/>
      <c r="E33" s="612"/>
      <c r="F33" s="613">
        <f t="shared" si="29"/>
        <v>0</v>
      </c>
      <c r="G33" s="614" t="s">
        <v>327</v>
      </c>
      <c r="H33" s="612"/>
      <c r="I33" s="612">
        <v>1.0</v>
      </c>
      <c r="J33" s="613">
        <f t="shared" si="30"/>
        <v>-1</v>
      </c>
      <c r="K33" s="514"/>
      <c r="L33" s="611" t="s">
        <v>126</v>
      </c>
      <c r="M33" s="612">
        <v>0.0</v>
      </c>
      <c r="N33" s="612">
        <v>0.0</v>
      </c>
      <c r="O33" s="613">
        <f t="shared" si="31"/>
        <v>0</v>
      </c>
      <c r="P33" s="614" t="s">
        <v>328</v>
      </c>
      <c r="Q33" s="612">
        <v>0.0</v>
      </c>
      <c r="R33" s="612">
        <v>1.0</v>
      </c>
      <c r="S33" s="613">
        <f t="shared" si="32"/>
        <v>-1</v>
      </c>
      <c r="T33" s="514"/>
      <c r="U33" s="611" t="s">
        <v>112</v>
      </c>
      <c r="V33" s="615">
        <v>1.0</v>
      </c>
      <c r="W33" s="615">
        <v>1.0</v>
      </c>
      <c r="X33" s="613">
        <f t="shared" si="33"/>
        <v>0</v>
      </c>
      <c r="Y33" s="614" t="s">
        <v>137</v>
      </c>
      <c r="Z33" s="615">
        <v>0.0</v>
      </c>
      <c r="AA33" s="615">
        <v>0.0</v>
      </c>
      <c r="AB33" s="613">
        <f t="shared" si="34"/>
        <v>0</v>
      </c>
      <c r="AC33" s="514"/>
      <c r="AD33" s="611" t="s">
        <v>329</v>
      </c>
      <c r="AE33" s="612"/>
      <c r="AF33" s="612">
        <v>1.0</v>
      </c>
      <c r="AG33" s="613">
        <f t="shared" si="35"/>
        <v>-1</v>
      </c>
      <c r="AH33" s="614" t="s">
        <v>132</v>
      </c>
      <c r="AI33" s="612">
        <v>1.0</v>
      </c>
      <c r="AJ33" s="612"/>
      <c r="AK33" s="613">
        <f t="shared" si="36"/>
        <v>1</v>
      </c>
      <c r="AL33" s="514"/>
      <c r="AM33" s="611" t="s">
        <v>144</v>
      </c>
      <c r="AN33" s="621"/>
      <c r="AO33" s="621"/>
      <c r="AP33" s="530">
        <f t="shared" si="37"/>
        <v>0</v>
      </c>
      <c r="AQ33" s="614" t="s">
        <v>245</v>
      </c>
      <c r="AR33" s="621"/>
      <c r="AS33" s="621">
        <v>1.0</v>
      </c>
      <c r="AT33" s="530">
        <f t="shared" si="38"/>
        <v>-1</v>
      </c>
      <c r="AU33" s="514"/>
      <c r="AV33" s="623"/>
      <c r="AW33" s="615"/>
      <c r="AX33" s="615"/>
      <c r="AY33" s="613">
        <f t="shared" si="39"/>
        <v>0</v>
      </c>
      <c r="AZ33" s="626"/>
      <c r="BA33" s="615"/>
      <c r="BB33" s="615"/>
      <c r="BC33" s="613">
        <f t="shared" si="40"/>
        <v>0</v>
      </c>
      <c r="BD33" s="514"/>
      <c r="BE33" s="623"/>
      <c r="BF33" s="615"/>
      <c r="BG33" s="615"/>
      <c r="BH33" s="613">
        <f t="shared" si="41"/>
        <v>0</v>
      </c>
      <c r="BI33" s="626"/>
      <c r="BJ33" s="615"/>
      <c r="BK33" s="615"/>
      <c r="BL33" s="613">
        <f t="shared" si="42"/>
        <v>0</v>
      </c>
      <c r="BM33" s="516"/>
      <c r="BN33" s="504"/>
    </row>
    <row r="34">
      <c r="A34" s="504"/>
      <c r="B34" s="514"/>
      <c r="C34" s="638" t="s">
        <v>270</v>
      </c>
      <c r="D34" s="639">
        <f>SUM(F28:F33)</f>
        <v>4</v>
      </c>
      <c r="E34" s="147"/>
      <c r="F34" s="148"/>
      <c r="G34" s="640" t="s">
        <v>270</v>
      </c>
      <c r="H34" s="639">
        <f>SUM(J28:J33)</f>
        <v>-4</v>
      </c>
      <c r="I34" s="147"/>
      <c r="J34" s="148"/>
      <c r="K34" s="514"/>
      <c r="L34" s="638" t="s">
        <v>270</v>
      </c>
      <c r="M34" s="639">
        <f>SUM(O28:O33)</f>
        <v>6</v>
      </c>
      <c r="N34" s="147"/>
      <c r="O34" s="148"/>
      <c r="P34" s="640" t="s">
        <v>270</v>
      </c>
      <c r="Q34" s="639">
        <f>SUM(S28:S33)</f>
        <v>-6</v>
      </c>
      <c r="R34" s="147"/>
      <c r="S34" s="148"/>
      <c r="T34" s="514"/>
      <c r="U34" s="638" t="s">
        <v>270</v>
      </c>
      <c r="V34" s="639">
        <f>SUM(X28:X33)</f>
        <v>-2</v>
      </c>
      <c r="W34" s="147"/>
      <c r="X34" s="148"/>
      <c r="Y34" s="640" t="s">
        <v>270</v>
      </c>
      <c r="Z34" s="639">
        <f>SUM(AB28:AB33)</f>
        <v>2</v>
      </c>
      <c r="AA34" s="147"/>
      <c r="AB34" s="148"/>
      <c r="AC34" s="514"/>
      <c r="AD34" s="638" t="s">
        <v>270</v>
      </c>
      <c r="AE34" s="639">
        <f>SUM(AG28:AG33)</f>
        <v>-5</v>
      </c>
      <c r="AF34" s="147"/>
      <c r="AG34" s="148"/>
      <c r="AH34" s="640" t="s">
        <v>270</v>
      </c>
      <c r="AI34" s="639">
        <f>SUM(AK28:AK33)</f>
        <v>5</v>
      </c>
      <c r="AJ34" s="147"/>
      <c r="AK34" s="148"/>
      <c r="AL34" s="514"/>
      <c r="AM34" s="638" t="s">
        <v>270</v>
      </c>
      <c r="AN34" s="639">
        <f>SUM(AP28:AP33)</f>
        <v>6</v>
      </c>
      <c r="AO34" s="147"/>
      <c r="AP34" s="148"/>
      <c r="AQ34" s="640" t="s">
        <v>270</v>
      </c>
      <c r="AR34" s="642">
        <f>SUM(AT28:AT33)</f>
        <v>-6</v>
      </c>
      <c r="AS34" s="147"/>
      <c r="AT34" s="148"/>
      <c r="AU34" s="514"/>
      <c r="AV34" s="638" t="s">
        <v>270</v>
      </c>
      <c r="AW34" s="639">
        <f>SUM(AY28:AY33)</f>
        <v>1</v>
      </c>
      <c r="AX34" s="147"/>
      <c r="AY34" s="148"/>
      <c r="AZ34" s="640" t="s">
        <v>270</v>
      </c>
      <c r="BA34" s="639">
        <f>SUM(BC28:BC33)</f>
        <v>-1</v>
      </c>
      <c r="BB34" s="147"/>
      <c r="BC34" s="148"/>
      <c r="BD34" s="514"/>
      <c r="BE34" s="638" t="s">
        <v>270</v>
      </c>
      <c r="BF34" s="639">
        <f>SUM(BH28:BH33)</f>
        <v>0</v>
      </c>
      <c r="BG34" s="147"/>
      <c r="BH34" s="148"/>
      <c r="BI34" s="640" t="s">
        <v>270</v>
      </c>
      <c r="BJ34" s="639">
        <f>SUM(BL28:BL33)</f>
        <v>0</v>
      </c>
      <c r="BK34" s="147"/>
      <c r="BL34" s="148"/>
      <c r="BM34" s="516"/>
      <c r="BN34" s="504"/>
    </row>
    <row r="35">
      <c r="A35" s="2"/>
      <c r="B35" s="542"/>
      <c r="C35" s="543" t="s">
        <v>274</v>
      </c>
      <c r="D35" s="188"/>
      <c r="E35" s="188"/>
      <c r="F35" s="544"/>
      <c r="G35" s="617" t="s">
        <v>340</v>
      </c>
      <c r="H35" s="188"/>
      <c r="I35" s="188"/>
      <c r="J35" s="191"/>
      <c r="K35" s="548"/>
      <c r="L35" s="543" t="s">
        <v>274</v>
      </c>
      <c r="M35" s="188"/>
      <c r="N35" s="188"/>
      <c r="O35" s="544"/>
      <c r="P35" s="543"/>
      <c r="Q35" s="188"/>
      <c r="R35" s="188"/>
      <c r="S35" s="191"/>
      <c r="T35" s="548"/>
      <c r="U35" s="543" t="s">
        <v>274</v>
      </c>
      <c r="V35" s="188"/>
      <c r="W35" s="188"/>
      <c r="X35" s="544"/>
      <c r="Y35" s="547" t="s">
        <v>347</v>
      </c>
      <c r="Z35" s="188"/>
      <c r="AA35" s="188"/>
      <c r="AB35" s="191"/>
      <c r="AC35" s="548"/>
      <c r="AD35" s="543" t="s">
        <v>274</v>
      </c>
      <c r="AE35" s="188"/>
      <c r="AF35" s="188"/>
      <c r="AG35" s="544"/>
      <c r="AH35" s="543"/>
      <c r="AI35" s="188"/>
      <c r="AJ35" s="188"/>
      <c r="AK35" s="191"/>
      <c r="AL35" s="548"/>
      <c r="AM35" s="543" t="s">
        <v>274</v>
      </c>
      <c r="AN35" s="188"/>
      <c r="AO35" s="188"/>
      <c r="AP35" s="544"/>
      <c r="AQ35" s="547" t="s">
        <v>348</v>
      </c>
      <c r="AR35" s="188"/>
      <c r="AS35" s="188"/>
      <c r="AT35" s="191"/>
      <c r="AU35" s="548"/>
      <c r="AV35" s="543" t="s">
        <v>274</v>
      </c>
      <c r="AW35" s="188"/>
      <c r="AX35" s="188"/>
      <c r="AY35" s="544"/>
      <c r="AZ35" s="543"/>
      <c r="BA35" s="188"/>
      <c r="BB35" s="188"/>
      <c r="BC35" s="191"/>
      <c r="BD35" s="548"/>
      <c r="BE35" s="543" t="s">
        <v>274</v>
      </c>
      <c r="BF35" s="188"/>
      <c r="BG35" s="188"/>
      <c r="BH35" s="544"/>
      <c r="BI35" s="543"/>
      <c r="BJ35" s="188"/>
      <c r="BK35" s="188"/>
      <c r="BL35" s="191"/>
      <c r="BM35" s="552"/>
      <c r="BN35" s="2"/>
    </row>
    <row r="36">
      <c r="A36" s="2"/>
      <c r="B36" s="542"/>
      <c r="C36" s="553" t="s">
        <v>284</v>
      </c>
      <c r="D36" s="231"/>
      <c r="E36" s="231"/>
      <c r="F36" s="540"/>
      <c r="G36" s="555" t="str">
        <f>IF(D34&gt;H34,C27,IF(D34=H34,"",G27))</f>
        <v>Ian Heslin</v>
      </c>
      <c r="H36" s="231"/>
      <c r="I36" s="231"/>
      <c r="J36" s="540"/>
      <c r="K36" s="542"/>
      <c r="L36" s="553" t="s">
        <v>284</v>
      </c>
      <c r="M36" s="231"/>
      <c r="N36" s="231"/>
      <c r="O36" s="540"/>
      <c r="P36" s="555" t="str">
        <f>IF(M34&gt;Q34,L27,IF(M34=Q34,"",P27))</f>
        <v>Ryan Evans</v>
      </c>
      <c r="Q36" s="231"/>
      <c r="R36" s="231"/>
      <c r="S36" s="540"/>
      <c r="T36" s="542"/>
      <c r="U36" s="553" t="s">
        <v>284</v>
      </c>
      <c r="V36" s="231"/>
      <c r="W36" s="231"/>
      <c r="X36" s="540"/>
      <c r="Y36" s="555" t="str">
        <f>IF(V34&gt;Z34,U27,IF(V34=Z34,"",Y27))</f>
        <v>Zach VanSickle</v>
      </c>
      <c r="Z36" s="231"/>
      <c r="AA36" s="231"/>
      <c r="AB36" s="540"/>
      <c r="AC36" s="542"/>
      <c r="AD36" s="553" t="s">
        <v>284</v>
      </c>
      <c r="AE36" s="231"/>
      <c r="AF36" s="231"/>
      <c r="AG36" s="540"/>
      <c r="AH36" s="555" t="str">
        <f>IF(AE34&gt;AI34,AD27,IF(AE34=AI34,"",AH27))</f>
        <v>Jackson McLoughlin</v>
      </c>
      <c r="AI36" s="231"/>
      <c r="AJ36" s="231"/>
      <c r="AK36" s="540"/>
      <c r="AL36" s="542"/>
      <c r="AM36" s="553" t="s">
        <v>284</v>
      </c>
      <c r="AN36" s="231"/>
      <c r="AO36" s="231"/>
      <c r="AP36" s="540"/>
      <c r="AQ36" s="555" t="str">
        <f>IF(AN34&gt;AR34,AM27,IF(AN34=AR34,"",AQ27))</f>
        <v>Ian Heslin</v>
      </c>
      <c r="AR36" s="231"/>
      <c r="AS36" s="231"/>
      <c r="AT36" s="540"/>
      <c r="AU36" s="542"/>
      <c r="AV36" s="553" t="s">
        <v>284</v>
      </c>
      <c r="AW36" s="231"/>
      <c r="AX36" s="231"/>
      <c r="AY36" s="540"/>
      <c r="AZ36" s="555" t="str">
        <f>IF(AW34&gt;BA34,AV27,IF(AW34=BA34,"",AZ27))</f>
        <v>Ryan Evans</v>
      </c>
      <c r="BA36" s="231"/>
      <c r="BB36" s="231"/>
      <c r="BC36" s="540"/>
      <c r="BD36" s="542"/>
      <c r="BE36" s="553" t="s">
        <v>284</v>
      </c>
      <c r="BF36" s="231"/>
      <c r="BG36" s="231"/>
      <c r="BH36" s="540"/>
      <c r="BI36" s="555" t="str">
        <f>IF(BF34&gt;BJ34,BE27,IF(BF34=BJ34,"",BI27))</f>
        <v/>
      </c>
      <c r="BJ36" s="231"/>
      <c r="BK36" s="231"/>
      <c r="BL36" s="540"/>
      <c r="BM36" s="561"/>
      <c r="BN36" s="2"/>
    </row>
    <row r="37" ht="7.5" customHeight="1">
      <c r="A37" s="504"/>
      <c r="B37" s="514"/>
      <c r="C37" s="515"/>
      <c r="D37" s="562"/>
      <c r="E37" s="562"/>
      <c r="F37" s="562"/>
      <c r="G37" s="562"/>
      <c r="H37" s="562"/>
      <c r="I37" s="562"/>
      <c r="J37" s="563"/>
      <c r="K37" s="515"/>
      <c r="L37" s="515"/>
      <c r="M37" s="562"/>
      <c r="N37" s="562"/>
      <c r="O37" s="562"/>
      <c r="P37" s="562"/>
      <c r="Q37" s="562"/>
      <c r="R37" s="562"/>
      <c r="S37" s="563"/>
      <c r="T37" s="515"/>
      <c r="U37" s="515"/>
      <c r="V37" s="562"/>
      <c r="W37" s="562"/>
      <c r="X37" s="562"/>
      <c r="Y37" s="562"/>
      <c r="Z37" s="562"/>
      <c r="AA37" s="562"/>
      <c r="AB37" s="563"/>
      <c r="AC37" s="515"/>
      <c r="AD37" s="515"/>
      <c r="AE37" s="562"/>
      <c r="AF37" s="562"/>
      <c r="AG37" s="562"/>
      <c r="AH37" s="562"/>
      <c r="AI37" s="562"/>
      <c r="AJ37" s="562"/>
      <c r="AK37" s="563"/>
      <c r="AL37" s="515"/>
      <c r="AM37" s="515"/>
      <c r="AN37" s="562"/>
      <c r="AO37" s="562"/>
      <c r="AP37" s="562"/>
      <c r="AQ37" s="562"/>
      <c r="AR37" s="562"/>
      <c r="AS37" s="562"/>
      <c r="AT37" s="563"/>
      <c r="AU37" s="515"/>
      <c r="AV37" s="515"/>
      <c r="AW37" s="562"/>
      <c r="AX37" s="562"/>
      <c r="AY37" s="562"/>
      <c r="AZ37" s="562"/>
      <c r="BA37" s="562"/>
      <c r="BB37" s="562"/>
      <c r="BC37" s="563"/>
      <c r="BD37" s="515"/>
      <c r="BE37" s="515"/>
      <c r="BF37" s="562"/>
      <c r="BG37" s="562"/>
      <c r="BH37" s="562"/>
      <c r="BI37" s="562"/>
      <c r="BJ37" s="562"/>
      <c r="BK37" s="562"/>
      <c r="BL37" s="562"/>
      <c r="BM37" s="516"/>
      <c r="BN37" s="504"/>
    </row>
    <row r="38">
      <c r="A38" s="504"/>
      <c r="B38" s="514"/>
      <c r="C38" s="517" t="str">
        <f>Schedule!$C$10</f>
        <v>Ryan Evans</v>
      </c>
      <c r="D38" s="564" t="s">
        <v>76</v>
      </c>
      <c r="E38" s="565" t="s">
        <v>77</v>
      </c>
      <c r="F38" s="565" t="s">
        <v>78</v>
      </c>
      <c r="G38" s="566" t="str">
        <f>Schedule!$G$10</f>
        <v>Zach VanSickle</v>
      </c>
      <c r="H38" s="567" t="s">
        <v>76</v>
      </c>
      <c r="I38" s="568" t="s">
        <v>77</v>
      </c>
      <c r="J38" s="569" t="s">
        <v>78</v>
      </c>
      <c r="K38" s="514"/>
      <c r="L38" s="517" t="str">
        <f>Schedule!$C$16</f>
        <v>Jackson McLoughlin</v>
      </c>
      <c r="M38" s="564" t="s">
        <v>76</v>
      </c>
      <c r="N38" s="565" t="s">
        <v>77</v>
      </c>
      <c r="O38" s="565" t="s">
        <v>78</v>
      </c>
      <c r="P38" s="566" t="str">
        <f>Schedule!$G$16</f>
        <v>Zach VanSickle</v>
      </c>
      <c r="Q38" s="567" t="s">
        <v>76</v>
      </c>
      <c r="R38" s="568" t="s">
        <v>77</v>
      </c>
      <c r="S38" s="569" t="s">
        <v>78</v>
      </c>
      <c r="T38" s="514"/>
      <c r="U38" s="517" t="str">
        <f>Schedule!$C$22</f>
        <v>Dick Hansen</v>
      </c>
      <c r="V38" s="564" t="s">
        <v>76</v>
      </c>
      <c r="W38" s="565" t="s">
        <v>77</v>
      </c>
      <c r="X38" s="565" t="s">
        <v>78</v>
      </c>
      <c r="Y38" s="566" t="str">
        <f>Schedule!$G$22</f>
        <v>Jackson McLoughlin</v>
      </c>
      <c r="Z38" s="567" t="s">
        <v>76</v>
      </c>
      <c r="AA38" s="568" t="s">
        <v>77</v>
      </c>
      <c r="AB38" s="569" t="s">
        <v>78</v>
      </c>
      <c r="AC38" s="514"/>
      <c r="AD38" s="517" t="str">
        <f>Schedule!$C$28</f>
        <v>Tyler Gottfredsen</v>
      </c>
      <c r="AE38" s="564" t="s">
        <v>76</v>
      </c>
      <c r="AF38" s="565" t="s">
        <v>77</v>
      </c>
      <c r="AG38" s="565" t="s">
        <v>78</v>
      </c>
      <c r="AH38" s="566" t="str">
        <f>Schedule!$G$28</f>
        <v>Dick Hansen</v>
      </c>
      <c r="AI38" s="567" t="s">
        <v>76</v>
      </c>
      <c r="AJ38" s="568" t="s">
        <v>77</v>
      </c>
      <c r="AK38" s="569" t="s">
        <v>78</v>
      </c>
      <c r="AL38" s="514"/>
      <c r="AM38" s="517" t="str">
        <f>Schedule!$C$34</f>
        <v>Marcus</v>
      </c>
      <c r="AN38" s="564" t="s">
        <v>76</v>
      </c>
      <c r="AO38" s="565" t="s">
        <v>77</v>
      </c>
      <c r="AP38" s="565" t="s">
        <v>78</v>
      </c>
      <c r="AQ38" s="566" t="str">
        <f>Schedule!$G$34</f>
        <v>Tyler Gottfredsen</v>
      </c>
      <c r="AR38" s="567" t="s">
        <v>76</v>
      </c>
      <c r="AS38" s="568" t="s">
        <v>77</v>
      </c>
      <c r="AT38" s="569" t="s">
        <v>78</v>
      </c>
      <c r="AU38" s="514"/>
      <c r="AV38" s="517" t="str">
        <f>Schedule!$C$40</f>
        <v>Marcus</v>
      </c>
      <c r="AW38" s="564" t="s">
        <v>76</v>
      </c>
      <c r="AX38" s="565" t="s">
        <v>77</v>
      </c>
      <c r="AY38" s="565" t="s">
        <v>78</v>
      </c>
      <c r="AZ38" s="566" t="str">
        <f>Schedule!$G$40</f>
        <v>Ian Heslin</v>
      </c>
      <c r="BA38" s="567" t="s">
        <v>76</v>
      </c>
      <c r="BB38" s="568" t="s">
        <v>77</v>
      </c>
      <c r="BC38" s="569" t="s">
        <v>78</v>
      </c>
      <c r="BD38" s="514"/>
      <c r="BE38" s="517" t="str">
        <f>Schedule!$C$46</f>
        <v>Ian Heslin</v>
      </c>
      <c r="BF38" s="564" t="s">
        <v>76</v>
      </c>
      <c r="BG38" s="565" t="s">
        <v>77</v>
      </c>
      <c r="BH38" s="565" t="s">
        <v>78</v>
      </c>
      <c r="BI38" s="566" t="str">
        <f>Schedule!$G$46</f>
        <v>Ryan Evans</v>
      </c>
      <c r="BJ38" s="567" t="s">
        <v>76</v>
      </c>
      <c r="BK38" s="568" t="s">
        <v>77</v>
      </c>
      <c r="BL38" s="569" t="s">
        <v>78</v>
      </c>
      <c r="BM38" s="516"/>
      <c r="BN38" s="504"/>
    </row>
    <row r="39">
      <c r="A39" s="504"/>
      <c r="B39" s="514"/>
      <c r="C39" s="597" t="s">
        <v>355</v>
      </c>
      <c r="D39" s="598">
        <v>0.0</v>
      </c>
      <c r="E39" s="598">
        <v>1.0</v>
      </c>
      <c r="F39" s="599">
        <f t="shared" ref="F39:F44" si="43">D39-E39</f>
        <v>-1</v>
      </c>
      <c r="G39" s="600" t="s">
        <v>225</v>
      </c>
      <c r="H39" s="598">
        <v>0.0</v>
      </c>
      <c r="I39" s="598">
        <v>0.0</v>
      </c>
      <c r="J39" s="599">
        <f t="shared" ref="J39:J44" si="44">H39-I39</f>
        <v>0</v>
      </c>
      <c r="K39" s="514"/>
      <c r="L39" s="597" t="s">
        <v>90</v>
      </c>
      <c r="M39" s="598">
        <v>2.0</v>
      </c>
      <c r="N39" s="598"/>
      <c r="O39" s="599">
        <f t="shared" ref="O39:O44" si="45">M39-N39</f>
        <v>2</v>
      </c>
      <c r="P39" s="600" t="s">
        <v>300</v>
      </c>
      <c r="Q39" s="598">
        <v>1.0</v>
      </c>
      <c r="R39" s="598">
        <v>1.0</v>
      </c>
      <c r="S39" s="599">
        <f t="shared" ref="S39:S44" si="46">Q39-R39</f>
        <v>0</v>
      </c>
      <c r="T39" s="514"/>
      <c r="U39" s="597" t="s">
        <v>155</v>
      </c>
      <c r="V39" s="598">
        <v>1.0</v>
      </c>
      <c r="W39" s="598">
        <v>1.0</v>
      </c>
      <c r="X39" s="599">
        <f t="shared" ref="X39:X44" si="47">V39-W39</f>
        <v>0</v>
      </c>
      <c r="Y39" s="600" t="s">
        <v>90</v>
      </c>
      <c r="Z39" s="674"/>
      <c r="AA39" s="598"/>
      <c r="AB39" s="599">
        <f t="shared" ref="AB39:AB44" si="48">Z39-AA39</f>
        <v>0</v>
      </c>
      <c r="AC39" s="514"/>
      <c r="AD39" s="597" t="s">
        <v>235</v>
      </c>
      <c r="AE39" s="675"/>
      <c r="AF39" s="675">
        <v>1.0</v>
      </c>
      <c r="AG39" s="677">
        <f t="shared" ref="AG39:AG44" si="49">AE39-AF39</f>
        <v>-1</v>
      </c>
      <c r="AH39" s="600" t="s">
        <v>241</v>
      </c>
      <c r="AI39" s="678"/>
      <c r="AJ39" s="675">
        <v>1.0</v>
      </c>
      <c r="AK39" s="677">
        <f t="shared" ref="AK39:AK44" si="50">AI39-AJ39</f>
        <v>-1</v>
      </c>
      <c r="AL39" s="514"/>
      <c r="AM39" s="605"/>
      <c r="AN39" s="598"/>
      <c r="AO39" s="598"/>
      <c r="AP39" s="599">
        <f t="shared" ref="AP39:AP44" si="51">AN39-AO39</f>
        <v>0</v>
      </c>
      <c r="AQ39" s="608"/>
      <c r="AR39" s="598"/>
      <c r="AS39" s="598"/>
      <c r="AT39" s="599">
        <f t="shared" ref="AT39:AT44" si="52">AR39-AS39</f>
        <v>0</v>
      </c>
      <c r="AU39" s="514"/>
      <c r="AV39" s="597" t="s">
        <v>229</v>
      </c>
      <c r="AW39" s="598"/>
      <c r="AX39" s="598">
        <v>1.0</v>
      </c>
      <c r="AY39" s="599">
        <f t="shared" ref="AY39:AY44" si="53">AW39-AX39</f>
        <v>-1</v>
      </c>
      <c r="AZ39" s="600" t="s">
        <v>99</v>
      </c>
      <c r="BA39" s="598">
        <v>2.0</v>
      </c>
      <c r="BB39" s="598"/>
      <c r="BC39" s="599">
        <f t="shared" ref="BC39:BC44" si="54">BA39-BB39</f>
        <v>2</v>
      </c>
      <c r="BD39" s="514"/>
      <c r="BE39" s="597" t="s">
        <v>99</v>
      </c>
      <c r="BF39" s="598">
        <v>1.0</v>
      </c>
      <c r="BG39" s="598">
        <v>0.0</v>
      </c>
      <c r="BH39" s="599">
        <f t="shared" ref="BH39:BH44" si="55">BF39-BG39</f>
        <v>1</v>
      </c>
      <c r="BI39" s="600" t="s">
        <v>113</v>
      </c>
      <c r="BJ39" s="598">
        <v>0.0</v>
      </c>
      <c r="BK39" s="598">
        <v>1.0</v>
      </c>
      <c r="BL39" s="599">
        <f t="shared" ref="BL39:BL44" si="56">BJ39-BK39</f>
        <v>-1</v>
      </c>
      <c r="BM39" s="516"/>
      <c r="BN39" s="504"/>
    </row>
    <row r="40">
      <c r="A40" s="504"/>
      <c r="B40" s="514"/>
      <c r="C40" s="611" t="s">
        <v>113</v>
      </c>
      <c r="D40" s="612">
        <v>0.0</v>
      </c>
      <c r="E40" s="612">
        <v>1.0</v>
      </c>
      <c r="F40" s="613">
        <f t="shared" si="43"/>
        <v>-1</v>
      </c>
      <c r="G40" s="614" t="s">
        <v>357</v>
      </c>
      <c r="H40" s="612">
        <v>0.0</v>
      </c>
      <c r="I40" s="612">
        <v>1.0</v>
      </c>
      <c r="J40" s="613">
        <f t="shared" si="44"/>
        <v>-1</v>
      </c>
      <c r="K40" s="514"/>
      <c r="L40" s="611" t="s">
        <v>170</v>
      </c>
      <c r="M40" s="618"/>
      <c r="N40" s="612">
        <v>1.0</v>
      </c>
      <c r="O40" s="613">
        <f t="shared" si="45"/>
        <v>-1</v>
      </c>
      <c r="P40" s="614" t="s">
        <v>188</v>
      </c>
      <c r="Q40" s="612">
        <v>1.0</v>
      </c>
      <c r="R40" s="612">
        <v>1.0</v>
      </c>
      <c r="S40" s="613">
        <f t="shared" si="46"/>
        <v>0</v>
      </c>
      <c r="T40" s="514"/>
      <c r="U40" s="611" t="s">
        <v>243</v>
      </c>
      <c r="V40" s="625"/>
      <c r="W40" s="615">
        <v>1.0</v>
      </c>
      <c r="X40" s="613">
        <f t="shared" si="47"/>
        <v>-1</v>
      </c>
      <c r="Y40" s="614" t="s">
        <v>104</v>
      </c>
      <c r="Z40" s="625"/>
      <c r="AA40" s="615">
        <v>1.0</v>
      </c>
      <c r="AB40" s="613">
        <f t="shared" si="48"/>
        <v>-1</v>
      </c>
      <c r="AC40" s="514"/>
      <c r="AD40" s="611" t="s">
        <v>244</v>
      </c>
      <c r="AE40" s="680"/>
      <c r="AF40" s="681">
        <v>1.0</v>
      </c>
      <c r="AG40" s="682">
        <f t="shared" si="49"/>
        <v>-1</v>
      </c>
      <c r="AH40" s="614" t="s">
        <v>149</v>
      </c>
      <c r="AI40" s="681">
        <v>1.0</v>
      </c>
      <c r="AJ40" s="681">
        <v>1.0</v>
      </c>
      <c r="AK40" s="682">
        <f t="shared" si="50"/>
        <v>0</v>
      </c>
      <c r="AL40" s="514"/>
      <c r="AM40" s="623"/>
      <c r="AN40" s="625"/>
      <c r="AO40" s="615"/>
      <c r="AP40" s="613">
        <f t="shared" si="51"/>
        <v>0</v>
      </c>
      <c r="AQ40" s="626"/>
      <c r="AR40" s="625"/>
      <c r="AS40" s="615"/>
      <c r="AT40" s="613">
        <f t="shared" si="52"/>
        <v>0</v>
      </c>
      <c r="AU40" s="514"/>
      <c r="AV40" s="611" t="s">
        <v>109</v>
      </c>
      <c r="AW40" s="615">
        <v>1.0</v>
      </c>
      <c r="AX40" s="615">
        <v>1.0</v>
      </c>
      <c r="AY40" s="613">
        <f t="shared" si="53"/>
        <v>0</v>
      </c>
      <c r="AZ40" s="614" t="s">
        <v>144</v>
      </c>
      <c r="BA40" s="615">
        <v>1.0</v>
      </c>
      <c r="BB40" s="615"/>
      <c r="BC40" s="613">
        <f t="shared" si="54"/>
        <v>1</v>
      </c>
      <c r="BD40" s="514"/>
      <c r="BE40" s="611" t="s">
        <v>96</v>
      </c>
      <c r="BF40" s="612">
        <v>0.0</v>
      </c>
      <c r="BG40" s="612">
        <v>1.0</v>
      </c>
      <c r="BH40" s="613">
        <f t="shared" si="55"/>
        <v>-1</v>
      </c>
      <c r="BI40" s="614" t="s">
        <v>85</v>
      </c>
      <c r="BJ40" s="612">
        <v>0.0</v>
      </c>
      <c r="BK40" s="612">
        <v>1.0</v>
      </c>
      <c r="BL40" s="613">
        <f t="shared" si="56"/>
        <v>-1</v>
      </c>
      <c r="BM40" s="516"/>
      <c r="BN40" s="504"/>
    </row>
    <row r="41">
      <c r="A41" s="504"/>
      <c r="B41" s="514"/>
      <c r="C41" s="611" t="s">
        <v>114</v>
      </c>
      <c r="D41" s="612">
        <v>1.0</v>
      </c>
      <c r="E41" s="612">
        <v>1.0</v>
      </c>
      <c r="F41" s="613">
        <f t="shared" si="43"/>
        <v>0</v>
      </c>
      <c r="G41" s="614" t="s">
        <v>358</v>
      </c>
      <c r="H41" s="612">
        <v>0.0</v>
      </c>
      <c r="I41" s="612">
        <v>0.0</v>
      </c>
      <c r="J41" s="613">
        <f t="shared" si="44"/>
        <v>0</v>
      </c>
      <c r="K41" s="514"/>
      <c r="L41" s="611" t="s">
        <v>97</v>
      </c>
      <c r="M41" s="612">
        <v>1.0</v>
      </c>
      <c r="N41" s="612">
        <v>1.0</v>
      </c>
      <c r="O41" s="613">
        <f t="shared" si="45"/>
        <v>0</v>
      </c>
      <c r="P41" s="614" t="s">
        <v>239</v>
      </c>
      <c r="Q41" s="612"/>
      <c r="R41" s="612">
        <v>1.0</v>
      </c>
      <c r="S41" s="613">
        <f t="shared" si="46"/>
        <v>-1</v>
      </c>
      <c r="T41" s="514"/>
      <c r="U41" s="611" t="s">
        <v>246</v>
      </c>
      <c r="V41" s="625"/>
      <c r="W41" s="615">
        <v>1.0</v>
      </c>
      <c r="X41" s="613">
        <f t="shared" si="47"/>
        <v>-1</v>
      </c>
      <c r="Y41" s="614" t="s">
        <v>91</v>
      </c>
      <c r="Z41" s="615">
        <v>4.0</v>
      </c>
      <c r="AA41" s="615"/>
      <c r="AB41" s="613">
        <f t="shared" si="48"/>
        <v>4</v>
      </c>
      <c r="AC41" s="514"/>
      <c r="AD41" s="611" t="s">
        <v>112</v>
      </c>
      <c r="AE41" s="681">
        <v>2.0</v>
      </c>
      <c r="AF41" s="681">
        <v>1.0</v>
      </c>
      <c r="AG41" s="682">
        <f t="shared" si="49"/>
        <v>1</v>
      </c>
      <c r="AH41" s="614" t="s">
        <v>245</v>
      </c>
      <c r="AI41" s="681"/>
      <c r="AJ41" s="681">
        <v>1.0</v>
      </c>
      <c r="AK41" s="682">
        <f t="shared" si="50"/>
        <v>-1</v>
      </c>
      <c r="AL41" s="514"/>
      <c r="AM41" s="623"/>
      <c r="AN41" s="625"/>
      <c r="AO41" s="625"/>
      <c r="AP41" s="613">
        <f t="shared" si="51"/>
        <v>0</v>
      </c>
      <c r="AQ41" s="626"/>
      <c r="AR41" s="615"/>
      <c r="AS41" s="615"/>
      <c r="AT41" s="613">
        <f t="shared" si="52"/>
        <v>0</v>
      </c>
      <c r="AU41" s="514"/>
      <c r="AV41" s="611" t="s">
        <v>224</v>
      </c>
      <c r="AW41" s="625"/>
      <c r="AX41" s="615">
        <v>1.0</v>
      </c>
      <c r="AY41" s="613">
        <f t="shared" si="53"/>
        <v>-1</v>
      </c>
      <c r="AZ41" s="614" t="s">
        <v>115</v>
      </c>
      <c r="BA41" s="615"/>
      <c r="BB41" s="615"/>
      <c r="BC41" s="613">
        <f t="shared" si="54"/>
        <v>0</v>
      </c>
      <c r="BD41" s="514"/>
      <c r="BE41" s="611" t="s">
        <v>79</v>
      </c>
      <c r="BF41" s="612">
        <v>2.0</v>
      </c>
      <c r="BG41" s="612">
        <v>0.0</v>
      </c>
      <c r="BH41" s="613">
        <f t="shared" si="55"/>
        <v>2</v>
      </c>
      <c r="BI41" s="614" t="s">
        <v>114</v>
      </c>
      <c r="BJ41" s="612">
        <v>2.0</v>
      </c>
      <c r="BK41" s="612">
        <v>1.0</v>
      </c>
      <c r="BL41" s="613">
        <f t="shared" si="56"/>
        <v>1</v>
      </c>
      <c r="BM41" s="516"/>
      <c r="BN41" s="504"/>
    </row>
    <row r="42">
      <c r="A42" s="504"/>
      <c r="B42" s="514"/>
      <c r="C42" s="611" t="s">
        <v>130</v>
      </c>
      <c r="D42" s="612">
        <v>0.0</v>
      </c>
      <c r="E42" s="612">
        <v>1.0</v>
      </c>
      <c r="F42" s="613">
        <f t="shared" si="43"/>
        <v>-1</v>
      </c>
      <c r="G42" s="614" t="s">
        <v>133</v>
      </c>
      <c r="H42" s="612">
        <v>2.0</v>
      </c>
      <c r="I42" s="612">
        <v>0.0</v>
      </c>
      <c r="J42" s="613">
        <f t="shared" si="44"/>
        <v>2</v>
      </c>
      <c r="K42" s="514"/>
      <c r="L42" s="611" t="s">
        <v>104</v>
      </c>
      <c r="M42" s="612">
        <v>3.0</v>
      </c>
      <c r="N42" s="612">
        <v>1.0</v>
      </c>
      <c r="O42" s="613">
        <f t="shared" si="45"/>
        <v>2</v>
      </c>
      <c r="P42" s="614" t="s">
        <v>359</v>
      </c>
      <c r="Q42" s="618"/>
      <c r="R42" s="612">
        <v>1.0</v>
      </c>
      <c r="S42" s="613">
        <f t="shared" si="46"/>
        <v>-1</v>
      </c>
      <c r="T42" s="514"/>
      <c r="U42" s="611" t="s">
        <v>149</v>
      </c>
      <c r="V42" s="615">
        <v>1.0</v>
      </c>
      <c r="W42" s="615">
        <v>1.0</v>
      </c>
      <c r="X42" s="613">
        <f t="shared" si="47"/>
        <v>0</v>
      </c>
      <c r="Y42" s="614" t="s">
        <v>97</v>
      </c>
      <c r="Z42" s="615">
        <v>1.0</v>
      </c>
      <c r="AA42" s="615"/>
      <c r="AB42" s="613">
        <f t="shared" si="48"/>
        <v>1</v>
      </c>
      <c r="AC42" s="514"/>
      <c r="AD42" s="611" t="s">
        <v>153</v>
      </c>
      <c r="AE42" s="681">
        <v>2.0</v>
      </c>
      <c r="AF42" s="681"/>
      <c r="AG42" s="682">
        <f t="shared" si="49"/>
        <v>2</v>
      </c>
      <c r="AH42" s="614" t="s">
        <v>246</v>
      </c>
      <c r="AI42" s="680"/>
      <c r="AJ42" s="681">
        <v>1.0</v>
      </c>
      <c r="AK42" s="682">
        <f t="shared" si="50"/>
        <v>-1</v>
      </c>
      <c r="AL42" s="514"/>
      <c r="AM42" s="623"/>
      <c r="AN42" s="615"/>
      <c r="AO42" s="615"/>
      <c r="AP42" s="613">
        <f t="shared" si="51"/>
        <v>0</v>
      </c>
      <c r="AQ42" s="626"/>
      <c r="AR42" s="625"/>
      <c r="AS42" s="615"/>
      <c r="AT42" s="613">
        <f t="shared" si="52"/>
        <v>0</v>
      </c>
      <c r="AU42" s="514"/>
      <c r="AV42" s="611" t="s">
        <v>123</v>
      </c>
      <c r="AW42" s="615"/>
      <c r="AX42" s="615">
        <v>1.0</v>
      </c>
      <c r="AY42" s="613">
        <f t="shared" si="53"/>
        <v>-1</v>
      </c>
      <c r="AZ42" s="614" t="s">
        <v>96</v>
      </c>
      <c r="BA42" s="625"/>
      <c r="BB42" s="615">
        <v>1.0</v>
      </c>
      <c r="BC42" s="613">
        <f t="shared" si="54"/>
        <v>-1</v>
      </c>
      <c r="BD42" s="514"/>
      <c r="BE42" s="611" t="s">
        <v>144</v>
      </c>
      <c r="BF42" s="612">
        <v>0.0</v>
      </c>
      <c r="BG42" s="612">
        <v>1.0</v>
      </c>
      <c r="BH42" s="613">
        <f t="shared" si="55"/>
        <v>-1</v>
      </c>
      <c r="BI42" s="614" t="s">
        <v>130</v>
      </c>
      <c r="BJ42" s="612">
        <v>1.0</v>
      </c>
      <c r="BK42" s="612">
        <v>1.0</v>
      </c>
      <c r="BL42" s="613">
        <f t="shared" si="56"/>
        <v>0</v>
      </c>
      <c r="BM42" s="516"/>
      <c r="BN42" s="504"/>
    </row>
    <row r="43">
      <c r="A43" s="504"/>
      <c r="B43" s="514"/>
      <c r="C43" s="611" t="s">
        <v>195</v>
      </c>
      <c r="D43" s="612">
        <v>0.0</v>
      </c>
      <c r="E43" s="612">
        <v>1.0</v>
      </c>
      <c r="F43" s="613">
        <f t="shared" si="43"/>
        <v>-1</v>
      </c>
      <c r="G43" s="614" t="s">
        <v>138</v>
      </c>
      <c r="H43" s="612">
        <v>0.0</v>
      </c>
      <c r="I43" s="612">
        <v>0.0</v>
      </c>
      <c r="J43" s="613">
        <f t="shared" si="44"/>
        <v>0</v>
      </c>
      <c r="K43" s="514"/>
      <c r="L43" s="611" t="s">
        <v>323</v>
      </c>
      <c r="M43" s="612"/>
      <c r="N43" s="612"/>
      <c r="O43" s="613">
        <f t="shared" si="45"/>
        <v>0</v>
      </c>
      <c r="P43" s="614" t="s">
        <v>138</v>
      </c>
      <c r="Q43" s="612"/>
      <c r="R43" s="612">
        <v>1.0</v>
      </c>
      <c r="S43" s="613">
        <f t="shared" si="46"/>
        <v>-1</v>
      </c>
      <c r="T43" s="514"/>
      <c r="U43" s="611" t="s">
        <v>241</v>
      </c>
      <c r="V43" s="615"/>
      <c r="W43" s="615">
        <v>1.0</v>
      </c>
      <c r="X43" s="613">
        <f t="shared" si="47"/>
        <v>-1</v>
      </c>
      <c r="Y43" s="614" t="s">
        <v>132</v>
      </c>
      <c r="Z43" s="615">
        <v>1.0</v>
      </c>
      <c r="AA43" s="615">
        <v>1.0</v>
      </c>
      <c r="AB43" s="613">
        <f t="shared" si="48"/>
        <v>0</v>
      </c>
      <c r="AC43" s="514"/>
      <c r="AD43" s="611" t="s">
        <v>222</v>
      </c>
      <c r="AE43" s="681"/>
      <c r="AF43" s="681"/>
      <c r="AG43" s="682">
        <f t="shared" si="49"/>
        <v>0</v>
      </c>
      <c r="AH43" s="614" t="s">
        <v>177</v>
      </c>
      <c r="AI43" s="681">
        <v>1.0</v>
      </c>
      <c r="AJ43" s="681">
        <v>1.0</v>
      </c>
      <c r="AK43" s="682">
        <f t="shared" si="50"/>
        <v>0</v>
      </c>
      <c r="AL43" s="514"/>
      <c r="AM43" s="623"/>
      <c r="AN43" s="615"/>
      <c r="AO43" s="615"/>
      <c r="AP43" s="613">
        <f t="shared" si="51"/>
        <v>0</v>
      </c>
      <c r="AQ43" s="626"/>
      <c r="AR43" s="615"/>
      <c r="AS43" s="615"/>
      <c r="AT43" s="613">
        <f t="shared" si="52"/>
        <v>0</v>
      </c>
      <c r="AU43" s="514"/>
      <c r="AV43" s="611" t="s">
        <v>156</v>
      </c>
      <c r="AW43" s="615"/>
      <c r="AX43" s="615">
        <v>1.0</v>
      </c>
      <c r="AY43" s="613">
        <f t="shared" si="53"/>
        <v>-1</v>
      </c>
      <c r="AZ43" s="614" t="s">
        <v>79</v>
      </c>
      <c r="BA43" s="615">
        <v>2.0</v>
      </c>
      <c r="BB43" s="615"/>
      <c r="BC43" s="613">
        <f t="shared" si="54"/>
        <v>2</v>
      </c>
      <c r="BD43" s="514"/>
      <c r="BE43" s="611" t="s">
        <v>129</v>
      </c>
      <c r="BF43" s="612">
        <v>0.0</v>
      </c>
      <c r="BG43" s="612">
        <v>1.0</v>
      </c>
      <c r="BH43" s="613">
        <f t="shared" si="55"/>
        <v>-1</v>
      </c>
      <c r="BI43" s="614" t="s">
        <v>195</v>
      </c>
      <c r="BJ43" s="612">
        <v>0.0</v>
      </c>
      <c r="BK43" s="612">
        <v>1.0</v>
      </c>
      <c r="BL43" s="613">
        <f t="shared" si="56"/>
        <v>-1</v>
      </c>
      <c r="BM43" s="516"/>
      <c r="BN43" s="504"/>
    </row>
    <row r="44">
      <c r="A44" s="504"/>
      <c r="B44" s="514"/>
      <c r="C44" s="611" t="s">
        <v>126</v>
      </c>
      <c r="D44" s="612">
        <v>2.0</v>
      </c>
      <c r="E44" s="612">
        <v>1.0</v>
      </c>
      <c r="F44" s="613">
        <f t="shared" si="43"/>
        <v>1</v>
      </c>
      <c r="G44" s="614" t="s">
        <v>118</v>
      </c>
      <c r="H44" s="612">
        <v>3.0</v>
      </c>
      <c r="I44" s="612">
        <v>1.0</v>
      </c>
      <c r="J44" s="613">
        <f t="shared" si="44"/>
        <v>2</v>
      </c>
      <c r="K44" s="514"/>
      <c r="L44" s="611" t="s">
        <v>320</v>
      </c>
      <c r="M44" s="612"/>
      <c r="N44" s="612"/>
      <c r="O44" s="613">
        <f t="shared" si="45"/>
        <v>0</v>
      </c>
      <c r="P44" s="614" t="s">
        <v>137</v>
      </c>
      <c r="Q44" s="612">
        <v>1.0</v>
      </c>
      <c r="R44" s="612">
        <v>1.0</v>
      </c>
      <c r="S44" s="613">
        <f t="shared" si="46"/>
        <v>0</v>
      </c>
      <c r="T44" s="514"/>
      <c r="U44" s="611" t="s">
        <v>177</v>
      </c>
      <c r="V44" s="615"/>
      <c r="W44" s="615">
        <v>1.0</v>
      </c>
      <c r="X44" s="613">
        <f t="shared" si="47"/>
        <v>-1</v>
      </c>
      <c r="Y44" s="614" t="s">
        <v>142</v>
      </c>
      <c r="Z44" s="615"/>
      <c r="AA44" s="615"/>
      <c r="AB44" s="613">
        <f t="shared" si="48"/>
        <v>0</v>
      </c>
      <c r="AC44" s="514"/>
      <c r="AD44" s="611" t="s">
        <v>131</v>
      </c>
      <c r="AE44" s="684">
        <v>2.0</v>
      </c>
      <c r="AF44" s="684"/>
      <c r="AG44" s="682">
        <f t="shared" si="49"/>
        <v>2</v>
      </c>
      <c r="AH44" s="614" t="s">
        <v>155</v>
      </c>
      <c r="AI44" s="681">
        <v>1.0</v>
      </c>
      <c r="AJ44" s="681">
        <v>1.0</v>
      </c>
      <c r="AK44" s="682">
        <f t="shared" si="50"/>
        <v>0</v>
      </c>
      <c r="AL44" s="514"/>
      <c r="AM44" s="623"/>
      <c r="AN44" s="615"/>
      <c r="AO44" s="615"/>
      <c r="AP44" s="613">
        <f t="shared" si="51"/>
        <v>0</v>
      </c>
      <c r="AQ44" s="626"/>
      <c r="AR44" s="615"/>
      <c r="AS44" s="615"/>
      <c r="AT44" s="613">
        <f t="shared" si="52"/>
        <v>0</v>
      </c>
      <c r="AU44" s="514"/>
      <c r="AV44" s="611" t="s">
        <v>185</v>
      </c>
      <c r="AW44" s="615"/>
      <c r="AX44" s="615">
        <v>1.0</v>
      </c>
      <c r="AY44" s="613">
        <f t="shared" si="53"/>
        <v>-1</v>
      </c>
      <c r="AZ44" s="614" t="s">
        <v>159</v>
      </c>
      <c r="BA44" s="615">
        <v>1.0</v>
      </c>
      <c r="BB44" s="615"/>
      <c r="BC44" s="613">
        <f t="shared" si="54"/>
        <v>1</v>
      </c>
      <c r="BD44" s="514"/>
      <c r="BE44" s="611" t="s">
        <v>115</v>
      </c>
      <c r="BF44" s="612">
        <v>3.0</v>
      </c>
      <c r="BG44" s="612">
        <v>0.0</v>
      </c>
      <c r="BH44" s="613">
        <f t="shared" si="55"/>
        <v>3</v>
      </c>
      <c r="BI44" s="614" t="s">
        <v>306</v>
      </c>
      <c r="BJ44" s="612">
        <v>0.0</v>
      </c>
      <c r="BK44" s="612">
        <v>1.0</v>
      </c>
      <c r="BL44" s="613">
        <f t="shared" si="56"/>
        <v>-1</v>
      </c>
      <c r="BM44" s="516"/>
      <c r="BN44" s="504"/>
    </row>
    <row r="45">
      <c r="A45" s="504"/>
      <c r="B45" s="514"/>
      <c r="C45" s="638" t="s">
        <v>270</v>
      </c>
      <c r="D45" s="639">
        <f>SUM(F39:F44)</f>
        <v>-3</v>
      </c>
      <c r="E45" s="147"/>
      <c r="F45" s="148"/>
      <c r="G45" s="640" t="s">
        <v>270</v>
      </c>
      <c r="H45" s="639">
        <f>SUM(J39:J44)</f>
        <v>3</v>
      </c>
      <c r="I45" s="147"/>
      <c r="J45" s="148"/>
      <c r="K45" s="514"/>
      <c r="L45" s="638" t="s">
        <v>270</v>
      </c>
      <c r="M45" s="639">
        <f>SUM(O39:O44)</f>
        <v>3</v>
      </c>
      <c r="N45" s="147"/>
      <c r="O45" s="148"/>
      <c r="P45" s="640" t="s">
        <v>270</v>
      </c>
      <c r="Q45" s="639">
        <f>SUM(S39:S44)</f>
        <v>-3</v>
      </c>
      <c r="R45" s="147"/>
      <c r="S45" s="148"/>
      <c r="T45" s="514"/>
      <c r="U45" s="638" t="s">
        <v>270</v>
      </c>
      <c r="V45" s="639">
        <f>SUM(X39:X44)</f>
        <v>-4</v>
      </c>
      <c r="W45" s="147"/>
      <c r="X45" s="148"/>
      <c r="Y45" s="640" t="s">
        <v>270</v>
      </c>
      <c r="Z45" s="639">
        <f>SUM(AB39:AB44)</f>
        <v>4</v>
      </c>
      <c r="AA45" s="147"/>
      <c r="AB45" s="148"/>
      <c r="AC45" s="514"/>
      <c r="AD45" s="638" t="s">
        <v>270</v>
      </c>
      <c r="AE45" s="639">
        <f>SUM(AG39:AG44)</f>
        <v>3</v>
      </c>
      <c r="AF45" s="147"/>
      <c r="AG45" s="148"/>
      <c r="AH45" s="640" t="s">
        <v>270</v>
      </c>
      <c r="AI45" s="639">
        <f>SUM(AK39:AK44)</f>
        <v>-3</v>
      </c>
      <c r="AJ45" s="147"/>
      <c r="AK45" s="148"/>
      <c r="AL45" s="514"/>
      <c r="AM45" s="638" t="s">
        <v>270</v>
      </c>
      <c r="AN45" s="639">
        <f>SUM(AP39:AP44)</f>
        <v>0</v>
      </c>
      <c r="AO45" s="147"/>
      <c r="AP45" s="148"/>
      <c r="AQ45" s="640" t="s">
        <v>270</v>
      </c>
      <c r="AR45" s="639">
        <f>SUM(AT39:AT44)</f>
        <v>0</v>
      </c>
      <c r="AS45" s="147"/>
      <c r="AT45" s="148"/>
      <c r="AU45" s="514"/>
      <c r="AV45" s="638" t="s">
        <v>270</v>
      </c>
      <c r="AW45" s="639">
        <f>SUM(AY39:AY44)</f>
        <v>-5</v>
      </c>
      <c r="AX45" s="147"/>
      <c r="AY45" s="148"/>
      <c r="AZ45" s="640" t="s">
        <v>270</v>
      </c>
      <c r="BA45" s="639">
        <f>SUM(BC39:BC44)</f>
        <v>5</v>
      </c>
      <c r="BB45" s="147"/>
      <c r="BC45" s="148"/>
      <c r="BD45" s="514"/>
      <c r="BE45" s="638" t="s">
        <v>270</v>
      </c>
      <c r="BF45" s="639">
        <f>SUM(BH39:BH44)</f>
        <v>3</v>
      </c>
      <c r="BG45" s="147"/>
      <c r="BH45" s="148"/>
      <c r="BI45" s="640" t="s">
        <v>270</v>
      </c>
      <c r="BJ45" s="639">
        <f>SUM(BL39:BL44)</f>
        <v>-3</v>
      </c>
      <c r="BK45" s="147"/>
      <c r="BL45" s="148"/>
      <c r="BM45" s="516"/>
      <c r="BN45" s="504"/>
    </row>
    <row r="46">
      <c r="A46" s="2"/>
      <c r="B46" s="542"/>
      <c r="C46" s="543" t="s">
        <v>274</v>
      </c>
      <c r="D46" s="188"/>
      <c r="E46" s="188"/>
      <c r="F46" s="544"/>
      <c r="G46" s="547" t="s">
        <v>366</v>
      </c>
      <c r="H46" s="188"/>
      <c r="I46" s="188"/>
      <c r="J46" s="191"/>
      <c r="K46" s="548"/>
      <c r="L46" s="543" t="s">
        <v>274</v>
      </c>
      <c r="M46" s="188"/>
      <c r="N46" s="188"/>
      <c r="O46" s="544"/>
      <c r="P46" s="547" t="s">
        <v>370</v>
      </c>
      <c r="Q46" s="188"/>
      <c r="R46" s="188"/>
      <c r="S46" s="191"/>
      <c r="T46" s="548"/>
      <c r="U46" s="543" t="s">
        <v>274</v>
      </c>
      <c r="V46" s="188"/>
      <c r="W46" s="188"/>
      <c r="X46" s="544"/>
      <c r="Y46" s="543" t="s">
        <v>372</v>
      </c>
      <c r="Z46" s="188"/>
      <c r="AA46" s="188"/>
      <c r="AB46" s="191"/>
      <c r="AC46" s="548"/>
      <c r="AD46" s="543" t="s">
        <v>274</v>
      </c>
      <c r="AE46" s="188"/>
      <c r="AF46" s="188"/>
      <c r="AG46" s="544"/>
      <c r="AH46" s="543" t="s">
        <v>309</v>
      </c>
      <c r="AI46" s="188"/>
      <c r="AJ46" s="188"/>
      <c r="AK46" s="191"/>
      <c r="AL46" s="548"/>
      <c r="AM46" s="543" t="s">
        <v>274</v>
      </c>
      <c r="AN46" s="188"/>
      <c r="AO46" s="188"/>
      <c r="AP46" s="544"/>
      <c r="AQ46" s="543"/>
      <c r="AR46" s="188"/>
      <c r="AS46" s="188"/>
      <c r="AT46" s="191"/>
      <c r="AU46" s="548"/>
      <c r="AV46" s="543" t="s">
        <v>274</v>
      </c>
      <c r="AW46" s="188"/>
      <c r="AX46" s="188"/>
      <c r="AY46" s="544"/>
      <c r="AZ46" s="617" t="s">
        <v>374</v>
      </c>
      <c r="BA46" s="188"/>
      <c r="BB46" s="188"/>
      <c r="BC46" s="191"/>
      <c r="BD46" s="548"/>
      <c r="BE46" s="543" t="s">
        <v>274</v>
      </c>
      <c r="BF46" s="188"/>
      <c r="BG46" s="188"/>
      <c r="BH46" s="544"/>
      <c r="BI46" s="617" t="s">
        <v>377</v>
      </c>
      <c r="BJ46" s="188"/>
      <c r="BK46" s="188"/>
      <c r="BL46" s="191"/>
      <c r="BM46" s="552"/>
      <c r="BN46" s="2"/>
    </row>
    <row r="47">
      <c r="A47" s="2"/>
      <c r="B47" s="542"/>
      <c r="C47" s="553" t="s">
        <v>284</v>
      </c>
      <c r="D47" s="231"/>
      <c r="E47" s="231"/>
      <c r="F47" s="540"/>
      <c r="G47" s="555" t="str">
        <f>IF(D45&gt;H45,C38,IF(D45=H45,"",G38))</f>
        <v>Zach VanSickle</v>
      </c>
      <c r="H47" s="231"/>
      <c r="I47" s="231"/>
      <c r="J47" s="540"/>
      <c r="K47" s="542"/>
      <c r="L47" s="553" t="s">
        <v>284</v>
      </c>
      <c r="M47" s="231"/>
      <c r="N47" s="231"/>
      <c r="O47" s="540"/>
      <c r="P47" s="555" t="str">
        <f>IF(M45&gt;Q45,L38,IF(M45=Q45,"",P38))</f>
        <v>Jackson McLoughlin</v>
      </c>
      <c r="Q47" s="231"/>
      <c r="R47" s="231"/>
      <c r="S47" s="540"/>
      <c r="T47" s="542"/>
      <c r="U47" s="553" t="s">
        <v>284</v>
      </c>
      <c r="V47" s="231"/>
      <c r="W47" s="231"/>
      <c r="X47" s="540"/>
      <c r="Y47" s="555" t="str">
        <f>IF(V45&gt;Z45,U38,IF(V45=Z45,"",Y38))</f>
        <v>Jackson McLoughlin</v>
      </c>
      <c r="Z47" s="231"/>
      <c r="AA47" s="231"/>
      <c r="AB47" s="540"/>
      <c r="AC47" s="542"/>
      <c r="AD47" s="553" t="s">
        <v>284</v>
      </c>
      <c r="AE47" s="231"/>
      <c r="AF47" s="231"/>
      <c r="AG47" s="540"/>
      <c r="AH47" s="555" t="str">
        <f>IF(AE45&gt;AI45,AD38,IF(AE45=AI45,"",AH38))</f>
        <v>Tyler Gottfredsen</v>
      </c>
      <c r="AI47" s="231"/>
      <c r="AJ47" s="231"/>
      <c r="AK47" s="540"/>
      <c r="AL47" s="542"/>
      <c r="AM47" s="553" t="s">
        <v>284</v>
      </c>
      <c r="AN47" s="231"/>
      <c r="AO47" s="231"/>
      <c r="AP47" s="540"/>
      <c r="AQ47" s="555" t="str">
        <f>IF(AN45&gt;AR45,AM38,IF(AN45=AR45,"",AQ38))</f>
        <v/>
      </c>
      <c r="AR47" s="231"/>
      <c r="AS47" s="231"/>
      <c r="AT47" s="540"/>
      <c r="AU47" s="542"/>
      <c r="AV47" s="553" t="s">
        <v>284</v>
      </c>
      <c r="AW47" s="231"/>
      <c r="AX47" s="231"/>
      <c r="AY47" s="540"/>
      <c r="AZ47" s="555" t="str">
        <f>IF(AW45&gt;BA45,AV38,IF(AW45=BA45,"",AZ38))</f>
        <v>Ian Heslin</v>
      </c>
      <c r="BA47" s="231"/>
      <c r="BB47" s="231"/>
      <c r="BC47" s="540"/>
      <c r="BD47" s="542"/>
      <c r="BE47" s="553" t="s">
        <v>284</v>
      </c>
      <c r="BF47" s="231"/>
      <c r="BG47" s="231"/>
      <c r="BH47" s="540"/>
      <c r="BI47" s="555" t="str">
        <f>IF(BF45&gt;BJ45,BE38,IF(BF45=BJ45,"",BI38))</f>
        <v>Ian Heslin</v>
      </c>
      <c r="BJ47" s="231"/>
      <c r="BK47" s="231"/>
      <c r="BL47" s="540"/>
      <c r="BM47" s="561"/>
      <c r="BN47" s="2"/>
    </row>
    <row r="48" ht="7.5" customHeight="1">
      <c r="A48" s="504"/>
      <c r="B48" s="722"/>
      <c r="C48" s="723"/>
      <c r="D48" s="723"/>
      <c r="E48" s="723"/>
      <c r="F48" s="723"/>
      <c r="G48" s="723"/>
      <c r="H48" s="723"/>
      <c r="I48" s="723"/>
      <c r="J48" s="723"/>
      <c r="K48" s="723"/>
      <c r="L48" s="723"/>
      <c r="M48" s="723"/>
      <c r="N48" s="723"/>
      <c r="O48" s="723"/>
      <c r="P48" s="723"/>
      <c r="Q48" s="723"/>
      <c r="R48" s="723"/>
      <c r="S48" s="723"/>
      <c r="T48" s="723"/>
      <c r="U48" s="723"/>
      <c r="V48" s="723"/>
      <c r="W48" s="723"/>
      <c r="X48" s="723"/>
      <c r="Y48" s="723"/>
      <c r="Z48" s="723"/>
      <c r="AA48" s="723"/>
      <c r="AB48" s="723"/>
      <c r="AC48" s="723"/>
      <c r="AD48" s="726" t="s">
        <v>330</v>
      </c>
      <c r="AE48" s="723"/>
      <c r="AF48" s="723"/>
      <c r="AG48" s="723"/>
      <c r="AH48" s="723"/>
      <c r="AI48" s="723"/>
      <c r="AJ48" s="723"/>
      <c r="AK48" s="723"/>
      <c r="AL48" s="723"/>
      <c r="AM48" s="723"/>
      <c r="AN48" s="723"/>
      <c r="AO48" s="723"/>
      <c r="AP48" s="723"/>
      <c r="AQ48" s="723"/>
      <c r="AR48" s="723"/>
      <c r="AS48" s="723"/>
      <c r="AT48" s="723"/>
      <c r="AU48" s="723"/>
      <c r="AV48" s="723"/>
      <c r="AW48" s="723"/>
      <c r="AX48" s="723"/>
      <c r="AY48" s="723"/>
      <c r="AZ48" s="723"/>
      <c r="BA48" s="723"/>
      <c r="BB48" s="723"/>
      <c r="BC48" s="723"/>
      <c r="BD48" s="723"/>
      <c r="BE48" s="723"/>
      <c r="BF48" s="723"/>
      <c r="BG48" s="723"/>
      <c r="BH48" s="723"/>
      <c r="BI48" s="723"/>
      <c r="BJ48" s="723"/>
      <c r="BK48" s="723"/>
      <c r="BL48" s="723"/>
      <c r="BM48" s="728"/>
      <c r="BN48" s="504"/>
    </row>
    <row r="49" ht="7.5" customHeight="1">
      <c r="A49" s="504"/>
      <c r="B49" s="504"/>
      <c r="C49" s="504"/>
      <c r="D49" s="504"/>
      <c r="E49" s="504"/>
      <c r="F49" s="504"/>
      <c r="G49" s="504"/>
      <c r="H49" s="504"/>
      <c r="I49" s="504"/>
      <c r="J49" s="504"/>
      <c r="K49" s="504"/>
      <c r="L49" s="504"/>
      <c r="M49" s="504"/>
      <c r="N49" s="504"/>
      <c r="O49" s="504"/>
      <c r="P49" s="504"/>
      <c r="Q49" s="504"/>
      <c r="R49" s="504"/>
      <c r="S49" s="504"/>
      <c r="T49" s="504"/>
      <c r="U49" s="504"/>
      <c r="V49" s="504"/>
      <c r="W49" s="504"/>
      <c r="X49" s="504"/>
      <c r="Y49" s="504"/>
      <c r="Z49" s="504"/>
      <c r="AA49" s="504"/>
      <c r="AB49" s="504"/>
      <c r="AC49" s="504"/>
      <c r="AD49" s="502"/>
      <c r="AE49" s="504"/>
      <c r="AF49" s="504"/>
      <c r="AG49" s="504"/>
      <c r="AH49" s="504"/>
      <c r="AI49" s="504"/>
      <c r="AJ49" s="504"/>
      <c r="AK49" s="504"/>
      <c r="AL49" s="504"/>
      <c r="AM49" s="504"/>
      <c r="AN49" s="504"/>
      <c r="AO49" s="504"/>
      <c r="AP49" s="504"/>
      <c r="AQ49" s="504"/>
      <c r="AR49" s="504"/>
      <c r="AS49" s="504"/>
      <c r="AT49" s="504"/>
      <c r="AU49" s="504"/>
      <c r="AV49" s="504"/>
      <c r="AW49" s="504"/>
      <c r="AX49" s="504"/>
      <c r="AY49" s="504"/>
      <c r="AZ49" s="504"/>
      <c r="BA49" s="504"/>
      <c r="BB49" s="504"/>
      <c r="BC49" s="504"/>
      <c r="BD49" s="504"/>
      <c r="BE49" s="504"/>
      <c r="BF49" s="504"/>
      <c r="BG49" s="504"/>
      <c r="BH49" s="504"/>
      <c r="BI49" s="504"/>
      <c r="BJ49" s="504"/>
      <c r="BK49" s="504"/>
      <c r="BL49" s="504"/>
      <c r="BM49" s="504"/>
      <c r="BN49" s="504"/>
    </row>
  </sheetData>
  <mergeCells count="175">
    <mergeCell ref="C3:J3"/>
    <mergeCell ref="L3:S3"/>
    <mergeCell ref="U3:AB3"/>
    <mergeCell ref="AD3:AK3"/>
    <mergeCell ref="AM3:AT3"/>
    <mergeCell ref="AV3:BC3"/>
    <mergeCell ref="BE3:BL3"/>
    <mergeCell ref="AI12:AK12"/>
    <mergeCell ref="AN12:AP12"/>
    <mergeCell ref="AR12:AT12"/>
    <mergeCell ref="AW12:AY12"/>
    <mergeCell ref="BA12:BC12"/>
    <mergeCell ref="BF12:BH12"/>
    <mergeCell ref="BJ12:BL12"/>
    <mergeCell ref="D12:F12"/>
    <mergeCell ref="H12:J12"/>
    <mergeCell ref="M12:O12"/>
    <mergeCell ref="Q12:S12"/>
    <mergeCell ref="V12:X12"/>
    <mergeCell ref="Z12:AB12"/>
    <mergeCell ref="AE12:AG12"/>
    <mergeCell ref="AH13:AK13"/>
    <mergeCell ref="AM13:AP13"/>
    <mergeCell ref="AQ13:AT13"/>
    <mergeCell ref="AV13:AY13"/>
    <mergeCell ref="AZ13:BC13"/>
    <mergeCell ref="BE13:BH13"/>
    <mergeCell ref="BI13:BL13"/>
    <mergeCell ref="C13:F13"/>
    <mergeCell ref="G13:J13"/>
    <mergeCell ref="L13:O13"/>
    <mergeCell ref="P13:S13"/>
    <mergeCell ref="U13:X13"/>
    <mergeCell ref="Y13:AB13"/>
    <mergeCell ref="AD13:AG13"/>
    <mergeCell ref="AH14:AK14"/>
    <mergeCell ref="AM14:AP14"/>
    <mergeCell ref="AQ14:AT14"/>
    <mergeCell ref="AV14:AY14"/>
    <mergeCell ref="AZ14:BC14"/>
    <mergeCell ref="BE14:BH14"/>
    <mergeCell ref="BI14:BL14"/>
    <mergeCell ref="C14:F14"/>
    <mergeCell ref="G14:J14"/>
    <mergeCell ref="L14:O14"/>
    <mergeCell ref="P14:S14"/>
    <mergeCell ref="U14:X14"/>
    <mergeCell ref="Y14:AB14"/>
    <mergeCell ref="AD14:AG14"/>
    <mergeCell ref="AI34:AK34"/>
    <mergeCell ref="AN34:AP34"/>
    <mergeCell ref="AR34:AT34"/>
    <mergeCell ref="AW34:AY34"/>
    <mergeCell ref="BA34:BC34"/>
    <mergeCell ref="BF34:BH34"/>
    <mergeCell ref="BJ34:BL34"/>
    <mergeCell ref="D34:F34"/>
    <mergeCell ref="H34:J34"/>
    <mergeCell ref="M34:O34"/>
    <mergeCell ref="Q34:S34"/>
    <mergeCell ref="V34:X34"/>
    <mergeCell ref="Z34:AB34"/>
    <mergeCell ref="AE34:AG34"/>
    <mergeCell ref="AH35:AK35"/>
    <mergeCell ref="AM35:AP35"/>
    <mergeCell ref="AQ35:AT35"/>
    <mergeCell ref="AV35:AY35"/>
    <mergeCell ref="AZ35:BC35"/>
    <mergeCell ref="BE35:BH35"/>
    <mergeCell ref="BI35:BL35"/>
    <mergeCell ref="C35:F35"/>
    <mergeCell ref="G35:J35"/>
    <mergeCell ref="L35:O35"/>
    <mergeCell ref="P35:S35"/>
    <mergeCell ref="U35:X35"/>
    <mergeCell ref="Y35:AB35"/>
    <mergeCell ref="AD35:AG35"/>
    <mergeCell ref="AH36:AK36"/>
    <mergeCell ref="AM36:AP36"/>
    <mergeCell ref="AQ36:AT36"/>
    <mergeCell ref="AV36:AY36"/>
    <mergeCell ref="AZ36:BC36"/>
    <mergeCell ref="BE36:BH36"/>
    <mergeCell ref="BI36:BL36"/>
    <mergeCell ref="C36:F36"/>
    <mergeCell ref="G36:J36"/>
    <mergeCell ref="L36:O36"/>
    <mergeCell ref="P36:S36"/>
    <mergeCell ref="U36:X36"/>
    <mergeCell ref="Y36:AB36"/>
    <mergeCell ref="AD36:AG36"/>
    <mergeCell ref="AI45:AK45"/>
    <mergeCell ref="AN45:AP45"/>
    <mergeCell ref="AR45:AT45"/>
    <mergeCell ref="AW45:AY45"/>
    <mergeCell ref="BA45:BC45"/>
    <mergeCell ref="BF45:BH45"/>
    <mergeCell ref="BJ45:BL45"/>
    <mergeCell ref="D45:F45"/>
    <mergeCell ref="H45:J45"/>
    <mergeCell ref="M45:O45"/>
    <mergeCell ref="Q45:S45"/>
    <mergeCell ref="V45:X45"/>
    <mergeCell ref="Z45:AB45"/>
    <mergeCell ref="AE45:AG45"/>
    <mergeCell ref="AH46:AK46"/>
    <mergeCell ref="AM46:AP46"/>
    <mergeCell ref="AQ46:AT46"/>
    <mergeCell ref="AV46:AY46"/>
    <mergeCell ref="AZ46:BC46"/>
    <mergeCell ref="BE46:BH46"/>
    <mergeCell ref="BI46:BL46"/>
    <mergeCell ref="C46:F46"/>
    <mergeCell ref="G46:J46"/>
    <mergeCell ref="L46:O46"/>
    <mergeCell ref="P46:S46"/>
    <mergeCell ref="U46:X46"/>
    <mergeCell ref="Y46:AB46"/>
    <mergeCell ref="AD46:AG46"/>
    <mergeCell ref="AI23:AK23"/>
    <mergeCell ref="AN23:AP23"/>
    <mergeCell ref="AR23:AT23"/>
    <mergeCell ref="AW23:AY23"/>
    <mergeCell ref="BA23:BC23"/>
    <mergeCell ref="BF23:BH23"/>
    <mergeCell ref="BJ23:BL23"/>
    <mergeCell ref="D23:F23"/>
    <mergeCell ref="H23:J23"/>
    <mergeCell ref="M23:O23"/>
    <mergeCell ref="Q23:S23"/>
    <mergeCell ref="V23:X23"/>
    <mergeCell ref="Z23:AB23"/>
    <mergeCell ref="AE23:AG23"/>
    <mergeCell ref="AH24:AK24"/>
    <mergeCell ref="AM24:AP24"/>
    <mergeCell ref="AQ24:AT24"/>
    <mergeCell ref="AV24:AY24"/>
    <mergeCell ref="AZ24:BC24"/>
    <mergeCell ref="BE24:BH24"/>
    <mergeCell ref="BI24:BL24"/>
    <mergeCell ref="C24:F24"/>
    <mergeCell ref="G24:J24"/>
    <mergeCell ref="L24:O24"/>
    <mergeCell ref="P24:S24"/>
    <mergeCell ref="U24:X24"/>
    <mergeCell ref="Y24:AB24"/>
    <mergeCell ref="AD24:AG24"/>
    <mergeCell ref="AH25:AK25"/>
    <mergeCell ref="AM25:AP25"/>
    <mergeCell ref="AQ25:AT25"/>
    <mergeCell ref="AV25:AY25"/>
    <mergeCell ref="AZ25:BC25"/>
    <mergeCell ref="BE25:BH25"/>
    <mergeCell ref="BI25:BL25"/>
    <mergeCell ref="C25:F25"/>
    <mergeCell ref="G25:J25"/>
    <mergeCell ref="L25:O25"/>
    <mergeCell ref="P25:S25"/>
    <mergeCell ref="U25:X25"/>
    <mergeCell ref="Y25:AB25"/>
    <mergeCell ref="AD25:AG25"/>
    <mergeCell ref="AH47:AK47"/>
    <mergeCell ref="AM47:AP47"/>
    <mergeCell ref="AQ47:AT47"/>
    <mergeCell ref="AV47:AY47"/>
    <mergeCell ref="AZ47:BC47"/>
    <mergeCell ref="BE47:BH47"/>
    <mergeCell ref="BI47:BL47"/>
    <mergeCell ref="C47:F47"/>
    <mergeCell ref="G47:J47"/>
    <mergeCell ref="L47:O47"/>
    <mergeCell ref="P47:S47"/>
    <mergeCell ref="U47:X47"/>
    <mergeCell ref="Y47:AB47"/>
    <mergeCell ref="AD47:AG47"/>
  </mergeCells>
  <conditionalFormatting sqref="D12:F12 H12 M12:O12 Q12 V12:X12 Z12 AE12:AG12 AI12 AN12:AP12 AR12 AW12:AY12 BA12 BF12:BH12 BJ12 D23:F23 H23 M23:O23 Q23 V23:X23 Z23 AE23:AG23 AI23 AN23:AP23 AR23 AW23:AY23 BA23 BF23:BH23 BJ23 D34:F34 H34 M34:O34 Q34 V34:X34 Z34 AE34:AG34 AI34 AN34:AP34 AR34 AW34:AY34 BA34 BF34:BH34 BJ34 D45:F45 H45 M45:O45 Q45 V45:X45 Z45 AE45:AG45 AI45 AN45:AP45 AR45 AW45:AY45 BA45 BF45:BH45 BJ45">
    <cfRule type="cellIs" dxfId="3" priority="1" operator="lessThan">
      <formula>0</formula>
    </cfRule>
  </conditionalFormatting>
  <conditionalFormatting sqref="D12:F12 H12 M12:O12 Q12 V12:X12 Z12 AE12:AG12 AI12 AN12:AP12 AR12 AW12:AY12 BA12 BF12:BH12 BJ12 D23:F23 H23 M23:O23 Q23 V23:X23 Z23 AE23:AG23 AI23 AN23:AP23 AR23 AW23:AY23 BA23 BF23:BH23 BJ23 D34:F34 H34 M34:O34 Q34 V34:X34 Z34 AE34:AG34 AI34 AN34:AP34 AR34 AW34:AY34 BA34 BF34:BH34 BJ34 D45:F45 H45 M45:O45 Q45 V45:X45 Z45 AE45:AG45 AI45 AN45:AP45 AR45 AW45:AY45 BA45 BF45:BH45 BJ45">
    <cfRule type="cellIs" dxfId="2" priority="2" operator="greaterThan">
      <formula>0</formula>
    </cfRule>
  </conditionalFormatting>
  <conditionalFormatting sqref="C12 G12 L12 P12 U12 Y12 AD12 AH12 AM12 AQ12 AV12 AZ12 BE12 BI12 C23 G23 L23 P23 U23 Y23 AD23 AH23 AM23 AQ23 AV23 AZ23 BE23 BI23 C34 G34 L34 P34 U34 Y34 AD34 AH34 AM34 AQ34 AV34 AZ34 BE34 BI34 C45 G45 L45 P45 U45 Y45 AD45 AH45 AM45 AQ45 AV45 AZ45 BE45 BI45">
    <cfRule type="cellIs" dxfId="2" priority="3" operator="equal">
      <formula>"W"</formula>
    </cfRule>
  </conditionalFormatting>
  <conditionalFormatting sqref="C12 G12 L12 P12 U12 Y12 AD12 AH12 AM12 AQ12 AV12 AZ12 BE12 BI12 C23 G23 L23 P23 U23 Y23 AD23 AH23 AM23 AQ23 AV23 AZ23 BE23 BI23 C34 G34 L34 P34 U34 Y34 AD34 AH34 AM34 AQ34 AV34 AZ34 BE34 BI34 C45 G45 L45 P45 U45 Y45 AD45 AH45 AM45 AQ45 AV45 AZ45 BE45 BI45">
    <cfRule type="cellIs" dxfId="3" priority="4" operator="equal">
      <formula>"L"</formula>
    </cfRule>
  </conditionalFormatting>
  <dataValidations>
    <dataValidation type="list" allowBlank="1" sqref="C6:C11 G6:G11 L6:L11 P6:P11 U6:U11 Y6:Y11 AD6:AD11 AH6:AH11 AM6:AM11 AQ6:AQ11 AV6:AV11 AZ6:AZ11 BE6:BE11 BI6:BI11 C17:C22 G17:G22 L17:L22 P17:P22 U17:U22 Y17:Y22 AD17:AD22 AH17:AH22 AM17:AM22 AQ17:AQ22 AV17:AV22 AZ17:AZ22 BE17:BE22 BI17:BI22 C28:C33 G28:G33 L28:L33 P28:P33 U28:U33 Y28:Y33 AD28:AD33 AH28:AH33 AM28:AM33 AQ28:AQ33 AV28:AV33 AZ28:AZ33 BE28:BE33 BI28:BI33 C39:C44 G39:G44 L39:L44 P39:P44 U39:U44 Y39:Y44 AD39:AD44 AH39:AH44 AM39:AM44 AQ39:AQ44 AV39:AV44 AZ39:AZ44 BE39:BE44 BI39:BI44">
      <formula1>Pokedex!$I$3:$I49</formula1>
    </dataValidation>
  </dataValidations>
  <hyperlinks>
    <hyperlink r:id="rId1" ref="G13"/>
    <hyperlink r:id="rId2" ref="P13"/>
    <hyperlink r:id="rId3" ref="Y13"/>
    <hyperlink r:id="rId4" ref="P24"/>
    <hyperlink r:id="rId5" ref="AH24"/>
    <hyperlink r:id="rId6" ref="G35"/>
    <hyperlink r:id="rId7" ref="Y35"/>
    <hyperlink r:id="rId8" ref="AQ35"/>
    <hyperlink r:id="rId9" ref="G46"/>
    <hyperlink r:id="rId10" ref="P46"/>
    <hyperlink r:id="rId11" ref="AZ46"/>
    <hyperlink r:id="rId12" ref="BI46"/>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1.38"/>
    <col customWidth="1" min="3" max="3" width="3.88"/>
    <col customWidth="1" min="4" max="4" width="5.75"/>
    <col customWidth="1" min="5" max="5" width="3.88"/>
    <col customWidth="1" min="6" max="6" width="18.75"/>
    <col customWidth="1" hidden="1" min="7" max="13" width="3.88"/>
    <col customWidth="1" min="14" max="17" width="3.88"/>
    <col customWidth="1" min="18" max="18" width="1.38"/>
    <col customWidth="1" min="19" max="19" width="1.63"/>
  </cols>
  <sheetData>
    <row r="1" ht="7.5" customHeight="1">
      <c r="A1" s="174"/>
      <c r="B1" s="177"/>
      <c r="C1" s="177"/>
      <c r="D1" s="178"/>
      <c r="E1" s="178"/>
      <c r="F1" s="178"/>
      <c r="G1" s="178"/>
      <c r="H1" s="178"/>
      <c r="I1" s="178"/>
      <c r="J1" s="178"/>
      <c r="K1" s="178"/>
      <c r="L1" s="178"/>
      <c r="M1" s="178"/>
      <c r="N1" s="178"/>
      <c r="O1" s="178"/>
      <c r="P1" s="178"/>
      <c r="Q1" s="178"/>
      <c r="R1" s="177"/>
      <c r="S1" s="177"/>
    </row>
    <row r="2" ht="7.5" customHeight="1">
      <c r="A2" s="177"/>
      <c r="B2" s="183"/>
      <c r="C2" s="184"/>
      <c r="D2" s="185"/>
      <c r="E2" s="185"/>
      <c r="F2" s="185"/>
      <c r="G2" s="185"/>
      <c r="H2" s="185"/>
      <c r="I2" s="185"/>
      <c r="J2" s="185"/>
      <c r="K2" s="185"/>
      <c r="L2" s="185"/>
      <c r="M2" s="185"/>
      <c r="N2" s="185"/>
      <c r="O2" s="185"/>
      <c r="P2" s="185"/>
      <c r="Q2" s="185"/>
      <c r="R2" s="187"/>
      <c r="S2" s="177"/>
    </row>
    <row r="3">
      <c r="A3" s="193"/>
      <c r="B3" s="194"/>
      <c r="C3" s="197"/>
      <c r="D3" s="29"/>
      <c r="E3" s="29"/>
      <c r="F3" s="29"/>
      <c r="G3" s="29"/>
      <c r="H3" s="29"/>
      <c r="I3" s="29"/>
      <c r="J3" s="29"/>
      <c r="K3" s="29"/>
      <c r="L3" s="29"/>
      <c r="M3" s="29"/>
      <c r="N3" s="29"/>
      <c r="O3" s="29"/>
      <c r="P3" s="29"/>
      <c r="Q3" s="31"/>
      <c r="R3" s="201"/>
      <c r="S3" s="193"/>
    </row>
    <row r="4">
      <c r="A4" s="193"/>
      <c r="B4" s="194"/>
      <c r="C4" s="206" t="s">
        <v>71</v>
      </c>
      <c r="D4" s="208" t="s">
        <v>72</v>
      </c>
      <c r="E4" s="209" t="s">
        <v>73</v>
      </c>
      <c r="F4" s="210"/>
      <c r="G4" s="209" t="s">
        <v>74</v>
      </c>
      <c r="H4" s="147"/>
      <c r="I4" s="210"/>
      <c r="J4" s="208" t="s">
        <v>75</v>
      </c>
      <c r="K4" s="208" t="s">
        <v>76</v>
      </c>
      <c r="L4" s="208" t="s">
        <v>77</v>
      </c>
      <c r="M4" s="211" t="s">
        <v>78</v>
      </c>
      <c r="N4" s="208" t="s">
        <v>75</v>
      </c>
      <c r="O4" s="208" t="s">
        <v>76</v>
      </c>
      <c r="P4" s="208" t="s">
        <v>77</v>
      </c>
      <c r="Q4" s="211" t="s">
        <v>78</v>
      </c>
      <c r="R4" s="201"/>
      <c r="S4" s="193"/>
    </row>
    <row r="5" ht="3.75" customHeight="1">
      <c r="A5" s="177"/>
      <c r="B5" s="194"/>
      <c r="C5" s="189"/>
      <c r="D5" s="217"/>
      <c r="E5" s="217"/>
      <c r="F5" s="217"/>
      <c r="G5" s="217"/>
      <c r="H5" s="217"/>
      <c r="I5" s="217"/>
      <c r="J5" s="217"/>
      <c r="K5" s="217"/>
      <c r="L5" s="217"/>
      <c r="M5" s="217"/>
      <c r="N5" s="217"/>
      <c r="O5" s="217"/>
      <c r="P5" s="217"/>
      <c r="Q5" s="217"/>
      <c r="R5" s="220"/>
      <c r="S5" s="177"/>
    </row>
    <row r="6">
      <c r="A6" s="177"/>
      <c r="B6" s="222"/>
      <c r="C6" s="223">
        <v>1.0</v>
      </c>
      <c r="D6" s="233" t="str">
        <f t="array" ref="D6:Q101">SORT(Data!D5:Q100,12,False,14,FALSE,11,TRUE)</f>
        <v>RIP</v>
      </c>
      <c r="E6" s="235"/>
      <c r="F6" s="237" t="s">
        <v>79</v>
      </c>
      <c r="G6" s="239" t="s">
        <v>80</v>
      </c>
      <c r="H6" s="240" t="s">
        <v>81</v>
      </c>
      <c r="I6" s="241" t="s">
        <v>82</v>
      </c>
      <c r="J6" s="243">
        <v>6.0</v>
      </c>
      <c r="K6" s="244">
        <v>9.0</v>
      </c>
      <c r="L6" s="245">
        <v>2.0</v>
      </c>
      <c r="M6" s="246">
        <v>7.0</v>
      </c>
      <c r="N6" s="243">
        <v>4.0</v>
      </c>
      <c r="O6" s="244">
        <v>16.0</v>
      </c>
      <c r="P6" s="245">
        <v>2.0</v>
      </c>
      <c r="Q6" s="246">
        <v>14.0</v>
      </c>
      <c r="R6" s="220"/>
      <c r="S6" s="177"/>
    </row>
    <row r="7">
      <c r="A7" s="177"/>
      <c r="B7" s="222"/>
      <c r="C7" s="293">
        <f t="shared" ref="C7:C156" si="1">C6+1</f>
        <v>2</v>
      </c>
      <c r="D7" s="294" t="s">
        <v>106</v>
      </c>
      <c r="E7" s="295"/>
      <c r="F7" s="297" t="s">
        <v>118</v>
      </c>
      <c r="G7" s="300"/>
      <c r="H7" s="301"/>
      <c r="I7" s="303"/>
      <c r="J7" s="304">
        <v>1.0</v>
      </c>
      <c r="K7" s="305">
        <v>3.0</v>
      </c>
      <c r="L7" s="294">
        <v>1.0</v>
      </c>
      <c r="M7" s="306">
        <v>2.0</v>
      </c>
      <c r="N7" s="304">
        <v>4.0</v>
      </c>
      <c r="O7" s="305">
        <v>10.0</v>
      </c>
      <c r="P7" s="294">
        <v>2.0</v>
      </c>
      <c r="Q7" s="306">
        <v>8.0</v>
      </c>
      <c r="R7" s="220"/>
      <c r="S7" s="177"/>
    </row>
    <row r="8">
      <c r="A8" s="177"/>
      <c r="B8" s="222"/>
      <c r="C8" s="311">
        <f t="shared" si="1"/>
        <v>3</v>
      </c>
      <c r="D8" s="312" t="s">
        <v>84</v>
      </c>
      <c r="E8" s="313"/>
      <c r="F8" s="314" t="s">
        <v>113</v>
      </c>
      <c r="G8" s="315"/>
      <c r="H8" s="316"/>
      <c r="I8" s="317"/>
      <c r="J8" s="318">
        <v>5.0</v>
      </c>
      <c r="K8" s="319">
        <v>4.0</v>
      </c>
      <c r="L8" s="312">
        <v>3.0</v>
      </c>
      <c r="M8" s="320">
        <v>1.0</v>
      </c>
      <c r="N8" s="318">
        <v>4.0</v>
      </c>
      <c r="O8" s="319">
        <v>10.0</v>
      </c>
      <c r="P8" s="312">
        <v>3.0</v>
      </c>
      <c r="Q8" s="320">
        <v>7.0</v>
      </c>
      <c r="R8" s="220"/>
      <c r="S8" s="177"/>
    </row>
    <row r="9">
      <c r="A9" s="177"/>
      <c r="B9" s="222"/>
      <c r="C9" s="323">
        <f t="shared" si="1"/>
        <v>4</v>
      </c>
      <c r="D9" s="324" t="s">
        <v>111</v>
      </c>
      <c r="E9" s="325"/>
      <c r="F9" s="326" t="s">
        <v>205</v>
      </c>
      <c r="G9" s="328" t="s">
        <v>173</v>
      </c>
      <c r="H9" s="329" t="s">
        <v>171</v>
      </c>
      <c r="I9" s="331" t="s">
        <v>140</v>
      </c>
      <c r="J9" s="333">
        <v>0.0</v>
      </c>
      <c r="K9" s="334">
        <v>0.0</v>
      </c>
      <c r="L9" s="324">
        <v>0.0</v>
      </c>
      <c r="M9" s="335">
        <v>0.0</v>
      </c>
      <c r="N9" s="333">
        <v>2.0</v>
      </c>
      <c r="O9" s="334">
        <v>4.0</v>
      </c>
      <c r="P9" s="324">
        <v>2.0</v>
      </c>
      <c r="Q9" s="335">
        <v>2.0</v>
      </c>
      <c r="R9" s="220"/>
      <c r="S9" s="177"/>
    </row>
    <row r="10">
      <c r="A10" s="177"/>
      <c r="B10" s="222"/>
      <c r="C10" s="323">
        <f t="shared" si="1"/>
        <v>5</v>
      </c>
      <c r="D10" s="324" t="s">
        <v>95</v>
      </c>
      <c r="E10" s="325"/>
      <c r="F10" s="326" t="s">
        <v>144</v>
      </c>
      <c r="G10" s="328"/>
      <c r="H10" s="329"/>
      <c r="I10" s="331"/>
      <c r="J10" s="333">
        <v>6.0</v>
      </c>
      <c r="K10" s="334">
        <v>2.0</v>
      </c>
      <c r="L10" s="324">
        <v>2.0</v>
      </c>
      <c r="M10" s="335">
        <v>0.0</v>
      </c>
      <c r="N10" s="333">
        <v>4.0</v>
      </c>
      <c r="O10" s="334">
        <v>3.0</v>
      </c>
      <c r="P10" s="324">
        <v>1.0</v>
      </c>
      <c r="Q10" s="335">
        <v>2.0</v>
      </c>
      <c r="R10" s="220"/>
      <c r="S10" s="177"/>
    </row>
    <row r="11">
      <c r="A11" s="177"/>
      <c r="B11" s="222"/>
      <c r="C11" s="323">
        <f t="shared" si="1"/>
        <v>6</v>
      </c>
      <c r="D11" s="324" t="s">
        <v>84</v>
      </c>
      <c r="E11" s="325"/>
      <c r="F11" s="326" t="s">
        <v>130</v>
      </c>
      <c r="G11" s="328"/>
      <c r="H11" s="329"/>
      <c r="I11" s="331"/>
      <c r="J11" s="333">
        <v>5.0</v>
      </c>
      <c r="K11" s="334">
        <v>3.0</v>
      </c>
      <c r="L11" s="324">
        <v>3.0</v>
      </c>
      <c r="M11" s="335">
        <v>0.0</v>
      </c>
      <c r="N11" s="333">
        <v>4.0</v>
      </c>
      <c r="O11" s="334">
        <v>3.0</v>
      </c>
      <c r="P11" s="324">
        <v>2.0</v>
      </c>
      <c r="Q11" s="335">
        <v>1.0</v>
      </c>
      <c r="R11" s="220"/>
      <c r="S11" s="177"/>
    </row>
    <row r="12">
      <c r="A12" s="177"/>
      <c r="B12" s="222"/>
      <c r="C12" s="323">
        <f t="shared" si="1"/>
        <v>7</v>
      </c>
      <c r="D12" s="324" t="s">
        <v>87</v>
      </c>
      <c r="E12" s="325"/>
      <c r="F12" s="326" t="s">
        <v>88</v>
      </c>
      <c r="G12" s="328"/>
      <c r="H12" s="329"/>
      <c r="I12" s="331"/>
      <c r="J12" s="333">
        <v>5.0</v>
      </c>
      <c r="K12" s="334">
        <v>7.0</v>
      </c>
      <c r="L12" s="324">
        <v>4.0</v>
      </c>
      <c r="M12" s="335">
        <v>3.0</v>
      </c>
      <c r="N12" s="333">
        <v>3.0</v>
      </c>
      <c r="O12" s="334">
        <v>3.0</v>
      </c>
      <c r="P12" s="324">
        <v>3.0</v>
      </c>
      <c r="Q12" s="335">
        <v>0.0</v>
      </c>
      <c r="R12" s="220"/>
      <c r="S12" s="177"/>
    </row>
    <row r="13">
      <c r="A13" s="177"/>
      <c r="B13" s="222"/>
      <c r="C13" s="323">
        <f t="shared" si="1"/>
        <v>8</v>
      </c>
      <c r="D13" s="324" t="s">
        <v>111</v>
      </c>
      <c r="E13" s="325"/>
      <c r="F13" s="326" t="s">
        <v>186</v>
      </c>
      <c r="G13" s="328"/>
      <c r="H13" s="329"/>
      <c r="I13" s="331"/>
      <c r="J13" s="333">
        <v>3.0</v>
      </c>
      <c r="K13" s="334">
        <v>1.0</v>
      </c>
      <c r="L13" s="324">
        <v>3.0</v>
      </c>
      <c r="M13" s="335">
        <v>-2.0</v>
      </c>
      <c r="N13" s="333">
        <v>3.0</v>
      </c>
      <c r="O13" s="334">
        <v>3.0</v>
      </c>
      <c r="P13" s="324">
        <v>3.0</v>
      </c>
      <c r="Q13" s="335">
        <v>0.0</v>
      </c>
      <c r="R13" s="220"/>
      <c r="S13" s="177"/>
    </row>
    <row r="14">
      <c r="A14" s="177"/>
      <c r="B14" s="222"/>
      <c r="C14" s="323">
        <f t="shared" si="1"/>
        <v>9</v>
      </c>
      <c r="D14" s="324" t="s">
        <v>84</v>
      </c>
      <c r="E14" s="325"/>
      <c r="F14" s="326" t="s">
        <v>114</v>
      </c>
      <c r="G14" s="328"/>
      <c r="H14" s="329"/>
      <c r="I14" s="331"/>
      <c r="J14" s="333">
        <v>5.0</v>
      </c>
      <c r="K14" s="334">
        <v>4.0</v>
      </c>
      <c r="L14" s="324">
        <v>3.0</v>
      </c>
      <c r="M14" s="335">
        <v>1.0</v>
      </c>
      <c r="N14" s="333">
        <v>4.0</v>
      </c>
      <c r="O14" s="334">
        <v>3.0</v>
      </c>
      <c r="P14" s="324">
        <v>3.0</v>
      </c>
      <c r="Q14" s="335">
        <v>0.0</v>
      </c>
      <c r="R14" s="220"/>
      <c r="S14" s="177"/>
    </row>
    <row r="15">
      <c r="A15" s="177"/>
      <c r="B15" s="222"/>
      <c r="C15" s="323">
        <f t="shared" si="1"/>
        <v>10</v>
      </c>
      <c r="D15" s="324" t="s">
        <v>87</v>
      </c>
      <c r="E15" s="325"/>
      <c r="F15" s="326" t="s">
        <v>191</v>
      </c>
      <c r="G15" s="328" t="s">
        <v>192</v>
      </c>
      <c r="H15" s="329" t="s">
        <v>163</v>
      </c>
      <c r="I15" s="331" t="s">
        <v>193</v>
      </c>
      <c r="J15" s="333">
        <v>4.0</v>
      </c>
      <c r="K15" s="334">
        <v>1.0</v>
      </c>
      <c r="L15" s="324">
        <v>3.0</v>
      </c>
      <c r="M15" s="335">
        <v>-2.0</v>
      </c>
      <c r="N15" s="333">
        <v>1.0</v>
      </c>
      <c r="O15" s="334">
        <v>2.0</v>
      </c>
      <c r="P15" s="324">
        <v>1.0</v>
      </c>
      <c r="Q15" s="335">
        <v>1.0</v>
      </c>
      <c r="R15" s="220"/>
      <c r="S15" s="177"/>
    </row>
    <row r="16">
      <c r="A16" s="177"/>
      <c r="B16" s="222"/>
      <c r="C16" s="323">
        <f t="shared" si="1"/>
        <v>11</v>
      </c>
      <c r="D16" s="324" t="s">
        <v>89</v>
      </c>
      <c r="E16" s="325"/>
      <c r="F16" s="326" t="s">
        <v>132</v>
      </c>
      <c r="G16" s="328"/>
      <c r="H16" s="329"/>
      <c r="I16" s="331"/>
      <c r="J16" s="333">
        <v>2.0</v>
      </c>
      <c r="K16" s="334">
        <v>2.0</v>
      </c>
      <c r="L16" s="324">
        <v>1.0</v>
      </c>
      <c r="M16" s="335">
        <v>1.0</v>
      </c>
      <c r="N16" s="333">
        <v>1.0</v>
      </c>
      <c r="O16" s="334">
        <v>2.0</v>
      </c>
      <c r="P16" s="324">
        <v>1.0</v>
      </c>
      <c r="Q16" s="335">
        <v>1.0</v>
      </c>
      <c r="R16" s="220"/>
      <c r="S16" s="177"/>
    </row>
    <row r="17">
      <c r="A17" s="177"/>
      <c r="B17" s="222"/>
      <c r="C17" s="323">
        <f t="shared" si="1"/>
        <v>12</v>
      </c>
      <c r="D17" s="324" t="s">
        <v>87</v>
      </c>
      <c r="E17" s="325"/>
      <c r="F17" s="326" t="s">
        <v>124</v>
      </c>
      <c r="G17" s="328"/>
      <c r="H17" s="329"/>
      <c r="I17" s="331"/>
      <c r="J17" s="333">
        <v>4.0</v>
      </c>
      <c r="K17" s="334">
        <v>3.0</v>
      </c>
      <c r="L17" s="324">
        <v>3.0</v>
      </c>
      <c r="M17" s="335">
        <v>0.0</v>
      </c>
      <c r="N17" s="333">
        <v>2.0</v>
      </c>
      <c r="O17" s="334">
        <v>2.0</v>
      </c>
      <c r="P17" s="324">
        <v>1.0</v>
      </c>
      <c r="Q17" s="335">
        <v>1.0</v>
      </c>
      <c r="R17" s="220"/>
      <c r="S17" s="177"/>
    </row>
    <row r="18">
      <c r="A18" s="177"/>
      <c r="B18" s="222"/>
      <c r="C18" s="323">
        <f t="shared" si="1"/>
        <v>13</v>
      </c>
      <c r="D18" s="324" t="s">
        <v>95</v>
      </c>
      <c r="E18" s="325"/>
      <c r="F18" s="326" t="s">
        <v>96</v>
      </c>
      <c r="G18" s="328"/>
      <c r="H18" s="329"/>
      <c r="I18" s="331"/>
      <c r="J18" s="333">
        <v>6.0</v>
      </c>
      <c r="K18" s="334">
        <v>6.0</v>
      </c>
      <c r="L18" s="324">
        <v>3.0</v>
      </c>
      <c r="M18" s="335">
        <v>3.0</v>
      </c>
      <c r="N18" s="333">
        <v>4.0</v>
      </c>
      <c r="O18" s="334">
        <v>2.0</v>
      </c>
      <c r="P18" s="324">
        <v>1.0</v>
      </c>
      <c r="Q18" s="335">
        <v>1.0</v>
      </c>
      <c r="R18" s="220"/>
      <c r="S18" s="177"/>
    </row>
    <row r="19">
      <c r="A19" s="177"/>
      <c r="B19" s="222"/>
      <c r="C19" s="323">
        <f t="shared" si="1"/>
        <v>14</v>
      </c>
      <c r="D19" s="324" t="s">
        <v>87</v>
      </c>
      <c r="E19" s="325"/>
      <c r="F19" s="326" t="s">
        <v>180</v>
      </c>
      <c r="G19" s="328" t="s">
        <v>181</v>
      </c>
      <c r="H19" s="329" t="s">
        <v>182</v>
      </c>
      <c r="I19" s="331" t="s">
        <v>171</v>
      </c>
      <c r="J19" s="333">
        <v>3.0</v>
      </c>
      <c r="K19" s="334">
        <v>1.0</v>
      </c>
      <c r="L19" s="324">
        <v>2.0</v>
      </c>
      <c r="M19" s="335">
        <v>-1.0</v>
      </c>
      <c r="N19" s="333">
        <v>2.0</v>
      </c>
      <c r="O19" s="334">
        <v>2.0</v>
      </c>
      <c r="P19" s="324">
        <v>2.0</v>
      </c>
      <c r="Q19" s="335">
        <v>0.0</v>
      </c>
      <c r="R19" s="220"/>
      <c r="S19" s="177"/>
    </row>
    <row r="20">
      <c r="A20" s="177"/>
      <c r="B20" s="222"/>
      <c r="C20" s="323">
        <f t="shared" si="1"/>
        <v>15</v>
      </c>
      <c r="D20" s="324" t="s">
        <v>106</v>
      </c>
      <c r="E20" s="325"/>
      <c r="F20" s="326" t="s">
        <v>188</v>
      </c>
      <c r="G20" s="328"/>
      <c r="H20" s="329"/>
      <c r="I20" s="331"/>
      <c r="J20" s="333">
        <v>3.0</v>
      </c>
      <c r="K20" s="334">
        <v>1.0</v>
      </c>
      <c r="L20" s="324">
        <v>3.0</v>
      </c>
      <c r="M20" s="335">
        <v>-2.0</v>
      </c>
      <c r="N20" s="333">
        <v>2.0</v>
      </c>
      <c r="O20" s="334">
        <v>2.0</v>
      </c>
      <c r="P20" s="324">
        <v>2.0</v>
      </c>
      <c r="Q20" s="335">
        <v>0.0</v>
      </c>
      <c r="R20" s="220"/>
      <c r="S20" s="177"/>
    </row>
    <row r="21">
      <c r="A21" s="177"/>
      <c r="B21" s="222"/>
      <c r="C21" s="323">
        <f t="shared" si="1"/>
        <v>16</v>
      </c>
      <c r="D21" s="324" t="s">
        <v>106</v>
      </c>
      <c r="E21" s="325"/>
      <c r="F21" s="326" t="s">
        <v>238</v>
      </c>
      <c r="G21" s="328"/>
      <c r="H21" s="329"/>
      <c r="I21" s="331"/>
      <c r="J21" s="333">
        <v>2.0</v>
      </c>
      <c r="K21" s="334">
        <v>0.0</v>
      </c>
      <c r="L21" s="324">
        <v>2.0</v>
      </c>
      <c r="M21" s="335">
        <v>-2.0</v>
      </c>
      <c r="N21" s="333">
        <v>4.0</v>
      </c>
      <c r="O21" s="334">
        <v>2.0</v>
      </c>
      <c r="P21" s="324">
        <v>2.0</v>
      </c>
      <c r="Q21" s="335">
        <v>0.0</v>
      </c>
      <c r="R21" s="220"/>
      <c r="S21" s="177"/>
    </row>
    <row r="22">
      <c r="A22" s="177"/>
      <c r="B22" s="222"/>
      <c r="C22" s="323">
        <f t="shared" si="1"/>
        <v>17</v>
      </c>
      <c r="D22" s="324" t="s">
        <v>87</v>
      </c>
      <c r="E22" s="325"/>
      <c r="F22" s="326" t="s">
        <v>146</v>
      </c>
      <c r="G22" s="328"/>
      <c r="H22" s="329"/>
      <c r="I22" s="331"/>
      <c r="J22" s="333">
        <v>3.0</v>
      </c>
      <c r="K22" s="334">
        <v>2.0</v>
      </c>
      <c r="L22" s="324">
        <v>3.0</v>
      </c>
      <c r="M22" s="335">
        <v>-1.0</v>
      </c>
      <c r="N22" s="333">
        <v>1.0</v>
      </c>
      <c r="O22" s="334">
        <v>1.0</v>
      </c>
      <c r="P22" s="324">
        <v>0.0</v>
      </c>
      <c r="Q22" s="335">
        <v>1.0</v>
      </c>
      <c r="R22" s="220"/>
      <c r="S22" s="177"/>
    </row>
    <row r="23">
      <c r="A23" s="177"/>
      <c r="B23" s="222"/>
      <c r="C23" s="323">
        <f t="shared" si="1"/>
        <v>18</v>
      </c>
      <c r="D23" s="324" t="s">
        <v>111</v>
      </c>
      <c r="E23" s="325"/>
      <c r="F23" s="326" t="s">
        <v>222</v>
      </c>
      <c r="G23" s="328" t="s">
        <v>163</v>
      </c>
      <c r="H23" s="329" t="s">
        <v>223</v>
      </c>
      <c r="I23" s="331" t="s">
        <v>93</v>
      </c>
      <c r="J23" s="333">
        <v>1.0</v>
      </c>
      <c r="K23" s="334">
        <v>0.0</v>
      </c>
      <c r="L23" s="324">
        <v>0.0</v>
      </c>
      <c r="M23" s="335">
        <v>0.0</v>
      </c>
      <c r="N23" s="333">
        <v>1.0</v>
      </c>
      <c r="O23" s="334">
        <v>1.0</v>
      </c>
      <c r="P23" s="324">
        <v>0.0</v>
      </c>
      <c r="Q23" s="335">
        <v>1.0</v>
      </c>
      <c r="R23" s="220"/>
      <c r="S23" s="177"/>
    </row>
    <row r="24">
      <c r="A24" s="177"/>
      <c r="B24" s="222"/>
      <c r="C24" s="323">
        <f t="shared" si="1"/>
        <v>19</v>
      </c>
      <c r="D24" s="324" t="s">
        <v>106</v>
      </c>
      <c r="E24" s="325"/>
      <c r="F24" s="326" t="s">
        <v>138</v>
      </c>
      <c r="G24" s="328" t="s">
        <v>92</v>
      </c>
      <c r="H24" s="329" t="s">
        <v>139</v>
      </c>
      <c r="I24" s="331" t="s">
        <v>140</v>
      </c>
      <c r="J24" s="333">
        <v>3.0</v>
      </c>
      <c r="K24" s="334">
        <v>2.0</v>
      </c>
      <c r="L24" s="324">
        <v>2.0</v>
      </c>
      <c r="M24" s="335">
        <v>0.0</v>
      </c>
      <c r="N24" s="333">
        <v>2.0</v>
      </c>
      <c r="O24" s="334">
        <v>1.0</v>
      </c>
      <c r="P24" s="324">
        <v>0.0</v>
      </c>
      <c r="Q24" s="335">
        <v>1.0</v>
      </c>
      <c r="R24" s="220"/>
      <c r="S24" s="177"/>
    </row>
    <row r="25">
      <c r="A25" s="177"/>
      <c r="B25" s="222"/>
      <c r="C25" s="323">
        <f t="shared" si="1"/>
        <v>20</v>
      </c>
      <c r="D25" s="324" t="s">
        <v>87</v>
      </c>
      <c r="E25" s="325"/>
      <c r="F25" s="326" t="s">
        <v>206</v>
      </c>
      <c r="G25" s="328" t="s">
        <v>163</v>
      </c>
      <c r="H25" s="329" t="s">
        <v>140</v>
      </c>
      <c r="I25" s="331" t="s">
        <v>171</v>
      </c>
      <c r="J25" s="333">
        <v>1.0</v>
      </c>
      <c r="K25" s="334">
        <v>0.0</v>
      </c>
      <c r="L25" s="324">
        <v>1.0</v>
      </c>
      <c r="M25" s="335">
        <v>-1.0</v>
      </c>
      <c r="N25" s="333">
        <v>1.0</v>
      </c>
      <c r="O25" s="334">
        <v>1.0</v>
      </c>
      <c r="P25" s="324">
        <v>1.0</v>
      </c>
      <c r="Q25" s="335">
        <v>0.0</v>
      </c>
      <c r="R25" s="220"/>
      <c r="S25" s="177"/>
    </row>
    <row r="26">
      <c r="A26" s="177"/>
      <c r="B26" s="222"/>
      <c r="C26" s="323">
        <f t="shared" si="1"/>
        <v>21</v>
      </c>
      <c r="D26" s="324" t="s">
        <v>101</v>
      </c>
      <c r="E26" s="325"/>
      <c r="F26" s="326" t="s">
        <v>123</v>
      </c>
      <c r="G26" s="328"/>
      <c r="H26" s="329"/>
      <c r="I26" s="331"/>
      <c r="J26" s="333">
        <v>3.0</v>
      </c>
      <c r="K26" s="334">
        <v>3.0</v>
      </c>
      <c r="L26" s="324">
        <v>2.0</v>
      </c>
      <c r="M26" s="335">
        <v>1.0</v>
      </c>
      <c r="N26" s="333">
        <v>1.0</v>
      </c>
      <c r="O26" s="334">
        <v>1.0</v>
      </c>
      <c r="P26" s="324">
        <v>1.0</v>
      </c>
      <c r="Q26" s="335">
        <v>0.0</v>
      </c>
      <c r="R26" s="220"/>
      <c r="S26" s="177"/>
    </row>
    <row r="27">
      <c r="A27" s="177"/>
      <c r="B27" s="222"/>
      <c r="C27" s="323">
        <f t="shared" si="1"/>
        <v>22</v>
      </c>
      <c r="D27" s="324" t="s">
        <v>95</v>
      </c>
      <c r="E27" s="325"/>
      <c r="F27" s="326" t="s">
        <v>121</v>
      </c>
      <c r="G27" s="328"/>
      <c r="H27" s="329"/>
      <c r="I27" s="331"/>
      <c r="J27" s="333">
        <v>3.0</v>
      </c>
      <c r="K27" s="334">
        <v>3.0</v>
      </c>
      <c r="L27" s="324">
        <v>1.0</v>
      </c>
      <c r="M27" s="335">
        <v>2.0</v>
      </c>
      <c r="N27" s="333">
        <v>1.0</v>
      </c>
      <c r="O27" s="334">
        <v>1.0</v>
      </c>
      <c r="P27" s="324">
        <v>1.0</v>
      </c>
      <c r="Q27" s="335">
        <v>0.0</v>
      </c>
      <c r="R27" s="220"/>
      <c r="S27" s="177"/>
    </row>
    <row r="28">
      <c r="A28" s="177"/>
      <c r="B28" s="222"/>
      <c r="C28" s="323">
        <f t="shared" si="1"/>
        <v>23</v>
      </c>
      <c r="D28" s="324" t="s">
        <v>89</v>
      </c>
      <c r="E28" s="325"/>
      <c r="F28" s="326" t="s">
        <v>170</v>
      </c>
      <c r="G28" s="328" t="s">
        <v>171</v>
      </c>
      <c r="H28" s="329" t="s">
        <v>172</v>
      </c>
      <c r="I28" s="331" t="s">
        <v>173</v>
      </c>
      <c r="J28" s="333">
        <v>3.0</v>
      </c>
      <c r="K28" s="334">
        <v>1.0</v>
      </c>
      <c r="L28" s="324">
        <v>1.0</v>
      </c>
      <c r="M28" s="335">
        <v>0.0</v>
      </c>
      <c r="N28" s="333">
        <v>1.0</v>
      </c>
      <c r="O28" s="334">
        <v>1.0</v>
      </c>
      <c r="P28" s="324">
        <v>1.0</v>
      </c>
      <c r="Q28" s="335">
        <v>0.0</v>
      </c>
      <c r="R28" s="220"/>
      <c r="S28" s="177"/>
    </row>
    <row r="29">
      <c r="A29" s="177"/>
      <c r="B29" s="222"/>
      <c r="C29" s="323">
        <f t="shared" si="1"/>
        <v>24</v>
      </c>
      <c r="D29" s="324" t="s">
        <v>106</v>
      </c>
      <c r="E29" s="325"/>
      <c r="F29" s="326" t="s">
        <v>133</v>
      </c>
      <c r="G29" s="328"/>
      <c r="H29" s="329"/>
      <c r="I29" s="331"/>
      <c r="J29" s="333">
        <v>2.0</v>
      </c>
      <c r="K29" s="334">
        <v>2.0</v>
      </c>
      <c r="L29" s="324">
        <v>1.0</v>
      </c>
      <c r="M29" s="335">
        <v>1.0</v>
      </c>
      <c r="N29" s="333">
        <v>1.0</v>
      </c>
      <c r="O29" s="334">
        <v>1.0</v>
      </c>
      <c r="P29" s="324">
        <v>1.0</v>
      </c>
      <c r="Q29" s="335">
        <v>0.0</v>
      </c>
      <c r="R29" s="220"/>
      <c r="S29" s="177"/>
    </row>
    <row r="30">
      <c r="A30" s="177"/>
      <c r="B30" s="222"/>
      <c r="C30" s="323">
        <f t="shared" si="1"/>
        <v>25</v>
      </c>
      <c r="D30" s="324" t="s">
        <v>87</v>
      </c>
      <c r="E30" s="325"/>
      <c r="F30" s="326" t="s">
        <v>176</v>
      </c>
      <c r="G30" s="328"/>
      <c r="H30" s="329"/>
      <c r="I30" s="331"/>
      <c r="J30" s="333">
        <v>5.0</v>
      </c>
      <c r="K30" s="334">
        <v>0.0</v>
      </c>
      <c r="L30" s="324">
        <v>4.0</v>
      </c>
      <c r="M30" s="335">
        <v>-4.0</v>
      </c>
      <c r="N30" s="333">
        <v>2.0</v>
      </c>
      <c r="O30" s="334">
        <v>1.0</v>
      </c>
      <c r="P30" s="324">
        <v>1.0</v>
      </c>
      <c r="Q30" s="335">
        <v>0.0</v>
      </c>
      <c r="R30" s="220"/>
      <c r="S30" s="177"/>
    </row>
    <row r="31">
      <c r="A31" s="177"/>
      <c r="B31" s="222"/>
      <c r="C31" s="323">
        <f t="shared" si="1"/>
        <v>26</v>
      </c>
      <c r="D31" s="324" t="s">
        <v>111</v>
      </c>
      <c r="E31" s="325"/>
      <c r="F31" s="326" t="s">
        <v>153</v>
      </c>
      <c r="G31" s="328"/>
      <c r="H31" s="329"/>
      <c r="I31" s="331"/>
      <c r="J31" s="333">
        <v>4.0</v>
      </c>
      <c r="K31" s="334">
        <v>2.0</v>
      </c>
      <c r="L31" s="324">
        <v>3.0</v>
      </c>
      <c r="M31" s="335">
        <v>-1.0</v>
      </c>
      <c r="N31" s="333">
        <v>2.0</v>
      </c>
      <c r="O31" s="334">
        <v>1.0</v>
      </c>
      <c r="P31" s="324">
        <v>2.0</v>
      </c>
      <c r="Q31" s="335">
        <v>-1.0</v>
      </c>
      <c r="R31" s="220"/>
      <c r="S31" s="177"/>
    </row>
    <row r="32">
      <c r="A32" s="177"/>
      <c r="B32" s="222"/>
      <c r="C32" s="323">
        <f t="shared" si="1"/>
        <v>27</v>
      </c>
      <c r="D32" s="324" t="s">
        <v>95</v>
      </c>
      <c r="E32" s="325"/>
      <c r="F32" s="326" t="s">
        <v>135</v>
      </c>
      <c r="G32" s="328" t="s">
        <v>127</v>
      </c>
      <c r="H32" s="329" t="s">
        <v>81</v>
      </c>
      <c r="I32" s="331" t="s">
        <v>136</v>
      </c>
      <c r="J32" s="333">
        <v>3.0</v>
      </c>
      <c r="K32" s="334">
        <v>2.0</v>
      </c>
      <c r="L32" s="324">
        <v>1.0</v>
      </c>
      <c r="M32" s="335">
        <v>1.0</v>
      </c>
      <c r="N32" s="333">
        <v>3.0</v>
      </c>
      <c r="O32" s="334">
        <v>1.0</v>
      </c>
      <c r="P32" s="324">
        <v>2.0</v>
      </c>
      <c r="Q32" s="335">
        <v>-1.0</v>
      </c>
      <c r="R32" s="220"/>
      <c r="S32" s="177"/>
    </row>
    <row r="33">
      <c r="A33" s="177"/>
      <c r="B33" s="222"/>
      <c r="C33" s="323">
        <f t="shared" si="1"/>
        <v>28</v>
      </c>
      <c r="D33" s="324" t="s">
        <v>111</v>
      </c>
      <c r="E33" s="325"/>
      <c r="F33" s="326" t="s">
        <v>165</v>
      </c>
      <c r="G33" s="328"/>
      <c r="H33" s="329"/>
      <c r="I33" s="331"/>
      <c r="J33" s="333">
        <v>1.0</v>
      </c>
      <c r="K33" s="334">
        <v>1.0</v>
      </c>
      <c r="L33" s="324">
        <v>1.0</v>
      </c>
      <c r="M33" s="335">
        <v>0.0</v>
      </c>
      <c r="N33" s="333">
        <v>3.0</v>
      </c>
      <c r="O33" s="334">
        <v>1.0</v>
      </c>
      <c r="P33" s="324">
        <v>2.0</v>
      </c>
      <c r="Q33" s="335">
        <v>-1.0</v>
      </c>
      <c r="R33" s="220"/>
      <c r="S33" s="177"/>
    </row>
    <row r="34">
      <c r="A34" s="177"/>
      <c r="B34" s="222"/>
      <c r="C34" s="323">
        <f t="shared" si="1"/>
        <v>29</v>
      </c>
      <c r="D34" s="324" t="s">
        <v>106</v>
      </c>
      <c r="E34" s="325"/>
      <c r="F34" s="326" t="s">
        <v>137</v>
      </c>
      <c r="G34" s="328"/>
      <c r="H34" s="329"/>
      <c r="I34" s="331"/>
      <c r="J34" s="333">
        <v>3.0</v>
      </c>
      <c r="K34" s="334">
        <v>2.0</v>
      </c>
      <c r="L34" s="324">
        <v>2.0</v>
      </c>
      <c r="M34" s="335">
        <v>0.0</v>
      </c>
      <c r="N34" s="333">
        <v>3.0</v>
      </c>
      <c r="O34" s="334">
        <v>1.0</v>
      </c>
      <c r="P34" s="324">
        <v>3.0</v>
      </c>
      <c r="Q34" s="335">
        <v>-2.0</v>
      </c>
      <c r="R34" s="220"/>
      <c r="S34" s="177"/>
    </row>
    <row r="35">
      <c r="A35" s="177"/>
      <c r="B35" s="222"/>
      <c r="C35" s="323">
        <f t="shared" si="1"/>
        <v>30</v>
      </c>
      <c r="D35" s="324" t="s">
        <v>84</v>
      </c>
      <c r="E35" s="325"/>
      <c r="F35" s="326" t="s">
        <v>126</v>
      </c>
      <c r="G35" s="328" t="s">
        <v>81</v>
      </c>
      <c r="H35" s="329" t="s">
        <v>127</v>
      </c>
      <c r="I35" s="331" t="s">
        <v>128</v>
      </c>
      <c r="J35" s="333">
        <v>4.0</v>
      </c>
      <c r="K35" s="334">
        <v>3.0</v>
      </c>
      <c r="L35" s="324">
        <v>3.0</v>
      </c>
      <c r="M35" s="335">
        <v>0.0</v>
      </c>
      <c r="N35" s="333">
        <v>4.0</v>
      </c>
      <c r="O35" s="334">
        <v>1.0</v>
      </c>
      <c r="P35" s="324">
        <v>3.0</v>
      </c>
      <c r="Q35" s="335">
        <v>-2.0</v>
      </c>
      <c r="R35" s="220"/>
      <c r="S35" s="177"/>
    </row>
    <row r="36">
      <c r="A36" s="177"/>
      <c r="B36" s="222"/>
      <c r="C36" s="323">
        <f t="shared" si="1"/>
        <v>31</v>
      </c>
      <c r="D36" s="324" t="s">
        <v>87</v>
      </c>
      <c r="E36" s="325"/>
      <c r="F36" s="326" t="s">
        <v>197</v>
      </c>
      <c r="G36" s="328"/>
      <c r="H36" s="329"/>
      <c r="I36" s="331"/>
      <c r="J36" s="333">
        <v>0.0</v>
      </c>
      <c r="K36" s="334">
        <v>0.0</v>
      </c>
      <c r="L36" s="324">
        <v>0.0</v>
      </c>
      <c r="M36" s="335">
        <v>0.0</v>
      </c>
      <c r="N36" s="333">
        <v>0.0</v>
      </c>
      <c r="O36" s="334">
        <v>0.0</v>
      </c>
      <c r="P36" s="324">
        <v>0.0</v>
      </c>
      <c r="Q36" s="335">
        <v>0.0</v>
      </c>
      <c r="R36" s="220"/>
      <c r="S36" s="177"/>
    </row>
    <row r="37">
      <c r="A37" s="177"/>
      <c r="B37" s="222"/>
      <c r="C37" s="323">
        <f t="shared" si="1"/>
        <v>32</v>
      </c>
      <c r="D37" s="324" t="s">
        <v>87</v>
      </c>
      <c r="E37" s="325"/>
      <c r="F37" s="326" t="s">
        <v>199</v>
      </c>
      <c r="G37" s="328"/>
      <c r="H37" s="329"/>
      <c r="I37" s="331"/>
      <c r="J37" s="333">
        <v>0.0</v>
      </c>
      <c r="K37" s="334">
        <v>0.0</v>
      </c>
      <c r="L37" s="324">
        <v>0.0</v>
      </c>
      <c r="M37" s="335">
        <v>0.0</v>
      </c>
      <c r="N37" s="333">
        <v>0.0</v>
      </c>
      <c r="O37" s="334">
        <v>0.0</v>
      </c>
      <c r="P37" s="324">
        <v>0.0</v>
      </c>
      <c r="Q37" s="335">
        <v>0.0</v>
      </c>
      <c r="R37" s="220"/>
      <c r="S37" s="177"/>
    </row>
    <row r="38">
      <c r="A38" s="177"/>
      <c r="B38" s="222"/>
      <c r="C38" s="323">
        <f t="shared" si="1"/>
        <v>33</v>
      </c>
      <c r="D38" s="324" t="s">
        <v>87</v>
      </c>
      <c r="E38" s="325"/>
      <c r="F38" s="326"/>
      <c r="G38" s="328"/>
      <c r="H38" s="329"/>
      <c r="I38" s="331"/>
      <c r="J38" s="333">
        <v>0.0</v>
      </c>
      <c r="K38" s="334">
        <v>0.0</v>
      </c>
      <c r="L38" s="324">
        <v>0.0</v>
      </c>
      <c r="M38" s="335">
        <v>0.0</v>
      </c>
      <c r="N38" s="333">
        <v>0.0</v>
      </c>
      <c r="O38" s="334">
        <v>0.0</v>
      </c>
      <c r="P38" s="324">
        <v>0.0</v>
      </c>
      <c r="Q38" s="335">
        <v>0.0</v>
      </c>
      <c r="R38" s="220"/>
      <c r="S38" s="177"/>
    </row>
    <row r="39">
      <c r="A39" s="177"/>
      <c r="B39" s="222"/>
      <c r="C39" s="323">
        <f t="shared" si="1"/>
        <v>34</v>
      </c>
      <c r="D39" s="324" t="s">
        <v>87</v>
      </c>
      <c r="E39" s="325"/>
      <c r="F39" s="326"/>
      <c r="G39" s="328"/>
      <c r="H39" s="329"/>
      <c r="I39" s="331"/>
      <c r="J39" s="333">
        <v>0.0</v>
      </c>
      <c r="K39" s="334">
        <v>0.0</v>
      </c>
      <c r="L39" s="324">
        <v>0.0</v>
      </c>
      <c r="M39" s="335">
        <v>0.0</v>
      </c>
      <c r="N39" s="333">
        <v>0.0</v>
      </c>
      <c r="O39" s="334">
        <v>0.0</v>
      </c>
      <c r="P39" s="324">
        <v>0.0</v>
      </c>
      <c r="Q39" s="335">
        <v>0.0</v>
      </c>
      <c r="R39" s="220"/>
      <c r="S39" s="177"/>
    </row>
    <row r="40">
      <c r="A40" s="177"/>
      <c r="B40" s="222"/>
      <c r="C40" s="323">
        <f t="shared" si="1"/>
        <v>35</v>
      </c>
      <c r="D40" s="324" t="s">
        <v>101</v>
      </c>
      <c r="E40" s="325"/>
      <c r="F40" s="326" t="s">
        <v>86</v>
      </c>
      <c r="G40" s="328"/>
      <c r="H40" s="329"/>
      <c r="I40" s="331"/>
      <c r="J40" s="333">
        <v>2.0</v>
      </c>
      <c r="K40" s="334">
        <v>0.0</v>
      </c>
      <c r="L40" s="324">
        <v>2.0</v>
      </c>
      <c r="M40" s="335">
        <v>-2.0</v>
      </c>
      <c r="N40" s="333">
        <v>0.0</v>
      </c>
      <c r="O40" s="334">
        <v>0.0</v>
      </c>
      <c r="P40" s="324">
        <v>0.0</v>
      </c>
      <c r="Q40" s="335">
        <v>0.0</v>
      </c>
      <c r="R40" s="220"/>
      <c r="S40" s="177"/>
    </row>
    <row r="41">
      <c r="A41" s="177"/>
      <c r="B41" s="222"/>
      <c r="C41" s="323">
        <f t="shared" si="1"/>
        <v>36</v>
      </c>
      <c r="D41" s="324" t="s">
        <v>101</v>
      </c>
      <c r="E41" s="325"/>
      <c r="F41" s="326" t="s">
        <v>102</v>
      </c>
      <c r="G41" s="328"/>
      <c r="H41" s="329"/>
      <c r="I41" s="331"/>
      <c r="J41" s="333">
        <v>3.0</v>
      </c>
      <c r="K41" s="334">
        <v>5.0</v>
      </c>
      <c r="L41" s="324">
        <v>2.0</v>
      </c>
      <c r="M41" s="335">
        <v>3.0</v>
      </c>
      <c r="N41" s="333">
        <v>0.0</v>
      </c>
      <c r="O41" s="334">
        <v>0.0</v>
      </c>
      <c r="P41" s="324">
        <v>0.0</v>
      </c>
      <c r="Q41" s="335">
        <v>0.0</v>
      </c>
      <c r="R41" s="220"/>
      <c r="S41" s="177"/>
    </row>
    <row r="42">
      <c r="A42" s="177"/>
      <c r="B42" s="222"/>
      <c r="C42" s="323">
        <f t="shared" si="1"/>
        <v>37</v>
      </c>
      <c r="D42" s="324" t="s">
        <v>101</v>
      </c>
      <c r="E42" s="325"/>
      <c r="F42" s="326" t="s">
        <v>161</v>
      </c>
      <c r="G42" s="328" t="s">
        <v>162</v>
      </c>
      <c r="H42" s="329" t="s">
        <v>163</v>
      </c>
      <c r="I42" s="331" t="s">
        <v>164</v>
      </c>
      <c r="J42" s="333">
        <v>1.0</v>
      </c>
      <c r="K42" s="334">
        <v>1.0</v>
      </c>
      <c r="L42" s="324">
        <v>1.0</v>
      </c>
      <c r="M42" s="335">
        <v>0.0</v>
      </c>
      <c r="N42" s="333">
        <v>0.0</v>
      </c>
      <c r="O42" s="334">
        <v>0.0</v>
      </c>
      <c r="P42" s="324">
        <v>0.0</v>
      </c>
      <c r="Q42" s="335">
        <v>0.0</v>
      </c>
      <c r="R42" s="220"/>
      <c r="S42" s="177"/>
    </row>
    <row r="43">
      <c r="A43" s="177"/>
      <c r="B43" s="222"/>
      <c r="C43" s="323">
        <f t="shared" si="1"/>
        <v>38</v>
      </c>
      <c r="D43" s="324" t="s">
        <v>101</v>
      </c>
      <c r="E43" s="325"/>
      <c r="F43" s="326" t="s">
        <v>211</v>
      </c>
      <c r="G43" s="328" t="s">
        <v>140</v>
      </c>
      <c r="H43" s="329" t="s">
        <v>93</v>
      </c>
      <c r="I43" s="331" t="s">
        <v>227</v>
      </c>
      <c r="J43" s="333">
        <v>1.0</v>
      </c>
      <c r="K43" s="334">
        <v>0.0</v>
      </c>
      <c r="L43" s="324">
        <v>1.0</v>
      </c>
      <c r="M43" s="335">
        <v>-1.0</v>
      </c>
      <c r="N43" s="333">
        <v>0.0</v>
      </c>
      <c r="O43" s="334">
        <v>0.0</v>
      </c>
      <c r="P43" s="324">
        <v>0.0</v>
      </c>
      <c r="Q43" s="335">
        <v>0.0</v>
      </c>
      <c r="R43" s="220"/>
      <c r="S43" s="177"/>
    </row>
    <row r="44">
      <c r="A44" s="177"/>
      <c r="B44" s="222"/>
      <c r="C44" s="323">
        <f t="shared" si="1"/>
        <v>39</v>
      </c>
      <c r="D44" s="324" t="s">
        <v>101</v>
      </c>
      <c r="E44" s="325"/>
      <c r="F44" s="326" t="s">
        <v>185</v>
      </c>
      <c r="G44" s="328"/>
      <c r="H44" s="329"/>
      <c r="I44" s="331"/>
      <c r="J44" s="333">
        <v>3.0</v>
      </c>
      <c r="K44" s="334">
        <v>1.0</v>
      </c>
      <c r="L44" s="324">
        <v>3.0</v>
      </c>
      <c r="M44" s="335">
        <v>-2.0</v>
      </c>
      <c r="N44" s="333">
        <v>0.0</v>
      </c>
      <c r="O44" s="334">
        <v>0.0</v>
      </c>
      <c r="P44" s="324">
        <v>0.0</v>
      </c>
      <c r="Q44" s="335">
        <v>0.0</v>
      </c>
      <c r="R44" s="220"/>
      <c r="S44" s="177"/>
    </row>
    <row r="45">
      <c r="A45" s="177"/>
      <c r="B45" s="222"/>
      <c r="C45" s="323">
        <f t="shared" si="1"/>
        <v>40</v>
      </c>
      <c r="D45" s="324" t="s">
        <v>101</v>
      </c>
      <c r="E45" s="325"/>
      <c r="F45" s="326"/>
      <c r="G45" s="328"/>
      <c r="H45" s="329"/>
      <c r="I45" s="331"/>
      <c r="J45" s="333">
        <v>0.0</v>
      </c>
      <c r="K45" s="334">
        <v>0.0</v>
      </c>
      <c r="L45" s="324">
        <v>0.0</v>
      </c>
      <c r="M45" s="335">
        <v>0.0</v>
      </c>
      <c r="N45" s="333">
        <v>0.0</v>
      </c>
      <c r="O45" s="334">
        <v>0.0</v>
      </c>
      <c r="P45" s="324">
        <v>0.0</v>
      </c>
      <c r="Q45" s="335">
        <v>0.0</v>
      </c>
      <c r="R45" s="220"/>
      <c r="S45" s="177"/>
    </row>
    <row r="46">
      <c r="A46" s="177"/>
      <c r="B46" s="222"/>
      <c r="C46" s="323">
        <f t="shared" si="1"/>
        <v>41</v>
      </c>
      <c r="D46" s="324" t="s">
        <v>101</v>
      </c>
      <c r="E46" s="325"/>
      <c r="F46" s="326"/>
      <c r="G46" s="328"/>
      <c r="H46" s="329"/>
      <c r="I46" s="331"/>
      <c r="J46" s="333">
        <v>0.0</v>
      </c>
      <c r="K46" s="334">
        <v>0.0</v>
      </c>
      <c r="L46" s="324">
        <v>0.0</v>
      </c>
      <c r="M46" s="335">
        <v>0.0</v>
      </c>
      <c r="N46" s="333">
        <v>0.0</v>
      </c>
      <c r="O46" s="334">
        <v>0.0</v>
      </c>
      <c r="P46" s="324">
        <v>0.0</v>
      </c>
      <c r="Q46" s="335">
        <v>0.0</v>
      </c>
      <c r="R46" s="220"/>
      <c r="S46" s="177"/>
    </row>
    <row r="47">
      <c r="A47" s="177"/>
      <c r="B47" s="222"/>
      <c r="C47" s="323">
        <f t="shared" si="1"/>
        <v>42</v>
      </c>
      <c r="D47" s="324" t="s">
        <v>95</v>
      </c>
      <c r="E47" s="325"/>
      <c r="F47" s="326" t="s">
        <v>115</v>
      </c>
      <c r="G47" s="328"/>
      <c r="H47" s="329"/>
      <c r="I47" s="331"/>
      <c r="J47" s="333">
        <v>2.0</v>
      </c>
      <c r="K47" s="334">
        <v>3.0</v>
      </c>
      <c r="L47" s="324">
        <v>0.0</v>
      </c>
      <c r="M47" s="335">
        <v>3.0</v>
      </c>
      <c r="N47" s="333">
        <v>0.0</v>
      </c>
      <c r="O47" s="334">
        <v>0.0</v>
      </c>
      <c r="P47" s="324">
        <v>0.0</v>
      </c>
      <c r="Q47" s="335">
        <v>0.0</v>
      </c>
      <c r="R47" s="220"/>
      <c r="S47" s="177"/>
    </row>
    <row r="48">
      <c r="A48" s="177"/>
      <c r="B48" s="222"/>
      <c r="C48" s="323">
        <f t="shared" si="1"/>
        <v>43</v>
      </c>
      <c r="D48" s="324" t="s">
        <v>95</v>
      </c>
      <c r="E48" s="325"/>
      <c r="F48" s="326" t="s">
        <v>201</v>
      </c>
      <c r="G48" s="328"/>
      <c r="H48" s="329"/>
      <c r="I48" s="331"/>
      <c r="J48" s="333">
        <v>0.0</v>
      </c>
      <c r="K48" s="334">
        <v>0.0</v>
      </c>
      <c r="L48" s="324">
        <v>0.0</v>
      </c>
      <c r="M48" s="335">
        <v>0.0</v>
      </c>
      <c r="N48" s="333">
        <v>0.0</v>
      </c>
      <c r="O48" s="334">
        <v>0.0</v>
      </c>
      <c r="P48" s="324">
        <v>0.0</v>
      </c>
      <c r="Q48" s="335">
        <v>0.0</v>
      </c>
      <c r="R48" s="220"/>
      <c r="S48" s="177"/>
    </row>
    <row r="49">
      <c r="A49" s="177"/>
      <c r="B49" s="222"/>
      <c r="C49" s="323">
        <f t="shared" si="1"/>
        <v>44</v>
      </c>
      <c r="D49" s="324" t="s">
        <v>95</v>
      </c>
      <c r="E49" s="325"/>
      <c r="F49" s="326"/>
      <c r="G49" s="328"/>
      <c r="H49" s="329"/>
      <c r="I49" s="331"/>
      <c r="J49" s="333">
        <v>0.0</v>
      </c>
      <c r="K49" s="334">
        <v>0.0</v>
      </c>
      <c r="L49" s="324">
        <v>0.0</v>
      </c>
      <c r="M49" s="335">
        <v>0.0</v>
      </c>
      <c r="N49" s="333">
        <v>0.0</v>
      </c>
      <c r="O49" s="334">
        <v>0.0</v>
      </c>
      <c r="P49" s="324">
        <v>0.0</v>
      </c>
      <c r="Q49" s="335">
        <v>0.0</v>
      </c>
      <c r="R49" s="220"/>
      <c r="S49" s="177"/>
    </row>
    <row r="50">
      <c r="A50" s="177"/>
      <c r="B50" s="222"/>
      <c r="C50" s="323">
        <f t="shared" si="1"/>
        <v>45</v>
      </c>
      <c r="D50" s="324" t="s">
        <v>95</v>
      </c>
      <c r="E50" s="325"/>
      <c r="F50" s="326"/>
      <c r="G50" s="328"/>
      <c r="H50" s="329"/>
      <c r="I50" s="331"/>
      <c r="J50" s="333">
        <v>0.0</v>
      </c>
      <c r="K50" s="334">
        <v>0.0</v>
      </c>
      <c r="L50" s="324">
        <v>0.0</v>
      </c>
      <c r="M50" s="335">
        <v>0.0</v>
      </c>
      <c r="N50" s="333">
        <v>0.0</v>
      </c>
      <c r="O50" s="334">
        <v>0.0</v>
      </c>
      <c r="P50" s="324">
        <v>0.0</v>
      </c>
      <c r="Q50" s="335">
        <v>0.0</v>
      </c>
      <c r="R50" s="220"/>
      <c r="S50" s="177"/>
    </row>
    <row r="51">
      <c r="A51" s="177"/>
      <c r="B51" s="222"/>
      <c r="C51" s="323">
        <f t="shared" si="1"/>
        <v>46</v>
      </c>
      <c r="D51" s="324" t="s">
        <v>84</v>
      </c>
      <c r="E51" s="325"/>
      <c r="F51" s="326" t="s">
        <v>147</v>
      </c>
      <c r="G51" s="328"/>
      <c r="H51" s="329"/>
      <c r="I51" s="331"/>
      <c r="J51" s="333">
        <v>1.0</v>
      </c>
      <c r="K51" s="334">
        <v>0.0</v>
      </c>
      <c r="L51" s="324">
        <v>1.0</v>
      </c>
      <c r="M51" s="335">
        <v>-1.0</v>
      </c>
      <c r="N51" s="333">
        <v>0.0</v>
      </c>
      <c r="O51" s="334">
        <v>0.0</v>
      </c>
      <c r="P51" s="324">
        <v>0.0</v>
      </c>
      <c r="Q51" s="335">
        <v>0.0</v>
      </c>
      <c r="R51" s="220"/>
      <c r="S51" s="177"/>
    </row>
    <row r="52">
      <c r="A52" s="177"/>
      <c r="B52" s="222"/>
      <c r="C52" s="323">
        <f t="shared" si="1"/>
        <v>47</v>
      </c>
      <c r="D52" s="324" t="s">
        <v>84</v>
      </c>
      <c r="E52" s="325"/>
      <c r="F52" s="326" t="s">
        <v>143</v>
      </c>
      <c r="G52" s="328"/>
      <c r="H52" s="329"/>
      <c r="I52" s="331"/>
      <c r="J52" s="333">
        <v>1.0</v>
      </c>
      <c r="K52" s="334">
        <v>0.0</v>
      </c>
      <c r="L52" s="324">
        <v>1.0</v>
      </c>
      <c r="M52" s="335">
        <v>-1.0</v>
      </c>
      <c r="N52" s="333">
        <v>0.0</v>
      </c>
      <c r="O52" s="334">
        <v>0.0</v>
      </c>
      <c r="P52" s="324">
        <v>0.0</v>
      </c>
      <c r="Q52" s="335">
        <v>0.0</v>
      </c>
      <c r="R52" s="220"/>
      <c r="S52" s="177"/>
    </row>
    <row r="53">
      <c r="A53" s="177"/>
      <c r="B53" s="222"/>
      <c r="C53" s="323">
        <f t="shared" si="1"/>
        <v>48</v>
      </c>
      <c r="D53" s="324" t="s">
        <v>84</v>
      </c>
      <c r="E53" s="325"/>
      <c r="F53" s="326" t="s">
        <v>119</v>
      </c>
      <c r="G53" s="328"/>
      <c r="H53" s="329"/>
      <c r="I53" s="331"/>
      <c r="J53" s="333">
        <v>2.0</v>
      </c>
      <c r="K53" s="334">
        <v>3.0</v>
      </c>
      <c r="L53" s="324">
        <v>1.0</v>
      </c>
      <c r="M53" s="335">
        <v>2.0</v>
      </c>
      <c r="N53" s="333">
        <v>0.0</v>
      </c>
      <c r="O53" s="334">
        <v>0.0</v>
      </c>
      <c r="P53" s="324">
        <v>0.0</v>
      </c>
      <c r="Q53" s="335">
        <v>0.0</v>
      </c>
      <c r="R53" s="220"/>
      <c r="S53" s="177"/>
    </row>
    <row r="54">
      <c r="A54" s="177"/>
      <c r="B54" s="222"/>
      <c r="C54" s="323">
        <f t="shared" si="1"/>
        <v>49</v>
      </c>
      <c r="D54" s="324" t="s">
        <v>84</v>
      </c>
      <c r="E54" s="325"/>
      <c r="F54" s="326"/>
      <c r="G54" s="328"/>
      <c r="H54" s="329"/>
      <c r="I54" s="331"/>
      <c r="J54" s="333">
        <v>0.0</v>
      </c>
      <c r="K54" s="334">
        <v>0.0</v>
      </c>
      <c r="L54" s="324">
        <v>0.0</v>
      </c>
      <c r="M54" s="335">
        <v>0.0</v>
      </c>
      <c r="N54" s="333">
        <v>0.0</v>
      </c>
      <c r="O54" s="334">
        <v>0.0</v>
      </c>
      <c r="P54" s="324">
        <v>0.0</v>
      </c>
      <c r="Q54" s="335">
        <v>0.0</v>
      </c>
      <c r="R54" s="220"/>
      <c r="S54" s="177"/>
    </row>
    <row r="55">
      <c r="A55" s="177"/>
      <c r="B55" s="222"/>
      <c r="C55" s="323">
        <f t="shared" si="1"/>
        <v>50</v>
      </c>
      <c r="D55" s="324" t="s">
        <v>84</v>
      </c>
      <c r="E55" s="325"/>
      <c r="F55" s="326"/>
      <c r="G55" s="328"/>
      <c r="H55" s="329"/>
      <c r="I55" s="331"/>
      <c r="J55" s="333">
        <v>0.0</v>
      </c>
      <c r="K55" s="334">
        <v>0.0</v>
      </c>
      <c r="L55" s="324">
        <v>0.0</v>
      </c>
      <c r="M55" s="335">
        <v>0.0</v>
      </c>
      <c r="N55" s="333">
        <v>0.0</v>
      </c>
      <c r="O55" s="334">
        <v>0.0</v>
      </c>
      <c r="P55" s="324">
        <v>0.0</v>
      </c>
      <c r="Q55" s="335">
        <v>0.0</v>
      </c>
      <c r="R55" s="220"/>
      <c r="S55" s="177"/>
    </row>
    <row r="56">
      <c r="A56" s="177"/>
      <c r="B56" s="222"/>
      <c r="C56" s="323">
        <f t="shared" si="1"/>
        <v>51</v>
      </c>
      <c r="D56" s="324" t="s">
        <v>111</v>
      </c>
      <c r="E56" s="325"/>
      <c r="F56" s="326" t="s">
        <v>175</v>
      </c>
      <c r="G56" s="328"/>
      <c r="H56" s="329"/>
      <c r="I56" s="331"/>
      <c r="J56" s="333">
        <v>2.0</v>
      </c>
      <c r="K56" s="334">
        <v>1.0</v>
      </c>
      <c r="L56" s="324">
        <v>2.0</v>
      </c>
      <c r="M56" s="335">
        <v>-1.0</v>
      </c>
      <c r="N56" s="333">
        <v>0.0</v>
      </c>
      <c r="O56" s="334">
        <v>0.0</v>
      </c>
      <c r="P56" s="324">
        <v>0.0</v>
      </c>
      <c r="Q56" s="335">
        <v>0.0</v>
      </c>
      <c r="R56" s="220"/>
      <c r="S56" s="177"/>
    </row>
    <row r="57">
      <c r="A57" s="177"/>
      <c r="B57" s="222"/>
      <c r="C57" s="323">
        <f t="shared" si="1"/>
        <v>52</v>
      </c>
      <c r="D57" s="324" t="s">
        <v>111</v>
      </c>
      <c r="E57" s="325"/>
      <c r="F57" s="326" t="s">
        <v>235</v>
      </c>
      <c r="G57" s="328" t="s">
        <v>192</v>
      </c>
      <c r="H57" s="329" t="s">
        <v>182</v>
      </c>
      <c r="I57" s="331" t="s">
        <v>173</v>
      </c>
      <c r="J57" s="333">
        <v>2.0</v>
      </c>
      <c r="K57" s="334">
        <v>0.0</v>
      </c>
      <c r="L57" s="324">
        <v>2.0</v>
      </c>
      <c r="M57" s="335">
        <v>-2.0</v>
      </c>
      <c r="N57" s="333">
        <v>0.0</v>
      </c>
      <c r="O57" s="334">
        <v>0.0</v>
      </c>
      <c r="P57" s="324">
        <v>0.0</v>
      </c>
      <c r="Q57" s="335">
        <v>0.0</v>
      </c>
      <c r="R57" s="220"/>
      <c r="S57" s="177"/>
    </row>
    <row r="58">
      <c r="A58" s="177"/>
      <c r="B58" s="222"/>
      <c r="C58" s="323">
        <f t="shared" si="1"/>
        <v>53</v>
      </c>
      <c r="D58" s="324" t="s">
        <v>111</v>
      </c>
      <c r="E58" s="325"/>
      <c r="F58" s="326" t="s">
        <v>131</v>
      </c>
      <c r="G58" s="328"/>
      <c r="H58" s="329"/>
      <c r="I58" s="331"/>
      <c r="J58" s="333">
        <v>1.0</v>
      </c>
      <c r="K58" s="334">
        <v>2.0</v>
      </c>
      <c r="L58" s="324">
        <v>0.0</v>
      </c>
      <c r="M58" s="335">
        <v>2.0</v>
      </c>
      <c r="N58" s="333">
        <v>0.0</v>
      </c>
      <c r="O58" s="334">
        <v>0.0</v>
      </c>
      <c r="P58" s="324">
        <v>0.0</v>
      </c>
      <c r="Q58" s="335">
        <v>0.0</v>
      </c>
      <c r="R58" s="220"/>
      <c r="S58" s="177"/>
    </row>
    <row r="59">
      <c r="A59" s="177"/>
      <c r="B59" s="222"/>
      <c r="C59" s="323">
        <f t="shared" si="1"/>
        <v>54</v>
      </c>
      <c r="D59" s="324" t="s">
        <v>111</v>
      </c>
      <c r="E59" s="325"/>
      <c r="F59" s="326"/>
      <c r="G59" s="328"/>
      <c r="H59" s="329"/>
      <c r="I59" s="331"/>
      <c r="J59" s="333">
        <v>0.0</v>
      </c>
      <c r="K59" s="334">
        <v>0.0</v>
      </c>
      <c r="L59" s="324">
        <v>0.0</v>
      </c>
      <c r="M59" s="335">
        <v>0.0</v>
      </c>
      <c r="N59" s="333">
        <v>0.0</v>
      </c>
      <c r="O59" s="334">
        <v>0.0</v>
      </c>
      <c r="P59" s="324">
        <v>0.0</v>
      </c>
      <c r="Q59" s="335">
        <v>0.0</v>
      </c>
      <c r="R59" s="220"/>
      <c r="S59" s="177"/>
    </row>
    <row r="60">
      <c r="A60" s="177"/>
      <c r="B60" s="222"/>
      <c r="C60" s="323">
        <f t="shared" si="1"/>
        <v>55</v>
      </c>
      <c r="D60" s="324" t="s">
        <v>111</v>
      </c>
      <c r="E60" s="325"/>
      <c r="F60" s="326"/>
      <c r="G60" s="328"/>
      <c r="H60" s="329"/>
      <c r="I60" s="331"/>
      <c r="J60" s="333">
        <v>0.0</v>
      </c>
      <c r="K60" s="334">
        <v>0.0</v>
      </c>
      <c r="L60" s="324">
        <v>0.0</v>
      </c>
      <c r="M60" s="335">
        <v>0.0</v>
      </c>
      <c r="N60" s="333">
        <v>0.0</v>
      </c>
      <c r="O60" s="334">
        <v>0.0</v>
      </c>
      <c r="P60" s="324">
        <v>0.0</v>
      </c>
      <c r="Q60" s="335">
        <v>0.0</v>
      </c>
      <c r="R60" s="220"/>
      <c r="S60" s="177"/>
    </row>
    <row r="61">
      <c r="A61" s="177"/>
      <c r="B61" s="222"/>
      <c r="C61" s="323">
        <f t="shared" si="1"/>
        <v>56</v>
      </c>
      <c r="D61" s="324" t="s">
        <v>148</v>
      </c>
      <c r="E61" s="325"/>
      <c r="F61" s="326" t="s">
        <v>237</v>
      </c>
      <c r="G61" s="328"/>
      <c r="H61" s="329"/>
      <c r="I61" s="331"/>
      <c r="J61" s="333">
        <v>2.0</v>
      </c>
      <c r="K61" s="334">
        <v>0.0</v>
      </c>
      <c r="L61" s="324">
        <v>2.0</v>
      </c>
      <c r="M61" s="335">
        <v>-2.0</v>
      </c>
      <c r="N61" s="333">
        <v>0.0</v>
      </c>
      <c r="O61" s="334">
        <v>0.0</v>
      </c>
      <c r="P61" s="324">
        <v>0.0</v>
      </c>
      <c r="Q61" s="335">
        <v>0.0</v>
      </c>
      <c r="R61" s="220"/>
      <c r="S61" s="177"/>
    </row>
    <row r="62">
      <c r="A62" s="177"/>
      <c r="B62" s="222"/>
      <c r="C62" s="323">
        <f t="shared" si="1"/>
        <v>57</v>
      </c>
      <c r="D62" s="324" t="s">
        <v>148</v>
      </c>
      <c r="E62" s="325"/>
      <c r="F62" s="326" t="s">
        <v>208</v>
      </c>
      <c r="G62" s="328" t="s">
        <v>150</v>
      </c>
      <c r="H62" s="329" t="s">
        <v>136</v>
      </c>
      <c r="I62" s="331" t="s">
        <v>209</v>
      </c>
      <c r="J62" s="333">
        <v>0.0</v>
      </c>
      <c r="K62" s="334">
        <v>0.0</v>
      </c>
      <c r="L62" s="324">
        <v>0.0</v>
      </c>
      <c r="M62" s="335">
        <v>0.0</v>
      </c>
      <c r="N62" s="333">
        <v>0.0</v>
      </c>
      <c r="O62" s="334">
        <v>0.0</v>
      </c>
      <c r="P62" s="324">
        <v>0.0</v>
      </c>
      <c r="Q62" s="335">
        <v>0.0</v>
      </c>
      <c r="R62" s="220"/>
      <c r="S62" s="177"/>
    </row>
    <row r="63">
      <c r="A63" s="177"/>
      <c r="B63" s="222"/>
      <c r="C63" s="323">
        <f t="shared" si="1"/>
        <v>58</v>
      </c>
      <c r="D63" s="324" t="s">
        <v>148</v>
      </c>
      <c r="E63" s="325"/>
      <c r="F63" s="326" t="s">
        <v>245</v>
      </c>
      <c r="G63" s="328"/>
      <c r="H63" s="329"/>
      <c r="I63" s="331"/>
      <c r="J63" s="333">
        <v>4.0</v>
      </c>
      <c r="K63" s="334">
        <v>0.0</v>
      </c>
      <c r="L63" s="324">
        <v>4.0</v>
      </c>
      <c r="M63" s="335">
        <v>-4.0</v>
      </c>
      <c r="N63" s="333">
        <v>0.0</v>
      </c>
      <c r="O63" s="334">
        <v>0.0</v>
      </c>
      <c r="P63" s="324">
        <v>0.0</v>
      </c>
      <c r="Q63" s="335">
        <v>0.0</v>
      </c>
      <c r="R63" s="220"/>
      <c r="S63" s="177"/>
    </row>
    <row r="64">
      <c r="A64" s="177"/>
      <c r="B64" s="222"/>
      <c r="C64" s="323">
        <f t="shared" si="1"/>
        <v>59</v>
      </c>
      <c r="D64" s="324" t="s">
        <v>148</v>
      </c>
      <c r="E64" s="325"/>
      <c r="F64" s="326" t="s">
        <v>210</v>
      </c>
      <c r="G64" s="328"/>
      <c r="H64" s="329"/>
      <c r="I64" s="331"/>
      <c r="J64" s="333">
        <v>0.0</v>
      </c>
      <c r="K64" s="334">
        <v>0.0</v>
      </c>
      <c r="L64" s="324">
        <v>0.0</v>
      </c>
      <c r="M64" s="335">
        <v>0.0</v>
      </c>
      <c r="N64" s="333">
        <v>0.0</v>
      </c>
      <c r="O64" s="334">
        <v>0.0</v>
      </c>
      <c r="P64" s="324">
        <v>0.0</v>
      </c>
      <c r="Q64" s="335">
        <v>0.0</v>
      </c>
      <c r="R64" s="220"/>
      <c r="S64" s="177"/>
    </row>
    <row r="65">
      <c r="A65" s="177"/>
      <c r="B65" s="222"/>
      <c r="C65" s="323">
        <f t="shared" si="1"/>
        <v>60</v>
      </c>
      <c r="D65" s="324" t="s">
        <v>148</v>
      </c>
      <c r="E65" s="325"/>
      <c r="F65" s="326"/>
      <c r="G65" s="328"/>
      <c r="H65" s="329"/>
      <c r="I65" s="331"/>
      <c r="J65" s="333">
        <v>0.0</v>
      </c>
      <c r="K65" s="334">
        <v>0.0</v>
      </c>
      <c r="L65" s="324">
        <v>0.0</v>
      </c>
      <c r="M65" s="335">
        <v>0.0</v>
      </c>
      <c r="N65" s="333">
        <v>0.0</v>
      </c>
      <c r="O65" s="334">
        <v>0.0</v>
      </c>
      <c r="P65" s="324">
        <v>0.0</v>
      </c>
      <c r="Q65" s="335">
        <v>0.0</v>
      </c>
      <c r="R65" s="220"/>
      <c r="S65" s="177"/>
    </row>
    <row r="66">
      <c r="A66" s="177"/>
      <c r="B66" s="222"/>
      <c r="C66" s="323">
        <f t="shared" si="1"/>
        <v>61</v>
      </c>
      <c r="D66" s="324" t="s">
        <v>148</v>
      </c>
      <c r="E66" s="325"/>
      <c r="F66" s="326"/>
      <c r="G66" s="328"/>
      <c r="H66" s="329"/>
      <c r="I66" s="331"/>
      <c r="J66" s="333">
        <v>0.0</v>
      </c>
      <c r="K66" s="334">
        <v>0.0</v>
      </c>
      <c r="L66" s="324">
        <v>0.0</v>
      </c>
      <c r="M66" s="335">
        <v>0.0</v>
      </c>
      <c r="N66" s="333">
        <v>0.0</v>
      </c>
      <c r="O66" s="334">
        <v>0.0</v>
      </c>
      <c r="P66" s="324">
        <v>0.0</v>
      </c>
      <c r="Q66" s="335">
        <v>0.0</v>
      </c>
      <c r="R66" s="220"/>
      <c r="S66" s="177"/>
    </row>
    <row r="67">
      <c r="A67" s="177"/>
      <c r="B67" s="222"/>
      <c r="C67" s="323">
        <f t="shared" si="1"/>
        <v>62</v>
      </c>
      <c r="D67" s="324" t="s">
        <v>89</v>
      </c>
      <c r="E67" s="325"/>
      <c r="F67" s="326" t="s">
        <v>97</v>
      </c>
      <c r="G67" s="328"/>
      <c r="H67" s="329"/>
      <c r="I67" s="331"/>
      <c r="J67" s="333">
        <v>6.0</v>
      </c>
      <c r="K67" s="334">
        <v>6.0</v>
      </c>
      <c r="L67" s="324">
        <v>4.0</v>
      </c>
      <c r="M67" s="335">
        <v>2.0</v>
      </c>
      <c r="N67" s="333">
        <v>0.0</v>
      </c>
      <c r="O67" s="334">
        <v>0.0</v>
      </c>
      <c r="P67" s="324">
        <v>0.0</v>
      </c>
      <c r="Q67" s="335">
        <v>0.0</v>
      </c>
      <c r="R67" s="220"/>
      <c r="S67" s="177"/>
    </row>
    <row r="68">
      <c r="A68" s="177"/>
      <c r="B68" s="222"/>
      <c r="C68" s="323">
        <f t="shared" si="1"/>
        <v>63</v>
      </c>
      <c r="D68" s="324" t="s">
        <v>89</v>
      </c>
      <c r="E68" s="325"/>
      <c r="F68" s="326" t="s">
        <v>91</v>
      </c>
      <c r="G68" s="328" t="s">
        <v>92</v>
      </c>
      <c r="H68" s="329" t="s">
        <v>93</v>
      </c>
      <c r="I68" s="331" t="s">
        <v>81</v>
      </c>
      <c r="J68" s="333">
        <v>3.0</v>
      </c>
      <c r="K68" s="334">
        <v>6.0</v>
      </c>
      <c r="L68" s="324">
        <v>2.0</v>
      </c>
      <c r="M68" s="335">
        <v>4.0</v>
      </c>
      <c r="N68" s="333">
        <v>0.0</v>
      </c>
      <c r="O68" s="334">
        <v>0.0</v>
      </c>
      <c r="P68" s="324">
        <v>0.0</v>
      </c>
      <c r="Q68" s="335">
        <v>0.0</v>
      </c>
      <c r="R68" s="220"/>
      <c r="S68" s="177"/>
    </row>
    <row r="69">
      <c r="A69" s="177"/>
      <c r="B69" s="222"/>
      <c r="C69" s="323">
        <f t="shared" si="1"/>
        <v>64</v>
      </c>
      <c r="D69" s="324" t="s">
        <v>89</v>
      </c>
      <c r="E69" s="325"/>
      <c r="F69" s="326"/>
      <c r="G69" s="328"/>
      <c r="H69" s="329"/>
      <c r="I69" s="331"/>
      <c r="J69" s="333">
        <v>0.0</v>
      </c>
      <c r="K69" s="334">
        <v>0.0</v>
      </c>
      <c r="L69" s="324">
        <v>0.0</v>
      </c>
      <c r="M69" s="335">
        <v>0.0</v>
      </c>
      <c r="N69" s="333">
        <v>0.0</v>
      </c>
      <c r="O69" s="334">
        <v>0.0</v>
      </c>
      <c r="P69" s="324">
        <v>0.0</v>
      </c>
      <c r="Q69" s="335">
        <v>0.0</v>
      </c>
      <c r="R69" s="220"/>
      <c r="S69" s="177"/>
    </row>
    <row r="70">
      <c r="A70" s="177"/>
      <c r="B70" s="222"/>
      <c r="C70" s="323">
        <f t="shared" si="1"/>
        <v>65</v>
      </c>
      <c r="D70" s="324" t="s">
        <v>89</v>
      </c>
      <c r="E70" s="325"/>
      <c r="F70" s="326"/>
      <c r="G70" s="328"/>
      <c r="H70" s="329"/>
      <c r="I70" s="331"/>
      <c r="J70" s="333">
        <v>0.0</v>
      </c>
      <c r="K70" s="334">
        <v>0.0</v>
      </c>
      <c r="L70" s="324">
        <v>0.0</v>
      </c>
      <c r="M70" s="335">
        <v>0.0</v>
      </c>
      <c r="N70" s="333">
        <v>0.0</v>
      </c>
      <c r="O70" s="334">
        <v>0.0</v>
      </c>
      <c r="P70" s="324">
        <v>0.0</v>
      </c>
      <c r="Q70" s="335">
        <v>0.0</v>
      </c>
      <c r="R70" s="220"/>
      <c r="S70" s="177"/>
    </row>
    <row r="71">
      <c r="A71" s="177"/>
      <c r="B71" s="222"/>
      <c r="C71" s="323">
        <f t="shared" si="1"/>
        <v>66</v>
      </c>
      <c r="D71" s="324" t="s">
        <v>106</v>
      </c>
      <c r="E71" s="325"/>
      <c r="F71" s="326" t="s">
        <v>217</v>
      </c>
      <c r="G71" s="328" t="s">
        <v>139</v>
      </c>
      <c r="H71" s="329" t="s">
        <v>163</v>
      </c>
      <c r="I71" s="331" t="s">
        <v>171</v>
      </c>
      <c r="J71" s="333">
        <v>0.0</v>
      </c>
      <c r="K71" s="334">
        <v>0.0</v>
      </c>
      <c r="L71" s="324">
        <v>0.0</v>
      </c>
      <c r="M71" s="335">
        <v>0.0</v>
      </c>
      <c r="N71" s="333">
        <v>0.0</v>
      </c>
      <c r="O71" s="334">
        <v>0.0</v>
      </c>
      <c r="P71" s="324">
        <v>0.0</v>
      </c>
      <c r="Q71" s="335">
        <v>0.0</v>
      </c>
      <c r="R71" s="220"/>
      <c r="S71" s="177"/>
    </row>
    <row r="72">
      <c r="A72" s="177"/>
      <c r="B72" s="222"/>
      <c r="C72" s="323">
        <f t="shared" si="1"/>
        <v>67</v>
      </c>
      <c r="D72" s="324" t="s">
        <v>106</v>
      </c>
      <c r="E72" s="325"/>
      <c r="F72" s="326" t="s">
        <v>218</v>
      </c>
      <c r="G72" s="328" t="s">
        <v>219</v>
      </c>
      <c r="H72" s="329" t="s">
        <v>219</v>
      </c>
      <c r="I72" s="331" t="s">
        <v>219</v>
      </c>
      <c r="J72" s="333">
        <v>0.0</v>
      </c>
      <c r="K72" s="334">
        <v>0.0</v>
      </c>
      <c r="L72" s="324">
        <v>0.0</v>
      </c>
      <c r="M72" s="335">
        <v>0.0</v>
      </c>
      <c r="N72" s="333">
        <v>0.0</v>
      </c>
      <c r="O72" s="334">
        <v>0.0</v>
      </c>
      <c r="P72" s="324">
        <v>0.0</v>
      </c>
      <c r="Q72" s="335">
        <v>0.0</v>
      </c>
      <c r="R72" s="220"/>
      <c r="S72" s="177"/>
    </row>
    <row r="73">
      <c r="A73" s="177"/>
      <c r="B73" s="222"/>
      <c r="C73" s="323">
        <f t="shared" si="1"/>
        <v>68</v>
      </c>
      <c r="D73" s="324" t="s">
        <v>106</v>
      </c>
      <c r="E73" s="325"/>
      <c r="F73" s="326" t="s">
        <v>221</v>
      </c>
      <c r="G73" s="328"/>
      <c r="H73" s="329"/>
      <c r="I73" s="331"/>
      <c r="J73" s="333">
        <v>0.0</v>
      </c>
      <c r="K73" s="334">
        <v>0.0</v>
      </c>
      <c r="L73" s="324">
        <v>0.0</v>
      </c>
      <c r="M73" s="335">
        <v>0.0</v>
      </c>
      <c r="N73" s="333">
        <v>0.0</v>
      </c>
      <c r="O73" s="334">
        <v>0.0</v>
      </c>
      <c r="P73" s="324">
        <v>0.0</v>
      </c>
      <c r="Q73" s="335">
        <v>0.0</v>
      </c>
      <c r="R73" s="220"/>
      <c r="S73" s="177"/>
    </row>
    <row r="74">
      <c r="A74" s="177"/>
      <c r="B74" s="222"/>
      <c r="C74" s="323">
        <f t="shared" si="1"/>
        <v>69</v>
      </c>
      <c r="D74" s="324" t="s">
        <v>87</v>
      </c>
      <c r="E74" s="325"/>
      <c r="F74" s="326" t="s">
        <v>83</v>
      </c>
      <c r="G74" s="328"/>
      <c r="H74" s="329"/>
      <c r="I74" s="331"/>
      <c r="J74" s="333">
        <v>5.0</v>
      </c>
      <c r="K74" s="334">
        <v>8.0</v>
      </c>
      <c r="L74" s="324">
        <v>4.0</v>
      </c>
      <c r="M74" s="335">
        <v>4.0</v>
      </c>
      <c r="N74" s="333">
        <v>3.0</v>
      </c>
      <c r="O74" s="324">
        <v>0.0</v>
      </c>
      <c r="P74" s="324">
        <v>0.0</v>
      </c>
      <c r="Q74" s="335">
        <v>0.0</v>
      </c>
      <c r="R74" s="220"/>
      <c r="S74" s="177"/>
    </row>
    <row r="75">
      <c r="A75" s="177"/>
      <c r="B75" s="222"/>
      <c r="C75" s="323">
        <f t="shared" si="1"/>
        <v>70</v>
      </c>
      <c r="D75" s="324" t="s">
        <v>101</v>
      </c>
      <c r="E75" s="325"/>
      <c r="F75" s="326" t="s">
        <v>156</v>
      </c>
      <c r="G75" s="328"/>
      <c r="H75" s="329"/>
      <c r="I75" s="331"/>
      <c r="J75" s="333">
        <v>5.0</v>
      </c>
      <c r="K75" s="334">
        <v>2.0</v>
      </c>
      <c r="L75" s="324">
        <v>4.0</v>
      </c>
      <c r="M75" s="335">
        <v>-2.0</v>
      </c>
      <c r="N75" s="333">
        <v>1.0</v>
      </c>
      <c r="O75" s="334">
        <v>0.0</v>
      </c>
      <c r="P75" s="324">
        <v>1.0</v>
      </c>
      <c r="Q75" s="335">
        <v>-1.0</v>
      </c>
      <c r="R75" s="220"/>
      <c r="S75" s="177"/>
    </row>
    <row r="76">
      <c r="A76" s="177"/>
      <c r="B76" s="222"/>
      <c r="C76" s="323">
        <f t="shared" si="1"/>
        <v>71</v>
      </c>
      <c r="D76" s="324" t="s">
        <v>101</v>
      </c>
      <c r="E76" s="325"/>
      <c r="F76" s="326" t="s">
        <v>224</v>
      </c>
      <c r="G76" s="328"/>
      <c r="H76" s="329"/>
      <c r="I76" s="331"/>
      <c r="J76" s="333">
        <v>1.0</v>
      </c>
      <c r="K76" s="334">
        <v>0.0</v>
      </c>
      <c r="L76" s="324">
        <v>1.0</v>
      </c>
      <c r="M76" s="335">
        <v>-1.0</v>
      </c>
      <c r="N76" s="333">
        <v>1.0</v>
      </c>
      <c r="O76" s="334">
        <v>0.0</v>
      </c>
      <c r="P76" s="324">
        <v>1.0</v>
      </c>
      <c r="Q76" s="335">
        <v>-1.0</v>
      </c>
      <c r="R76" s="220"/>
      <c r="S76" s="177"/>
    </row>
    <row r="77">
      <c r="A77" s="177"/>
      <c r="B77" s="222"/>
      <c r="C77" s="323">
        <f t="shared" si="1"/>
        <v>72</v>
      </c>
      <c r="D77" s="324" t="s">
        <v>101</v>
      </c>
      <c r="E77" s="325"/>
      <c r="F77" s="326" t="s">
        <v>109</v>
      </c>
      <c r="G77" s="328"/>
      <c r="H77" s="329"/>
      <c r="I77" s="331"/>
      <c r="J77" s="333">
        <v>3.0</v>
      </c>
      <c r="K77" s="334">
        <v>4.0</v>
      </c>
      <c r="L77" s="324">
        <v>3.0</v>
      </c>
      <c r="M77" s="335">
        <v>1.0</v>
      </c>
      <c r="N77" s="333">
        <v>1.0</v>
      </c>
      <c r="O77" s="334">
        <v>0.0</v>
      </c>
      <c r="P77" s="324">
        <v>1.0</v>
      </c>
      <c r="Q77" s="335">
        <v>-1.0</v>
      </c>
      <c r="R77" s="220"/>
      <c r="S77" s="177"/>
    </row>
    <row r="78">
      <c r="A78" s="177"/>
      <c r="B78" s="222"/>
      <c r="C78" s="323">
        <f t="shared" si="1"/>
        <v>73</v>
      </c>
      <c r="D78" s="324" t="s">
        <v>101</v>
      </c>
      <c r="E78" s="325"/>
      <c r="F78" s="326" t="s">
        <v>229</v>
      </c>
      <c r="G78" s="328"/>
      <c r="H78" s="329"/>
      <c r="I78" s="331"/>
      <c r="J78" s="333">
        <v>2.0</v>
      </c>
      <c r="K78" s="334">
        <v>0.0</v>
      </c>
      <c r="L78" s="324">
        <v>2.0</v>
      </c>
      <c r="M78" s="335">
        <v>-2.0</v>
      </c>
      <c r="N78" s="333">
        <v>1.0</v>
      </c>
      <c r="O78" s="334">
        <v>0.0</v>
      </c>
      <c r="P78" s="324">
        <v>1.0</v>
      </c>
      <c r="Q78" s="335">
        <v>-1.0</v>
      </c>
      <c r="R78" s="220"/>
      <c r="S78" s="177"/>
    </row>
    <row r="79">
      <c r="A79" s="177"/>
      <c r="B79" s="222"/>
      <c r="C79" s="323">
        <f t="shared" si="1"/>
        <v>74</v>
      </c>
      <c r="D79" s="324" t="s">
        <v>95</v>
      </c>
      <c r="E79" s="325"/>
      <c r="F79" s="326" t="s">
        <v>129</v>
      </c>
      <c r="G79" s="328"/>
      <c r="H79" s="329"/>
      <c r="I79" s="331"/>
      <c r="J79" s="333">
        <v>1.0</v>
      </c>
      <c r="K79" s="334">
        <v>0.0</v>
      </c>
      <c r="L79" s="324">
        <v>1.0</v>
      </c>
      <c r="M79" s="335">
        <v>-1.0</v>
      </c>
      <c r="N79" s="333">
        <v>1.0</v>
      </c>
      <c r="O79" s="334">
        <v>0.0</v>
      </c>
      <c r="P79" s="324">
        <v>1.0</v>
      </c>
      <c r="Q79" s="335">
        <v>-1.0</v>
      </c>
      <c r="R79" s="220"/>
      <c r="S79" s="177"/>
    </row>
    <row r="80">
      <c r="A80" s="177"/>
      <c r="B80" s="222"/>
      <c r="C80" s="323">
        <f t="shared" si="1"/>
        <v>75</v>
      </c>
      <c r="D80" s="324" t="s">
        <v>84</v>
      </c>
      <c r="E80" s="325"/>
      <c r="F80" s="326" t="s">
        <v>202</v>
      </c>
      <c r="G80" s="328" t="s">
        <v>139</v>
      </c>
      <c r="H80" s="329" t="s">
        <v>203</v>
      </c>
      <c r="I80" s="331" t="s">
        <v>92</v>
      </c>
      <c r="J80" s="333">
        <v>0.0</v>
      </c>
      <c r="K80" s="334">
        <v>0.0</v>
      </c>
      <c r="L80" s="324">
        <v>0.0</v>
      </c>
      <c r="M80" s="335">
        <v>0.0</v>
      </c>
      <c r="N80" s="333">
        <v>1.0</v>
      </c>
      <c r="O80" s="334">
        <v>0.0</v>
      </c>
      <c r="P80" s="324">
        <v>1.0</v>
      </c>
      <c r="Q80" s="335">
        <v>-1.0</v>
      </c>
      <c r="R80" s="220"/>
      <c r="S80" s="177"/>
    </row>
    <row r="81">
      <c r="A81" s="177"/>
      <c r="B81" s="222"/>
      <c r="C81" s="323">
        <f t="shared" si="1"/>
        <v>76</v>
      </c>
      <c r="D81" s="324" t="s">
        <v>111</v>
      </c>
      <c r="E81" s="325"/>
      <c r="F81" s="326" t="s">
        <v>112</v>
      </c>
      <c r="G81" s="328"/>
      <c r="H81" s="329"/>
      <c r="I81" s="331"/>
      <c r="J81" s="333">
        <v>3.0</v>
      </c>
      <c r="K81" s="334">
        <v>4.0</v>
      </c>
      <c r="L81" s="324">
        <v>3.0</v>
      </c>
      <c r="M81" s="335">
        <v>1.0</v>
      </c>
      <c r="N81" s="333">
        <v>1.0</v>
      </c>
      <c r="O81" s="334">
        <v>0.0</v>
      </c>
      <c r="P81" s="324">
        <v>1.0</v>
      </c>
      <c r="Q81" s="335">
        <v>-1.0</v>
      </c>
      <c r="R81" s="220"/>
      <c r="S81" s="177"/>
    </row>
    <row r="82">
      <c r="A82" s="177"/>
      <c r="B82" s="222"/>
      <c r="C82" s="323">
        <f t="shared" si="1"/>
        <v>77</v>
      </c>
      <c r="D82" s="324" t="s">
        <v>148</v>
      </c>
      <c r="E82" s="325"/>
      <c r="F82" s="326" t="s">
        <v>246</v>
      </c>
      <c r="G82" s="328"/>
      <c r="H82" s="329"/>
      <c r="I82" s="331"/>
      <c r="J82" s="333">
        <v>5.0</v>
      </c>
      <c r="K82" s="334">
        <v>0.0</v>
      </c>
      <c r="L82" s="324">
        <v>4.0</v>
      </c>
      <c r="M82" s="335">
        <v>-4.0</v>
      </c>
      <c r="N82" s="333">
        <v>1.0</v>
      </c>
      <c r="O82" s="334">
        <v>0.0</v>
      </c>
      <c r="P82" s="324">
        <v>1.0</v>
      </c>
      <c r="Q82" s="335">
        <v>-1.0</v>
      </c>
      <c r="R82" s="220"/>
      <c r="S82" s="177"/>
    </row>
    <row r="83">
      <c r="A83" s="177"/>
      <c r="B83" s="222"/>
      <c r="C83" s="323">
        <f t="shared" si="1"/>
        <v>78</v>
      </c>
      <c r="D83" s="324" t="s">
        <v>148</v>
      </c>
      <c r="E83" s="325"/>
      <c r="F83" s="326" t="s">
        <v>243</v>
      </c>
      <c r="G83" s="328"/>
      <c r="H83" s="329"/>
      <c r="I83" s="331"/>
      <c r="J83" s="333">
        <v>4.0</v>
      </c>
      <c r="K83" s="334">
        <v>0.0</v>
      </c>
      <c r="L83" s="324">
        <v>3.0</v>
      </c>
      <c r="M83" s="335">
        <v>-3.0</v>
      </c>
      <c r="N83" s="333">
        <v>1.0</v>
      </c>
      <c r="O83" s="334">
        <v>0.0</v>
      </c>
      <c r="P83" s="324">
        <v>1.0</v>
      </c>
      <c r="Q83" s="335">
        <v>-1.0</v>
      </c>
      <c r="R83" s="220"/>
      <c r="S83" s="177"/>
    </row>
    <row r="84">
      <c r="A84" s="177"/>
      <c r="B84" s="222"/>
      <c r="C84" s="323">
        <f t="shared" si="1"/>
        <v>79</v>
      </c>
      <c r="D84" s="324" t="s">
        <v>148</v>
      </c>
      <c r="E84" s="325"/>
      <c r="F84" s="326" t="s">
        <v>149</v>
      </c>
      <c r="G84" s="328" t="s">
        <v>128</v>
      </c>
      <c r="H84" s="329" t="s">
        <v>150</v>
      </c>
      <c r="I84" s="331" t="s">
        <v>81</v>
      </c>
      <c r="J84" s="333">
        <v>3.0</v>
      </c>
      <c r="K84" s="334">
        <v>2.0</v>
      </c>
      <c r="L84" s="324">
        <v>3.0</v>
      </c>
      <c r="M84" s="335">
        <v>-1.0</v>
      </c>
      <c r="N84" s="333">
        <v>1.0</v>
      </c>
      <c r="O84" s="334">
        <v>0.0</v>
      </c>
      <c r="P84" s="324">
        <v>1.0</v>
      </c>
      <c r="Q84" s="335">
        <v>-1.0</v>
      </c>
      <c r="R84" s="220"/>
      <c r="S84" s="177"/>
    </row>
    <row r="85">
      <c r="A85" s="177"/>
      <c r="B85" s="222"/>
      <c r="C85" s="323">
        <f t="shared" si="1"/>
        <v>80</v>
      </c>
      <c r="D85" s="324" t="s">
        <v>148</v>
      </c>
      <c r="E85" s="325"/>
      <c r="F85" s="326" t="s">
        <v>241</v>
      </c>
      <c r="G85" s="328"/>
      <c r="H85" s="329"/>
      <c r="I85" s="331"/>
      <c r="J85" s="333">
        <v>3.0</v>
      </c>
      <c r="K85" s="334">
        <v>0.0</v>
      </c>
      <c r="L85" s="324">
        <v>3.0</v>
      </c>
      <c r="M85" s="335">
        <v>-3.0</v>
      </c>
      <c r="N85" s="333">
        <v>1.0</v>
      </c>
      <c r="O85" s="334">
        <v>0.0</v>
      </c>
      <c r="P85" s="324">
        <v>1.0</v>
      </c>
      <c r="Q85" s="335">
        <v>-1.0</v>
      </c>
      <c r="R85" s="220"/>
      <c r="S85" s="177"/>
    </row>
    <row r="86">
      <c r="A86" s="177"/>
      <c r="B86" s="222"/>
      <c r="C86" s="323">
        <f t="shared" si="1"/>
        <v>81</v>
      </c>
      <c r="D86" s="324" t="s">
        <v>148</v>
      </c>
      <c r="E86" s="325"/>
      <c r="F86" s="326" t="s">
        <v>155</v>
      </c>
      <c r="G86" s="328"/>
      <c r="H86" s="329"/>
      <c r="I86" s="331"/>
      <c r="J86" s="333">
        <v>4.0</v>
      </c>
      <c r="K86" s="334">
        <v>2.0</v>
      </c>
      <c r="L86" s="324">
        <v>4.0</v>
      </c>
      <c r="M86" s="335">
        <v>-2.0</v>
      </c>
      <c r="N86" s="333">
        <v>1.0</v>
      </c>
      <c r="O86" s="334">
        <v>0.0</v>
      </c>
      <c r="P86" s="324">
        <v>1.0</v>
      </c>
      <c r="Q86" s="335">
        <v>-1.0</v>
      </c>
      <c r="R86" s="220"/>
      <c r="S86" s="177"/>
    </row>
    <row r="87">
      <c r="A87" s="177"/>
      <c r="B87" s="222"/>
      <c r="C87" s="323">
        <f t="shared" si="1"/>
        <v>82</v>
      </c>
      <c r="D87" s="324" t="s">
        <v>148</v>
      </c>
      <c r="E87" s="325"/>
      <c r="F87" s="326" t="s">
        <v>177</v>
      </c>
      <c r="G87" s="328" t="s">
        <v>178</v>
      </c>
      <c r="H87" s="329" t="s">
        <v>81</v>
      </c>
      <c r="I87" s="331" t="s">
        <v>82</v>
      </c>
      <c r="J87" s="333">
        <v>2.0</v>
      </c>
      <c r="K87" s="334">
        <v>1.0</v>
      </c>
      <c r="L87" s="324">
        <v>2.0</v>
      </c>
      <c r="M87" s="335">
        <v>-1.0</v>
      </c>
      <c r="N87" s="333">
        <v>1.0</v>
      </c>
      <c r="O87" s="334">
        <v>0.0</v>
      </c>
      <c r="P87" s="324">
        <v>1.0</v>
      </c>
      <c r="Q87" s="335">
        <v>-1.0</v>
      </c>
      <c r="R87" s="220"/>
      <c r="S87" s="177"/>
    </row>
    <row r="88">
      <c r="A88" s="177"/>
      <c r="B88" s="222"/>
      <c r="C88" s="323">
        <f t="shared" si="1"/>
        <v>83</v>
      </c>
      <c r="D88" s="324" t="s">
        <v>89</v>
      </c>
      <c r="E88" s="325"/>
      <c r="F88" s="326" t="s">
        <v>168</v>
      </c>
      <c r="G88" s="328"/>
      <c r="H88" s="329"/>
      <c r="I88" s="331"/>
      <c r="J88" s="333">
        <v>1.0</v>
      </c>
      <c r="K88" s="334">
        <v>1.0</v>
      </c>
      <c r="L88" s="324">
        <v>1.0</v>
      </c>
      <c r="M88" s="335">
        <v>0.0</v>
      </c>
      <c r="N88" s="333">
        <v>1.0</v>
      </c>
      <c r="O88" s="334">
        <v>0.0</v>
      </c>
      <c r="P88" s="324">
        <v>1.0</v>
      </c>
      <c r="Q88" s="335">
        <v>-1.0</v>
      </c>
      <c r="R88" s="220"/>
      <c r="S88" s="177"/>
    </row>
    <row r="89">
      <c r="A89" s="177"/>
      <c r="B89" s="222"/>
      <c r="C89" s="323">
        <f t="shared" si="1"/>
        <v>84</v>
      </c>
      <c r="D89" s="324" t="s">
        <v>89</v>
      </c>
      <c r="E89" s="325"/>
      <c r="F89" s="326" t="s">
        <v>90</v>
      </c>
      <c r="G89" s="328"/>
      <c r="H89" s="329"/>
      <c r="I89" s="331"/>
      <c r="J89" s="333">
        <v>5.0</v>
      </c>
      <c r="K89" s="334">
        <v>6.0</v>
      </c>
      <c r="L89" s="324">
        <v>0.0</v>
      </c>
      <c r="M89" s="335">
        <v>6.0</v>
      </c>
      <c r="N89" s="333">
        <v>1.0</v>
      </c>
      <c r="O89" s="334">
        <v>0.0</v>
      </c>
      <c r="P89" s="324">
        <v>1.0</v>
      </c>
      <c r="Q89" s="335">
        <v>-1.0</v>
      </c>
      <c r="R89" s="220"/>
      <c r="S89" s="177"/>
    </row>
    <row r="90">
      <c r="A90" s="177"/>
      <c r="B90" s="222"/>
      <c r="C90" s="323">
        <f t="shared" si="1"/>
        <v>85</v>
      </c>
      <c r="D90" s="324" t="s">
        <v>89</v>
      </c>
      <c r="E90" s="325"/>
      <c r="F90" s="326" t="s">
        <v>214</v>
      </c>
      <c r="G90" s="328" t="s">
        <v>82</v>
      </c>
      <c r="H90" s="329" t="s">
        <v>193</v>
      </c>
      <c r="I90" s="331" t="s">
        <v>215</v>
      </c>
      <c r="J90" s="333">
        <v>0.0</v>
      </c>
      <c r="K90" s="334">
        <v>0.0</v>
      </c>
      <c r="L90" s="324">
        <v>0.0</v>
      </c>
      <c r="M90" s="335">
        <v>0.0</v>
      </c>
      <c r="N90" s="333">
        <v>1.0</v>
      </c>
      <c r="O90" s="334">
        <v>0.0</v>
      </c>
      <c r="P90" s="324">
        <v>1.0</v>
      </c>
      <c r="Q90" s="335">
        <v>-1.0</v>
      </c>
      <c r="R90" s="220"/>
      <c r="S90" s="177"/>
    </row>
    <row r="91">
      <c r="A91" s="177"/>
      <c r="B91" s="222"/>
      <c r="C91" s="323">
        <f t="shared" si="1"/>
        <v>86</v>
      </c>
      <c r="D91" s="324" t="s">
        <v>106</v>
      </c>
      <c r="E91" s="325"/>
      <c r="F91" s="326" t="s">
        <v>107</v>
      </c>
      <c r="G91" s="328"/>
      <c r="H91" s="329"/>
      <c r="I91" s="331"/>
      <c r="J91" s="333">
        <v>3.0</v>
      </c>
      <c r="K91" s="334">
        <v>4.0</v>
      </c>
      <c r="L91" s="324">
        <v>1.0</v>
      </c>
      <c r="M91" s="335">
        <v>3.0</v>
      </c>
      <c r="N91" s="333">
        <v>1.0</v>
      </c>
      <c r="O91" s="334">
        <v>0.0</v>
      </c>
      <c r="P91" s="324">
        <v>1.0</v>
      </c>
      <c r="Q91" s="335">
        <v>-1.0</v>
      </c>
      <c r="R91" s="220"/>
      <c r="S91" s="177"/>
    </row>
    <row r="92">
      <c r="A92" s="177"/>
      <c r="B92" s="222"/>
      <c r="C92" s="323">
        <f t="shared" si="1"/>
        <v>87</v>
      </c>
      <c r="D92" s="324" t="s">
        <v>95</v>
      </c>
      <c r="E92" s="325"/>
      <c r="F92" s="326" t="s">
        <v>99</v>
      </c>
      <c r="G92" s="328"/>
      <c r="H92" s="329"/>
      <c r="I92" s="331"/>
      <c r="J92" s="333">
        <v>5.0</v>
      </c>
      <c r="K92" s="334">
        <v>5.0</v>
      </c>
      <c r="L92" s="324">
        <v>0.0</v>
      </c>
      <c r="M92" s="335">
        <v>5.0</v>
      </c>
      <c r="N92" s="333">
        <v>2.0</v>
      </c>
      <c r="O92" s="334">
        <v>0.0</v>
      </c>
      <c r="P92" s="324">
        <v>1.0</v>
      </c>
      <c r="Q92" s="335">
        <v>-1.0</v>
      </c>
      <c r="R92" s="220"/>
      <c r="S92" s="177"/>
    </row>
    <row r="93">
      <c r="A93" s="177"/>
      <c r="B93" s="222"/>
      <c r="C93" s="323">
        <f t="shared" si="1"/>
        <v>88</v>
      </c>
      <c r="D93" s="324" t="s">
        <v>111</v>
      </c>
      <c r="E93" s="325"/>
      <c r="F93" s="326" t="s">
        <v>244</v>
      </c>
      <c r="G93" s="328"/>
      <c r="H93" s="329"/>
      <c r="I93" s="331"/>
      <c r="J93" s="333">
        <v>4.0</v>
      </c>
      <c r="K93" s="334">
        <v>0.0</v>
      </c>
      <c r="L93" s="324">
        <v>4.0</v>
      </c>
      <c r="M93" s="335">
        <v>-4.0</v>
      </c>
      <c r="N93" s="333">
        <v>2.0</v>
      </c>
      <c r="O93" s="334">
        <v>0.0</v>
      </c>
      <c r="P93" s="324">
        <v>1.0</v>
      </c>
      <c r="Q93" s="335">
        <v>-1.0</v>
      </c>
      <c r="R93" s="220"/>
      <c r="S93" s="177"/>
    </row>
    <row r="94">
      <c r="A94" s="177"/>
      <c r="B94" s="222"/>
      <c r="C94" s="323">
        <f t="shared" si="1"/>
        <v>89</v>
      </c>
      <c r="D94" s="324" t="s">
        <v>106</v>
      </c>
      <c r="E94" s="325"/>
      <c r="F94" s="326" t="s">
        <v>239</v>
      </c>
      <c r="G94" s="328"/>
      <c r="H94" s="329"/>
      <c r="I94" s="331"/>
      <c r="J94" s="333">
        <v>2.0</v>
      </c>
      <c r="K94" s="334">
        <v>0.0</v>
      </c>
      <c r="L94" s="324">
        <v>2.0</v>
      </c>
      <c r="M94" s="335">
        <v>-2.0</v>
      </c>
      <c r="N94" s="333">
        <v>2.0</v>
      </c>
      <c r="O94" s="334">
        <v>0.0</v>
      </c>
      <c r="P94" s="324">
        <v>1.0</v>
      </c>
      <c r="Q94" s="335">
        <v>-1.0</v>
      </c>
      <c r="R94" s="220"/>
      <c r="S94" s="177"/>
    </row>
    <row r="95">
      <c r="A95" s="177"/>
      <c r="B95" s="222"/>
      <c r="C95" s="323">
        <f t="shared" si="1"/>
        <v>90</v>
      </c>
      <c r="D95" s="324" t="s">
        <v>89</v>
      </c>
      <c r="E95" s="325"/>
      <c r="F95" s="326" t="s">
        <v>166</v>
      </c>
      <c r="G95" s="328"/>
      <c r="H95" s="329"/>
      <c r="I95" s="331"/>
      <c r="J95" s="333">
        <v>1.0</v>
      </c>
      <c r="K95" s="334">
        <v>1.0</v>
      </c>
      <c r="L95" s="324">
        <v>1.0</v>
      </c>
      <c r="M95" s="335">
        <v>0.0</v>
      </c>
      <c r="N95" s="333">
        <v>2.0</v>
      </c>
      <c r="O95" s="334">
        <v>0.0</v>
      </c>
      <c r="P95" s="324">
        <v>2.0</v>
      </c>
      <c r="Q95" s="335">
        <v>-2.0</v>
      </c>
      <c r="R95" s="220"/>
      <c r="S95" s="177"/>
    </row>
    <row r="96">
      <c r="A96" s="177"/>
      <c r="B96" s="222"/>
      <c r="C96" s="323">
        <f t="shared" si="1"/>
        <v>91</v>
      </c>
      <c r="D96" s="324" t="s">
        <v>89</v>
      </c>
      <c r="E96" s="325"/>
      <c r="F96" s="326" t="s">
        <v>104</v>
      </c>
      <c r="G96" s="328"/>
      <c r="H96" s="329"/>
      <c r="I96" s="331"/>
      <c r="J96" s="333">
        <v>5.0</v>
      </c>
      <c r="K96" s="334">
        <v>5.0</v>
      </c>
      <c r="L96" s="324">
        <v>5.0</v>
      </c>
      <c r="M96" s="335">
        <v>0.0</v>
      </c>
      <c r="N96" s="333">
        <v>2.0</v>
      </c>
      <c r="O96" s="334">
        <v>0.0</v>
      </c>
      <c r="P96" s="324">
        <v>2.0</v>
      </c>
      <c r="Q96" s="335">
        <v>-2.0</v>
      </c>
      <c r="R96" s="220"/>
      <c r="S96" s="177"/>
    </row>
    <row r="97">
      <c r="A97" s="177"/>
      <c r="B97" s="222"/>
      <c r="C97" s="323">
        <f t="shared" si="1"/>
        <v>92</v>
      </c>
      <c r="D97" s="324" t="s">
        <v>89</v>
      </c>
      <c r="E97" s="325"/>
      <c r="F97" s="326" t="s">
        <v>142</v>
      </c>
      <c r="G97" s="328"/>
      <c r="H97" s="329"/>
      <c r="I97" s="331"/>
      <c r="J97" s="333">
        <v>4.0</v>
      </c>
      <c r="K97" s="334">
        <v>2.0</v>
      </c>
      <c r="L97" s="324">
        <v>2.0</v>
      </c>
      <c r="M97" s="335">
        <v>0.0</v>
      </c>
      <c r="N97" s="333">
        <v>2.0</v>
      </c>
      <c r="O97" s="334">
        <v>0.0</v>
      </c>
      <c r="P97" s="324">
        <v>2.0</v>
      </c>
      <c r="Q97" s="335">
        <v>-2.0</v>
      </c>
      <c r="R97" s="220"/>
      <c r="S97" s="177"/>
    </row>
    <row r="98">
      <c r="A98" s="177"/>
      <c r="B98" s="222"/>
      <c r="C98" s="323">
        <f t="shared" si="1"/>
        <v>93</v>
      </c>
      <c r="D98" s="324" t="s">
        <v>95</v>
      </c>
      <c r="E98" s="325"/>
      <c r="F98" s="326" t="s">
        <v>159</v>
      </c>
      <c r="G98" s="328"/>
      <c r="H98" s="329"/>
      <c r="I98" s="331"/>
      <c r="J98" s="333">
        <v>1.0</v>
      </c>
      <c r="K98" s="334">
        <v>1.0</v>
      </c>
      <c r="L98" s="324">
        <v>0.0</v>
      </c>
      <c r="M98" s="335">
        <v>1.0</v>
      </c>
      <c r="N98" s="333">
        <v>3.0</v>
      </c>
      <c r="O98" s="334">
        <v>0.0</v>
      </c>
      <c r="P98" s="324">
        <v>2.0</v>
      </c>
      <c r="Q98" s="335">
        <v>-2.0</v>
      </c>
      <c r="R98" s="220"/>
      <c r="S98" s="177"/>
    </row>
    <row r="99">
      <c r="A99" s="177"/>
      <c r="B99" s="222"/>
      <c r="C99" s="323">
        <f t="shared" si="1"/>
        <v>94</v>
      </c>
      <c r="D99" s="324" t="s">
        <v>106</v>
      </c>
      <c r="E99" s="325"/>
      <c r="F99" s="326" t="s">
        <v>225</v>
      </c>
      <c r="G99" s="328" t="s">
        <v>139</v>
      </c>
      <c r="H99" s="329" t="s">
        <v>171</v>
      </c>
      <c r="I99" s="331" t="s">
        <v>173</v>
      </c>
      <c r="J99" s="333">
        <v>1.0</v>
      </c>
      <c r="K99" s="334">
        <v>0.0</v>
      </c>
      <c r="L99" s="324">
        <v>0.0</v>
      </c>
      <c r="M99" s="335">
        <v>0.0</v>
      </c>
      <c r="N99" s="333">
        <v>3.0</v>
      </c>
      <c r="O99" s="334">
        <v>0.0</v>
      </c>
      <c r="P99" s="324">
        <v>2.0</v>
      </c>
      <c r="Q99" s="335">
        <v>-2.0</v>
      </c>
      <c r="R99" s="220"/>
      <c r="S99" s="177"/>
    </row>
    <row r="100">
      <c r="A100" s="177"/>
      <c r="B100" s="222"/>
      <c r="C100" s="323">
        <f t="shared" si="1"/>
        <v>95</v>
      </c>
      <c r="D100" s="324" t="s">
        <v>84</v>
      </c>
      <c r="E100" s="325"/>
      <c r="F100" s="326" t="s">
        <v>85</v>
      </c>
      <c r="G100" s="328"/>
      <c r="H100" s="329"/>
      <c r="I100" s="331"/>
      <c r="J100" s="333">
        <v>5.0</v>
      </c>
      <c r="K100" s="334">
        <v>9.0</v>
      </c>
      <c r="L100" s="324">
        <v>4.0</v>
      </c>
      <c r="M100" s="335">
        <v>5.0</v>
      </c>
      <c r="N100" s="333">
        <v>3.0</v>
      </c>
      <c r="O100" s="334">
        <v>0.0</v>
      </c>
      <c r="P100" s="324">
        <v>3.0</v>
      </c>
      <c r="Q100" s="335">
        <v>-3.0</v>
      </c>
      <c r="R100" s="220"/>
      <c r="S100" s="177"/>
    </row>
    <row r="101">
      <c r="A101" s="177"/>
      <c r="B101" s="222"/>
      <c r="C101" s="323">
        <f t="shared" si="1"/>
        <v>96</v>
      </c>
      <c r="D101" s="324" t="s">
        <v>84</v>
      </c>
      <c r="E101" s="325"/>
      <c r="F101" s="326" t="s">
        <v>195</v>
      </c>
      <c r="G101" s="481"/>
      <c r="H101" s="482"/>
      <c r="I101" s="483"/>
      <c r="J101" s="333">
        <v>6.0</v>
      </c>
      <c r="K101" s="334">
        <v>1.0</v>
      </c>
      <c r="L101" s="324">
        <v>4.0</v>
      </c>
      <c r="M101" s="335">
        <v>-3.0</v>
      </c>
      <c r="N101" s="333">
        <v>4.0</v>
      </c>
      <c r="O101" s="334">
        <v>0.0</v>
      </c>
      <c r="P101" s="324">
        <v>3.0</v>
      </c>
      <c r="Q101" s="335">
        <v>-3.0</v>
      </c>
      <c r="R101" s="220"/>
      <c r="S101" s="177"/>
    </row>
    <row r="102" hidden="1">
      <c r="A102" s="177"/>
      <c r="B102" s="222"/>
      <c r="C102" s="323">
        <f t="shared" si="1"/>
        <v>97</v>
      </c>
      <c r="D102" s="324"/>
      <c r="E102" s="325"/>
      <c r="F102" s="326"/>
      <c r="G102" s="326"/>
      <c r="H102" s="326"/>
      <c r="I102" s="326"/>
      <c r="J102" s="324"/>
      <c r="K102" s="324"/>
      <c r="L102" s="324"/>
      <c r="M102" s="484"/>
      <c r="N102" s="324"/>
      <c r="O102" s="324"/>
      <c r="P102" s="324"/>
      <c r="Q102" s="484"/>
      <c r="R102" s="220"/>
      <c r="S102" s="177"/>
    </row>
    <row r="103" hidden="1">
      <c r="A103" s="177"/>
      <c r="B103" s="222"/>
      <c r="C103" s="323">
        <f t="shared" si="1"/>
        <v>98</v>
      </c>
      <c r="D103" s="324"/>
      <c r="E103" s="325"/>
      <c r="F103" s="326"/>
      <c r="G103" s="326"/>
      <c r="H103" s="326"/>
      <c r="I103" s="326"/>
      <c r="J103" s="324"/>
      <c r="K103" s="324"/>
      <c r="L103" s="324"/>
      <c r="M103" s="484"/>
      <c r="N103" s="324"/>
      <c r="O103" s="324"/>
      <c r="P103" s="324"/>
      <c r="Q103" s="484"/>
      <c r="R103" s="220"/>
      <c r="S103" s="177"/>
    </row>
    <row r="104" hidden="1">
      <c r="A104" s="177"/>
      <c r="B104" s="222"/>
      <c r="C104" s="323">
        <f t="shared" si="1"/>
        <v>99</v>
      </c>
      <c r="D104" s="324"/>
      <c r="E104" s="325"/>
      <c r="F104" s="326"/>
      <c r="G104" s="326"/>
      <c r="H104" s="326"/>
      <c r="I104" s="326"/>
      <c r="J104" s="324"/>
      <c r="K104" s="324"/>
      <c r="L104" s="324"/>
      <c r="M104" s="484"/>
      <c r="N104" s="324"/>
      <c r="O104" s="324"/>
      <c r="P104" s="324"/>
      <c r="Q104" s="484"/>
      <c r="R104" s="220"/>
      <c r="S104" s="177"/>
    </row>
    <row r="105" hidden="1">
      <c r="A105" s="177"/>
      <c r="B105" s="222"/>
      <c r="C105" s="323">
        <f t="shared" si="1"/>
        <v>100</v>
      </c>
      <c r="D105" s="324"/>
      <c r="E105" s="325"/>
      <c r="F105" s="326"/>
      <c r="G105" s="326"/>
      <c r="H105" s="326"/>
      <c r="I105" s="326"/>
      <c r="J105" s="324"/>
      <c r="K105" s="324"/>
      <c r="L105" s="324"/>
      <c r="M105" s="484"/>
      <c r="N105" s="324"/>
      <c r="O105" s="324"/>
      <c r="P105" s="324"/>
      <c r="Q105" s="484"/>
      <c r="R105" s="220"/>
      <c r="S105" s="177"/>
    </row>
    <row r="106" hidden="1">
      <c r="A106" s="177"/>
      <c r="B106" s="222"/>
      <c r="C106" s="323">
        <f t="shared" si="1"/>
        <v>101</v>
      </c>
      <c r="D106" s="324"/>
      <c r="E106" s="325"/>
      <c r="F106" s="326"/>
      <c r="G106" s="326"/>
      <c r="H106" s="326"/>
      <c r="I106" s="326"/>
      <c r="J106" s="324"/>
      <c r="K106" s="324"/>
      <c r="L106" s="324"/>
      <c r="M106" s="484"/>
      <c r="N106" s="324"/>
      <c r="O106" s="324"/>
      <c r="P106" s="324"/>
      <c r="Q106" s="484"/>
      <c r="R106" s="220"/>
      <c r="S106" s="177"/>
    </row>
    <row r="107" hidden="1">
      <c r="A107" s="177"/>
      <c r="B107" s="222"/>
      <c r="C107" s="323">
        <f t="shared" si="1"/>
        <v>102</v>
      </c>
      <c r="D107" s="324"/>
      <c r="E107" s="325"/>
      <c r="F107" s="326"/>
      <c r="G107" s="326"/>
      <c r="H107" s="326"/>
      <c r="I107" s="326"/>
      <c r="J107" s="324"/>
      <c r="K107" s="324"/>
      <c r="L107" s="324"/>
      <c r="M107" s="484"/>
      <c r="N107" s="324"/>
      <c r="O107" s="324"/>
      <c r="P107" s="324"/>
      <c r="Q107" s="484"/>
      <c r="R107" s="220"/>
      <c r="S107" s="177"/>
    </row>
    <row r="108" hidden="1">
      <c r="A108" s="177"/>
      <c r="B108" s="222"/>
      <c r="C108" s="323">
        <f t="shared" si="1"/>
        <v>103</v>
      </c>
      <c r="D108" s="324"/>
      <c r="E108" s="325"/>
      <c r="F108" s="326"/>
      <c r="G108" s="326"/>
      <c r="H108" s="326"/>
      <c r="I108" s="326"/>
      <c r="J108" s="324"/>
      <c r="K108" s="324"/>
      <c r="L108" s="324"/>
      <c r="M108" s="484"/>
      <c r="N108" s="324"/>
      <c r="O108" s="324"/>
      <c r="P108" s="324"/>
      <c r="Q108" s="484"/>
      <c r="R108" s="220"/>
      <c r="S108" s="177"/>
    </row>
    <row r="109" hidden="1">
      <c r="A109" s="177"/>
      <c r="B109" s="222"/>
      <c r="C109" s="323">
        <f t="shared" si="1"/>
        <v>104</v>
      </c>
      <c r="D109" s="324"/>
      <c r="E109" s="325"/>
      <c r="F109" s="326"/>
      <c r="G109" s="326"/>
      <c r="H109" s="326"/>
      <c r="I109" s="326"/>
      <c r="J109" s="324"/>
      <c r="K109" s="324"/>
      <c r="L109" s="324"/>
      <c r="M109" s="484"/>
      <c r="N109" s="324"/>
      <c r="O109" s="324"/>
      <c r="P109" s="324"/>
      <c r="Q109" s="484"/>
      <c r="R109" s="220"/>
      <c r="S109" s="177"/>
    </row>
    <row r="110" hidden="1">
      <c r="A110" s="177"/>
      <c r="B110" s="222"/>
      <c r="C110" s="323">
        <f t="shared" si="1"/>
        <v>105</v>
      </c>
      <c r="D110" s="324"/>
      <c r="E110" s="325"/>
      <c r="F110" s="326"/>
      <c r="G110" s="326"/>
      <c r="H110" s="326"/>
      <c r="I110" s="326"/>
      <c r="J110" s="324"/>
      <c r="K110" s="324"/>
      <c r="L110" s="324"/>
      <c r="M110" s="484"/>
      <c r="N110" s="324"/>
      <c r="O110" s="324"/>
      <c r="P110" s="324"/>
      <c r="Q110" s="484"/>
      <c r="R110" s="220"/>
      <c r="S110" s="177"/>
    </row>
    <row r="111" hidden="1">
      <c r="A111" s="177"/>
      <c r="B111" s="222"/>
      <c r="C111" s="323">
        <f t="shared" si="1"/>
        <v>106</v>
      </c>
      <c r="D111" s="324"/>
      <c r="E111" s="325"/>
      <c r="F111" s="326"/>
      <c r="G111" s="326"/>
      <c r="H111" s="326"/>
      <c r="I111" s="326"/>
      <c r="J111" s="324"/>
      <c r="K111" s="324"/>
      <c r="L111" s="324"/>
      <c r="M111" s="484"/>
      <c r="N111" s="324"/>
      <c r="O111" s="324"/>
      <c r="P111" s="324"/>
      <c r="Q111" s="484"/>
      <c r="R111" s="220"/>
      <c r="S111" s="177"/>
    </row>
    <row r="112" hidden="1">
      <c r="A112" s="177"/>
      <c r="B112" s="222"/>
      <c r="C112" s="323">
        <f t="shared" si="1"/>
        <v>107</v>
      </c>
      <c r="D112" s="324"/>
      <c r="E112" s="325"/>
      <c r="F112" s="326"/>
      <c r="G112" s="326"/>
      <c r="H112" s="326"/>
      <c r="I112" s="326"/>
      <c r="J112" s="324"/>
      <c r="K112" s="324"/>
      <c r="L112" s="324"/>
      <c r="M112" s="484"/>
      <c r="N112" s="324"/>
      <c r="O112" s="324"/>
      <c r="P112" s="324"/>
      <c r="Q112" s="484"/>
      <c r="R112" s="220"/>
      <c r="S112" s="177"/>
    </row>
    <row r="113" hidden="1">
      <c r="A113" s="177"/>
      <c r="B113" s="222"/>
      <c r="C113" s="323">
        <f t="shared" si="1"/>
        <v>108</v>
      </c>
      <c r="D113" s="324"/>
      <c r="E113" s="325"/>
      <c r="F113" s="326"/>
      <c r="G113" s="326"/>
      <c r="H113" s="326"/>
      <c r="I113" s="326"/>
      <c r="J113" s="324"/>
      <c r="K113" s="324"/>
      <c r="L113" s="324"/>
      <c r="M113" s="484"/>
      <c r="N113" s="324"/>
      <c r="O113" s="324"/>
      <c r="P113" s="324"/>
      <c r="Q113" s="484"/>
      <c r="R113" s="220"/>
      <c r="S113" s="177"/>
    </row>
    <row r="114" hidden="1">
      <c r="A114" s="177"/>
      <c r="B114" s="222"/>
      <c r="C114" s="323">
        <f t="shared" si="1"/>
        <v>109</v>
      </c>
      <c r="D114" s="324"/>
      <c r="E114" s="325"/>
      <c r="F114" s="326"/>
      <c r="G114" s="326"/>
      <c r="H114" s="326"/>
      <c r="I114" s="326"/>
      <c r="J114" s="324"/>
      <c r="K114" s="324"/>
      <c r="L114" s="324"/>
      <c r="M114" s="484"/>
      <c r="N114" s="324"/>
      <c r="O114" s="324"/>
      <c r="P114" s="324"/>
      <c r="Q114" s="484"/>
      <c r="R114" s="220"/>
      <c r="S114" s="177"/>
    </row>
    <row r="115" hidden="1">
      <c r="A115" s="177"/>
      <c r="B115" s="222"/>
      <c r="C115" s="323">
        <f t="shared" si="1"/>
        <v>110</v>
      </c>
      <c r="D115" s="324"/>
      <c r="E115" s="325"/>
      <c r="F115" s="326"/>
      <c r="G115" s="326"/>
      <c r="H115" s="326"/>
      <c r="I115" s="326"/>
      <c r="J115" s="324"/>
      <c r="K115" s="324"/>
      <c r="L115" s="324"/>
      <c r="M115" s="484"/>
      <c r="N115" s="324"/>
      <c r="O115" s="324"/>
      <c r="P115" s="324"/>
      <c r="Q115" s="484"/>
      <c r="R115" s="220"/>
      <c r="S115" s="177"/>
    </row>
    <row r="116" hidden="1">
      <c r="A116" s="177"/>
      <c r="B116" s="222"/>
      <c r="C116" s="323">
        <f t="shared" si="1"/>
        <v>111</v>
      </c>
      <c r="D116" s="324"/>
      <c r="E116" s="325"/>
      <c r="F116" s="326"/>
      <c r="G116" s="326"/>
      <c r="H116" s="326"/>
      <c r="I116" s="326"/>
      <c r="J116" s="324"/>
      <c r="K116" s="324"/>
      <c r="L116" s="324"/>
      <c r="M116" s="484"/>
      <c r="N116" s="324"/>
      <c r="O116" s="324"/>
      <c r="P116" s="324"/>
      <c r="Q116" s="484"/>
      <c r="R116" s="220"/>
      <c r="S116" s="177"/>
    </row>
    <row r="117" hidden="1">
      <c r="A117" s="177"/>
      <c r="B117" s="222"/>
      <c r="C117" s="323">
        <f t="shared" si="1"/>
        <v>112</v>
      </c>
      <c r="D117" s="324"/>
      <c r="E117" s="325"/>
      <c r="F117" s="326"/>
      <c r="G117" s="326"/>
      <c r="H117" s="326"/>
      <c r="I117" s="326"/>
      <c r="J117" s="324"/>
      <c r="K117" s="324"/>
      <c r="L117" s="324"/>
      <c r="M117" s="484"/>
      <c r="N117" s="324"/>
      <c r="O117" s="324"/>
      <c r="P117" s="324"/>
      <c r="Q117" s="484"/>
      <c r="R117" s="220"/>
      <c r="S117" s="177"/>
    </row>
    <row r="118" hidden="1">
      <c r="A118" s="177"/>
      <c r="B118" s="222"/>
      <c r="C118" s="323">
        <f t="shared" si="1"/>
        <v>113</v>
      </c>
      <c r="D118" s="324"/>
      <c r="E118" s="325"/>
      <c r="F118" s="326"/>
      <c r="G118" s="326"/>
      <c r="H118" s="326"/>
      <c r="I118" s="326"/>
      <c r="J118" s="324"/>
      <c r="K118" s="324"/>
      <c r="L118" s="324"/>
      <c r="M118" s="484"/>
      <c r="N118" s="324"/>
      <c r="O118" s="324"/>
      <c r="P118" s="324"/>
      <c r="Q118" s="484"/>
      <c r="R118" s="220"/>
      <c r="S118" s="177"/>
    </row>
    <row r="119" hidden="1">
      <c r="A119" s="177"/>
      <c r="B119" s="222"/>
      <c r="C119" s="323">
        <f t="shared" si="1"/>
        <v>114</v>
      </c>
      <c r="D119" s="324"/>
      <c r="E119" s="325"/>
      <c r="F119" s="326"/>
      <c r="G119" s="326"/>
      <c r="H119" s="326"/>
      <c r="I119" s="326"/>
      <c r="J119" s="324"/>
      <c r="K119" s="324"/>
      <c r="L119" s="324"/>
      <c r="M119" s="484"/>
      <c r="N119" s="324"/>
      <c r="O119" s="324"/>
      <c r="P119" s="324"/>
      <c r="Q119" s="484"/>
      <c r="R119" s="220"/>
      <c r="S119" s="177"/>
    </row>
    <row r="120" hidden="1">
      <c r="A120" s="177"/>
      <c r="B120" s="222"/>
      <c r="C120" s="323">
        <f t="shared" si="1"/>
        <v>115</v>
      </c>
      <c r="D120" s="324"/>
      <c r="E120" s="325"/>
      <c r="F120" s="326"/>
      <c r="G120" s="326"/>
      <c r="H120" s="326"/>
      <c r="I120" s="326"/>
      <c r="J120" s="324"/>
      <c r="K120" s="324"/>
      <c r="L120" s="324"/>
      <c r="M120" s="484"/>
      <c r="N120" s="324"/>
      <c r="O120" s="324"/>
      <c r="P120" s="324"/>
      <c r="Q120" s="484"/>
      <c r="R120" s="220"/>
      <c r="S120" s="177"/>
    </row>
    <row r="121" hidden="1">
      <c r="A121" s="177"/>
      <c r="B121" s="222"/>
      <c r="C121" s="323">
        <f t="shared" si="1"/>
        <v>116</v>
      </c>
      <c r="D121" s="324"/>
      <c r="E121" s="325"/>
      <c r="F121" s="326"/>
      <c r="G121" s="326"/>
      <c r="H121" s="326"/>
      <c r="I121" s="326"/>
      <c r="J121" s="324"/>
      <c r="K121" s="324"/>
      <c r="L121" s="324"/>
      <c r="M121" s="484"/>
      <c r="N121" s="324"/>
      <c r="O121" s="324"/>
      <c r="P121" s="324"/>
      <c r="Q121" s="484"/>
      <c r="R121" s="220"/>
      <c r="S121" s="177"/>
    </row>
    <row r="122" hidden="1">
      <c r="A122" s="177"/>
      <c r="B122" s="222"/>
      <c r="C122" s="323">
        <f t="shared" si="1"/>
        <v>117</v>
      </c>
      <c r="D122" s="324"/>
      <c r="E122" s="325"/>
      <c r="F122" s="326"/>
      <c r="G122" s="326"/>
      <c r="H122" s="326"/>
      <c r="I122" s="326"/>
      <c r="J122" s="324"/>
      <c r="K122" s="324"/>
      <c r="L122" s="324"/>
      <c r="M122" s="484"/>
      <c r="N122" s="324"/>
      <c r="O122" s="324"/>
      <c r="P122" s="324"/>
      <c r="Q122" s="484"/>
      <c r="R122" s="220"/>
      <c r="S122" s="177"/>
    </row>
    <row r="123" hidden="1">
      <c r="A123" s="177"/>
      <c r="B123" s="222"/>
      <c r="C123" s="323">
        <f t="shared" si="1"/>
        <v>118</v>
      </c>
      <c r="D123" s="324"/>
      <c r="E123" s="325"/>
      <c r="F123" s="326"/>
      <c r="G123" s="326"/>
      <c r="H123" s="326"/>
      <c r="I123" s="326"/>
      <c r="J123" s="324"/>
      <c r="K123" s="324"/>
      <c r="L123" s="324"/>
      <c r="M123" s="484"/>
      <c r="N123" s="324"/>
      <c r="O123" s="324"/>
      <c r="P123" s="324"/>
      <c r="Q123" s="484"/>
      <c r="R123" s="220"/>
      <c r="S123" s="177"/>
    </row>
    <row r="124" hidden="1">
      <c r="A124" s="177"/>
      <c r="B124" s="222"/>
      <c r="C124" s="323">
        <f t="shared" si="1"/>
        <v>119</v>
      </c>
      <c r="D124" s="324"/>
      <c r="E124" s="325"/>
      <c r="F124" s="326"/>
      <c r="G124" s="326"/>
      <c r="H124" s="326"/>
      <c r="I124" s="326"/>
      <c r="J124" s="324"/>
      <c r="K124" s="324"/>
      <c r="L124" s="324"/>
      <c r="M124" s="484"/>
      <c r="N124" s="324"/>
      <c r="O124" s="324"/>
      <c r="P124" s="324"/>
      <c r="Q124" s="484"/>
      <c r="R124" s="220"/>
      <c r="S124" s="177"/>
    </row>
    <row r="125" hidden="1">
      <c r="A125" s="177"/>
      <c r="B125" s="222"/>
      <c r="C125" s="323">
        <f t="shared" si="1"/>
        <v>120</v>
      </c>
      <c r="D125" s="324"/>
      <c r="E125" s="325"/>
      <c r="F125" s="326"/>
      <c r="G125" s="326"/>
      <c r="H125" s="326"/>
      <c r="I125" s="326"/>
      <c r="J125" s="324"/>
      <c r="K125" s="324"/>
      <c r="L125" s="324"/>
      <c r="M125" s="484"/>
      <c r="N125" s="324"/>
      <c r="O125" s="324"/>
      <c r="P125" s="324"/>
      <c r="Q125" s="484"/>
      <c r="R125" s="220"/>
      <c r="S125" s="177"/>
    </row>
    <row r="126" hidden="1">
      <c r="A126" s="177"/>
      <c r="B126" s="222"/>
      <c r="C126" s="323">
        <f t="shared" si="1"/>
        <v>121</v>
      </c>
      <c r="D126" s="324"/>
      <c r="E126" s="325"/>
      <c r="F126" s="326"/>
      <c r="G126" s="326"/>
      <c r="H126" s="326"/>
      <c r="I126" s="326"/>
      <c r="J126" s="324"/>
      <c r="K126" s="324"/>
      <c r="L126" s="324"/>
      <c r="M126" s="484"/>
      <c r="N126" s="324"/>
      <c r="O126" s="324"/>
      <c r="P126" s="324"/>
      <c r="Q126" s="484"/>
      <c r="R126" s="220"/>
      <c r="S126" s="177"/>
    </row>
    <row r="127" hidden="1">
      <c r="A127" s="177"/>
      <c r="B127" s="222"/>
      <c r="C127" s="323">
        <f t="shared" si="1"/>
        <v>122</v>
      </c>
      <c r="D127" s="324"/>
      <c r="E127" s="325"/>
      <c r="F127" s="326"/>
      <c r="G127" s="326"/>
      <c r="H127" s="326"/>
      <c r="I127" s="326"/>
      <c r="J127" s="324"/>
      <c r="K127" s="324"/>
      <c r="L127" s="324"/>
      <c r="M127" s="484"/>
      <c r="N127" s="324"/>
      <c r="O127" s="324"/>
      <c r="P127" s="324"/>
      <c r="Q127" s="484"/>
      <c r="R127" s="220"/>
      <c r="S127" s="177"/>
    </row>
    <row r="128" hidden="1">
      <c r="A128" s="177"/>
      <c r="B128" s="222"/>
      <c r="C128" s="323">
        <f t="shared" si="1"/>
        <v>123</v>
      </c>
      <c r="D128" s="324"/>
      <c r="E128" s="325"/>
      <c r="F128" s="326"/>
      <c r="G128" s="326"/>
      <c r="H128" s="326"/>
      <c r="I128" s="326"/>
      <c r="J128" s="324"/>
      <c r="K128" s="324"/>
      <c r="L128" s="324"/>
      <c r="M128" s="484"/>
      <c r="N128" s="324"/>
      <c r="O128" s="324"/>
      <c r="P128" s="324"/>
      <c r="Q128" s="484"/>
      <c r="R128" s="220"/>
      <c r="S128" s="177"/>
    </row>
    <row r="129" hidden="1">
      <c r="A129" s="177"/>
      <c r="B129" s="222"/>
      <c r="C129" s="323">
        <f t="shared" si="1"/>
        <v>124</v>
      </c>
      <c r="D129" s="324"/>
      <c r="E129" s="325"/>
      <c r="F129" s="326"/>
      <c r="G129" s="326"/>
      <c r="H129" s="326"/>
      <c r="I129" s="326"/>
      <c r="J129" s="324"/>
      <c r="K129" s="324"/>
      <c r="L129" s="324"/>
      <c r="M129" s="484"/>
      <c r="N129" s="324"/>
      <c r="O129" s="324"/>
      <c r="P129" s="324"/>
      <c r="Q129" s="484"/>
      <c r="R129" s="220"/>
      <c r="S129" s="177"/>
    </row>
    <row r="130" hidden="1">
      <c r="A130" s="177"/>
      <c r="B130" s="222"/>
      <c r="C130" s="323">
        <f t="shared" si="1"/>
        <v>125</v>
      </c>
      <c r="D130" s="324"/>
      <c r="E130" s="325"/>
      <c r="F130" s="326"/>
      <c r="G130" s="326"/>
      <c r="H130" s="326"/>
      <c r="I130" s="326"/>
      <c r="J130" s="324"/>
      <c r="K130" s="324"/>
      <c r="L130" s="324"/>
      <c r="M130" s="484"/>
      <c r="N130" s="324"/>
      <c r="O130" s="324"/>
      <c r="P130" s="324"/>
      <c r="Q130" s="484"/>
      <c r="R130" s="220"/>
      <c r="S130" s="177"/>
    </row>
    <row r="131" hidden="1">
      <c r="A131" s="177"/>
      <c r="B131" s="222"/>
      <c r="C131" s="323">
        <f t="shared" si="1"/>
        <v>126</v>
      </c>
      <c r="D131" s="324"/>
      <c r="E131" s="325"/>
      <c r="F131" s="326"/>
      <c r="G131" s="326"/>
      <c r="H131" s="326"/>
      <c r="I131" s="326"/>
      <c r="J131" s="324"/>
      <c r="K131" s="324"/>
      <c r="L131" s="324"/>
      <c r="M131" s="484"/>
      <c r="N131" s="324"/>
      <c r="O131" s="324"/>
      <c r="P131" s="324"/>
      <c r="Q131" s="484"/>
      <c r="R131" s="220"/>
      <c r="S131" s="177"/>
    </row>
    <row r="132" hidden="1">
      <c r="A132" s="177"/>
      <c r="B132" s="222"/>
      <c r="C132" s="323">
        <f t="shared" si="1"/>
        <v>127</v>
      </c>
      <c r="D132" s="324"/>
      <c r="E132" s="325"/>
      <c r="F132" s="326"/>
      <c r="G132" s="326"/>
      <c r="H132" s="326"/>
      <c r="I132" s="326"/>
      <c r="J132" s="324"/>
      <c r="K132" s="324"/>
      <c r="L132" s="324"/>
      <c r="M132" s="484"/>
      <c r="N132" s="324"/>
      <c r="O132" s="324"/>
      <c r="P132" s="324"/>
      <c r="Q132" s="484"/>
      <c r="R132" s="220"/>
      <c r="S132" s="177"/>
    </row>
    <row r="133" hidden="1">
      <c r="A133" s="177"/>
      <c r="B133" s="222"/>
      <c r="C133" s="323">
        <f t="shared" si="1"/>
        <v>128</v>
      </c>
      <c r="D133" s="324"/>
      <c r="E133" s="325"/>
      <c r="F133" s="326"/>
      <c r="G133" s="326"/>
      <c r="H133" s="326"/>
      <c r="I133" s="326"/>
      <c r="J133" s="324"/>
      <c r="K133" s="324"/>
      <c r="L133" s="324"/>
      <c r="M133" s="484"/>
      <c r="N133" s="324"/>
      <c r="O133" s="324"/>
      <c r="P133" s="324"/>
      <c r="Q133" s="484"/>
      <c r="R133" s="220"/>
      <c r="S133" s="177"/>
    </row>
    <row r="134" hidden="1">
      <c r="A134" s="177"/>
      <c r="B134" s="222"/>
      <c r="C134" s="323">
        <f t="shared" si="1"/>
        <v>129</v>
      </c>
      <c r="D134" s="324"/>
      <c r="E134" s="325"/>
      <c r="F134" s="326"/>
      <c r="G134" s="326"/>
      <c r="H134" s="326"/>
      <c r="I134" s="326"/>
      <c r="J134" s="324"/>
      <c r="K134" s="324"/>
      <c r="L134" s="324"/>
      <c r="M134" s="484"/>
      <c r="N134" s="324"/>
      <c r="O134" s="324"/>
      <c r="P134" s="324"/>
      <c r="Q134" s="484"/>
      <c r="R134" s="220"/>
      <c r="S134" s="177"/>
    </row>
    <row r="135" hidden="1">
      <c r="A135" s="177"/>
      <c r="B135" s="222"/>
      <c r="C135" s="323">
        <f t="shared" si="1"/>
        <v>130</v>
      </c>
      <c r="D135" s="324"/>
      <c r="E135" s="325"/>
      <c r="F135" s="326"/>
      <c r="G135" s="326"/>
      <c r="H135" s="326"/>
      <c r="I135" s="326"/>
      <c r="J135" s="324"/>
      <c r="K135" s="324"/>
      <c r="L135" s="324"/>
      <c r="M135" s="484"/>
      <c r="N135" s="324"/>
      <c r="O135" s="324"/>
      <c r="P135" s="324"/>
      <c r="Q135" s="484"/>
      <c r="R135" s="220"/>
      <c r="S135" s="177"/>
    </row>
    <row r="136" hidden="1">
      <c r="A136" s="177"/>
      <c r="B136" s="222"/>
      <c r="C136" s="323">
        <f t="shared" si="1"/>
        <v>131</v>
      </c>
      <c r="D136" s="324"/>
      <c r="E136" s="325"/>
      <c r="F136" s="326"/>
      <c r="G136" s="326"/>
      <c r="H136" s="326"/>
      <c r="I136" s="326"/>
      <c r="J136" s="324"/>
      <c r="K136" s="324"/>
      <c r="L136" s="324"/>
      <c r="M136" s="484"/>
      <c r="N136" s="324"/>
      <c r="O136" s="324"/>
      <c r="P136" s="324"/>
      <c r="Q136" s="484"/>
      <c r="R136" s="220"/>
      <c r="S136" s="177"/>
    </row>
    <row r="137" hidden="1">
      <c r="A137" s="177"/>
      <c r="B137" s="222"/>
      <c r="C137" s="323">
        <f t="shared" si="1"/>
        <v>132</v>
      </c>
      <c r="D137" s="324"/>
      <c r="E137" s="325"/>
      <c r="F137" s="326"/>
      <c r="G137" s="326"/>
      <c r="H137" s="326"/>
      <c r="I137" s="326"/>
      <c r="J137" s="324"/>
      <c r="K137" s="324"/>
      <c r="L137" s="324"/>
      <c r="M137" s="484"/>
      <c r="N137" s="324"/>
      <c r="O137" s="324"/>
      <c r="P137" s="324"/>
      <c r="Q137" s="484"/>
      <c r="R137" s="220"/>
      <c r="S137" s="177"/>
    </row>
    <row r="138" hidden="1">
      <c r="A138" s="177"/>
      <c r="B138" s="222"/>
      <c r="C138" s="323">
        <f t="shared" si="1"/>
        <v>133</v>
      </c>
      <c r="D138" s="324"/>
      <c r="E138" s="325"/>
      <c r="F138" s="326"/>
      <c r="G138" s="326"/>
      <c r="H138" s="326"/>
      <c r="I138" s="326"/>
      <c r="J138" s="324"/>
      <c r="K138" s="324"/>
      <c r="L138" s="324"/>
      <c r="M138" s="484"/>
      <c r="N138" s="324"/>
      <c r="O138" s="324"/>
      <c r="P138" s="324"/>
      <c r="Q138" s="484"/>
      <c r="R138" s="220"/>
      <c r="S138" s="177"/>
    </row>
    <row r="139" hidden="1">
      <c r="A139" s="177"/>
      <c r="B139" s="222"/>
      <c r="C139" s="323">
        <f t="shared" si="1"/>
        <v>134</v>
      </c>
      <c r="D139" s="324"/>
      <c r="E139" s="325"/>
      <c r="F139" s="326"/>
      <c r="G139" s="326"/>
      <c r="H139" s="326"/>
      <c r="I139" s="326"/>
      <c r="J139" s="324"/>
      <c r="K139" s="324"/>
      <c r="L139" s="324"/>
      <c r="M139" s="484"/>
      <c r="N139" s="324"/>
      <c r="O139" s="324"/>
      <c r="P139" s="324"/>
      <c r="Q139" s="484"/>
      <c r="R139" s="220"/>
      <c r="S139" s="177"/>
    </row>
    <row r="140" hidden="1">
      <c r="A140" s="177"/>
      <c r="B140" s="222"/>
      <c r="C140" s="323">
        <f t="shared" si="1"/>
        <v>135</v>
      </c>
      <c r="D140" s="324"/>
      <c r="E140" s="325"/>
      <c r="F140" s="326"/>
      <c r="G140" s="326"/>
      <c r="H140" s="326"/>
      <c r="I140" s="326"/>
      <c r="J140" s="324"/>
      <c r="K140" s="324"/>
      <c r="L140" s="324"/>
      <c r="M140" s="484"/>
      <c r="N140" s="324"/>
      <c r="O140" s="324"/>
      <c r="P140" s="324"/>
      <c r="Q140" s="484"/>
      <c r="R140" s="220"/>
      <c r="S140" s="177"/>
    </row>
    <row r="141" hidden="1">
      <c r="A141" s="177"/>
      <c r="B141" s="222"/>
      <c r="C141" s="323">
        <f t="shared" si="1"/>
        <v>136</v>
      </c>
      <c r="D141" s="324"/>
      <c r="E141" s="325"/>
      <c r="F141" s="326"/>
      <c r="G141" s="326"/>
      <c r="H141" s="326"/>
      <c r="I141" s="326"/>
      <c r="J141" s="324"/>
      <c r="K141" s="324"/>
      <c r="L141" s="324"/>
      <c r="M141" s="484"/>
      <c r="N141" s="324"/>
      <c r="O141" s="324"/>
      <c r="P141" s="324"/>
      <c r="Q141" s="484"/>
      <c r="R141" s="220"/>
      <c r="S141" s="177"/>
    </row>
    <row r="142" hidden="1">
      <c r="A142" s="177"/>
      <c r="B142" s="222"/>
      <c r="C142" s="323">
        <f t="shared" si="1"/>
        <v>137</v>
      </c>
      <c r="D142" s="324"/>
      <c r="E142" s="325"/>
      <c r="F142" s="326"/>
      <c r="G142" s="326"/>
      <c r="H142" s="326"/>
      <c r="I142" s="326"/>
      <c r="J142" s="324"/>
      <c r="K142" s="324"/>
      <c r="L142" s="324"/>
      <c r="M142" s="484"/>
      <c r="N142" s="324"/>
      <c r="O142" s="324"/>
      <c r="P142" s="324"/>
      <c r="Q142" s="484"/>
      <c r="R142" s="220"/>
      <c r="S142" s="177"/>
    </row>
    <row r="143" hidden="1">
      <c r="A143" s="177"/>
      <c r="B143" s="222"/>
      <c r="C143" s="323">
        <f t="shared" si="1"/>
        <v>138</v>
      </c>
      <c r="D143" s="324"/>
      <c r="E143" s="325"/>
      <c r="F143" s="326"/>
      <c r="G143" s="326"/>
      <c r="H143" s="326"/>
      <c r="I143" s="326"/>
      <c r="J143" s="324"/>
      <c r="K143" s="324"/>
      <c r="L143" s="324"/>
      <c r="M143" s="484"/>
      <c r="N143" s="324"/>
      <c r="O143" s="324"/>
      <c r="P143" s="324"/>
      <c r="Q143" s="484"/>
      <c r="R143" s="220"/>
      <c r="S143" s="177"/>
    </row>
    <row r="144" hidden="1">
      <c r="A144" s="177"/>
      <c r="B144" s="222"/>
      <c r="C144" s="323">
        <f t="shared" si="1"/>
        <v>139</v>
      </c>
      <c r="D144" s="324"/>
      <c r="E144" s="325"/>
      <c r="F144" s="326"/>
      <c r="G144" s="326"/>
      <c r="H144" s="326"/>
      <c r="I144" s="326"/>
      <c r="J144" s="324"/>
      <c r="K144" s="324"/>
      <c r="L144" s="324"/>
      <c r="M144" s="484"/>
      <c r="N144" s="324"/>
      <c r="O144" s="324"/>
      <c r="P144" s="324"/>
      <c r="Q144" s="484"/>
      <c r="R144" s="220"/>
      <c r="S144" s="177"/>
    </row>
    <row r="145" hidden="1">
      <c r="A145" s="177"/>
      <c r="B145" s="222"/>
      <c r="C145" s="323">
        <f t="shared" si="1"/>
        <v>140</v>
      </c>
      <c r="D145" s="324"/>
      <c r="E145" s="325"/>
      <c r="F145" s="326"/>
      <c r="G145" s="326"/>
      <c r="H145" s="326"/>
      <c r="I145" s="326"/>
      <c r="J145" s="324"/>
      <c r="K145" s="324"/>
      <c r="L145" s="324"/>
      <c r="M145" s="484"/>
      <c r="N145" s="324"/>
      <c r="O145" s="324"/>
      <c r="P145" s="324"/>
      <c r="Q145" s="484"/>
      <c r="R145" s="220"/>
      <c r="S145" s="177"/>
    </row>
    <row r="146" hidden="1">
      <c r="A146" s="177"/>
      <c r="B146" s="222"/>
      <c r="C146" s="323">
        <f t="shared" si="1"/>
        <v>141</v>
      </c>
      <c r="D146" s="324"/>
      <c r="E146" s="325"/>
      <c r="F146" s="326"/>
      <c r="G146" s="326"/>
      <c r="H146" s="326"/>
      <c r="I146" s="326"/>
      <c r="J146" s="324"/>
      <c r="K146" s="324"/>
      <c r="L146" s="324"/>
      <c r="M146" s="484"/>
      <c r="N146" s="324"/>
      <c r="O146" s="324"/>
      <c r="P146" s="324"/>
      <c r="Q146" s="484"/>
      <c r="R146" s="220"/>
      <c r="S146" s="177"/>
    </row>
    <row r="147" hidden="1">
      <c r="A147" s="177"/>
      <c r="B147" s="222"/>
      <c r="C147" s="323">
        <f t="shared" si="1"/>
        <v>142</v>
      </c>
      <c r="D147" s="324"/>
      <c r="E147" s="325"/>
      <c r="F147" s="326"/>
      <c r="G147" s="326"/>
      <c r="H147" s="326"/>
      <c r="I147" s="326"/>
      <c r="J147" s="324"/>
      <c r="K147" s="324"/>
      <c r="L147" s="324"/>
      <c r="M147" s="484"/>
      <c r="N147" s="324"/>
      <c r="O147" s="324"/>
      <c r="P147" s="324"/>
      <c r="Q147" s="484"/>
      <c r="R147" s="220"/>
      <c r="S147" s="177"/>
    </row>
    <row r="148" hidden="1">
      <c r="A148" s="177"/>
      <c r="B148" s="222"/>
      <c r="C148" s="323">
        <f t="shared" si="1"/>
        <v>143</v>
      </c>
      <c r="D148" s="324"/>
      <c r="E148" s="325"/>
      <c r="F148" s="326"/>
      <c r="G148" s="326"/>
      <c r="H148" s="326"/>
      <c r="I148" s="326"/>
      <c r="J148" s="324"/>
      <c r="K148" s="324"/>
      <c r="L148" s="324"/>
      <c r="M148" s="484"/>
      <c r="N148" s="324"/>
      <c r="O148" s="324"/>
      <c r="P148" s="324"/>
      <c r="Q148" s="484"/>
      <c r="R148" s="220"/>
      <c r="S148" s="177"/>
    </row>
    <row r="149" hidden="1">
      <c r="A149" s="177"/>
      <c r="B149" s="222"/>
      <c r="C149" s="323">
        <f t="shared" si="1"/>
        <v>144</v>
      </c>
      <c r="D149" s="324"/>
      <c r="E149" s="325"/>
      <c r="F149" s="326"/>
      <c r="G149" s="326"/>
      <c r="H149" s="326"/>
      <c r="I149" s="326"/>
      <c r="J149" s="324"/>
      <c r="K149" s="324"/>
      <c r="L149" s="324"/>
      <c r="M149" s="484"/>
      <c r="N149" s="324"/>
      <c r="O149" s="324"/>
      <c r="P149" s="324"/>
      <c r="Q149" s="484"/>
      <c r="R149" s="220"/>
      <c r="S149" s="177"/>
    </row>
    <row r="150" hidden="1">
      <c r="A150" s="177"/>
      <c r="B150" s="222"/>
      <c r="C150" s="323">
        <f t="shared" si="1"/>
        <v>145</v>
      </c>
      <c r="D150" s="324"/>
      <c r="E150" s="325"/>
      <c r="F150" s="326"/>
      <c r="G150" s="326"/>
      <c r="H150" s="326"/>
      <c r="I150" s="326"/>
      <c r="J150" s="324"/>
      <c r="K150" s="324"/>
      <c r="L150" s="324"/>
      <c r="M150" s="484"/>
      <c r="N150" s="324"/>
      <c r="O150" s="324"/>
      <c r="P150" s="324"/>
      <c r="Q150" s="484"/>
      <c r="R150" s="220"/>
      <c r="S150" s="177"/>
    </row>
    <row r="151" hidden="1">
      <c r="A151" s="177"/>
      <c r="B151" s="222"/>
      <c r="C151" s="323">
        <f t="shared" si="1"/>
        <v>146</v>
      </c>
      <c r="D151" s="324"/>
      <c r="E151" s="325"/>
      <c r="F151" s="326"/>
      <c r="G151" s="326"/>
      <c r="H151" s="326"/>
      <c r="I151" s="326"/>
      <c r="J151" s="324"/>
      <c r="K151" s="324"/>
      <c r="L151" s="324"/>
      <c r="M151" s="484"/>
      <c r="N151" s="324"/>
      <c r="O151" s="324"/>
      <c r="P151" s="324"/>
      <c r="Q151" s="484"/>
      <c r="R151" s="220"/>
      <c r="S151" s="177"/>
    </row>
    <row r="152" hidden="1">
      <c r="A152" s="177"/>
      <c r="B152" s="222"/>
      <c r="C152" s="323">
        <f t="shared" si="1"/>
        <v>147</v>
      </c>
      <c r="D152" s="324"/>
      <c r="E152" s="325"/>
      <c r="F152" s="326"/>
      <c r="G152" s="326"/>
      <c r="H152" s="326"/>
      <c r="I152" s="326"/>
      <c r="J152" s="324"/>
      <c r="K152" s="324"/>
      <c r="L152" s="324"/>
      <c r="M152" s="484"/>
      <c r="N152" s="324"/>
      <c r="O152" s="324"/>
      <c r="P152" s="324"/>
      <c r="Q152" s="484"/>
      <c r="R152" s="220"/>
      <c r="S152" s="177"/>
    </row>
    <row r="153" hidden="1">
      <c r="A153" s="177"/>
      <c r="B153" s="222"/>
      <c r="C153" s="323">
        <f t="shared" si="1"/>
        <v>148</v>
      </c>
      <c r="D153" s="324"/>
      <c r="E153" s="325"/>
      <c r="F153" s="326"/>
      <c r="G153" s="326"/>
      <c r="H153" s="326"/>
      <c r="I153" s="326"/>
      <c r="J153" s="324"/>
      <c r="K153" s="324"/>
      <c r="L153" s="324"/>
      <c r="M153" s="484"/>
      <c r="N153" s="324"/>
      <c r="O153" s="324"/>
      <c r="P153" s="324"/>
      <c r="Q153" s="484"/>
      <c r="R153" s="220"/>
      <c r="S153" s="177"/>
    </row>
    <row r="154" hidden="1">
      <c r="A154" s="177"/>
      <c r="B154" s="222"/>
      <c r="C154" s="323">
        <f t="shared" si="1"/>
        <v>149</v>
      </c>
      <c r="D154" s="324"/>
      <c r="E154" s="325"/>
      <c r="F154" s="326"/>
      <c r="G154" s="326"/>
      <c r="H154" s="326"/>
      <c r="I154" s="326"/>
      <c r="J154" s="324"/>
      <c r="K154" s="324"/>
      <c r="L154" s="324"/>
      <c r="M154" s="484"/>
      <c r="N154" s="324"/>
      <c r="O154" s="324"/>
      <c r="P154" s="324"/>
      <c r="Q154" s="484"/>
      <c r="R154" s="220"/>
      <c r="S154" s="177"/>
    </row>
    <row r="155" hidden="1">
      <c r="A155" s="177"/>
      <c r="B155" s="222"/>
      <c r="C155" s="323">
        <f t="shared" si="1"/>
        <v>150</v>
      </c>
      <c r="D155" s="324"/>
      <c r="E155" s="325"/>
      <c r="F155" s="326"/>
      <c r="G155" s="326"/>
      <c r="H155" s="326"/>
      <c r="I155" s="326"/>
      <c r="J155" s="324"/>
      <c r="K155" s="324"/>
      <c r="L155" s="324"/>
      <c r="M155" s="484"/>
      <c r="N155" s="324"/>
      <c r="O155" s="324"/>
      <c r="P155" s="324"/>
      <c r="Q155" s="484"/>
      <c r="R155" s="220"/>
      <c r="S155" s="177"/>
    </row>
    <row r="156" hidden="1">
      <c r="A156" s="177"/>
      <c r="B156" s="222"/>
      <c r="C156" s="323">
        <f t="shared" si="1"/>
        <v>151</v>
      </c>
      <c r="D156" s="324"/>
      <c r="E156" s="325"/>
      <c r="F156" s="326"/>
      <c r="G156" s="326"/>
      <c r="H156" s="326"/>
      <c r="I156" s="326"/>
      <c r="J156" s="324"/>
      <c r="K156" s="324"/>
      <c r="L156" s="324"/>
      <c r="M156" s="484"/>
      <c r="N156" s="324"/>
      <c r="O156" s="324"/>
      <c r="P156" s="324"/>
      <c r="Q156" s="484"/>
      <c r="R156" s="220"/>
      <c r="S156" s="177"/>
    </row>
    <row r="157" ht="7.5" customHeight="1">
      <c r="A157" s="177"/>
      <c r="B157" s="500"/>
      <c r="C157" s="501"/>
      <c r="D157" s="501"/>
      <c r="E157" s="501"/>
      <c r="F157" s="501"/>
      <c r="G157" s="501"/>
      <c r="H157" s="501"/>
      <c r="I157" s="501"/>
      <c r="J157" s="501"/>
      <c r="K157" s="501"/>
      <c r="L157" s="501"/>
      <c r="M157" s="501"/>
      <c r="N157" s="501"/>
      <c r="O157" s="501"/>
      <c r="P157" s="501"/>
      <c r="Q157" s="501"/>
      <c r="R157" s="220"/>
      <c r="S157" s="177"/>
    </row>
    <row r="158" ht="7.5" customHeight="1">
      <c r="A158" s="177"/>
      <c r="B158" s="177"/>
      <c r="C158" s="177"/>
      <c r="D158" s="503"/>
      <c r="E158" s="505"/>
      <c r="F158" s="505"/>
      <c r="G158" s="505"/>
      <c r="H158" s="505"/>
      <c r="I158" s="505"/>
      <c r="J158" s="506"/>
      <c r="K158" s="506"/>
      <c r="L158" s="506"/>
      <c r="M158" s="506"/>
      <c r="N158" s="506"/>
      <c r="O158" s="506"/>
      <c r="P158" s="506"/>
      <c r="Q158" s="506"/>
      <c r="R158" s="507"/>
      <c r="S158" s="177"/>
    </row>
  </sheetData>
  <mergeCells count="3">
    <mergeCell ref="C3:Q3"/>
    <mergeCell ref="E4:F4"/>
    <mergeCell ref="G4:I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9EFF"/>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1.38"/>
    <col customWidth="1" min="3" max="3" width="15.13"/>
    <col customWidth="1" min="4" max="6" width="3.25"/>
    <col customWidth="1" min="7" max="7" width="16.38"/>
    <col customWidth="1" min="8" max="10" width="3.25"/>
    <col customWidth="1" min="11" max="11" width="1.38"/>
    <col customWidth="1" min="12" max="12" width="15.13"/>
    <col customWidth="1" min="13" max="15" width="3.25"/>
    <col customWidth="1" min="16" max="16" width="16.38"/>
    <col customWidth="1" min="17" max="19" width="3.25"/>
    <col customWidth="1" min="20" max="20" width="1.38"/>
    <col customWidth="1" min="21" max="21" width="15.13"/>
    <col customWidth="1" min="22" max="24" width="3.25"/>
    <col customWidth="1" min="25" max="25" width="16.38"/>
    <col customWidth="1" min="26" max="28" width="3.25"/>
    <col customWidth="1" min="29" max="29" width="1.38"/>
    <col customWidth="1" min="30" max="30" width="16.38"/>
    <col customWidth="1" min="31" max="33" width="3.25"/>
    <col customWidth="1" min="34" max="34" width="15.13"/>
    <col customWidth="1" min="35" max="37" width="3.25"/>
    <col customWidth="1" min="38" max="38" width="1.38"/>
    <col customWidth="1" min="39" max="39" width="16.38"/>
    <col customWidth="1" min="40" max="42" width="3.25"/>
    <col customWidth="1" min="43" max="43" width="15.13"/>
    <col customWidth="1" min="44" max="46" width="3.25"/>
    <col customWidth="1" min="47" max="47" width="1.38"/>
    <col customWidth="1" min="48" max="48" width="15.13"/>
    <col customWidth="1" min="49" max="51" width="3.25"/>
    <col customWidth="1" min="52" max="52" width="16.38"/>
    <col customWidth="1" min="53" max="55" width="3.25"/>
    <col customWidth="1" min="56" max="56" width="1.38"/>
    <col customWidth="1" min="57" max="57" width="16.38"/>
    <col customWidth="1" min="58" max="60" width="3.25"/>
    <col customWidth="1" min="61" max="61" width="15.13"/>
    <col customWidth="1" min="62" max="64" width="3.25"/>
    <col customWidth="1" min="65" max="65" width="1.38"/>
    <col customWidth="1" min="66" max="66" width="15.13"/>
    <col customWidth="1" min="67" max="69" width="3.25"/>
    <col customWidth="1" min="70" max="70" width="16.38"/>
    <col customWidth="1" min="71" max="73" width="3.25"/>
    <col customWidth="1" min="74" max="77" width="1.38"/>
  </cols>
  <sheetData>
    <row r="1" ht="7.5" customHeight="1">
      <c r="A1" s="502" t="s">
        <v>288</v>
      </c>
      <c r="B1" s="504"/>
      <c r="C1" s="504"/>
      <c r="D1" s="504"/>
      <c r="E1" s="504"/>
      <c r="F1" s="504"/>
      <c r="G1" s="504"/>
      <c r="H1" s="504"/>
      <c r="I1" s="504"/>
      <c r="J1" s="504"/>
      <c r="K1" s="504"/>
      <c r="L1" s="504"/>
      <c r="M1" s="504"/>
      <c r="N1" s="504"/>
      <c r="O1" s="504"/>
      <c r="P1" s="504"/>
      <c r="Q1" s="504"/>
      <c r="R1" s="504"/>
      <c r="S1" s="504"/>
      <c r="T1" s="504"/>
      <c r="U1" s="504"/>
      <c r="V1" s="504"/>
      <c r="W1" s="504"/>
      <c r="X1" s="504"/>
      <c r="Y1" s="504"/>
      <c r="Z1" s="504"/>
      <c r="AA1" s="504"/>
      <c r="AB1" s="504"/>
      <c r="AC1" s="504"/>
      <c r="AD1" s="504"/>
      <c r="AE1" s="504"/>
      <c r="AF1" s="504"/>
      <c r="AG1" s="504"/>
      <c r="AH1" s="504"/>
      <c r="AI1" s="504"/>
      <c r="AJ1" s="504"/>
      <c r="AK1" s="504"/>
      <c r="AL1" s="504"/>
      <c r="AM1" s="504"/>
      <c r="AN1" s="504"/>
      <c r="AO1" s="504"/>
      <c r="AP1" s="504"/>
      <c r="AQ1" s="504"/>
      <c r="AR1" s="504"/>
      <c r="AS1" s="504"/>
      <c r="AT1" s="504"/>
      <c r="AU1" s="504"/>
      <c r="AV1" s="504"/>
      <c r="AW1" s="504"/>
      <c r="AX1" s="504"/>
      <c r="AY1" s="504"/>
      <c r="AZ1" s="504"/>
      <c r="BA1" s="504"/>
      <c r="BB1" s="504"/>
      <c r="BC1" s="504"/>
      <c r="BD1" s="504"/>
      <c r="BE1" s="504"/>
      <c r="BF1" s="504"/>
      <c r="BG1" s="504"/>
      <c r="BH1" s="504"/>
      <c r="BI1" s="504"/>
      <c r="BJ1" s="504"/>
      <c r="BK1" s="504"/>
      <c r="BL1" s="504"/>
      <c r="BM1" s="504"/>
      <c r="BN1" s="504"/>
      <c r="BO1" s="504"/>
      <c r="BP1" s="504"/>
      <c r="BQ1" s="504"/>
      <c r="BR1" s="504"/>
      <c r="BS1" s="504"/>
      <c r="BT1" s="504"/>
      <c r="BU1" s="504"/>
      <c r="BV1" s="504"/>
      <c r="BW1" s="504"/>
      <c r="BX1" s="504"/>
      <c r="BY1" s="504"/>
    </row>
    <row r="2" ht="7.5" customHeight="1">
      <c r="A2" s="504"/>
      <c r="B2" s="508"/>
      <c r="C2" s="509"/>
      <c r="D2" s="509"/>
      <c r="E2" s="509"/>
      <c r="F2" s="509"/>
      <c r="G2" s="509"/>
      <c r="H2" s="509"/>
      <c r="I2" s="509"/>
      <c r="J2" s="509"/>
      <c r="K2" s="509"/>
      <c r="L2" s="509"/>
      <c r="M2" s="509"/>
      <c r="N2" s="509"/>
      <c r="O2" s="509"/>
      <c r="P2" s="509"/>
      <c r="Q2" s="509"/>
      <c r="R2" s="509"/>
      <c r="S2" s="509"/>
      <c r="T2" s="509"/>
      <c r="U2" s="509"/>
      <c r="V2" s="509"/>
      <c r="W2" s="509"/>
      <c r="X2" s="509"/>
      <c r="Y2" s="509"/>
      <c r="Z2" s="509"/>
      <c r="AA2" s="509"/>
      <c r="AB2" s="509"/>
      <c r="AC2" s="509"/>
      <c r="AD2" s="509"/>
      <c r="AE2" s="509"/>
      <c r="AF2" s="509"/>
      <c r="AG2" s="509"/>
      <c r="AH2" s="509"/>
      <c r="AI2" s="509"/>
      <c r="AJ2" s="509"/>
      <c r="AK2" s="509"/>
      <c r="AL2" s="509"/>
      <c r="AM2" s="509"/>
      <c r="AN2" s="509"/>
      <c r="AO2" s="509"/>
      <c r="AP2" s="509"/>
      <c r="AQ2" s="509"/>
      <c r="AR2" s="509"/>
      <c r="AS2" s="509"/>
      <c r="AT2" s="509"/>
      <c r="AU2" s="509"/>
      <c r="AV2" s="509"/>
      <c r="AW2" s="509"/>
      <c r="AX2" s="509"/>
      <c r="AY2" s="509"/>
      <c r="AZ2" s="509"/>
      <c r="BA2" s="509"/>
      <c r="BB2" s="509"/>
      <c r="BC2" s="509"/>
      <c r="BD2" s="509"/>
      <c r="BE2" s="509"/>
      <c r="BF2" s="509"/>
      <c r="BG2" s="509"/>
      <c r="BH2" s="509"/>
      <c r="BI2" s="509"/>
      <c r="BJ2" s="509"/>
      <c r="BK2" s="509"/>
      <c r="BL2" s="509"/>
      <c r="BM2" s="509"/>
      <c r="BN2" s="509"/>
      <c r="BO2" s="509"/>
      <c r="BP2" s="509"/>
      <c r="BQ2" s="509"/>
      <c r="BR2" s="509"/>
      <c r="BS2" s="509"/>
      <c r="BT2" s="509"/>
      <c r="BU2" s="509"/>
      <c r="BV2" s="510"/>
      <c r="BW2" s="504"/>
      <c r="BX2" s="504"/>
      <c r="BY2" s="504"/>
    </row>
    <row r="3">
      <c r="A3" s="177"/>
      <c r="B3" s="222"/>
      <c r="C3" s="511" t="s">
        <v>290</v>
      </c>
      <c r="D3" s="29"/>
      <c r="E3" s="29"/>
      <c r="F3" s="29"/>
      <c r="G3" s="29"/>
      <c r="H3" s="29"/>
      <c r="I3" s="29"/>
      <c r="J3" s="31"/>
      <c r="K3" s="189"/>
      <c r="L3" s="511" t="s">
        <v>291</v>
      </c>
      <c r="M3" s="29"/>
      <c r="N3" s="29"/>
      <c r="O3" s="29"/>
      <c r="P3" s="29"/>
      <c r="Q3" s="29"/>
      <c r="R3" s="29"/>
      <c r="S3" s="31"/>
      <c r="T3" s="189"/>
      <c r="U3" s="511" t="s">
        <v>293</v>
      </c>
      <c r="V3" s="29"/>
      <c r="W3" s="29"/>
      <c r="X3" s="29"/>
      <c r="Y3" s="29"/>
      <c r="Z3" s="29"/>
      <c r="AA3" s="29"/>
      <c r="AB3" s="31"/>
      <c r="AC3" s="189"/>
      <c r="AD3" s="511" t="s">
        <v>294</v>
      </c>
      <c r="AE3" s="29"/>
      <c r="AF3" s="29"/>
      <c r="AG3" s="29"/>
      <c r="AH3" s="29"/>
      <c r="AI3" s="29"/>
      <c r="AJ3" s="29"/>
      <c r="AK3" s="31"/>
      <c r="AL3" s="189"/>
      <c r="AM3" s="511" t="s">
        <v>295</v>
      </c>
      <c r="AN3" s="29"/>
      <c r="AO3" s="29"/>
      <c r="AP3" s="29"/>
      <c r="AQ3" s="29"/>
      <c r="AR3" s="29"/>
      <c r="AS3" s="29"/>
      <c r="AT3" s="31"/>
      <c r="AU3" s="189"/>
      <c r="AV3" s="511" t="s">
        <v>296</v>
      </c>
      <c r="AW3" s="29"/>
      <c r="AX3" s="29"/>
      <c r="AY3" s="29"/>
      <c r="AZ3" s="29"/>
      <c r="BA3" s="29"/>
      <c r="BB3" s="29"/>
      <c r="BC3" s="31"/>
      <c r="BD3" s="189"/>
      <c r="BE3" s="511" t="s">
        <v>297</v>
      </c>
      <c r="BF3" s="29"/>
      <c r="BG3" s="29"/>
      <c r="BH3" s="29"/>
      <c r="BI3" s="29"/>
      <c r="BJ3" s="29"/>
      <c r="BK3" s="29"/>
      <c r="BL3" s="31"/>
      <c r="BM3" s="189"/>
      <c r="BN3" s="511" t="s">
        <v>298</v>
      </c>
      <c r="BO3" s="29"/>
      <c r="BP3" s="29"/>
      <c r="BQ3" s="29"/>
      <c r="BR3" s="29"/>
      <c r="BS3" s="29"/>
      <c r="BT3" s="29"/>
      <c r="BU3" s="31"/>
      <c r="BV3" s="512"/>
      <c r="BW3" s="513"/>
      <c r="BX3" s="513"/>
      <c r="BY3" s="513"/>
    </row>
    <row r="4" ht="3.75" customHeight="1">
      <c r="A4" s="504"/>
      <c r="B4" s="514"/>
      <c r="C4" s="515"/>
      <c r="D4" s="515"/>
      <c r="E4" s="515"/>
      <c r="F4" s="515"/>
      <c r="G4" s="515"/>
      <c r="H4" s="515"/>
      <c r="I4" s="515"/>
      <c r="J4" s="515"/>
      <c r="K4" s="515"/>
      <c r="L4" s="515"/>
      <c r="M4" s="515"/>
      <c r="N4" s="515"/>
      <c r="O4" s="515"/>
      <c r="P4" s="515"/>
      <c r="Q4" s="515"/>
      <c r="R4" s="515"/>
      <c r="S4" s="515"/>
      <c r="T4" s="515"/>
      <c r="U4" s="515"/>
      <c r="V4" s="515"/>
      <c r="W4" s="515"/>
      <c r="X4" s="515"/>
      <c r="Y4" s="515"/>
      <c r="Z4" s="515"/>
      <c r="AA4" s="515"/>
      <c r="AB4" s="515"/>
      <c r="AC4" s="515"/>
      <c r="AD4" s="515"/>
      <c r="AE4" s="515"/>
      <c r="AF4" s="515"/>
      <c r="AG4" s="515"/>
      <c r="AH4" s="515"/>
      <c r="AI4" s="515"/>
      <c r="AJ4" s="515"/>
      <c r="AK4" s="515"/>
      <c r="AL4" s="515"/>
      <c r="AM4" s="515"/>
      <c r="AN4" s="515"/>
      <c r="AO4" s="515"/>
      <c r="AP4" s="515"/>
      <c r="AQ4" s="515"/>
      <c r="AR4" s="515"/>
      <c r="AS4" s="515"/>
      <c r="AT4" s="515"/>
      <c r="AU4" s="515"/>
      <c r="AV4" s="515"/>
      <c r="AW4" s="515"/>
      <c r="AX4" s="515"/>
      <c r="AY4" s="515"/>
      <c r="AZ4" s="515"/>
      <c r="BA4" s="515"/>
      <c r="BB4" s="515"/>
      <c r="BC4" s="515"/>
      <c r="BD4" s="515"/>
      <c r="BE4" s="515"/>
      <c r="BF4" s="515"/>
      <c r="BG4" s="515"/>
      <c r="BH4" s="515"/>
      <c r="BI4" s="515"/>
      <c r="BJ4" s="515"/>
      <c r="BK4" s="515"/>
      <c r="BL4" s="515"/>
      <c r="BM4" s="515"/>
      <c r="BN4" s="515"/>
      <c r="BO4" s="515"/>
      <c r="BP4" s="515"/>
      <c r="BQ4" s="515"/>
      <c r="BR4" s="515"/>
      <c r="BS4" s="515"/>
      <c r="BT4" s="515"/>
      <c r="BU4" s="515"/>
      <c r="BV4" s="516"/>
      <c r="BW4" s="504"/>
      <c r="BX4" s="504"/>
      <c r="BY4" s="504"/>
    </row>
    <row r="5">
      <c r="A5" s="504"/>
      <c r="B5" s="514"/>
      <c r="C5" s="517" t="str">
        <f>Source!$Q$62</f>
        <v>Ian Heslin</v>
      </c>
      <c r="D5" s="519" t="s">
        <v>76</v>
      </c>
      <c r="E5" s="520" t="s">
        <v>77</v>
      </c>
      <c r="F5" s="520" t="s">
        <v>78</v>
      </c>
      <c r="G5" s="521" t="str">
        <f>Source!$S$62</f>
        <v>Dick Hansen</v>
      </c>
      <c r="H5" s="522" t="s">
        <v>76</v>
      </c>
      <c r="I5" s="523" t="s">
        <v>77</v>
      </c>
      <c r="J5" s="524" t="s">
        <v>78</v>
      </c>
      <c r="K5" s="515"/>
      <c r="L5" s="517" t="str">
        <f>Source!$Q$66</f>
        <v>Ian Heslin</v>
      </c>
      <c r="M5" s="519" t="s">
        <v>76</v>
      </c>
      <c r="N5" s="520" t="s">
        <v>77</v>
      </c>
      <c r="O5" s="520" t="s">
        <v>78</v>
      </c>
      <c r="P5" s="521" t="str">
        <f>Source!$S$66</f>
        <v>Zach VanSickle</v>
      </c>
      <c r="Q5" s="522" t="s">
        <v>76</v>
      </c>
      <c r="R5" s="523" t="s">
        <v>77</v>
      </c>
      <c r="S5" s="524" t="s">
        <v>78</v>
      </c>
      <c r="T5" s="515"/>
      <c r="U5" s="517" t="str">
        <f>Source!$Q$68</f>
        <v>Dick Hansen</v>
      </c>
      <c r="V5" s="519" t="s">
        <v>76</v>
      </c>
      <c r="W5" s="520" t="s">
        <v>77</v>
      </c>
      <c r="X5" s="520" t="s">
        <v>78</v>
      </c>
      <c r="Y5" s="521" t="str">
        <f>Source!$S$68</f>
        <v>Marcus</v>
      </c>
      <c r="Z5" s="522" t="s">
        <v>76</v>
      </c>
      <c r="AA5" s="523" t="s">
        <v>77</v>
      </c>
      <c r="AB5" s="524" t="s">
        <v>78</v>
      </c>
      <c r="AC5" s="515"/>
      <c r="AD5" s="517" t="str">
        <f>Source!$Q$70</f>
        <v>Ian Heslin</v>
      </c>
      <c r="AE5" s="519" t="s">
        <v>76</v>
      </c>
      <c r="AF5" s="520" t="s">
        <v>77</v>
      </c>
      <c r="AG5" s="520" t="s">
        <v>78</v>
      </c>
      <c r="AH5" s="521" t="str">
        <f>Source!$S$70</f>
        <v>Ryan Tidey</v>
      </c>
      <c r="AI5" s="522" t="s">
        <v>76</v>
      </c>
      <c r="AJ5" s="523" t="s">
        <v>77</v>
      </c>
      <c r="AK5" s="524" t="s">
        <v>78</v>
      </c>
      <c r="AL5" s="515"/>
      <c r="AM5" s="517" t="str">
        <f>Source!$Q$71</f>
        <v>Marcus</v>
      </c>
      <c r="AN5" s="519" t="s">
        <v>76</v>
      </c>
      <c r="AO5" s="520" t="s">
        <v>77</v>
      </c>
      <c r="AP5" s="520" t="s">
        <v>78</v>
      </c>
      <c r="AQ5" s="521" t="str">
        <f>Source!$S$71</f>
        <v>Zach VanSickle</v>
      </c>
      <c r="AR5" s="522" t="s">
        <v>76</v>
      </c>
      <c r="AS5" s="523" t="s">
        <v>77</v>
      </c>
      <c r="AT5" s="524" t="s">
        <v>78</v>
      </c>
      <c r="AU5" s="515"/>
      <c r="AV5" s="517" t="str">
        <f>Source!$Q$73</f>
        <v>Zach VanSickle</v>
      </c>
      <c r="AW5" s="519" t="s">
        <v>76</v>
      </c>
      <c r="AX5" s="520" t="s">
        <v>77</v>
      </c>
      <c r="AY5" s="520" t="s">
        <v>78</v>
      </c>
      <c r="AZ5" s="521" t="str">
        <f>Source!$S$73</f>
        <v>Ryan Evans</v>
      </c>
      <c r="BA5" s="522" t="s">
        <v>76</v>
      </c>
      <c r="BB5" s="523" t="s">
        <v>77</v>
      </c>
      <c r="BC5" s="524" t="s">
        <v>78</v>
      </c>
      <c r="BD5" s="515"/>
      <c r="BE5" s="517" t="str">
        <f>Source!$Q$74</f>
        <v>Zach VanSickle</v>
      </c>
      <c r="BF5" s="519" t="s">
        <v>76</v>
      </c>
      <c r="BG5" s="520" t="s">
        <v>77</v>
      </c>
      <c r="BH5" s="520" t="s">
        <v>78</v>
      </c>
      <c r="BI5" s="521" t="str">
        <f>Source!$S$74</f>
        <v>Ian Heslin</v>
      </c>
      <c r="BJ5" s="522" t="s">
        <v>76</v>
      </c>
      <c r="BK5" s="523" t="s">
        <v>77</v>
      </c>
      <c r="BL5" s="524" t="s">
        <v>78</v>
      </c>
      <c r="BM5" s="515"/>
      <c r="BN5" s="517" t="str">
        <f>Source!$Q$75</f>
        <v>Ryan Tidey</v>
      </c>
      <c r="BO5" s="519" t="s">
        <v>76</v>
      </c>
      <c r="BP5" s="520" t="s">
        <v>77</v>
      </c>
      <c r="BQ5" s="520" t="s">
        <v>78</v>
      </c>
      <c r="BR5" s="521" t="str">
        <f>Source!$S$75</f>
        <v>Ian Heslin</v>
      </c>
      <c r="BS5" s="522" t="s">
        <v>76</v>
      </c>
      <c r="BT5" s="523" t="s">
        <v>77</v>
      </c>
      <c r="BU5" s="524" t="s">
        <v>78</v>
      </c>
      <c r="BV5" s="516"/>
      <c r="BW5" s="504"/>
      <c r="BX5" s="504"/>
      <c r="BY5" s="504"/>
    </row>
    <row r="6">
      <c r="A6" s="504"/>
      <c r="B6" s="514"/>
      <c r="C6" s="526" t="s">
        <v>159</v>
      </c>
      <c r="D6" s="527"/>
      <c r="E6" s="527"/>
      <c r="F6" s="529">
        <f t="shared" ref="F6:F11" si="1">D6-E6</f>
        <v>0</v>
      </c>
      <c r="G6" s="526" t="s">
        <v>246</v>
      </c>
      <c r="H6" s="527"/>
      <c r="I6" s="527">
        <v>1.0</v>
      </c>
      <c r="J6" s="530">
        <f t="shared" ref="J6:J11" si="2">H6-I6</f>
        <v>-1</v>
      </c>
      <c r="K6" s="515"/>
      <c r="L6" s="526" t="s">
        <v>99</v>
      </c>
      <c r="M6" s="527">
        <v>0.0</v>
      </c>
      <c r="N6" s="527">
        <v>1.0</v>
      </c>
      <c r="O6" s="529">
        <f t="shared" ref="O6:O11" si="3">M6-N6</f>
        <v>-1</v>
      </c>
      <c r="P6" s="526" t="s">
        <v>225</v>
      </c>
      <c r="Q6" s="527">
        <v>0.0</v>
      </c>
      <c r="R6" s="527">
        <v>1.0</v>
      </c>
      <c r="S6" s="530">
        <f t="shared" ref="S6:S11" si="4">Q6-R6</f>
        <v>-1</v>
      </c>
      <c r="T6" s="515"/>
      <c r="U6" s="526"/>
      <c r="V6" s="527"/>
      <c r="W6" s="527">
        <v>1.0</v>
      </c>
      <c r="X6" s="529">
        <f t="shared" ref="X6:X11" si="5">V6-W6</f>
        <v>-1</v>
      </c>
      <c r="Y6" s="526"/>
      <c r="Z6" s="527">
        <v>1.0</v>
      </c>
      <c r="AA6" s="527"/>
      <c r="AB6" s="530">
        <f t="shared" ref="AB6:AB11" si="6">Z6-AA6</f>
        <v>1</v>
      </c>
      <c r="AC6" s="515"/>
      <c r="AD6" s="526" t="s">
        <v>135</v>
      </c>
      <c r="AE6" s="527"/>
      <c r="AF6" s="527">
        <v>1.0</v>
      </c>
      <c r="AG6" s="529">
        <f t="shared" ref="AG6:AG11" si="7">AE6-AF6</f>
        <v>-1</v>
      </c>
      <c r="AH6" s="526" t="s">
        <v>83</v>
      </c>
      <c r="AI6" s="527">
        <v>1.0</v>
      </c>
      <c r="AJ6" s="527">
        <v>1.0</v>
      </c>
      <c r="AK6" s="530">
        <f t="shared" ref="AK6:AK11" si="8">AI6-AJ6</f>
        <v>0</v>
      </c>
      <c r="AL6" s="515"/>
      <c r="AM6" s="526"/>
      <c r="AN6" s="527"/>
      <c r="AO6" s="527">
        <v>1.0</v>
      </c>
      <c r="AP6" s="529">
        <f t="shared" ref="AP6:AP11" si="9">AN6-AO6</f>
        <v>-1</v>
      </c>
      <c r="AQ6" s="526"/>
      <c r="AR6" s="527">
        <v>1.0</v>
      </c>
      <c r="AS6" s="527"/>
      <c r="AT6" s="530">
        <f t="shared" ref="AT6:AT11" si="10">AR6-AS6</f>
        <v>1</v>
      </c>
      <c r="AU6" s="515"/>
      <c r="AV6" s="526" t="s">
        <v>225</v>
      </c>
      <c r="AW6" s="527"/>
      <c r="AX6" s="527"/>
      <c r="AY6" s="529">
        <f t="shared" ref="AY6:AY11" si="11">AW6-AX6</f>
        <v>0</v>
      </c>
      <c r="AZ6" s="526" t="s">
        <v>114</v>
      </c>
      <c r="BA6" s="527"/>
      <c r="BB6" s="527">
        <v>1.0</v>
      </c>
      <c r="BC6" s="530">
        <f t="shared" ref="BC6:BC11" si="12">BA6-BB6</f>
        <v>-1</v>
      </c>
      <c r="BD6" s="515"/>
      <c r="BE6" s="526" t="s">
        <v>118</v>
      </c>
      <c r="BF6" s="527"/>
      <c r="BG6" s="527">
        <v>1.0</v>
      </c>
      <c r="BH6" s="527">
        <f t="shared" ref="BH6:BH11" si="13">BF6-BG6</f>
        <v>-1</v>
      </c>
      <c r="BI6" s="526" t="s">
        <v>307</v>
      </c>
      <c r="BJ6" s="527"/>
      <c r="BK6" s="527"/>
      <c r="BL6" s="588">
        <f t="shared" ref="BL6:BL11" si="14">BJ6-BK6</f>
        <v>0</v>
      </c>
      <c r="BM6" s="515"/>
      <c r="BN6" s="526"/>
      <c r="BO6" s="527"/>
      <c r="BP6" s="527"/>
      <c r="BQ6" s="529">
        <f t="shared" ref="BQ6:BQ11" si="15">BO6-BP6</f>
        <v>0</v>
      </c>
      <c r="BR6" s="526"/>
      <c r="BS6" s="527"/>
      <c r="BT6" s="527"/>
      <c r="BU6" s="530">
        <f t="shared" ref="BU6:BU11" si="16">BS6-BT6</f>
        <v>0</v>
      </c>
      <c r="BV6" s="516"/>
      <c r="BW6" s="504"/>
      <c r="BX6" s="504"/>
      <c r="BY6" s="504"/>
    </row>
    <row r="7">
      <c r="A7" s="504"/>
      <c r="B7" s="514"/>
      <c r="C7" s="532" t="s">
        <v>96</v>
      </c>
      <c r="D7" s="533">
        <v>2.0</v>
      </c>
      <c r="E7" s="533"/>
      <c r="F7" s="529">
        <f t="shared" si="1"/>
        <v>2</v>
      </c>
      <c r="G7" s="532" t="s">
        <v>243</v>
      </c>
      <c r="H7" s="533"/>
      <c r="I7" s="533">
        <v>1.0</v>
      </c>
      <c r="J7" s="530">
        <f t="shared" si="2"/>
        <v>-1</v>
      </c>
      <c r="K7" s="515"/>
      <c r="L7" s="532" t="s">
        <v>96</v>
      </c>
      <c r="M7" s="533">
        <v>0.0</v>
      </c>
      <c r="N7" s="533">
        <v>0.0</v>
      </c>
      <c r="O7" s="529">
        <f t="shared" si="3"/>
        <v>0</v>
      </c>
      <c r="P7" s="532" t="s">
        <v>239</v>
      </c>
      <c r="Q7" s="533">
        <v>0.0</v>
      </c>
      <c r="R7" s="533">
        <v>1.0</v>
      </c>
      <c r="S7" s="530">
        <f t="shared" si="4"/>
        <v>-1</v>
      </c>
      <c r="T7" s="515"/>
      <c r="U7" s="532"/>
      <c r="V7" s="533"/>
      <c r="W7" s="533"/>
      <c r="X7" s="529">
        <f t="shared" si="5"/>
        <v>0</v>
      </c>
      <c r="Y7" s="532"/>
      <c r="Z7" s="533"/>
      <c r="AA7" s="533"/>
      <c r="AB7" s="530">
        <f t="shared" si="6"/>
        <v>0</v>
      </c>
      <c r="AC7" s="515"/>
      <c r="AD7" s="532" t="s">
        <v>79</v>
      </c>
      <c r="AE7" s="533">
        <v>4.0</v>
      </c>
      <c r="AF7" s="533">
        <v>1.0</v>
      </c>
      <c r="AG7" s="529">
        <f t="shared" si="7"/>
        <v>3</v>
      </c>
      <c r="AH7" s="532" t="s">
        <v>206</v>
      </c>
      <c r="AI7" s="533">
        <v>1.0</v>
      </c>
      <c r="AJ7" s="533">
        <v>1.0</v>
      </c>
      <c r="AK7" s="530">
        <f t="shared" si="8"/>
        <v>0</v>
      </c>
      <c r="AL7" s="515"/>
      <c r="AM7" s="532"/>
      <c r="AN7" s="533"/>
      <c r="AO7" s="533"/>
      <c r="AP7" s="529">
        <f t="shared" si="9"/>
        <v>0</v>
      </c>
      <c r="AQ7" s="532"/>
      <c r="AR7" s="533"/>
      <c r="AS7" s="533"/>
      <c r="AT7" s="530">
        <f t="shared" si="10"/>
        <v>0</v>
      </c>
      <c r="AU7" s="515"/>
      <c r="AV7" s="532" t="s">
        <v>238</v>
      </c>
      <c r="AW7" s="533"/>
      <c r="AX7" s="533"/>
      <c r="AY7" s="529">
        <f t="shared" si="11"/>
        <v>0</v>
      </c>
      <c r="AZ7" s="532" t="s">
        <v>130</v>
      </c>
      <c r="BA7" s="533"/>
      <c r="BB7" s="533">
        <v>1.0</v>
      </c>
      <c r="BC7" s="530">
        <f t="shared" si="12"/>
        <v>-1</v>
      </c>
      <c r="BD7" s="515"/>
      <c r="BE7" s="532" t="s">
        <v>238</v>
      </c>
      <c r="BF7" s="533">
        <v>1.0</v>
      </c>
      <c r="BG7" s="533">
        <v>1.0</v>
      </c>
      <c r="BH7" s="527">
        <f t="shared" si="13"/>
        <v>0</v>
      </c>
      <c r="BI7" s="532" t="s">
        <v>96</v>
      </c>
      <c r="BJ7" s="533"/>
      <c r="BK7" s="533"/>
      <c r="BL7" s="588">
        <f t="shared" si="14"/>
        <v>0</v>
      </c>
      <c r="BM7" s="515"/>
      <c r="BN7" s="532"/>
      <c r="BO7" s="533"/>
      <c r="BP7" s="533"/>
      <c r="BQ7" s="529">
        <f t="shared" si="15"/>
        <v>0</v>
      </c>
      <c r="BR7" s="532"/>
      <c r="BS7" s="533"/>
      <c r="BT7" s="533"/>
      <c r="BU7" s="530">
        <f t="shared" si="16"/>
        <v>0</v>
      </c>
      <c r="BV7" s="516"/>
      <c r="BW7" s="504"/>
      <c r="BX7" s="504"/>
      <c r="BY7" s="504"/>
    </row>
    <row r="8">
      <c r="A8" s="504"/>
      <c r="B8" s="514"/>
      <c r="C8" s="532" t="s">
        <v>79</v>
      </c>
      <c r="D8" s="533">
        <v>4.0</v>
      </c>
      <c r="E8" s="533"/>
      <c r="F8" s="529">
        <f t="shared" si="1"/>
        <v>4</v>
      </c>
      <c r="G8" s="532" t="s">
        <v>241</v>
      </c>
      <c r="H8" s="533"/>
      <c r="I8" s="533">
        <v>1.0</v>
      </c>
      <c r="J8" s="530">
        <f t="shared" si="2"/>
        <v>-1</v>
      </c>
      <c r="K8" s="515"/>
      <c r="L8" s="532" t="s">
        <v>79</v>
      </c>
      <c r="M8" s="533">
        <v>5.0</v>
      </c>
      <c r="N8" s="533">
        <v>0.0</v>
      </c>
      <c r="O8" s="529">
        <f t="shared" si="3"/>
        <v>5</v>
      </c>
      <c r="P8" s="532" t="s">
        <v>238</v>
      </c>
      <c r="Q8" s="533">
        <v>0.0</v>
      </c>
      <c r="R8" s="533">
        <v>1.0</v>
      </c>
      <c r="S8" s="530">
        <f t="shared" si="4"/>
        <v>-1</v>
      </c>
      <c r="T8" s="515"/>
      <c r="U8" s="532"/>
      <c r="V8" s="533"/>
      <c r="W8" s="533"/>
      <c r="X8" s="529">
        <f t="shared" si="5"/>
        <v>0</v>
      </c>
      <c r="Y8" s="532"/>
      <c r="Z8" s="533"/>
      <c r="AA8" s="533"/>
      <c r="AB8" s="530">
        <f t="shared" si="6"/>
        <v>0</v>
      </c>
      <c r="AC8" s="515"/>
      <c r="AD8" s="532" t="s">
        <v>144</v>
      </c>
      <c r="AE8" s="533"/>
      <c r="AF8" s="533">
        <v>1.0</v>
      </c>
      <c r="AG8" s="529">
        <f t="shared" si="7"/>
        <v>-1</v>
      </c>
      <c r="AH8" s="532" t="s">
        <v>180</v>
      </c>
      <c r="AI8" s="533">
        <v>2.0</v>
      </c>
      <c r="AJ8" s="533">
        <v>1.0</v>
      </c>
      <c r="AK8" s="530">
        <f t="shared" si="8"/>
        <v>1</v>
      </c>
      <c r="AL8" s="515"/>
      <c r="AM8" s="532"/>
      <c r="AN8" s="533"/>
      <c r="AO8" s="533"/>
      <c r="AP8" s="529">
        <f t="shared" si="9"/>
        <v>0</v>
      </c>
      <c r="AQ8" s="532"/>
      <c r="AR8" s="533"/>
      <c r="AS8" s="533"/>
      <c r="AT8" s="530">
        <f t="shared" si="10"/>
        <v>0</v>
      </c>
      <c r="AU8" s="515"/>
      <c r="AV8" s="532" t="s">
        <v>137</v>
      </c>
      <c r="AW8" s="533">
        <v>1.0</v>
      </c>
      <c r="AX8" s="533">
        <v>1.0</v>
      </c>
      <c r="AY8" s="529">
        <f t="shared" si="11"/>
        <v>0</v>
      </c>
      <c r="AZ8" s="532" t="s">
        <v>195</v>
      </c>
      <c r="BA8" s="533"/>
      <c r="BB8" s="533">
        <v>1.0</v>
      </c>
      <c r="BC8" s="530">
        <f t="shared" si="12"/>
        <v>-1</v>
      </c>
      <c r="BD8" s="515"/>
      <c r="BE8" s="532" t="s">
        <v>137</v>
      </c>
      <c r="BF8" s="533"/>
      <c r="BG8" s="533">
        <v>1.0</v>
      </c>
      <c r="BH8" s="527">
        <f t="shared" si="13"/>
        <v>-1</v>
      </c>
      <c r="BI8" s="532" t="s">
        <v>144</v>
      </c>
      <c r="BJ8" s="533">
        <v>2.0</v>
      </c>
      <c r="BK8" s="533"/>
      <c r="BL8" s="588">
        <f t="shared" si="14"/>
        <v>2</v>
      </c>
      <c r="BM8" s="515"/>
      <c r="BN8" s="532"/>
      <c r="BO8" s="533"/>
      <c r="BP8" s="533"/>
      <c r="BQ8" s="529">
        <f t="shared" si="15"/>
        <v>0</v>
      </c>
      <c r="BR8" s="532"/>
      <c r="BS8" s="533"/>
      <c r="BT8" s="533"/>
      <c r="BU8" s="530">
        <f t="shared" si="16"/>
        <v>0</v>
      </c>
      <c r="BV8" s="516"/>
      <c r="BW8" s="504"/>
      <c r="BX8" s="504"/>
      <c r="BY8" s="504"/>
    </row>
    <row r="9">
      <c r="A9" s="504"/>
      <c r="B9" s="514"/>
      <c r="C9" s="532" t="s">
        <v>144</v>
      </c>
      <c r="D9" s="533"/>
      <c r="E9" s="533"/>
      <c r="F9" s="529">
        <f t="shared" si="1"/>
        <v>0</v>
      </c>
      <c r="G9" s="532" t="s">
        <v>155</v>
      </c>
      <c r="H9" s="533"/>
      <c r="I9" s="533">
        <v>1.0</v>
      </c>
      <c r="J9" s="530">
        <f t="shared" si="2"/>
        <v>-1</v>
      </c>
      <c r="K9" s="515"/>
      <c r="L9" s="532" t="s">
        <v>144</v>
      </c>
      <c r="M9" s="533">
        <v>1.0</v>
      </c>
      <c r="N9" s="533">
        <v>0.0</v>
      </c>
      <c r="O9" s="529">
        <f t="shared" si="3"/>
        <v>1</v>
      </c>
      <c r="P9" s="532" t="s">
        <v>118</v>
      </c>
      <c r="Q9" s="533">
        <v>2.0</v>
      </c>
      <c r="R9" s="533">
        <v>1.0</v>
      </c>
      <c r="S9" s="530">
        <f t="shared" si="4"/>
        <v>1</v>
      </c>
      <c r="T9" s="515"/>
      <c r="U9" s="532"/>
      <c r="V9" s="533"/>
      <c r="W9" s="533"/>
      <c r="X9" s="529">
        <f t="shared" si="5"/>
        <v>0</v>
      </c>
      <c r="Y9" s="532"/>
      <c r="Z9" s="533"/>
      <c r="AA9" s="533"/>
      <c r="AB9" s="530">
        <f t="shared" si="6"/>
        <v>0</v>
      </c>
      <c r="AC9" s="515"/>
      <c r="AD9" s="532" t="s">
        <v>129</v>
      </c>
      <c r="AE9" s="533"/>
      <c r="AF9" s="533">
        <v>1.0</v>
      </c>
      <c r="AG9" s="529">
        <f t="shared" si="7"/>
        <v>-1</v>
      </c>
      <c r="AH9" s="532" t="s">
        <v>88</v>
      </c>
      <c r="AI9" s="533"/>
      <c r="AJ9" s="533">
        <v>1.0</v>
      </c>
      <c r="AK9" s="530">
        <f t="shared" si="8"/>
        <v>-1</v>
      </c>
      <c r="AL9" s="515"/>
      <c r="AM9" s="532"/>
      <c r="AN9" s="533"/>
      <c r="AO9" s="533"/>
      <c r="AP9" s="529">
        <f t="shared" si="9"/>
        <v>0</v>
      </c>
      <c r="AQ9" s="532"/>
      <c r="AR9" s="533"/>
      <c r="AS9" s="533"/>
      <c r="AT9" s="530">
        <f t="shared" si="10"/>
        <v>0</v>
      </c>
      <c r="AU9" s="515"/>
      <c r="AV9" s="532" t="s">
        <v>188</v>
      </c>
      <c r="AW9" s="533">
        <v>1.0</v>
      </c>
      <c r="AX9" s="533">
        <v>1.0</v>
      </c>
      <c r="AY9" s="529">
        <f t="shared" si="11"/>
        <v>0</v>
      </c>
      <c r="AZ9" s="532" t="s">
        <v>85</v>
      </c>
      <c r="BA9" s="533"/>
      <c r="BB9" s="533">
        <v>1.0</v>
      </c>
      <c r="BC9" s="530">
        <f t="shared" si="12"/>
        <v>-1</v>
      </c>
      <c r="BD9" s="515"/>
      <c r="BE9" s="532" t="s">
        <v>225</v>
      </c>
      <c r="BF9" s="533"/>
      <c r="BG9" s="533">
        <v>1.0</v>
      </c>
      <c r="BH9" s="527">
        <f t="shared" si="13"/>
        <v>-1</v>
      </c>
      <c r="BI9" s="532" t="s">
        <v>159</v>
      </c>
      <c r="BJ9" s="533"/>
      <c r="BK9" s="533">
        <v>1.0</v>
      </c>
      <c r="BL9" s="588">
        <f t="shared" si="14"/>
        <v>-1</v>
      </c>
      <c r="BM9" s="515"/>
      <c r="BN9" s="532"/>
      <c r="BO9" s="533"/>
      <c r="BP9" s="533"/>
      <c r="BQ9" s="529">
        <f t="shared" si="15"/>
        <v>0</v>
      </c>
      <c r="BR9" s="532"/>
      <c r="BS9" s="533"/>
      <c r="BT9" s="533"/>
      <c r="BU9" s="530">
        <f t="shared" si="16"/>
        <v>0</v>
      </c>
      <c r="BV9" s="516"/>
      <c r="BW9" s="504"/>
      <c r="BX9" s="504"/>
      <c r="BY9" s="504"/>
    </row>
    <row r="10">
      <c r="A10" s="504"/>
      <c r="B10" s="514"/>
      <c r="C10" s="532" t="s">
        <v>99</v>
      </c>
      <c r="D10" s="533"/>
      <c r="E10" s="533"/>
      <c r="F10" s="529">
        <f t="shared" si="1"/>
        <v>0</v>
      </c>
      <c r="G10" s="532" t="s">
        <v>149</v>
      </c>
      <c r="H10" s="533"/>
      <c r="I10" s="533">
        <v>1.0</v>
      </c>
      <c r="J10" s="530">
        <f t="shared" si="2"/>
        <v>-1</v>
      </c>
      <c r="K10" s="515"/>
      <c r="L10" s="532" t="s">
        <v>311</v>
      </c>
      <c r="M10" s="533">
        <v>0.0</v>
      </c>
      <c r="N10" s="533">
        <v>0.0</v>
      </c>
      <c r="O10" s="529">
        <f t="shared" si="3"/>
        <v>0</v>
      </c>
      <c r="P10" s="532" t="s">
        <v>107</v>
      </c>
      <c r="Q10" s="533">
        <v>0.0</v>
      </c>
      <c r="R10" s="533">
        <v>1.0</v>
      </c>
      <c r="S10" s="530">
        <f t="shared" si="4"/>
        <v>-1</v>
      </c>
      <c r="T10" s="515"/>
      <c r="U10" s="532"/>
      <c r="V10" s="533"/>
      <c r="W10" s="533"/>
      <c r="X10" s="529">
        <f t="shared" si="5"/>
        <v>0</v>
      </c>
      <c r="Y10" s="532"/>
      <c r="Z10" s="533"/>
      <c r="AA10" s="533"/>
      <c r="AB10" s="530">
        <f t="shared" si="6"/>
        <v>0</v>
      </c>
      <c r="AC10" s="515"/>
      <c r="AD10" s="532" t="s">
        <v>96</v>
      </c>
      <c r="AE10" s="533"/>
      <c r="AF10" s="533">
        <v>1.0</v>
      </c>
      <c r="AG10" s="529">
        <f t="shared" si="7"/>
        <v>-1</v>
      </c>
      <c r="AH10" s="532" t="s">
        <v>124</v>
      </c>
      <c r="AI10" s="533">
        <v>1.0</v>
      </c>
      <c r="AJ10" s="533">
        <v>1.0</v>
      </c>
      <c r="AK10" s="530">
        <f t="shared" si="8"/>
        <v>0</v>
      </c>
      <c r="AL10" s="515"/>
      <c r="AM10" s="532"/>
      <c r="AN10" s="533"/>
      <c r="AO10" s="533"/>
      <c r="AP10" s="529">
        <f t="shared" si="9"/>
        <v>0</v>
      </c>
      <c r="AQ10" s="532"/>
      <c r="AR10" s="533"/>
      <c r="AS10" s="533"/>
      <c r="AT10" s="530">
        <f t="shared" si="10"/>
        <v>0</v>
      </c>
      <c r="AU10" s="515"/>
      <c r="AV10" s="532" t="s">
        <v>118</v>
      </c>
      <c r="AW10" s="533">
        <v>4.0</v>
      </c>
      <c r="AX10" s="533"/>
      <c r="AY10" s="529">
        <f t="shared" si="11"/>
        <v>4</v>
      </c>
      <c r="AZ10" s="532" t="s">
        <v>126</v>
      </c>
      <c r="BA10" s="533"/>
      <c r="BB10" s="533">
        <v>1.0</v>
      </c>
      <c r="BC10" s="530">
        <f t="shared" si="12"/>
        <v>-1</v>
      </c>
      <c r="BD10" s="515"/>
      <c r="BE10" s="532" t="s">
        <v>133</v>
      </c>
      <c r="BF10" s="533">
        <v>1.0</v>
      </c>
      <c r="BG10" s="533">
        <v>1.0</v>
      </c>
      <c r="BH10" s="527">
        <f t="shared" si="13"/>
        <v>0</v>
      </c>
      <c r="BI10" s="532" t="s">
        <v>135</v>
      </c>
      <c r="BJ10" s="533">
        <v>1.0</v>
      </c>
      <c r="BK10" s="533">
        <v>1.0</v>
      </c>
      <c r="BL10" s="588">
        <f t="shared" si="14"/>
        <v>0</v>
      </c>
      <c r="BM10" s="515"/>
      <c r="BN10" s="532"/>
      <c r="BO10" s="533"/>
      <c r="BP10" s="533"/>
      <c r="BQ10" s="529">
        <f t="shared" si="15"/>
        <v>0</v>
      </c>
      <c r="BR10" s="532"/>
      <c r="BS10" s="533"/>
      <c r="BT10" s="533"/>
      <c r="BU10" s="530">
        <f t="shared" si="16"/>
        <v>0</v>
      </c>
      <c r="BV10" s="516"/>
      <c r="BW10" s="504"/>
      <c r="BX10" s="504"/>
      <c r="BY10" s="504"/>
    </row>
    <row r="11">
      <c r="A11" s="504"/>
      <c r="B11" s="514"/>
      <c r="C11" s="536" t="s">
        <v>135</v>
      </c>
      <c r="D11" s="537"/>
      <c r="E11" s="537"/>
      <c r="F11" s="529">
        <f t="shared" si="1"/>
        <v>0</v>
      </c>
      <c r="G11" s="536" t="s">
        <v>177</v>
      </c>
      <c r="H11" s="537"/>
      <c r="I11" s="537">
        <v>1.0</v>
      </c>
      <c r="J11" s="530">
        <f t="shared" si="2"/>
        <v>-1</v>
      </c>
      <c r="K11" s="515"/>
      <c r="L11" s="536" t="s">
        <v>159</v>
      </c>
      <c r="M11" s="537">
        <v>0.0</v>
      </c>
      <c r="N11" s="537">
        <v>1.0</v>
      </c>
      <c r="O11" s="529">
        <f t="shared" si="3"/>
        <v>-1</v>
      </c>
      <c r="P11" s="536" t="s">
        <v>312</v>
      </c>
      <c r="Q11" s="537">
        <v>0.0</v>
      </c>
      <c r="R11" s="537">
        <v>1.0</v>
      </c>
      <c r="S11" s="530">
        <f t="shared" si="4"/>
        <v>-1</v>
      </c>
      <c r="T11" s="515"/>
      <c r="U11" s="536"/>
      <c r="V11" s="537"/>
      <c r="W11" s="537"/>
      <c r="X11" s="529">
        <f t="shared" si="5"/>
        <v>0</v>
      </c>
      <c r="Y11" s="536"/>
      <c r="Z11" s="537"/>
      <c r="AA11" s="537"/>
      <c r="AB11" s="530">
        <f t="shared" si="6"/>
        <v>0</v>
      </c>
      <c r="AC11" s="515"/>
      <c r="AD11" s="536" t="s">
        <v>121</v>
      </c>
      <c r="AE11" s="537">
        <v>1.0</v>
      </c>
      <c r="AF11" s="537">
        <v>1.0</v>
      </c>
      <c r="AG11" s="529">
        <f t="shared" si="7"/>
        <v>0</v>
      </c>
      <c r="AH11" s="536" t="s">
        <v>146</v>
      </c>
      <c r="AI11" s="537">
        <v>1.0</v>
      </c>
      <c r="AJ11" s="537"/>
      <c r="AK11" s="530">
        <f t="shared" si="8"/>
        <v>1</v>
      </c>
      <c r="AL11" s="515"/>
      <c r="AM11" s="536"/>
      <c r="AN11" s="537"/>
      <c r="AO11" s="537"/>
      <c r="AP11" s="529">
        <f t="shared" si="9"/>
        <v>0</v>
      </c>
      <c r="AQ11" s="536"/>
      <c r="AR11" s="537"/>
      <c r="AS11" s="537"/>
      <c r="AT11" s="530">
        <f t="shared" si="10"/>
        <v>0</v>
      </c>
      <c r="AU11" s="515"/>
      <c r="AV11" s="536" t="s">
        <v>138</v>
      </c>
      <c r="AW11" s="537"/>
      <c r="AX11" s="537"/>
      <c r="AY11" s="529">
        <f t="shared" si="11"/>
        <v>0</v>
      </c>
      <c r="AZ11" s="536" t="s">
        <v>113</v>
      </c>
      <c r="BA11" s="537">
        <v>2.0</v>
      </c>
      <c r="BB11" s="537">
        <v>1.0</v>
      </c>
      <c r="BC11" s="530">
        <f t="shared" si="12"/>
        <v>1</v>
      </c>
      <c r="BD11" s="515"/>
      <c r="BE11" s="536" t="s">
        <v>188</v>
      </c>
      <c r="BF11" s="537">
        <v>1.0</v>
      </c>
      <c r="BG11" s="537">
        <v>1.0</v>
      </c>
      <c r="BH11" s="527">
        <f t="shared" si="13"/>
        <v>0</v>
      </c>
      <c r="BI11" s="536" t="s">
        <v>79</v>
      </c>
      <c r="BJ11" s="537">
        <v>3.0</v>
      </c>
      <c r="BK11" s="537">
        <v>1.0</v>
      </c>
      <c r="BL11" s="588">
        <f t="shared" si="14"/>
        <v>2</v>
      </c>
      <c r="BM11" s="515"/>
      <c r="BN11" s="536"/>
      <c r="BO11" s="537"/>
      <c r="BP11" s="537"/>
      <c r="BQ11" s="529">
        <f t="shared" si="15"/>
        <v>0</v>
      </c>
      <c r="BR11" s="536"/>
      <c r="BS11" s="537"/>
      <c r="BT11" s="537"/>
      <c r="BU11" s="530">
        <f t="shared" si="16"/>
        <v>0</v>
      </c>
      <c r="BV11" s="516"/>
      <c r="BW11" s="504"/>
      <c r="BX11" s="504"/>
      <c r="BY11" s="504"/>
    </row>
    <row r="12">
      <c r="A12" s="504"/>
      <c r="B12" s="514"/>
      <c r="C12" s="538" t="s">
        <v>270</v>
      </c>
      <c r="D12" s="539">
        <f>SUM(F6:F11)</f>
        <v>6</v>
      </c>
      <c r="E12" s="231"/>
      <c r="F12" s="231"/>
      <c r="G12" s="538" t="s">
        <v>270</v>
      </c>
      <c r="H12" s="539">
        <f>SUM(J6:J11)</f>
        <v>-6</v>
      </c>
      <c r="I12" s="231"/>
      <c r="J12" s="540"/>
      <c r="K12" s="515"/>
      <c r="L12" s="538" t="s">
        <v>270</v>
      </c>
      <c r="M12" s="539">
        <f>SUM(O6:O11)</f>
        <v>4</v>
      </c>
      <c r="N12" s="231"/>
      <c r="O12" s="231"/>
      <c r="P12" s="538" t="s">
        <v>270</v>
      </c>
      <c r="Q12" s="539">
        <f>SUM(S6:S11)</f>
        <v>-4</v>
      </c>
      <c r="R12" s="231"/>
      <c r="S12" s="540"/>
      <c r="T12" s="515"/>
      <c r="U12" s="538" t="s">
        <v>270</v>
      </c>
      <c r="V12" s="539">
        <f>SUM(X6:X11)</f>
        <v>-1</v>
      </c>
      <c r="W12" s="231"/>
      <c r="X12" s="231"/>
      <c r="Y12" s="538" t="s">
        <v>270</v>
      </c>
      <c r="Z12" s="539">
        <f>SUM(AB6:AB11)</f>
        <v>1</v>
      </c>
      <c r="AA12" s="231"/>
      <c r="AB12" s="540"/>
      <c r="AC12" s="515"/>
      <c r="AD12" s="538" t="s">
        <v>270</v>
      </c>
      <c r="AE12" s="539">
        <f>SUM(AG6:AG11)</f>
        <v>-1</v>
      </c>
      <c r="AF12" s="231"/>
      <c r="AG12" s="231"/>
      <c r="AH12" s="538" t="s">
        <v>270</v>
      </c>
      <c r="AI12" s="539">
        <f>SUM(AK6:AK11)</f>
        <v>1</v>
      </c>
      <c r="AJ12" s="231"/>
      <c r="AK12" s="540"/>
      <c r="AL12" s="515"/>
      <c r="AM12" s="538" t="s">
        <v>270</v>
      </c>
      <c r="AN12" s="539">
        <f>SUM(AP6:AP11)</f>
        <v>-1</v>
      </c>
      <c r="AO12" s="231"/>
      <c r="AP12" s="231"/>
      <c r="AQ12" s="538" t="s">
        <v>270</v>
      </c>
      <c r="AR12" s="539">
        <f>SUM(AT6:AT11)</f>
        <v>1</v>
      </c>
      <c r="AS12" s="231"/>
      <c r="AT12" s="540"/>
      <c r="AU12" s="515"/>
      <c r="AV12" s="538" t="s">
        <v>270</v>
      </c>
      <c r="AW12" s="539">
        <f>SUM(AY6:AY11)</f>
        <v>4</v>
      </c>
      <c r="AX12" s="231"/>
      <c r="AY12" s="231"/>
      <c r="AZ12" s="538" t="s">
        <v>270</v>
      </c>
      <c r="BA12" s="539">
        <f>SUM(BC6:BC11)</f>
        <v>-4</v>
      </c>
      <c r="BB12" s="231"/>
      <c r="BC12" s="540"/>
      <c r="BD12" s="515"/>
      <c r="BE12" s="538" t="s">
        <v>270</v>
      </c>
      <c r="BF12" s="606">
        <f>SUM(BH6:BH11)</f>
        <v>-3</v>
      </c>
      <c r="BG12" s="231"/>
      <c r="BH12" s="540"/>
      <c r="BI12" s="607" t="s">
        <v>270</v>
      </c>
      <c r="BJ12" s="609">
        <f>SUM(BL6:BL11)</f>
        <v>3</v>
      </c>
      <c r="BK12" s="231"/>
      <c r="BL12" s="540"/>
      <c r="BM12" s="515"/>
      <c r="BN12" s="538" t="s">
        <v>270</v>
      </c>
      <c r="BO12" s="539">
        <f>SUM(BQ6:BQ11)</f>
        <v>0</v>
      </c>
      <c r="BP12" s="231"/>
      <c r="BQ12" s="231"/>
      <c r="BR12" s="538" t="s">
        <v>270</v>
      </c>
      <c r="BS12" s="539">
        <f>SUM(BU6:BU11)</f>
        <v>0</v>
      </c>
      <c r="BT12" s="231"/>
      <c r="BU12" s="540"/>
      <c r="BV12" s="516"/>
      <c r="BW12" s="504"/>
      <c r="BX12" s="504"/>
      <c r="BY12" s="504"/>
    </row>
    <row r="13">
      <c r="A13" s="2"/>
      <c r="B13" s="542"/>
      <c r="C13" s="543" t="s">
        <v>274</v>
      </c>
      <c r="D13" s="188"/>
      <c r="E13" s="188"/>
      <c r="F13" s="544"/>
      <c r="G13" s="617" t="s">
        <v>315</v>
      </c>
      <c r="H13" s="188"/>
      <c r="I13" s="188"/>
      <c r="J13" s="191"/>
      <c r="K13" s="548"/>
      <c r="L13" s="543" t="s">
        <v>274</v>
      </c>
      <c r="M13" s="188"/>
      <c r="N13" s="188"/>
      <c r="O13" s="544"/>
      <c r="P13" s="617" t="s">
        <v>316</v>
      </c>
      <c r="Q13" s="188"/>
      <c r="R13" s="188"/>
      <c r="S13" s="191"/>
      <c r="T13" s="548"/>
      <c r="U13" s="543" t="s">
        <v>274</v>
      </c>
      <c r="V13" s="188"/>
      <c r="W13" s="188"/>
      <c r="X13" s="544"/>
      <c r="Y13" s="543"/>
      <c r="Z13" s="188"/>
      <c r="AA13" s="188"/>
      <c r="AB13" s="191"/>
      <c r="AC13" s="548"/>
      <c r="AD13" s="543" t="s">
        <v>274</v>
      </c>
      <c r="AE13" s="188"/>
      <c r="AF13" s="188"/>
      <c r="AG13" s="544"/>
      <c r="AH13" s="617" t="s">
        <v>318</v>
      </c>
      <c r="AI13" s="188"/>
      <c r="AJ13" s="188"/>
      <c r="AK13" s="191"/>
      <c r="AL13" s="548"/>
      <c r="AM13" s="543" t="s">
        <v>274</v>
      </c>
      <c r="AN13" s="188"/>
      <c r="AO13" s="188"/>
      <c r="AP13" s="629"/>
      <c r="AQ13" s="630"/>
      <c r="AR13" s="188"/>
      <c r="AS13" s="188"/>
      <c r="AT13" s="191"/>
      <c r="AU13" s="548"/>
      <c r="AV13" s="543" t="s">
        <v>274</v>
      </c>
      <c r="AW13" s="188"/>
      <c r="AX13" s="188"/>
      <c r="AY13" s="544"/>
      <c r="AZ13" s="617" t="s">
        <v>322</v>
      </c>
      <c r="BA13" s="188"/>
      <c r="BB13" s="188"/>
      <c r="BC13" s="191"/>
      <c r="BD13" s="548"/>
      <c r="BE13" s="543" t="s">
        <v>274</v>
      </c>
      <c r="BF13" s="188"/>
      <c r="BG13" s="188"/>
      <c r="BH13" s="544"/>
      <c r="BI13" s="617" t="s">
        <v>324</v>
      </c>
      <c r="BJ13" s="188"/>
      <c r="BK13" s="188"/>
      <c r="BL13" s="191"/>
      <c r="BM13" s="548"/>
      <c r="BN13" s="543" t="s">
        <v>274</v>
      </c>
      <c r="BO13" s="188"/>
      <c r="BP13" s="188"/>
      <c r="BQ13" s="544"/>
      <c r="BR13" s="543"/>
      <c r="BS13" s="188"/>
      <c r="BT13" s="188"/>
      <c r="BU13" s="191"/>
      <c r="BV13" s="552"/>
      <c r="BW13" s="2"/>
      <c r="BX13" s="2"/>
      <c r="BY13" s="2"/>
    </row>
    <row r="14">
      <c r="A14" s="2"/>
      <c r="B14" s="542"/>
      <c r="C14" s="553" t="s">
        <v>284</v>
      </c>
      <c r="D14" s="231"/>
      <c r="E14" s="231"/>
      <c r="F14" s="540"/>
      <c r="G14" s="555" t="str">
        <f>IF(D12&gt;H12,C5,IF(D12=H12,"",G5))</f>
        <v>Ian Heslin</v>
      </c>
      <c r="H14" s="231"/>
      <c r="I14" s="231"/>
      <c r="J14" s="540"/>
      <c r="K14" s="636"/>
      <c r="L14" s="553" t="s">
        <v>284</v>
      </c>
      <c r="M14" s="231"/>
      <c r="N14" s="231"/>
      <c r="O14" s="540"/>
      <c r="P14" s="555" t="str">
        <f>IF(M12&gt;Q12,L5,IF(M12=Q12,"",P5))</f>
        <v>Ian Heslin</v>
      </c>
      <c r="Q14" s="231"/>
      <c r="R14" s="231"/>
      <c r="S14" s="540"/>
      <c r="T14" s="636"/>
      <c r="U14" s="553" t="s">
        <v>284</v>
      </c>
      <c r="V14" s="231"/>
      <c r="W14" s="231"/>
      <c r="X14" s="540"/>
      <c r="Y14" s="555" t="str">
        <f>IF(V12&gt;Z12,U5,IF(V12=Z12,"",Y5))</f>
        <v>Marcus</v>
      </c>
      <c r="Z14" s="231"/>
      <c r="AA14" s="231"/>
      <c r="AB14" s="540"/>
      <c r="AC14" s="636"/>
      <c r="AD14" s="553" t="s">
        <v>284</v>
      </c>
      <c r="AE14" s="231"/>
      <c r="AF14" s="231"/>
      <c r="AG14" s="540"/>
      <c r="AH14" s="555" t="str">
        <f>IF(AE12&gt;AI12,AD5,IF(AE12=AI12,"",AH5))</f>
        <v>Ryan Tidey</v>
      </c>
      <c r="AI14" s="231"/>
      <c r="AJ14" s="231"/>
      <c r="AK14" s="540"/>
      <c r="AL14" s="636"/>
      <c r="AM14" s="553" t="s">
        <v>284</v>
      </c>
      <c r="AN14" s="231"/>
      <c r="AO14" s="231"/>
      <c r="AP14" s="540"/>
      <c r="AQ14" s="555" t="str">
        <f>IF(AN12&gt;AR12,AM5,IF(AN12=AR12,"",AQ5))</f>
        <v>Zach VanSickle</v>
      </c>
      <c r="AR14" s="231"/>
      <c r="AS14" s="231"/>
      <c r="AT14" s="540"/>
      <c r="AU14" s="636"/>
      <c r="AV14" s="553" t="s">
        <v>284</v>
      </c>
      <c r="AW14" s="231"/>
      <c r="AX14" s="231"/>
      <c r="AY14" s="540"/>
      <c r="AZ14" s="555" t="str">
        <f>IF(AW12&gt;BA12,AV5,IF(AW12=BA12,"",AZ5))</f>
        <v>Zach VanSickle</v>
      </c>
      <c r="BA14" s="231"/>
      <c r="BB14" s="231"/>
      <c r="BC14" s="540"/>
      <c r="BD14" s="636"/>
      <c r="BE14" s="553" t="s">
        <v>284</v>
      </c>
      <c r="BF14" s="231"/>
      <c r="BG14" s="231"/>
      <c r="BH14" s="540"/>
      <c r="BI14" s="555" t="str">
        <f>IF(BF12&gt;BJ12,BE5,IF(BF12=BJ12,"",BI5))</f>
        <v>Ian Heslin</v>
      </c>
      <c r="BJ14" s="231"/>
      <c r="BK14" s="231"/>
      <c r="BL14" s="540"/>
      <c r="BM14" s="636"/>
      <c r="BN14" s="553" t="s">
        <v>284</v>
      </c>
      <c r="BO14" s="231"/>
      <c r="BP14" s="231"/>
      <c r="BQ14" s="540"/>
      <c r="BR14" s="555" t="str">
        <f>IF(BO12&gt;BS12,BN5,IF(BO12=BS12,"",BR5))</f>
        <v/>
      </c>
      <c r="BS14" s="231"/>
      <c r="BT14" s="231"/>
      <c r="BU14" s="540"/>
      <c r="BV14" s="552"/>
      <c r="BW14" s="2"/>
      <c r="BX14" s="2"/>
      <c r="BY14" s="2"/>
    </row>
    <row r="15" ht="7.5" customHeight="1">
      <c r="A15" s="504"/>
      <c r="B15" s="514"/>
      <c r="C15" s="515"/>
      <c r="D15" s="562"/>
      <c r="E15" s="562"/>
      <c r="F15" s="562"/>
      <c r="G15" s="562"/>
      <c r="H15" s="562"/>
      <c r="I15" s="562"/>
      <c r="J15" s="562"/>
      <c r="K15" s="562"/>
      <c r="L15" s="562"/>
      <c r="M15" s="562"/>
      <c r="N15" s="562"/>
      <c r="O15" s="562"/>
      <c r="P15" s="562"/>
      <c r="Q15" s="562"/>
      <c r="R15" s="562"/>
      <c r="S15" s="562"/>
      <c r="T15" s="562"/>
      <c r="U15" s="562"/>
      <c r="V15" s="562"/>
      <c r="W15" s="562"/>
      <c r="X15" s="562"/>
      <c r="Y15" s="562"/>
      <c r="Z15" s="562"/>
      <c r="AA15" s="562"/>
      <c r="AB15" s="562"/>
      <c r="AC15" s="562"/>
      <c r="AD15" s="562"/>
      <c r="AE15" s="562"/>
      <c r="AF15" s="562"/>
      <c r="AG15" s="562"/>
      <c r="AH15" s="562"/>
      <c r="AI15" s="562"/>
      <c r="AJ15" s="562"/>
      <c r="AK15" s="562"/>
      <c r="AL15" s="562"/>
      <c r="AM15" s="562"/>
      <c r="AN15" s="562"/>
      <c r="AO15" s="562"/>
      <c r="AP15" s="562"/>
      <c r="AQ15" s="562"/>
      <c r="AR15" s="562"/>
      <c r="AS15" s="562"/>
      <c r="AT15" s="562"/>
      <c r="AU15" s="562"/>
      <c r="AV15" s="562"/>
      <c r="AW15" s="562"/>
      <c r="AX15" s="562"/>
      <c r="AY15" s="562"/>
      <c r="AZ15" s="562"/>
      <c r="BA15" s="562"/>
      <c r="BB15" s="562"/>
      <c r="BC15" s="562"/>
      <c r="BD15" s="562"/>
      <c r="BE15" s="562"/>
      <c r="BF15" s="562"/>
      <c r="BG15" s="562"/>
      <c r="BH15" s="562"/>
      <c r="BI15" s="562"/>
      <c r="BJ15" s="562"/>
      <c r="BK15" s="562"/>
      <c r="BL15" s="562"/>
      <c r="BM15" s="562"/>
      <c r="BN15" s="562"/>
      <c r="BO15" s="562"/>
      <c r="BP15" s="562"/>
      <c r="BQ15" s="562"/>
      <c r="BR15" s="562"/>
      <c r="BS15" s="562"/>
      <c r="BT15" s="562"/>
      <c r="BU15" s="562"/>
      <c r="BV15" s="516"/>
      <c r="BW15" s="504"/>
      <c r="BX15" s="504"/>
      <c r="BY15" s="504"/>
    </row>
    <row r="16">
      <c r="A16" s="504"/>
      <c r="B16" s="514"/>
      <c r="C16" s="517" t="str">
        <f>Source!$Q$63</f>
        <v>Jackson McLoughlin</v>
      </c>
      <c r="D16" s="564" t="s">
        <v>76</v>
      </c>
      <c r="E16" s="565" t="s">
        <v>77</v>
      </c>
      <c r="F16" s="565" t="s">
        <v>78</v>
      </c>
      <c r="G16" s="566" t="str">
        <f>Source!$S$63</f>
        <v>Tyler Gottfredsen</v>
      </c>
      <c r="H16" s="567" t="s">
        <v>76</v>
      </c>
      <c r="I16" s="568" t="s">
        <v>77</v>
      </c>
      <c r="J16" s="569" t="s">
        <v>78</v>
      </c>
      <c r="K16" s="562"/>
      <c r="L16" s="656" t="str">
        <f>Source!$Q$67</f>
        <v>Tyler Gottfredsen</v>
      </c>
      <c r="M16" s="564" t="s">
        <v>76</v>
      </c>
      <c r="N16" s="565" t="s">
        <v>77</v>
      </c>
      <c r="O16" s="565" t="s">
        <v>78</v>
      </c>
      <c r="P16" s="566" t="str">
        <f>Source!$S$67</f>
        <v>Ryan Tidey</v>
      </c>
      <c r="Q16" s="567" t="s">
        <v>76</v>
      </c>
      <c r="R16" s="568" t="s">
        <v>77</v>
      </c>
      <c r="S16" s="569" t="s">
        <v>78</v>
      </c>
      <c r="T16" s="562"/>
      <c r="U16" s="656" t="str">
        <f>Source!$Q$69</f>
        <v>Jackson McLoughlin</v>
      </c>
      <c r="V16" s="564" t="s">
        <v>76</v>
      </c>
      <c r="W16" s="565" t="s">
        <v>77</v>
      </c>
      <c r="X16" s="565" t="s">
        <v>78</v>
      </c>
      <c r="Y16" s="566" t="str">
        <f>Source!$S$69</f>
        <v>Ryan Evans</v>
      </c>
      <c r="Z16" s="567" t="s">
        <v>76</v>
      </c>
      <c r="AA16" s="568" t="s">
        <v>77</v>
      </c>
      <c r="AB16" s="569" t="s">
        <v>78</v>
      </c>
      <c r="AC16" s="562"/>
      <c r="AD16" s="666"/>
      <c r="AE16" s="666"/>
      <c r="AF16" s="666"/>
      <c r="AG16" s="666"/>
      <c r="AH16" s="666"/>
      <c r="AI16" s="666"/>
      <c r="AJ16" s="666"/>
      <c r="AK16" s="666"/>
      <c r="AL16" s="562"/>
      <c r="AM16" s="517" t="str">
        <f>Source!$Q$72</f>
        <v>Ryan Evans</v>
      </c>
      <c r="AN16" s="519" t="s">
        <v>76</v>
      </c>
      <c r="AO16" s="520" t="s">
        <v>77</v>
      </c>
      <c r="AP16" s="520" t="s">
        <v>78</v>
      </c>
      <c r="AQ16" s="521" t="str">
        <f>Source!$S$72</f>
        <v>Tyler Gottfredsen</v>
      </c>
      <c r="AR16" s="522" t="s">
        <v>76</v>
      </c>
      <c r="AS16" s="523" t="s">
        <v>77</v>
      </c>
      <c r="AT16" s="524" t="s">
        <v>78</v>
      </c>
      <c r="AU16" s="562"/>
      <c r="AV16" s="666"/>
      <c r="AW16" s="666"/>
      <c r="AX16" s="666"/>
      <c r="AY16" s="666"/>
      <c r="AZ16" s="666"/>
      <c r="BA16" s="666"/>
      <c r="BB16" s="666"/>
      <c r="BC16" s="666"/>
      <c r="BD16" s="562"/>
      <c r="BE16" s="666"/>
      <c r="BF16" s="666"/>
      <c r="BG16" s="666"/>
      <c r="BH16" s="666"/>
      <c r="BI16" s="666"/>
      <c r="BJ16" s="666"/>
      <c r="BK16" s="666"/>
      <c r="BL16" s="666"/>
      <c r="BM16" s="562"/>
      <c r="BN16" s="517" t="str">
        <f>Source!$Q$76</f>
        <v/>
      </c>
      <c r="BO16" s="519" t="s">
        <v>76</v>
      </c>
      <c r="BP16" s="520" t="s">
        <v>77</v>
      </c>
      <c r="BQ16" s="520" t="s">
        <v>78</v>
      </c>
      <c r="BR16" s="521" t="str">
        <f>Source!$S$76</f>
        <v/>
      </c>
      <c r="BS16" s="522" t="s">
        <v>76</v>
      </c>
      <c r="BT16" s="523" t="s">
        <v>77</v>
      </c>
      <c r="BU16" s="524" t="s">
        <v>78</v>
      </c>
      <c r="BV16" s="516"/>
      <c r="BW16" s="504"/>
      <c r="BX16" s="504"/>
      <c r="BY16" s="504"/>
    </row>
    <row r="17">
      <c r="A17" s="504"/>
      <c r="B17" s="514"/>
      <c r="C17" s="526" t="s">
        <v>132</v>
      </c>
      <c r="D17" s="572">
        <v>2.0</v>
      </c>
      <c r="E17" s="572">
        <v>1.0</v>
      </c>
      <c r="F17" s="529">
        <f t="shared" ref="F17:F22" si="17">D17-E17</f>
        <v>1</v>
      </c>
      <c r="G17" s="573" t="s">
        <v>186</v>
      </c>
      <c r="H17" s="572"/>
      <c r="I17" s="572">
        <v>1.0</v>
      </c>
      <c r="J17" s="530">
        <f t="shared" ref="J17:J22" si="18">H17-I17</f>
        <v>-1</v>
      </c>
      <c r="K17" s="562"/>
      <c r="L17" s="573" t="s">
        <v>186</v>
      </c>
      <c r="M17" s="572">
        <v>2.0</v>
      </c>
      <c r="N17" s="572">
        <v>1.0</v>
      </c>
      <c r="O17" s="529">
        <f t="shared" ref="O17:O22" si="19">M17-N17</f>
        <v>1</v>
      </c>
      <c r="P17" s="573" t="s">
        <v>83</v>
      </c>
      <c r="Q17" s="572">
        <v>0.0</v>
      </c>
      <c r="R17" s="572">
        <v>1.0</v>
      </c>
      <c r="S17" s="530">
        <f t="shared" ref="S17:S22" si="20">Q17-R17</f>
        <v>-1</v>
      </c>
      <c r="T17" s="562"/>
      <c r="U17" s="597" t="s">
        <v>166</v>
      </c>
      <c r="V17" s="572">
        <v>0.0</v>
      </c>
      <c r="W17" s="572">
        <v>1.0</v>
      </c>
      <c r="X17" s="529">
        <f t="shared" ref="X17:X22" si="21">V17-W17</f>
        <v>-1</v>
      </c>
      <c r="Y17" s="573" t="s">
        <v>113</v>
      </c>
      <c r="Z17" s="572">
        <v>6.0</v>
      </c>
      <c r="AA17" s="572">
        <v>0.0</v>
      </c>
      <c r="AB17" s="530">
        <f t="shared" ref="AB17:AB22" si="22">Z17-AA17</f>
        <v>6</v>
      </c>
      <c r="AC17" s="562"/>
      <c r="AD17" s="670"/>
      <c r="AE17" s="670"/>
      <c r="AF17" s="670"/>
      <c r="AG17" s="515"/>
      <c r="AH17" s="670"/>
      <c r="AI17" s="670"/>
      <c r="AJ17" s="670"/>
      <c r="AK17" s="515"/>
      <c r="AL17" s="562"/>
      <c r="AM17" s="526" t="s">
        <v>113</v>
      </c>
      <c r="AN17" s="527">
        <v>1.0</v>
      </c>
      <c r="AO17" s="527">
        <v>1.0</v>
      </c>
      <c r="AP17" s="529">
        <f t="shared" ref="AP17:AP22" si="23">AN17-AO17</f>
        <v>0</v>
      </c>
      <c r="AQ17" s="526" t="s">
        <v>186</v>
      </c>
      <c r="AR17" s="527">
        <v>1.0</v>
      </c>
      <c r="AS17" s="527">
        <v>1.0</v>
      </c>
      <c r="AT17" s="530">
        <f t="shared" ref="AT17:AT22" si="24">AR17-AS17</f>
        <v>0</v>
      </c>
      <c r="AU17" s="562"/>
      <c r="AV17" s="670"/>
      <c r="AW17" s="670"/>
      <c r="AX17" s="670"/>
      <c r="AY17" s="515"/>
      <c r="AZ17" s="670"/>
      <c r="BA17" s="670"/>
      <c r="BB17" s="670"/>
      <c r="BC17" s="515"/>
      <c r="BD17" s="562"/>
      <c r="BE17" s="670"/>
      <c r="BF17" s="670"/>
      <c r="BG17" s="670"/>
      <c r="BH17" s="515"/>
      <c r="BI17" s="670"/>
      <c r="BJ17" s="670"/>
      <c r="BK17" s="670"/>
      <c r="BL17" s="671"/>
      <c r="BM17" s="562"/>
      <c r="BN17" s="526"/>
      <c r="BO17" s="527"/>
      <c r="BP17" s="527"/>
      <c r="BQ17" s="529">
        <f t="shared" ref="BQ17:BQ22" si="25">BO17-BP17</f>
        <v>0</v>
      </c>
      <c r="BR17" s="526"/>
      <c r="BS17" s="527"/>
      <c r="BT17" s="527"/>
      <c r="BU17" s="530">
        <f t="shared" ref="BU17:BU22" si="26">BS17-BT17</f>
        <v>0</v>
      </c>
      <c r="BV17" s="516"/>
      <c r="BW17" s="504"/>
      <c r="BX17" s="504"/>
      <c r="BY17" s="504"/>
    </row>
    <row r="18">
      <c r="A18" s="504"/>
      <c r="B18" s="514"/>
      <c r="C18" s="532" t="s">
        <v>166</v>
      </c>
      <c r="D18" s="580"/>
      <c r="E18" s="580">
        <v>1.0</v>
      </c>
      <c r="F18" s="529">
        <f t="shared" si="17"/>
        <v>-1</v>
      </c>
      <c r="G18" s="581" t="s">
        <v>222</v>
      </c>
      <c r="H18" s="580">
        <v>1.0</v>
      </c>
      <c r="I18" s="580"/>
      <c r="J18" s="530">
        <f t="shared" si="18"/>
        <v>1</v>
      </c>
      <c r="K18" s="562"/>
      <c r="L18" s="581" t="s">
        <v>205</v>
      </c>
      <c r="M18" s="572">
        <v>0.0</v>
      </c>
      <c r="N18" s="580">
        <v>1.0</v>
      </c>
      <c r="O18" s="529">
        <f t="shared" si="19"/>
        <v>-1</v>
      </c>
      <c r="P18" s="581" t="s">
        <v>176</v>
      </c>
      <c r="Q18" s="580">
        <v>1.0</v>
      </c>
      <c r="R18" s="580">
        <v>1.0</v>
      </c>
      <c r="S18" s="530">
        <f t="shared" si="20"/>
        <v>0</v>
      </c>
      <c r="T18" s="562"/>
      <c r="U18" s="611" t="s">
        <v>142</v>
      </c>
      <c r="V18" s="580">
        <v>0.0</v>
      </c>
      <c r="W18" s="580">
        <v>1.0</v>
      </c>
      <c r="X18" s="529">
        <f t="shared" si="21"/>
        <v>-1</v>
      </c>
      <c r="Y18" s="581" t="s">
        <v>114</v>
      </c>
      <c r="Z18" s="580">
        <v>0.0</v>
      </c>
      <c r="AA18" s="580">
        <v>0.0</v>
      </c>
      <c r="AB18" s="530">
        <f t="shared" si="22"/>
        <v>0</v>
      </c>
      <c r="AC18" s="562"/>
      <c r="AD18" s="670"/>
      <c r="AE18" s="670"/>
      <c r="AF18" s="670"/>
      <c r="AG18" s="515"/>
      <c r="AH18" s="670"/>
      <c r="AI18" s="670"/>
      <c r="AJ18" s="670"/>
      <c r="AK18" s="515"/>
      <c r="AL18" s="562"/>
      <c r="AM18" s="532" t="s">
        <v>114</v>
      </c>
      <c r="AN18" s="533">
        <v>1.0</v>
      </c>
      <c r="AO18" s="533">
        <v>1.0</v>
      </c>
      <c r="AP18" s="529">
        <f t="shared" si="23"/>
        <v>0</v>
      </c>
      <c r="AQ18" s="532" t="s">
        <v>267</v>
      </c>
      <c r="AR18" s="533">
        <v>2.0</v>
      </c>
      <c r="AS18" s="533">
        <v>1.0</v>
      </c>
      <c r="AT18" s="530">
        <f t="shared" si="24"/>
        <v>1</v>
      </c>
      <c r="AU18" s="562"/>
      <c r="AV18" s="670"/>
      <c r="AW18" s="670"/>
      <c r="AX18" s="670"/>
      <c r="AY18" s="515"/>
      <c r="AZ18" s="670"/>
      <c r="BA18" s="670"/>
      <c r="BB18" s="670"/>
      <c r="BC18" s="515"/>
      <c r="BD18" s="562"/>
      <c r="BE18" s="670"/>
      <c r="BF18" s="670"/>
      <c r="BG18" s="670"/>
      <c r="BH18" s="515"/>
      <c r="BI18" s="670"/>
      <c r="BJ18" s="670"/>
      <c r="BK18" s="670"/>
      <c r="BL18" s="673"/>
      <c r="BM18" s="562"/>
      <c r="BN18" s="532"/>
      <c r="BO18" s="533"/>
      <c r="BP18" s="533"/>
      <c r="BQ18" s="529">
        <f t="shared" si="25"/>
        <v>0</v>
      </c>
      <c r="BR18" s="532"/>
      <c r="BS18" s="533"/>
      <c r="BT18" s="533"/>
      <c r="BU18" s="530">
        <f t="shared" si="26"/>
        <v>0</v>
      </c>
      <c r="BV18" s="516"/>
      <c r="BW18" s="504"/>
      <c r="BX18" s="504"/>
      <c r="BY18" s="504"/>
    </row>
    <row r="19">
      <c r="A19" s="504"/>
      <c r="B19" s="514"/>
      <c r="C19" s="532" t="s">
        <v>142</v>
      </c>
      <c r="D19" s="580"/>
      <c r="E19" s="580">
        <v>1.0</v>
      </c>
      <c r="F19" s="529">
        <f t="shared" si="17"/>
        <v>-1</v>
      </c>
      <c r="G19" s="581" t="s">
        <v>244</v>
      </c>
      <c r="H19" s="580"/>
      <c r="I19" s="580"/>
      <c r="J19" s="530">
        <f t="shared" si="18"/>
        <v>0</v>
      </c>
      <c r="K19" s="562"/>
      <c r="L19" s="581" t="s">
        <v>244</v>
      </c>
      <c r="M19" s="572">
        <v>0.0</v>
      </c>
      <c r="N19" s="580">
        <v>1.0</v>
      </c>
      <c r="O19" s="529">
        <f t="shared" si="19"/>
        <v>-1</v>
      </c>
      <c r="P19" s="581" t="s">
        <v>191</v>
      </c>
      <c r="Q19" s="580">
        <v>2.0</v>
      </c>
      <c r="R19" s="580">
        <v>1.0</v>
      </c>
      <c r="S19" s="530">
        <f t="shared" si="20"/>
        <v>1</v>
      </c>
      <c r="T19" s="562"/>
      <c r="U19" s="611" t="s">
        <v>214</v>
      </c>
      <c r="V19" s="580">
        <v>0.0</v>
      </c>
      <c r="W19" s="580">
        <v>1.0</v>
      </c>
      <c r="X19" s="529">
        <f t="shared" si="21"/>
        <v>-1</v>
      </c>
      <c r="Y19" s="581" t="s">
        <v>85</v>
      </c>
      <c r="Z19" s="580">
        <v>0.0</v>
      </c>
      <c r="AA19" s="580">
        <v>1.0</v>
      </c>
      <c r="AB19" s="530">
        <f t="shared" si="22"/>
        <v>-1</v>
      </c>
      <c r="AC19" s="562"/>
      <c r="AD19" s="670"/>
      <c r="AE19" s="670"/>
      <c r="AF19" s="670"/>
      <c r="AG19" s="515"/>
      <c r="AH19" s="670"/>
      <c r="AI19" s="670"/>
      <c r="AJ19" s="670"/>
      <c r="AK19" s="515"/>
      <c r="AL19" s="562"/>
      <c r="AM19" s="532" t="s">
        <v>195</v>
      </c>
      <c r="AN19" s="533">
        <v>0.0</v>
      </c>
      <c r="AO19" s="533">
        <v>1.0</v>
      </c>
      <c r="AP19" s="529">
        <f t="shared" si="23"/>
        <v>-1</v>
      </c>
      <c r="AQ19" s="532" t="s">
        <v>153</v>
      </c>
      <c r="AR19" s="533">
        <v>0.0</v>
      </c>
      <c r="AS19" s="533">
        <v>1.0</v>
      </c>
      <c r="AT19" s="530">
        <f t="shared" si="24"/>
        <v>-1</v>
      </c>
      <c r="AU19" s="562"/>
      <c r="AV19" s="670"/>
      <c r="AW19" s="670"/>
      <c r="AX19" s="670"/>
      <c r="AY19" s="515"/>
      <c r="AZ19" s="670"/>
      <c r="BA19" s="670"/>
      <c r="BB19" s="670"/>
      <c r="BC19" s="515"/>
      <c r="BD19" s="562"/>
      <c r="BE19" s="670"/>
      <c r="BF19" s="670"/>
      <c r="BG19" s="670"/>
      <c r="BH19" s="515"/>
      <c r="BI19" s="670"/>
      <c r="BJ19" s="670"/>
      <c r="BK19" s="670"/>
      <c r="BL19" s="676"/>
      <c r="BM19" s="562"/>
      <c r="BN19" s="532"/>
      <c r="BO19" s="533"/>
      <c r="BP19" s="533"/>
      <c r="BQ19" s="529">
        <f t="shared" si="25"/>
        <v>0</v>
      </c>
      <c r="BR19" s="532"/>
      <c r="BS19" s="533"/>
      <c r="BT19" s="533"/>
      <c r="BU19" s="530">
        <f t="shared" si="26"/>
        <v>0</v>
      </c>
      <c r="BV19" s="516"/>
      <c r="BW19" s="504"/>
      <c r="BX19" s="504"/>
      <c r="BY19" s="504"/>
    </row>
    <row r="20">
      <c r="A20" s="504"/>
      <c r="B20" s="514"/>
      <c r="C20" s="532" t="s">
        <v>104</v>
      </c>
      <c r="D20" s="580"/>
      <c r="E20" s="580">
        <v>1.0</v>
      </c>
      <c r="F20" s="529">
        <f t="shared" si="17"/>
        <v>-1</v>
      </c>
      <c r="G20" s="581" t="s">
        <v>153</v>
      </c>
      <c r="H20" s="580">
        <v>1.0</v>
      </c>
      <c r="I20" s="580">
        <v>1.0</v>
      </c>
      <c r="J20" s="530">
        <f t="shared" si="18"/>
        <v>0</v>
      </c>
      <c r="K20" s="562"/>
      <c r="L20" s="581" t="s">
        <v>165</v>
      </c>
      <c r="M20" s="572">
        <v>0.0</v>
      </c>
      <c r="N20" s="580">
        <v>1.0</v>
      </c>
      <c r="O20" s="529">
        <f t="shared" si="19"/>
        <v>-1</v>
      </c>
      <c r="P20" s="581" t="s">
        <v>180</v>
      </c>
      <c r="Q20" s="580">
        <v>0.0</v>
      </c>
      <c r="R20" s="580">
        <v>1.0</v>
      </c>
      <c r="S20" s="530">
        <f t="shared" si="20"/>
        <v>-1</v>
      </c>
      <c r="T20" s="562"/>
      <c r="U20" s="611" t="s">
        <v>356</v>
      </c>
      <c r="V20" s="580">
        <v>2.0</v>
      </c>
      <c r="W20" s="580">
        <v>1.0</v>
      </c>
      <c r="X20" s="529">
        <f t="shared" si="21"/>
        <v>1</v>
      </c>
      <c r="Y20" s="581" t="s">
        <v>126</v>
      </c>
      <c r="Z20" s="580">
        <v>0.0</v>
      </c>
      <c r="AA20" s="580">
        <v>1.0</v>
      </c>
      <c r="AB20" s="530">
        <f t="shared" si="22"/>
        <v>-1</v>
      </c>
      <c r="AC20" s="562"/>
      <c r="AD20" s="670"/>
      <c r="AE20" s="670"/>
      <c r="AF20" s="670"/>
      <c r="AG20" s="515"/>
      <c r="AH20" s="670"/>
      <c r="AI20" s="670"/>
      <c r="AJ20" s="670"/>
      <c r="AK20" s="515"/>
      <c r="AL20" s="562"/>
      <c r="AM20" s="532" t="s">
        <v>202</v>
      </c>
      <c r="AN20" s="533">
        <v>0.0</v>
      </c>
      <c r="AO20" s="533">
        <v>1.0</v>
      </c>
      <c r="AP20" s="529">
        <f t="shared" si="23"/>
        <v>-1</v>
      </c>
      <c r="AQ20" s="532" t="s">
        <v>165</v>
      </c>
      <c r="AR20" s="533">
        <v>1.0</v>
      </c>
      <c r="AS20" s="533">
        <v>1.0</v>
      </c>
      <c r="AT20" s="530">
        <f t="shared" si="24"/>
        <v>0</v>
      </c>
      <c r="AU20" s="562"/>
      <c r="AV20" s="670"/>
      <c r="AW20" s="670"/>
      <c r="AX20" s="670"/>
      <c r="AY20" s="515"/>
      <c r="AZ20" s="670"/>
      <c r="BA20" s="670"/>
      <c r="BB20" s="670"/>
      <c r="BC20" s="515"/>
      <c r="BD20" s="562"/>
      <c r="BE20" s="670"/>
      <c r="BF20" s="670"/>
      <c r="BG20" s="670"/>
      <c r="BH20" s="515"/>
      <c r="BI20" s="670"/>
      <c r="BJ20" s="670"/>
      <c r="BK20" s="670"/>
      <c r="BL20" s="679"/>
      <c r="BM20" s="562"/>
      <c r="BN20" s="532"/>
      <c r="BO20" s="533"/>
      <c r="BP20" s="533"/>
      <c r="BQ20" s="529">
        <f t="shared" si="25"/>
        <v>0</v>
      </c>
      <c r="BR20" s="532"/>
      <c r="BS20" s="533"/>
      <c r="BT20" s="533"/>
      <c r="BU20" s="530">
        <f t="shared" si="26"/>
        <v>0</v>
      </c>
      <c r="BV20" s="516"/>
      <c r="BW20" s="504"/>
      <c r="BX20" s="504"/>
      <c r="BY20" s="504"/>
    </row>
    <row r="21">
      <c r="A21" s="504"/>
      <c r="B21" s="514"/>
      <c r="C21" s="532" t="s">
        <v>168</v>
      </c>
      <c r="D21" s="580"/>
      <c r="E21" s="580">
        <v>1.0</v>
      </c>
      <c r="F21" s="529">
        <f t="shared" si="17"/>
        <v>-1</v>
      </c>
      <c r="G21" s="581" t="s">
        <v>165</v>
      </c>
      <c r="H21" s="580"/>
      <c r="I21" s="580"/>
      <c r="J21" s="530">
        <f t="shared" si="18"/>
        <v>0</v>
      </c>
      <c r="K21" s="562"/>
      <c r="L21" s="581" t="s">
        <v>267</v>
      </c>
      <c r="M21" s="572">
        <v>2.0</v>
      </c>
      <c r="N21" s="580">
        <v>1.0</v>
      </c>
      <c r="O21" s="529">
        <f t="shared" si="19"/>
        <v>1</v>
      </c>
      <c r="P21" s="581" t="s">
        <v>88</v>
      </c>
      <c r="Q21" s="580">
        <v>1.0</v>
      </c>
      <c r="R21" s="580">
        <v>1.0</v>
      </c>
      <c r="S21" s="530">
        <f t="shared" si="20"/>
        <v>0</v>
      </c>
      <c r="T21" s="562"/>
      <c r="U21" s="611" t="s">
        <v>104</v>
      </c>
      <c r="V21" s="580">
        <v>0.0</v>
      </c>
      <c r="W21" s="580">
        <v>1.0</v>
      </c>
      <c r="X21" s="529">
        <f t="shared" si="21"/>
        <v>-1</v>
      </c>
      <c r="Y21" s="581" t="s">
        <v>195</v>
      </c>
      <c r="Z21" s="580">
        <v>0.0</v>
      </c>
      <c r="AA21" s="580">
        <v>0.0</v>
      </c>
      <c r="AB21" s="530">
        <f t="shared" si="22"/>
        <v>0</v>
      </c>
      <c r="AC21" s="562"/>
      <c r="AD21" s="670"/>
      <c r="AE21" s="670"/>
      <c r="AF21" s="670"/>
      <c r="AG21" s="515"/>
      <c r="AH21" s="670"/>
      <c r="AI21" s="670"/>
      <c r="AJ21" s="670"/>
      <c r="AK21" s="515"/>
      <c r="AL21" s="562"/>
      <c r="AM21" s="532" t="s">
        <v>130</v>
      </c>
      <c r="AN21" s="533">
        <v>3.0</v>
      </c>
      <c r="AO21" s="533">
        <v>0.0</v>
      </c>
      <c r="AP21" s="529">
        <f t="shared" si="23"/>
        <v>3</v>
      </c>
      <c r="AQ21" s="532" t="s">
        <v>265</v>
      </c>
      <c r="AR21" s="533">
        <v>0.0</v>
      </c>
      <c r="AS21" s="533">
        <v>1.0</v>
      </c>
      <c r="AT21" s="530">
        <f t="shared" si="24"/>
        <v>-1</v>
      </c>
      <c r="AU21" s="562"/>
      <c r="AV21" s="670"/>
      <c r="AW21" s="670"/>
      <c r="AX21" s="670"/>
      <c r="AY21" s="515"/>
      <c r="AZ21" s="670"/>
      <c r="BA21" s="670"/>
      <c r="BB21" s="670"/>
      <c r="BC21" s="515"/>
      <c r="BD21" s="562"/>
      <c r="BE21" s="670"/>
      <c r="BF21" s="670"/>
      <c r="BG21" s="670"/>
      <c r="BH21" s="515"/>
      <c r="BI21" s="670"/>
      <c r="BJ21" s="670"/>
      <c r="BK21" s="670"/>
      <c r="BL21" s="683"/>
      <c r="BM21" s="562"/>
      <c r="BN21" s="532"/>
      <c r="BO21" s="533"/>
      <c r="BP21" s="533"/>
      <c r="BQ21" s="529">
        <f t="shared" si="25"/>
        <v>0</v>
      </c>
      <c r="BR21" s="532"/>
      <c r="BS21" s="533"/>
      <c r="BT21" s="533"/>
      <c r="BU21" s="530">
        <f t="shared" si="26"/>
        <v>0</v>
      </c>
      <c r="BV21" s="516"/>
      <c r="BW21" s="504"/>
      <c r="BX21" s="504"/>
      <c r="BY21" s="504"/>
    </row>
    <row r="22">
      <c r="A22" s="504"/>
      <c r="B22" s="514"/>
      <c r="C22" s="536" t="s">
        <v>170</v>
      </c>
      <c r="D22" s="584">
        <v>1.0</v>
      </c>
      <c r="E22" s="584">
        <v>1.0</v>
      </c>
      <c r="F22" s="529">
        <f t="shared" si="17"/>
        <v>0</v>
      </c>
      <c r="G22" s="585" t="s">
        <v>205</v>
      </c>
      <c r="H22" s="584">
        <v>4.0</v>
      </c>
      <c r="I22" s="584">
        <v>1.0</v>
      </c>
      <c r="J22" s="530">
        <f t="shared" si="18"/>
        <v>3</v>
      </c>
      <c r="K22" s="562"/>
      <c r="L22" s="585" t="s">
        <v>360</v>
      </c>
      <c r="M22" s="572">
        <v>1.0</v>
      </c>
      <c r="N22" s="584">
        <v>1.0</v>
      </c>
      <c r="O22" s="529">
        <f t="shared" si="19"/>
        <v>0</v>
      </c>
      <c r="P22" s="585" t="s">
        <v>124</v>
      </c>
      <c r="Q22" s="584">
        <v>1.0</v>
      </c>
      <c r="R22" s="584">
        <v>0.0</v>
      </c>
      <c r="S22" s="530">
        <f t="shared" si="20"/>
        <v>1</v>
      </c>
      <c r="T22" s="562"/>
      <c r="U22" s="611" t="s">
        <v>90</v>
      </c>
      <c r="V22" s="584">
        <v>0.0</v>
      </c>
      <c r="W22" s="584">
        <v>1.0</v>
      </c>
      <c r="X22" s="529">
        <f t="shared" si="21"/>
        <v>-1</v>
      </c>
      <c r="Y22" s="585" t="s">
        <v>130</v>
      </c>
      <c r="Z22" s="584">
        <v>0.0</v>
      </c>
      <c r="AA22" s="584">
        <v>0.0</v>
      </c>
      <c r="AB22" s="530">
        <f t="shared" si="22"/>
        <v>0</v>
      </c>
      <c r="AC22" s="562"/>
      <c r="AD22" s="670"/>
      <c r="AE22" s="670"/>
      <c r="AF22" s="670"/>
      <c r="AG22" s="515"/>
      <c r="AH22" s="670"/>
      <c r="AI22" s="670"/>
      <c r="AJ22" s="670"/>
      <c r="AK22" s="515"/>
      <c r="AL22" s="562"/>
      <c r="AM22" s="536" t="s">
        <v>126</v>
      </c>
      <c r="AN22" s="537">
        <v>1.0</v>
      </c>
      <c r="AO22" s="537">
        <v>0.0</v>
      </c>
      <c r="AP22" s="529">
        <f t="shared" si="23"/>
        <v>1</v>
      </c>
      <c r="AQ22" s="536" t="s">
        <v>112</v>
      </c>
      <c r="AR22" s="537">
        <v>0.0</v>
      </c>
      <c r="AS22" s="537">
        <v>1.0</v>
      </c>
      <c r="AT22" s="530">
        <f t="shared" si="24"/>
        <v>-1</v>
      </c>
      <c r="AU22" s="562"/>
      <c r="AV22" s="670"/>
      <c r="AW22" s="670"/>
      <c r="AX22" s="670"/>
      <c r="AY22" s="515"/>
      <c r="AZ22" s="670"/>
      <c r="BA22" s="670"/>
      <c r="BB22" s="670"/>
      <c r="BC22" s="515"/>
      <c r="BD22" s="562"/>
      <c r="BE22" s="670"/>
      <c r="BF22" s="670"/>
      <c r="BG22" s="670"/>
      <c r="BH22" s="515"/>
      <c r="BI22" s="670"/>
      <c r="BJ22" s="670"/>
      <c r="BK22" s="670"/>
      <c r="BL22" s="683"/>
      <c r="BM22" s="562"/>
      <c r="BN22" s="536"/>
      <c r="BO22" s="537"/>
      <c r="BP22" s="537"/>
      <c r="BQ22" s="529">
        <f t="shared" si="25"/>
        <v>0</v>
      </c>
      <c r="BR22" s="536"/>
      <c r="BS22" s="537"/>
      <c r="BT22" s="537"/>
      <c r="BU22" s="530">
        <f t="shared" si="26"/>
        <v>0</v>
      </c>
      <c r="BV22" s="516"/>
      <c r="BW22" s="504"/>
      <c r="BX22" s="504"/>
      <c r="BY22" s="504"/>
    </row>
    <row r="23">
      <c r="A23" s="504"/>
      <c r="B23" s="514"/>
      <c r="C23" s="538" t="s">
        <v>270</v>
      </c>
      <c r="D23" s="589">
        <f>SUM(F17:F22)</f>
        <v>-3</v>
      </c>
      <c r="E23" s="231"/>
      <c r="F23" s="231"/>
      <c r="G23" s="590" t="s">
        <v>270</v>
      </c>
      <c r="H23" s="589">
        <f>SUM(J17:J22)</f>
        <v>3</v>
      </c>
      <c r="I23" s="231"/>
      <c r="J23" s="540"/>
      <c r="K23" s="562"/>
      <c r="L23" s="590" t="s">
        <v>270</v>
      </c>
      <c r="M23" s="589">
        <f>SUM(O17:O22)</f>
        <v>-1</v>
      </c>
      <c r="N23" s="231"/>
      <c r="O23" s="231"/>
      <c r="P23" s="590" t="s">
        <v>270</v>
      </c>
      <c r="Q23" s="589">
        <f>SUM(S17:S22)</f>
        <v>0</v>
      </c>
      <c r="R23" s="231"/>
      <c r="S23" s="540"/>
      <c r="T23" s="562"/>
      <c r="U23" s="590" t="s">
        <v>270</v>
      </c>
      <c r="V23" s="589">
        <f>SUM(X17:X22)</f>
        <v>-4</v>
      </c>
      <c r="W23" s="231"/>
      <c r="X23" s="231"/>
      <c r="Y23" s="590" t="s">
        <v>270</v>
      </c>
      <c r="Z23" s="589">
        <f>SUM(AB17:AB22)</f>
        <v>4</v>
      </c>
      <c r="AA23" s="231"/>
      <c r="AB23" s="540"/>
      <c r="AC23" s="562"/>
      <c r="AD23" s="666"/>
      <c r="AE23" s="562"/>
      <c r="AH23" s="666"/>
      <c r="AI23" s="562"/>
      <c r="AL23" s="562"/>
      <c r="AM23" s="538" t="s">
        <v>270</v>
      </c>
      <c r="AN23" s="539">
        <f>SUM(AP17:AP22)</f>
        <v>2</v>
      </c>
      <c r="AO23" s="231"/>
      <c r="AP23" s="231"/>
      <c r="AQ23" s="538" t="s">
        <v>270</v>
      </c>
      <c r="AR23" s="539">
        <f>SUM(AT17:AT22)</f>
        <v>-2</v>
      </c>
      <c r="AS23" s="231"/>
      <c r="AT23" s="540"/>
      <c r="AU23" s="562"/>
      <c r="AV23" s="666"/>
      <c r="AW23" s="562"/>
      <c r="AZ23" s="666"/>
      <c r="BA23" s="562"/>
      <c r="BD23" s="562"/>
      <c r="BE23" s="666"/>
      <c r="BF23" s="562"/>
      <c r="BI23" s="666"/>
      <c r="BJ23" s="694"/>
      <c r="BK23" s="694"/>
      <c r="BL23" s="694"/>
      <c r="BM23" s="562"/>
      <c r="BN23" s="538" t="s">
        <v>270</v>
      </c>
      <c r="BO23" s="539">
        <f>SUM(BQ17:BQ22)</f>
        <v>0</v>
      </c>
      <c r="BP23" s="231"/>
      <c r="BQ23" s="231"/>
      <c r="BR23" s="538" t="s">
        <v>270</v>
      </c>
      <c r="BS23" s="539">
        <f>SUM(BU17:BU22)</f>
        <v>0</v>
      </c>
      <c r="BT23" s="231"/>
      <c r="BU23" s="540"/>
      <c r="BV23" s="516"/>
      <c r="BW23" s="504"/>
      <c r="BX23" s="504"/>
      <c r="BY23" s="504"/>
    </row>
    <row r="24">
      <c r="A24" s="2"/>
      <c r="B24" s="542"/>
      <c r="C24" s="543" t="s">
        <v>274</v>
      </c>
      <c r="D24" s="188"/>
      <c r="E24" s="188"/>
      <c r="F24" s="544"/>
      <c r="G24" s="617" t="s">
        <v>364</v>
      </c>
      <c r="H24" s="188"/>
      <c r="I24" s="188"/>
      <c r="J24" s="191"/>
      <c r="K24" s="636"/>
      <c r="L24" s="543" t="s">
        <v>274</v>
      </c>
      <c r="M24" s="188"/>
      <c r="N24" s="188"/>
      <c r="O24" s="544"/>
      <c r="P24" s="617" t="s">
        <v>367</v>
      </c>
      <c r="Q24" s="188"/>
      <c r="R24" s="188"/>
      <c r="S24" s="191"/>
      <c r="T24" s="636"/>
      <c r="U24" s="543" t="s">
        <v>274</v>
      </c>
      <c r="V24" s="188"/>
      <c r="W24" s="188"/>
      <c r="X24" s="544"/>
      <c r="Y24" s="547" t="s">
        <v>371</v>
      </c>
      <c r="Z24" s="188"/>
      <c r="AA24" s="188"/>
      <c r="AB24" s="191"/>
      <c r="AC24" s="636"/>
      <c r="AD24" s="706"/>
      <c r="AE24" s="706"/>
      <c r="AH24" s="706"/>
      <c r="AI24" s="706"/>
      <c r="AL24" s="636"/>
      <c r="AM24" s="543" t="s">
        <v>274</v>
      </c>
      <c r="AN24" s="188"/>
      <c r="AO24" s="188"/>
      <c r="AP24" s="629"/>
      <c r="AQ24" s="709" t="s">
        <v>375</v>
      </c>
      <c r="AR24" s="231"/>
      <c r="AS24" s="231"/>
      <c r="AT24" s="540"/>
      <c r="AU24" s="636"/>
      <c r="AV24" s="706"/>
      <c r="AW24" s="706"/>
      <c r="AZ24" s="706"/>
      <c r="BA24" s="706"/>
      <c r="BD24" s="636"/>
      <c r="BE24" s="706"/>
      <c r="BF24" s="706"/>
      <c r="BI24" s="706"/>
      <c r="BJ24" s="710"/>
      <c r="BK24" s="710"/>
      <c r="BL24" s="710"/>
      <c r="BM24" s="636"/>
      <c r="BN24" s="543" t="s">
        <v>274</v>
      </c>
      <c r="BO24" s="188"/>
      <c r="BP24" s="188"/>
      <c r="BQ24" s="544"/>
      <c r="BR24" s="543"/>
      <c r="BS24" s="188"/>
      <c r="BT24" s="188"/>
      <c r="BU24" s="191"/>
      <c r="BV24" s="552"/>
      <c r="BW24" s="2"/>
      <c r="BX24" s="2"/>
      <c r="BY24" s="2"/>
    </row>
    <row r="25">
      <c r="A25" s="2"/>
      <c r="B25" s="542"/>
      <c r="C25" s="553" t="s">
        <v>284</v>
      </c>
      <c r="D25" s="231"/>
      <c r="E25" s="231"/>
      <c r="F25" s="540"/>
      <c r="G25" s="555" t="str">
        <f>IF(D23&gt;H23,C16,IF(D23=H23,"",G16))</f>
        <v>Tyler Gottfredsen</v>
      </c>
      <c r="H25" s="555"/>
      <c r="I25" s="555"/>
      <c r="J25" s="711"/>
      <c r="K25" s="636"/>
      <c r="L25" s="553" t="s">
        <v>284</v>
      </c>
      <c r="M25" s="231"/>
      <c r="N25" s="231"/>
      <c r="O25" s="540"/>
      <c r="P25" s="555" t="str">
        <f>IF(M23&gt;Q23,L16,IF(M23=Q23,"",P16))</f>
        <v>Ryan Tidey</v>
      </c>
      <c r="Q25" s="231"/>
      <c r="R25" s="231"/>
      <c r="S25" s="540"/>
      <c r="T25" s="636"/>
      <c r="U25" s="553" t="s">
        <v>284</v>
      </c>
      <c r="V25" s="231"/>
      <c r="W25" s="231"/>
      <c r="X25" s="540"/>
      <c r="Y25" s="555" t="str">
        <f>IF(V23&gt;Z23,U16,IF(V23=Z23,"",Y16))</f>
        <v>Ryan Evans</v>
      </c>
      <c r="Z25" s="231"/>
      <c r="AA25" s="231"/>
      <c r="AB25" s="540"/>
      <c r="AC25" s="636"/>
      <c r="AD25" s="706"/>
      <c r="AE25" s="718"/>
      <c r="AF25" s="718"/>
      <c r="AG25" s="706"/>
      <c r="AH25" s="706"/>
      <c r="AJ25" s="706"/>
      <c r="AK25" s="706"/>
      <c r="AL25" s="636"/>
      <c r="AM25" s="553" t="s">
        <v>284</v>
      </c>
      <c r="AN25" s="231"/>
      <c r="AO25" s="231"/>
      <c r="AP25" s="540"/>
      <c r="AQ25" s="555" t="str">
        <f>IF(AN23&gt;AR23,AM16,IF(AN23=AR23,"",AQ16))</f>
        <v>Ryan Evans</v>
      </c>
      <c r="AR25" s="231"/>
      <c r="AS25" s="231"/>
      <c r="AT25" s="540"/>
      <c r="AU25" s="636"/>
      <c r="AV25" s="706"/>
      <c r="AW25" s="718"/>
      <c r="AX25" s="718"/>
      <c r="AY25" s="718"/>
      <c r="AZ25" s="706"/>
      <c r="BB25" s="706"/>
      <c r="BC25" s="706"/>
      <c r="BD25" s="636"/>
      <c r="BE25" s="706"/>
      <c r="BF25" s="718"/>
      <c r="BG25" s="718"/>
      <c r="BH25" s="706"/>
      <c r="BI25" s="706"/>
      <c r="BK25" s="706"/>
      <c r="BL25" s="706"/>
      <c r="BM25" s="636"/>
      <c r="BN25" s="553" t="s">
        <v>284</v>
      </c>
      <c r="BO25" s="231"/>
      <c r="BP25" s="231"/>
      <c r="BQ25" s="540"/>
      <c r="BR25" s="555" t="str">
        <f>IF(BO23&gt;BS23,BN16,IF(BO23=BS23,"",BR16))</f>
        <v/>
      </c>
      <c r="BS25" s="231"/>
      <c r="BT25" s="231"/>
      <c r="BU25" s="540"/>
      <c r="BV25" s="552"/>
      <c r="BW25" s="2"/>
      <c r="BX25" s="2"/>
      <c r="BY25" s="2"/>
    </row>
    <row r="26" ht="7.5" customHeight="1">
      <c r="A26" s="504"/>
      <c r="B26" s="514"/>
      <c r="C26" s="515"/>
      <c r="D26" s="515"/>
      <c r="E26" s="515"/>
      <c r="F26" s="515"/>
      <c r="G26" s="515"/>
      <c r="H26" s="515"/>
      <c r="I26" s="515"/>
      <c r="J26" s="515"/>
      <c r="K26" s="515"/>
      <c r="L26" s="515"/>
      <c r="M26" s="515"/>
      <c r="N26" s="515"/>
      <c r="O26" s="515"/>
      <c r="P26" s="515"/>
      <c r="Q26" s="515"/>
      <c r="R26" s="515"/>
      <c r="S26" s="515"/>
      <c r="T26" s="515"/>
      <c r="U26" s="515"/>
      <c r="V26" s="515"/>
      <c r="W26" s="515"/>
      <c r="X26" s="515"/>
      <c r="Y26" s="515"/>
      <c r="Z26" s="515"/>
      <c r="AA26" s="515"/>
      <c r="AB26" s="515"/>
      <c r="AC26" s="515"/>
      <c r="AD26" s="727"/>
      <c r="AE26" s="515"/>
      <c r="AF26" s="515"/>
      <c r="AG26" s="515"/>
      <c r="AH26" s="515"/>
      <c r="AI26" s="515"/>
      <c r="AJ26" s="515"/>
      <c r="AK26" s="515"/>
      <c r="AL26" s="515"/>
      <c r="AM26" s="727"/>
      <c r="AN26" s="515"/>
      <c r="AO26" s="515"/>
      <c r="AP26" s="515"/>
      <c r="AQ26" s="515"/>
      <c r="AR26" s="515"/>
      <c r="AS26" s="515"/>
      <c r="AT26" s="515"/>
      <c r="AU26" s="515"/>
      <c r="AV26" s="515"/>
      <c r="AW26" s="515"/>
      <c r="AX26" s="515"/>
      <c r="AY26" s="515"/>
      <c r="AZ26" s="515"/>
      <c r="BA26" s="515"/>
      <c r="BB26" s="515"/>
      <c r="BC26" s="515"/>
      <c r="BD26" s="515"/>
      <c r="BE26" s="515"/>
      <c r="BF26" s="515"/>
      <c r="BG26" s="515"/>
      <c r="BH26" s="515"/>
      <c r="BI26" s="515"/>
      <c r="BJ26" s="515"/>
      <c r="BK26" s="515"/>
      <c r="BL26" s="515"/>
      <c r="BM26" s="515"/>
      <c r="BN26" s="562"/>
      <c r="BO26" s="562"/>
      <c r="BP26" s="562"/>
      <c r="BQ26" s="562"/>
      <c r="BR26" s="562"/>
      <c r="BS26" s="562"/>
      <c r="BT26" s="562"/>
      <c r="BU26" s="562"/>
      <c r="BV26" s="516"/>
      <c r="BW26" s="504"/>
      <c r="BX26" s="504"/>
      <c r="BY26" s="504"/>
    </row>
    <row r="27" ht="15.75" customHeight="1">
      <c r="A27" s="504"/>
      <c r="B27" s="514"/>
      <c r="C27" s="517" t="str">
        <f>Source!$Q$64</f>
        <v>Ryan Evans</v>
      </c>
      <c r="D27" s="519" t="s">
        <v>76</v>
      </c>
      <c r="E27" s="520" t="s">
        <v>77</v>
      </c>
      <c r="F27" s="520" t="s">
        <v>78</v>
      </c>
      <c r="G27" s="521" t="str">
        <f>Source!$S$64</f>
        <v>Ryan Tidey</v>
      </c>
      <c r="H27" s="522" t="s">
        <v>76</v>
      </c>
      <c r="I27" s="523" t="s">
        <v>77</v>
      </c>
      <c r="J27" s="524" t="s">
        <v>78</v>
      </c>
      <c r="K27" s="730"/>
      <c r="L27" s="731"/>
      <c r="M27" s="732"/>
      <c r="N27" s="515"/>
      <c r="O27" s="515"/>
      <c r="P27" s="515"/>
      <c r="Q27" s="515"/>
      <c r="R27" s="515"/>
      <c r="S27" s="515"/>
      <c r="T27" s="515"/>
      <c r="U27" s="515"/>
      <c r="V27" s="515"/>
      <c r="W27" s="515"/>
      <c r="X27" s="515"/>
      <c r="Y27" s="515"/>
      <c r="Z27" s="515"/>
      <c r="AA27" s="515"/>
      <c r="AB27" s="515"/>
      <c r="AC27" s="515"/>
      <c r="AD27" s="727"/>
      <c r="AE27" s="515"/>
      <c r="AF27" s="515"/>
      <c r="AG27" s="515"/>
      <c r="AH27" s="515"/>
      <c r="AI27" s="515"/>
      <c r="AJ27" s="515"/>
      <c r="AK27" s="515"/>
      <c r="AL27" s="515"/>
      <c r="AM27" s="727"/>
      <c r="AN27" s="515"/>
      <c r="AO27" s="515"/>
      <c r="AP27" s="515"/>
      <c r="AQ27" s="515"/>
      <c r="AR27" s="515"/>
      <c r="AS27" s="515"/>
      <c r="AT27" s="515"/>
      <c r="AU27" s="515"/>
      <c r="AV27" s="515"/>
      <c r="AW27" s="515"/>
      <c r="AX27" s="515"/>
      <c r="AY27" s="515"/>
      <c r="AZ27" s="515"/>
      <c r="BA27" s="515"/>
      <c r="BB27" s="515"/>
      <c r="BC27" s="515"/>
      <c r="BD27" s="515"/>
      <c r="BE27" s="515"/>
      <c r="BF27" s="515"/>
      <c r="BG27" s="515"/>
      <c r="BH27" s="515"/>
      <c r="BI27" s="515"/>
      <c r="BJ27" s="515"/>
      <c r="BK27" s="515"/>
      <c r="BL27" s="671"/>
      <c r="BM27" s="515"/>
      <c r="BN27" s="734" t="s">
        <v>382</v>
      </c>
      <c r="BV27" s="516"/>
      <c r="BW27" s="504"/>
      <c r="BX27" s="504"/>
      <c r="BY27" s="504"/>
    </row>
    <row r="28" ht="15.75" customHeight="1">
      <c r="A28" s="504"/>
      <c r="B28" s="735"/>
      <c r="C28" s="526" t="s">
        <v>113</v>
      </c>
      <c r="D28" s="527">
        <v>1.0</v>
      </c>
      <c r="E28" s="527">
        <v>1.0</v>
      </c>
      <c r="F28" s="529">
        <f t="shared" ref="F28:F33" si="27">D28-E28</f>
        <v>0</v>
      </c>
      <c r="G28" s="526" t="s">
        <v>88</v>
      </c>
      <c r="H28" s="527">
        <v>2.0</v>
      </c>
      <c r="I28" s="527">
        <v>1.0</v>
      </c>
      <c r="J28" s="530">
        <f t="shared" ref="J28:J33" si="28">H28-I28</f>
        <v>1</v>
      </c>
      <c r="K28" s="515"/>
      <c r="L28" s="731"/>
      <c r="M28" s="732"/>
      <c r="N28" s="515"/>
      <c r="O28" s="515"/>
      <c r="P28" s="515"/>
      <c r="Q28" s="515"/>
      <c r="R28" s="515"/>
      <c r="S28" s="515"/>
      <c r="T28" s="515"/>
      <c r="U28" s="515"/>
      <c r="V28" s="515"/>
      <c r="W28" s="515"/>
      <c r="X28" s="515"/>
      <c r="Y28" s="515"/>
      <c r="Z28" s="515"/>
      <c r="AA28" s="515"/>
      <c r="AB28" s="515"/>
      <c r="AC28" s="515"/>
      <c r="AD28" s="727"/>
      <c r="AE28" s="515"/>
      <c r="AF28" s="515"/>
      <c r="AG28" s="515"/>
      <c r="AH28" s="515"/>
      <c r="AI28" s="515"/>
      <c r="AJ28" s="515"/>
      <c r="AK28" s="515"/>
      <c r="AL28" s="515"/>
      <c r="AM28" s="727"/>
      <c r="AN28" s="515"/>
      <c r="AO28" s="515"/>
      <c r="AP28" s="515"/>
      <c r="AQ28" s="515"/>
      <c r="AR28" s="515"/>
      <c r="AS28" s="515"/>
      <c r="AT28" s="515"/>
      <c r="AU28" s="515"/>
      <c r="AV28" s="515"/>
      <c r="AW28" s="515"/>
      <c r="AX28" s="515"/>
      <c r="AY28" s="515"/>
      <c r="AZ28" s="515"/>
      <c r="BA28" s="515"/>
      <c r="BB28" s="515"/>
      <c r="BC28" s="515"/>
      <c r="BD28" s="515"/>
      <c r="BE28" s="515"/>
      <c r="BF28" s="515"/>
      <c r="BG28" s="515"/>
      <c r="BH28" s="515"/>
      <c r="BI28" s="515"/>
      <c r="BJ28" s="515"/>
      <c r="BK28" s="515"/>
      <c r="BL28" s="673"/>
      <c r="BM28" s="515"/>
      <c r="BV28" s="516"/>
      <c r="BW28" s="504"/>
      <c r="BX28" s="504"/>
      <c r="BY28" s="504"/>
    </row>
    <row r="29" ht="15.75" customHeight="1">
      <c r="A29" s="504"/>
      <c r="B29" s="735"/>
      <c r="C29" s="532" t="s">
        <v>114</v>
      </c>
      <c r="D29" s="533">
        <v>2.0</v>
      </c>
      <c r="E29" s="533">
        <v>1.0</v>
      </c>
      <c r="F29" s="529">
        <f t="shared" si="27"/>
        <v>1</v>
      </c>
      <c r="G29" s="532" t="s">
        <v>176</v>
      </c>
      <c r="H29" s="533">
        <v>0.0</v>
      </c>
      <c r="I29" s="533"/>
      <c r="J29" s="530">
        <f t="shared" si="28"/>
        <v>0</v>
      </c>
      <c r="K29" s="515"/>
      <c r="L29" s="515"/>
      <c r="M29" s="732"/>
      <c r="N29" s="515"/>
      <c r="O29" s="515"/>
      <c r="P29" s="515"/>
      <c r="Q29" s="515"/>
      <c r="R29" s="515"/>
      <c r="S29" s="515"/>
      <c r="T29" s="515"/>
      <c r="U29" s="515"/>
      <c r="V29" s="515"/>
      <c r="W29" s="515"/>
      <c r="X29" s="515"/>
      <c r="Y29" s="515"/>
      <c r="Z29" s="515"/>
      <c r="AA29" s="515"/>
      <c r="AB29" s="515"/>
      <c r="AC29" s="515"/>
      <c r="AD29" s="727"/>
      <c r="AE29" s="515"/>
      <c r="AF29" s="515"/>
      <c r="AG29" s="515"/>
      <c r="AH29" s="515"/>
      <c r="AI29" s="515"/>
      <c r="AJ29" s="515"/>
      <c r="AK29" s="515"/>
      <c r="AL29" s="515"/>
      <c r="AM29" s="727"/>
      <c r="AN29" s="515"/>
      <c r="AO29" s="515"/>
      <c r="AP29" s="515"/>
      <c r="AQ29" s="515"/>
      <c r="AR29" s="515"/>
      <c r="AS29" s="515"/>
      <c r="AT29" s="515"/>
      <c r="AU29" s="515"/>
      <c r="AV29" s="731"/>
      <c r="AW29" s="732"/>
      <c r="AX29" s="515"/>
      <c r="AY29" s="515"/>
      <c r="AZ29" s="515"/>
      <c r="BA29" s="515"/>
      <c r="BB29" s="515"/>
      <c r="BC29" s="515"/>
      <c r="BD29" s="515"/>
      <c r="BE29" s="515"/>
      <c r="BF29" s="515"/>
      <c r="BG29" s="515"/>
      <c r="BH29" s="515"/>
      <c r="BI29" s="515"/>
      <c r="BJ29" s="515"/>
      <c r="BK29" s="515"/>
      <c r="BL29" s="676"/>
      <c r="BM29" s="515"/>
      <c r="BN29" s="737" t="s">
        <v>383</v>
      </c>
      <c r="BO29" s="737" t="str">
        <f>IF(BO$12&gt;BS$12,BR$14,BR$25)</f>
        <v/>
      </c>
      <c r="BV29" s="516"/>
      <c r="BW29" s="504"/>
      <c r="BX29" s="504"/>
      <c r="BY29" s="504"/>
    </row>
    <row r="30" ht="15.75" customHeight="1">
      <c r="A30" s="504"/>
      <c r="B30" s="739"/>
      <c r="C30" s="532" t="s">
        <v>85</v>
      </c>
      <c r="D30" s="533">
        <v>0.0</v>
      </c>
      <c r="E30" s="533">
        <v>1.0</v>
      </c>
      <c r="F30" s="529">
        <f t="shared" si="27"/>
        <v>-1</v>
      </c>
      <c r="G30" s="532" t="s">
        <v>384</v>
      </c>
      <c r="H30" s="533">
        <v>1.0</v>
      </c>
      <c r="I30" s="533">
        <v>1.0</v>
      </c>
      <c r="J30" s="530">
        <f t="shared" si="28"/>
        <v>0</v>
      </c>
      <c r="K30" s="515"/>
      <c r="L30" s="515"/>
      <c r="M30" s="732"/>
      <c r="N30" s="515"/>
      <c r="O30" s="515"/>
      <c r="P30" s="515"/>
      <c r="Q30" s="515"/>
      <c r="R30" s="515"/>
      <c r="S30" s="515"/>
      <c r="T30" s="515"/>
      <c r="U30" s="515"/>
      <c r="V30" s="515"/>
      <c r="W30" s="515"/>
      <c r="X30" s="515"/>
      <c r="Y30" s="515"/>
      <c r="Z30" s="515"/>
      <c r="AA30" s="515"/>
      <c r="AB30" s="515"/>
      <c r="AC30" s="515"/>
      <c r="AD30" s="727"/>
      <c r="AE30" s="515"/>
      <c r="AF30" s="515"/>
      <c r="AG30" s="515"/>
      <c r="AH30" s="515"/>
      <c r="AI30" s="515"/>
      <c r="AJ30" s="515"/>
      <c r="AK30" s="515"/>
      <c r="AL30" s="515"/>
      <c r="AM30" s="727"/>
      <c r="AN30" s="515"/>
      <c r="AO30" s="515"/>
      <c r="AP30" s="515"/>
      <c r="AQ30" s="515"/>
      <c r="AR30" s="515"/>
      <c r="AS30" s="515"/>
      <c r="AT30" s="515"/>
      <c r="AU30" s="515"/>
      <c r="AV30" s="731"/>
      <c r="AW30" s="732"/>
      <c r="AX30" s="515"/>
      <c r="AY30" s="515"/>
      <c r="AZ30" s="515"/>
      <c r="BA30" s="515"/>
      <c r="BB30" s="515"/>
      <c r="BC30" s="515"/>
      <c r="BD30" s="515"/>
      <c r="BE30" s="515"/>
      <c r="BF30" s="515"/>
      <c r="BG30" s="515"/>
      <c r="BH30" s="515"/>
      <c r="BI30" s="515"/>
      <c r="BJ30" s="515"/>
      <c r="BK30" s="515"/>
      <c r="BL30" s="679"/>
      <c r="BM30" s="515"/>
      <c r="BN30" s="741" t="s">
        <v>385</v>
      </c>
      <c r="BO30" s="741" t="str">
        <f>IF(BO$12&gt;BS$12,BR$5,IF(BO23&gt;BS23,BR16,BN16))</f>
        <v/>
      </c>
      <c r="BV30" s="516"/>
      <c r="BW30" s="504"/>
      <c r="BX30" s="504"/>
      <c r="BY30" s="504"/>
    </row>
    <row r="31" ht="15.75" customHeight="1">
      <c r="A31" s="504"/>
      <c r="B31" s="744"/>
      <c r="C31" s="532" t="s">
        <v>195</v>
      </c>
      <c r="D31" s="533">
        <v>0.0</v>
      </c>
      <c r="E31" s="533">
        <v>1.0</v>
      </c>
      <c r="F31" s="529">
        <f t="shared" si="27"/>
        <v>-1</v>
      </c>
      <c r="G31" s="532" t="s">
        <v>387</v>
      </c>
      <c r="H31" s="533">
        <v>0.0</v>
      </c>
      <c r="I31" s="533"/>
      <c r="J31" s="530">
        <f t="shared" si="28"/>
        <v>0</v>
      </c>
      <c r="K31" s="515"/>
      <c r="L31" s="515"/>
      <c r="M31" s="732"/>
      <c r="N31" s="515"/>
      <c r="O31" s="515"/>
      <c r="P31" s="515"/>
      <c r="Q31" s="515"/>
      <c r="R31" s="515"/>
      <c r="S31" s="515"/>
      <c r="T31" s="515"/>
      <c r="U31" s="515"/>
      <c r="V31" s="515"/>
      <c r="W31" s="515"/>
      <c r="X31" s="515"/>
      <c r="Y31" s="515"/>
      <c r="Z31" s="515"/>
      <c r="AA31" s="515"/>
      <c r="AB31" s="515"/>
      <c r="AC31" s="515"/>
      <c r="AD31" s="727"/>
      <c r="AE31" s="515"/>
      <c r="AF31" s="515"/>
      <c r="AG31" s="515"/>
      <c r="AH31" s="515"/>
      <c r="AI31" s="515"/>
      <c r="AJ31" s="515"/>
      <c r="AK31" s="515"/>
      <c r="AL31" s="515"/>
      <c r="AM31" s="727"/>
      <c r="AN31" s="515"/>
      <c r="AO31" s="515"/>
      <c r="AP31" s="515"/>
      <c r="AQ31" s="515"/>
      <c r="AR31" s="515"/>
      <c r="AS31" s="515"/>
      <c r="AT31" s="515"/>
      <c r="AU31" s="515"/>
      <c r="AV31" s="515"/>
      <c r="AW31" s="515"/>
      <c r="AX31" s="515"/>
      <c r="AY31" s="515"/>
      <c r="AZ31" s="515"/>
      <c r="BA31" s="515"/>
      <c r="BB31" s="515"/>
      <c r="BC31" s="515"/>
      <c r="BD31" s="515"/>
      <c r="BE31" s="515"/>
      <c r="BF31" s="515"/>
      <c r="BG31" s="515"/>
      <c r="BH31" s="515"/>
      <c r="BI31" s="515"/>
      <c r="BJ31" s="515"/>
      <c r="BK31" s="515"/>
      <c r="BL31" s="683"/>
      <c r="BM31" s="515"/>
      <c r="BN31" s="747" t="s">
        <v>388</v>
      </c>
      <c r="BO31" s="747" t="str">
        <f>IF(BF$12&gt;BJ$12,BI$5,IF(BF$12=BJ$12,"",BE$5))</f>
        <v>Zach VanSickle</v>
      </c>
      <c r="BV31" s="516"/>
      <c r="BW31" s="504"/>
      <c r="BX31" s="504"/>
      <c r="BY31" s="504"/>
    </row>
    <row r="32" ht="15.75" customHeight="1">
      <c r="A32" s="504"/>
      <c r="B32" s="744"/>
      <c r="C32" s="532" t="s">
        <v>130</v>
      </c>
      <c r="D32" s="533">
        <v>0.0</v>
      </c>
      <c r="E32" s="533">
        <v>1.0</v>
      </c>
      <c r="F32" s="529">
        <f t="shared" si="27"/>
        <v>-1</v>
      </c>
      <c r="G32" s="532" t="s">
        <v>83</v>
      </c>
      <c r="H32" s="533">
        <v>1.0</v>
      </c>
      <c r="I32" s="533">
        <v>1.0</v>
      </c>
      <c r="J32" s="530">
        <f t="shared" si="28"/>
        <v>0</v>
      </c>
      <c r="K32" s="515"/>
      <c r="L32" s="731"/>
      <c r="M32" s="732"/>
      <c r="N32" s="515"/>
      <c r="O32" s="515"/>
      <c r="P32" s="515"/>
      <c r="Q32" s="515"/>
      <c r="R32" s="515"/>
      <c r="S32" s="515"/>
      <c r="T32" s="515"/>
      <c r="U32" s="515"/>
      <c r="V32" s="515"/>
      <c r="W32" s="515"/>
      <c r="X32" s="515"/>
      <c r="Y32" s="515"/>
      <c r="Z32" s="515"/>
      <c r="AA32" s="515"/>
      <c r="AB32" s="515"/>
      <c r="AC32" s="515"/>
      <c r="AD32" s="727"/>
      <c r="AE32" s="515"/>
      <c r="AF32" s="515"/>
      <c r="AG32" s="515"/>
      <c r="AH32" s="515"/>
      <c r="AI32" s="515"/>
      <c r="AJ32" s="515"/>
      <c r="AK32" s="515"/>
      <c r="AL32" s="515"/>
      <c r="AM32" s="727"/>
      <c r="AN32" s="515"/>
      <c r="AO32" s="515"/>
      <c r="AP32" s="515"/>
      <c r="AQ32" s="515"/>
      <c r="AR32" s="515"/>
      <c r="AS32" s="515"/>
      <c r="AT32" s="515"/>
      <c r="AU32" s="515"/>
      <c r="AV32" s="515"/>
      <c r="AW32" s="515"/>
      <c r="AX32" s="515"/>
      <c r="AY32" s="515"/>
      <c r="AZ32" s="515"/>
      <c r="BA32" s="515"/>
      <c r="BB32" s="515"/>
      <c r="BC32" s="515"/>
      <c r="BD32" s="515"/>
      <c r="BE32" s="515"/>
      <c r="BF32" s="515"/>
      <c r="BG32" s="515"/>
      <c r="BH32" s="515"/>
      <c r="BI32" s="515"/>
      <c r="BJ32" s="515"/>
      <c r="BK32" s="515"/>
      <c r="BL32" s="683"/>
      <c r="BM32" s="515"/>
      <c r="BN32" s="753" t="s">
        <v>392</v>
      </c>
      <c r="BO32" s="753" t="str">
        <f>IF(AW$12&gt;BA$12,AZ$5,IF(AW$12=BA$12,"",AV$5))</f>
        <v>Ryan Evans</v>
      </c>
      <c r="BV32" s="516"/>
      <c r="BW32" s="504"/>
      <c r="BX32" s="504"/>
      <c r="BY32" s="504"/>
    </row>
    <row r="33" ht="15.75" customHeight="1">
      <c r="A33" s="504"/>
      <c r="B33" s="514"/>
      <c r="C33" s="536" t="s">
        <v>126</v>
      </c>
      <c r="D33" s="537">
        <v>0.0</v>
      </c>
      <c r="E33" s="537">
        <v>1.0</v>
      </c>
      <c r="F33" s="529">
        <f t="shared" si="27"/>
        <v>-1</v>
      </c>
      <c r="G33" s="536" t="s">
        <v>397</v>
      </c>
      <c r="H33" s="537">
        <v>2.0</v>
      </c>
      <c r="I33" s="537"/>
      <c r="J33" s="530">
        <f t="shared" si="28"/>
        <v>2</v>
      </c>
      <c r="K33" s="730"/>
      <c r="L33" s="731"/>
      <c r="M33" s="732"/>
      <c r="N33" s="515"/>
      <c r="O33" s="515"/>
      <c r="P33" s="515"/>
      <c r="Q33" s="515"/>
      <c r="R33" s="515"/>
      <c r="S33" s="515"/>
      <c r="T33" s="515"/>
      <c r="U33" s="515"/>
      <c r="V33" s="515"/>
      <c r="W33" s="515"/>
      <c r="X33" s="515"/>
      <c r="Y33" s="515"/>
      <c r="Z33" s="515"/>
      <c r="AA33" s="515"/>
      <c r="AB33" s="515"/>
      <c r="AC33" s="515"/>
      <c r="AD33" s="727"/>
      <c r="AE33" s="515"/>
      <c r="AF33" s="515"/>
      <c r="AG33" s="515"/>
      <c r="AH33" s="515"/>
      <c r="AI33" s="515"/>
      <c r="AJ33" s="515"/>
      <c r="AK33" s="515"/>
      <c r="AL33" s="515"/>
      <c r="AM33" s="727"/>
      <c r="AN33" s="515"/>
      <c r="AO33" s="515"/>
      <c r="AP33" s="515"/>
      <c r="AQ33" s="515"/>
      <c r="AR33" s="515"/>
      <c r="AS33" s="515"/>
      <c r="AT33" s="515"/>
      <c r="AU33" s="515"/>
      <c r="AV33" s="515"/>
      <c r="AW33" s="515"/>
      <c r="AX33" s="515"/>
      <c r="AY33" s="515"/>
      <c r="AZ33" s="515"/>
      <c r="BA33" s="515"/>
      <c r="BB33" s="515"/>
      <c r="BC33" s="515"/>
      <c r="BD33" s="515"/>
      <c r="BE33" s="515"/>
      <c r="BF33" s="515"/>
      <c r="BG33" s="515"/>
      <c r="BH33" s="515"/>
      <c r="BI33" s="515"/>
      <c r="BJ33" s="515"/>
      <c r="BK33" s="515"/>
      <c r="BL33" s="694"/>
      <c r="BM33" s="515"/>
      <c r="BN33" s="770" t="s">
        <v>399</v>
      </c>
      <c r="BO33" s="770" t="str">
        <f>IF(AN$12&gt;AR$12,AQ$5,IF(AN$12=AR$12,"",AM$5))</f>
        <v>Marcus</v>
      </c>
      <c r="BV33" s="516"/>
      <c r="BW33" s="504"/>
      <c r="BX33" s="504"/>
      <c r="BY33" s="504"/>
    </row>
    <row r="34" ht="15.75" customHeight="1">
      <c r="A34" s="504"/>
      <c r="B34" s="514"/>
      <c r="C34" s="538" t="s">
        <v>270</v>
      </c>
      <c r="D34" s="539">
        <f>SUM(F28:F33)</f>
        <v>-3</v>
      </c>
      <c r="E34" s="231"/>
      <c r="F34" s="231"/>
      <c r="G34" s="538" t="s">
        <v>270</v>
      </c>
      <c r="H34" s="539">
        <f>SUM(J28:J33)</f>
        <v>3</v>
      </c>
      <c r="I34" s="231"/>
      <c r="J34" s="540"/>
      <c r="K34" s="515"/>
      <c r="L34" s="515"/>
      <c r="M34" s="515"/>
      <c r="N34" s="515"/>
      <c r="O34" s="515"/>
      <c r="P34" s="515"/>
      <c r="Q34" s="515"/>
      <c r="R34" s="515"/>
      <c r="S34" s="515"/>
      <c r="T34" s="515"/>
      <c r="U34" s="515"/>
      <c r="V34" s="515"/>
      <c r="W34" s="515"/>
      <c r="X34" s="515"/>
      <c r="Y34" s="731"/>
      <c r="Z34" s="515"/>
      <c r="AA34" s="515"/>
      <c r="AB34" s="515"/>
      <c r="AC34" s="515"/>
      <c r="AD34" s="727"/>
      <c r="AE34" s="515"/>
      <c r="AF34" s="515"/>
      <c r="AG34" s="515"/>
      <c r="AH34" s="515"/>
      <c r="AI34" s="515"/>
      <c r="AJ34" s="515"/>
      <c r="AK34" s="515"/>
      <c r="AL34" s="515"/>
      <c r="AM34" s="727"/>
      <c r="AN34" s="515"/>
      <c r="AO34" s="515"/>
      <c r="AP34" s="515"/>
      <c r="AQ34" s="515"/>
      <c r="AR34" s="515"/>
      <c r="AS34" s="515"/>
      <c r="AT34" s="515"/>
      <c r="AU34" s="515"/>
      <c r="AV34" s="515"/>
      <c r="AW34" s="515"/>
      <c r="AX34" s="515"/>
      <c r="AY34" s="515"/>
      <c r="AZ34" s="515"/>
      <c r="BA34" s="515"/>
      <c r="BB34" s="515"/>
      <c r="BC34" s="515"/>
      <c r="BD34" s="515"/>
      <c r="BE34" s="515"/>
      <c r="BF34" s="515"/>
      <c r="BG34" s="515"/>
      <c r="BH34" s="515"/>
      <c r="BI34" s="515"/>
      <c r="BJ34" s="515"/>
      <c r="BK34" s="515"/>
      <c r="BL34" s="710"/>
      <c r="BM34" s="515"/>
      <c r="BN34" s="770" t="s">
        <v>399</v>
      </c>
      <c r="BO34" s="770" t="str">
        <f>IF(AN$23&gt;AR$23,AQ$16,IF(AN$23=AR$23,"",AM$16))</f>
        <v>Tyler Gottfredsen</v>
      </c>
      <c r="BV34" s="516"/>
      <c r="BW34" s="504"/>
      <c r="BX34" s="504"/>
      <c r="BY34" s="504"/>
    </row>
    <row r="35" ht="15.75" customHeight="1">
      <c r="A35" s="504"/>
      <c r="B35" s="514"/>
      <c r="C35" s="543" t="s">
        <v>274</v>
      </c>
      <c r="D35" s="188"/>
      <c r="E35" s="188"/>
      <c r="F35" s="544"/>
      <c r="G35" s="788" t="s">
        <v>405</v>
      </c>
      <c r="H35" s="188"/>
      <c r="I35" s="188"/>
      <c r="J35" s="191"/>
      <c r="K35" s="515"/>
      <c r="L35" s="515"/>
      <c r="M35" s="515"/>
      <c r="N35" s="515"/>
      <c r="O35" s="515"/>
      <c r="P35" s="515"/>
      <c r="Q35" s="515"/>
      <c r="R35" s="515"/>
      <c r="S35" s="515"/>
      <c r="T35" s="515"/>
      <c r="U35" s="515"/>
      <c r="V35" s="515"/>
      <c r="W35" s="515"/>
      <c r="X35" s="515"/>
      <c r="Y35" s="731"/>
      <c r="Z35" s="515"/>
      <c r="AA35" s="515"/>
      <c r="AB35" s="515"/>
      <c r="AC35" s="515"/>
      <c r="AD35" s="727"/>
      <c r="AE35" s="515"/>
      <c r="AF35" s="515"/>
      <c r="AG35" s="515"/>
      <c r="AH35" s="515"/>
      <c r="AI35" s="515"/>
      <c r="AJ35" s="515"/>
      <c r="AK35" s="515"/>
      <c r="AL35" s="515"/>
      <c r="AM35" s="727"/>
      <c r="AN35" s="515"/>
      <c r="AO35" s="515"/>
      <c r="AP35" s="515"/>
      <c r="AQ35" s="515"/>
      <c r="AR35" s="515"/>
      <c r="AS35" s="515"/>
      <c r="AT35" s="515"/>
      <c r="AU35" s="515"/>
      <c r="AV35" s="515"/>
      <c r="AW35" s="515"/>
      <c r="AX35" s="515"/>
      <c r="AY35" s="515"/>
      <c r="AZ35" s="515"/>
      <c r="BA35" s="515"/>
      <c r="BB35" s="515"/>
      <c r="BC35" s="515"/>
      <c r="BD35" s="515"/>
      <c r="BE35" s="515"/>
      <c r="BF35" s="515"/>
      <c r="BG35" s="515"/>
      <c r="BH35" s="515"/>
      <c r="BI35" s="515"/>
      <c r="BJ35" s="515"/>
      <c r="BK35" s="515"/>
      <c r="BL35" s="515"/>
      <c r="BM35" s="515"/>
      <c r="BN35" s="790" t="s">
        <v>407</v>
      </c>
      <c r="BO35" s="790" t="str">
        <f>IF(V$12&gt;Z$12,Y$5,IF(V$12=Z$12,"",U$5))</f>
        <v>Dick Hansen</v>
      </c>
      <c r="BV35" s="516"/>
      <c r="BW35" s="504"/>
      <c r="BX35" s="504"/>
      <c r="BY35" s="504"/>
    </row>
    <row r="36" ht="15.75" customHeight="1">
      <c r="A36" s="504"/>
      <c r="B36" s="514"/>
      <c r="C36" s="553" t="s">
        <v>284</v>
      </c>
      <c r="D36" s="231"/>
      <c r="E36" s="231"/>
      <c r="F36" s="540"/>
      <c r="G36" s="555" t="str">
        <f>IF(D34&gt;H34,C27,IF(D34=H34,"",G27))</f>
        <v>Ryan Tidey</v>
      </c>
      <c r="H36" s="555"/>
      <c r="I36" s="555"/>
      <c r="J36" s="711"/>
      <c r="K36" s="515"/>
      <c r="L36" s="515"/>
      <c r="M36" s="515"/>
      <c r="N36" s="515"/>
      <c r="O36" s="515"/>
      <c r="P36" s="515"/>
      <c r="Q36" s="515"/>
      <c r="R36" s="515"/>
      <c r="S36" s="515"/>
      <c r="T36" s="515"/>
      <c r="U36" s="731"/>
      <c r="V36" s="732"/>
      <c r="W36" s="515"/>
      <c r="X36" s="515"/>
      <c r="Y36" s="515"/>
      <c r="Z36" s="515"/>
      <c r="AA36" s="515"/>
      <c r="AB36" s="515"/>
      <c r="AC36" s="515"/>
      <c r="AD36" s="727"/>
      <c r="AE36" s="515"/>
      <c r="AF36" s="515"/>
      <c r="AG36" s="515"/>
      <c r="AH36" s="515"/>
      <c r="AI36" s="515"/>
      <c r="AJ36" s="515"/>
      <c r="AK36" s="515"/>
      <c r="AL36" s="515"/>
      <c r="AM36" s="727"/>
      <c r="AN36" s="515"/>
      <c r="AO36" s="515"/>
      <c r="AP36" s="515"/>
      <c r="AQ36" s="515"/>
      <c r="AR36" s="515"/>
      <c r="AS36" s="515"/>
      <c r="AT36" s="515"/>
      <c r="AU36" s="515"/>
      <c r="AV36" s="515"/>
      <c r="AW36" s="515"/>
      <c r="AX36" s="515"/>
      <c r="AY36" s="515"/>
      <c r="AZ36" s="515"/>
      <c r="BA36" s="515"/>
      <c r="BB36" s="515"/>
      <c r="BC36" s="515"/>
      <c r="BD36" s="515"/>
      <c r="BE36" s="515"/>
      <c r="BF36" s="515"/>
      <c r="BG36" s="515"/>
      <c r="BH36" s="515"/>
      <c r="BI36" s="515"/>
      <c r="BJ36" s="515"/>
      <c r="BK36" s="515"/>
      <c r="BL36" s="515"/>
      <c r="BM36" s="515"/>
      <c r="BN36" s="793" t="s">
        <v>407</v>
      </c>
      <c r="BO36" s="793" t="str">
        <f>IF(V$23&gt;Z$23,Y$16,IF(V$23=Z$23,"",U$16))</f>
        <v>Jackson McLoughlin</v>
      </c>
      <c r="BV36" s="516"/>
      <c r="BW36" s="504"/>
      <c r="BX36" s="504"/>
      <c r="BY36" s="504"/>
    </row>
    <row r="37" ht="12.75" customHeight="1">
      <c r="A37" s="504"/>
      <c r="B37" s="514"/>
      <c r="C37" s="515"/>
      <c r="D37" s="562"/>
      <c r="E37" s="562"/>
      <c r="F37" s="562"/>
      <c r="G37" s="562"/>
      <c r="H37" s="562"/>
      <c r="I37" s="562"/>
      <c r="J37" s="562"/>
      <c r="K37" s="515"/>
      <c r="L37" s="515"/>
      <c r="M37" s="515"/>
      <c r="N37" s="515"/>
      <c r="O37" s="515"/>
      <c r="P37" s="515"/>
      <c r="Q37" s="515"/>
      <c r="R37" s="515"/>
      <c r="S37" s="515"/>
      <c r="T37" s="515"/>
      <c r="U37" s="731"/>
      <c r="V37" s="732"/>
      <c r="W37" s="515"/>
      <c r="X37" s="515"/>
      <c r="Y37" s="515"/>
      <c r="Z37" s="515"/>
      <c r="AA37" s="515"/>
      <c r="AB37" s="515"/>
      <c r="AC37" s="515"/>
      <c r="AD37" s="727"/>
      <c r="AE37" s="515"/>
      <c r="AF37" s="515"/>
      <c r="AG37" s="515"/>
      <c r="AH37" s="515"/>
      <c r="AI37" s="515"/>
      <c r="AJ37" s="515"/>
      <c r="AK37" s="515"/>
      <c r="AL37" s="515"/>
      <c r="AM37" s="727"/>
      <c r="AN37" s="515"/>
      <c r="AO37" s="515"/>
      <c r="AP37" s="515"/>
      <c r="AQ37" s="515"/>
      <c r="AR37" s="515"/>
      <c r="AS37" s="515"/>
      <c r="AT37" s="515"/>
      <c r="AU37" s="515"/>
      <c r="AV37" s="515"/>
      <c r="AW37" s="515"/>
      <c r="AX37" s="515"/>
      <c r="AY37" s="515"/>
      <c r="AZ37" s="515"/>
      <c r="BA37" s="515"/>
      <c r="BB37" s="515"/>
      <c r="BC37" s="515"/>
      <c r="BD37" s="515"/>
      <c r="BE37" s="515"/>
      <c r="BF37" s="515"/>
      <c r="BG37" s="515"/>
      <c r="BH37" s="515"/>
      <c r="BI37" s="515"/>
      <c r="BJ37" s="515"/>
      <c r="BK37" s="515"/>
      <c r="BL37" s="515"/>
      <c r="BM37" s="515"/>
      <c r="BN37" s="515"/>
      <c r="BO37" s="515"/>
      <c r="BP37" s="515"/>
      <c r="BQ37" s="515"/>
      <c r="BR37" s="515"/>
      <c r="BS37" s="515"/>
      <c r="BT37" s="515"/>
      <c r="BU37" s="515"/>
      <c r="BV37" s="516"/>
      <c r="BW37" s="504"/>
      <c r="BX37" s="504"/>
      <c r="BY37" s="504"/>
    </row>
    <row r="38" ht="15.75" customHeight="1">
      <c r="A38" s="504"/>
      <c r="B38" s="514"/>
      <c r="C38" s="517" t="str">
        <f>Source!$Q$65</f>
        <v>Zach VanSickle</v>
      </c>
      <c r="D38" s="564" t="s">
        <v>76</v>
      </c>
      <c r="E38" s="565" t="s">
        <v>77</v>
      </c>
      <c r="F38" s="565" t="s">
        <v>78</v>
      </c>
      <c r="G38" s="566" t="str">
        <f>Source!$S$65</f>
        <v>Marcus</v>
      </c>
      <c r="H38" s="567" t="s">
        <v>76</v>
      </c>
      <c r="I38" s="568" t="s">
        <v>77</v>
      </c>
      <c r="J38" s="569" t="s">
        <v>78</v>
      </c>
      <c r="K38" s="515"/>
      <c r="L38" s="515"/>
      <c r="M38" s="515"/>
      <c r="N38" s="515"/>
      <c r="O38" s="515"/>
      <c r="P38" s="515"/>
      <c r="Q38" s="515"/>
      <c r="R38" s="515"/>
      <c r="S38" s="515"/>
      <c r="T38" s="515"/>
      <c r="U38" s="515"/>
      <c r="V38" s="732"/>
      <c r="W38" s="515"/>
      <c r="X38" s="515"/>
      <c r="Y38" s="515"/>
      <c r="Z38" s="515"/>
      <c r="AA38" s="515"/>
      <c r="AB38" s="515"/>
      <c r="AC38" s="515"/>
      <c r="AD38" s="803"/>
      <c r="AE38" s="732" t="str">
        <f>AE13</f>
        <v/>
      </c>
      <c r="AF38" s="515"/>
      <c r="AG38" s="515"/>
      <c r="AH38" s="515"/>
      <c r="AI38" s="515"/>
      <c r="AJ38" s="515"/>
      <c r="AK38" s="515"/>
      <c r="AL38" s="515"/>
      <c r="AM38" s="803"/>
      <c r="AN38" s="732" t="str">
        <f>AN13</f>
        <v/>
      </c>
      <c r="AO38" s="515"/>
      <c r="AP38" s="515"/>
      <c r="AQ38" s="515"/>
      <c r="AR38" s="515"/>
      <c r="AS38" s="515"/>
      <c r="AT38" s="515"/>
      <c r="AU38" s="515"/>
      <c r="AV38" s="515"/>
      <c r="AW38" s="515"/>
      <c r="AX38" s="515"/>
      <c r="AY38" s="515"/>
      <c r="AZ38" s="515"/>
      <c r="BA38" s="515"/>
      <c r="BB38" s="515"/>
      <c r="BC38" s="515"/>
      <c r="BD38" s="515"/>
      <c r="BE38" s="731"/>
      <c r="BF38" s="732"/>
      <c r="BG38" s="515"/>
      <c r="BH38" s="515"/>
      <c r="BI38" s="515"/>
      <c r="BJ38" s="515"/>
      <c r="BK38" s="515"/>
      <c r="BL38" s="515"/>
      <c r="BM38" s="515"/>
      <c r="BN38" s="515"/>
      <c r="BO38" s="515"/>
      <c r="BP38" s="515"/>
      <c r="BQ38" s="515"/>
      <c r="BR38" s="515"/>
      <c r="BS38" s="515"/>
      <c r="BT38" s="515"/>
      <c r="BU38" s="515"/>
      <c r="BV38" s="516"/>
      <c r="BW38" s="504"/>
      <c r="BX38" s="504"/>
      <c r="BY38" s="504"/>
    </row>
    <row r="39" ht="15.75" customHeight="1">
      <c r="A39" s="504"/>
      <c r="B39" s="514"/>
      <c r="C39" s="526" t="s">
        <v>118</v>
      </c>
      <c r="D39" s="572">
        <v>4.0</v>
      </c>
      <c r="E39" s="572">
        <v>0.0</v>
      </c>
      <c r="F39" s="529">
        <f t="shared" ref="F39:F44" si="29">D39-E39</f>
        <v>4</v>
      </c>
      <c r="G39" s="573" t="s">
        <v>412</v>
      </c>
      <c r="H39" s="572">
        <v>0.0</v>
      </c>
      <c r="I39" s="572">
        <v>1.0</v>
      </c>
      <c r="J39" s="530">
        <f t="shared" ref="J39:J44" si="30">H39-I39</f>
        <v>-1</v>
      </c>
      <c r="K39" s="515"/>
      <c r="L39" s="515"/>
      <c r="M39" s="515"/>
      <c r="N39" s="515"/>
      <c r="O39" s="515"/>
      <c r="P39" s="515"/>
      <c r="Q39" s="515"/>
      <c r="R39" s="515"/>
      <c r="S39" s="515"/>
      <c r="T39" s="515"/>
      <c r="U39" s="809"/>
      <c r="V39" s="732"/>
      <c r="W39" s="515"/>
      <c r="X39" s="515"/>
      <c r="Y39" s="515"/>
      <c r="Z39" s="515"/>
      <c r="AA39" s="515"/>
      <c r="AB39" s="515"/>
      <c r="AC39" s="515"/>
      <c r="AD39" s="803"/>
      <c r="AE39" s="732" t="str">
        <f>AI13</f>
        <v/>
      </c>
      <c r="AF39" s="515"/>
      <c r="AG39" s="515"/>
      <c r="AH39" s="515"/>
      <c r="AI39" s="515"/>
      <c r="AJ39" s="515"/>
      <c r="AK39" s="515"/>
      <c r="AL39" s="515"/>
      <c r="AM39" s="803"/>
      <c r="AN39" s="732" t="str">
        <f>AR13</f>
        <v/>
      </c>
      <c r="AO39" s="515"/>
      <c r="AP39" s="515"/>
      <c r="AQ39" s="515"/>
      <c r="AR39" s="515"/>
      <c r="AS39" s="515"/>
      <c r="AT39" s="515"/>
      <c r="AU39" s="515"/>
      <c r="AV39" s="515"/>
      <c r="AW39" s="515"/>
      <c r="AX39" s="515"/>
      <c r="AY39" s="515"/>
      <c r="AZ39" s="515"/>
      <c r="BA39" s="515"/>
      <c r="BB39" s="515"/>
      <c r="BC39" s="515"/>
      <c r="BD39" s="515"/>
      <c r="BE39" s="731"/>
      <c r="BF39" s="732"/>
      <c r="BG39" s="515"/>
      <c r="BH39" s="515"/>
      <c r="BI39" s="515"/>
      <c r="BJ39" s="515"/>
      <c r="BK39" s="515"/>
      <c r="BL39" s="515"/>
      <c r="BM39" s="515"/>
      <c r="BN39" s="515"/>
      <c r="BO39" s="515"/>
      <c r="BP39" s="515"/>
      <c r="BQ39" s="515"/>
      <c r="BR39" s="515"/>
      <c r="BS39" s="515"/>
      <c r="BT39" s="515"/>
      <c r="BU39" s="515"/>
      <c r="BV39" s="516"/>
      <c r="BW39" s="504"/>
      <c r="BX39" s="504"/>
      <c r="BY39" s="504"/>
    </row>
    <row r="40" ht="15.75" customHeight="1">
      <c r="A40" s="504"/>
      <c r="B40" s="514"/>
      <c r="C40" s="532" t="s">
        <v>238</v>
      </c>
      <c r="D40" s="580">
        <v>1.0</v>
      </c>
      <c r="E40" s="580">
        <v>0.0</v>
      </c>
      <c r="F40" s="529">
        <f t="shared" si="29"/>
        <v>1</v>
      </c>
      <c r="G40" s="581" t="s">
        <v>224</v>
      </c>
      <c r="H40" s="580">
        <v>0.0</v>
      </c>
      <c r="I40" s="580">
        <v>1.0</v>
      </c>
      <c r="J40" s="530">
        <f t="shared" si="30"/>
        <v>-1</v>
      </c>
      <c r="K40" s="515"/>
      <c r="L40" s="515"/>
      <c r="M40" s="515"/>
      <c r="N40" s="515"/>
      <c r="O40" s="515"/>
      <c r="P40" s="515"/>
      <c r="Q40" s="515"/>
      <c r="R40" s="515"/>
      <c r="S40" s="515"/>
      <c r="T40" s="515"/>
      <c r="U40" s="731"/>
      <c r="V40" s="732"/>
      <c r="W40" s="515"/>
      <c r="X40" s="515"/>
      <c r="Y40" s="515"/>
      <c r="Z40" s="515"/>
      <c r="AA40" s="515"/>
      <c r="AB40" s="515"/>
      <c r="AC40" s="515"/>
      <c r="AD40" s="727"/>
      <c r="AE40" s="515"/>
      <c r="AF40" s="515"/>
      <c r="AG40" s="515"/>
      <c r="AH40" s="515"/>
      <c r="AI40" s="515"/>
      <c r="AJ40" s="515"/>
      <c r="AK40" s="515"/>
      <c r="AL40" s="515"/>
      <c r="AM40" s="727"/>
      <c r="AN40" s="515"/>
      <c r="AO40" s="515"/>
      <c r="AP40" s="515"/>
      <c r="AQ40" s="515"/>
      <c r="AR40" s="515"/>
      <c r="AS40" s="515"/>
      <c r="AT40" s="515"/>
      <c r="AU40" s="515"/>
      <c r="AV40" s="515"/>
      <c r="AW40" s="515"/>
      <c r="AX40" s="515"/>
      <c r="AY40" s="515"/>
      <c r="AZ40" s="515"/>
      <c r="BA40" s="515"/>
      <c r="BB40" s="515"/>
      <c r="BC40" s="515"/>
      <c r="BD40" s="515"/>
      <c r="BE40" s="515"/>
      <c r="BF40" s="515"/>
      <c r="BG40" s="515"/>
      <c r="BH40" s="515"/>
      <c r="BI40" s="515"/>
      <c r="BJ40" s="515"/>
      <c r="BK40" s="515"/>
      <c r="BL40" s="515"/>
      <c r="BM40" s="515"/>
      <c r="BN40" s="515"/>
      <c r="BO40" s="515"/>
      <c r="BP40" s="515"/>
      <c r="BQ40" s="515"/>
      <c r="BR40" s="515"/>
      <c r="BS40" s="515"/>
      <c r="BT40" s="515"/>
      <c r="BU40" s="515"/>
      <c r="BV40" s="516"/>
      <c r="BW40" s="504"/>
      <c r="BX40" s="504"/>
      <c r="BY40" s="504"/>
    </row>
    <row r="41" ht="15.75" customHeight="1">
      <c r="A41" s="504"/>
      <c r="B41" s="514"/>
      <c r="C41" s="532" t="s">
        <v>137</v>
      </c>
      <c r="D41" s="580">
        <v>0.0</v>
      </c>
      <c r="E41" s="580">
        <v>1.0</v>
      </c>
      <c r="F41" s="529">
        <f t="shared" si="29"/>
        <v>-1</v>
      </c>
      <c r="G41" s="581" t="s">
        <v>109</v>
      </c>
      <c r="H41" s="580">
        <v>0.0</v>
      </c>
      <c r="I41" s="580">
        <v>1.0</v>
      </c>
      <c r="J41" s="530">
        <f t="shared" si="30"/>
        <v>-1</v>
      </c>
      <c r="K41" s="515"/>
      <c r="L41" s="515"/>
      <c r="M41" s="515"/>
      <c r="N41" s="515"/>
      <c r="O41" s="515"/>
      <c r="P41" s="515"/>
      <c r="Q41" s="515"/>
      <c r="R41" s="515"/>
      <c r="S41" s="515"/>
      <c r="T41" s="515"/>
      <c r="U41" s="731"/>
      <c r="V41" s="732"/>
      <c r="W41" s="515"/>
      <c r="X41" s="515"/>
      <c r="Y41" s="515"/>
      <c r="Z41" s="515"/>
      <c r="AA41" s="515"/>
      <c r="AB41" s="515"/>
      <c r="AC41" s="515"/>
      <c r="AD41" s="515"/>
      <c r="AE41" s="515"/>
      <c r="AF41" s="515"/>
      <c r="AG41" s="515"/>
      <c r="AH41" s="515"/>
      <c r="AI41" s="515"/>
      <c r="AJ41" s="515"/>
      <c r="AK41" s="515"/>
      <c r="AL41" s="515"/>
      <c r="AM41" s="515"/>
      <c r="AN41" s="515"/>
      <c r="AO41" s="515"/>
      <c r="AP41" s="515"/>
      <c r="AQ41" s="515"/>
      <c r="AR41" s="515"/>
      <c r="AS41" s="515"/>
      <c r="AT41" s="515"/>
      <c r="AU41" s="515"/>
      <c r="AV41" s="515"/>
      <c r="AW41" s="515"/>
      <c r="AX41" s="515"/>
      <c r="AY41" s="515"/>
      <c r="AZ41" s="515"/>
      <c r="BA41" s="515"/>
      <c r="BB41" s="515"/>
      <c r="BC41" s="515"/>
      <c r="BD41" s="515"/>
      <c r="BE41" s="515"/>
      <c r="BF41" s="515"/>
      <c r="BG41" s="515"/>
      <c r="BH41" s="515"/>
      <c r="BI41" s="515"/>
      <c r="BJ41" s="515"/>
      <c r="BK41" s="515"/>
      <c r="BL41" s="515"/>
      <c r="BM41" s="515"/>
      <c r="BN41" s="515"/>
      <c r="BO41" s="515"/>
      <c r="BP41" s="515"/>
      <c r="BQ41" s="515"/>
      <c r="BR41" s="515"/>
      <c r="BS41" s="515"/>
      <c r="BT41" s="515"/>
      <c r="BU41" s="515"/>
      <c r="BV41" s="516"/>
      <c r="BW41" s="504"/>
      <c r="BX41" s="504"/>
      <c r="BY41" s="504"/>
    </row>
    <row r="42" ht="15.75" customHeight="1">
      <c r="A42" s="504"/>
      <c r="B42" s="514"/>
      <c r="C42" s="532" t="s">
        <v>239</v>
      </c>
      <c r="D42" s="580">
        <v>0.0</v>
      </c>
      <c r="E42" s="580">
        <v>0.0</v>
      </c>
      <c r="F42" s="529">
        <f t="shared" si="29"/>
        <v>0</v>
      </c>
      <c r="G42" s="581" t="s">
        <v>229</v>
      </c>
      <c r="H42" s="580">
        <v>0.0</v>
      </c>
      <c r="I42" s="580">
        <v>1.0</v>
      </c>
      <c r="J42" s="530">
        <f t="shared" si="30"/>
        <v>-1</v>
      </c>
      <c r="K42" s="515"/>
      <c r="L42" s="515"/>
      <c r="M42" s="515"/>
      <c r="N42" s="515"/>
      <c r="O42" s="515"/>
      <c r="P42" s="515"/>
      <c r="Q42" s="515"/>
      <c r="R42" s="515"/>
      <c r="S42" s="515"/>
      <c r="T42" s="515"/>
      <c r="U42" s="809"/>
      <c r="V42" s="732"/>
      <c r="W42" s="515"/>
      <c r="X42" s="515"/>
      <c r="Y42" s="515"/>
      <c r="Z42" s="515"/>
      <c r="AA42" s="515"/>
      <c r="AB42" s="515"/>
      <c r="AC42" s="515"/>
      <c r="AD42" s="803"/>
      <c r="AE42" s="732" t="str">
        <f>AI16</f>
        <v/>
      </c>
      <c r="AF42" s="515"/>
      <c r="AG42" s="515"/>
      <c r="AH42" s="515"/>
      <c r="AI42" s="515"/>
      <c r="AJ42" s="515"/>
      <c r="AK42" s="515"/>
      <c r="AL42" s="515"/>
      <c r="AM42" s="803"/>
      <c r="AN42" s="732"/>
      <c r="AO42" s="515"/>
      <c r="AP42" s="515"/>
      <c r="AQ42" s="515"/>
      <c r="AR42" s="515"/>
      <c r="AS42" s="515"/>
      <c r="AT42" s="515"/>
      <c r="AU42" s="515"/>
      <c r="AV42" s="515"/>
      <c r="AW42" s="515"/>
      <c r="AX42" s="515"/>
      <c r="AY42" s="515"/>
      <c r="AZ42" s="515"/>
      <c r="BA42" s="515"/>
      <c r="BB42" s="515"/>
      <c r="BC42" s="515"/>
      <c r="BD42" s="515"/>
      <c r="BE42" s="731"/>
      <c r="BF42" s="732"/>
      <c r="BG42" s="515"/>
      <c r="BH42" s="515"/>
      <c r="BI42" s="515"/>
      <c r="BJ42" s="515"/>
      <c r="BK42" s="515"/>
      <c r="BL42" s="515"/>
      <c r="BM42" s="515"/>
      <c r="BN42" s="515"/>
      <c r="BO42" s="515"/>
      <c r="BP42" s="515"/>
      <c r="BQ42" s="515"/>
      <c r="BR42" s="515"/>
      <c r="BS42" s="515"/>
      <c r="BT42" s="515"/>
      <c r="BU42" s="515"/>
      <c r="BV42" s="516"/>
      <c r="BW42" s="504"/>
      <c r="BX42" s="504"/>
      <c r="BY42" s="504"/>
    </row>
    <row r="43" ht="15.75" customHeight="1">
      <c r="A43" s="504"/>
      <c r="B43" s="514"/>
      <c r="C43" s="532" t="s">
        <v>300</v>
      </c>
      <c r="D43" s="580">
        <v>0.0</v>
      </c>
      <c r="E43" s="580">
        <v>0.0</v>
      </c>
      <c r="F43" s="529">
        <f t="shared" si="29"/>
        <v>0</v>
      </c>
      <c r="G43" s="581" t="s">
        <v>156</v>
      </c>
      <c r="H43" s="580">
        <v>0.0</v>
      </c>
      <c r="I43" s="580">
        <v>1.0</v>
      </c>
      <c r="J43" s="530">
        <f t="shared" si="30"/>
        <v>-1</v>
      </c>
      <c r="K43" s="515"/>
      <c r="L43" s="515"/>
      <c r="M43" s="515"/>
      <c r="N43" s="515"/>
      <c r="O43" s="515"/>
      <c r="P43" s="515"/>
      <c r="Q43" s="515"/>
      <c r="R43" s="515"/>
      <c r="S43" s="515"/>
      <c r="T43" s="515"/>
      <c r="U43" s="731"/>
      <c r="V43" s="732"/>
      <c r="W43" s="515"/>
      <c r="X43" s="515"/>
      <c r="Y43" s="515"/>
      <c r="Z43" s="515"/>
      <c r="AA43" s="515"/>
      <c r="AB43" s="515"/>
      <c r="AC43" s="515"/>
      <c r="AD43" s="727"/>
      <c r="AE43" s="515"/>
      <c r="AF43" s="515"/>
      <c r="AG43" s="515"/>
      <c r="AH43" s="515"/>
      <c r="AI43" s="515"/>
      <c r="AJ43" s="515"/>
      <c r="AK43" s="515"/>
      <c r="AL43" s="515"/>
      <c r="AM43" s="727"/>
      <c r="AN43" s="515"/>
      <c r="AO43" s="515"/>
      <c r="AP43" s="515"/>
      <c r="AQ43" s="515"/>
      <c r="AR43" s="515"/>
      <c r="AS43" s="515"/>
      <c r="AT43" s="515"/>
      <c r="AU43" s="515"/>
      <c r="AV43" s="515"/>
      <c r="AW43" s="515"/>
      <c r="AX43" s="515"/>
      <c r="AY43" s="515"/>
      <c r="AZ43" s="515"/>
      <c r="BA43" s="515"/>
      <c r="BB43" s="515"/>
      <c r="BC43" s="515"/>
      <c r="BD43" s="515"/>
      <c r="BE43" s="515"/>
      <c r="BF43" s="515"/>
      <c r="BG43" s="515"/>
      <c r="BH43" s="515"/>
      <c r="BI43" s="515"/>
      <c r="BJ43" s="515"/>
      <c r="BK43" s="515"/>
      <c r="BL43" s="515"/>
      <c r="BM43" s="515"/>
      <c r="BN43" s="515"/>
      <c r="BO43" s="515"/>
      <c r="BP43" s="515"/>
      <c r="BQ43" s="515"/>
      <c r="BR43" s="515"/>
      <c r="BS43" s="515"/>
      <c r="BT43" s="515"/>
      <c r="BU43" s="515"/>
      <c r="BV43" s="516"/>
      <c r="BW43" s="504"/>
      <c r="BX43" s="504"/>
      <c r="BY43" s="504"/>
    </row>
    <row r="44" ht="15.75" customHeight="1">
      <c r="A44" s="504"/>
      <c r="B44" s="514"/>
      <c r="C44" s="536" t="s">
        <v>138</v>
      </c>
      <c r="D44" s="584">
        <v>1.0</v>
      </c>
      <c r="E44" s="584">
        <v>0.0</v>
      </c>
      <c r="F44" s="529">
        <f t="shared" si="29"/>
        <v>1</v>
      </c>
      <c r="G44" s="585" t="s">
        <v>123</v>
      </c>
      <c r="H44" s="584">
        <v>1.0</v>
      </c>
      <c r="I44" s="584">
        <v>1.0</v>
      </c>
      <c r="J44" s="530">
        <f t="shared" si="30"/>
        <v>0</v>
      </c>
      <c r="K44" s="730"/>
      <c r="L44" s="731"/>
      <c r="M44" s="732"/>
      <c r="N44" s="515"/>
      <c r="O44" s="515"/>
      <c r="P44" s="515"/>
      <c r="Q44" s="515"/>
      <c r="R44" s="515"/>
      <c r="S44" s="515"/>
      <c r="T44" s="515"/>
      <c r="U44" s="515"/>
      <c r="V44" s="515"/>
      <c r="W44" s="515"/>
      <c r="X44" s="515"/>
      <c r="Y44" s="515"/>
      <c r="Z44" s="515"/>
      <c r="AA44" s="515"/>
      <c r="AB44" s="515"/>
      <c r="AC44" s="515"/>
      <c r="AD44" s="727"/>
      <c r="AE44" s="515"/>
      <c r="AF44" s="515"/>
      <c r="AG44" s="515"/>
      <c r="AH44" s="515"/>
      <c r="AI44" s="515"/>
      <c r="AJ44" s="515"/>
      <c r="AK44" s="515"/>
      <c r="AL44" s="515"/>
      <c r="AM44" s="727"/>
      <c r="AN44" s="515"/>
      <c r="AO44" s="515"/>
      <c r="AP44" s="515"/>
      <c r="AQ44" s="515"/>
      <c r="AR44" s="515"/>
      <c r="AS44" s="515"/>
      <c r="AT44" s="515"/>
      <c r="AU44" s="515"/>
      <c r="AV44" s="515"/>
      <c r="AW44" s="515"/>
      <c r="AX44" s="515"/>
      <c r="AY44" s="515"/>
      <c r="AZ44" s="515"/>
      <c r="BA44" s="515"/>
      <c r="BB44" s="515"/>
      <c r="BC44" s="515"/>
      <c r="BD44" s="515"/>
      <c r="BE44" s="515"/>
      <c r="BF44" s="515"/>
      <c r="BG44" s="515"/>
      <c r="BH44" s="515"/>
      <c r="BI44" s="515"/>
      <c r="BJ44" s="515"/>
      <c r="BK44" s="515"/>
      <c r="BL44" s="515"/>
      <c r="BM44" s="515"/>
      <c r="BN44" s="515"/>
      <c r="BO44" s="515"/>
      <c r="BP44" s="515"/>
      <c r="BQ44" s="515"/>
      <c r="BR44" s="515"/>
      <c r="BS44" s="515"/>
      <c r="BT44" s="515"/>
      <c r="BU44" s="515"/>
      <c r="BV44" s="516"/>
      <c r="BW44" s="504"/>
      <c r="BX44" s="504"/>
      <c r="BY44" s="504"/>
    </row>
    <row r="45" ht="15.75" customHeight="1">
      <c r="A45" s="504"/>
      <c r="B45" s="735"/>
      <c r="C45" s="538" t="s">
        <v>270</v>
      </c>
      <c r="D45" s="589">
        <f>SUM(F39:F44)</f>
        <v>5</v>
      </c>
      <c r="E45" s="231"/>
      <c r="F45" s="231"/>
      <c r="G45" s="590" t="s">
        <v>270</v>
      </c>
      <c r="H45" s="589">
        <f>SUM(J39:J44)</f>
        <v>-5</v>
      </c>
      <c r="I45" s="231"/>
      <c r="J45" s="540"/>
      <c r="K45" s="515"/>
      <c r="L45" s="731"/>
      <c r="M45" s="732"/>
      <c r="N45" s="515"/>
      <c r="O45" s="515"/>
      <c r="P45" s="515"/>
      <c r="Q45" s="515"/>
      <c r="R45" s="515"/>
      <c r="S45" s="515"/>
      <c r="T45" s="515"/>
      <c r="U45" s="515"/>
      <c r="V45" s="515"/>
      <c r="W45" s="515"/>
      <c r="X45" s="515"/>
      <c r="Y45" s="515"/>
      <c r="Z45" s="515"/>
      <c r="AA45" s="515"/>
      <c r="AB45" s="515"/>
      <c r="AC45" s="515"/>
      <c r="AD45" s="727"/>
      <c r="AE45" s="515"/>
      <c r="AF45" s="515"/>
      <c r="AG45" s="515"/>
      <c r="AH45" s="515"/>
      <c r="AI45" s="515"/>
      <c r="AJ45" s="515"/>
      <c r="AK45" s="515"/>
      <c r="AL45" s="515"/>
      <c r="AM45" s="727"/>
      <c r="AN45" s="515"/>
      <c r="AO45" s="515"/>
      <c r="AP45" s="515"/>
      <c r="AQ45" s="515"/>
      <c r="AR45" s="515"/>
      <c r="AS45" s="515"/>
      <c r="AT45" s="515"/>
      <c r="AU45" s="515"/>
      <c r="AV45" s="515"/>
      <c r="AW45" s="515"/>
      <c r="AX45" s="515"/>
      <c r="AY45" s="515"/>
      <c r="AZ45" s="515"/>
      <c r="BA45" s="515"/>
      <c r="BB45" s="515"/>
      <c r="BC45" s="515"/>
      <c r="BD45" s="515"/>
      <c r="BE45" s="515"/>
      <c r="BF45" s="515"/>
      <c r="BG45" s="515"/>
      <c r="BH45" s="515"/>
      <c r="BI45" s="515"/>
      <c r="BJ45" s="515"/>
      <c r="BK45" s="515"/>
      <c r="BL45" s="515"/>
      <c r="BM45" s="515"/>
      <c r="BN45" s="515"/>
      <c r="BO45" s="515"/>
      <c r="BP45" s="515"/>
      <c r="BQ45" s="515"/>
      <c r="BR45" s="515"/>
      <c r="BS45" s="515"/>
      <c r="BT45" s="515"/>
      <c r="BU45" s="515"/>
      <c r="BV45" s="516"/>
      <c r="BW45" s="504"/>
      <c r="BX45" s="504"/>
      <c r="BY45" s="504"/>
    </row>
    <row r="46" ht="15.75" customHeight="1">
      <c r="A46" s="504"/>
      <c r="B46" s="735"/>
      <c r="C46" s="543" t="s">
        <v>274</v>
      </c>
      <c r="D46" s="188"/>
      <c r="E46" s="188"/>
      <c r="F46" s="544"/>
      <c r="G46" s="547" t="s">
        <v>418</v>
      </c>
      <c r="H46" s="188"/>
      <c r="I46" s="188"/>
      <c r="J46" s="191"/>
      <c r="K46" s="515"/>
      <c r="L46" s="515"/>
      <c r="M46" s="732"/>
      <c r="N46" s="515"/>
      <c r="O46" s="515"/>
      <c r="P46" s="515"/>
      <c r="Q46" s="515"/>
      <c r="R46" s="515"/>
      <c r="S46" s="515"/>
      <c r="T46" s="515"/>
      <c r="U46" s="515"/>
      <c r="V46" s="515"/>
      <c r="W46" s="515"/>
      <c r="X46" s="515"/>
      <c r="Y46" s="515"/>
      <c r="Z46" s="515"/>
      <c r="AA46" s="515"/>
      <c r="AB46" s="515"/>
      <c r="AC46" s="515"/>
      <c r="AD46" s="727"/>
      <c r="AE46" s="515"/>
      <c r="AF46" s="515"/>
      <c r="AG46" s="515"/>
      <c r="AH46" s="515"/>
      <c r="AI46" s="515"/>
      <c r="AJ46" s="515"/>
      <c r="AK46" s="515"/>
      <c r="AL46" s="515"/>
      <c r="AM46" s="727"/>
      <c r="AN46" s="515"/>
      <c r="AO46" s="515"/>
      <c r="AP46" s="515"/>
      <c r="AQ46" s="515"/>
      <c r="AR46" s="515"/>
      <c r="AS46" s="515"/>
      <c r="AT46" s="515"/>
      <c r="AU46" s="515"/>
      <c r="AV46" s="731"/>
      <c r="AW46" s="732"/>
      <c r="AX46" s="515"/>
      <c r="AY46" s="515"/>
      <c r="AZ46" s="515"/>
      <c r="BA46" s="515"/>
      <c r="BB46" s="515"/>
      <c r="BC46" s="515"/>
      <c r="BD46" s="515"/>
      <c r="BE46" s="515"/>
      <c r="BF46" s="515"/>
      <c r="BG46" s="515"/>
      <c r="BH46" s="515"/>
      <c r="BI46" s="515"/>
      <c r="BJ46" s="515"/>
      <c r="BK46" s="515"/>
      <c r="BL46" s="515"/>
      <c r="BM46" s="515"/>
      <c r="BN46" s="731"/>
      <c r="BO46" s="732"/>
      <c r="BP46" s="515"/>
      <c r="BQ46" s="515"/>
      <c r="BR46" s="515"/>
      <c r="BS46" s="515"/>
      <c r="BT46" s="515"/>
      <c r="BU46" s="515"/>
      <c r="BV46" s="516"/>
      <c r="BW46" s="504"/>
      <c r="BX46" s="504"/>
      <c r="BY46" s="504"/>
    </row>
    <row r="47" ht="15.75" customHeight="1">
      <c r="A47" s="504"/>
      <c r="B47" s="739"/>
      <c r="C47" s="553" t="s">
        <v>284</v>
      </c>
      <c r="D47" s="231"/>
      <c r="E47" s="231"/>
      <c r="F47" s="540"/>
      <c r="G47" s="555" t="str">
        <f>IF(D45&gt;H45,C38,IF(D45=H45,"",G38))</f>
        <v>Zach VanSickle</v>
      </c>
      <c r="H47" s="555"/>
      <c r="I47" s="555"/>
      <c r="J47" s="711"/>
      <c r="K47" s="515"/>
      <c r="L47" s="515"/>
      <c r="M47" s="732"/>
      <c r="N47" s="515"/>
      <c r="O47" s="515"/>
      <c r="P47" s="515"/>
      <c r="Q47" s="515"/>
      <c r="R47" s="515"/>
      <c r="S47" s="515"/>
      <c r="T47" s="515"/>
      <c r="U47" s="515"/>
      <c r="V47" s="515"/>
      <c r="W47" s="515"/>
      <c r="X47" s="515"/>
      <c r="Y47" s="515"/>
      <c r="Z47" s="515"/>
      <c r="AA47" s="515"/>
      <c r="AB47" s="515"/>
      <c r="AC47" s="515"/>
      <c r="AD47" s="727"/>
      <c r="AE47" s="515"/>
      <c r="AF47" s="515"/>
      <c r="AG47" s="515"/>
      <c r="AH47" s="515"/>
      <c r="AI47" s="515"/>
      <c r="AJ47" s="515"/>
      <c r="AK47" s="515"/>
      <c r="AL47" s="515"/>
      <c r="AM47" s="727"/>
      <c r="AN47" s="515"/>
      <c r="AO47" s="515"/>
      <c r="AP47" s="515"/>
      <c r="AQ47" s="515"/>
      <c r="AR47" s="515"/>
      <c r="AS47" s="515"/>
      <c r="AT47" s="515"/>
      <c r="AU47" s="515"/>
      <c r="AV47" s="731"/>
      <c r="AW47" s="732"/>
      <c r="AX47" s="515"/>
      <c r="AY47" s="515"/>
      <c r="AZ47" s="515"/>
      <c r="BA47" s="515"/>
      <c r="BB47" s="515"/>
      <c r="BC47" s="515"/>
      <c r="BD47" s="515"/>
      <c r="BE47" s="515"/>
      <c r="BF47" s="515"/>
      <c r="BG47" s="515"/>
      <c r="BH47" s="515"/>
      <c r="BI47" s="515"/>
      <c r="BJ47" s="515"/>
      <c r="BK47" s="515"/>
      <c r="BL47" s="515"/>
      <c r="BM47" s="515"/>
      <c r="BN47" s="731"/>
      <c r="BO47" s="732"/>
      <c r="BP47" s="515"/>
      <c r="BQ47" s="515"/>
      <c r="BR47" s="515"/>
      <c r="BS47" s="515"/>
      <c r="BT47" s="515"/>
      <c r="BU47" s="515"/>
      <c r="BV47" s="516"/>
      <c r="BW47" s="504"/>
      <c r="BX47" s="504"/>
      <c r="BY47" s="504"/>
    </row>
    <row r="48" ht="12.75" customHeight="1">
      <c r="A48" s="504"/>
      <c r="B48" s="744"/>
      <c r="C48" s="731"/>
      <c r="D48" s="732"/>
      <c r="E48" s="515"/>
      <c r="F48" s="515"/>
      <c r="G48" s="515"/>
      <c r="H48" s="515"/>
      <c r="I48" s="515"/>
      <c r="J48" s="515"/>
      <c r="K48" s="515"/>
      <c r="L48" s="515"/>
      <c r="M48" s="732"/>
      <c r="N48" s="515"/>
      <c r="O48" s="515"/>
      <c r="P48" s="816"/>
      <c r="Q48" s="816"/>
      <c r="R48" s="816"/>
      <c r="S48" s="816"/>
      <c r="T48" s="816"/>
      <c r="U48" s="816"/>
      <c r="V48" s="816"/>
      <c r="W48" s="816"/>
      <c r="X48" s="816"/>
      <c r="Y48" s="816"/>
      <c r="Z48" s="816"/>
      <c r="AA48" s="816"/>
      <c r="AB48" s="816"/>
      <c r="AC48" s="816"/>
      <c r="AD48" s="817"/>
      <c r="AE48" s="816"/>
      <c r="AF48" s="816"/>
      <c r="AG48" s="816"/>
      <c r="AH48" s="816"/>
      <c r="AI48" s="816"/>
      <c r="AJ48" s="816"/>
      <c r="AK48" s="816"/>
      <c r="AL48" s="816"/>
      <c r="AM48" s="817"/>
      <c r="AN48" s="816"/>
      <c r="AO48" s="816"/>
      <c r="AP48" s="816"/>
      <c r="AQ48" s="816"/>
      <c r="AR48" s="816"/>
      <c r="AS48" s="816"/>
      <c r="AT48" s="816"/>
      <c r="AU48" s="816"/>
      <c r="AV48" s="816"/>
      <c r="AW48" s="816"/>
      <c r="AX48" s="816"/>
      <c r="AY48" s="816"/>
      <c r="AZ48" s="816"/>
      <c r="BA48" s="816"/>
      <c r="BB48" s="816"/>
      <c r="BC48" s="816"/>
      <c r="BD48" s="816"/>
      <c r="BE48" s="816"/>
      <c r="BF48" s="816"/>
      <c r="BG48" s="816"/>
      <c r="BH48" s="816"/>
      <c r="BI48" s="816"/>
      <c r="BJ48" s="816"/>
      <c r="BK48" s="816"/>
      <c r="BL48" s="816"/>
      <c r="BM48" s="816"/>
      <c r="BN48" s="816"/>
      <c r="BO48" s="816"/>
      <c r="BP48" s="515"/>
      <c r="BQ48" s="515"/>
      <c r="BR48" s="515"/>
      <c r="BS48" s="515"/>
      <c r="BT48" s="515"/>
      <c r="BU48" s="515"/>
      <c r="BV48" s="516"/>
      <c r="BW48" s="504"/>
      <c r="BX48" s="504"/>
      <c r="BY48" s="504"/>
    </row>
    <row r="49" ht="12.75" customHeight="1">
      <c r="A49" s="504"/>
      <c r="B49" s="744"/>
      <c r="C49" s="818" t="str">
        <f>Source!$Q$62</f>
        <v>Ian Heslin</v>
      </c>
      <c r="D49" s="732"/>
      <c r="E49" s="515"/>
      <c r="F49" s="515"/>
      <c r="G49" s="515"/>
      <c r="H49" s="515"/>
      <c r="I49" s="515"/>
      <c r="J49" s="515"/>
      <c r="K49" s="515"/>
      <c r="L49" s="819"/>
      <c r="M49" s="732"/>
      <c r="N49" s="515"/>
      <c r="O49" s="515"/>
      <c r="P49" s="816"/>
      <c r="Q49" s="816"/>
      <c r="R49" s="816"/>
      <c r="S49" s="816"/>
      <c r="T49" s="816"/>
      <c r="U49" s="816"/>
      <c r="V49" s="816"/>
      <c r="W49" s="816"/>
      <c r="X49" s="816"/>
      <c r="Y49" s="816"/>
      <c r="Z49" s="816"/>
      <c r="AA49" s="816"/>
      <c r="AB49" s="816"/>
      <c r="AC49" s="816"/>
      <c r="AD49" s="817"/>
      <c r="AE49" s="816"/>
      <c r="AF49" s="816"/>
      <c r="AG49" s="816"/>
      <c r="AH49" s="816"/>
      <c r="AI49" s="816"/>
      <c r="AJ49" s="816"/>
      <c r="AK49" s="816"/>
      <c r="AL49" s="816"/>
      <c r="AM49" s="817"/>
      <c r="AN49" s="816"/>
      <c r="AO49" s="816"/>
      <c r="AP49" s="816"/>
      <c r="AQ49" s="816"/>
      <c r="AR49" s="816"/>
      <c r="AS49" s="816"/>
      <c r="AT49" s="816"/>
      <c r="AU49" s="816"/>
      <c r="AV49" s="816"/>
      <c r="AW49" s="816"/>
      <c r="AX49" s="816"/>
      <c r="AY49" s="816"/>
      <c r="AZ49" s="816"/>
      <c r="BA49" s="816"/>
      <c r="BB49" s="816"/>
      <c r="BC49" s="816"/>
      <c r="BD49" s="816"/>
      <c r="BE49" s="816"/>
      <c r="BF49" s="816"/>
      <c r="BG49" s="816"/>
      <c r="BH49" s="816"/>
      <c r="BI49" s="816"/>
      <c r="BJ49" s="816"/>
      <c r="BK49" s="816"/>
      <c r="BL49" s="816"/>
      <c r="BM49" s="816"/>
      <c r="BN49" s="816"/>
      <c r="BO49" s="816"/>
      <c r="BP49" s="515"/>
      <c r="BQ49" s="515"/>
      <c r="BR49" s="515"/>
      <c r="BS49" s="515"/>
      <c r="BT49" s="515"/>
      <c r="BU49" s="515"/>
      <c r="BV49" s="516"/>
      <c r="BW49" s="504"/>
      <c r="BX49" s="504"/>
      <c r="BY49" s="504"/>
    </row>
    <row r="50" ht="12.75" customHeight="1">
      <c r="A50" s="504"/>
      <c r="B50" s="514"/>
      <c r="C50" s="818" t="str">
        <f>Source!$S$62</f>
        <v>Dick Hansen</v>
      </c>
      <c r="D50" s="515"/>
      <c r="E50" s="827"/>
      <c r="F50" s="828"/>
      <c r="G50" s="830"/>
      <c r="H50" s="515"/>
      <c r="I50" s="515"/>
      <c r="J50" s="515"/>
      <c r="K50" s="730"/>
      <c r="L50" s="817" t="str">
        <f>Source!$Q$66</f>
        <v>Ian Heslin</v>
      </c>
      <c r="M50" s="732"/>
      <c r="N50" s="515"/>
      <c r="O50" s="832"/>
      <c r="P50" s="834"/>
      <c r="Q50" s="834"/>
      <c r="R50" s="834"/>
      <c r="S50" s="834"/>
      <c r="T50" s="834"/>
      <c r="U50" s="834"/>
      <c r="V50" s="834"/>
      <c r="W50" s="834"/>
      <c r="X50" s="834"/>
      <c r="Y50" s="834"/>
      <c r="Z50" s="834"/>
      <c r="AA50" s="834"/>
      <c r="AB50" s="834"/>
      <c r="AC50" s="834"/>
      <c r="AD50" s="817" t="str">
        <f>Source!$Q$70</f>
        <v>Ian Heslin</v>
      </c>
      <c r="AE50" s="816"/>
      <c r="AF50" s="816"/>
      <c r="AG50" s="834"/>
      <c r="AH50" s="834"/>
      <c r="AI50" s="834"/>
      <c r="AJ50" s="834"/>
      <c r="AK50" s="834"/>
      <c r="AL50" s="834"/>
      <c r="AM50" s="837"/>
      <c r="AN50" s="834"/>
      <c r="AO50" s="834"/>
      <c r="AP50" s="834"/>
      <c r="AQ50" s="834"/>
      <c r="AR50" s="834"/>
      <c r="AS50" s="834"/>
      <c r="AT50" s="834"/>
      <c r="AU50" s="834"/>
      <c r="AV50" s="834"/>
      <c r="AW50" s="834"/>
      <c r="AX50" s="834"/>
      <c r="AY50" s="834"/>
      <c r="AZ50" s="834"/>
      <c r="BA50" s="834"/>
      <c r="BB50" s="834"/>
      <c r="BC50" s="834"/>
      <c r="BD50" s="834"/>
      <c r="BE50" s="834"/>
      <c r="BF50" s="834"/>
      <c r="BG50" s="834"/>
      <c r="BH50" s="834"/>
      <c r="BI50" s="834"/>
      <c r="BJ50" s="834"/>
      <c r="BK50" s="834"/>
      <c r="BL50" s="834"/>
      <c r="BM50" s="834"/>
      <c r="BN50" s="817" t="str">
        <f>Source!$Q$75</f>
        <v>Ryan Tidey</v>
      </c>
      <c r="BO50" s="816"/>
      <c r="BP50" s="515"/>
      <c r="BQ50" s="515"/>
      <c r="BR50" s="817" t="str">
        <f>Source!$Q$76</f>
        <v/>
      </c>
      <c r="BS50" s="515"/>
      <c r="BT50" s="515"/>
      <c r="BU50" s="515"/>
      <c r="BV50" s="516"/>
      <c r="BW50" s="504"/>
      <c r="BX50" s="504"/>
      <c r="BY50" s="504"/>
    </row>
    <row r="51" ht="12.75" customHeight="1">
      <c r="A51" s="504"/>
      <c r="B51" s="514"/>
      <c r="C51" s="839"/>
      <c r="D51" s="515"/>
      <c r="E51" s="840"/>
      <c r="F51" s="515"/>
      <c r="G51" s="841"/>
      <c r="H51" s="828"/>
      <c r="I51" s="828"/>
      <c r="J51" s="828"/>
      <c r="K51" s="828"/>
      <c r="L51" s="817" t="str">
        <f>Source!$S$66</f>
        <v>Zach VanSickle</v>
      </c>
      <c r="M51" s="515"/>
      <c r="N51" s="842"/>
      <c r="O51" s="843"/>
      <c r="P51" s="844"/>
      <c r="Q51" s="816"/>
      <c r="R51" s="816"/>
      <c r="S51" s="816"/>
      <c r="T51" s="816"/>
      <c r="U51" s="816"/>
      <c r="V51" s="816"/>
      <c r="W51" s="816"/>
      <c r="X51" s="816"/>
      <c r="Y51" s="845"/>
      <c r="Z51" s="816"/>
      <c r="AA51" s="816"/>
      <c r="AB51" s="816"/>
      <c r="AC51" s="816"/>
      <c r="AD51" s="817" t="str">
        <f>Source!$S$70</f>
        <v>Ryan Tidey</v>
      </c>
      <c r="AE51" s="816"/>
      <c r="AF51" s="846"/>
      <c r="AG51" s="816"/>
      <c r="AH51" s="816"/>
      <c r="AI51" s="816"/>
      <c r="AJ51" s="816"/>
      <c r="AK51" s="816"/>
      <c r="AL51" s="816"/>
      <c r="AM51" s="817"/>
      <c r="AN51" s="816"/>
      <c r="AO51" s="816"/>
      <c r="AP51" s="816"/>
      <c r="AQ51" s="816"/>
      <c r="AR51" s="816"/>
      <c r="AS51" s="816"/>
      <c r="AT51" s="816"/>
      <c r="AU51" s="816"/>
      <c r="AV51" s="816"/>
      <c r="AW51" s="816"/>
      <c r="AX51" s="816"/>
      <c r="AY51" s="816"/>
      <c r="AZ51" s="816"/>
      <c r="BA51" s="816"/>
      <c r="BB51" s="816"/>
      <c r="BC51" s="816"/>
      <c r="BD51" s="816"/>
      <c r="BE51" s="816"/>
      <c r="BF51" s="816"/>
      <c r="BG51" s="816"/>
      <c r="BH51" s="816"/>
      <c r="BI51" s="844"/>
      <c r="BJ51" s="816"/>
      <c r="BK51" s="816"/>
      <c r="BL51" s="816"/>
      <c r="BM51" s="816"/>
      <c r="BN51" s="817" t="str">
        <f>Source!$S$75</f>
        <v>Ian Heslin</v>
      </c>
      <c r="BO51" s="850"/>
      <c r="BP51" s="851"/>
      <c r="BQ51" s="851"/>
      <c r="BR51" s="817" t="str">
        <f>Source!$S$76</f>
        <v/>
      </c>
      <c r="BS51" s="515"/>
      <c r="BT51" s="515"/>
      <c r="BU51" s="515"/>
      <c r="BV51" s="516"/>
      <c r="BW51" s="504"/>
      <c r="BX51" s="504"/>
      <c r="BY51" s="504"/>
    </row>
    <row r="52" ht="12.75" customHeight="1">
      <c r="A52" s="504"/>
      <c r="B52" s="514"/>
      <c r="C52" s="818"/>
      <c r="D52" s="515"/>
      <c r="E52" s="840"/>
      <c r="F52" s="515"/>
      <c r="G52" s="841"/>
      <c r="H52" s="515"/>
      <c r="I52" s="515"/>
      <c r="J52" s="515"/>
      <c r="K52" s="515"/>
      <c r="L52" s="852"/>
      <c r="M52" s="515"/>
      <c r="N52" s="515"/>
      <c r="O52" s="843"/>
      <c r="P52" s="844"/>
      <c r="Q52" s="816"/>
      <c r="R52" s="816"/>
      <c r="S52" s="816"/>
      <c r="T52" s="816"/>
      <c r="U52" s="817" t="str">
        <f>Source!$Q$68</f>
        <v>Dick Hansen</v>
      </c>
      <c r="V52" s="816"/>
      <c r="W52" s="816"/>
      <c r="X52" s="816"/>
      <c r="Y52" s="845"/>
      <c r="Z52" s="816"/>
      <c r="AA52" s="816"/>
      <c r="AB52" s="816"/>
      <c r="AC52" s="816"/>
      <c r="AD52" s="817"/>
      <c r="AE52" s="816"/>
      <c r="AF52" s="853"/>
      <c r="AG52" s="816"/>
      <c r="AH52" s="816"/>
      <c r="AI52" s="816"/>
      <c r="AJ52" s="816"/>
      <c r="AK52" s="816"/>
      <c r="AL52" s="816"/>
      <c r="AM52" s="817"/>
      <c r="AN52" s="816"/>
      <c r="AO52" s="816"/>
      <c r="AP52" s="816"/>
      <c r="AQ52" s="816"/>
      <c r="AR52" s="816"/>
      <c r="AS52" s="816"/>
      <c r="AT52" s="816"/>
      <c r="AU52" s="816"/>
      <c r="AV52" s="816"/>
      <c r="AW52" s="816"/>
      <c r="AX52" s="816"/>
      <c r="AY52" s="816"/>
      <c r="AZ52" s="816"/>
      <c r="BA52" s="816"/>
      <c r="BB52" s="816"/>
      <c r="BC52" s="816"/>
      <c r="BD52" s="816"/>
      <c r="BE52" s="816"/>
      <c r="BF52" s="816"/>
      <c r="BG52" s="816"/>
      <c r="BH52" s="816"/>
      <c r="BI52" s="844"/>
      <c r="BJ52" s="816"/>
      <c r="BK52" s="816"/>
      <c r="BL52" s="816"/>
      <c r="BM52" s="816"/>
      <c r="BN52" s="816"/>
      <c r="BO52" s="816"/>
      <c r="BP52" s="515"/>
      <c r="BQ52" s="515"/>
      <c r="BR52" s="515"/>
      <c r="BS52" s="515"/>
      <c r="BT52" s="515"/>
      <c r="BU52" s="515"/>
      <c r="BV52" s="516"/>
      <c r="BW52" s="504"/>
      <c r="BX52" s="504"/>
      <c r="BY52" s="504"/>
    </row>
    <row r="53" ht="12.75" customHeight="1">
      <c r="A53" s="504"/>
      <c r="B53" s="514"/>
      <c r="C53" s="818" t="str">
        <f>Source!$Q$65</f>
        <v>Zach VanSickle</v>
      </c>
      <c r="D53" s="515"/>
      <c r="E53" s="840"/>
      <c r="F53" s="842"/>
      <c r="G53" s="856"/>
      <c r="H53" s="842"/>
      <c r="I53" s="842"/>
      <c r="J53" s="842"/>
      <c r="K53" s="842"/>
      <c r="L53" s="857"/>
      <c r="M53" s="842"/>
      <c r="N53" s="842"/>
      <c r="O53" s="859"/>
      <c r="P53" s="860"/>
      <c r="Q53" s="861"/>
      <c r="R53" s="861"/>
      <c r="S53" s="861"/>
      <c r="T53" s="816"/>
      <c r="U53" s="817" t="str">
        <f>Source!$S$68</f>
        <v>Marcus</v>
      </c>
      <c r="V53" s="862"/>
      <c r="W53" s="862"/>
      <c r="X53" s="863"/>
      <c r="Y53" s="816"/>
      <c r="Z53" s="816"/>
      <c r="AA53" s="816"/>
      <c r="AB53" s="816"/>
      <c r="AC53" s="816"/>
      <c r="AD53" s="817"/>
      <c r="AE53" s="816"/>
      <c r="AF53" s="816"/>
      <c r="AG53" s="861"/>
      <c r="AH53" s="861"/>
      <c r="AI53" s="861"/>
      <c r="AJ53" s="861"/>
      <c r="AK53" s="861"/>
      <c r="AL53" s="861"/>
      <c r="AM53" s="864"/>
      <c r="AN53" s="861"/>
      <c r="AO53" s="861"/>
      <c r="AP53" s="861"/>
      <c r="AQ53" s="861"/>
      <c r="AR53" s="861"/>
      <c r="AS53" s="861"/>
      <c r="AT53" s="861"/>
      <c r="AU53" s="861"/>
      <c r="AV53" s="861"/>
      <c r="AW53" s="861"/>
      <c r="AX53" s="861"/>
      <c r="AY53" s="861"/>
      <c r="AZ53" s="846"/>
      <c r="BA53" s="816"/>
      <c r="BB53" s="816"/>
      <c r="BC53" s="816"/>
      <c r="BD53" s="816"/>
      <c r="BE53" s="816"/>
      <c r="BF53" s="816"/>
      <c r="BG53" s="816"/>
      <c r="BH53" s="816"/>
      <c r="BI53" s="844"/>
      <c r="BJ53" s="816"/>
      <c r="BK53" s="816"/>
      <c r="BL53" s="816"/>
      <c r="BM53" s="816"/>
      <c r="BN53" s="816"/>
      <c r="BO53" s="816"/>
      <c r="BP53" s="515"/>
      <c r="BQ53" s="515"/>
      <c r="BR53" s="515"/>
      <c r="BS53" s="515"/>
      <c r="BT53" s="515"/>
      <c r="BU53" s="515"/>
      <c r="BV53" s="516"/>
      <c r="BW53" s="504"/>
      <c r="BX53" s="504"/>
      <c r="BY53" s="504"/>
    </row>
    <row r="54" ht="12.75" customHeight="1">
      <c r="A54" s="504"/>
      <c r="B54" s="514"/>
      <c r="C54" s="818" t="str">
        <f>Source!$S$65</f>
        <v>Marcus</v>
      </c>
      <c r="D54" s="515"/>
      <c r="E54" s="842"/>
      <c r="F54" s="828"/>
      <c r="G54" s="866"/>
      <c r="H54" s="515"/>
      <c r="I54" s="515"/>
      <c r="J54" s="515"/>
      <c r="K54" s="515"/>
      <c r="L54" s="868"/>
      <c r="M54" s="515"/>
      <c r="N54" s="515"/>
      <c r="O54" s="843"/>
      <c r="P54" s="844"/>
      <c r="Q54" s="816"/>
      <c r="R54" s="816"/>
      <c r="S54" s="816"/>
      <c r="T54" s="816"/>
      <c r="U54" s="845"/>
      <c r="V54" s="816"/>
      <c r="W54" s="816"/>
      <c r="X54" s="844"/>
      <c r="Y54" s="816"/>
      <c r="Z54" s="816"/>
      <c r="AA54" s="816"/>
      <c r="AB54" s="816"/>
      <c r="AC54" s="816"/>
      <c r="AD54" s="817"/>
      <c r="AE54" s="816"/>
      <c r="AF54" s="816"/>
      <c r="AG54" s="816"/>
      <c r="AH54" s="816"/>
      <c r="AI54" s="816"/>
      <c r="AJ54" s="816"/>
      <c r="AK54" s="816"/>
      <c r="AL54" s="816"/>
      <c r="AM54" s="817" t="str">
        <f>Source!$Q$71</f>
        <v>Marcus</v>
      </c>
      <c r="AN54" s="816"/>
      <c r="AO54" s="816"/>
      <c r="AP54" s="816"/>
      <c r="AQ54" s="816"/>
      <c r="AR54" s="816"/>
      <c r="AS54" s="816"/>
      <c r="AT54" s="816"/>
      <c r="AU54" s="816"/>
      <c r="AV54" s="816"/>
      <c r="AW54" s="816"/>
      <c r="AX54" s="816"/>
      <c r="AY54" s="816"/>
      <c r="AZ54" s="853"/>
      <c r="BA54" s="816"/>
      <c r="BB54" s="816"/>
      <c r="BC54" s="816"/>
      <c r="BD54" s="816"/>
      <c r="BE54" s="817" t="str">
        <f>Source!$Q$74</f>
        <v>Zach VanSickle</v>
      </c>
      <c r="BF54" s="834"/>
      <c r="BG54" s="834"/>
      <c r="BH54" s="834"/>
      <c r="BI54" s="872"/>
      <c r="BJ54" s="816"/>
      <c r="BK54" s="816"/>
      <c r="BL54" s="816"/>
      <c r="BM54" s="816"/>
      <c r="BN54" s="816"/>
      <c r="BO54" s="816"/>
      <c r="BP54" s="515"/>
      <c r="BQ54" s="515"/>
      <c r="BR54" s="515"/>
      <c r="BS54" s="515"/>
      <c r="BT54" s="515"/>
      <c r="BU54" s="515"/>
      <c r="BV54" s="516"/>
      <c r="BW54" s="504"/>
      <c r="BX54" s="504"/>
      <c r="BY54" s="504"/>
    </row>
    <row r="55" ht="12.75" customHeight="1">
      <c r="A55" s="504"/>
      <c r="B55" s="514"/>
      <c r="C55" s="839"/>
      <c r="D55" s="515"/>
      <c r="E55" s="515"/>
      <c r="F55" s="515"/>
      <c r="G55" s="515"/>
      <c r="H55" s="515"/>
      <c r="I55" s="515"/>
      <c r="J55" s="515"/>
      <c r="K55" s="515"/>
      <c r="L55" s="868"/>
      <c r="M55" s="515"/>
      <c r="N55" s="515"/>
      <c r="O55" s="875"/>
      <c r="P55" s="876"/>
      <c r="Q55" s="877"/>
      <c r="R55" s="877"/>
      <c r="S55" s="877"/>
      <c r="T55" s="877"/>
      <c r="U55" s="877"/>
      <c r="V55" s="877"/>
      <c r="W55" s="877"/>
      <c r="X55" s="878"/>
      <c r="Y55" s="879"/>
      <c r="Z55" s="879"/>
      <c r="AA55" s="879"/>
      <c r="AB55" s="879"/>
      <c r="AC55" s="879"/>
      <c r="AD55" s="880"/>
      <c r="AE55" s="879" t="str">
        <f>AE30</f>
        <v/>
      </c>
      <c r="AF55" s="879"/>
      <c r="AG55" s="879"/>
      <c r="AH55" s="879"/>
      <c r="AI55" s="879"/>
      <c r="AJ55" s="879"/>
      <c r="AK55" s="879"/>
      <c r="AL55" s="879"/>
      <c r="AM55" s="817" t="str">
        <f>Source!$S$71</f>
        <v>Zach VanSickle</v>
      </c>
      <c r="AN55" s="862" t="str">
        <f>AN30</f>
        <v/>
      </c>
      <c r="AO55" s="862"/>
      <c r="AP55" s="862"/>
      <c r="AQ55" s="863"/>
      <c r="AR55" s="816"/>
      <c r="AS55" s="816"/>
      <c r="AT55" s="816"/>
      <c r="AU55" s="816"/>
      <c r="AV55" s="816"/>
      <c r="AW55" s="816"/>
      <c r="AX55" s="816"/>
      <c r="AY55" s="816"/>
      <c r="AZ55" s="844"/>
      <c r="BA55" s="879"/>
      <c r="BB55" s="879"/>
      <c r="BC55" s="879"/>
      <c r="BD55" s="879"/>
      <c r="BE55" s="817" t="str">
        <f>Source!$S$74</f>
        <v>Ian Heslin</v>
      </c>
      <c r="BF55" s="816"/>
      <c r="BG55" s="816"/>
      <c r="BH55" s="816"/>
      <c r="BI55" s="816"/>
      <c r="BJ55" s="816"/>
      <c r="BK55" s="816"/>
      <c r="BL55" s="816"/>
      <c r="BM55" s="816"/>
      <c r="BN55" s="816"/>
      <c r="BO55" s="816"/>
      <c r="BP55" s="515"/>
      <c r="BQ55" s="515"/>
      <c r="BR55" s="515"/>
      <c r="BS55" s="515"/>
      <c r="BT55" s="515"/>
      <c r="BU55" s="515"/>
      <c r="BV55" s="516"/>
      <c r="BW55" s="504"/>
      <c r="BX55" s="504"/>
      <c r="BY55" s="504"/>
    </row>
    <row r="56" ht="12.75" customHeight="1">
      <c r="A56" s="504"/>
      <c r="B56" s="514"/>
      <c r="C56" s="839"/>
      <c r="D56" s="515"/>
      <c r="E56" s="515"/>
      <c r="F56" s="515"/>
      <c r="G56" s="515"/>
      <c r="H56" s="515"/>
      <c r="I56" s="515"/>
      <c r="J56" s="515"/>
      <c r="K56" s="515"/>
      <c r="L56" s="868"/>
      <c r="M56" s="515"/>
      <c r="N56" s="515"/>
      <c r="O56" s="515"/>
      <c r="P56" s="844"/>
      <c r="Q56" s="816"/>
      <c r="R56" s="816"/>
      <c r="S56" s="816"/>
      <c r="T56" s="816"/>
      <c r="U56" s="884"/>
      <c r="V56" s="816"/>
      <c r="W56" s="816"/>
      <c r="X56" s="816"/>
      <c r="Y56" s="816"/>
      <c r="Z56" s="816"/>
      <c r="AA56" s="816"/>
      <c r="AB56" s="816"/>
      <c r="AC56" s="816"/>
      <c r="AD56" s="885"/>
      <c r="AE56" s="816" t="str">
        <f>AI30</f>
        <v/>
      </c>
      <c r="AF56" s="816"/>
      <c r="AG56" s="816"/>
      <c r="AH56" s="816"/>
      <c r="AI56" s="816"/>
      <c r="AJ56" s="816"/>
      <c r="AK56" s="816"/>
      <c r="AL56" s="816"/>
      <c r="AM56" s="817"/>
      <c r="AN56" s="816" t="str">
        <f>AR30</f>
        <v/>
      </c>
      <c r="AO56" s="816"/>
      <c r="AP56" s="816"/>
      <c r="AQ56" s="844"/>
      <c r="AR56" s="816"/>
      <c r="AS56" s="816"/>
      <c r="AT56" s="816"/>
      <c r="AU56" s="816"/>
      <c r="AV56" s="887"/>
      <c r="AW56" s="816"/>
      <c r="AX56" s="816"/>
      <c r="AY56" s="816"/>
      <c r="AZ56" s="844"/>
      <c r="BA56" s="816"/>
      <c r="BB56" s="816"/>
      <c r="BC56" s="816"/>
      <c r="BD56" s="816"/>
      <c r="BE56" s="845"/>
      <c r="BF56" s="816"/>
      <c r="BG56" s="816"/>
      <c r="BH56" s="816"/>
      <c r="BI56" s="816"/>
      <c r="BJ56" s="816"/>
      <c r="BK56" s="816"/>
      <c r="BL56" s="816"/>
      <c r="BM56" s="816"/>
      <c r="BN56" s="816"/>
      <c r="BO56" s="816"/>
      <c r="BP56" s="515"/>
      <c r="BQ56" s="515"/>
      <c r="BR56" s="515"/>
      <c r="BS56" s="515"/>
      <c r="BT56" s="515"/>
      <c r="BU56" s="515"/>
      <c r="BV56" s="516"/>
      <c r="BW56" s="504"/>
      <c r="BX56" s="504"/>
      <c r="BY56" s="504"/>
    </row>
    <row r="57" ht="12.75" customHeight="1">
      <c r="A57" s="504"/>
      <c r="B57" s="514"/>
      <c r="C57" s="818" t="str">
        <f>Source!$Q$64</f>
        <v>Ryan Evans</v>
      </c>
      <c r="D57" s="515"/>
      <c r="E57" s="515"/>
      <c r="F57" s="515"/>
      <c r="G57" s="515"/>
      <c r="H57" s="515"/>
      <c r="I57" s="515"/>
      <c r="J57" s="515"/>
      <c r="K57" s="515"/>
      <c r="L57" s="868"/>
      <c r="M57" s="515"/>
      <c r="N57" s="840"/>
      <c r="O57" s="842"/>
      <c r="P57" s="860"/>
      <c r="Q57" s="861"/>
      <c r="R57" s="861"/>
      <c r="S57" s="861"/>
      <c r="T57" s="861"/>
      <c r="U57" s="890"/>
      <c r="V57" s="861"/>
      <c r="W57" s="861"/>
      <c r="X57" s="846"/>
      <c r="Y57" s="816"/>
      <c r="Z57" s="816"/>
      <c r="AA57" s="816"/>
      <c r="AB57" s="816"/>
      <c r="AC57" s="816"/>
      <c r="AD57" s="817"/>
      <c r="AE57" s="816"/>
      <c r="AF57" s="816"/>
      <c r="AG57" s="816"/>
      <c r="AH57" s="816"/>
      <c r="AI57" s="816"/>
      <c r="AJ57" s="816"/>
      <c r="AK57" s="816"/>
      <c r="AL57" s="816"/>
      <c r="AM57" s="817"/>
      <c r="AN57" s="816"/>
      <c r="AO57" s="816"/>
      <c r="AP57" s="816"/>
      <c r="AQ57" s="844"/>
      <c r="AR57" s="816"/>
      <c r="AS57" s="816"/>
      <c r="AT57" s="816"/>
      <c r="AU57" s="816"/>
      <c r="AV57" s="817" t="str">
        <f>Source!$Q$73</f>
        <v>Zach VanSickle</v>
      </c>
      <c r="AW57" s="834"/>
      <c r="AX57" s="834"/>
      <c r="AY57" s="834"/>
      <c r="AZ57" s="872"/>
      <c r="BA57" s="816"/>
      <c r="BB57" s="816"/>
      <c r="BC57" s="816"/>
      <c r="BD57" s="816"/>
      <c r="BE57" s="816"/>
      <c r="BF57" s="816"/>
      <c r="BG57" s="816"/>
      <c r="BH57" s="816"/>
      <c r="BI57" s="816"/>
      <c r="BJ57" s="816"/>
      <c r="BK57" s="816"/>
      <c r="BL57" s="816"/>
      <c r="BM57" s="816"/>
      <c r="BN57" s="816"/>
      <c r="BO57" s="816"/>
      <c r="BP57" s="515"/>
      <c r="BQ57" s="515"/>
      <c r="BR57" s="515"/>
      <c r="BS57" s="515"/>
      <c r="BT57" s="515"/>
      <c r="BU57" s="515"/>
      <c r="BV57" s="516"/>
      <c r="BW57" s="504"/>
      <c r="BX57" s="504"/>
      <c r="BY57" s="504"/>
    </row>
    <row r="58" ht="12.75" customHeight="1">
      <c r="A58" s="504"/>
      <c r="B58" s="514"/>
      <c r="C58" s="818" t="str">
        <f>Source!$S$64</f>
        <v>Ryan Tidey</v>
      </c>
      <c r="D58" s="515"/>
      <c r="E58" s="827"/>
      <c r="F58" s="828"/>
      <c r="G58" s="830"/>
      <c r="H58" s="515"/>
      <c r="I58" s="515"/>
      <c r="J58" s="515"/>
      <c r="K58" s="730"/>
      <c r="L58" s="892" t="str">
        <f>Source!$Q$67</f>
        <v>Tyler Gottfredsen</v>
      </c>
      <c r="M58" s="515"/>
      <c r="N58" s="894"/>
      <c r="O58" s="832"/>
      <c r="P58" s="872"/>
      <c r="Q58" s="816"/>
      <c r="R58" s="816"/>
      <c r="S58" s="816"/>
      <c r="T58" s="816"/>
      <c r="U58" s="845"/>
      <c r="V58" s="816"/>
      <c r="W58" s="816"/>
      <c r="X58" s="853"/>
      <c r="Y58" s="816"/>
      <c r="Z58" s="816"/>
      <c r="AA58" s="816"/>
      <c r="AB58" s="816"/>
      <c r="AC58" s="816"/>
      <c r="AD58" s="816"/>
      <c r="AE58" s="816"/>
      <c r="AF58" s="816"/>
      <c r="AG58" s="816"/>
      <c r="AH58" s="816"/>
      <c r="AI58" s="816"/>
      <c r="AJ58" s="816"/>
      <c r="AK58" s="816"/>
      <c r="AL58" s="816"/>
      <c r="AM58" s="887"/>
      <c r="AN58" s="816"/>
      <c r="AO58" s="816"/>
      <c r="AP58" s="816"/>
      <c r="AQ58" s="844"/>
      <c r="AR58" s="862"/>
      <c r="AS58" s="862"/>
      <c r="AT58" s="862"/>
      <c r="AU58" s="816"/>
      <c r="AV58" s="817" t="str">
        <f>Source!$S$73</f>
        <v>Ryan Evans</v>
      </c>
      <c r="AW58" s="816"/>
      <c r="AX58" s="816"/>
      <c r="AY58" s="816"/>
      <c r="AZ58" s="816"/>
      <c r="BA58" s="816"/>
      <c r="BB58" s="816"/>
      <c r="BC58" s="816"/>
      <c r="BD58" s="816"/>
      <c r="BE58" s="816"/>
      <c r="BF58" s="816"/>
      <c r="BG58" s="816"/>
      <c r="BH58" s="816"/>
      <c r="BI58" s="816"/>
      <c r="BJ58" s="816"/>
      <c r="BK58" s="816"/>
      <c r="BL58" s="816"/>
      <c r="BM58" s="816"/>
      <c r="BN58" s="816"/>
      <c r="BO58" s="816"/>
      <c r="BP58" s="515"/>
      <c r="BQ58" s="515"/>
      <c r="BR58" s="515"/>
      <c r="BS58" s="515"/>
      <c r="BT58" s="515"/>
      <c r="BU58" s="515"/>
      <c r="BV58" s="516"/>
      <c r="BW58" s="504"/>
      <c r="BX58" s="504"/>
      <c r="BY58" s="504"/>
    </row>
    <row r="59" ht="12.75" customHeight="1">
      <c r="A59" s="504"/>
      <c r="B59" s="514"/>
      <c r="C59" s="818"/>
      <c r="D59" s="515"/>
      <c r="E59" s="840"/>
      <c r="F59" s="515"/>
      <c r="G59" s="841"/>
      <c r="H59" s="828"/>
      <c r="I59" s="828"/>
      <c r="J59" s="828"/>
      <c r="K59" s="828"/>
      <c r="L59" s="892" t="str">
        <f>Source!$S$67</f>
        <v>Ryan Tidey</v>
      </c>
      <c r="M59" s="515"/>
      <c r="N59" s="515"/>
      <c r="O59" s="515"/>
      <c r="P59" s="816"/>
      <c r="Q59" s="816"/>
      <c r="R59" s="816"/>
      <c r="S59" s="816"/>
      <c r="T59" s="816"/>
      <c r="U59" s="884"/>
      <c r="V59" s="816"/>
      <c r="W59" s="816"/>
      <c r="X59" s="853"/>
      <c r="Y59" s="816"/>
      <c r="Z59" s="816"/>
      <c r="AA59" s="816"/>
      <c r="AB59" s="816"/>
      <c r="AC59" s="816"/>
      <c r="AD59" s="885"/>
      <c r="AE59" s="816" t="str">
        <f>AI33</f>
        <v/>
      </c>
      <c r="AF59" s="816"/>
      <c r="AG59" s="816"/>
      <c r="AH59" s="816"/>
      <c r="AI59" s="816"/>
      <c r="AJ59" s="816"/>
      <c r="AK59" s="816"/>
      <c r="AL59" s="816"/>
      <c r="AM59" s="817" t="str">
        <f>Source!$Q$72</f>
        <v>Ryan Evans</v>
      </c>
      <c r="AN59" s="834" t="str">
        <f>AR33</f>
        <v/>
      </c>
      <c r="AO59" s="834"/>
      <c r="AP59" s="834"/>
      <c r="AQ59" s="872"/>
      <c r="AR59" s="816"/>
      <c r="AS59" s="816"/>
      <c r="AT59" s="816"/>
      <c r="AU59" s="816"/>
      <c r="AV59" s="816"/>
      <c r="AW59" s="816"/>
      <c r="AX59" s="816"/>
      <c r="AY59" s="816"/>
      <c r="AZ59" s="816"/>
      <c r="BA59" s="816"/>
      <c r="BB59" s="816"/>
      <c r="BC59" s="816"/>
      <c r="BD59" s="816"/>
      <c r="BE59" s="845"/>
      <c r="BF59" s="816"/>
      <c r="BG59" s="816"/>
      <c r="BH59" s="816"/>
      <c r="BI59" s="816"/>
      <c r="BJ59" s="816"/>
      <c r="BK59" s="816"/>
      <c r="BL59" s="816"/>
      <c r="BM59" s="816"/>
      <c r="BN59" s="816"/>
      <c r="BO59" s="816"/>
      <c r="BP59" s="515"/>
      <c r="BQ59" s="515"/>
      <c r="BR59" s="515"/>
      <c r="BS59" s="515"/>
      <c r="BT59" s="515"/>
      <c r="BU59" s="515"/>
      <c r="BV59" s="516"/>
      <c r="BW59" s="504"/>
      <c r="BX59" s="504"/>
      <c r="BY59" s="504"/>
    </row>
    <row r="60" ht="12.75" customHeight="1">
      <c r="A60" s="504"/>
      <c r="B60" s="514"/>
      <c r="C60" s="839"/>
      <c r="D60" s="515"/>
      <c r="E60" s="840"/>
      <c r="F60" s="515"/>
      <c r="G60" s="841"/>
      <c r="H60" s="515"/>
      <c r="I60" s="515"/>
      <c r="J60" s="515"/>
      <c r="K60" s="515"/>
      <c r="L60" s="424"/>
      <c r="M60" s="515"/>
      <c r="N60" s="515"/>
      <c r="O60" s="515"/>
      <c r="P60" s="816"/>
      <c r="Q60" s="816"/>
      <c r="R60" s="816"/>
      <c r="S60" s="816"/>
      <c r="T60" s="816"/>
      <c r="U60" s="892" t="str">
        <f>Source!$Q$69</f>
        <v>Jackson McLoughlin</v>
      </c>
      <c r="V60" s="834"/>
      <c r="W60" s="834"/>
      <c r="X60" s="872"/>
      <c r="Y60" s="879"/>
      <c r="Z60" s="879"/>
      <c r="AA60" s="879"/>
      <c r="AB60" s="879"/>
      <c r="AC60" s="879"/>
      <c r="AD60" s="896"/>
      <c r="AE60" s="879"/>
      <c r="AF60" s="879"/>
      <c r="AG60" s="879"/>
      <c r="AH60" s="879"/>
      <c r="AI60" s="879"/>
      <c r="AJ60" s="879"/>
      <c r="AK60" s="879"/>
      <c r="AL60" s="879"/>
      <c r="AM60" s="817" t="str">
        <f>Source!$S$72</f>
        <v>Tyler Gottfredsen</v>
      </c>
      <c r="AN60" s="816"/>
      <c r="AO60" s="816"/>
      <c r="AP60" s="816"/>
      <c r="AQ60" s="816"/>
      <c r="AR60" s="816"/>
      <c r="AS60" s="816"/>
      <c r="AT60" s="816"/>
      <c r="AU60" s="816"/>
      <c r="AV60" s="816"/>
      <c r="AW60" s="816"/>
      <c r="AX60" s="816"/>
      <c r="AY60" s="816"/>
      <c r="AZ60" s="816"/>
      <c r="BA60" s="816"/>
      <c r="BB60" s="816"/>
      <c r="BC60" s="816"/>
      <c r="BD60" s="816"/>
      <c r="BE60" s="816"/>
      <c r="BF60" s="816"/>
      <c r="BG60" s="816"/>
      <c r="BH60" s="816"/>
      <c r="BI60" s="816"/>
      <c r="BJ60" s="816"/>
      <c r="BK60" s="816"/>
      <c r="BL60" s="816"/>
      <c r="BM60" s="816"/>
      <c r="BN60" s="816"/>
      <c r="BO60" s="816"/>
      <c r="BP60" s="515"/>
      <c r="BQ60" s="515"/>
      <c r="BR60" s="515"/>
      <c r="BS60" s="515"/>
      <c r="BT60" s="515"/>
      <c r="BU60" s="515"/>
      <c r="BV60" s="516"/>
      <c r="BW60" s="504"/>
      <c r="BX60" s="504"/>
      <c r="BY60" s="504"/>
    </row>
    <row r="61" ht="12.75" customHeight="1">
      <c r="A61" s="504"/>
      <c r="B61" s="514"/>
      <c r="C61" s="818" t="str">
        <f>Source!$Q$63</f>
        <v>Jackson McLoughlin</v>
      </c>
      <c r="D61" s="515"/>
      <c r="E61" s="840"/>
      <c r="F61" s="842"/>
      <c r="G61" s="856"/>
      <c r="H61" s="842"/>
      <c r="I61" s="842"/>
      <c r="J61" s="842"/>
      <c r="K61" s="842"/>
      <c r="L61" s="861"/>
      <c r="M61" s="842"/>
      <c r="N61" s="842"/>
      <c r="O61" s="842"/>
      <c r="P61" s="861"/>
      <c r="Q61" s="861"/>
      <c r="R61" s="861"/>
      <c r="S61" s="861"/>
      <c r="T61" s="816"/>
      <c r="U61" s="892" t="str">
        <f>Source!$S$69</f>
        <v>Ryan Evans</v>
      </c>
      <c r="V61" s="816"/>
      <c r="W61" s="816"/>
      <c r="X61" s="816"/>
      <c r="Y61" s="816"/>
      <c r="Z61" s="816"/>
      <c r="AA61" s="816"/>
      <c r="AB61" s="816"/>
      <c r="AC61" s="816"/>
      <c r="AD61" s="816"/>
      <c r="AE61" s="816"/>
      <c r="AF61" s="816"/>
      <c r="AG61" s="816"/>
      <c r="AH61" s="816"/>
      <c r="AI61" s="816"/>
      <c r="AJ61" s="816"/>
      <c r="AK61" s="816"/>
      <c r="AL61" s="816"/>
      <c r="AM61" s="887"/>
      <c r="AN61" s="816"/>
      <c r="AO61" s="816"/>
      <c r="AP61" s="816"/>
      <c r="AQ61" s="816"/>
      <c r="AR61" s="816"/>
      <c r="AS61" s="816"/>
      <c r="AT61" s="816"/>
      <c r="AU61" s="816"/>
      <c r="AV61" s="816"/>
      <c r="AW61" s="816"/>
      <c r="AX61" s="816"/>
      <c r="AY61" s="816"/>
      <c r="AZ61" s="816"/>
      <c r="BA61" s="816"/>
      <c r="BB61" s="816"/>
      <c r="BC61" s="816"/>
      <c r="BD61" s="816"/>
      <c r="BE61" s="816"/>
      <c r="BF61" s="816"/>
      <c r="BG61" s="816"/>
      <c r="BH61" s="816"/>
      <c r="BI61" s="816"/>
      <c r="BJ61" s="816"/>
      <c r="BK61" s="816"/>
      <c r="BL61" s="816"/>
      <c r="BM61" s="816"/>
      <c r="BN61" s="816"/>
      <c r="BO61" s="816"/>
      <c r="BP61" s="515"/>
      <c r="BQ61" s="515"/>
      <c r="BR61" s="515"/>
      <c r="BS61" s="515"/>
      <c r="BT61" s="515"/>
      <c r="BU61" s="515"/>
      <c r="BV61" s="516"/>
      <c r="BW61" s="504"/>
      <c r="BX61" s="504"/>
      <c r="BY61" s="504"/>
    </row>
    <row r="62" ht="12.75" customHeight="1">
      <c r="A62" s="504"/>
      <c r="B62" s="514"/>
      <c r="C62" s="818" t="str">
        <f>Source!$S$63</f>
        <v>Tyler Gottfredsen</v>
      </c>
      <c r="D62" s="515"/>
      <c r="E62" s="842"/>
      <c r="F62" s="828"/>
      <c r="G62" s="866"/>
      <c r="H62" s="515"/>
      <c r="I62" s="515"/>
      <c r="J62" s="515"/>
      <c r="K62" s="515"/>
      <c r="L62" s="515"/>
      <c r="M62" s="515"/>
      <c r="N62" s="515"/>
      <c r="O62" s="515"/>
      <c r="P62" s="816"/>
      <c r="Q62" s="816"/>
      <c r="R62" s="816"/>
      <c r="S62" s="816"/>
      <c r="T62" s="816"/>
      <c r="U62" s="845"/>
      <c r="V62" s="816"/>
      <c r="W62" s="816"/>
      <c r="X62" s="816"/>
      <c r="Y62" s="816"/>
      <c r="Z62" s="816"/>
      <c r="AA62" s="816"/>
      <c r="AB62" s="816"/>
      <c r="AC62" s="816"/>
      <c r="AD62" s="816"/>
      <c r="AE62" s="816"/>
      <c r="AF62" s="816"/>
      <c r="AG62" s="816"/>
      <c r="AH62" s="816"/>
      <c r="AI62" s="816"/>
      <c r="AJ62" s="816"/>
      <c r="AK62" s="816"/>
      <c r="AL62" s="816"/>
      <c r="AM62" s="816"/>
      <c r="AN62" s="816"/>
      <c r="AO62" s="816"/>
      <c r="AP62" s="816"/>
      <c r="AQ62" s="816"/>
      <c r="AR62" s="816"/>
      <c r="AS62" s="816"/>
      <c r="AT62" s="816"/>
      <c r="AU62" s="816"/>
      <c r="AV62" s="816"/>
      <c r="AW62" s="816"/>
      <c r="AX62" s="816"/>
      <c r="AY62" s="816"/>
      <c r="AZ62" s="816"/>
      <c r="BA62" s="816"/>
      <c r="BB62" s="816"/>
      <c r="BC62" s="816"/>
      <c r="BD62" s="816"/>
      <c r="BE62" s="816"/>
      <c r="BF62" s="816"/>
      <c r="BG62" s="816"/>
      <c r="BH62" s="816"/>
      <c r="BI62" s="816"/>
      <c r="BJ62" s="816"/>
      <c r="BK62" s="816"/>
      <c r="BL62" s="816"/>
      <c r="BM62" s="816"/>
      <c r="BN62" s="816"/>
      <c r="BO62" s="816"/>
      <c r="BP62" s="515"/>
      <c r="BQ62" s="515"/>
      <c r="BR62" s="515"/>
      <c r="BS62" s="515"/>
      <c r="BT62" s="515"/>
      <c r="BU62" s="515"/>
      <c r="BV62" s="516"/>
      <c r="BW62" s="504"/>
      <c r="BX62" s="504"/>
      <c r="BY62" s="504"/>
    </row>
    <row r="63" ht="7.5" customHeight="1">
      <c r="A63" s="504"/>
      <c r="B63" s="722"/>
      <c r="C63" s="723"/>
      <c r="D63" s="723"/>
      <c r="E63" s="723"/>
      <c r="F63" s="723"/>
      <c r="G63" s="723"/>
      <c r="H63" s="723"/>
      <c r="I63" s="723"/>
      <c r="J63" s="723"/>
      <c r="K63" s="723"/>
      <c r="L63" s="723"/>
      <c r="M63" s="723"/>
      <c r="N63" s="723"/>
      <c r="O63" s="723"/>
      <c r="P63" s="723"/>
      <c r="Q63" s="723"/>
      <c r="R63" s="723"/>
      <c r="S63" s="723"/>
      <c r="T63" s="723"/>
      <c r="U63" s="723"/>
      <c r="V63" s="723"/>
      <c r="W63" s="723"/>
      <c r="X63" s="723"/>
      <c r="Y63" s="723"/>
      <c r="Z63" s="723"/>
      <c r="AA63" s="723"/>
      <c r="AB63" s="723"/>
      <c r="AC63" s="723"/>
      <c r="AD63" s="723"/>
      <c r="AE63" s="723"/>
      <c r="AF63" s="723"/>
      <c r="AG63" s="723"/>
      <c r="AH63" s="723"/>
      <c r="AI63" s="723"/>
      <c r="AJ63" s="723"/>
      <c r="AK63" s="723"/>
      <c r="AL63" s="723"/>
      <c r="AM63" s="723"/>
      <c r="AN63" s="723"/>
      <c r="AO63" s="723"/>
      <c r="AP63" s="723"/>
      <c r="AQ63" s="723"/>
      <c r="AR63" s="723"/>
      <c r="AS63" s="723"/>
      <c r="AT63" s="723"/>
      <c r="AU63" s="723"/>
      <c r="AV63" s="723"/>
      <c r="AW63" s="723"/>
      <c r="AX63" s="723"/>
      <c r="AY63" s="723"/>
      <c r="AZ63" s="723"/>
      <c r="BA63" s="723"/>
      <c r="BB63" s="723"/>
      <c r="BC63" s="723"/>
      <c r="BD63" s="723"/>
      <c r="BE63" s="723"/>
      <c r="BF63" s="723"/>
      <c r="BG63" s="723"/>
      <c r="BH63" s="723"/>
      <c r="BI63" s="723"/>
      <c r="BJ63" s="723"/>
      <c r="BK63" s="723"/>
      <c r="BL63" s="723"/>
      <c r="BM63" s="723"/>
      <c r="BN63" s="723"/>
      <c r="BO63" s="723"/>
      <c r="BP63" s="723"/>
      <c r="BQ63" s="723"/>
      <c r="BR63" s="723"/>
      <c r="BS63" s="723"/>
      <c r="BT63" s="723"/>
      <c r="BU63" s="723"/>
      <c r="BV63" s="728"/>
      <c r="BW63" s="504"/>
      <c r="BX63" s="504"/>
      <c r="BY63" s="504"/>
    </row>
    <row r="64" ht="7.5" customHeight="1">
      <c r="A64" s="504"/>
      <c r="B64" s="504"/>
      <c r="C64" s="504"/>
      <c r="D64" s="504"/>
      <c r="E64" s="504"/>
      <c r="F64" s="504"/>
      <c r="G64" s="504"/>
      <c r="H64" s="504"/>
      <c r="I64" s="504"/>
      <c r="J64" s="504"/>
      <c r="K64" s="504"/>
      <c r="L64" s="504"/>
      <c r="M64" s="504"/>
      <c r="N64" s="504"/>
      <c r="O64" s="504"/>
      <c r="P64" s="504"/>
      <c r="Q64" s="504"/>
      <c r="R64" s="504"/>
      <c r="S64" s="504"/>
      <c r="T64" s="504"/>
      <c r="U64" s="504"/>
      <c r="V64" s="504"/>
      <c r="W64" s="504"/>
      <c r="X64" s="504"/>
      <c r="Y64" s="504"/>
      <c r="Z64" s="504"/>
      <c r="AA64" s="504"/>
      <c r="AB64" s="504"/>
      <c r="AC64" s="504"/>
      <c r="AD64" s="502"/>
      <c r="AE64" s="504"/>
      <c r="AF64" s="504"/>
      <c r="AG64" s="504"/>
      <c r="AH64" s="504"/>
      <c r="AI64" s="504"/>
      <c r="AJ64" s="504"/>
      <c r="AK64" s="504"/>
      <c r="AL64" s="504"/>
      <c r="AM64" s="502"/>
      <c r="AN64" s="504"/>
      <c r="AO64" s="504"/>
      <c r="AP64" s="504"/>
      <c r="AQ64" s="504"/>
      <c r="AR64" s="504"/>
      <c r="AS64" s="504"/>
      <c r="AT64" s="504"/>
      <c r="AU64" s="504"/>
      <c r="AV64" s="504"/>
      <c r="AW64" s="504"/>
      <c r="AX64" s="504"/>
      <c r="AY64" s="504"/>
      <c r="AZ64" s="504"/>
      <c r="BA64" s="504"/>
      <c r="BB64" s="504"/>
      <c r="BC64" s="504"/>
      <c r="BD64" s="504"/>
      <c r="BE64" s="504"/>
      <c r="BF64" s="504"/>
      <c r="BG64" s="504"/>
      <c r="BH64" s="504"/>
      <c r="BI64" s="504"/>
      <c r="BJ64" s="504"/>
      <c r="BK64" s="504"/>
      <c r="BL64" s="504"/>
      <c r="BM64" s="504"/>
      <c r="BN64" s="504"/>
      <c r="BO64" s="504"/>
      <c r="BP64" s="504"/>
      <c r="BQ64" s="504"/>
      <c r="BR64" s="504"/>
      <c r="BS64" s="504"/>
      <c r="BT64" s="504"/>
      <c r="BU64" s="504"/>
      <c r="BV64" s="504"/>
      <c r="BW64" s="504"/>
      <c r="BX64" s="504"/>
      <c r="BY64" s="504"/>
    </row>
  </sheetData>
  <mergeCells count="117">
    <mergeCell ref="L3:S3"/>
    <mergeCell ref="U3:AB3"/>
    <mergeCell ref="AD3:AK3"/>
    <mergeCell ref="AM3:AT3"/>
    <mergeCell ref="AV3:BC3"/>
    <mergeCell ref="BE3:BL3"/>
    <mergeCell ref="BN3:BU3"/>
    <mergeCell ref="BJ12:BL12"/>
    <mergeCell ref="BO12:BQ12"/>
    <mergeCell ref="BS12:BU12"/>
    <mergeCell ref="AE12:AG12"/>
    <mergeCell ref="AI12:AK12"/>
    <mergeCell ref="AN12:AP12"/>
    <mergeCell ref="AR12:AT12"/>
    <mergeCell ref="AW12:AY12"/>
    <mergeCell ref="BA12:BC12"/>
    <mergeCell ref="BF12:BH12"/>
    <mergeCell ref="C3:J3"/>
    <mergeCell ref="D12:F12"/>
    <mergeCell ref="H12:J12"/>
    <mergeCell ref="M12:O12"/>
    <mergeCell ref="Q12:S12"/>
    <mergeCell ref="V12:X12"/>
    <mergeCell ref="Z12:AB12"/>
    <mergeCell ref="BN13:BQ13"/>
    <mergeCell ref="BR13:BU13"/>
    <mergeCell ref="AH13:AK13"/>
    <mergeCell ref="AM13:AP13"/>
    <mergeCell ref="AQ13:AT13"/>
    <mergeCell ref="AV13:AY13"/>
    <mergeCell ref="AZ13:BC13"/>
    <mergeCell ref="BE13:BH13"/>
    <mergeCell ref="BI13:BL13"/>
    <mergeCell ref="C13:F13"/>
    <mergeCell ref="G13:J13"/>
    <mergeCell ref="L13:O13"/>
    <mergeCell ref="P13:S13"/>
    <mergeCell ref="U13:X13"/>
    <mergeCell ref="Y13:AB13"/>
    <mergeCell ref="AD13:AG13"/>
    <mergeCell ref="U24:X24"/>
    <mergeCell ref="U25:X25"/>
    <mergeCell ref="D45:F45"/>
    <mergeCell ref="H45:J45"/>
    <mergeCell ref="C46:F46"/>
    <mergeCell ref="G46:J46"/>
    <mergeCell ref="C47:F47"/>
    <mergeCell ref="C24:F24"/>
    <mergeCell ref="G24:J24"/>
    <mergeCell ref="P24:S24"/>
    <mergeCell ref="Y24:AB24"/>
    <mergeCell ref="AE24:AG24"/>
    <mergeCell ref="C25:F25"/>
    <mergeCell ref="P25:S25"/>
    <mergeCell ref="Y25:AB25"/>
    <mergeCell ref="AI23:AK23"/>
    <mergeCell ref="AN23:AP23"/>
    <mergeCell ref="AR23:AT23"/>
    <mergeCell ref="AW23:AY23"/>
    <mergeCell ref="BA23:BC23"/>
    <mergeCell ref="BF23:BH23"/>
    <mergeCell ref="BO23:BQ23"/>
    <mergeCell ref="BS23:BU23"/>
    <mergeCell ref="D23:F23"/>
    <mergeCell ref="H23:J23"/>
    <mergeCell ref="M23:O23"/>
    <mergeCell ref="Q23:S23"/>
    <mergeCell ref="V23:X23"/>
    <mergeCell ref="Z23:AB23"/>
    <mergeCell ref="AE23:AG23"/>
    <mergeCell ref="BN14:BQ14"/>
    <mergeCell ref="BR14:BU14"/>
    <mergeCell ref="AH14:AK14"/>
    <mergeCell ref="AM14:AP14"/>
    <mergeCell ref="AQ14:AT14"/>
    <mergeCell ref="AV14:AY14"/>
    <mergeCell ref="AZ14:BC14"/>
    <mergeCell ref="BE14:BH14"/>
    <mergeCell ref="BI14:BL14"/>
    <mergeCell ref="C14:F14"/>
    <mergeCell ref="G14:J14"/>
    <mergeCell ref="L14:O14"/>
    <mergeCell ref="P14:S14"/>
    <mergeCell ref="U14:X14"/>
    <mergeCell ref="Y14:AB14"/>
    <mergeCell ref="AD14:AG14"/>
    <mergeCell ref="AI24:AK24"/>
    <mergeCell ref="AM24:AP24"/>
    <mergeCell ref="AQ24:AT24"/>
    <mergeCell ref="AW24:AY24"/>
    <mergeCell ref="BA24:BC24"/>
    <mergeCell ref="BF24:BH24"/>
    <mergeCell ref="BN24:BQ24"/>
    <mergeCell ref="BR24:BU24"/>
    <mergeCell ref="L24:O24"/>
    <mergeCell ref="L25:O25"/>
    <mergeCell ref="AH25:AI25"/>
    <mergeCell ref="AM25:AP25"/>
    <mergeCell ref="AQ25:AT25"/>
    <mergeCell ref="AZ25:BA25"/>
    <mergeCell ref="BI25:BJ25"/>
    <mergeCell ref="D34:F34"/>
    <mergeCell ref="H34:J34"/>
    <mergeCell ref="C35:F35"/>
    <mergeCell ref="G35:J35"/>
    <mergeCell ref="C36:F36"/>
    <mergeCell ref="BO33:BU33"/>
    <mergeCell ref="BO34:BU34"/>
    <mergeCell ref="BO35:BU35"/>
    <mergeCell ref="BO36:BU36"/>
    <mergeCell ref="BN25:BQ25"/>
    <mergeCell ref="BR25:BU25"/>
    <mergeCell ref="BN27:BU28"/>
    <mergeCell ref="BO29:BU29"/>
    <mergeCell ref="BO30:BU30"/>
    <mergeCell ref="BO31:BU31"/>
    <mergeCell ref="BO32:BU32"/>
  </mergeCells>
  <conditionalFormatting sqref="D12:F12 H12 M12:O12 Q12 V12:X12 Z12 AE12:AG12 AI12 AN12:AP12 AR12 AW12:AY12 BA12 BF12:BH12 BJ12 BO12:BQ12 BS12 D23:F23 H23 M23:O23 Q23 V23:X23 Z23 AE23:AG23 AI23 AN23:AP23 AR23 AW23:AY23 BA23 BF23:BH23 BJ23 BL23 BO23:BQ24 BS23:BS24 BN24 BR24 BT24:BU24 BL33 D34:F34 H34 BO34:BQ35 BS34:BS35 BN35 BR35 BT35:BU35 D45:F45 H45">
    <cfRule type="cellIs" dxfId="3" priority="1" operator="lessThan">
      <formula>0</formula>
    </cfRule>
  </conditionalFormatting>
  <conditionalFormatting sqref="D12:F12 H12 M12:O12 Q12 V12:X12 Z12 AE12:AG12 AI12 AN12:AP12 AR12 AW12:AY12 BA12 BF12:BH12 BJ12 BO12:BQ12 BS12 D23:F23 H23 M23:O23 Q23 V23:X23 Z23 AE23:AG23 AI23 AN23:AP23 AR23 AW23:AY23 BA23 BF23:BH23 BJ23 BL23 BO23:BQ24 BS23:BS24 BN24 BR24 BT24:BU24 BL33 D34:F34 H34 BO34:BQ35 BS34:BS35 BN35 BR35 BT35:BU35 D45:F45 H45">
    <cfRule type="cellIs" dxfId="2" priority="2" operator="greaterThan">
      <formula>0</formula>
    </cfRule>
  </conditionalFormatting>
  <conditionalFormatting sqref="C12 G12 L12 P12 U12 Y12 AD12 AH12 AM12 AQ12 AV12 AZ12 BE12 BI12 BN12 BR12 C23 G23 L23 P23 U23 Y23 AD23 AH23 AM23 AQ23 AV23 AZ23 BE23 BI23 BN23:BU23 AJ25:AK25 BB25:BC25 BK25:BL25 C34 G34 BN34:BU34 C45 G45">
    <cfRule type="cellIs" dxfId="2" priority="3" operator="equal">
      <formula>"W"</formula>
    </cfRule>
  </conditionalFormatting>
  <conditionalFormatting sqref="C12 G12 L12 P12 U12 Y12 AD12 AH12 AM12 AQ12 AV12 AZ12 BE12 BI12 BN12 BR12 C23 G23 L23 P23 U23 Y23 AD23 AH23 AM23 AQ23 AV23 AZ23 BE23 BI23 BN23:BU23 AJ25:AK25 BB25:BC25 BK25:BL25 C34 G34 BN34:BU34 C45 G45">
    <cfRule type="cellIs" dxfId="3" priority="4" operator="equal">
      <formula>"L"</formula>
    </cfRule>
  </conditionalFormatting>
  <dataValidations>
    <dataValidation type="list" allowBlank="1" sqref="C6:C11 G6:G11 L6:L11 P6:P11 U6:U11 Y6:Y11 AD6:AD11 AH6:AH11 AM6:AM11 AQ6:AQ11 AV6:AV11 AZ6:AZ11 BE6:BE11 BI6:BI11 BN6:BN11 BR6:BR11 C17:C22 G17:G22 L17:L22 P17:P22 U17:U22 Y17:Y22 AM17:AM22 AQ17:AQ22 BN17:BN22 BR17:BR22 C28:C33 G28:G33 C39:C44 G39:G44">
      <formula1>Pokedex!$I$3:$I64</formula1>
    </dataValidation>
  </dataValidations>
  <hyperlinks>
    <hyperlink r:id="rId1" ref="G13"/>
    <hyperlink r:id="rId2" ref="P13"/>
    <hyperlink r:id="rId3" ref="AH13"/>
    <hyperlink r:id="rId4" ref="AZ13"/>
    <hyperlink r:id="rId5" ref="BI13"/>
    <hyperlink r:id="rId6" ref="G24"/>
    <hyperlink r:id="rId7" ref="P24"/>
    <hyperlink r:id="rId8" ref="Y24"/>
    <hyperlink r:id="rId9" ref="AQ24"/>
    <hyperlink r:id="rId10" ref="G35"/>
    <hyperlink r:id="rId11" ref="G46"/>
  </hyperlinks>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2241"/>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1.38"/>
    <col customWidth="1" min="3" max="3" width="16.38"/>
    <col customWidth="1" min="4" max="4" width="3.88"/>
    <col customWidth="1" min="5" max="6" width="3.25"/>
    <col customWidth="1" min="7" max="7" width="3.88"/>
    <col customWidth="1" min="8" max="8" width="16.5"/>
    <col customWidth="1" min="9" max="10" width="1.38"/>
  </cols>
  <sheetData>
    <row r="1" ht="7.5" customHeight="1">
      <c r="A1" s="362"/>
      <c r="B1" s="362"/>
      <c r="C1" s="363"/>
      <c r="D1" s="363"/>
      <c r="E1" s="363"/>
      <c r="F1" s="363"/>
      <c r="G1" s="363"/>
      <c r="H1" s="363"/>
      <c r="I1" s="364"/>
      <c r="J1" s="364"/>
    </row>
    <row r="2" ht="7.5" customHeight="1">
      <c r="A2" s="362"/>
      <c r="B2" s="365"/>
      <c r="C2" s="366"/>
      <c r="D2" s="366"/>
      <c r="E2" s="366"/>
      <c r="F2" s="366"/>
      <c r="G2" s="366"/>
      <c r="H2" s="366"/>
      <c r="I2" s="367"/>
      <c r="J2" s="364"/>
    </row>
    <row r="3">
      <c r="A3" s="362"/>
      <c r="B3" s="369"/>
      <c r="C3" s="371"/>
      <c r="D3" s="29"/>
      <c r="E3" s="29"/>
      <c r="F3" s="29"/>
      <c r="G3" s="29"/>
      <c r="H3" s="31"/>
      <c r="I3" s="373"/>
      <c r="J3" s="374"/>
    </row>
    <row r="4">
      <c r="A4" s="362"/>
      <c r="B4" s="369"/>
      <c r="C4" s="375" t="s">
        <v>151</v>
      </c>
      <c r="D4" s="376"/>
      <c r="E4" s="377" t="s">
        <v>78</v>
      </c>
      <c r="F4" s="376"/>
      <c r="G4" s="378" t="s">
        <v>154</v>
      </c>
      <c r="H4" s="31"/>
      <c r="I4" s="379"/>
      <c r="J4" s="380"/>
    </row>
    <row r="5" ht="3.75" customHeight="1">
      <c r="A5" s="362"/>
      <c r="B5" s="369"/>
      <c r="C5" s="381"/>
      <c r="D5" s="381"/>
      <c r="E5" s="381"/>
      <c r="F5" s="381"/>
      <c r="G5" s="381"/>
      <c r="H5" s="381"/>
      <c r="I5" s="382"/>
      <c r="J5" s="383"/>
    </row>
    <row r="6" ht="18.75" customHeight="1">
      <c r="A6" s="384"/>
      <c r="B6" s="385"/>
      <c r="C6" s="386" t="s">
        <v>290</v>
      </c>
      <c r="D6" s="129"/>
      <c r="E6" s="129"/>
      <c r="F6" s="129"/>
      <c r="G6" s="129"/>
      <c r="H6" s="131"/>
      <c r="I6" s="373"/>
      <c r="J6" s="374"/>
    </row>
    <row r="7">
      <c r="A7" s="364"/>
      <c r="B7" s="387"/>
      <c r="C7" s="390" t="str">
        <f t="array" ref="C7:C10">Source!$Q$62:$Q$65</f>
        <v>Ian Heslin</v>
      </c>
      <c r="D7" s="391"/>
      <c r="E7" s="392">
        <f>'Playoff Stats'!$D$12</f>
        <v>6</v>
      </c>
      <c r="F7" s="392">
        <f>'Playoff Stats'!$H$12</f>
        <v>-6</v>
      </c>
      <c r="G7" s="397" t="str">
        <f t="array" ref="G7:G10">Source!$S$62:$S$65</f>
        <v>Dick Hansen</v>
      </c>
      <c r="H7" s="131"/>
      <c r="I7" s="398"/>
      <c r="J7" s="407"/>
    </row>
    <row r="8">
      <c r="A8" s="364"/>
      <c r="B8" s="387"/>
      <c r="C8" s="400" t="s">
        <v>194</v>
      </c>
      <c r="D8" s="401"/>
      <c r="E8" s="403">
        <f>'Playoff Stats'!$D$23</f>
        <v>-3</v>
      </c>
      <c r="F8" s="403">
        <f>'Playoff Stats'!$H$23</f>
        <v>3</v>
      </c>
      <c r="G8" s="406" t="s">
        <v>204</v>
      </c>
      <c r="H8" s="136"/>
      <c r="I8" s="398"/>
      <c r="J8" s="407"/>
    </row>
    <row r="9">
      <c r="A9" s="364"/>
      <c r="B9" s="387"/>
      <c r="C9" s="408" t="s">
        <v>196</v>
      </c>
      <c r="E9" s="409">
        <f>'Playoff Stats'!$D$34</f>
        <v>-3</v>
      </c>
      <c r="F9" s="409">
        <f>'Playoff Stats'!$H$34</f>
        <v>3</v>
      </c>
      <c r="G9" s="421" t="s">
        <v>313</v>
      </c>
      <c r="H9" s="136"/>
      <c r="I9" s="398"/>
      <c r="J9" s="407"/>
    </row>
    <row r="10">
      <c r="A10" s="364"/>
      <c r="B10" s="387"/>
      <c r="C10" s="400" t="s">
        <v>198</v>
      </c>
      <c r="D10" s="401"/>
      <c r="E10" s="403">
        <f>'Playoff Stats'!$D$45</f>
        <v>5</v>
      </c>
      <c r="F10" s="403">
        <f>'Playoff Stats'!$H$45</f>
        <v>-5</v>
      </c>
      <c r="G10" s="406" t="s">
        <v>184</v>
      </c>
      <c r="H10" s="136"/>
      <c r="I10" s="398"/>
      <c r="J10" s="407"/>
    </row>
    <row r="11" ht="7.5" customHeight="1">
      <c r="A11" s="364"/>
      <c r="B11" s="387"/>
      <c r="C11" s="414"/>
      <c r="D11" s="414"/>
      <c r="E11" s="414"/>
      <c r="F11" s="414"/>
      <c r="G11" s="414"/>
      <c r="H11" s="414"/>
      <c r="I11" s="415"/>
      <c r="J11" s="416"/>
    </row>
    <row r="12" ht="18.75" customHeight="1">
      <c r="A12" s="384"/>
      <c r="B12" s="385"/>
      <c r="C12" s="386" t="s">
        <v>291</v>
      </c>
      <c r="D12" s="129"/>
      <c r="E12" s="129"/>
      <c r="F12" s="129"/>
      <c r="G12" s="129"/>
      <c r="H12" s="131"/>
      <c r="I12" s="373"/>
      <c r="J12" s="374"/>
    </row>
    <row r="13">
      <c r="A13" s="364"/>
      <c r="B13" s="387"/>
      <c r="C13" s="390" t="str">
        <f>Source!$Q$66</f>
        <v>Ian Heslin</v>
      </c>
      <c r="D13" s="391"/>
      <c r="E13" s="418">
        <f>'Playoff Stats'!$M$12</f>
        <v>4</v>
      </c>
      <c r="F13" s="418">
        <f>'Playoff Stats'!$Q$12</f>
        <v>-4</v>
      </c>
      <c r="G13" s="397" t="str">
        <f>Source!$S$66</f>
        <v>Zach VanSickle</v>
      </c>
      <c r="H13" s="131"/>
      <c r="I13" s="398"/>
      <c r="J13" s="407"/>
    </row>
    <row r="14">
      <c r="A14" s="364"/>
      <c r="B14" s="387"/>
      <c r="C14" s="400" t="str">
        <f>Source!$Q$67</f>
        <v>Tyler Gottfredsen</v>
      </c>
      <c r="D14" s="401"/>
      <c r="E14" s="403">
        <f>'Playoff Stats'!$M$23</f>
        <v>-1</v>
      </c>
      <c r="F14" s="403">
        <f>'Playoff Stats'!$Q$23</f>
        <v>0</v>
      </c>
      <c r="G14" s="601" t="str">
        <f>Source!$S$67</f>
        <v>Ryan Tidey</v>
      </c>
      <c r="H14" s="136"/>
      <c r="I14" s="398"/>
      <c r="J14" s="407"/>
    </row>
    <row r="15" ht="7.5" customHeight="1">
      <c r="A15" s="364"/>
      <c r="B15" s="387"/>
      <c r="C15" s="414"/>
      <c r="D15" s="414"/>
      <c r="E15" s="414"/>
      <c r="F15" s="414"/>
      <c r="G15" s="414"/>
      <c r="H15" s="414"/>
      <c r="I15" s="415"/>
      <c r="J15" s="416"/>
    </row>
    <row r="16" ht="18.75" customHeight="1">
      <c r="A16" s="384"/>
      <c r="B16" s="385"/>
      <c r="C16" s="386" t="s">
        <v>293</v>
      </c>
      <c r="D16" s="129"/>
      <c r="E16" s="129"/>
      <c r="F16" s="129"/>
      <c r="G16" s="129"/>
      <c r="H16" s="131"/>
      <c r="I16" s="373"/>
      <c r="J16" s="374"/>
    </row>
    <row r="17">
      <c r="A17" s="364"/>
      <c r="B17" s="387"/>
      <c r="C17" s="390" t="str">
        <f>Source!$Q$68</f>
        <v>Dick Hansen</v>
      </c>
      <c r="D17" s="391"/>
      <c r="E17" s="418">
        <f>'Playoff Stats'!$V$12</f>
        <v>-1</v>
      </c>
      <c r="F17" s="418">
        <f>'Playoff Stats'!$Z$12</f>
        <v>1</v>
      </c>
      <c r="G17" s="397" t="str">
        <f>Source!$S$68</f>
        <v>Marcus</v>
      </c>
      <c r="H17" s="131"/>
      <c r="I17" s="398"/>
      <c r="J17" s="407"/>
    </row>
    <row r="18">
      <c r="A18" s="364"/>
      <c r="B18" s="387"/>
      <c r="C18" s="400" t="str">
        <f>Source!$Q$69</f>
        <v>Jackson McLoughlin</v>
      </c>
      <c r="D18" s="401"/>
      <c r="E18" s="403">
        <f>'Playoff Stats'!$V$23</f>
        <v>-4</v>
      </c>
      <c r="F18" s="403">
        <f>'Playoff Stats'!$Z$23</f>
        <v>4</v>
      </c>
      <c r="G18" s="601" t="str">
        <f>Source!$S$69</f>
        <v>Ryan Evans</v>
      </c>
      <c r="H18" s="136"/>
      <c r="I18" s="398"/>
      <c r="J18" s="407"/>
    </row>
    <row r="19" ht="7.5" customHeight="1">
      <c r="A19" s="364"/>
      <c r="B19" s="387"/>
      <c r="C19" s="414"/>
      <c r="D19" s="414"/>
      <c r="E19" s="414"/>
      <c r="F19" s="414"/>
      <c r="G19" s="414"/>
      <c r="H19" s="414"/>
      <c r="I19" s="415"/>
      <c r="J19" s="416"/>
    </row>
    <row r="20" ht="18.75" customHeight="1">
      <c r="A20" s="384"/>
      <c r="B20" s="385"/>
      <c r="C20" s="386" t="s">
        <v>294</v>
      </c>
      <c r="D20" s="129"/>
      <c r="E20" s="129"/>
      <c r="F20" s="129"/>
      <c r="G20" s="129"/>
      <c r="H20" s="131"/>
      <c r="I20" s="373"/>
      <c r="J20" s="374"/>
    </row>
    <row r="21">
      <c r="A21" s="364"/>
      <c r="B21" s="387"/>
      <c r="C21" s="390" t="str">
        <f t="array" ref="C21">Source!$Q$70</f>
        <v>Ian Heslin</v>
      </c>
      <c r="D21" s="391"/>
      <c r="E21" s="418">
        <f>'Playoff Stats'!$AE$12</f>
        <v>-1</v>
      </c>
      <c r="F21" s="418">
        <f>'Playoff Stats'!$AI$12</f>
        <v>1</v>
      </c>
      <c r="G21" s="397" t="str">
        <f t="array" ref="G21">Source!$S$70</f>
        <v>Ryan Tidey</v>
      </c>
      <c r="H21" s="131"/>
      <c r="I21" s="398"/>
      <c r="J21" s="407"/>
    </row>
    <row r="22" ht="7.5" customHeight="1">
      <c r="A22" s="364"/>
      <c r="B22" s="387"/>
      <c r="C22" s="414"/>
      <c r="D22" s="414"/>
      <c r="E22" s="414"/>
      <c r="F22" s="414"/>
      <c r="G22" s="414"/>
      <c r="H22" s="414"/>
      <c r="I22" s="415"/>
      <c r="J22" s="416"/>
    </row>
    <row r="23" ht="18.75" customHeight="1">
      <c r="A23" s="384"/>
      <c r="B23" s="385"/>
      <c r="C23" s="386" t="s">
        <v>295</v>
      </c>
      <c r="D23" s="129"/>
      <c r="E23" s="129"/>
      <c r="F23" s="129"/>
      <c r="G23" s="129"/>
      <c r="H23" s="131"/>
      <c r="I23" s="373"/>
      <c r="J23" s="374"/>
    </row>
    <row r="24">
      <c r="A24" s="364"/>
      <c r="B24" s="387"/>
      <c r="C24" s="616" t="str">
        <f>Source!$Q$71</f>
        <v>Marcus</v>
      </c>
      <c r="D24" s="391"/>
      <c r="E24" s="619">
        <f>'Playoff Stats'!$AN$12</f>
        <v>-1</v>
      </c>
      <c r="F24" s="619">
        <f>'Playoff Stats'!$AR$12</f>
        <v>1</v>
      </c>
      <c r="G24" s="624" t="str">
        <f>Source!$S$71</f>
        <v>Zach VanSickle</v>
      </c>
      <c r="H24" s="131"/>
      <c r="I24" s="398"/>
      <c r="J24" s="407"/>
    </row>
    <row r="25">
      <c r="A25" s="364"/>
      <c r="B25" s="387"/>
      <c r="C25" s="408" t="str">
        <f>Source!$Q$72</f>
        <v>Ryan Evans</v>
      </c>
      <c r="D25" s="401"/>
      <c r="E25" s="409">
        <f>'Playoff Stats'!$AN$23</f>
        <v>2</v>
      </c>
      <c r="F25" s="409">
        <f>'Playoff Stats'!$AR$23</f>
        <v>-2</v>
      </c>
      <c r="G25" s="627" t="str">
        <f>Source!$S$72</f>
        <v>Tyler Gottfredsen</v>
      </c>
      <c r="H25" s="136"/>
      <c r="I25" s="398"/>
      <c r="J25" s="407"/>
    </row>
    <row r="26" ht="7.5" customHeight="1">
      <c r="A26" s="364"/>
      <c r="B26" s="387"/>
      <c r="C26" s="414"/>
      <c r="D26" s="414"/>
      <c r="E26" s="414"/>
      <c r="F26" s="414"/>
      <c r="G26" s="414"/>
      <c r="H26" s="414"/>
      <c r="I26" s="415"/>
      <c r="J26" s="416"/>
    </row>
    <row r="27" ht="18.75" customHeight="1">
      <c r="A27" s="384"/>
      <c r="B27" s="385"/>
      <c r="C27" s="386" t="s">
        <v>296</v>
      </c>
      <c r="D27" s="129"/>
      <c r="E27" s="129"/>
      <c r="F27" s="129"/>
      <c r="G27" s="129"/>
      <c r="H27" s="131"/>
      <c r="I27" s="373"/>
      <c r="J27" s="374"/>
    </row>
    <row r="28">
      <c r="A28" s="364"/>
      <c r="B28" s="387"/>
      <c r="C28" s="616" t="str">
        <f>Source!$Q$73</f>
        <v>Zach VanSickle</v>
      </c>
      <c r="D28" s="391"/>
      <c r="E28" s="628">
        <f>'Playoff Stats'!$AW$12</f>
        <v>4</v>
      </c>
      <c r="F28" s="628">
        <f>'Playoff Stats'!$BA$12</f>
        <v>-4</v>
      </c>
      <c r="G28" s="624" t="str">
        <f>Source!$S$73</f>
        <v>Ryan Evans</v>
      </c>
      <c r="H28" s="131"/>
      <c r="I28" s="398"/>
      <c r="J28" s="407"/>
    </row>
    <row r="29" ht="7.5" customHeight="1">
      <c r="A29" s="364"/>
      <c r="B29" s="387"/>
      <c r="C29" s="414"/>
      <c r="D29" s="414"/>
      <c r="E29" s="414"/>
      <c r="F29" s="414"/>
      <c r="G29" s="414"/>
      <c r="H29" s="414"/>
      <c r="I29" s="415"/>
      <c r="J29" s="416"/>
    </row>
    <row r="30" ht="18.75" customHeight="1">
      <c r="A30" s="384"/>
      <c r="B30" s="385"/>
      <c r="C30" s="386" t="s">
        <v>321</v>
      </c>
      <c r="D30" s="129"/>
      <c r="E30" s="129"/>
      <c r="F30" s="129"/>
      <c r="G30" s="129"/>
      <c r="H30" s="131"/>
      <c r="I30" s="373"/>
      <c r="J30" s="374"/>
    </row>
    <row r="31">
      <c r="A31" s="364"/>
      <c r="B31" s="387"/>
      <c r="C31" s="390" t="str">
        <f t="array" ref="C31">Source!$Q$74</f>
        <v>Zach VanSickle</v>
      </c>
      <c r="D31" s="391"/>
      <c r="E31" s="418">
        <f>'Playoff Stats'!$BF$12</f>
        <v>-3</v>
      </c>
      <c r="F31" s="418">
        <f>'Playoff Stats'!$BJ$12</f>
        <v>3</v>
      </c>
      <c r="G31" s="397" t="str">
        <f t="array" ref="G31">Source!$S$74</f>
        <v>Ian Heslin</v>
      </c>
      <c r="H31" s="131"/>
      <c r="I31" s="398"/>
      <c r="J31" s="407"/>
    </row>
    <row r="32" ht="7.5" customHeight="1">
      <c r="A32" s="364"/>
      <c r="B32" s="387"/>
      <c r="C32" s="414"/>
      <c r="D32" s="414"/>
      <c r="E32" s="414"/>
      <c r="F32" s="414"/>
      <c r="G32" s="414"/>
      <c r="H32" s="414"/>
      <c r="I32" s="415"/>
      <c r="J32" s="416"/>
    </row>
    <row r="33" ht="18.75" customHeight="1">
      <c r="A33" s="384"/>
      <c r="B33" s="385"/>
      <c r="C33" s="386" t="s">
        <v>326</v>
      </c>
      <c r="D33" s="129"/>
      <c r="E33" s="129"/>
      <c r="F33" s="129"/>
      <c r="G33" s="129"/>
      <c r="H33" s="131"/>
      <c r="I33" s="373"/>
      <c r="J33" s="374"/>
    </row>
    <row r="34" ht="15.75" customHeight="1">
      <c r="A34" s="364"/>
      <c r="B34" s="387"/>
      <c r="C34" s="616" t="str">
        <f t="array" ref="C34">Source!$Q$75</f>
        <v>Ryan Tidey</v>
      </c>
      <c r="D34" s="391"/>
      <c r="E34" s="628">
        <f>'Playoff Stats'!$BO$12</f>
        <v>0</v>
      </c>
      <c r="F34" s="628">
        <f>'Playoff Stats'!$BS$12</f>
        <v>0</v>
      </c>
      <c r="G34" s="624" t="str">
        <f t="array" ref="G34">Source!$S$75</f>
        <v>Ian Heslin</v>
      </c>
      <c r="H34" s="131"/>
      <c r="I34" s="398"/>
      <c r="J34" s="407"/>
    </row>
    <row r="35" ht="7.5" customHeight="1">
      <c r="A35" s="364"/>
      <c r="B35" s="489"/>
      <c r="C35" s="490"/>
      <c r="D35" s="490"/>
      <c r="E35" s="490"/>
      <c r="F35" s="490"/>
      <c r="G35" s="490"/>
      <c r="H35" s="490"/>
      <c r="I35" s="491"/>
      <c r="J35" s="364"/>
    </row>
    <row r="36" ht="7.5" customHeight="1">
      <c r="A36" s="364"/>
      <c r="B36" s="364"/>
      <c r="C36" s="492"/>
      <c r="D36" s="492"/>
      <c r="E36" s="492"/>
      <c r="F36" s="492"/>
      <c r="G36" s="492"/>
      <c r="H36" s="492"/>
      <c r="I36" s="364"/>
      <c r="J36" s="364"/>
    </row>
  </sheetData>
  <mergeCells count="40">
    <mergeCell ref="G7:H7"/>
    <mergeCell ref="G8:H8"/>
    <mergeCell ref="C3:H3"/>
    <mergeCell ref="C4:D4"/>
    <mergeCell ref="E4:F4"/>
    <mergeCell ref="G4:H4"/>
    <mergeCell ref="C6:H6"/>
    <mergeCell ref="C7:D7"/>
    <mergeCell ref="C8:D8"/>
    <mergeCell ref="G13:H13"/>
    <mergeCell ref="G14:H14"/>
    <mergeCell ref="C9:D9"/>
    <mergeCell ref="G9:H9"/>
    <mergeCell ref="C10:D10"/>
    <mergeCell ref="G10:H10"/>
    <mergeCell ref="C12:H12"/>
    <mergeCell ref="C13:D13"/>
    <mergeCell ref="C14:D14"/>
    <mergeCell ref="C16:H16"/>
    <mergeCell ref="C17:D17"/>
    <mergeCell ref="G17:H17"/>
    <mergeCell ref="C18:D18"/>
    <mergeCell ref="G18:H18"/>
    <mergeCell ref="C20:H20"/>
    <mergeCell ref="C21:D21"/>
    <mergeCell ref="C28:D28"/>
    <mergeCell ref="G28:H28"/>
    <mergeCell ref="C30:H30"/>
    <mergeCell ref="C31:D31"/>
    <mergeCell ref="G31:H31"/>
    <mergeCell ref="C33:H33"/>
    <mergeCell ref="C34:D34"/>
    <mergeCell ref="G34:H34"/>
    <mergeCell ref="G21:H21"/>
    <mergeCell ref="C23:H23"/>
    <mergeCell ref="C24:D24"/>
    <mergeCell ref="G24:H24"/>
    <mergeCell ref="C25:D25"/>
    <mergeCell ref="G25:H25"/>
    <mergeCell ref="C27:H27"/>
  </mergeCells>
  <conditionalFormatting sqref="A1:J36">
    <cfRule type="cellIs" dxfId="2" priority="1" operator="equal">
      <formula>"W"</formula>
    </cfRule>
  </conditionalFormatting>
  <conditionalFormatting sqref="A1:J36">
    <cfRule type="cellIs" dxfId="3" priority="2" operator="equal">
      <formula>"L"</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5.5"/>
    <col customWidth="1" min="3" max="3" width="4.5"/>
    <col customWidth="1" min="4" max="6" width="3.88"/>
    <col customWidth="1" min="7" max="7" width="18.13"/>
    <col customWidth="1" min="8" max="8" width="18.25"/>
    <col customWidth="1" min="9" max="10" width="6.38"/>
    <col customWidth="1" min="11" max="11" width="5.13"/>
    <col customWidth="1" min="12" max="12" width="11.5"/>
    <col customWidth="1" min="13" max="13" width="2.0"/>
    <col customWidth="1" min="14" max="15" width="3.25"/>
    <col customWidth="1" min="16" max="16" width="4.5"/>
    <col customWidth="1" min="17" max="17" width="15.63"/>
    <col customWidth="1" min="18" max="18" width="2.63"/>
    <col customWidth="1" min="19" max="19" width="15.75"/>
    <col customWidth="1" min="20" max="20" width="2.0"/>
    <col customWidth="1" min="21" max="21" width="15.63"/>
    <col customWidth="1" min="22" max="22" width="16.88"/>
    <col customWidth="1" min="23" max="41" width="12.63"/>
    <col customWidth="1" min="42" max="42" width="16.88"/>
    <col customWidth="1" min="43" max="43" width="12.63"/>
  </cols>
  <sheetData>
    <row r="1">
      <c r="A1" s="641" t="s">
        <v>330</v>
      </c>
      <c r="B1" s="643"/>
      <c r="C1" s="644"/>
      <c r="D1" s="645"/>
      <c r="E1" s="645"/>
      <c r="F1" s="646" t="s">
        <v>71</v>
      </c>
      <c r="G1" s="647" t="s">
        <v>331</v>
      </c>
      <c r="H1" s="647" t="s">
        <v>332</v>
      </c>
      <c r="I1" s="647" t="s">
        <v>333</v>
      </c>
      <c r="J1" s="647" t="s">
        <v>334</v>
      </c>
      <c r="K1" s="648" t="s">
        <v>335</v>
      </c>
      <c r="L1" s="647" t="s">
        <v>336</v>
      </c>
      <c r="M1" s="649"/>
      <c r="N1" s="650" t="s">
        <v>337</v>
      </c>
      <c r="O1" s="29"/>
      <c r="P1" s="29"/>
      <c r="Q1" s="29"/>
      <c r="R1" s="29"/>
      <c r="S1" s="31"/>
      <c r="T1" s="649"/>
      <c r="U1" s="651" t="s">
        <v>338</v>
      </c>
      <c r="V1" s="651" t="s">
        <v>73</v>
      </c>
      <c r="W1" s="651" t="s">
        <v>339</v>
      </c>
      <c r="X1" s="652" t="s">
        <v>136</v>
      </c>
      <c r="Y1" s="652" t="s">
        <v>341</v>
      </c>
      <c r="Z1" s="652" t="s">
        <v>128</v>
      </c>
      <c r="AA1" s="652" t="s">
        <v>178</v>
      </c>
      <c r="AB1" s="652" t="s">
        <v>80</v>
      </c>
      <c r="AC1" s="652" t="s">
        <v>342</v>
      </c>
      <c r="AD1" s="652" t="s">
        <v>343</v>
      </c>
      <c r="AE1" s="652" t="s">
        <v>215</v>
      </c>
      <c r="AF1" s="652" t="s">
        <v>82</v>
      </c>
      <c r="AG1" s="652" t="s">
        <v>150</v>
      </c>
      <c r="AH1" s="652" t="s">
        <v>81</v>
      </c>
      <c r="AI1" s="652" t="s">
        <v>209</v>
      </c>
      <c r="AJ1" s="652" t="s">
        <v>203</v>
      </c>
      <c r="AK1" s="652" t="s">
        <v>344</v>
      </c>
      <c r="AL1" s="652" t="s">
        <v>345</v>
      </c>
      <c r="AM1" s="652" t="s">
        <v>346</v>
      </c>
      <c r="AN1" s="652" t="s">
        <v>193</v>
      </c>
      <c r="AO1" s="652" t="s">
        <v>127</v>
      </c>
      <c r="AP1" s="653"/>
      <c r="AQ1" s="136"/>
    </row>
    <row r="2">
      <c r="A2" s="654" t="str">
        <f t="array" ref="A2:A1285">IFERROR(VLOOKUP(B2:B1285,{Pokedex!$I$2:$I1285,Pokedex!$H$2:$H1285},2,FALSE),"")</f>
        <v/>
      </c>
      <c r="B2" s="655" t="s">
        <v>83</v>
      </c>
      <c r="C2" s="657">
        <v>19.0</v>
      </c>
      <c r="D2" s="657"/>
      <c r="E2" s="658"/>
      <c r="F2" s="650" t="s">
        <v>349</v>
      </c>
      <c r="G2" s="29"/>
      <c r="H2" s="29"/>
      <c r="I2" s="29"/>
      <c r="J2" s="29"/>
      <c r="K2" s="29"/>
      <c r="L2" s="31"/>
      <c r="M2" s="659"/>
      <c r="N2" s="660" t="s">
        <v>350</v>
      </c>
      <c r="O2" s="661" t="s">
        <v>351</v>
      </c>
      <c r="P2" s="662" t="s">
        <v>352</v>
      </c>
      <c r="Q2" s="663" t="s">
        <v>353</v>
      </c>
      <c r="R2" s="664"/>
      <c r="S2" s="665" t="s">
        <v>354</v>
      </c>
      <c r="T2" s="649"/>
      <c r="U2" s="660" t="str">
        <f t="shared" ref="U2:U13" si="1">$G$3</f>
        <v>Ryan Tidey</v>
      </c>
      <c r="V2" s="667" t="str">
        <f>Teams!$D5</f>
        <v>Chien-Pao</v>
      </c>
      <c r="W2" s="668">
        <f t="array" ref="W2:W1285">IFERROR(VLOOKUP(V2:V1285,Pokedex!$I$2:$Q2526,9,FALSE),"")</f>
        <v>135</v>
      </c>
      <c r="X2" s="669">
        <f t="array" ref="X2:X1285">IFERROR(VLOOKUP(V2:V1285,Pokedex!$I$2:$AL2526,13,FALSE),"")</f>
        <v>1</v>
      </c>
      <c r="Y2" s="669">
        <f t="array" ref="Y2:Y1285">IFERROR(VLOOKUP(V2:V1285,Pokedex!$I$2:$AL2526,14,FALSE),"")</f>
        <v>4</v>
      </c>
      <c r="Z2" s="669">
        <f t="array" ref="Z2:Z1285">IFERROR(VLOOKUP(V2:V1285,Pokedex!$I$2:$AL2526,15,FALSE),"")</f>
        <v>1</v>
      </c>
      <c r="AA2" s="664">
        <f t="array" ref="AA2:AA1285">IFERROR(VLOOKUP(V2:V1285,Pokedex!$I$2:$AL2526,16,FALSE),"")</f>
        <v>1</v>
      </c>
      <c r="AB2" s="664">
        <f t="array" ref="AB2:AB1285">IFERROR(VLOOKUP(V2:V1285,Pokedex!$I$2:$AL2526,17,FALSE),"")</f>
        <v>1</v>
      </c>
      <c r="AC2" s="664">
        <f t="array" ref="AC2:AC1285">IFERROR(VLOOKUP(V2:V1285,Pokedex!$I$2:$AL2526,18,FALSE),"")</f>
        <v>2</v>
      </c>
      <c r="AD2" s="664">
        <f t="array" ref="AD2:AD1285">IFERROR(VLOOKUP(V2:V1285,Pokedex!$I$2:$AL2526,19,FALSE),"")</f>
        <v>2</v>
      </c>
      <c r="AE2" s="664">
        <f t="array" ref="AE2:AE1285">IFERROR(VLOOKUP(V2:V1285,Pokedex!$I$2:$AL2526,20,FALSE),"")</f>
        <v>0.5</v>
      </c>
      <c r="AF2" s="664">
        <f t="array" ref="AF2:AF1285">IFERROR(VLOOKUP(V2:V1285,Pokedex!$I$2:$AL2526,21,FALSE),"")</f>
        <v>2</v>
      </c>
      <c r="AG2" s="664">
        <f t="array" ref="AG2:AG1285">IFERROR(VLOOKUP(V2:V1285,Pokedex!$I$2:$AL2526,22,FALSE),"")</f>
        <v>2</v>
      </c>
      <c r="AH2" s="664">
        <f t="array" ref="AH2:AH1285">IFERROR(VLOOKUP(V2:V1285,Pokedex!$I$2:$AL2526,23,FALSE),"")</f>
        <v>1</v>
      </c>
      <c r="AI2" s="664">
        <f t="array" ref="AI2:AI1285">IFERROR(VLOOKUP(V2:V1285,Pokedex!$I$2:$AL2526,24,FALSE),"")</f>
        <v>1</v>
      </c>
      <c r="AJ2" s="664">
        <f t="array" ref="AJ2:AJ1285">IFERROR(VLOOKUP(V2:V1285,Pokedex!$I$2:$AL2526,25,FALSE),"")</f>
        <v>1</v>
      </c>
      <c r="AK2" s="664">
        <f t="array" ref="AK2:AK1285">IFERROR(VLOOKUP(V2:V1285,Pokedex!$I$2:$AL2526,26,FALSE),"")</f>
        <v>0</v>
      </c>
      <c r="AL2" s="664">
        <f t="array" ref="AL2:AL1285">IFERROR(VLOOKUP(V2:V1285,Pokedex!$I$2:$AL2526,27,FALSE),"")</f>
        <v>0.5</v>
      </c>
      <c r="AM2" s="664">
        <f t="array" ref="AM2:AM1285">IFERROR(VLOOKUP(V2:V1285,Pokedex!$I$2:$AL2526,28,FALSE),"")</f>
        <v>1</v>
      </c>
      <c r="AN2" s="669">
        <f t="array" ref="AN2:AN1285">IFERROR(VLOOKUP(V2:V1285,Pokedex!$I$2:$AL2526,29,FALSE),"")</f>
        <v>0.5</v>
      </c>
      <c r="AO2" s="685">
        <f t="array" ref="AO2:AO1285">IFERROR(VLOOKUP(V2:V1285,Pokedex!$I$2:$AL2526,30,FALSE),"")</f>
        <v>2</v>
      </c>
      <c r="AP2" s="667" t="str">
        <f t="array" ref="AP2:AQ13">SORT(V2:W13,2,0)</f>
        <v>Chien-Pao</v>
      </c>
      <c r="AQ2" s="665">
        <v>135.0</v>
      </c>
    </row>
    <row r="3">
      <c r="A3" s="654"/>
      <c r="B3" s="686" t="s">
        <v>86</v>
      </c>
      <c r="C3" s="687">
        <v>19.0</v>
      </c>
      <c r="D3" s="687"/>
      <c r="E3" s="658"/>
      <c r="F3" s="662">
        <v>1.0</v>
      </c>
      <c r="G3" s="649" t="s">
        <v>313</v>
      </c>
      <c r="H3" s="688" t="s">
        <v>361</v>
      </c>
      <c r="I3" s="689" t="s">
        <v>87</v>
      </c>
      <c r="J3" s="688" t="s">
        <v>362</v>
      </c>
      <c r="K3" s="690"/>
      <c r="L3" s="691"/>
      <c r="M3" s="659"/>
      <c r="N3" s="692">
        <v>1.0</v>
      </c>
      <c r="O3" s="693">
        <v>5.0</v>
      </c>
      <c r="P3" s="665">
        <v>1.0</v>
      </c>
      <c r="Q3" s="695" t="str">
        <f t="shared" ref="Q3:Q6" si="2">IFERROR(VLOOKUP(N3,$F$3:$G$8,2,FALSE),"")</f>
        <v>Ryan Tidey</v>
      </c>
      <c r="R3" s="664" t="s">
        <v>363</v>
      </c>
      <c r="S3" s="665" t="str">
        <f t="shared" ref="S3:S58" si="3">IFERROR(VLOOKUP(O3,$F$3:$G$18,2,FALSE),"")</f>
        <v>Tyler Gottfredsen</v>
      </c>
      <c r="T3" s="649"/>
      <c r="U3" s="646" t="str">
        <f t="shared" si="1"/>
        <v>Ryan Tidey</v>
      </c>
      <c r="V3" s="696" t="str">
        <f>Teams!$D6</f>
        <v>ursaluna-bloodmoon</v>
      </c>
      <c r="W3" s="649">
        <v>52.0</v>
      </c>
      <c r="X3" s="697">
        <v>1.0</v>
      </c>
      <c r="Y3" s="697">
        <v>2.0</v>
      </c>
      <c r="Z3" s="697">
        <v>1.0</v>
      </c>
      <c r="AA3" s="649">
        <v>0.5</v>
      </c>
      <c r="AB3" s="649">
        <v>1.0</v>
      </c>
      <c r="AC3" s="649">
        <v>0.5</v>
      </c>
      <c r="AD3" s="649">
        <v>1.0</v>
      </c>
      <c r="AE3" s="649">
        <v>0.0</v>
      </c>
      <c r="AF3" s="649">
        <v>1.0</v>
      </c>
      <c r="AG3" s="649">
        <v>1.0</v>
      </c>
      <c r="AH3" s="649">
        <v>2.0</v>
      </c>
      <c r="AI3" s="649">
        <v>2.0</v>
      </c>
      <c r="AJ3" s="649">
        <v>0.0</v>
      </c>
      <c r="AK3" s="649">
        <v>1.0</v>
      </c>
      <c r="AL3" s="649">
        <v>2.0</v>
      </c>
      <c r="AM3" s="649">
        <v>1.0</v>
      </c>
      <c r="AN3" s="697">
        <v>1.0</v>
      </c>
      <c r="AO3" s="697">
        <v>1.0</v>
      </c>
      <c r="AP3" s="649" t="s">
        <v>124</v>
      </c>
      <c r="AQ3" s="689">
        <v>109.0</v>
      </c>
    </row>
    <row r="4">
      <c r="A4" s="654"/>
      <c r="B4" s="686" t="s">
        <v>186</v>
      </c>
      <c r="C4" s="687">
        <v>19.0</v>
      </c>
      <c r="D4" s="687"/>
      <c r="E4" s="698"/>
      <c r="F4" s="688">
        <v>2.0</v>
      </c>
      <c r="G4" s="649" t="s">
        <v>184</v>
      </c>
      <c r="H4" s="688" t="s">
        <v>365</v>
      </c>
      <c r="I4" s="689" t="s">
        <v>101</v>
      </c>
      <c r="J4" s="688" t="s">
        <v>362</v>
      </c>
      <c r="K4" s="688"/>
      <c r="L4" s="688"/>
      <c r="M4" s="659"/>
      <c r="N4" s="699">
        <v>2.0</v>
      </c>
      <c r="O4" s="700">
        <v>6.0</v>
      </c>
      <c r="P4" s="689">
        <v>1.0</v>
      </c>
      <c r="Q4" s="701" t="str">
        <f t="shared" si="2"/>
        <v>Marcus</v>
      </c>
      <c r="R4" s="664" t="s">
        <v>363</v>
      </c>
      <c r="S4" s="689" t="str">
        <f t="shared" si="3"/>
        <v>Dick Hansen</v>
      </c>
      <c r="T4" s="649"/>
      <c r="U4" s="646" t="str">
        <f t="shared" si="1"/>
        <v>Ryan Tidey</v>
      </c>
      <c r="V4" s="696" t="str">
        <f>Teams!$D7</f>
        <v>Iron Hands</v>
      </c>
      <c r="W4" s="649">
        <v>50.0</v>
      </c>
      <c r="X4" s="697">
        <v>1.0</v>
      </c>
      <c r="Y4" s="697">
        <v>1.0</v>
      </c>
      <c r="Z4" s="697">
        <v>1.0</v>
      </c>
      <c r="AA4" s="649">
        <v>1.0</v>
      </c>
      <c r="AB4" s="649">
        <v>2.0</v>
      </c>
      <c r="AC4" s="649">
        <v>0.5</v>
      </c>
      <c r="AD4" s="649">
        <v>0.5</v>
      </c>
      <c r="AE4" s="649">
        <v>1.0</v>
      </c>
      <c r="AF4" s="649">
        <v>0.5</v>
      </c>
      <c r="AG4" s="649">
        <v>1.0</v>
      </c>
      <c r="AH4" s="649">
        <v>1.0</v>
      </c>
      <c r="AI4" s="649">
        <v>1.0</v>
      </c>
      <c r="AJ4" s="649">
        <v>0.5</v>
      </c>
      <c r="AK4" s="649">
        <v>2.0</v>
      </c>
      <c r="AL4" s="649">
        <v>1.0</v>
      </c>
      <c r="AM4" s="649">
        <v>1.0</v>
      </c>
      <c r="AN4" s="697">
        <v>0.5</v>
      </c>
      <c r="AO4" s="697">
        <v>2.0</v>
      </c>
      <c r="AP4" s="649" t="s">
        <v>146</v>
      </c>
      <c r="AQ4" s="689">
        <v>108.0</v>
      </c>
    </row>
    <row r="5">
      <c r="A5" s="654"/>
      <c r="B5" s="686" t="s">
        <v>268</v>
      </c>
      <c r="C5" s="687"/>
      <c r="D5" s="702"/>
      <c r="E5" s="703"/>
      <c r="F5" s="688">
        <v>3.0</v>
      </c>
      <c r="G5" s="649" t="s">
        <v>190</v>
      </c>
      <c r="H5" s="688" t="s">
        <v>368</v>
      </c>
      <c r="I5" s="689" t="s">
        <v>95</v>
      </c>
      <c r="J5" s="688" t="s">
        <v>369</v>
      </c>
      <c r="K5" s="690"/>
      <c r="L5" s="688"/>
      <c r="M5" s="659"/>
      <c r="N5" s="699">
        <v>3.0</v>
      </c>
      <c r="O5" s="700">
        <v>7.0</v>
      </c>
      <c r="P5" s="689">
        <v>1.0</v>
      </c>
      <c r="Q5" s="701" t="str">
        <f t="shared" si="2"/>
        <v>Ian Heslin</v>
      </c>
      <c r="R5" s="664" t="s">
        <v>363</v>
      </c>
      <c r="S5" s="689" t="str">
        <f t="shared" si="3"/>
        <v>Jackson McLoughlin</v>
      </c>
      <c r="T5" s="649"/>
      <c r="U5" s="646" t="str">
        <f t="shared" si="1"/>
        <v>Ryan Tidey</v>
      </c>
      <c r="V5" s="649" t="str">
        <f>Teams!$D8</f>
        <v>Skeledirge (T)</v>
      </c>
      <c r="W5" s="649">
        <v>66.0</v>
      </c>
      <c r="X5" s="697">
        <v>0.0</v>
      </c>
      <c r="Y5" s="697">
        <v>0.0</v>
      </c>
      <c r="Z5" s="697">
        <v>1.0</v>
      </c>
      <c r="AA5" s="649">
        <v>0.5</v>
      </c>
      <c r="AB5" s="649">
        <v>2.0</v>
      </c>
      <c r="AC5" s="649">
        <v>2.0</v>
      </c>
      <c r="AD5" s="649">
        <v>0.25</v>
      </c>
      <c r="AE5" s="649">
        <v>2.0</v>
      </c>
      <c r="AF5" s="649">
        <v>0.5</v>
      </c>
      <c r="AG5" s="649">
        <v>0.5</v>
      </c>
      <c r="AH5" s="649">
        <v>2.0</v>
      </c>
      <c r="AI5" s="649">
        <v>0.5</v>
      </c>
      <c r="AJ5" s="649">
        <v>1.0</v>
      </c>
      <c r="AK5" s="649">
        <v>1.0</v>
      </c>
      <c r="AL5" s="649">
        <v>0.5</v>
      </c>
      <c r="AM5" s="649">
        <v>1.0</v>
      </c>
      <c r="AN5" s="697">
        <v>2.0</v>
      </c>
      <c r="AO5" s="697">
        <v>0.5</v>
      </c>
      <c r="AP5" s="649" t="s">
        <v>197</v>
      </c>
      <c r="AQ5" s="689">
        <v>92.0</v>
      </c>
    </row>
    <row r="6">
      <c r="A6" s="654"/>
      <c r="B6" s="704" t="s">
        <v>246</v>
      </c>
      <c r="C6" s="687">
        <v>18.0</v>
      </c>
      <c r="D6" s="687"/>
      <c r="E6" s="658"/>
      <c r="F6" s="688">
        <v>4.0</v>
      </c>
      <c r="G6" s="649" t="s">
        <v>196</v>
      </c>
      <c r="H6" s="688" t="s">
        <v>373</v>
      </c>
      <c r="I6" s="689" t="s">
        <v>84</v>
      </c>
      <c r="J6" s="688" t="s">
        <v>369</v>
      </c>
      <c r="K6" s="705"/>
      <c r="L6" s="688"/>
      <c r="M6" s="659"/>
      <c r="N6" s="699">
        <v>4.0</v>
      </c>
      <c r="O6" s="700">
        <v>8.0</v>
      </c>
      <c r="P6" s="689">
        <v>1.0</v>
      </c>
      <c r="Q6" s="701" t="str">
        <f t="shared" si="2"/>
        <v>Ryan Evans</v>
      </c>
      <c r="R6" s="664" t="s">
        <v>363</v>
      </c>
      <c r="S6" s="689" t="str">
        <f t="shared" si="3"/>
        <v>Zach VanSickle</v>
      </c>
      <c r="T6" s="649"/>
      <c r="U6" s="646" t="str">
        <f t="shared" si="1"/>
        <v>Ryan Tidey</v>
      </c>
      <c r="V6" s="649" t="str">
        <f>Teams!$D9</f>
        <v>Walking Wake</v>
      </c>
      <c r="W6" s="649">
        <v>109.0</v>
      </c>
      <c r="X6" s="697">
        <v>1.0</v>
      </c>
      <c r="Y6" s="697">
        <v>1.0</v>
      </c>
      <c r="Z6" s="697">
        <v>1.0</v>
      </c>
      <c r="AA6" s="649">
        <v>1.0</v>
      </c>
      <c r="AB6" s="649">
        <v>1.0</v>
      </c>
      <c r="AC6" s="649">
        <v>1.0</v>
      </c>
      <c r="AD6" s="649">
        <v>1.0</v>
      </c>
      <c r="AE6" s="649">
        <v>1.0</v>
      </c>
      <c r="AF6" s="649">
        <v>0.5</v>
      </c>
      <c r="AG6" s="649">
        <v>0.25</v>
      </c>
      <c r="AH6" s="649">
        <v>0.25</v>
      </c>
      <c r="AI6" s="649">
        <v>1.0</v>
      </c>
      <c r="AJ6" s="649">
        <v>1.0</v>
      </c>
      <c r="AK6" s="649">
        <v>1.0</v>
      </c>
      <c r="AL6" s="649">
        <v>1.0</v>
      </c>
      <c r="AM6" s="649">
        <v>2.0</v>
      </c>
      <c r="AN6" s="697">
        <v>1.0</v>
      </c>
      <c r="AO6" s="697">
        <v>2.0</v>
      </c>
      <c r="AP6" s="649" t="s">
        <v>180</v>
      </c>
      <c r="AQ6" s="689">
        <v>80.0</v>
      </c>
    </row>
    <row r="7">
      <c r="A7" s="654"/>
      <c r="B7" s="686" t="s">
        <v>137</v>
      </c>
      <c r="C7" s="687">
        <v>18.0</v>
      </c>
      <c r="D7" s="702"/>
      <c r="E7" s="703"/>
      <c r="F7" s="688">
        <v>5.0</v>
      </c>
      <c r="G7" s="649" t="s">
        <v>204</v>
      </c>
      <c r="H7" s="688" t="s">
        <v>376</v>
      </c>
      <c r="I7" s="689" t="s">
        <v>111</v>
      </c>
      <c r="J7" s="688" t="s">
        <v>369</v>
      </c>
      <c r="K7" s="690"/>
      <c r="L7" s="688"/>
      <c r="M7" s="659"/>
      <c r="N7" s="707"/>
      <c r="O7" s="708"/>
      <c r="P7" s="689">
        <v>1.0</v>
      </c>
      <c r="Q7" s="701" t="str">
        <f t="shared" ref="Q7:Q58" si="4">IFERROR(VLOOKUP(N7,$F$3:$G$18,2,FALSE),"")</f>
        <v/>
      </c>
      <c r="R7" s="664" t="s">
        <v>363</v>
      </c>
      <c r="S7" s="689" t="str">
        <f t="shared" si="3"/>
        <v/>
      </c>
      <c r="T7" s="649"/>
      <c r="U7" s="646" t="str">
        <f t="shared" si="1"/>
        <v>Ryan Tidey</v>
      </c>
      <c r="V7" s="649" t="str">
        <f>Teams!$D10</f>
        <v>Alomomola (T)</v>
      </c>
      <c r="W7" s="649">
        <v>65.0</v>
      </c>
      <c r="X7" s="697">
        <v>1.0</v>
      </c>
      <c r="Y7" s="697">
        <v>1.0</v>
      </c>
      <c r="Z7" s="697">
        <v>1.0</v>
      </c>
      <c r="AA7" s="649">
        <v>1.0</v>
      </c>
      <c r="AB7" s="649">
        <v>1.0</v>
      </c>
      <c r="AC7" s="649">
        <v>1.0</v>
      </c>
      <c r="AD7" s="649">
        <v>1.0</v>
      </c>
      <c r="AE7" s="649">
        <v>1.0</v>
      </c>
      <c r="AF7" s="649">
        <v>0.5</v>
      </c>
      <c r="AG7" s="649">
        <v>0.5</v>
      </c>
      <c r="AH7" s="649">
        <v>0.5</v>
      </c>
      <c r="AI7" s="649">
        <v>2.0</v>
      </c>
      <c r="AJ7" s="649">
        <v>2.0</v>
      </c>
      <c r="AK7" s="649">
        <v>1.0</v>
      </c>
      <c r="AL7" s="649">
        <v>0.5</v>
      </c>
      <c r="AM7" s="649">
        <v>1.0</v>
      </c>
      <c r="AN7" s="697">
        <v>1.0</v>
      </c>
      <c r="AO7" s="697">
        <v>1.0</v>
      </c>
      <c r="AP7" s="649" t="s">
        <v>191</v>
      </c>
      <c r="AQ7" s="689">
        <v>66.0</v>
      </c>
    </row>
    <row r="8">
      <c r="A8" s="654"/>
      <c r="B8" s="686" t="s">
        <v>99</v>
      </c>
      <c r="C8" s="687">
        <v>18.0</v>
      </c>
      <c r="D8" s="702"/>
      <c r="E8" s="703"/>
      <c r="F8" s="688">
        <v>6.0</v>
      </c>
      <c r="G8" s="649" t="s">
        <v>187</v>
      </c>
      <c r="H8" s="688" t="s">
        <v>378</v>
      </c>
      <c r="I8" s="689" t="s">
        <v>148</v>
      </c>
      <c r="J8" s="688" t="s">
        <v>369</v>
      </c>
      <c r="K8" s="690"/>
      <c r="L8" s="688"/>
      <c r="M8" s="659"/>
      <c r="N8" s="707"/>
      <c r="O8" s="708"/>
      <c r="P8" s="689">
        <v>1.0</v>
      </c>
      <c r="Q8" s="701" t="str">
        <f t="shared" si="4"/>
        <v/>
      </c>
      <c r="R8" s="664" t="s">
        <v>363</v>
      </c>
      <c r="S8" s="689" t="str">
        <f t="shared" si="3"/>
        <v/>
      </c>
      <c r="T8" s="649"/>
      <c r="U8" s="646" t="str">
        <f t="shared" si="1"/>
        <v>Ryan Tidey</v>
      </c>
      <c r="V8" s="649" t="str">
        <f>Teams!$D11</f>
        <v>Cobalion</v>
      </c>
      <c r="W8" s="649">
        <v>108.0</v>
      </c>
      <c r="X8" s="697">
        <v>0.5</v>
      </c>
      <c r="Y8" s="697">
        <v>2.0</v>
      </c>
      <c r="Z8" s="697">
        <v>1.0</v>
      </c>
      <c r="AA8" s="649">
        <v>0.0</v>
      </c>
      <c r="AB8" s="649">
        <v>2.0</v>
      </c>
      <c r="AC8" s="649">
        <v>0.25</v>
      </c>
      <c r="AD8" s="649">
        <v>0.25</v>
      </c>
      <c r="AE8" s="649">
        <v>1.0</v>
      </c>
      <c r="AF8" s="649">
        <v>0.5</v>
      </c>
      <c r="AG8" s="649">
        <v>2.0</v>
      </c>
      <c r="AH8" s="649">
        <v>1.0</v>
      </c>
      <c r="AI8" s="649">
        <v>0.5</v>
      </c>
      <c r="AJ8" s="649">
        <v>1.0</v>
      </c>
      <c r="AK8" s="649">
        <v>1.0</v>
      </c>
      <c r="AL8" s="649">
        <v>0.5</v>
      </c>
      <c r="AM8" s="649">
        <v>0.5</v>
      </c>
      <c r="AN8" s="697">
        <v>0.5</v>
      </c>
      <c r="AO8" s="697">
        <v>1.0</v>
      </c>
      <c r="AP8" s="649" t="s">
        <v>206</v>
      </c>
      <c r="AQ8" s="689">
        <v>65.0</v>
      </c>
    </row>
    <row r="9">
      <c r="A9" s="654"/>
      <c r="B9" s="686" t="s">
        <v>165</v>
      </c>
      <c r="C9" s="687">
        <v>18.0</v>
      </c>
      <c r="D9" s="702"/>
      <c r="E9" s="703"/>
      <c r="F9" s="688">
        <v>7.0</v>
      </c>
      <c r="G9" s="649" t="s">
        <v>194</v>
      </c>
      <c r="H9" s="688" t="s">
        <v>379</v>
      </c>
      <c r="I9" s="689" t="s">
        <v>89</v>
      </c>
      <c r="J9" s="688" t="s">
        <v>362</v>
      </c>
      <c r="K9" s="690"/>
      <c r="L9" s="688"/>
      <c r="M9" s="659"/>
      <c r="N9" s="707"/>
      <c r="O9" s="708"/>
      <c r="P9" s="689">
        <v>1.0</v>
      </c>
      <c r="Q9" s="701" t="str">
        <f t="shared" si="4"/>
        <v/>
      </c>
      <c r="R9" s="664" t="s">
        <v>363</v>
      </c>
      <c r="S9" s="689" t="str">
        <f t="shared" si="3"/>
        <v/>
      </c>
      <c r="T9" s="649"/>
      <c r="U9" s="646" t="str">
        <f t="shared" si="1"/>
        <v>Ryan Tidey</v>
      </c>
      <c r="V9" s="649" t="str">
        <f>Teams!$D12</f>
        <v>Hoopa-Unbound (T)</v>
      </c>
      <c r="W9" s="649">
        <v>80.0</v>
      </c>
      <c r="X9" s="697">
        <v>1.0</v>
      </c>
      <c r="Y9" s="697">
        <v>1.0</v>
      </c>
      <c r="Z9" s="697">
        <v>1.0</v>
      </c>
      <c r="AA9" s="649">
        <v>1.0</v>
      </c>
      <c r="AB9" s="649">
        <v>1.0</v>
      </c>
      <c r="AC9" s="649">
        <v>1.0</v>
      </c>
      <c r="AD9" s="649">
        <v>4.0</v>
      </c>
      <c r="AE9" s="649">
        <v>1.0</v>
      </c>
      <c r="AF9" s="649">
        <v>1.0</v>
      </c>
      <c r="AG9" s="649">
        <v>1.0</v>
      </c>
      <c r="AH9" s="649">
        <v>1.0</v>
      </c>
      <c r="AI9" s="649">
        <v>1.0</v>
      </c>
      <c r="AJ9" s="649">
        <v>1.0</v>
      </c>
      <c r="AK9" s="649">
        <v>0.0</v>
      </c>
      <c r="AL9" s="649">
        <v>1.0</v>
      </c>
      <c r="AM9" s="649">
        <v>1.0</v>
      </c>
      <c r="AN9" s="697">
        <v>1.0</v>
      </c>
      <c r="AO9" s="697">
        <v>2.0</v>
      </c>
      <c r="AP9" s="649" t="s">
        <v>199</v>
      </c>
      <c r="AQ9" s="689">
        <v>58.0</v>
      </c>
    </row>
    <row r="10">
      <c r="A10" s="654"/>
      <c r="B10" s="686" t="s">
        <v>380</v>
      </c>
      <c r="C10" s="687">
        <v>17.0</v>
      </c>
      <c r="D10" s="702"/>
      <c r="E10" s="703"/>
      <c r="F10" s="712">
        <v>8.0</v>
      </c>
      <c r="G10" s="713" t="s">
        <v>198</v>
      </c>
      <c r="H10" s="712" t="s">
        <v>381</v>
      </c>
      <c r="I10" s="714" t="s">
        <v>106</v>
      </c>
      <c r="J10" s="712" t="s">
        <v>369</v>
      </c>
      <c r="K10" s="715"/>
      <c r="L10" s="712"/>
      <c r="M10" s="659"/>
      <c r="N10" s="716"/>
      <c r="O10" s="717"/>
      <c r="P10" s="689">
        <v>1.0</v>
      </c>
      <c r="Q10" s="701" t="str">
        <f t="shared" si="4"/>
        <v/>
      </c>
      <c r="R10" s="664" t="s">
        <v>363</v>
      </c>
      <c r="S10" s="689" t="str">
        <f t="shared" si="3"/>
        <v/>
      </c>
      <c r="T10" s="649"/>
      <c r="U10" s="646" t="str">
        <f t="shared" si="1"/>
        <v>Ryan Tidey</v>
      </c>
      <c r="V10" s="649" t="str">
        <f>Teams!$D13</f>
        <v>Krookodile</v>
      </c>
      <c r="W10" s="649">
        <v>92.0</v>
      </c>
      <c r="X10" s="697">
        <v>1.0</v>
      </c>
      <c r="Y10" s="697">
        <v>2.0</v>
      </c>
      <c r="Z10" s="697">
        <v>1.0</v>
      </c>
      <c r="AA10" s="649">
        <v>0.5</v>
      </c>
      <c r="AB10" s="649">
        <v>1.0</v>
      </c>
      <c r="AC10" s="649">
        <v>0.5</v>
      </c>
      <c r="AD10" s="649">
        <v>2.0</v>
      </c>
      <c r="AE10" s="649">
        <v>0.5</v>
      </c>
      <c r="AF10" s="649">
        <v>1.0</v>
      </c>
      <c r="AG10" s="649">
        <v>1.0</v>
      </c>
      <c r="AH10" s="649">
        <v>2.0</v>
      </c>
      <c r="AI10" s="649">
        <v>2.0</v>
      </c>
      <c r="AJ10" s="649">
        <v>0.0</v>
      </c>
      <c r="AK10" s="649">
        <v>0.0</v>
      </c>
      <c r="AL10" s="649">
        <v>2.0</v>
      </c>
      <c r="AM10" s="649">
        <v>1.0</v>
      </c>
      <c r="AN10" s="697">
        <v>0.5</v>
      </c>
      <c r="AO10" s="697">
        <v>2.0</v>
      </c>
      <c r="AP10" s="696" t="s">
        <v>176</v>
      </c>
      <c r="AQ10" s="689">
        <v>52.0</v>
      </c>
    </row>
    <row r="11">
      <c r="A11" s="654"/>
      <c r="B11" s="686" t="s">
        <v>320</v>
      </c>
      <c r="C11" s="687">
        <v>17.0</v>
      </c>
      <c r="D11" s="702"/>
      <c r="E11" s="703"/>
      <c r="F11" s="649"/>
      <c r="G11" s="649"/>
      <c r="H11" s="649"/>
      <c r="I11" s="649"/>
      <c r="J11" s="649"/>
      <c r="K11" s="659"/>
      <c r="L11" s="659"/>
      <c r="M11" s="659"/>
      <c r="N11" s="692">
        <v>1.0</v>
      </c>
      <c r="O11" s="693">
        <v>2.0</v>
      </c>
      <c r="P11" s="665">
        <v>2.0</v>
      </c>
      <c r="Q11" s="695" t="str">
        <f t="shared" si="4"/>
        <v>Ryan Tidey</v>
      </c>
      <c r="R11" s="664" t="s">
        <v>363</v>
      </c>
      <c r="S11" s="665" t="str">
        <f t="shared" si="3"/>
        <v>Marcus</v>
      </c>
      <c r="T11" s="649"/>
      <c r="U11" s="646" t="str">
        <f t="shared" si="1"/>
        <v>Ryan Tidey</v>
      </c>
      <c r="V11" s="649" t="str">
        <f>Teams!$D14</f>
        <v>Zweilous</v>
      </c>
      <c r="W11" s="649">
        <v>58.0</v>
      </c>
      <c r="X11" s="697">
        <v>1.0</v>
      </c>
      <c r="Y11" s="697">
        <v>2.0</v>
      </c>
      <c r="Z11" s="697">
        <v>1.0</v>
      </c>
      <c r="AA11" s="649">
        <v>1.0</v>
      </c>
      <c r="AB11" s="649">
        <v>1.0</v>
      </c>
      <c r="AC11" s="649">
        <v>1.0</v>
      </c>
      <c r="AD11" s="649">
        <v>2.0</v>
      </c>
      <c r="AE11" s="649">
        <v>0.5</v>
      </c>
      <c r="AF11" s="649">
        <v>1.0</v>
      </c>
      <c r="AG11" s="649">
        <v>0.5</v>
      </c>
      <c r="AH11" s="649">
        <v>0.5</v>
      </c>
      <c r="AI11" s="649">
        <v>0.5</v>
      </c>
      <c r="AJ11" s="649">
        <v>0.5</v>
      </c>
      <c r="AK11" s="649">
        <v>0.0</v>
      </c>
      <c r="AL11" s="649">
        <v>2.0</v>
      </c>
      <c r="AM11" s="649">
        <v>2.0</v>
      </c>
      <c r="AN11" s="697">
        <v>0.5</v>
      </c>
      <c r="AO11" s="697">
        <v>4.0</v>
      </c>
      <c r="AP11" s="696" t="s">
        <v>88</v>
      </c>
      <c r="AQ11" s="689">
        <v>50.0</v>
      </c>
    </row>
    <row r="12">
      <c r="A12" s="654"/>
      <c r="B12" s="686" t="s">
        <v>355</v>
      </c>
      <c r="C12" s="687">
        <v>17.0</v>
      </c>
      <c r="D12" s="702"/>
      <c r="E12" s="703"/>
      <c r="F12" s="649"/>
      <c r="G12" s="649"/>
      <c r="H12" s="649"/>
      <c r="I12" s="649"/>
      <c r="J12" s="649"/>
      <c r="K12" s="659"/>
      <c r="L12" s="659"/>
      <c r="M12" s="659"/>
      <c r="N12" s="699">
        <v>3.0</v>
      </c>
      <c r="O12" s="700">
        <v>5.0</v>
      </c>
      <c r="P12" s="689">
        <v>2.0</v>
      </c>
      <c r="Q12" s="701" t="str">
        <f t="shared" si="4"/>
        <v>Ian Heslin</v>
      </c>
      <c r="R12" s="664" t="s">
        <v>363</v>
      </c>
      <c r="S12" s="689" t="str">
        <f t="shared" si="3"/>
        <v>Tyler Gottfredsen</v>
      </c>
      <c r="T12" s="649"/>
      <c r="U12" s="646" t="str">
        <f t="shared" si="1"/>
        <v>Ryan Tidey</v>
      </c>
      <c r="V12" s="649" t="str">
        <f>Teams!$D15</f>
        <v/>
      </c>
      <c r="W12" s="649"/>
      <c r="X12" s="697"/>
      <c r="Y12" s="697"/>
      <c r="Z12" s="697"/>
      <c r="AA12" s="649"/>
      <c r="AB12" s="649"/>
      <c r="AC12" s="649"/>
      <c r="AD12" s="649"/>
      <c r="AE12" s="649"/>
      <c r="AF12" s="649"/>
      <c r="AG12" s="649"/>
      <c r="AH12" s="649"/>
      <c r="AI12" s="649"/>
      <c r="AJ12" s="649"/>
      <c r="AK12" s="649"/>
      <c r="AL12" s="649"/>
      <c r="AM12" s="649"/>
      <c r="AN12" s="697"/>
      <c r="AO12" s="697"/>
      <c r="AP12" s="649"/>
      <c r="AQ12" s="689"/>
    </row>
    <row r="13">
      <c r="A13" s="654"/>
      <c r="B13" s="719" t="s">
        <v>304</v>
      </c>
      <c r="C13" s="720">
        <v>17.0</v>
      </c>
      <c r="D13" s="721"/>
      <c r="E13" s="703"/>
      <c r="F13" s="649"/>
      <c r="G13" s="649"/>
      <c r="H13" s="649"/>
      <c r="I13" s="649"/>
      <c r="J13" s="649"/>
      <c r="K13" s="659"/>
      <c r="L13" s="659"/>
      <c r="M13" s="659"/>
      <c r="N13" s="699">
        <v>4.0</v>
      </c>
      <c r="O13" s="700">
        <v>6.0</v>
      </c>
      <c r="P13" s="689">
        <v>2.0</v>
      </c>
      <c r="Q13" s="701" t="str">
        <f t="shared" si="4"/>
        <v>Ryan Evans</v>
      </c>
      <c r="R13" s="664" t="s">
        <v>363</v>
      </c>
      <c r="S13" s="689" t="str">
        <f t="shared" si="3"/>
        <v>Dick Hansen</v>
      </c>
      <c r="T13" s="649"/>
      <c r="U13" s="724" t="str">
        <f t="shared" si="1"/>
        <v>Ryan Tidey</v>
      </c>
      <c r="V13" s="713" t="str">
        <f>Teams!$D16</f>
        <v/>
      </c>
      <c r="W13" s="713"/>
      <c r="X13" s="725"/>
      <c r="Y13" s="725"/>
      <c r="Z13" s="725"/>
      <c r="AA13" s="713"/>
      <c r="AB13" s="713"/>
      <c r="AC13" s="713"/>
      <c r="AD13" s="713"/>
      <c r="AE13" s="713"/>
      <c r="AF13" s="713"/>
      <c r="AG13" s="713"/>
      <c r="AH13" s="713"/>
      <c r="AI13" s="713"/>
      <c r="AJ13" s="713"/>
      <c r="AK13" s="713"/>
      <c r="AL13" s="713"/>
      <c r="AM13" s="713"/>
      <c r="AN13" s="725"/>
      <c r="AO13" s="725"/>
      <c r="AP13" s="649"/>
      <c r="AQ13" s="689"/>
    </row>
    <row r="14">
      <c r="A14" s="654"/>
      <c r="B14" s="719" t="s">
        <v>243</v>
      </c>
      <c r="C14" s="720">
        <v>17.0</v>
      </c>
      <c r="D14" s="721"/>
      <c r="E14" s="703"/>
      <c r="F14" s="649"/>
      <c r="G14" s="649"/>
      <c r="H14" s="649"/>
      <c r="I14" s="649"/>
      <c r="J14" s="649"/>
      <c r="K14" s="659"/>
      <c r="L14" s="659"/>
      <c r="M14" s="659"/>
      <c r="N14" s="699">
        <v>7.0</v>
      </c>
      <c r="O14" s="700">
        <v>8.0</v>
      </c>
      <c r="P14" s="689">
        <v>2.0</v>
      </c>
      <c r="Q14" s="701" t="str">
        <f t="shared" si="4"/>
        <v>Jackson McLoughlin</v>
      </c>
      <c r="R14" s="664" t="s">
        <v>363</v>
      </c>
      <c r="S14" s="689" t="str">
        <f t="shared" si="3"/>
        <v>Zach VanSickle</v>
      </c>
      <c r="T14" s="649"/>
      <c r="U14" s="660" t="str">
        <f t="shared" ref="U14:U25" si="5">$G$4</f>
        <v>Marcus</v>
      </c>
      <c r="V14" s="667" t="str">
        <f>Teams!$K5</f>
        <v>Dragapult</v>
      </c>
      <c r="W14" s="664">
        <v>142.0</v>
      </c>
      <c r="X14" s="669">
        <v>0.0</v>
      </c>
      <c r="Y14" s="697">
        <v>0.0</v>
      </c>
      <c r="Z14" s="697">
        <v>1.0</v>
      </c>
      <c r="AA14" s="649">
        <v>0.5</v>
      </c>
      <c r="AB14" s="649">
        <v>1.0</v>
      </c>
      <c r="AC14" s="649">
        <v>1.0</v>
      </c>
      <c r="AD14" s="649">
        <v>0.5</v>
      </c>
      <c r="AE14" s="649">
        <v>2.0</v>
      </c>
      <c r="AF14" s="649">
        <v>1.0</v>
      </c>
      <c r="AG14" s="649">
        <v>0.5</v>
      </c>
      <c r="AH14" s="649">
        <v>0.5</v>
      </c>
      <c r="AI14" s="649">
        <v>0.5</v>
      </c>
      <c r="AJ14" s="649">
        <v>0.5</v>
      </c>
      <c r="AK14" s="649">
        <v>1.0</v>
      </c>
      <c r="AL14" s="649">
        <v>2.0</v>
      </c>
      <c r="AM14" s="649">
        <v>2.0</v>
      </c>
      <c r="AN14" s="697">
        <v>2.0</v>
      </c>
      <c r="AO14" s="697">
        <v>2.0</v>
      </c>
      <c r="AP14" s="667" t="str">
        <f t="array" ref="AP14:AQ25">SORT(V14:W25,2,0)</f>
        <v>Dragapult</v>
      </c>
      <c r="AQ14" s="665">
        <v>142.0</v>
      </c>
    </row>
    <row r="15">
      <c r="A15" s="654"/>
      <c r="B15" s="686" t="s">
        <v>96</v>
      </c>
      <c r="C15" s="687">
        <v>16.0</v>
      </c>
      <c r="D15" s="702"/>
      <c r="E15" s="703"/>
      <c r="F15" s="649"/>
      <c r="G15" s="733"/>
      <c r="H15" s="649"/>
      <c r="I15" s="649"/>
      <c r="J15" s="649"/>
      <c r="K15" s="659"/>
      <c r="L15" s="659"/>
      <c r="M15" s="659"/>
      <c r="N15" s="707"/>
      <c r="O15" s="708"/>
      <c r="P15" s="689">
        <v>2.0</v>
      </c>
      <c r="Q15" s="701" t="str">
        <f t="shared" si="4"/>
        <v/>
      </c>
      <c r="R15" s="664" t="s">
        <v>363</v>
      </c>
      <c r="S15" s="689" t="str">
        <f t="shared" si="3"/>
        <v/>
      </c>
      <c r="T15" s="649"/>
      <c r="U15" s="646" t="str">
        <f t="shared" si="5"/>
        <v>Marcus</v>
      </c>
      <c r="V15" s="696" t="str">
        <f>Teams!$K6</f>
        <v>Meowscarada</v>
      </c>
      <c r="W15" s="649">
        <v>123.0</v>
      </c>
      <c r="X15" s="697">
        <v>1.0</v>
      </c>
      <c r="Y15" s="697">
        <v>2.0</v>
      </c>
      <c r="Z15" s="697">
        <v>2.0</v>
      </c>
      <c r="AA15" s="649">
        <v>2.0</v>
      </c>
      <c r="AB15" s="649">
        <v>0.5</v>
      </c>
      <c r="AC15" s="649">
        <v>1.0</v>
      </c>
      <c r="AD15" s="649">
        <v>4.0</v>
      </c>
      <c r="AE15" s="649">
        <v>0.5</v>
      </c>
      <c r="AF15" s="649">
        <v>1.0</v>
      </c>
      <c r="AG15" s="649">
        <v>2.0</v>
      </c>
      <c r="AH15" s="649">
        <v>0.5</v>
      </c>
      <c r="AI15" s="649">
        <v>0.5</v>
      </c>
      <c r="AJ15" s="649">
        <v>0.5</v>
      </c>
      <c r="AK15" s="649">
        <v>0.0</v>
      </c>
      <c r="AL15" s="649">
        <v>2.0</v>
      </c>
      <c r="AM15" s="649">
        <v>1.0</v>
      </c>
      <c r="AN15" s="697">
        <v>0.5</v>
      </c>
      <c r="AO15" s="697">
        <v>2.0</v>
      </c>
      <c r="AP15" s="696" t="s">
        <v>123</v>
      </c>
      <c r="AQ15" s="689">
        <v>123.0</v>
      </c>
    </row>
    <row r="16">
      <c r="A16" s="654"/>
      <c r="B16" s="704" t="s">
        <v>123</v>
      </c>
      <c r="C16" s="687">
        <v>16.0</v>
      </c>
      <c r="D16" s="702"/>
      <c r="E16" s="703"/>
      <c r="F16" s="649"/>
      <c r="G16" s="649"/>
      <c r="H16" s="649"/>
      <c r="I16" s="649"/>
      <c r="J16" s="649"/>
      <c r="K16" s="659"/>
      <c r="L16" s="659"/>
      <c r="M16" s="659"/>
      <c r="N16" s="707"/>
      <c r="O16" s="708"/>
      <c r="P16" s="689">
        <v>2.0</v>
      </c>
      <c r="Q16" s="701" t="str">
        <f t="shared" si="4"/>
        <v/>
      </c>
      <c r="R16" s="664" t="s">
        <v>363</v>
      </c>
      <c r="S16" s="689" t="str">
        <f t="shared" si="3"/>
        <v/>
      </c>
      <c r="T16" s="649"/>
      <c r="U16" s="646" t="str">
        <f t="shared" si="5"/>
        <v>Marcus</v>
      </c>
      <c r="V16" s="696" t="str">
        <f>Teams!$K7</f>
        <v>Jirachi</v>
      </c>
      <c r="W16" s="649">
        <v>100.0</v>
      </c>
      <c r="X16" s="697">
        <v>0.5</v>
      </c>
      <c r="Y16" s="697">
        <v>1.0</v>
      </c>
      <c r="Z16" s="697">
        <v>0.5</v>
      </c>
      <c r="AA16" s="649">
        <v>0.0</v>
      </c>
      <c r="AB16" s="649">
        <v>2.0</v>
      </c>
      <c r="AC16" s="649">
        <v>0.5</v>
      </c>
      <c r="AD16" s="649">
        <v>1.0</v>
      </c>
      <c r="AE16" s="649">
        <v>2.0</v>
      </c>
      <c r="AF16" s="649">
        <v>0.5</v>
      </c>
      <c r="AG16" s="649">
        <v>2.0</v>
      </c>
      <c r="AH16" s="649">
        <v>1.0</v>
      </c>
      <c r="AI16" s="649">
        <v>0.5</v>
      </c>
      <c r="AJ16" s="649">
        <v>1.0</v>
      </c>
      <c r="AK16" s="649">
        <v>0.25</v>
      </c>
      <c r="AL16" s="649">
        <v>0.5</v>
      </c>
      <c r="AM16" s="649">
        <v>0.5</v>
      </c>
      <c r="AN16" s="697">
        <v>2.0</v>
      </c>
      <c r="AO16" s="697">
        <v>0.5</v>
      </c>
      <c r="AP16" s="649" t="s">
        <v>224</v>
      </c>
      <c r="AQ16" s="689">
        <v>119.0</v>
      </c>
    </row>
    <row r="17">
      <c r="A17" s="654"/>
      <c r="B17" s="704" t="s">
        <v>168</v>
      </c>
      <c r="C17" s="687">
        <v>16.0</v>
      </c>
      <c r="D17" s="702"/>
      <c r="E17" s="703"/>
      <c r="F17" s="649"/>
      <c r="G17" s="705"/>
      <c r="H17" s="649"/>
      <c r="I17" s="649"/>
      <c r="J17" s="649"/>
      <c r="K17" s="659"/>
      <c r="L17" s="659"/>
      <c r="M17" s="659"/>
      <c r="N17" s="707"/>
      <c r="O17" s="708"/>
      <c r="P17" s="689">
        <v>2.0</v>
      </c>
      <c r="Q17" s="701" t="str">
        <f t="shared" si="4"/>
        <v/>
      </c>
      <c r="R17" s="664" t="s">
        <v>363</v>
      </c>
      <c r="S17" s="689" t="str">
        <f t="shared" si="3"/>
        <v/>
      </c>
      <c r="T17" s="649"/>
      <c r="U17" s="646" t="str">
        <f t="shared" si="5"/>
        <v>Marcus</v>
      </c>
      <c r="V17" s="649" t="str">
        <f>Teams!$K8</f>
        <v>Keldeo</v>
      </c>
      <c r="W17" s="649">
        <v>108.0</v>
      </c>
      <c r="X17" s="697">
        <v>1.0</v>
      </c>
      <c r="Y17" s="697">
        <v>1.0</v>
      </c>
      <c r="Z17" s="697">
        <v>2.0</v>
      </c>
      <c r="AA17" s="649">
        <v>1.0</v>
      </c>
      <c r="AB17" s="649">
        <v>1.0</v>
      </c>
      <c r="AC17" s="649">
        <v>0.5</v>
      </c>
      <c r="AD17" s="649">
        <v>0.5</v>
      </c>
      <c r="AE17" s="649">
        <v>1.0</v>
      </c>
      <c r="AF17" s="649">
        <v>0.5</v>
      </c>
      <c r="AG17" s="649">
        <v>0.5</v>
      </c>
      <c r="AH17" s="649">
        <v>0.5</v>
      </c>
      <c r="AI17" s="649">
        <v>2.0</v>
      </c>
      <c r="AJ17" s="649">
        <v>2.0</v>
      </c>
      <c r="AK17" s="649">
        <v>2.0</v>
      </c>
      <c r="AL17" s="649">
        <v>0.5</v>
      </c>
      <c r="AM17" s="649">
        <v>1.0</v>
      </c>
      <c r="AN17" s="697">
        <v>0.5</v>
      </c>
      <c r="AO17" s="697">
        <v>2.0</v>
      </c>
      <c r="AP17" s="649" t="s">
        <v>211</v>
      </c>
      <c r="AQ17" s="689">
        <v>111.0</v>
      </c>
    </row>
    <row r="18">
      <c r="A18" s="736"/>
      <c r="B18" s="738" t="s">
        <v>118</v>
      </c>
      <c r="C18" s="720">
        <v>16.0</v>
      </c>
      <c r="D18" s="721"/>
      <c r="E18" s="703"/>
      <c r="F18" s="649"/>
      <c r="G18" s="649"/>
      <c r="H18" s="649"/>
      <c r="I18" s="649"/>
      <c r="J18" s="649"/>
      <c r="K18" s="659"/>
      <c r="L18" s="659"/>
      <c r="M18" s="659"/>
      <c r="N18" s="716"/>
      <c r="O18" s="717"/>
      <c r="P18" s="689">
        <v>2.0</v>
      </c>
      <c r="Q18" s="701" t="str">
        <f t="shared" si="4"/>
        <v/>
      </c>
      <c r="R18" s="664" t="s">
        <v>363</v>
      </c>
      <c r="S18" s="689" t="str">
        <f t="shared" si="3"/>
        <v/>
      </c>
      <c r="T18" s="649"/>
      <c r="U18" s="646" t="str">
        <f t="shared" si="5"/>
        <v>Marcus</v>
      </c>
      <c r="V18" s="649" t="str">
        <f>Teams!$K9</f>
        <v>Kleavor (T)</v>
      </c>
      <c r="W18" s="649">
        <v>85.0</v>
      </c>
      <c r="X18" s="697">
        <v>0.5</v>
      </c>
      <c r="Y18" s="697">
        <v>1.0</v>
      </c>
      <c r="Z18" s="697">
        <v>1.0</v>
      </c>
      <c r="AA18" s="649">
        <v>0.5</v>
      </c>
      <c r="AB18" s="649">
        <v>1.0</v>
      </c>
      <c r="AC18" s="649">
        <v>2.0</v>
      </c>
      <c r="AD18" s="649">
        <v>1.0</v>
      </c>
      <c r="AE18" s="649">
        <v>1.0</v>
      </c>
      <c r="AF18" s="649">
        <v>2.0</v>
      </c>
      <c r="AG18" s="649">
        <v>1.0</v>
      </c>
      <c r="AH18" s="649">
        <v>2.0</v>
      </c>
      <c r="AI18" s="649">
        <v>1.0</v>
      </c>
      <c r="AJ18" s="649">
        <v>1.0</v>
      </c>
      <c r="AK18" s="649">
        <v>1.0</v>
      </c>
      <c r="AL18" s="649">
        <v>1.0</v>
      </c>
      <c r="AM18" s="649">
        <v>1.0</v>
      </c>
      <c r="AN18" s="697">
        <v>1.0</v>
      </c>
      <c r="AO18" s="697">
        <v>1.0</v>
      </c>
      <c r="AP18" s="649" t="s">
        <v>102</v>
      </c>
      <c r="AQ18" s="689">
        <v>108.0</v>
      </c>
    </row>
    <row r="19">
      <c r="A19" s="654"/>
      <c r="B19" s="719" t="s">
        <v>113</v>
      </c>
      <c r="C19" s="720">
        <v>16.0</v>
      </c>
      <c r="D19" s="721"/>
      <c r="E19" s="740"/>
      <c r="F19" s="649"/>
      <c r="G19" s="649"/>
      <c r="H19" s="649"/>
      <c r="I19" s="649"/>
      <c r="J19" s="649"/>
      <c r="K19" s="649"/>
      <c r="L19" s="649"/>
      <c r="M19" s="659"/>
      <c r="N19" s="692">
        <v>1.0</v>
      </c>
      <c r="O19" s="693">
        <v>3.0</v>
      </c>
      <c r="P19" s="665">
        <v>3.0</v>
      </c>
      <c r="Q19" s="695" t="str">
        <f t="shared" si="4"/>
        <v>Ryan Tidey</v>
      </c>
      <c r="R19" s="664" t="s">
        <v>363</v>
      </c>
      <c r="S19" s="665" t="str">
        <f t="shared" si="3"/>
        <v>Ian Heslin</v>
      </c>
      <c r="T19" s="649"/>
      <c r="U19" s="646" t="str">
        <f t="shared" si="5"/>
        <v>Marcus</v>
      </c>
      <c r="V19" s="649" t="str">
        <f>Teams!$K10</f>
        <v>Tornadus-Incarnate (T)</v>
      </c>
      <c r="W19" s="649">
        <v>111.0</v>
      </c>
      <c r="X19" s="697">
        <v>1.0</v>
      </c>
      <c r="Y19" s="697">
        <v>0.5</v>
      </c>
      <c r="Z19" s="697">
        <v>1.0</v>
      </c>
      <c r="AA19" s="659">
        <v>1.0</v>
      </c>
      <c r="AB19" s="659">
        <v>0.0</v>
      </c>
      <c r="AC19" s="659">
        <v>2.0</v>
      </c>
      <c r="AD19" s="659">
        <v>0.5</v>
      </c>
      <c r="AE19" s="659">
        <v>1.0</v>
      </c>
      <c r="AF19" s="659">
        <v>1.0</v>
      </c>
      <c r="AG19" s="659">
        <v>1.0</v>
      </c>
      <c r="AH19" s="659">
        <v>1.0</v>
      </c>
      <c r="AI19" s="659">
        <v>0.5</v>
      </c>
      <c r="AJ19" s="659">
        <v>2.0</v>
      </c>
      <c r="AK19" s="659">
        <v>1.0</v>
      </c>
      <c r="AL19" s="659">
        <v>2.0</v>
      </c>
      <c r="AM19" s="659">
        <v>1.0</v>
      </c>
      <c r="AN19" s="697">
        <v>1.0</v>
      </c>
      <c r="AO19" s="697">
        <v>1.0</v>
      </c>
      <c r="AP19" s="649" t="s">
        <v>109</v>
      </c>
      <c r="AQ19" s="689">
        <v>101.0</v>
      </c>
    </row>
    <row r="20">
      <c r="A20" s="654"/>
      <c r="B20" s="738" t="s">
        <v>155</v>
      </c>
      <c r="C20" s="720">
        <v>16.0</v>
      </c>
      <c r="D20" s="721"/>
      <c r="E20" s="740"/>
      <c r="F20" s="649"/>
      <c r="G20" s="705"/>
      <c r="H20" s="649"/>
      <c r="I20" s="649"/>
      <c r="J20" s="649"/>
      <c r="K20" s="659"/>
      <c r="L20" s="742"/>
      <c r="M20" s="743"/>
      <c r="N20" s="699">
        <v>2.0</v>
      </c>
      <c r="O20" s="700">
        <v>4.0</v>
      </c>
      <c r="P20" s="689">
        <v>3.0</v>
      </c>
      <c r="Q20" s="701" t="str">
        <f t="shared" si="4"/>
        <v>Marcus</v>
      </c>
      <c r="R20" s="664" t="s">
        <v>363</v>
      </c>
      <c r="S20" s="689" t="str">
        <f t="shared" si="3"/>
        <v>Ryan Evans</v>
      </c>
      <c r="T20" s="659"/>
      <c r="U20" s="646" t="str">
        <f t="shared" si="5"/>
        <v>Marcus</v>
      </c>
      <c r="V20" s="649" t="str">
        <f>Teams!$K11</f>
        <v>Grimmsnarl</v>
      </c>
      <c r="W20" s="649">
        <v>60.0</v>
      </c>
      <c r="X20" s="697">
        <v>1.0</v>
      </c>
      <c r="Y20" s="697">
        <v>1.0</v>
      </c>
      <c r="Z20" s="697">
        <v>1.0</v>
      </c>
      <c r="AA20" s="659">
        <v>2.0</v>
      </c>
      <c r="AB20" s="659">
        <v>1.0</v>
      </c>
      <c r="AC20" s="659">
        <v>1.0</v>
      </c>
      <c r="AD20" s="659">
        <v>1.0</v>
      </c>
      <c r="AE20" s="659">
        <v>0.5</v>
      </c>
      <c r="AF20" s="659">
        <v>2.0</v>
      </c>
      <c r="AG20" s="659">
        <v>1.0</v>
      </c>
      <c r="AH20" s="659">
        <v>1.0</v>
      </c>
      <c r="AI20" s="659">
        <v>1.0</v>
      </c>
      <c r="AJ20" s="659">
        <v>1.0</v>
      </c>
      <c r="AK20" s="659">
        <v>0.0</v>
      </c>
      <c r="AL20" s="659">
        <v>1.0</v>
      </c>
      <c r="AM20" s="659">
        <v>0.0</v>
      </c>
      <c r="AN20" s="697">
        <v>0.25</v>
      </c>
      <c r="AO20" s="697">
        <v>2.0</v>
      </c>
      <c r="AP20" s="696" t="s">
        <v>156</v>
      </c>
      <c r="AQ20" s="689">
        <v>100.0</v>
      </c>
    </row>
    <row r="21">
      <c r="A21" s="654"/>
      <c r="B21" s="738" t="s">
        <v>386</v>
      </c>
      <c r="C21" s="720">
        <v>16.0</v>
      </c>
      <c r="D21" s="721"/>
      <c r="E21" s="703"/>
      <c r="F21" s="649"/>
      <c r="G21" s="705"/>
      <c r="H21" s="649"/>
      <c r="I21" s="649"/>
      <c r="J21" s="649"/>
      <c r="K21" s="659"/>
      <c r="L21" s="659"/>
      <c r="M21" s="649"/>
      <c r="N21" s="699">
        <v>5.0</v>
      </c>
      <c r="O21" s="700">
        <v>8.0</v>
      </c>
      <c r="P21" s="689">
        <v>3.0</v>
      </c>
      <c r="Q21" s="701" t="str">
        <f t="shared" si="4"/>
        <v>Tyler Gottfredsen</v>
      </c>
      <c r="R21" s="664" t="s">
        <v>363</v>
      </c>
      <c r="S21" s="689" t="str">
        <f t="shared" si="3"/>
        <v>Zach VanSickle</v>
      </c>
      <c r="T21" s="659"/>
      <c r="U21" s="646" t="str">
        <f t="shared" si="5"/>
        <v>Marcus</v>
      </c>
      <c r="V21" s="649" t="str">
        <f>Teams!$K12</f>
        <v>Cinderace</v>
      </c>
      <c r="W21" s="659">
        <v>119.0</v>
      </c>
      <c r="X21" s="697">
        <v>1.0</v>
      </c>
      <c r="Y21" s="697">
        <v>1.0</v>
      </c>
      <c r="Z21" s="697">
        <v>1.0</v>
      </c>
      <c r="AA21" s="659">
        <v>1.0</v>
      </c>
      <c r="AB21" s="659">
        <v>2.0</v>
      </c>
      <c r="AC21" s="659">
        <v>2.0</v>
      </c>
      <c r="AD21" s="659">
        <v>0.5</v>
      </c>
      <c r="AE21" s="659">
        <v>1.0</v>
      </c>
      <c r="AF21" s="659">
        <v>0.5</v>
      </c>
      <c r="AG21" s="659">
        <v>0.5</v>
      </c>
      <c r="AH21" s="659">
        <v>2.0</v>
      </c>
      <c r="AI21" s="659">
        <v>0.5</v>
      </c>
      <c r="AJ21" s="659">
        <v>1.0</v>
      </c>
      <c r="AK21" s="659">
        <v>1.0</v>
      </c>
      <c r="AL21" s="659">
        <v>0.5</v>
      </c>
      <c r="AM21" s="659">
        <v>1.0</v>
      </c>
      <c r="AN21" s="697">
        <v>1.0</v>
      </c>
      <c r="AO21" s="697">
        <v>0.5</v>
      </c>
      <c r="AP21" s="659" t="s">
        <v>161</v>
      </c>
      <c r="AQ21" s="746">
        <v>85.0</v>
      </c>
    </row>
    <row r="22">
      <c r="A22" s="654"/>
      <c r="B22" s="704" t="s">
        <v>357</v>
      </c>
      <c r="C22" s="687">
        <v>16.0</v>
      </c>
      <c r="D22" s="702"/>
      <c r="E22" s="703"/>
      <c r="F22" s="649"/>
      <c r="G22" s="649"/>
      <c r="H22" s="649"/>
      <c r="I22" s="649"/>
      <c r="J22" s="649"/>
      <c r="K22" s="659"/>
      <c r="L22" s="659"/>
      <c r="M22" s="659"/>
      <c r="N22" s="699">
        <v>6.0</v>
      </c>
      <c r="O22" s="700">
        <v>7.0</v>
      </c>
      <c r="P22" s="689">
        <v>3.0</v>
      </c>
      <c r="Q22" s="701" t="str">
        <f t="shared" si="4"/>
        <v>Dick Hansen</v>
      </c>
      <c r="R22" s="664" t="s">
        <v>363</v>
      </c>
      <c r="S22" s="689" t="str">
        <f t="shared" si="3"/>
        <v>Jackson McLoughlin</v>
      </c>
      <c r="T22" s="659"/>
      <c r="U22" s="646" t="str">
        <f t="shared" si="5"/>
        <v>Marcus</v>
      </c>
      <c r="V22" s="649" t="str">
        <f>Teams!$K13</f>
        <v>Landorus-Incarnate</v>
      </c>
      <c r="W22" s="659">
        <v>101.0</v>
      </c>
      <c r="X22" s="697">
        <v>1.0</v>
      </c>
      <c r="Y22" s="697">
        <v>0.5</v>
      </c>
      <c r="Z22" s="697">
        <v>1.0</v>
      </c>
      <c r="AA22" s="659">
        <v>0.5</v>
      </c>
      <c r="AB22" s="659">
        <v>0.0</v>
      </c>
      <c r="AC22" s="659">
        <v>1.0</v>
      </c>
      <c r="AD22" s="659">
        <v>0.5</v>
      </c>
      <c r="AE22" s="659">
        <v>1.0</v>
      </c>
      <c r="AF22" s="659">
        <v>1.0</v>
      </c>
      <c r="AG22" s="659">
        <v>1.0</v>
      </c>
      <c r="AH22" s="659">
        <v>2.0</v>
      </c>
      <c r="AI22" s="659">
        <v>1.0</v>
      </c>
      <c r="AJ22" s="659">
        <v>0.0</v>
      </c>
      <c r="AK22" s="659">
        <v>1.0</v>
      </c>
      <c r="AL22" s="659">
        <v>4.0</v>
      </c>
      <c r="AM22" s="659">
        <v>1.0</v>
      </c>
      <c r="AN22" s="697">
        <v>1.0</v>
      </c>
      <c r="AO22" s="697">
        <v>1.0</v>
      </c>
      <c r="AP22" s="659" t="s">
        <v>185</v>
      </c>
      <c r="AQ22" s="746">
        <v>60.0</v>
      </c>
    </row>
    <row r="23">
      <c r="A23" s="654"/>
      <c r="B23" s="686" t="s">
        <v>389</v>
      </c>
      <c r="C23" s="687">
        <v>15.0</v>
      </c>
      <c r="D23" s="702"/>
      <c r="E23" s="703"/>
      <c r="F23" s="649"/>
      <c r="G23" s="649"/>
      <c r="H23" s="649"/>
      <c r="I23" s="649"/>
      <c r="J23" s="649"/>
      <c r="K23" s="659"/>
      <c r="L23" s="659"/>
      <c r="M23" s="659"/>
      <c r="N23" s="707"/>
      <c r="O23" s="708"/>
      <c r="P23" s="689">
        <v>3.0</v>
      </c>
      <c r="Q23" s="701" t="str">
        <f t="shared" si="4"/>
        <v/>
      </c>
      <c r="R23" s="664" t="s">
        <v>363</v>
      </c>
      <c r="S23" s="689" t="str">
        <f t="shared" si="3"/>
        <v/>
      </c>
      <c r="T23" s="659"/>
      <c r="U23" s="646" t="str">
        <f t="shared" si="5"/>
        <v>Marcus</v>
      </c>
      <c r="V23" s="649" t="str">
        <f>Teams!$K14</f>
        <v>Dusclops</v>
      </c>
      <c r="W23" s="659">
        <v>25.0</v>
      </c>
      <c r="X23" s="697">
        <v>0.0</v>
      </c>
      <c r="Y23" s="697">
        <v>0.0</v>
      </c>
      <c r="Z23" s="697">
        <v>1.0</v>
      </c>
      <c r="AA23" s="659">
        <v>0.5</v>
      </c>
      <c r="AB23" s="659">
        <v>1.0</v>
      </c>
      <c r="AC23" s="659">
        <v>1.0</v>
      </c>
      <c r="AD23" s="659">
        <v>0.5</v>
      </c>
      <c r="AE23" s="659">
        <v>2.0</v>
      </c>
      <c r="AF23" s="659">
        <v>1.0</v>
      </c>
      <c r="AG23" s="659">
        <v>1.0</v>
      </c>
      <c r="AH23" s="659">
        <v>1.0</v>
      </c>
      <c r="AI23" s="659">
        <v>1.0</v>
      </c>
      <c r="AJ23" s="659">
        <v>1.0</v>
      </c>
      <c r="AK23" s="659">
        <v>1.0</v>
      </c>
      <c r="AL23" s="659">
        <v>1.0</v>
      </c>
      <c r="AM23" s="659">
        <v>1.0</v>
      </c>
      <c r="AN23" s="697">
        <v>2.0</v>
      </c>
      <c r="AO23" s="697">
        <v>1.0</v>
      </c>
      <c r="AP23" s="659" t="s">
        <v>229</v>
      </c>
      <c r="AQ23" s="746">
        <v>25.0</v>
      </c>
    </row>
    <row r="24">
      <c r="A24" s="654"/>
      <c r="B24" s="686" t="s">
        <v>85</v>
      </c>
      <c r="C24" s="687">
        <v>15.0</v>
      </c>
      <c r="D24" s="702"/>
      <c r="E24" s="703"/>
      <c r="F24" s="649"/>
      <c r="G24" s="649"/>
      <c r="H24" s="649"/>
      <c r="I24" s="649"/>
      <c r="J24" s="649"/>
      <c r="K24" s="659"/>
      <c r="L24" s="659"/>
      <c r="M24" s="659"/>
      <c r="N24" s="707"/>
      <c r="O24" s="708"/>
      <c r="P24" s="689">
        <v>3.0</v>
      </c>
      <c r="Q24" s="701" t="str">
        <f t="shared" si="4"/>
        <v/>
      </c>
      <c r="R24" s="664" t="s">
        <v>363</v>
      </c>
      <c r="S24" s="689" t="str">
        <f t="shared" si="3"/>
        <v/>
      </c>
      <c r="T24" s="659"/>
      <c r="U24" s="646" t="str">
        <f t="shared" si="5"/>
        <v>Marcus</v>
      </c>
      <c r="V24" s="649" t="str">
        <f>Teams!$K15</f>
        <v/>
      </c>
      <c r="W24" s="659"/>
      <c r="X24" s="697"/>
      <c r="Y24" s="697"/>
      <c r="Z24" s="697"/>
      <c r="AA24" s="659"/>
      <c r="AB24" s="659"/>
      <c r="AC24" s="659"/>
      <c r="AD24" s="659"/>
      <c r="AE24" s="659"/>
      <c r="AF24" s="659"/>
      <c r="AG24" s="659"/>
      <c r="AH24" s="659"/>
      <c r="AI24" s="659"/>
      <c r="AJ24" s="659"/>
      <c r="AK24" s="659"/>
      <c r="AL24" s="659"/>
      <c r="AM24" s="659"/>
      <c r="AN24" s="697"/>
      <c r="AO24" s="697"/>
      <c r="AP24" s="659"/>
      <c r="AQ24" s="746"/>
    </row>
    <row r="25">
      <c r="A25" s="654"/>
      <c r="B25" s="738" t="s">
        <v>394</v>
      </c>
      <c r="C25" s="720">
        <v>15.0</v>
      </c>
      <c r="D25" s="721"/>
      <c r="E25" s="703"/>
      <c r="F25" s="649"/>
      <c r="G25" s="649"/>
      <c r="H25" s="649"/>
      <c r="I25" s="649"/>
      <c r="J25" s="649"/>
      <c r="K25" s="659"/>
      <c r="L25" s="659"/>
      <c r="M25" s="659"/>
      <c r="N25" s="707"/>
      <c r="O25" s="708"/>
      <c r="P25" s="689">
        <v>3.0</v>
      </c>
      <c r="Q25" s="701" t="str">
        <f t="shared" si="4"/>
        <v/>
      </c>
      <c r="R25" s="664" t="s">
        <v>363</v>
      </c>
      <c r="S25" s="689" t="str">
        <f t="shared" si="3"/>
        <v/>
      </c>
      <c r="T25" s="659"/>
      <c r="U25" s="724" t="str">
        <f t="shared" si="5"/>
        <v>Marcus</v>
      </c>
      <c r="V25" s="713" t="str">
        <f>Teams!$K16</f>
        <v/>
      </c>
      <c r="W25" s="758"/>
      <c r="X25" s="725"/>
      <c r="Y25" s="725"/>
      <c r="Z25" s="725"/>
      <c r="AA25" s="758"/>
      <c r="AB25" s="758"/>
      <c r="AC25" s="758"/>
      <c r="AD25" s="758"/>
      <c r="AE25" s="758"/>
      <c r="AF25" s="758"/>
      <c r="AG25" s="758"/>
      <c r="AH25" s="758"/>
      <c r="AI25" s="758"/>
      <c r="AJ25" s="758"/>
      <c r="AK25" s="758"/>
      <c r="AL25" s="758"/>
      <c r="AM25" s="758"/>
      <c r="AN25" s="725"/>
      <c r="AO25" s="725"/>
      <c r="AP25" s="659"/>
      <c r="AQ25" s="746"/>
    </row>
    <row r="26">
      <c r="A26" s="654"/>
      <c r="B26" s="686" t="s">
        <v>398</v>
      </c>
      <c r="C26" s="687">
        <v>15.0</v>
      </c>
      <c r="D26" s="702"/>
      <c r="E26" s="703"/>
      <c r="F26" s="649"/>
      <c r="G26" s="649"/>
      <c r="H26" s="649"/>
      <c r="I26" s="649"/>
      <c r="J26" s="649"/>
      <c r="K26" s="659"/>
      <c r="L26" s="659"/>
      <c r="M26" s="659"/>
      <c r="N26" s="716"/>
      <c r="O26" s="717"/>
      <c r="P26" s="689">
        <v>3.0</v>
      </c>
      <c r="Q26" s="701" t="str">
        <f t="shared" si="4"/>
        <v/>
      </c>
      <c r="R26" s="664" t="s">
        <v>363</v>
      </c>
      <c r="S26" s="689" t="str">
        <f t="shared" si="3"/>
        <v/>
      </c>
      <c r="T26" s="659"/>
      <c r="U26" s="765" t="str">
        <f t="shared" ref="U26:U37" si="6">$G$5</f>
        <v>Ian Heslin</v>
      </c>
      <c r="V26" s="768" t="str">
        <f>Teams!$R5</f>
        <v>Annihilape</v>
      </c>
      <c r="W26" s="769">
        <v>90.0</v>
      </c>
      <c r="X26" s="669">
        <v>0.0</v>
      </c>
      <c r="Y26" s="697">
        <v>0.0</v>
      </c>
      <c r="Z26" s="697">
        <v>2.0</v>
      </c>
      <c r="AA26" s="659">
        <v>0.5</v>
      </c>
      <c r="AB26" s="659">
        <v>1.0</v>
      </c>
      <c r="AC26" s="659">
        <v>0.5</v>
      </c>
      <c r="AD26" s="659">
        <v>0.25</v>
      </c>
      <c r="AE26" s="659">
        <v>2.0</v>
      </c>
      <c r="AF26" s="659">
        <v>1.0</v>
      </c>
      <c r="AG26" s="659">
        <v>1.0</v>
      </c>
      <c r="AH26" s="659">
        <v>1.0</v>
      </c>
      <c r="AI26" s="659">
        <v>1.0</v>
      </c>
      <c r="AJ26" s="659">
        <v>1.0</v>
      </c>
      <c r="AK26" s="659">
        <v>2.0</v>
      </c>
      <c r="AL26" s="659">
        <v>1.0</v>
      </c>
      <c r="AM26" s="659">
        <v>1.0</v>
      </c>
      <c r="AN26" s="697">
        <v>1.0</v>
      </c>
      <c r="AO26" s="697">
        <v>2.0</v>
      </c>
      <c r="AP26" s="664" t="str">
        <f t="array" ref="AP26:AQ37">SORT(V26:W37,2,0)</f>
        <v>Ribombee (T)</v>
      </c>
      <c r="AQ26" s="665">
        <v>124.0</v>
      </c>
    </row>
    <row r="27">
      <c r="A27" s="654"/>
      <c r="B27" s="704" t="s">
        <v>88</v>
      </c>
      <c r="C27" s="687">
        <v>15.0</v>
      </c>
      <c r="D27" s="702"/>
      <c r="E27" s="703"/>
      <c r="F27" s="649"/>
      <c r="G27" s="649"/>
      <c r="H27" s="649"/>
      <c r="I27" s="649"/>
      <c r="J27" s="649"/>
      <c r="K27" s="659"/>
      <c r="L27" s="659"/>
      <c r="M27" s="659"/>
      <c r="N27" s="692">
        <v>1.0</v>
      </c>
      <c r="O27" s="693">
        <v>4.0</v>
      </c>
      <c r="P27" s="665">
        <v>4.0</v>
      </c>
      <c r="Q27" s="695" t="str">
        <f t="shared" si="4"/>
        <v>Ryan Tidey</v>
      </c>
      <c r="R27" s="664" t="s">
        <v>363</v>
      </c>
      <c r="S27" s="665" t="str">
        <f t="shared" si="3"/>
        <v>Ryan Evans</v>
      </c>
      <c r="T27" s="659"/>
      <c r="U27" s="777" t="str">
        <f t="shared" si="6"/>
        <v>Ian Heslin</v>
      </c>
      <c r="V27" s="779" t="str">
        <f>Teams!$R6</f>
        <v>Enamorus-Incarnate</v>
      </c>
      <c r="W27" s="659">
        <v>106.0</v>
      </c>
      <c r="X27" s="697">
        <v>1.0</v>
      </c>
      <c r="Y27" s="697">
        <v>0.25</v>
      </c>
      <c r="Z27" s="697">
        <v>1.0</v>
      </c>
      <c r="AA27" s="659">
        <v>2.0</v>
      </c>
      <c r="AB27" s="659">
        <v>0.0</v>
      </c>
      <c r="AC27" s="659">
        <v>2.0</v>
      </c>
      <c r="AD27" s="659">
        <v>0.25</v>
      </c>
      <c r="AE27" s="659">
        <v>1.0</v>
      </c>
      <c r="AF27" s="659">
        <v>2.0</v>
      </c>
      <c r="AG27" s="659">
        <v>1.0</v>
      </c>
      <c r="AH27" s="659">
        <v>1.0</v>
      </c>
      <c r="AI27" s="659">
        <v>0.5</v>
      </c>
      <c r="AJ27" s="659">
        <v>2.0</v>
      </c>
      <c r="AK27" s="659">
        <v>1.0</v>
      </c>
      <c r="AL27" s="659">
        <v>2.0</v>
      </c>
      <c r="AM27" s="659">
        <v>0.0</v>
      </c>
      <c r="AN27" s="697">
        <v>0.5</v>
      </c>
      <c r="AO27" s="697">
        <v>1.0</v>
      </c>
      <c r="AP27" s="659" t="s">
        <v>129</v>
      </c>
      <c r="AQ27" s="746">
        <v>110.0</v>
      </c>
    </row>
    <row r="28">
      <c r="A28" s="654"/>
      <c r="B28" s="686" t="s">
        <v>403</v>
      </c>
      <c r="C28" s="687">
        <v>15.0</v>
      </c>
      <c r="D28" s="702"/>
      <c r="E28" s="703"/>
      <c r="F28" s="649"/>
      <c r="G28" s="649"/>
      <c r="H28" s="649"/>
      <c r="I28" s="649"/>
      <c r="J28" s="649"/>
      <c r="K28" s="783"/>
      <c r="L28" s="659"/>
      <c r="M28" s="659"/>
      <c r="N28" s="699">
        <v>3.0</v>
      </c>
      <c r="O28" s="700">
        <v>8.0</v>
      </c>
      <c r="P28" s="689">
        <v>4.0</v>
      </c>
      <c r="Q28" s="701" t="str">
        <f t="shared" si="4"/>
        <v>Ian Heslin</v>
      </c>
      <c r="R28" s="664" t="s">
        <v>363</v>
      </c>
      <c r="S28" s="689" t="str">
        <f t="shared" si="3"/>
        <v>Zach VanSickle</v>
      </c>
      <c r="T28" s="659"/>
      <c r="U28" s="777" t="str">
        <f t="shared" si="6"/>
        <v>Ian Heslin</v>
      </c>
      <c r="V28" s="779" t="str">
        <f>Teams!$R7</f>
        <v>Palafin</v>
      </c>
      <c r="W28" s="659">
        <v>100.0</v>
      </c>
      <c r="X28" s="697">
        <v>1.0</v>
      </c>
      <c r="Y28" s="697">
        <v>1.0</v>
      </c>
      <c r="Z28" s="697">
        <v>1.0</v>
      </c>
      <c r="AA28" s="659">
        <v>1.0</v>
      </c>
      <c r="AB28" s="659">
        <v>1.0</v>
      </c>
      <c r="AC28" s="659">
        <v>1.0</v>
      </c>
      <c r="AD28" s="659">
        <v>1.0</v>
      </c>
      <c r="AE28" s="659">
        <v>1.0</v>
      </c>
      <c r="AF28" s="659">
        <v>0.5</v>
      </c>
      <c r="AG28" s="659">
        <v>0.5</v>
      </c>
      <c r="AH28" s="659">
        <v>0.5</v>
      </c>
      <c r="AI28" s="659">
        <v>2.0</v>
      </c>
      <c r="AJ28" s="659">
        <v>2.0</v>
      </c>
      <c r="AK28" s="659">
        <v>1.0</v>
      </c>
      <c r="AL28" s="659">
        <v>0.5</v>
      </c>
      <c r="AM28" s="659">
        <v>1.0</v>
      </c>
      <c r="AN28" s="697">
        <v>1.0</v>
      </c>
      <c r="AO28" s="697">
        <v>1.0</v>
      </c>
      <c r="AP28" s="779" t="s">
        <v>96</v>
      </c>
      <c r="AQ28" s="746">
        <v>106.0</v>
      </c>
    </row>
    <row r="29">
      <c r="A29" s="654"/>
      <c r="B29" s="704" t="s">
        <v>404</v>
      </c>
      <c r="C29" s="687">
        <v>15.0</v>
      </c>
      <c r="D29" s="702"/>
      <c r="E29" s="703"/>
      <c r="F29" s="649"/>
      <c r="G29" s="649"/>
      <c r="H29" s="649"/>
      <c r="I29" s="649"/>
      <c r="J29" s="649"/>
      <c r="K29" s="659"/>
      <c r="L29" s="659"/>
      <c r="M29" s="659"/>
      <c r="N29" s="699">
        <v>2.0</v>
      </c>
      <c r="O29" s="700">
        <v>7.0</v>
      </c>
      <c r="P29" s="689">
        <v>4.0</v>
      </c>
      <c r="Q29" s="701" t="str">
        <f t="shared" si="4"/>
        <v>Marcus</v>
      </c>
      <c r="R29" s="664" t="s">
        <v>363</v>
      </c>
      <c r="S29" s="689" t="str">
        <f t="shared" si="3"/>
        <v>Jackson McLoughlin</v>
      </c>
      <c r="T29" s="659"/>
      <c r="U29" s="777" t="str">
        <f t="shared" si="6"/>
        <v>Ian Heslin</v>
      </c>
      <c r="V29" s="659" t="str">
        <f>Teams!$R8</f>
        <v>ogerpon-hearthflame</v>
      </c>
      <c r="W29" s="659">
        <v>110.0</v>
      </c>
      <c r="X29" s="697">
        <v>1.0</v>
      </c>
      <c r="Y29" s="697">
        <v>1.0</v>
      </c>
      <c r="Z29" s="697">
        <v>2.0</v>
      </c>
      <c r="AA29" s="659">
        <v>2.0</v>
      </c>
      <c r="AB29" s="659">
        <v>1.0</v>
      </c>
      <c r="AC29" s="659">
        <v>2.0</v>
      </c>
      <c r="AD29" s="659">
        <v>1.0</v>
      </c>
      <c r="AE29" s="659">
        <v>1.0</v>
      </c>
      <c r="AF29" s="659">
        <v>0.5</v>
      </c>
      <c r="AG29" s="659">
        <v>1.0</v>
      </c>
      <c r="AH29" s="659">
        <v>1.0</v>
      </c>
      <c r="AI29" s="659">
        <v>0.25</v>
      </c>
      <c r="AJ29" s="659">
        <v>0.5</v>
      </c>
      <c r="AK29" s="659">
        <v>1.0</v>
      </c>
      <c r="AL29" s="659">
        <v>1.0</v>
      </c>
      <c r="AM29" s="659">
        <v>1.0</v>
      </c>
      <c r="AN29" s="697">
        <v>1.0</v>
      </c>
      <c r="AO29" s="697">
        <v>0.5</v>
      </c>
      <c r="AP29" s="779" t="s">
        <v>99</v>
      </c>
      <c r="AQ29" s="746">
        <v>100.0</v>
      </c>
    </row>
    <row r="30">
      <c r="A30" s="654"/>
      <c r="B30" s="719" t="s">
        <v>121</v>
      </c>
      <c r="C30" s="720">
        <v>15.0</v>
      </c>
      <c r="D30" s="721"/>
      <c r="E30" s="703"/>
      <c r="F30" s="649"/>
      <c r="G30" s="649"/>
      <c r="H30" s="649"/>
      <c r="I30" s="649"/>
      <c r="J30" s="649"/>
      <c r="K30" s="659"/>
      <c r="L30" s="659"/>
      <c r="M30" s="659"/>
      <c r="N30" s="699">
        <v>5.0</v>
      </c>
      <c r="O30" s="700">
        <v>6.0</v>
      </c>
      <c r="P30" s="689">
        <v>4.0</v>
      </c>
      <c r="Q30" s="701" t="str">
        <f t="shared" si="4"/>
        <v>Tyler Gottfredsen</v>
      </c>
      <c r="R30" s="664" t="s">
        <v>363</v>
      </c>
      <c r="S30" s="689" t="str">
        <f t="shared" si="3"/>
        <v>Dick Hansen</v>
      </c>
      <c r="T30" s="659"/>
      <c r="U30" s="777" t="str">
        <f t="shared" si="6"/>
        <v>Ian Heslin</v>
      </c>
      <c r="V30" s="659" t="str">
        <f>Teams!$R9</f>
        <v>Hisuian Samurott</v>
      </c>
      <c r="W30" s="659">
        <v>85.0</v>
      </c>
      <c r="X30" s="697">
        <v>1.0</v>
      </c>
      <c r="Y30" s="697">
        <v>2.0</v>
      </c>
      <c r="Z30" s="697">
        <v>1.0</v>
      </c>
      <c r="AA30" s="659">
        <v>1.0</v>
      </c>
      <c r="AB30" s="659">
        <v>1.0</v>
      </c>
      <c r="AC30" s="659">
        <v>1.0</v>
      </c>
      <c r="AD30" s="659">
        <v>2.0</v>
      </c>
      <c r="AE30" s="659">
        <v>0.5</v>
      </c>
      <c r="AF30" s="659">
        <v>0.5</v>
      </c>
      <c r="AG30" s="659">
        <v>0.5</v>
      </c>
      <c r="AH30" s="659">
        <v>0.5</v>
      </c>
      <c r="AI30" s="659">
        <v>2.0</v>
      </c>
      <c r="AJ30" s="659">
        <v>2.0</v>
      </c>
      <c r="AK30" s="659">
        <v>0.0</v>
      </c>
      <c r="AL30" s="659">
        <v>0.5</v>
      </c>
      <c r="AM30" s="659">
        <v>1.0</v>
      </c>
      <c r="AN30" s="697">
        <v>0.5</v>
      </c>
      <c r="AO30" s="697">
        <v>2.0</v>
      </c>
      <c r="AP30" s="779" t="s">
        <v>115</v>
      </c>
      <c r="AQ30" s="746">
        <v>90.0</v>
      </c>
    </row>
    <row r="31">
      <c r="A31" s="654"/>
      <c r="B31" s="704" t="s">
        <v>144</v>
      </c>
      <c r="C31" s="687">
        <v>15.0</v>
      </c>
      <c r="D31" s="702"/>
      <c r="E31" s="703"/>
      <c r="F31" s="649"/>
      <c r="G31" s="649"/>
      <c r="H31" s="649"/>
      <c r="I31" s="649"/>
      <c r="J31" s="649"/>
      <c r="K31" s="659"/>
      <c r="L31" s="659"/>
      <c r="M31" s="659"/>
      <c r="N31" s="786"/>
      <c r="O31" s="787"/>
      <c r="P31" s="689">
        <v>4.0</v>
      </c>
      <c r="Q31" s="701" t="str">
        <f t="shared" si="4"/>
        <v/>
      </c>
      <c r="R31" s="664" t="s">
        <v>363</v>
      </c>
      <c r="S31" s="689" t="str">
        <f t="shared" si="3"/>
        <v/>
      </c>
      <c r="T31" s="659"/>
      <c r="U31" s="777" t="str">
        <f t="shared" si="6"/>
        <v>Ian Heslin</v>
      </c>
      <c r="V31" s="659" t="str">
        <f>Teams!$R10</f>
        <v>Mamoswine (T)</v>
      </c>
      <c r="W31" s="659">
        <v>80.0</v>
      </c>
      <c r="X31" s="697">
        <v>1.0</v>
      </c>
      <c r="Y31" s="697">
        <v>2.0</v>
      </c>
      <c r="Z31" s="697">
        <v>1.0</v>
      </c>
      <c r="AA31" s="659">
        <v>0.5</v>
      </c>
      <c r="AB31" s="659">
        <v>1.0</v>
      </c>
      <c r="AC31" s="659">
        <v>1.0</v>
      </c>
      <c r="AD31" s="659">
        <v>1.0</v>
      </c>
      <c r="AE31" s="659">
        <v>1.0</v>
      </c>
      <c r="AF31" s="659">
        <v>2.0</v>
      </c>
      <c r="AG31" s="659">
        <v>2.0</v>
      </c>
      <c r="AH31" s="659">
        <v>2.0</v>
      </c>
      <c r="AI31" s="659">
        <v>2.0</v>
      </c>
      <c r="AJ31" s="659">
        <v>0.0</v>
      </c>
      <c r="AK31" s="659">
        <v>1.0</v>
      </c>
      <c r="AL31" s="659">
        <v>1.0</v>
      </c>
      <c r="AM31" s="659">
        <v>1.0</v>
      </c>
      <c r="AN31" s="697">
        <v>1.0</v>
      </c>
      <c r="AO31" s="697">
        <v>1.0</v>
      </c>
      <c r="AP31" s="659" t="s">
        <v>121</v>
      </c>
      <c r="AQ31" s="746">
        <v>85.0</v>
      </c>
    </row>
    <row r="32">
      <c r="A32" s="654"/>
      <c r="B32" s="704" t="s">
        <v>406</v>
      </c>
      <c r="C32" s="687">
        <v>15.0</v>
      </c>
      <c r="D32" s="702"/>
      <c r="E32" s="703"/>
      <c r="F32" s="649"/>
      <c r="G32" s="649"/>
      <c r="H32" s="649"/>
      <c r="I32" s="649"/>
      <c r="J32" s="649"/>
      <c r="K32" s="659"/>
      <c r="L32" s="659"/>
      <c r="M32" s="659"/>
      <c r="N32" s="699"/>
      <c r="O32" s="700"/>
      <c r="P32" s="689">
        <v>4.0</v>
      </c>
      <c r="Q32" s="701" t="str">
        <f t="shared" si="4"/>
        <v/>
      </c>
      <c r="R32" s="664" t="s">
        <v>363</v>
      </c>
      <c r="S32" s="689" t="str">
        <f t="shared" si="3"/>
        <v/>
      </c>
      <c r="T32" s="659"/>
      <c r="U32" s="777" t="str">
        <f t="shared" si="6"/>
        <v>Ian Heslin</v>
      </c>
      <c r="V32" s="659" t="str">
        <f>Teams!$R11</f>
        <v>Galarian Slowking</v>
      </c>
      <c r="W32" s="659">
        <v>30.0</v>
      </c>
      <c r="X32" s="697">
        <v>1.0</v>
      </c>
      <c r="Y32" s="697">
        <v>0.25</v>
      </c>
      <c r="Z32" s="697">
        <v>1.0</v>
      </c>
      <c r="AA32" s="659">
        <v>0.5</v>
      </c>
      <c r="AB32" s="659">
        <v>2.0</v>
      </c>
      <c r="AC32" s="659">
        <v>1.0</v>
      </c>
      <c r="AD32" s="659">
        <v>1.0</v>
      </c>
      <c r="AE32" s="659">
        <v>2.0</v>
      </c>
      <c r="AF32" s="659">
        <v>1.0</v>
      </c>
      <c r="AG32" s="659">
        <v>1.0</v>
      </c>
      <c r="AH32" s="659">
        <v>1.0</v>
      </c>
      <c r="AI32" s="659">
        <v>0.5</v>
      </c>
      <c r="AJ32" s="659">
        <v>1.0</v>
      </c>
      <c r="AK32" s="659">
        <v>1.0</v>
      </c>
      <c r="AL32" s="659">
        <v>1.0</v>
      </c>
      <c r="AM32" s="659">
        <v>1.0</v>
      </c>
      <c r="AN32" s="697">
        <v>2.0</v>
      </c>
      <c r="AO32" s="697">
        <v>0.5</v>
      </c>
      <c r="AP32" s="659" t="s">
        <v>79</v>
      </c>
      <c r="AQ32" s="746">
        <v>80.0</v>
      </c>
    </row>
    <row r="33">
      <c r="A33" s="654"/>
      <c r="B33" s="704" t="s">
        <v>408</v>
      </c>
      <c r="C33" s="687">
        <v>15.0</v>
      </c>
      <c r="D33" s="702"/>
      <c r="E33" s="703"/>
      <c r="F33" s="649"/>
      <c r="G33" s="649"/>
      <c r="H33" s="649"/>
      <c r="I33" s="649"/>
      <c r="J33" s="649"/>
      <c r="K33" s="659"/>
      <c r="L33" s="659"/>
      <c r="M33" s="659"/>
      <c r="N33" s="699"/>
      <c r="O33" s="700"/>
      <c r="P33" s="689">
        <v>4.0</v>
      </c>
      <c r="Q33" s="701" t="str">
        <f t="shared" si="4"/>
        <v/>
      </c>
      <c r="R33" s="664" t="s">
        <v>363</v>
      </c>
      <c r="S33" s="689" t="str">
        <f t="shared" si="3"/>
        <v/>
      </c>
      <c r="T33" s="659"/>
      <c r="U33" s="777" t="str">
        <f t="shared" si="6"/>
        <v>Ian Heslin</v>
      </c>
      <c r="V33" s="659" t="str">
        <f>Teams!$R12</f>
        <v>Scizor</v>
      </c>
      <c r="W33" s="659">
        <v>65.0</v>
      </c>
      <c r="X33" s="697">
        <v>0.5</v>
      </c>
      <c r="Y33" s="697">
        <v>1.0</v>
      </c>
      <c r="Z33" s="697">
        <v>1.0</v>
      </c>
      <c r="AA33" s="659">
        <v>0.0</v>
      </c>
      <c r="AB33" s="659">
        <v>1.0</v>
      </c>
      <c r="AC33" s="659">
        <v>1.0</v>
      </c>
      <c r="AD33" s="659">
        <v>0.5</v>
      </c>
      <c r="AE33" s="659">
        <v>1.0</v>
      </c>
      <c r="AF33" s="659">
        <v>0.5</v>
      </c>
      <c r="AG33" s="659">
        <v>4.0</v>
      </c>
      <c r="AH33" s="659">
        <v>1.0</v>
      </c>
      <c r="AI33" s="659">
        <v>0.25</v>
      </c>
      <c r="AJ33" s="659">
        <v>1.0</v>
      </c>
      <c r="AK33" s="659">
        <v>0.5</v>
      </c>
      <c r="AL33" s="659">
        <v>0.5</v>
      </c>
      <c r="AM33" s="659">
        <v>0.5</v>
      </c>
      <c r="AN33" s="697">
        <v>1.0</v>
      </c>
      <c r="AO33" s="697">
        <v>0.5</v>
      </c>
      <c r="AP33" s="659" t="s">
        <v>159</v>
      </c>
      <c r="AQ33" s="746">
        <v>65.0</v>
      </c>
    </row>
    <row r="34">
      <c r="A34" s="654"/>
      <c r="B34" s="704" t="s">
        <v>112</v>
      </c>
      <c r="C34" s="687">
        <v>15.0</v>
      </c>
      <c r="D34" s="702"/>
      <c r="E34" s="703"/>
      <c r="F34" s="649"/>
      <c r="G34" s="649"/>
      <c r="H34" s="649"/>
      <c r="I34" s="649"/>
      <c r="J34" s="649"/>
      <c r="K34" s="659"/>
      <c r="L34" s="659"/>
      <c r="M34" s="659"/>
      <c r="N34" s="716"/>
      <c r="O34" s="717"/>
      <c r="P34" s="689">
        <v>4.0</v>
      </c>
      <c r="Q34" s="701" t="str">
        <f t="shared" si="4"/>
        <v/>
      </c>
      <c r="R34" s="664" t="s">
        <v>363</v>
      </c>
      <c r="S34" s="689" t="str">
        <f t="shared" si="3"/>
        <v/>
      </c>
      <c r="T34" s="659"/>
      <c r="U34" s="777" t="str">
        <f t="shared" si="6"/>
        <v>Ian Heslin</v>
      </c>
      <c r="V34" s="659" t="str">
        <f>Teams!$R13</f>
        <v>Ribombee (T)</v>
      </c>
      <c r="W34" s="659">
        <v>124.0</v>
      </c>
      <c r="X34" s="697">
        <v>1.0</v>
      </c>
      <c r="Y34" s="697">
        <v>0.25</v>
      </c>
      <c r="Z34" s="697">
        <v>2.0</v>
      </c>
      <c r="AA34" s="659">
        <v>2.0</v>
      </c>
      <c r="AB34" s="659">
        <v>0.5</v>
      </c>
      <c r="AC34" s="659">
        <v>2.0</v>
      </c>
      <c r="AD34" s="659">
        <v>0.5</v>
      </c>
      <c r="AE34" s="659">
        <v>1.0</v>
      </c>
      <c r="AF34" s="659">
        <v>2.0</v>
      </c>
      <c r="AG34" s="659">
        <v>2.0</v>
      </c>
      <c r="AH34" s="659">
        <v>1.0</v>
      </c>
      <c r="AI34" s="659">
        <v>0.5</v>
      </c>
      <c r="AJ34" s="659">
        <v>1.0</v>
      </c>
      <c r="AK34" s="659">
        <v>1.0</v>
      </c>
      <c r="AL34" s="659">
        <v>1.0</v>
      </c>
      <c r="AM34" s="659">
        <v>0.0</v>
      </c>
      <c r="AN34" s="697">
        <v>0.5</v>
      </c>
      <c r="AO34" s="697">
        <v>1.0</v>
      </c>
      <c r="AP34" s="659" t="s">
        <v>201</v>
      </c>
      <c r="AQ34" s="746">
        <v>65.0</v>
      </c>
    </row>
    <row r="35">
      <c r="A35" s="654"/>
      <c r="B35" s="686" t="s">
        <v>409</v>
      </c>
      <c r="C35" s="687">
        <v>15.0</v>
      </c>
      <c r="D35" s="702"/>
      <c r="E35" s="703"/>
      <c r="F35" s="649"/>
      <c r="G35" s="649"/>
      <c r="H35" s="649"/>
      <c r="I35" s="649"/>
      <c r="J35" s="649"/>
      <c r="K35" s="659"/>
      <c r="L35" s="659"/>
      <c r="M35" s="659"/>
      <c r="N35" s="692">
        <v>1.0</v>
      </c>
      <c r="O35" s="693">
        <v>8.0</v>
      </c>
      <c r="P35" s="665">
        <v>5.0</v>
      </c>
      <c r="Q35" s="695" t="str">
        <f t="shared" si="4"/>
        <v>Ryan Tidey</v>
      </c>
      <c r="R35" s="664" t="s">
        <v>363</v>
      </c>
      <c r="S35" s="665" t="str">
        <f t="shared" si="3"/>
        <v>Zach VanSickle</v>
      </c>
      <c r="T35" s="659"/>
      <c r="U35" s="777" t="str">
        <f t="shared" si="6"/>
        <v>Ian Heslin</v>
      </c>
      <c r="V35" s="659" t="str">
        <f>Teams!$R14</f>
        <v>Alolan Vulpix</v>
      </c>
      <c r="W35" s="659">
        <v>65.0</v>
      </c>
      <c r="X35" s="697">
        <v>1.0</v>
      </c>
      <c r="Y35" s="697">
        <v>2.0</v>
      </c>
      <c r="Z35" s="697">
        <v>1.0</v>
      </c>
      <c r="AA35" s="659">
        <v>1.0</v>
      </c>
      <c r="AB35" s="659">
        <v>1.0</v>
      </c>
      <c r="AC35" s="659">
        <v>2.0</v>
      </c>
      <c r="AD35" s="659">
        <v>1.0</v>
      </c>
      <c r="AE35" s="659">
        <v>1.0</v>
      </c>
      <c r="AF35" s="659">
        <v>2.0</v>
      </c>
      <c r="AG35" s="659">
        <v>2.0</v>
      </c>
      <c r="AH35" s="659">
        <v>1.0</v>
      </c>
      <c r="AI35" s="659">
        <v>1.0</v>
      </c>
      <c r="AJ35" s="659">
        <v>1.0</v>
      </c>
      <c r="AK35" s="659">
        <v>1.0</v>
      </c>
      <c r="AL35" s="659">
        <v>0.5</v>
      </c>
      <c r="AM35" s="659">
        <v>1.0</v>
      </c>
      <c r="AN35" s="697">
        <v>1.0</v>
      </c>
      <c r="AO35" s="697">
        <v>1.0</v>
      </c>
      <c r="AP35" s="659" t="s">
        <v>144</v>
      </c>
      <c r="AQ35" s="746">
        <v>30.0</v>
      </c>
    </row>
    <row r="36">
      <c r="A36" s="654"/>
      <c r="B36" s="686" t="s">
        <v>327</v>
      </c>
      <c r="C36" s="687">
        <v>15.0</v>
      </c>
      <c r="D36" s="702"/>
      <c r="E36" s="703"/>
      <c r="F36" s="658"/>
      <c r="G36" s="658"/>
      <c r="H36" s="658"/>
      <c r="I36" s="658"/>
      <c r="J36" s="658"/>
      <c r="K36" s="658"/>
      <c r="L36" s="658"/>
      <c r="M36" s="659"/>
      <c r="N36" s="699">
        <v>4.0</v>
      </c>
      <c r="O36" s="700">
        <v>7.0</v>
      </c>
      <c r="P36" s="689">
        <v>5.0</v>
      </c>
      <c r="Q36" s="701" t="str">
        <f t="shared" si="4"/>
        <v>Ryan Evans</v>
      </c>
      <c r="R36" s="664" t="s">
        <v>363</v>
      </c>
      <c r="S36" s="689" t="str">
        <f t="shared" si="3"/>
        <v>Jackson McLoughlin</v>
      </c>
      <c r="T36" s="659"/>
      <c r="U36" s="777" t="str">
        <f t="shared" si="6"/>
        <v>Ian Heslin</v>
      </c>
      <c r="V36" s="659" t="str">
        <f>Teams!$R15</f>
        <v/>
      </c>
      <c r="W36" s="659"/>
      <c r="X36" s="697"/>
      <c r="Y36" s="697"/>
      <c r="Z36" s="697"/>
      <c r="AA36" s="659"/>
      <c r="AB36" s="659"/>
      <c r="AC36" s="659"/>
      <c r="AD36" s="659"/>
      <c r="AE36" s="659"/>
      <c r="AF36" s="659"/>
      <c r="AG36" s="659"/>
      <c r="AH36" s="659"/>
      <c r="AI36" s="659"/>
      <c r="AJ36" s="659"/>
      <c r="AK36" s="659"/>
      <c r="AL36" s="659"/>
      <c r="AM36" s="659"/>
      <c r="AN36" s="697"/>
      <c r="AO36" s="697"/>
      <c r="AP36" s="659"/>
      <c r="AQ36" s="746"/>
    </row>
    <row r="37">
      <c r="A37" s="654"/>
      <c r="B37" s="686" t="s">
        <v>410</v>
      </c>
      <c r="C37" s="687">
        <v>15.0</v>
      </c>
      <c r="D37" s="702"/>
      <c r="E37" s="703"/>
      <c r="F37" s="797"/>
      <c r="G37" s="797"/>
      <c r="H37" s="797"/>
      <c r="I37" s="797"/>
      <c r="J37" s="797"/>
      <c r="K37" s="798"/>
      <c r="L37" s="798"/>
      <c r="M37" s="659"/>
      <c r="N37" s="699">
        <v>3.0</v>
      </c>
      <c r="O37" s="700">
        <v>6.0</v>
      </c>
      <c r="P37" s="689">
        <v>5.0</v>
      </c>
      <c r="Q37" s="701" t="str">
        <f t="shared" si="4"/>
        <v>Ian Heslin</v>
      </c>
      <c r="R37" s="664" t="s">
        <v>363</v>
      </c>
      <c r="S37" s="689" t="str">
        <f t="shared" si="3"/>
        <v>Dick Hansen</v>
      </c>
      <c r="T37" s="659"/>
      <c r="U37" s="799" t="str">
        <f t="shared" si="6"/>
        <v>Ian Heslin</v>
      </c>
      <c r="V37" s="758" t="str">
        <f>Teams!$R16</f>
        <v/>
      </c>
      <c r="W37" s="758"/>
      <c r="X37" s="725"/>
      <c r="Y37" s="725"/>
      <c r="Z37" s="725"/>
      <c r="AA37" s="758"/>
      <c r="AB37" s="758"/>
      <c r="AC37" s="758"/>
      <c r="AD37" s="758"/>
      <c r="AE37" s="758"/>
      <c r="AF37" s="758"/>
      <c r="AG37" s="758"/>
      <c r="AH37" s="758"/>
      <c r="AI37" s="758"/>
      <c r="AJ37" s="758"/>
      <c r="AK37" s="758"/>
      <c r="AL37" s="758"/>
      <c r="AM37" s="758"/>
      <c r="AN37" s="725"/>
      <c r="AO37" s="725"/>
      <c r="AP37" s="758"/>
      <c r="AQ37" s="715"/>
    </row>
    <row r="38">
      <c r="A38" s="654"/>
      <c r="B38" s="719" t="s">
        <v>104</v>
      </c>
      <c r="C38" s="720">
        <v>15.0</v>
      </c>
      <c r="D38" s="721"/>
      <c r="E38" s="703"/>
      <c r="F38" s="797"/>
      <c r="G38" s="797"/>
      <c r="H38" s="797"/>
      <c r="I38" s="797"/>
      <c r="J38" s="797"/>
      <c r="K38" s="798"/>
      <c r="L38" s="798"/>
      <c r="M38" s="659"/>
      <c r="N38" s="699">
        <v>2.0</v>
      </c>
      <c r="O38" s="700">
        <v>5.0</v>
      </c>
      <c r="P38" s="689">
        <v>5.0</v>
      </c>
      <c r="Q38" s="701" t="str">
        <f t="shared" si="4"/>
        <v>Marcus</v>
      </c>
      <c r="R38" s="664" t="s">
        <v>363</v>
      </c>
      <c r="S38" s="689" t="str">
        <f t="shared" si="3"/>
        <v>Tyler Gottfredsen</v>
      </c>
      <c r="T38" s="659"/>
      <c r="U38" s="646" t="str">
        <f t="shared" ref="U38:U49" si="7">$G$6</f>
        <v>Ryan Evans</v>
      </c>
      <c r="V38" s="779" t="str">
        <f>Teams!$Y5</f>
        <v>Darkrai</v>
      </c>
      <c r="W38" s="659">
        <v>125.0</v>
      </c>
      <c r="X38" s="697">
        <v>1.0</v>
      </c>
      <c r="Y38" s="697">
        <v>2.0</v>
      </c>
      <c r="Z38" s="697">
        <v>1.0</v>
      </c>
      <c r="AA38" s="659">
        <v>1.0</v>
      </c>
      <c r="AB38" s="659">
        <v>1.0</v>
      </c>
      <c r="AC38" s="659">
        <v>1.0</v>
      </c>
      <c r="AD38" s="659">
        <v>2.0</v>
      </c>
      <c r="AE38" s="659">
        <v>0.5</v>
      </c>
      <c r="AF38" s="659">
        <v>1.0</v>
      </c>
      <c r="AG38" s="659">
        <v>1.0</v>
      </c>
      <c r="AH38" s="659">
        <v>1.0</v>
      </c>
      <c r="AI38" s="659">
        <v>1.0</v>
      </c>
      <c r="AJ38" s="659">
        <v>1.0</v>
      </c>
      <c r="AK38" s="659">
        <v>0.0</v>
      </c>
      <c r="AL38" s="659">
        <v>1.0</v>
      </c>
      <c r="AM38" s="659">
        <v>1.0</v>
      </c>
      <c r="AN38" s="697">
        <v>0.5</v>
      </c>
      <c r="AO38" s="697">
        <v>2.0</v>
      </c>
      <c r="AP38" s="696" t="str">
        <f t="array" ref="AP38:AQ49">SORT(V38:W49,2,0)</f>
        <v>Darkrai</v>
      </c>
      <c r="AQ38" s="689">
        <v>125.0</v>
      </c>
    </row>
    <row r="39">
      <c r="A39" s="654"/>
      <c r="B39" s="738" t="s">
        <v>411</v>
      </c>
      <c r="C39" s="720">
        <v>15.0</v>
      </c>
      <c r="D39" s="721"/>
      <c r="E39" s="703"/>
      <c r="F39" s="797"/>
      <c r="G39" s="797"/>
      <c r="H39" s="797"/>
      <c r="I39" s="797"/>
      <c r="J39" s="797"/>
      <c r="K39" s="798"/>
      <c r="L39" s="798"/>
      <c r="M39" s="659"/>
      <c r="N39" s="707"/>
      <c r="O39" s="708"/>
      <c r="P39" s="689">
        <v>5.0</v>
      </c>
      <c r="Q39" s="701" t="str">
        <f t="shared" si="4"/>
        <v/>
      </c>
      <c r="R39" s="664" t="s">
        <v>363</v>
      </c>
      <c r="S39" s="689" t="str">
        <f t="shared" si="3"/>
        <v/>
      </c>
      <c r="T39" s="659"/>
      <c r="U39" s="646" t="str">
        <f t="shared" si="7"/>
        <v>Ryan Evans</v>
      </c>
      <c r="V39" s="807" t="str">
        <f>Teams!$Y6</f>
        <v>tornadus-therian</v>
      </c>
      <c r="W39" s="807">
        <v>121.0</v>
      </c>
      <c r="X39" s="807">
        <v>1.0</v>
      </c>
      <c r="Y39" s="807">
        <v>0.5</v>
      </c>
      <c r="Z39" s="807">
        <v>1.0</v>
      </c>
      <c r="AA39" s="807">
        <v>1.0</v>
      </c>
      <c r="AB39" s="807">
        <v>0.0</v>
      </c>
      <c r="AC39" s="807">
        <v>2.0</v>
      </c>
      <c r="AD39" s="807">
        <v>0.5</v>
      </c>
      <c r="AE39" s="807">
        <v>1.0</v>
      </c>
      <c r="AF39" s="807">
        <v>1.0</v>
      </c>
      <c r="AG39" s="807">
        <v>1.0</v>
      </c>
      <c r="AH39" s="807">
        <v>1.0</v>
      </c>
      <c r="AI39" s="807">
        <v>0.5</v>
      </c>
      <c r="AJ39" s="807">
        <v>2.0</v>
      </c>
      <c r="AK39" s="807">
        <v>1.0</v>
      </c>
      <c r="AL39" s="807">
        <v>2.0</v>
      </c>
      <c r="AM39" s="807">
        <v>1.0</v>
      </c>
      <c r="AN39" s="807">
        <v>1.0</v>
      </c>
      <c r="AO39" s="807">
        <v>1.0</v>
      </c>
      <c r="AP39" s="659" t="s">
        <v>143</v>
      </c>
      <c r="AQ39" s="746">
        <v>121.0</v>
      </c>
    </row>
    <row r="40">
      <c r="A40" s="654"/>
      <c r="B40" s="686" t="s">
        <v>115</v>
      </c>
      <c r="C40" s="687">
        <v>14.0</v>
      </c>
      <c r="D40" s="702"/>
      <c r="E40" s="703"/>
      <c r="F40" s="797"/>
      <c r="G40" s="808"/>
      <c r="H40" s="808"/>
      <c r="I40" s="808"/>
      <c r="J40" s="808"/>
      <c r="K40" s="798"/>
      <c r="L40" s="798"/>
      <c r="M40" s="659"/>
      <c r="N40" s="707"/>
      <c r="O40" s="708"/>
      <c r="P40" s="689">
        <v>5.0</v>
      </c>
      <c r="Q40" s="701" t="str">
        <f t="shared" si="4"/>
        <v/>
      </c>
      <c r="R40" s="664" t="s">
        <v>363</v>
      </c>
      <c r="S40" s="689" t="str">
        <f t="shared" si="3"/>
        <v/>
      </c>
      <c r="T40" s="659"/>
      <c r="U40" s="646" t="str">
        <f t="shared" si="7"/>
        <v>Ryan Evans</v>
      </c>
      <c r="V40" s="779" t="str">
        <f>Teams!$Y7</f>
        <v>Blaziken</v>
      </c>
      <c r="W40" s="659">
        <v>80.0</v>
      </c>
      <c r="X40" s="697">
        <v>1.0</v>
      </c>
      <c r="Y40" s="697">
        <v>1.0</v>
      </c>
      <c r="Z40" s="697">
        <v>2.0</v>
      </c>
      <c r="AA40" s="659">
        <v>1.0</v>
      </c>
      <c r="AB40" s="659">
        <v>2.0</v>
      </c>
      <c r="AC40" s="659">
        <v>1.0</v>
      </c>
      <c r="AD40" s="659">
        <v>0.25</v>
      </c>
      <c r="AE40" s="659">
        <v>1.0</v>
      </c>
      <c r="AF40" s="659">
        <v>0.5</v>
      </c>
      <c r="AG40" s="659">
        <v>0.5</v>
      </c>
      <c r="AH40" s="659">
        <v>2.0</v>
      </c>
      <c r="AI40" s="659">
        <v>0.5</v>
      </c>
      <c r="AJ40" s="659">
        <v>1.0</v>
      </c>
      <c r="AK40" s="659">
        <v>2.0</v>
      </c>
      <c r="AL40" s="659">
        <v>0.5</v>
      </c>
      <c r="AM40" s="659">
        <v>1.0</v>
      </c>
      <c r="AN40" s="697">
        <v>0.5</v>
      </c>
      <c r="AO40" s="697">
        <v>1.0</v>
      </c>
      <c r="AP40" s="659" t="s">
        <v>114</v>
      </c>
      <c r="AQ40" s="746">
        <v>101.0</v>
      </c>
    </row>
    <row r="41">
      <c r="A41" s="654"/>
      <c r="B41" s="704" t="s">
        <v>224</v>
      </c>
      <c r="C41" s="687">
        <v>14.0</v>
      </c>
      <c r="D41" s="702"/>
      <c r="E41" s="703"/>
      <c r="F41" s="797"/>
      <c r="G41" s="797"/>
      <c r="H41" s="797"/>
      <c r="I41" s="797"/>
      <c r="J41" s="797"/>
      <c r="K41" s="798"/>
      <c r="L41" s="798"/>
      <c r="M41" s="659"/>
      <c r="N41" s="707"/>
      <c r="O41" s="708"/>
      <c r="P41" s="689">
        <v>5.0</v>
      </c>
      <c r="Q41" s="701" t="str">
        <f t="shared" si="4"/>
        <v/>
      </c>
      <c r="R41" s="664" t="s">
        <v>363</v>
      </c>
      <c r="S41" s="689" t="str">
        <f t="shared" si="3"/>
        <v/>
      </c>
      <c r="T41" s="659"/>
      <c r="U41" s="646" t="str">
        <f t="shared" si="7"/>
        <v>Ryan Evans</v>
      </c>
      <c r="V41" s="659" t="str">
        <f>Teams!$Y8</f>
        <v>clefable</v>
      </c>
      <c r="W41" s="659">
        <v>60.0</v>
      </c>
      <c r="X41" s="697">
        <v>1.0</v>
      </c>
      <c r="Y41" s="697">
        <v>0.5</v>
      </c>
      <c r="Z41" s="697">
        <v>1.0</v>
      </c>
      <c r="AA41" s="659">
        <v>2.0</v>
      </c>
      <c r="AB41" s="659">
        <v>1.0</v>
      </c>
      <c r="AC41" s="659">
        <v>1.0</v>
      </c>
      <c r="AD41" s="659">
        <v>0.5</v>
      </c>
      <c r="AE41" s="659">
        <v>1.0</v>
      </c>
      <c r="AF41" s="659">
        <v>2.0</v>
      </c>
      <c r="AG41" s="659">
        <v>1.0</v>
      </c>
      <c r="AH41" s="659">
        <v>1.0</v>
      </c>
      <c r="AI41" s="659">
        <v>1.0</v>
      </c>
      <c r="AJ41" s="659">
        <v>1.0</v>
      </c>
      <c r="AK41" s="659">
        <v>1.0</v>
      </c>
      <c r="AL41" s="659">
        <v>1.0</v>
      </c>
      <c r="AM41" s="659">
        <v>0.0</v>
      </c>
      <c r="AN41" s="697">
        <v>0.5</v>
      </c>
      <c r="AO41" s="697">
        <v>1.0</v>
      </c>
      <c r="AP41" s="659" t="s">
        <v>202</v>
      </c>
      <c r="AQ41" s="746">
        <v>100.0</v>
      </c>
    </row>
    <row r="42">
      <c r="A42" s="654"/>
      <c r="B42" s="686" t="s">
        <v>317</v>
      </c>
      <c r="C42" s="687">
        <v>14.0</v>
      </c>
      <c r="D42" s="702"/>
      <c r="E42" s="703"/>
      <c r="F42" s="797"/>
      <c r="G42" s="808"/>
      <c r="H42" s="808"/>
      <c r="I42" s="808"/>
      <c r="J42" s="808"/>
      <c r="K42" s="798"/>
      <c r="L42" s="798"/>
      <c r="M42" s="659"/>
      <c r="N42" s="716"/>
      <c r="O42" s="717"/>
      <c r="P42" s="689">
        <v>5.0</v>
      </c>
      <c r="Q42" s="701" t="str">
        <f t="shared" si="4"/>
        <v/>
      </c>
      <c r="R42" s="664" t="s">
        <v>363</v>
      </c>
      <c r="S42" s="689" t="str">
        <f t="shared" si="3"/>
        <v/>
      </c>
      <c r="T42" s="659"/>
      <c r="U42" s="646" t="str">
        <f t="shared" si="7"/>
        <v>Ryan Evans</v>
      </c>
      <c r="V42" s="659" t="str">
        <f>Teams!$Y9</f>
        <v>Chansey</v>
      </c>
      <c r="W42" s="659">
        <v>50.0</v>
      </c>
      <c r="X42" s="697">
        <v>1.0</v>
      </c>
      <c r="Y42" s="697">
        <v>2.0</v>
      </c>
      <c r="Z42" s="697">
        <v>1.0</v>
      </c>
      <c r="AA42" s="659">
        <v>1.0</v>
      </c>
      <c r="AB42" s="659">
        <v>1.0</v>
      </c>
      <c r="AC42" s="659">
        <v>1.0</v>
      </c>
      <c r="AD42" s="659">
        <v>1.0</v>
      </c>
      <c r="AE42" s="659">
        <v>0.0</v>
      </c>
      <c r="AF42" s="659">
        <v>1.0</v>
      </c>
      <c r="AG42" s="659">
        <v>1.0</v>
      </c>
      <c r="AH42" s="659">
        <v>1.0</v>
      </c>
      <c r="AI42" s="659">
        <v>1.0</v>
      </c>
      <c r="AJ42" s="659">
        <v>1.0</v>
      </c>
      <c r="AK42" s="659">
        <v>1.0</v>
      </c>
      <c r="AL42" s="659">
        <v>1.0</v>
      </c>
      <c r="AM42" s="659">
        <v>1.0</v>
      </c>
      <c r="AN42" s="697">
        <v>1.0</v>
      </c>
      <c r="AO42" s="697">
        <v>1.0</v>
      </c>
      <c r="AP42" s="659" t="s">
        <v>126</v>
      </c>
      <c r="AQ42" s="746">
        <v>85.0</v>
      </c>
    </row>
    <row r="43">
      <c r="A43" s="654"/>
      <c r="B43" s="686" t="s">
        <v>413</v>
      </c>
      <c r="C43" s="687">
        <v>14.0</v>
      </c>
      <c r="D43" s="702"/>
      <c r="E43" s="703"/>
      <c r="F43" s="797"/>
      <c r="G43" s="808"/>
      <c r="H43" s="808"/>
      <c r="I43" s="808"/>
      <c r="J43" s="808"/>
      <c r="K43" s="798"/>
      <c r="L43" s="798"/>
      <c r="M43" s="659"/>
      <c r="N43" s="692">
        <v>1.0</v>
      </c>
      <c r="O43" s="693">
        <v>7.0</v>
      </c>
      <c r="P43" s="665">
        <v>6.0</v>
      </c>
      <c r="Q43" s="695" t="str">
        <f t="shared" si="4"/>
        <v>Ryan Tidey</v>
      </c>
      <c r="R43" s="664" t="s">
        <v>363</v>
      </c>
      <c r="S43" s="665" t="str">
        <f t="shared" si="3"/>
        <v>Jackson McLoughlin</v>
      </c>
      <c r="T43" s="659"/>
      <c r="U43" s="646" t="str">
        <f t="shared" si="7"/>
        <v>Ryan Evans</v>
      </c>
      <c r="V43" s="659" t="str">
        <f>Teams!$Y10</f>
        <v>Kingdra (T)</v>
      </c>
      <c r="W43" s="659">
        <v>85.0</v>
      </c>
      <c r="X43" s="697">
        <v>1.0</v>
      </c>
      <c r="Y43" s="697">
        <v>1.0</v>
      </c>
      <c r="Z43" s="697">
        <v>1.0</v>
      </c>
      <c r="AA43" s="659">
        <v>1.0</v>
      </c>
      <c r="AB43" s="659">
        <v>1.0</v>
      </c>
      <c r="AC43" s="659">
        <v>1.0</v>
      </c>
      <c r="AD43" s="659">
        <v>1.0</v>
      </c>
      <c r="AE43" s="659">
        <v>1.0</v>
      </c>
      <c r="AF43" s="659">
        <v>0.5</v>
      </c>
      <c r="AG43" s="659">
        <v>0.25</v>
      </c>
      <c r="AH43" s="659">
        <v>0.25</v>
      </c>
      <c r="AI43" s="659">
        <v>1.0</v>
      </c>
      <c r="AJ43" s="659">
        <v>1.0</v>
      </c>
      <c r="AK43" s="659">
        <v>1.0</v>
      </c>
      <c r="AL43" s="659">
        <v>1.0</v>
      </c>
      <c r="AM43" s="659">
        <v>2.0</v>
      </c>
      <c r="AN43" s="697">
        <v>1.0</v>
      </c>
      <c r="AO43" s="697">
        <v>2.0</v>
      </c>
      <c r="AP43" s="779" t="s">
        <v>113</v>
      </c>
      <c r="AQ43" s="746">
        <v>80.0</v>
      </c>
    </row>
    <row r="44">
      <c r="A44" s="654"/>
      <c r="B44" s="686" t="s">
        <v>109</v>
      </c>
      <c r="C44" s="687">
        <v>14.0</v>
      </c>
      <c r="D44" s="702"/>
      <c r="E44" s="703"/>
      <c r="F44" s="797"/>
      <c r="G44" s="808"/>
      <c r="H44" s="808"/>
      <c r="I44" s="808"/>
      <c r="J44" s="808"/>
      <c r="K44" s="798"/>
      <c r="L44" s="798"/>
      <c r="M44" s="659"/>
      <c r="N44" s="699">
        <v>6.0</v>
      </c>
      <c r="O44" s="700">
        <v>8.0</v>
      </c>
      <c r="P44" s="689">
        <v>6.0</v>
      </c>
      <c r="Q44" s="701" t="str">
        <f t="shared" si="4"/>
        <v>Dick Hansen</v>
      </c>
      <c r="R44" s="664" t="s">
        <v>363</v>
      </c>
      <c r="S44" s="689" t="str">
        <f t="shared" si="3"/>
        <v>Zach VanSickle</v>
      </c>
      <c r="T44" s="659"/>
      <c r="U44" s="646" t="str">
        <f t="shared" si="7"/>
        <v>Ryan Evans</v>
      </c>
      <c r="V44" s="659" t="str">
        <f>Teams!$Y11</f>
        <v>Ninetales (T)</v>
      </c>
      <c r="W44" s="659">
        <v>100.0</v>
      </c>
      <c r="X44" s="697">
        <v>1.0</v>
      </c>
      <c r="Y44" s="697">
        <v>1.0</v>
      </c>
      <c r="Z44" s="697">
        <v>1.0</v>
      </c>
      <c r="AA44" s="659">
        <v>1.0</v>
      </c>
      <c r="AB44" s="659">
        <v>2.0</v>
      </c>
      <c r="AC44" s="659">
        <v>2.0</v>
      </c>
      <c r="AD44" s="659">
        <v>0.5</v>
      </c>
      <c r="AE44" s="659">
        <v>1.0</v>
      </c>
      <c r="AF44" s="659">
        <v>0.5</v>
      </c>
      <c r="AG44" s="659">
        <v>0.5</v>
      </c>
      <c r="AH44" s="659">
        <v>2.0</v>
      </c>
      <c r="AI44" s="659">
        <v>0.5</v>
      </c>
      <c r="AJ44" s="659">
        <v>1.0</v>
      </c>
      <c r="AK44" s="659">
        <v>1.0</v>
      </c>
      <c r="AL44" s="659">
        <v>0.5</v>
      </c>
      <c r="AM44" s="659">
        <v>1.0</v>
      </c>
      <c r="AN44" s="697">
        <v>1.0</v>
      </c>
      <c r="AO44" s="697">
        <v>0.5</v>
      </c>
      <c r="AP44" s="659" t="s">
        <v>85</v>
      </c>
      <c r="AQ44" s="746">
        <v>80.0</v>
      </c>
    </row>
    <row r="45">
      <c r="A45" s="654"/>
      <c r="B45" s="704" t="s">
        <v>414</v>
      </c>
      <c r="C45" s="687">
        <v>14.0</v>
      </c>
      <c r="D45" s="702"/>
      <c r="E45" s="703"/>
      <c r="F45" s="797"/>
      <c r="G45" s="808"/>
      <c r="H45" s="808"/>
      <c r="I45" s="808"/>
      <c r="J45" s="808"/>
      <c r="K45" s="798"/>
      <c r="L45" s="798"/>
      <c r="M45" s="659"/>
      <c r="N45" s="699">
        <v>4.0</v>
      </c>
      <c r="O45" s="700">
        <v>5.0</v>
      </c>
      <c r="P45" s="689">
        <v>6.0</v>
      </c>
      <c r="Q45" s="701" t="str">
        <f t="shared" si="4"/>
        <v>Ryan Evans</v>
      </c>
      <c r="R45" s="664" t="s">
        <v>363</v>
      </c>
      <c r="S45" s="689" t="str">
        <f t="shared" si="3"/>
        <v>Tyler Gottfredsen</v>
      </c>
      <c r="T45" s="659"/>
      <c r="U45" s="777" t="str">
        <f t="shared" si="7"/>
        <v>Ryan Evans</v>
      </c>
      <c r="V45" s="659" t="str">
        <f>Teams!$Y12</f>
        <v>Dragonite</v>
      </c>
      <c r="W45" s="659">
        <v>80.0</v>
      </c>
      <c r="X45" s="697">
        <v>1.0</v>
      </c>
      <c r="Y45" s="697">
        <v>0.5</v>
      </c>
      <c r="Z45" s="697">
        <v>1.0</v>
      </c>
      <c r="AA45" s="659">
        <v>1.0</v>
      </c>
      <c r="AB45" s="659">
        <v>0.0</v>
      </c>
      <c r="AC45" s="659">
        <v>2.0</v>
      </c>
      <c r="AD45" s="659">
        <v>0.5</v>
      </c>
      <c r="AE45" s="659">
        <v>1.0</v>
      </c>
      <c r="AF45" s="659">
        <v>1.0</v>
      </c>
      <c r="AG45" s="659">
        <v>0.5</v>
      </c>
      <c r="AH45" s="659">
        <v>0.5</v>
      </c>
      <c r="AI45" s="659">
        <v>0.25</v>
      </c>
      <c r="AJ45" s="659">
        <v>1.0</v>
      </c>
      <c r="AK45" s="659">
        <v>1.0</v>
      </c>
      <c r="AL45" s="659">
        <v>4.0</v>
      </c>
      <c r="AM45" s="659">
        <v>2.0</v>
      </c>
      <c r="AN45" s="697">
        <v>1.0</v>
      </c>
      <c r="AO45" s="697">
        <v>2.0</v>
      </c>
      <c r="AP45" s="659" t="s">
        <v>195</v>
      </c>
      <c r="AQ45" s="746">
        <v>67.0</v>
      </c>
    </row>
    <row r="46">
      <c r="A46" s="654"/>
      <c r="B46" s="704" t="s">
        <v>415</v>
      </c>
      <c r="C46" s="687">
        <v>14.0</v>
      </c>
      <c r="D46" s="702"/>
      <c r="E46" s="703"/>
      <c r="F46" s="797"/>
      <c r="G46" s="808"/>
      <c r="H46" s="808"/>
      <c r="I46" s="808"/>
      <c r="J46" s="808"/>
      <c r="K46" s="798"/>
      <c r="L46" s="798"/>
      <c r="M46" s="659"/>
      <c r="N46" s="699">
        <v>2.0</v>
      </c>
      <c r="O46" s="700">
        <v>3.0</v>
      </c>
      <c r="P46" s="689">
        <v>6.0</v>
      </c>
      <c r="Q46" s="701" t="str">
        <f t="shared" si="4"/>
        <v>Marcus</v>
      </c>
      <c r="R46" s="664" t="s">
        <v>363</v>
      </c>
      <c r="S46" s="689" t="str">
        <f t="shared" si="3"/>
        <v>Ian Heslin</v>
      </c>
      <c r="T46" s="659"/>
      <c r="U46" s="777" t="str">
        <f t="shared" si="7"/>
        <v>Ryan Evans</v>
      </c>
      <c r="V46" s="659" t="str">
        <f>Teams!$Y13</f>
        <v>Corviknight</v>
      </c>
      <c r="W46" s="659">
        <v>67.0</v>
      </c>
      <c r="X46" s="697">
        <v>0.5</v>
      </c>
      <c r="Y46" s="697">
        <v>1.0</v>
      </c>
      <c r="Z46" s="697">
        <v>0.5</v>
      </c>
      <c r="AA46" s="659">
        <v>0.0</v>
      </c>
      <c r="AB46" s="659">
        <v>0.0</v>
      </c>
      <c r="AC46" s="659">
        <v>1.0</v>
      </c>
      <c r="AD46" s="659">
        <v>0.25</v>
      </c>
      <c r="AE46" s="659">
        <v>1.0</v>
      </c>
      <c r="AF46" s="659">
        <v>0.5</v>
      </c>
      <c r="AG46" s="659">
        <v>2.0</v>
      </c>
      <c r="AH46" s="659">
        <v>1.0</v>
      </c>
      <c r="AI46" s="659">
        <v>0.25</v>
      </c>
      <c r="AJ46" s="659">
        <v>2.0</v>
      </c>
      <c r="AK46" s="659">
        <v>0.5</v>
      </c>
      <c r="AL46" s="659">
        <v>1.0</v>
      </c>
      <c r="AM46" s="659">
        <v>0.5</v>
      </c>
      <c r="AN46" s="697">
        <v>1.0</v>
      </c>
      <c r="AO46" s="697">
        <v>0.5</v>
      </c>
      <c r="AP46" s="659" t="s">
        <v>119</v>
      </c>
      <c r="AQ46" s="746">
        <v>60.0</v>
      </c>
    </row>
    <row r="47">
      <c r="A47" s="654"/>
      <c r="B47" s="686" t="s">
        <v>416</v>
      </c>
      <c r="C47" s="687">
        <v>14.0</v>
      </c>
      <c r="D47" s="702"/>
      <c r="E47" s="703"/>
      <c r="F47" s="797"/>
      <c r="G47" s="808"/>
      <c r="H47" s="808"/>
      <c r="I47" s="808"/>
      <c r="J47" s="808"/>
      <c r="K47" s="798"/>
      <c r="L47" s="798"/>
      <c r="M47" s="659"/>
      <c r="N47" s="707"/>
      <c r="O47" s="708"/>
      <c r="P47" s="689">
        <v>6.0</v>
      </c>
      <c r="Q47" s="701" t="str">
        <f t="shared" si="4"/>
        <v/>
      </c>
      <c r="R47" s="664" t="s">
        <v>363</v>
      </c>
      <c r="S47" s="689" t="str">
        <f t="shared" si="3"/>
        <v/>
      </c>
      <c r="T47" s="659"/>
      <c r="U47" s="777" t="str">
        <f t="shared" si="7"/>
        <v>Ryan Evans</v>
      </c>
      <c r="V47" s="659" t="str">
        <f>Teams!$Y14</f>
        <v>Sandy Shocks</v>
      </c>
      <c r="W47" s="659">
        <v>101.0</v>
      </c>
      <c r="X47" s="697">
        <v>1.0</v>
      </c>
      <c r="Y47" s="697">
        <v>1.0</v>
      </c>
      <c r="Z47" s="697">
        <v>0.5</v>
      </c>
      <c r="AA47" s="659">
        <v>0.5</v>
      </c>
      <c r="AB47" s="659">
        <v>2.0</v>
      </c>
      <c r="AC47" s="659">
        <v>0.5</v>
      </c>
      <c r="AD47" s="659">
        <v>1.0</v>
      </c>
      <c r="AE47" s="659">
        <v>1.0</v>
      </c>
      <c r="AF47" s="659">
        <v>0.5</v>
      </c>
      <c r="AG47" s="659">
        <v>1.0</v>
      </c>
      <c r="AH47" s="659">
        <v>2.0</v>
      </c>
      <c r="AI47" s="659">
        <v>2.0</v>
      </c>
      <c r="AJ47" s="659">
        <v>0.0</v>
      </c>
      <c r="AK47" s="659">
        <v>1.0</v>
      </c>
      <c r="AL47" s="659">
        <v>2.0</v>
      </c>
      <c r="AM47" s="659">
        <v>1.0</v>
      </c>
      <c r="AN47" s="697">
        <v>1.0</v>
      </c>
      <c r="AO47" s="697">
        <v>1.0</v>
      </c>
      <c r="AP47" s="659" t="s">
        <v>130</v>
      </c>
      <c r="AQ47" s="746">
        <v>50.0</v>
      </c>
    </row>
    <row r="48">
      <c r="A48" s="654"/>
      <c r="B48" s="686" t="s">
        <v>238</v>
      </c>
      <c r="C48" s="687">
        <v>14.0</v>
      </c>
      <c r="D48" s="702"/>
      <c r="E48" s="703"/>
      <c r="F48" s="797"/>
      <c r="G48" s="808"/>
      <c r="H48" s="808"/>
      <c r="I48" s="808"/>
      <c r="J48" s="808"/>
      <c r="K48" s="798"/>
      <c r="L48" s="798"/>
      <c r="M48" s="659"/>
      <c r="N48" s="707"/>
      <c r="O48" s="708"/>
      <c r="P48" s="689">
        <v>6.0</v>
      </c>
      <c r="Q48" s="701" t="str">
        <f t="shared" si="4"/>
        <v/>
      </c>
      <c r="R48" s="664" t="s">
        <v>363</v>
      </c>
      <c r="S48" s="689" t="str">
        <f t="shared" si="3"/>
        <v/>
      </c>
      <c r="T48" s="659"/>
      <c r="U48" s="777" t="str">
        <f t="shared" si="7"/>
        <v>Ryan Evans</v>
      </c>
      <c r="V48" s="659" t="str">
        <f>Teams!$Y15</f>
        <v/>
      </c>
      <c r="W48" s="659"/>
      <c r="X48" s="697"/>
      <c r="Y48" s="697"/>
      <c r="Z48" s="697"/>
      <c r="AA48" s="659"/>
      <c r="AB48" s="659"/>
      <c r="AC48" s="659"/>
      <c r="AD48" s="659"/>
      <c r="AE48" s="659"/>
      <c r="AF48" s="659"/>
      <c r="AG48" s="659"/>
      <c r="AH48" s="659"/>
      <c r="AI48" s="659"/>
      <c r="AJ48" s="659"/>
      <c r="AK48" s="659"/>
      <c r="AL48" s="659"/>
      <c r="AM48" s="659"/>
      <c r="AN48" s="697"/>
      <c r="AO48" s="697"/>
      <c r="AP48" s="659"/>
      <c r="AQ48" s="746"/>
    </row>
    <row r="49">
      <c r="A49" s="654"/>
      <c r="B49" s="738" t="s">
        <v>417</v>
      </c>
      <c r="C49" s="720">
        <v>14.0</v>
      </c>
      <c r="D49" s="721"/>
      <c r="E49" s="703"/>
      <c r="F49" s="797"/>
      <c r="G49" s="797"/>
      <c r="H49" s="797"/>
      <c r="I49" s="797"/>
      <c r="J49" s="797"/>
      <c r="K49" s="797"/>
      <c r="L49" s="797"/>
      <c r="M49" s="659"/>
      <c r="N49" s="707"/>
      <c r="O49" s="708"/>
      <c r="P49" s="689">
        <v>6.0</v>
      </c>
      <c r="Q49" s="701" t="str">
        <f t="shared" si="4"/>
        <v/>
      </c>
      <c r="R49" s="664" t="s">
        <v>363</v>
      </c>
      <c r="S49" s="689" t="str">
        <f t="shared" si="3"/>
        <v/>
      </c>
      <c r="T49" s="659"/>
      <c r="U49" s="799" t="str">
        <f t="shared" si="7"/>
        <v>Ryan Evans</v>
      </c>
      <c r="V49" s="758" t="str">
        <f>Teams!$Y16</f>
        <v/>
      </c>
      <c r="W49" s="758"/>
      <c r="X49" s="725"/>
      <c r="Y49" s="725"/>
      <c r="Z49" s="725"/>
      <c r="AA49" s="758"/>
      <c r="AB49" s="758"/>
      <c r="AC49" s="758"/>
      <c r="AD49" s="758"/>
      <c r="AE49" s="758"/>
      <c r="AF49" s="758"/>
      <c r="AG49" s="758"/>
      <c r="AH49" s="758"/>
      <c r="AI49" s="758"/>
      <c r="AJ49" s="758"/>
      <c r="AK49" s="758"/>
      <c r="AL49" s="758"/>
      <c r="AM49" s="758"/>
      <c r="AN49" s="725"/>
      <c r="AO49" s="725"/>
      <c r="AP49" s="758"/>
      <c r="AQ49" s="715"/>
    </row>
    <row r="50">
      <c r="A50" s="654"/>
      <c r="B50" s="704" t="s">
        <v>124</v>
      </c>
      <c r="C50" s="687">
        <v>14.0</v>
      </c>
      <c r="D50" s="702"/>
      <c r="E50" s="703"/>
      <c r="F50" s="797"/>
      <c r="G50" s="797"/>
      <c r="H50" s="797"/>
      <c r="I50" s="797"/>
      <c r="J50" s="797"/>
      <c r="K50" s="797"/>
      <c r="L50" s="797"/>
      <c r="M50" s="659"/>
      <c r="N50" s="716"/>
      <c r="O50" s="717"/>
      <c r="P50" s="689">
        <v>6.0</v>
      </c>
      <c r="Q50" s="701" t="str">
        <f t="shared" si="4"/>
        <v/>
      </c>
      <c r="R50" s="664" t="s">
        <v>363</v>
      </c>
      <c r="S50" s="689" t="str">
        <f t="shared" si="3"/>
        <v/>
      </c>
      <c r="T50" s="659"/>
      <c r="U50" s="777" t="str">
        <f t="shared" ref="U50:U61" si="8">$G$7</f>
        <v>Tyler Gottfredsen</v>
      </c>
      <c r="V50" s="779" t="str">
        <f>Teams!$D21</f>
        <v>Iron Valiant</v>
      </c>
      <c r="W50" s="659">
        <v>116.0</v>
      </c>
      <c r="X50" s="697">
        <v>1.0</v>
      </c>
      <c r="Y50" s="697">
        <v>0.5</v>
      </c>
      <c r="Z50" s="697">
        <v>2.0</v>
      </c>
      <c r="AA50" s="659">
        <v>2.0</v>
      </c>
      <c r="AB50" s="659">
        <v>1.0</v>
      </c>
      <c r="AC50" s="659">
        <v>0.5</v>
      </c>
      <c r="AD50" s="659">
        <v>0.25</v>
      </c>
      <c r="AE50" s="659">
        <v>1.0</v>
      </c>
      <c r="AF50" s="659">
        <v>2.0</v>
      </c>
      <c r="AG50" s="659">
        <v>1.0</v>
      </c>
      <c r="AH50" s="659">
        <v>1.0</v>
      </c>
      <c r="AI50" s="659">
        <v>1.0</v>
      </c>
      <c r="AJ50" s="659">
        <v>1.0</v>
      </c>
      <c r="AK50" s="659">
        <v>2.0</v>
      </c>
      <c r="AL50" s="659">
        <v>1.0</v>
      </c>
      <c r="AM50" s="659">
        <v>0.0</v>
      </c>
      <c r="AN50" s="697">
        <v>0.25</v>
      </c>
      <c r="AO50" s="697">
        <v>2.0</v>
      </c>
      <c r="AP50" s="649" t="str">
        <f t="array" ref="AP50:AQ61">SORT(V50:W61,2,0)</f>
        <v>Spectrier</v>
      </c>
      <c r="AQ50" s="689">
        <v>130.0</v>
      </c>
    </row>
    <row r="51">
      <c r="A51" s="654"/>
      <c r="B51" s="719" t="s">
        <v>419</v>
      </c>
      <c r="C51" s="720">
        <v>14.0</v>
      </c>
      <c r="D51" s="721"/>
      <c r="E51" s="703"/>
      <c r="F51" s="797"/>
      <c r="G51" s="797"/>
      <c r="H51" s="797"/>
      <c r="I51" s="797"/>
      <c r="J51" s="797"/>
      <c r="K51" s="797"/>
      <c r="L51" s="797"/>
      <c r="M51" s="659"/>
      <c r="N51" s="692">
        <v>1.0</v>
      </c>
      <c r="O51" s="693">
        <v>6.0</v>
      </c>
      <c r="P51" s="665">
        <v>7.0</v>
      </c>
      <c r="Q51" s="695" t="str">
        <f t="shared" si="4"/>
        <v>Ryan Tidey</v>
      </c>
      <c r="R51" s="664" t="s">
        <v>363</v>
      </c>
      <c r="S51" s="665" t="str">
        <f t="shared" si="3"/>
        <v>Dick Hansen</v>
      </c>
      <c r="T51" s="659"/>
      <c r="U51" s="777" t="str">
        <f t="shared" si="8"/>
        <v>Tyler Gottfredsen</v>
      </c>
      <c r="V51" s="779" t="str">
        <f>Teams!$D22</f>
        <v>Zapdos</v>
      </c>
      <c r="W51" s="659">
        <v>100.0</v>
      </c>
      <c r="X51" s="697">
        <v>1.0</v>
      </c>
      <c r="Y51" s="697">
        <v>0.5</v>
      </c>
      <c r="Z51" s="697">
        <v>0.5</v>
      </c>
      <c r="AA51" s="659">
        <v>1.0</v>
      </c>
      <c r="AB51" s="659">
        <v>0.0</v>
      </c>
      <c r="AC51" s="659">
        <v>2.0</v>
      </c>
      <c r="AD51" s="659">
        <v>0.5</v>
      </c>
      <c r="AE51" s="659">
        <v>1.0</v>
      </c>
      <c r="AF51" s="659">
        <v>0.5</v>
      </c>
      <c r="AG51" s="659">
        <v>1.0</v>
      </c>
      <c r="AH51" s="659">
        <v>1.0</v>
      </c>
      <c r="AI51" s="659">
        <v>0.5</v>
      </c>
      <c r="AJ51" s="659">
        <v>1.0</v>
      </c>
      <c r="AK51" s="659">
        <v>1.0</v>
      </c>
      <c r="AL51" s="659">
        <v>2.0</v>
      </c>
      <c r="AM51" s="659">
        <v>1.0</v>
      </c>
      <c r="AN51" s="697">
        <v>1.0</v>
      </c>
      <c r="AO51" s="697">
        <v>1.0</v>
      </c>
      <c r="AP51" s="779" t="s">
        <v>186</v>
      </c>
      <c r="AQ51" s="746">
        <v>116.0</v>
      </c>
    </row>
    <row r="52">
      <c r="A52" s="654"/>
      <c r="B52" s="686" t="s">
        <v>420</v>
      </c>
      <c r="C52" s="687">
        <v>14.0</v>
      </c>
      <c r="D52" s="702"/>
      <c r="E52" s="703"/>
      <c r="F52" s="797"/>
      <c r="G52" s="797"/>
      <c r="H52" s="797"/>
      <c r="I52" s="797"/>
      <c r="J52" s="797"/>
      <c r="K52" s="797"/>
      <c r="L52" s="797"/>
      <c r="M52" s="659"/>
      <c r="N52" s="699">
        <v>5.0</v>
      </c>
      <c r="O52" s="700">
        <v>7.0</v>
      </c>
      <c r="P52" s="689">
        <v>7.0</v>
      </c>
      <c r="Q52" s="701" t="str">
        <f t="shared" si="4"/>
        <v>Tyler Gottfredsen</v>
      </c>
      <c r="R52" s="664" t="s">
        <v>363</v>
      </c>
      <c r="S52" s="689" t="str">
        <f t="shared" si="3"/>
        <v>Jackson McLoughlin</v>
      </c>
      <c r="T52" s="659"/>
      <c r="U52" s="777" t="str">
        <f t="shared" si="8"/>
        <v>Tyler Gottfredsen</v>
      </c>
      <c r="V52" s="779" t="str">
        <f>Teams!$D23</f>
        <v>Latias</v>
      </c>
      <c r="W52" s="659">
        <v>110.0</v>
      </c>
      <c r="X52" s="697">
        <v>1.0</v>
      </c>
      <c r="Y52" s="697">
        <v>0.5</v>
      </c>
      <c r="Z52" s="697">
        <v>1.0</v>
      </c>
      <c r="AA52" s="659">
        <v>1.0</v>
      </c>
      <c r="AB52" s="659">
        <v>1.0</v>
      </c>
      <c r="AC52" s="659">
        <v>1.0</v>
      </c>
      <c r="AD52" s="659">
        <v>2.0</v>
      </c>
      <c r="AE52" s="659">
        <v>2.0</v>
      </c>
      <c r="AF52" s="659">
        <v>1.0</v>
      </c>
      <c r="AG52" s="659">
        <v>0.5</v>
      </c>
      <c r="AH52" s="659">
        <v>0.5</v>
      </c>
      <c r="AI52" s="659">
        <v>0.5</v>
      </c>
      <c r="AJ52" s="659">
        <v>0.5</v>
      </c>
      <c r="AK52" s="659">
        <v>0.5</v>
      </c>
      <c r="AL52" s="659">
        <v>2.0</v>
      </c>
      <c r="AM52" s="659">
        <v>2.0</v>
      </c>
      <c r="AN52" s="697">
        <v>2.0</v>
      </c>
      <c r="AO52" s="697">
        <v>2.0</v>
      </c>
      <c r="AP52" s="659" t="s">
        <v>131</v>
      </c>
      <c r="AQ52" s="746">
        <v>115.0</v>
      </c>
    </row>
    <row r="53">
      <c r="A53" s="654"/>
      <c r="B53" s="686" t="s">
        <v>156</v>
      </c>
      <c r="C53" s="687">
        <v>14.0</v>
      </c>
      <c r="D53" s="702"/>
      <c r="E53" s="703"/>
      <c r="F53" s="797"/>
      <c r="G53" s="797"/>
      <c r="H53" s="797"/>
      <c r="I53" s="797"/>
      <c r="J53" s="797"/>
      <c r="K53" s="797"/>
      <c r="L53" s="797"/>
      <c r="M53" s="659"/>
      <c r="N53" s="699">
        <v>2.0</v>
      </c>
      <c r="O53" s="700">
        <v>8.0</v>
      </c>
      <c r="P53" s="689">
        <v>7.0</v>
      </c>
      <c r="Q53" s="701" t="str">
        <f t="shared" si="4"/>
        <v>Marcus</v>
      </c>
      <c r="R53" s="664" t="s">
        <v>363</v>
      </c>
      <c r="S53" s="689" t="str">
        <f t="shared" si="3"/>
        <v>Zach VanSickle</v>
      </c>
      <c r="T53" s="659"/>
      <c r="U53" s="777" t="str">
        <f t="shared" si="8"/>
        <v>Tyler Gottfredsen</v>
      </c>
      <c r="V53" s="659" t="str">
        <f>Teams!$D24</f>
        <v>Gliscor</v>
      </c>
      <c r="W53" s="659">
        <v>95.0</v>
      </c>
      <c r="X53" s="697">
        <v>1.0</v>
      </c>
      <c r="Y53" s="697">
        <v>0.5</v>
      </c>
      <c r="Z53" s="697">
        <v>1.0</v>
      </c>
      <c r="AA53" s="659">
        <v>0.5</v>
      </c>
      <c r="AB53" s="659">
        <v>0.0</v>
      </c>
      <c r="AC53" s="659">
        <v>1.0</v>
      </c>
      <c r="AD53" s="659">
        <v>0.5</v>
      </c>
      <c r="AE53" s="659">
        <v>1.0</v>
      </c>
      <c r="AF53" s="659">
        <v>1.0</v>
      </c>
      <c r="AG53" s="659">
        <v>1.0</v>
      </c>
      <c r="AH53" s="659">
        <v>2.0</v>
      </c>
      <c r="AI53" s="659">
        <v>1.0</v>
      </c>
      <c r="AJ53" s="659">
        <v>0.0</v>
      </c>
      <c r="AK53" s="659">
        <v>1.0</v>
      </c>
      <c r="AL53" s="659">
        <v>4.0</v>
      </c>
      <c r="AM53" s="659">
        <v>1.0</v>
      </c>
      <c r="AN53" s="697">
        <v>1.0</v>
      </c>
      <c r="AO53" s="697">
        <v>1.0</v>
      </c>
      <c r="AP53" s="779" t="s">
        <v>175</v>
      </c>
      <c r="AQ53" s="746">
        <v>110.0</v>
      </c>
    </row>
    <row r="54">
      <c r="A54" s="654"/>
      <c r="B54" s="719" t="s">
        <v>421</v>
      </c>
      <c r="C54" s="720">
        <v>14.0</v>
      </c>
      <c r="D54" s="721"/>
      <c r="E54" s="703"/>
      <c r="F54" s="797"/>
      <c r="G54" s="797"/>
      <c r="H54" s="797"/>
      <c r="I54" s="797"/>
      <c r="J54" s="797"/>
      <c r="K54" s="797"/>
      <c r="L54" s="797"/>
      <c r="M54" s="659"/>
      <c r="N54" s="699">
        <v>3.0</v>
      </c>
      <c r="O54" s="700">
        <v>4.0</v>
      </c>
      <c r="P54" s="689">
        <v>7.0</v>
      </c>
      <c r="Q54" s="701" t="str">
        <f t="shared" si="4"/>
        <v>Ian Heslin</v>
      </c>
      <c r="R54" s="664" t="s">
        <v>363</v>
      </c>
      <c r="S54" s="689" t="str">
        <f t="shared" si="3"/>
        <v>Ryan Evans</v>
      </c>
      <c r="T54" s="659"/>
      <c r="U54" s="777" t="str">
        <f t="shared" si="8"/>
        <v>Tyler Gottfredsen</v>
      </c>
      <c r="V54" s="659" t="str">
        <f>Teams!$D25</f>
        <v>Basculegion (T)</v>
      </c>
      <c r="W54" s="659">
        <v>78.0</v>
      </c>
      <c r="X54" s="697">
        <v>0.0</v>
      </c>
      <c r="Y54" s="697">
        <v>0.0</v>
      </c>
      <c r="Z54" s="697">
        <v>1.0</v>
      </c>
      <c r="AA54" s="659">
        <v>0.5</v>
      </c>
      <c r="AB54" s="659">
        <v>1.0</v>
      </c>
      <c r="AC54" s="659">
        <v>1.0</v>
      </c>
      <c r="AD54" s="659">
        <v>0.5</v>
      </c>
      <c r="AE54" s="659">
        <v>2.0</v>
      </c>
      <c r="AF54" s="659">
        <v>0.5</v>
      </c>
      <c r="AG54" s="659">
        <v>0.5</v>
      </c>
      <c r="AH54" s="659">
        <v>0.5</v>
      </c>
      <c r="AI54" s="659">
        <v>2.0</v>
      </c>
      <c r="AJ54" s="659">
        <v>2.0</v>
      </c>
      <c r="AK54" s="659">
        <v>1.0</v>
      </c>
      <c r="AL54" s="659">
        <v>0.5</v>
      </c>
      <c r="AM54" s="659">
        <v>1.0</v>
      </c>
      <c r="AN54" s="697">
        <v>2.0</v>
      </c>
      <c r="AO54" s="697">
        <v>1.0</v>
      </c>
      <c r="AP54" s="779" t="s">
        <v>112</v>
      </c>
      <c r="AQ54" s="746">
        <v>100.0</v>
      </c>
    </row>
    <row r="55">
      <c r="A55" s="654"/>
      <c r="B55" s="704" t="s">
        <v>302</v>
      </c>
      <c r="C55" s="687">
        <v>13.0</v>
      </c>
      <c r="D55" s="702"/>
      <c r="E55" s="703"/>
      <c r="F55" s="797"/>
      <c r="G55" s="797"/>
      <c r="H55" s="797"/>
      <c r="I55" s="797"/>
      <c r="J55" s="797"/>
      <c r="K55" s="797"/>
      <c r="L55" s="797"/>
      <c r="M55" s="659"/>
      <c r="N55" s="707"/>
      <c r="O55" s="708"/>
      <c r="P55" s="689">
        <v>7.0</v>
      </c>
      <c r="Q55" s="701" t="str">
        <f t="shared" si="4"/>
        <v/>
      </c>
      <c r="R55" s="664" t="s">
        <v>363</v>
      </c>
      <c r="S55" s="689" t="str">
        <f t="shared" si="3"/>
        <v/>
      </c>
      <c r="T55" s="659"/>
      <c r="U55" s="777" t="str">
        <f t="shared" si="8"/>
        <v>Tyler Gottfredsen</v>
      </c>
      <c r="V55" s="659" t="str">
        <f>Teams!$D26</f>
        <v>Pelipper</v>
      </c>
      <c r="W55" s="659">
        <v>65.0</v>
      </c>
      <c r="X55" s="697">
        <v>1.0</v>
      </c>
      <c r="Y55" s="697">
        <v>0.5</v>
      </c>
      <c r="Z55" s="697">
        <v>1.0</v>
      </c>
      <c r="AA55" s="659">
        <v>1.0</v>
      </c>
      <c r="AB55" s="659">
        <v>0.0</v>
      </c>
      <c r="AC55" s="659">
        <v>2.0</v>
      </c>
      <c r="AD55" s="659">
        <v>0.5</v>
      </c>
      <c r="AE55" s="659">
        <v>1.0</v>
      </c>
      <c r="AF55" s="659">
        <v>0.5</v>
      </c>
      <c r="AG55" s="659">
        <v>0.5</v>
      </c>
      <c r="AH55" s="659">
        <v>0.5</v>
      </c>
      <c r="AI55" s="659">
        <v>1.0</v>
      </c>
      <c r="AJ55" s="659">
        <v>4.0</v>
      </c>
      <c r="AK55" s="659">
        <v>1.0</v>
      </c>
      <c r="AL55" s="659">
        <v>1.0</v>
      </c>
      <c r="AM55" s="659">
        <v>1.0</v>
      </c>
      <c r="AN55" s="697">
        <v>1.0</v>
      </c>
      <c r="AO55" s="697">
        <v>1.0</v>
      </c>
      <c r="AP55" s="659" t="s">
        <v>244</v>
      </c>
      <c r="AQ55" s="746">
        <v>95.0</v>
      </c>
    </row>
    <row r="56">
      <c r="A56" s="654"/>
      <c r="B56" s="738" t="s">
        <v>422</v>
      </c>
      <c r="C56" s="720">
        <v>13.0</v>
      </c>
      <c r="D56" s="721"/>
      <c r="E56" s="703"/>
      <c r="F56" s="797"/>
      <c r="G56" s="797"/>
      <c r="H56" s="797"/>
      <c r="I56" s="797"/>
      <c r="J56" s="797"/>
      <c r="K56" s="797"/>
      <c r="L56" s="797"/>
      <c r="M56" s="659"/>
      <c r="N56" s="707"/>
      <c r="O56" s="708"/>
      <c r="P56" s="689">
        <v>7.0</v>
      </c>
      <c r="Q56" s="701" t="str">
        <f t="shared" si="4"/>
        <v/>
      </c>
      <c r="R56" s="664" t="s">
        <v>363</v>
      </c>
      <c r="S56" s="689" t="str">
        <f t="shared" si="3"/>
        <v/>
      </c>
      <c r="T56" s="659"/>
      <c r="U56" s="777" t="str">
        <f t="shared" si="8"/>
        <v>Tyler Gottfredsen</v>
      </c>
      <c r="V56" s="659" t="str">
        <f>Teams!$D27</f>
        <v>Spectrier</v>
      </c>
      <c r="W56" s="659">
        <v>130.0</v>
      </c>
      <c r="X56" s="697">
        <v>0.0</v>
      </c>
      <c r="Y56" s="697">
        <v>0.0</v>
      </c>
      <c r="Z56" s="697">
        <v>1.0</v>
      </c>
      <c r="AA56" s="659">
        <v>0.5</v>
      </c>
      <c r="AB56" s="659">
        <v>1.0</v>
      </c>
      <c r="AC56" s="659">
        <v>1.0</v>
      </c>
      <c r="AD56" s="659">
        <v>0.5</v>
      </c>
      <c r="AE56" s="659">
        <v>2.0</v>
      </c>
      <c r="AF56" s="659">
        <v>1.0</v>
      </c>
      <c r="AG56" s="659">
        <v>1.0</v>
      </c>
      <c r="AH56" s="659">
        <v>1.0</v>
      </c>
      <c r="AI56" s="659">
        <v>1.0</v>
      </c>
      <c r="AJ56" s="659">
        <v>1.0</v>
      </c>
      <c r="AK56" s="659">
        <v>1.0</v>
      </c>
      <c r="AL56" s="659">
        <v>1.0</v>
      </c>
      <c r="AM56" s="659">
        <v>1.0</v>
      </c>
      <c r="AN56" s="697">
        <v>2.0</v>
      </c>
      <c r="AO56" s="697">
        <v>1.0</v>
      </c>
      <c r="AP56" s="659" t="s">
        <v>205</v>
      </c>
      <c r="AQ56" s="746">
        <v>85.0</v>
      </c>
    </row>
    <row r="57">
      <c r="A57" s="654"/>
      <c r="B57" s="704" t="s">
        <v>195</v>
      </c>
      <c r="C57" s="687">
        <v>13.0</v>
      </c>
      <c r="D57" s="702"/>
      <c r="E57" s="703"/>
      <c r="F57" s="797"/>
      <c r="G57" s="797"/>
      <c r="H57" s="797"/>
      <c r="I57" s="797"/>
      <c r="J57" s="797"/>
      <c r="K57" s="797"/>
      <c r="L57" s="797"/>
      <c r="M57" s="659"/>
      <c r="N57" s="707"/>
      <c r="O57" s="708"/>
      <c r="P57" s="689">
        <v>7.0</v>
      </c>
      <c r="Q57" s="701" t="str">
        <f t="shared" si="4"/>
        <v/>
      </c>
      <c r="R57" s="664" t="s">
        <v>363</v>
      </c>
      <c r="S57" s="689" t="str">
        <f t="shared" si="3"/>
        <v/>
      </c>
      <c r="T57" s="659"/>
      <c r="U57" s="777" t="str">
        <f t="shared" si="8"/>
        <v>Tyler Gottfredsen</v>
      </c>
      <c r="V57" s="659" t="str">
        <f>Teams!$D28</f>
        <v>Sinistcha (T)</v>
      </c>
      <c r="W57" s="659">
        <v>70.0</v>
      </c>
      <c r="X57" s="697">
        <v>0.0</v>
      </c>
      <c r="Y57" s="697">
        <v>0.0</v>
      </c>
      <c r="Z57" s="697">
        <v>2.0</v>
      </c>
      <c r="AA57" s="659">
        <v>1.0</v>
      </c>
      <c r="AB57" s="659">
        <v>0.5</v>
      </c>
      <c r="AC57" s="659">
        <v>1.0</v>
      </c>
      <c r="AD57" s="659">
        <v>1.0</v>
      </c>
      <c r="AE57" s="659">
        <v>2.0</v>
      </c>
      <c r="AF57" s="659">
        <v>1.0</v>
      </c>
      <c r="AG57" s="659">
        <v>2.0</v>
      </c>
      <c r="AH57" s="659">
        <v>0.5</v>
      </c>
      <c r="AI57" s="659">
        <v>0.5</v>
      </c>
      <c r="AJ57" s="659">
        <v>0.5</v>
      </c>
      <c r="AK57" s="659">
        <v>1.0</v>
      </c>
      <c r="AL57" s="659">
        <v>2.0</v>
      </c>
      <c r="AM57" s="659">
        <v>1.0</v>
      </c>
      <c r="AN57" s="697">
        <v>2.0</v>
      </c>
      <c r="AO57" s="697">
        <v>1.0</v>
      </c>
      <c r="AP57" s="659" t="s">
        <v>222</v>
      </c>
      <c r="AQ57" s="746">
        <v>78.0</v>
      </c>
    </row>
    <row r="58">
      <c r="A58" s="654"/>
      <c r="B58" s="686" t="s">
        <v>423</v>
      </c>
      <c r="C58" s="687">
        <v>13.0</v>
      </c>
      <c r="D58" s="702"/>
      <c r="E58" s="703"/>
      <c r="F58" s="797"/>
      <c r="G58" s="797"/>
      <c r="H58" s="797"/>
      <c r="I58" s="797"/>
      <c r="J58" s="797"/>
      <c r="K58" s="797"/>
      <c r="L58" s="797"/>
      <c r="M58" s="659"/>
      <c r="N58" s="820"/>
      <c r="O58" s="821"/>
      <c r="P58" s="714">
        <v>7.0</v>
      </c>
      <c r="Q58" s="823" t="str">
        <f t="shared" si="4"/>
        <v/>
      </c>
      <c r="R58" s="825" t="s">
        <v>363</v>
      </c>
      <c r="S58" s="714" t="str">
        <f t="shared" si="3"/>
        <v/>
      </c>
      <c r="T58" s="659"/>
      <c r="U58" s="777" t="str">
        <f t="shared" si="8"/>
        <v>Tyler Gottfredsen</v>
      </c>
      <c r="V58" s="659" t="str">
        <f>Teams!$D29</f>
        <v>Archaludon (T)</v>
      </c>
      <c r="W58" s="659">
        <v>85.0</v>
      </c>
      <c r="X58" s="697">
        <v>0.5</v>
      </c>
      <c r="Y58" s="697">
        <v>2.0</v>
      </c>
      <c r="Z58" s="697">
        <v>0.5</v>
      </c>
      <c r="AA58" s="659">
        <v>0.0</v>
      </c>
      <c r="AB58" s="659">
        <v>2.0</v>
      </c>
      <c r="AC58" s="659">
        <v>0.5</v>
      </c>
      <c r="AD58" s="659">
        <v>0.5</v>
      </c>
      <c r="AE58" s="659">
        <v>1.0</v>
      </c>
      <c r="AF58" s="659">
        <v>0.5</v>
      </c>
      <c r="AG58" s="659">
        <v>1.0</v>
      </c>
      <c r="AH58" s="659">
        <v>0.5</v>
      </c>
      <c r="AI58" s="659">
        <v>0.25</v>
      </c>
      <c r="AJ58" s="659">
        <v>0.5</v>
      </c>
      <c r="AK58" s="659">
        <v>0.5</v>
      </c>
      <c r="AL58" s="659">
        <v>1.0</v>
      </c>
      <c r="AM58" s="659">
        <v>1.0</v>
      </c>
      <c r="AN58" s="697">
        <v>1.0</v>
      </c>
      <c r="AO58" s="697">
        <v>1.0</v>
      </c>
      <c r="AP58" s="659" t="s">
        <v>235</v>
      </c>
      <c r="AQ58" s="746">
        <v>70.0</v>
      </c>
    </row>
    <row r="59">
      <c r="A59" s="654"/>
      <c r="B59" s="686" t="s">
        <v>97</v>
      </c>
      <c r="C59" s="687">
        <v>13.0</v>
      </c>
      <c r="D59" s="702"/>
      <c r="E59" s="703"/>
      <c r="F59" s="797"/>
      <c r="G59" s="797"/>
      <c r="H59" s="808"/>
      <c r="I59" s="808"/>
      <c r="J59" s="808"/>
      <c r="K59" s="798"/>
      <c r="L59" s="798"/>
      <c r="M59" s="659"/>
      <c r="T59" s="659"/>
      <c r="U59" s="777" t="str">
        <f t="shared" si="8"/>
        <v>Tyler Gottfredsen</v>
      </c>
      <c r="V59" s="659" t="str">
        <f>Teams!$D30</f>
        <v>Cinccino</v>
      </c>
      <c r="W59" s="659">
        <v>115.0</v>
      </c>
      <c r="X59" s="697">
        <v>1.0</v>
      </c>
      <c r="Y59" s="697">
        <v>2.0</v>
      </c>
      <c r="Z59" s="697">
        <v>1.0</v>
      </c>
      <c r="AA59" s="659">
        <v>1.0</v>
      </c>
      <c r="AB59" s="659">
        <v>1.0</v>
      </c>
      <c r="AC59" s="659">
        <v>1.0</v>
      </c>
      <c r="AD59" s="659">
        <v>1.0</v>
      </c>
      <c r="AE59" s="659">
        <v>0.0</v>
      </c>
      <c r="AF59" s="659">
        <v>1.0</v>
      </c>
      <c r="AG59" s="659">
        <v>1.0</v>
      </c>
      <c r="AH59" s="659">
        <v>1.0</v>
      </c>
      <c r="AI59" s="659">
        <v>1.0</v>
      </c>
      <c r="AJ59" s="659">
        <v>1.0</v>
      </c>
      <c r="AK59" s="659">
        <v>1.0</v>
      </c>
      <c r="AL59" s="659">
        <v>1.0</v>
      </c>
      <c r="AM59" s="659">
        <v>1.0</v>
      </c>
      <c r="AN59" s="697">
        <v>1.0</v>
      </c>
      <c r="AO59" s="697">
        <v>1.0</v>
      </c>
      <c r="AP59" s="659" t="s">
        <v>153</v>
      </c>
      <c r="AQ59" s="746">
        <v>65.0</v>
      </c>
    </row>
    <row r="60">
      <c r="A60" s="654"/>
      <c r="B60" s="686" t="s">
        <v>424</v>
      </c>
      <c r="C60" s="687">
        <v>13.0</v>
      </c>
      <c r="D60" s="702"/>
      <c r="E60" s="703"/>
      <c r="F60" s="797"/>
      <c r="G60" s="797"/>
      <c r="H60" s="808"/>
      <c r="I60" s="808"/>
      <c r="J60" s="808"/>
      <c r="K60" s="798"/>
      <c r="L60" s="798"/>
      <c r="M60" s="659"/>
      <c r="N60" s="838" t="s">
        <v>425</v>
      </c>
      <c r="O60" s="129"/>
      <c r="P60" s="129"/>
      <c r="Q60" s="129"/>
      <c r="R60" s="129"/>
      <c r="S60" s="131"/>
      <c r="T60" s="659"/>
      <c r="U60" s="777" t="str">
        <f t="shared" si="8"/>
        <v>Tyler Gottfredsen</v>
      </c>
      <c r="V60" s="659" t="str">
        <f>Teams!$D31</f>
        <v/>
      </c>
      <c r="W60" s="659"/>
      <c r="X60" s="697"/>
      <c r="Y60" s="697"/>
      <c r="Z60" s="697"/>
      <c r="AA60" s="659"/>
      <c r="AB60" s="659"/>
      <c r="AC60" s="659"/>
      <c r="AD60" s="659"/>
      <c r="AE60" s="659"/>
      <c r="AF60" s="659"/>
      <c r="AG60" s="659"/>
      <c r="AH60" s="659"/>
      <c r="AI60" s="659"/>
      <c r="AJ60" s="659"/>
      <c r="AK60" s="659"/>
      <c r="AL60" s="659"/>
      <c r="AM60" s="659"/>
      <c r="AN60" s="697"/>
      <c r="AO60" s="697"/>
      <c r="AP60" s="659"/>
      <c r="AQ60" s="746"/>
    </row>
    <row r="61">
      <c r="A61" s="654"/>
      <c r="B61" s="719" t="s">
        <v>159</v>
      </c>
      <c r="C61" s="720">
        <v>13.0</v>
      </c>
      <c r="D61" s="721"/>
      <c r="E61" s="703"/>
      <c r="F61" s="797"/>
      <c r="G61" s="797"/>
      <c r="H61" s="808"/>
      <c r="I61" s="808"/>
      <c r="J61" s="808"/>
      <c r="K61" s="798"/>
      <c r="L61" s="798"/>
      <c r="M61" s="659"/>
      <c r="N61" s="660" t="s">
        <v>350</v>
      </c>
      <c r="O61" s="661" t="s">
        <v>351</v>
      </c>
      <c r="P61" s="647" t="s">
        <v>352</v>
      </c>
      <c r="Q61" s="663" t="s">
        <v>353</v>
      </c>
      <c r="R61" s="664"/>
      <c r="S61" s="665" t="s">
        <v>354</v>
      </c>
      <c r="T61" s="659"/>
      <c r="U61" s="799" t="str">
        <f t="shared" si="8"/>
        <v>Tyler Gottfredsen</v>
      </c>
      <c r="V61" s="758" t="str">
        <f>Teams!$D32</f>
        <v/>
      </c>
      <c r="W61" s="758"/>
      <c r="X61" s="725"/>
      <c r="Y61" s="725"/>
      <c r="Z61" s="725"/>
      <c r="AA61" s="758"/>
      <c r="AB61" s="758"/>
      <c r="AC61" s="758"/>
      <c r="AD61" s="758"/>
      <c r="AE61" s="758"/>
      <c r="AF61" s="758"/>
      <c r="AG61" s="758"/>
      <c r="AH61" s="758"/>
      <c r="AI61" s="758"/>
      <c r="AJ61" s="758"/>
      <c r="AK61" s="758"/>
      <c r="AL61" s="758"/>
      <c r="AM61" s="758"/>
      <c r="AN61" s="725"/>
      <c r="AO61" s="725"/>
      <c r="AP61" s="758"/>
      <c r="AQ61" s="715"/>
    </row>
    <row r="62">
      <c r="A62" s="654"/>
      <c r="B62" s="686" t="s">
        <v>426</v>
      </c>
      <c r="C62" s="687">
        <v>13.0</v>
      </c>
      <c r="D62" s="702"/>
      <c r="E62" s="703"/>
      <c r="F62" s="797"/>
      <c r="G62" s="797"/>
      <c r="H62" s="808"/>
      <c r="I62" s="808"/>
      <c r="J62" s="808"/>
      <c r="K62" s="798"/>
      <c r="L62" s="798"/>
      <c r="M62" s="659"/>
      <c r="N62" s="692"/>
      <c r="O62" s="693"/>
      <c r="P62" s="689" t="s">
        <v>427</v>
      </c>
      <c r="Q62" s="847" t="str">
        <f>Data!$AO$5</f>
        <v>Ian Heslin</v>
      </c>
      <c r="R62" s="848" t="s">
        <v>363</v>
      </c>
      <c r="S62" s="849" t="str">
        <f>Data!$AO$12</f>
        <v>Dick Hansen</v>
      </c>
      <c r="T62" s="659"/>
      <c r="U62" s="777" t="str">
        <f t="shared" ref="U62:U73" si="9">$G$8</f>
        <v>Dick Hansen</v>
      </c>
      <c r="V62" s="779" t="str">
        <f>Teams!$K21</f>
        <v>Garchomp</v>
      </c>
      <c r="W62" s="659">
        <v>102.0</v>
      </c>
      <c r="X62" s="697">
        <v>1.0</v>
      </c>
      <c r="Y62" s="697">
        <v>1.0</v>
      </c>
      <c r="Z62" s="697">
        <v>1.0</v>
      </c>
      <c r="AA62" s="659">
        <v>0.5</v>
      </c>
      <c r="AB62" s="659">
        <v>1.0</v>
      </c>
      <c r="AC62" s="659">
        <v>0.5</v>
      </c>
      <c r="AD62" s="659">
        <v>1.0</v>
      </c>
      <c r="AE62" s="659">
        <v>1.0</v>
      </c>
      <c r="AF62" s="659">
        <v>1.0</v>
      </c>
      <c r="AG62" s="659">
        <v>0.5</v>
      </c>
      <c r="AH62" s="659">
        <v>1.0</v>
      </c>
      <c r="AI62" s="659">
        <v>1.0</v>
      </c>
      <c r="AJ62" s="659">
        <v>0.0</v>
      </c>
      <c r="AK62" s="659">
        <v>1.0</v>
      </c>
      <c r="AL62" s="659">
        <v>4.0</v>
      </c>
      <c r="AM62" s="659">
        <v>2.0</v>
      </c>
      <c r="AN62" s="697">
        <v>1.0</v>
      </c>
      <c r="AO62" s="697">
        <v>2.0</v>
      </c>
      <c r="AP62" s="696" t="str">
        <f t="array" ref="AP62:AQ73">SORT(V62:W73,2,0)</f>
        <v>Deoxys-Speed</v>
      </c>
      <c r="AQ62" s="689">
        <v>180.0</v>
      </c>
    </row>
    <row r="63">
      <c r="A63" s="654"/>
      <c r="B63" s="686" t="s">
        <v>428</v>
      </c>
      <c r="C63" s="687">
        <v>13.0</v>
      </c>
      <c r="D63" s="702"/>
      <c r="E63" s="703"/>
      <c r="F63" s="797"/>
      <c r="G63" s="808"/>
      <c r="H63" s="808"/>
      <c r="I63" s="808"/>
      <c r="J63" s="808"/>
      <c r="K63" s="798"/>
      <c r="L63" s="798"/>
      <c r="M63" s="659"/>
      <c r="N63" s="699"/>
      <c r="O63" s="700"/>
      <c r="P63" s="689" t="s">
        <v>427</v>
      </c>
      <c r="Q63" s="854" t="str">
        <f>Data!$AO$6</f>
        <v>Jackson McLoughlin</v>
      </c>
      <c r="R63" s="855" t="s">
        <v>363</v>
      </c>
      <c r="S63" s="858" t="str">
        <f>Data!$AO$11</f>
        <v>Tyler Gottfredsen</v>
      </c>
      <c r="T63" s="659"/>
      <c r="U63" s="777" t="str">
        <f t="shared" si="9"/>
        <v>Dick Hansen</v>
      </c>
      <c r="V63" s="779" t="str">
        <f>Teams!$K22</f>
        <v>Deoxys-Speed</v>
      </c>
      <c r="W63" s="659">
        <v>180.0</v>
      </c>
      <c r="X63" s="697">
        <v>1.0</v>
      </c>
      <c r="Y63" s="697">
        <v>0.5</v>
      </c>
      <c r="Z63" s="697">
        <v>1.0</v>
      </c>
      <c r="AA63" s="659">
        <v>1.0</v>
      </c>
      <c r="AB63" s="659">
        <v>1.0</v>
      </c>
      <c r="AC63" s="659">
        <v>1.0</v>
      </c>
      <c r="AD63" s="659">
        <v>2.0</v>
      </c>
      <c r="AE63" s="659">
        <v>2.0</v>
      </c>
      <c r="AF63" s="659">
        <v>1.0</v>
      </c>
      <c r="AG63" s="659">
        <v>1.0</v>
      </c>
      <c r="AH63" s="659">
        <v>1.0</v>
      </c>
      <c r="AI63" s="659">
        <v>1.0</v>
      </c>
      <c r="AJ63" s="659">
        <v>1.0</v>
      </c>
      <c r="AK63" s="659">
        <v>0.5</v>
      </c>
      <c r="AL63" s="659">
        <v>1.0</v>
      </c>
      <c r="AM63" s="659">
        <v>1.0</v>
      </c>
      <c r="AN63" s="697">
        <v>2.0</v>
      </c>
      <c r="AO63" s="697">
        <v>1.0</v>
      </c>
      <c r="AP63" s="659" t="s">
        <v>149</v>
      </c>
      <c r="AQ63" s="746">
        <v>123.0</v>
      </c>
    </row>
    <row r="64">
      <c r="A64" s="654"/>
      <c r="B64" s="686" t="s">
        <v>429</v>
      </c>
      <c r="C64" s="687">
        <v>13.0</v>
      </c>
      <c r="D64" s="702"/>
      <c r="E64" s="703"/>
      <c r="F64" s="797"/>
      <c r="G64" s="808"/>
      <c r="H64" s="808"/>
      <c r="I64" s="808"/>
      <c r="J64" s="808"/>
      <c r="K64" s="798"/>
      <c r="L64" s="798"/>
      <c r="M64" s="659"/>
      <c r="N64" s="699"/>
      <c r="O64" s="700"/>
      <c r="P64" s="689" t="s">
        <v>427</v>
      </c>
      <c r="Q64" s="854" t="str">
        <f>Data!$AO$7</f>
        <v>Ryan Evans</v>
      </c>
      <c r="R64" s="855" t="s">
        <v>363</v>
      </c>
      <c r="S64" s="865" t="str">
        <f>Data!$AO$10</f>
        <v>Ryan Tidey</v>
      </c>
      <c r="T64" s="659"/>
      <c r="U64" s="777" t="str">
        <f t="shared" si="9"/>
        <v>Dick Hansen</v>
      </c>
      <c r="V64" s="779" t="str">
        <f>Teams!$K23</f>
        <v>Hisuian Arcanine</v>
      </c>
      <c r="W64" s="659">
        <v>90.0</v>
      </c>
      <c r="X64" s="697">
        <v>0.5</v>
      </c>
      <c r="Y64" s="697">
        <v>2.0</v>
      </c>
      <c r="Z64" s="697">
        <v>0.5</v>
      </c>
      <c r="AA64" s="659">
        <v>0.5</v>
      </c>
      <c r="AB64" s="659">
        <v>4.0</v>
      </c>
      <c r="AC64" s="659">
        <v>2.0</v>
      </c>
      <c r="AD64" s="659">
        <v>0.5</v>
      </c>
      <c r="AE64" s="659">
        <v>1.0</v>
      </c>
      <c r="AF64" s="659">
        <v>1.0</v>
      </c>
      <c r="AG64" s="659">
        <v>0.25</v>
      </c>
      <c r="AH64" s="659">
        <v>4.0</v>
      </c>
      <c r="AI64" s="659">
        <v>1.0</v>
      </c>
      <c r="AJ64" s="659">
        <v>1.0</v>
      </c>
      <c r="AK64" s="659">
        <v>1.0</v>
      </c>
      <c r="AL64" s="659">
        <v>0.5</v>
      </c>
      <c r="AM64" s="659">
        <v>1.0</v>
      </c>
      <c r="AN64" s="697">
        <v>1.0</v>
      </c>
      <c r="AO64" s="697">
        <v>0.5</v>
      </c>
      <c r="AP64" s="659" t="s">
        <v>241</v>
      </c>
      <c r="AQ64" s="746">
        <v>115.0</v>
      </c>
    </row>
    <row r="65">
      <c r="A65" s="654"/>
      <c r="B65" s="686" t="s">
        <v>430</v>
      </c>
      <c r="C65" s="687">
        <v>13.0</v>
      </c>
      <c r="D65" s="702"/>
      <c r="E65" s="703"/>
      <c r="F65" s="797"/>
      <c r="G65" s="808"/>
      <c r="H65" s="808"/>
      <c r="I65" s="808"/>
      <c r="J65" s="808"/>
      <c r="K65" s="798"/>
      <c r="L65" s="798"/>
      <c r="M65" s="659"/>
      <c r="N65" s="869"/>
      <c r="O65" s="871"/>
      <c r="P65" s="714" t="s">
        <v>427</v>
      </c>
      <c r="Q65" s="873" t="str">
        <f>Data!$AO$8</f>
        <v>Zach VanSickle</v>
      </c>
      <c r="R65" s="874" t="s">
        <v>363</v>
      </c>
      <c r="S65" s="858" t="str">
        <f>Data!$AO$9</f>
        <v>Marcus</v>
      </c>
      <c r="T65" s="659"/>
      <c r="U65" s="777" t="str">
        <f t="shared" si="9"/>
        <v>Dick Hansen</v>
      </c>
      <c r="V65" s="659" t="str">
        <f>Teams!$K24</f>
        <v>Arcanine (T)</v>
      </c>
      <c r="W65" s="659">
        <v>95.0</v>
      </c>
      <c r="X65" s="697">
        <v>1.0</v>
      </c>
      <c r="Y65" s="697">
        <v>1.0</v>
      </c>
      <c r="Z65" s="697">
        <v>1.0</v>
      </c>
      <c r="AA65" s="659">
        <v>1.0</v>
      </c>
      <c r="AB65" s="659">
        <v>2.0</v>
      </c>
      <c r="AC65" s="659">
        <v>2.0</v>
      </c>
      <c r="AD65" s="659">
        <v>0.5</v>
      </c>
      <c r="AE65" s="659">
        <v>1.0</v>
      </c>
      <c r="AF65" s="659">
        <v>0.5</v>
      </c>
      <c r="AG65" s="659">
        <v>0.5</v>
      </c>
      <c r="AH65" s="659">
        <v>2.0</v>
      </c>
      <c r="AI65" s="659">
        <v>0.5</v>
      </c>
      <c r="AJ65" s="659">
        <v>1.0</v>
      </c>
      <c r="AK65" s="659">
        <v>1.0</v>
      </c>
      <c r="AL65" s="659">
        <v>0.5</v>
      </c>
      <c r="AM65" s="659">
        <v>1.0</v>
      </c>
      <c r="AN65" s="697">
        <v>1.0</v>
      </c>
      <c r="AO65" s="697">
        <v>0.5</v>
      </c>
      <c r="AP65" s="659" t="s">
        <v>245</v>
      </c>
      <c r="AQ65" s="746">
        <v>111.0</v>
      </c>
    </row>
    <row r="66">
      <c r="A66" s="654"/>
      <c r="B66" s="686" t="s">
        <v>431</v>
      </c>
      <c r="C66" s="687">
        <v>13.0</v>
      </c>
      <c r="D66" s="702"/>
      <c r="E66" s="703"/>
      <c r="F66" s="797"/>
      <c r="G66" s="808"/>
      <c r="H66" s="808"/>
      <c r="I66" s="808"/>
      <c r="J66" s="808"/>
      <c r="K66" s="798"/>
      <c r="L66" s="798"/>
      <c r="M66" s="881"/>
      <c r="N66" s="786"/>
      <c r="O66" s="882"/>
      <c r="P66" s="689" t="s">
        <v>432</v>
      </c>
      <c r="Q66" s="701" t="str">
        <f>'Playoff Stats'!$G$14</f>
        <v>Ian Heslin</v>
      </c>
      <c r="R66" s="664" t="s">
        <v>363</v>
      </c>
      <c r="S66" s="883" t="str">
        <f>'Playoff Stats'!$G$47</f>
        <v>Zach VanSickle</v>
      </c>
      <c r="T66" s="659"/>
      <c r="U66" s="777" t="str">
        <f t="shared" si="9"/>
        <v>Dick Hansen</v>
      </c>
      <c r="V66" s="659" t="str">
        <f>Teams!$K25</f>
        <v>Thundurus-Incarnate</v>
      </c>
      <c r="W66" s="659">
        <v>111.0</v>
      </c>
      <c r="X66" s="697">
        <v>1.0</v>
      </c>
      <c r="Y66" s="697">
        <v>0.5</v>
      </c>
      <c r="Z66" s="697">
        <v>0.5</v>
      </c>
      <c r="AA66" s="659">
        <v>1.0</v>
      </c>
      <c r="AB66" s="659">
        <v>0.0</v>
      </c>
      <c r="AC66" s="659">
        <v>2.0</v>
      </c>
      <c r="AD66" s="659">
        <v>0.5</v>
      </c>
      <c r="AE66" s="659">
        <v>1.0</v>
      </c>
      <c r="AF66" s="659">
        <v>0.5</v>
      </c>
      <c r="AG66" s="659">
        <v>1.0</v>
      </c>
      <c r="AH66" s="659">
        <v>1.0</v>
      </c>
      <c r="AI66" s="659">
        <v>0.5</v>
      </c>
      <c r="AJ66" s="659">
        <v>1.0</v>
      </c>
      <c r="AK66" s="659">
        <v>1.0</v>
      </c>
      <c r="AL66" s="659">
        <v>2.0</v>
      </c>
      <c r="AM66" s="659">
        <v>1.0</v>
      </c>
      <c r="AN66" s="697">
        <v>1.0</v>
      </c>
      <c r="AO66" s="697">
        <v>1.0</v>
      </c>
      <c r="AP66" s="659" t="s">
        <v>210</v>
      </c>
      <c r="AQ66" s="746">
        <v>110.0</v>
      </c>
    </row>
    <row r="67">
      <c r="A67" s="654"/>
      <c r="B67" s="686" t="s">
        <v>433</v>
      </c>
      <c r="C67" s="687">
        <v>13.0</v>
      </c>
      <c r="D67" s="702"/>
      <c r="E67" s="703"/>
      <c r="F67" s="797"/>
      <c r="G67" s="808"/>
      <c r="H67" s="808"/>
      <c r="I67" s="808"/>
      <c r="J67" s="808"/>
      <c r="K67" s="798"/>
      <c r="L67" s="798"/>
      <c r="M67" s="881"/>
      <c r="N67" s="869"/>
      <c r="O67" s="821"/>
      <c r="P67" s="714" t="s">
        <v>432</v>
      </c>
      <c r="Q67" s="888" t="str">
        <f>'Playoff Stats'!$G$25</f>
        <v>Tyler Gottfredsen</v>
      </c>
      <c r="R67" s="889" t="s">
        <v>363</v>
      </c>
      <c r="S67" s="714" t="str">
        <f>'Playoff Stats'!$G$36</f>
        <v>Ryan Tidey</v>
      </c>
      <c r="T67" s="659"/>
      <c r="U67" s="777" t="str">
        <f t="shared" si="9"/>
        <v>Dick Hansen</v>
      </c>
      <c r="V67" s="659" t="str">
        <f>Teams!$K26</f>
        <v>Noivern (T)</v>
      </c>
      <c r="W67" s="659">
        <v>123.0</v>
      </c>
      <c r="X67" s="697">
        <v>1.0</v>
      </c>
      <c r="Y67" s="697">
        <v>0.5</v>
      </c>
      <c r="Z67" s="697">
        <v>1.0</v>
      </c>
      <c r="AA67" s="659">
        <v>1.0</v>
      </c>
      <c r="AB67" s="659">
        <v>0.0</v>
      </c>
      <c r="AC67" s="659">
        <v>2.0</v>
      </c>
      <c r="AD67" s="659">
        <v>0.5</v>
      </c>
      <c r="AE67" s="659">
        <v>1.0</v>
      </c>
      <c r="AF67" s="659">
        <v>1.0</v>
      </c>
      <c r="AG67" s="659">
        <v>0.5</v>
      </c>
      <c r="AH67" s="659">
        <v>0.5</v>
      </c>
      <c r="AI67" s="659">
        <v>0.25</v>
      </c>
      <c r="AJ67" s="659">
        <v>1.0</v>
      </c>
      <c r="AK67" s="659">
        <v>1.0</v>
      </c>
      <c r="AL67" s="659">
        <v>4.0</v>
      </c>
      <c r="AM67" s="659">
        <v>2.0</v>
      </c>
      <c r="AN67" s="697">
        <v>1.0</v>
      </c>
      <c r="AO67" s="697">
        <v>2.0</v>
      </c>
      <c r="AP67" s="779" t="s">
        <v>246</v>
      </c>
      <c r="AQ67" s="746">
        <v>102.0</v>
      </c>
    </row>
    <row r="68">
      <c r="A68" s="654"/>
      <c r="B68" s="686" t="s">
        <v>434</v>
      </c>
      <c r="C68" s="687">
        <v>13.0</v>
      </c>
      <c r="D68" s="702"/>
      <c r="E68" s="703"/>
      <c r="F68" s="797"/>
      <c r="G68" s="808"/>
      <c r="H68" s="808"/>
      <c r="I68" s="808"/>
      <c r="J68" s="808"/>
      <c r="K68" s="798"/>
      <c r="L68" s="798"/>
      <c r="M68" s="881"/>
      <c r="N68" s="891"/>
      <c r="O68" s="882"/>
      <c r="P68" s="689" t="s">
        <v>435</v>
      </c>
      <c r="Q68" s="893" t="str">
        <f>IF('Playoff Stats'!D12&gt;'Playoff Stats'!H12,'Playoff Stats'!G5,IF('Playoff Stats'!D12='Playoff Stats'!H12,"",'Playoff Stats'!C5))</f>
        <v>Dick Hansen</v>
      </c>
      <c r="R68" s="664" t="s">
        <v>363</v>
      </c>
      <c r="S68" s="895" t="str">
        <f>IF('Playoff Stats'!D45&gt;'Playoff Stats'!H45,'Playoff Stats'!G38,IF('Playoff Stats'!D45='Playoff Stats'!H45,"",'Playoff Stats'!C38))</f>
        <v>Marcus</v>
      </c>
      <c r="T68" s="659"/>
      <c r="U68" s="777" t="str">
        <f t="shared" si="9"/>
        <v>Dick Hansen</v>
      </c>
      <c r="V68" s="659" t="str">
        <f>Teams!$K27</f>
        <v>Froslass</v>
      </c>
      <c r="W68" s="659">
        <v>110.0</v>
      </c>
      <c r="X68" s="697">
        <v>0.0</v>
      </c>
      <c r="Y68" s="697">
        <v>0.0</v>
      </c>
      <c r="Z68" s="697">
        <v>1.0</v>
      </c>
      <c r="AA68" s="659">
        <v>0.5</v>
      </c>
      <c r="AB68" s="659">
        <v>1.0</v>
      </c>
      <c r="AC68" s="659">
        <v>2.0</v>
      </c>
      <c r="AD68" s="659">
        <v>0.5</v>
      </c>
      <c r="AE68" s="659">
        <v>2.0</v>
      </c>
      <c r="AF68" s="659">
        <v>2.0</v>
      </c>
      <c r="AG68" s="659">
        <v>2.0</v>
      </c>
      <c r="AH68" s="659">
        <v>1.0</v>
      </c>
      <c r="AI68" s="659">
        <v>1.0</v>
      </c>
      <c r="AJ68" s="659">
        <v>1.0</v>
      </c>
      <c r="AK68" s="659">
        <v>1.0</v>
      </c>
      <c r="AL68" s="659">
        <v>0.5</v>
      </c>
      <c r="AM68" s="659">
        <v>1.0</v>
      </c>
      <c r="AN68" s="697">
        <v>2.0</v>
      </c>
      <c r="AO68" s="697">
        <v>1.0</v>
      </c>
      <c r="AP68" s="659" t="s">
        <v>208</v>
      </c>
      <c r="AQ68" s="746">
        <v>95.0</v>
      </c>
    </row>
    <row r="69">
      <c r="A69" s="654"/>
      <c r="B69" s="719" t="s">
        <v>436</v>
      </c>
      <c r="C69" s="720">
        <v>13.0</v>
      </c>
      <c r="D69" s="721"/>
      <c r="E69" s="703"/>
      <c r="F69" s="797"/>
      <c r="G69" s="808"/>
      <c r="H69" s="808"/>
      <c r="I69" s="808"/>
      <c r="J69" s="808"/>
      <c r="K69" s="798"/>
      <c r="L69" s="798"/>
      <c r="M69" s="881"/>
      <c r="N69" s="820"/>
      <c r="O69" s="821"/>
      <c r="P69" s="714" t="s">
        <v>435</v>
      </c>
      <c r="Q69" s="888" t="str">
        <f>IF('Playoff Stats'!D23&gt;'Playoff Stats'!H23,'Playoff Stats'!G16,IF('Playoff Stats'!D23='Playoff Stats'!H23,"",'Playoff Stats'!C16))</f>
        <v>Jackson McLoughlin</v>
      </c>
      <c r="R69" s="889" t="s">
        <v>363</v>
      </c>
      <c r="S69" s="714" t="str">
        <f>IF('Playoff Stats'!D34&gt;'Playoff Stats'!H34,'Playoff Stats'!G27,IF('Playoff Stats'!D34='Playoff Stats'!H34,"",'Playoff Stats'!C27))</f>
        <v>Ryan Evans</v>
      </c>
      <c r="T69" s="659"/>
      <c r="U69" s="777" t="str">
        <f t="shared" si="9"/>
        <v>Dick Hansen</v>
      </c>
      <c r="V69" s="659" t="str">
        <f>Teams!$K28</f>
        <v>Raikou</v>
      </c>
      <c r="W69" s="659">
        <v>115.0</v>
      </c>
      <c r="X69" s="697">
        <v>1.0</v>
      </c>
      <c r="Y69" s="697">
        <v>1.0</v>
      </c>
      <c r="Z69" s="697">
        <v>0.5</v>
      </c>
      <c r="AA69" s="659">
        <v>1.0</v>
      </c>
      <c r="AB69" s="659">
        <v>2.0</v>
      </c>
      <c r="AC69" s="659">
        <v>1.0</v>
      </c>
      <c r="AD69" s="659">
        <v>1.0</v>
      </c>
      <c r="AE69" s="659">
        <v>1.0</v>
      </c>
      <c r="AF69" s="659">
        <v>0.5</v>
      </c>
      <c r="AG69" s="659">
        <v>1.0</v>
      </c>
      <c r="AH69" s="659">
        <v>1.0</v>
      </c>
      <c r="AI69" s="659">
        <v>1.0</v>
      </c>
      <c r="AJ69" s="659">
        <v>0.5</v>
      </c>
      <c r="AK69" s="659">
        <v>1.0</v>
      </c>
      <c r="AL69" s="659">
        <v>1.0</v>
      </c>
      <c r="AM69" s="659">
        <v>1.0</v>
      </c>
      <c r="AN69" s="697">
        <v>1.0</v>
      </c>
      <c r="AO69" s="697">
        <v>1.0</v>
      </c>
      <c r="AP69" s="659" t="s">
        <v>155</v>
      </c>
      <c r="AQ69" s="746">
        <v>95.0</v>
      </c>
    </row>
    <row r="70">
      <c r="A70" s="654"/>
      <c r="B70" s="704" t="s">
        <v>437</v>
      </c>
      <c r="C70" s="687">
        <v>13.0</v>
      </c>
      <c r="D70" s="702"/>
      <c r="E70" s="703"/>
      <c r="F70" s="897"/>
      <c r="G70" s="897"/>
      <c r="H70" s="798"/>
      <c r="I70" s="798"/>
      <c r="J70" s="798"/>
      <c r="K70" s="798"/>
      <c r="L70" s="798"/>
      <c r="M70" s="899"/>
      <c r="N70" s="901"/>
      <c r="O70" s="903"/>
      <c r="P70" s="689" t="s">
        <v>438</v>
      </c>
      <c r="Q70" s="701" t="str">
        <f>'Playoff Stats'!$P$14</f>
        <v>Ian Heslin</v>
      </c>
      <c r="R70" s="664" t="s">
        <v>363</v>
      </c>
      <c r="S70" s="689" t="str">
        <f>'Playoff Stats'!$P$25</f>
        <v>Ryan Tidey</v>
      </c>
      <c r="T70" s="659"/>
      <c r="U70" s="777" t="str">
        <f t="shared" si="9"/>
        <v>Dick Hansen</v>
      </c>
      <c r="V70" s="659" t="str">
        <f>Teams!$K29</f>
        <v>Kyurem</v>
      </c>
      <c r="W70" s="659">
        <v>95.0</v>
      </c>
      <c r="X70" s="697">
        <v>1.0</v>
      </c>
      <c r="Y70" s="697">
        <v>2.0</v>
      </c>
      <c r="Z70" s="697">
        <v>1.0</v>
      </c>
      <c r="AA70" s="659">
        <v>1.0</v>
      </c>
      <c r="AB70" s="659">
        <v>1.0</v>
      </c>
      <c r="AC70" s="659">
        <v>2.0</v>
      </c>
      <c r="AD70" s="659">
        <v>1.0</v>
      </c>
      <c r="AE70" s="659">
        <v>1.0</v>
      </c>
      <c r="AF70" s="659">
        <v>2.0</v>
      </c>
      <c r="AG70" s="659">
        <v>1.0</v>
      </c>
      <c r="AH70" s="659">
        <v>0.5</v>
      </c>
      <c r="AI70" s="659">
        <v>0.5</v>
      </c>
      <c r="AJ70" s="659">
        <v>0.5</v>
      </c>
      <c r="AK70" s="659">
        <v>1.0</v>
      </c>
      <c r="AL70" s="659">
        <v>1.0</v>
      </c>
      <c r="AM70" s="659">
        <v>2.0</v>
      </c>
      <c r="AN70" s="697">
        <v>1.0</v>
      </c>
      <c r="AO70" s="697">
        <v>2.0</v>
      </c>
      <c r="AP70" s="779" t="s">
        <v>237</v>
      </c>
      <c r="AQ70" s="746">
        <v>90.0</v>
      </c>
    </row>
    <row r="71">
      <c r="A71" s="654"/>
      <c r="B71" s="704" t="s">
        <v>439</v>
      </c>
      <c r="C71" s="687">
        <v>13.0</v>
      </c>
      <c r="D71" s="702"/>
      <c r="E71" s="703"/>
      <c r="F71" s="897"/>
      <c r="G71" s="897"/>
      <c r="H71" s="659"/>
      <c r="I71" s="659"/>
      <c r="J71" s="659"/>
      <c r="K71" s="659"/>
      <c r="L71" s="659"/>
      <c r="M71" s="899"/>
      <c r="N71" s="909"/>
      <c r="O71" s="910"/>
      <c r="P71" s="662" t="s">
        <v>440</v>
      </c>
      <c r="Q71" s="911" t="str">
        <f>'Playoff Stats'!$Y$14</f>
        <v>Marcus</v>
      </c>
      <c r="R71" s="664" t="s">
        <v>363</v>
      </c>
      <c r="S71" s="665" t="str">
        <f>IF('Playoff Stats'!M12&gt;'Playoff Stats'!Q12,'Playoff Stats'!P5,IF('Playoff Stats'!M12='Playoff Stats'!Q12,"",'Playoff Stats'!L5))</f>
        <v>Zach VanSickle</v>
      </c>
      <c r="T71" s="659"/>
      <c r="U71" s="777" t="str">
        <f t="shared" si="9"/>
        <v>Dick Hansen</v>
      </c>
      <c r="V71" s="659" t="str">
        <f>Teams!$K30</f>
        <v>Dragalge (T)</v>
      </c>
      <c r="W71" s="659">
        <v>44.0</v>
      </c>
      <c r="X71" s="697">
        <v>1.0</v>
      </c>
      <c r="Y71" s="697">
        <v>0.5</v>
      </c>
      <c r="Z71" s="697">
        <v>1.0</v>
      </c>
      <c r="AA71" s="659">
        <v>0.5</v>
      </c>
      <c r="AB71" s="659">
        <v>2.0</v>
      </c>
      <c r="AC71" s="659">
        <v>1.0</v>
      </c>
      <c r="AD71" s="659">
        <v>0.5</v>
      </c>
      <c r="AE71" s="659">
        <v>1.0</v>
      </c>
      <c r="AF71" s="659">
        <v>1.0</v>
      </c>
      <c r="AG71" s="659">
        <v>0.5</v>
      </c>
      <c r="AH71" s="659">
        <v>0.5</v>
      </c>
      <c r="AI71" s="659">
        <v>0.25</v>
      </c>
      <c r="AJ71" s="659">
        <v>0.5</v>
      </c>
      <c r="AK71" s="659">
        <v>2.0</v>
      </c>
      <c r="AL71" s="659">
        <v>2.0</v>
      </c>
      <c r="AM71" s="659">
        <v>2.0</v>
      </c>
      <c r="AN71" s="697">
        <v>1.0</v>
      </c>
      <c r="AO71" s="697">
        <v>1.0</v>
      </c>
      <c r="AP71" s="659" t="s">
        <v>177</v>
      </c>
      <c r="AQ71" s="746">
        <v>44.0</v>
      </c>
    </row>
    <row r="72">
      <c r="A72" s="654"/>
      <c r="B72" s="704" t="s">
        <v>441</v>
      </c>
      <c r="C72" s="687">
        <v>13.0</v>
      </c>
      <c r="D72" s="702"/>
      <c r="E72" s="703"/>
      <c r="F72" s="897"/>
      <c r="G72" s="897"/>
      <c r="H72" s="659"/>
      <c r="I72" s="659"/>
      <c r="J72" s="659"/>
      <c r="K72" s="659"/>
      <c r="L72" s="659"/>
      <c r="M72" s="899"/>
      <c r="N72" s="913"/>
      <c r="O72" s="914"/>
      <c r="P72" s="714" t="s">
        <v>440</v>
      </c>
      <c r="Q72" s="823" t="str">
        <f>'Playoff Stats'!$Y$25</f>
        <v>Ryan Evans</v>
      </c>
      <c r="R72" s="889" t="s">
        <v>363</v>
      </c>
      <c r="S72" s="714" t="str">
        <f>IF('Playoff Stats'!M23&gt;'Playoff Stats'!Q23,'Playoff Stats'!P16,IF('Playoff Stats'!M23='Playoff Stats'!Q23,"",'Playoff Stats'!L16))</f>
        <v>Tyler Gottfredsen</v>
      </c>
      <c r="T72" s="659"/>
      <c r="U72" s="777" t="str">
        <f t="shared" si="9"/>
        <v>Dick Hansen</v>
      </c>
      <c r="V72" s="659" t="str">
        <f>Teams!$K31</f>
        <v/>
      </c>
      <c r="W72" s="659"/>
      <c r="X72" s="697"/>
      <c r="Y72" s="697"/>
      <c r="Z72" s="697"/>
      <c r="AA72" s="659"/>
      <c r="AB72" s="659"/>
      <c r="AC72" s="659"/>
      <c r="AD72" s="659"/>
      <c r="AE72" s="659"/>
      <c r="AF72" s="659"/>
      <c r="AG72" s="659"/>
      <c r="AH72" s="659"/>
      <c r="AI72" s="659"/>
      <c r="AJ72" s="659"/>
      <c r="AK72" s="659"/>
      <c r="AL72" s="659"/>
      <c r="AM72" s="659"/>
      <c r="AN72" s="697"/>
      <c r="AO72" s="697"/>
      <c r="AP72" s="659"/>
      <c r="AQ72" s="746"/>
    </row>
    <row r="73">
      <c r="A73" s="654"/>
      <c r="B73" s="719" t="s">
        <v>442</v>
      </c>
      <c r="C73" s="720">
        <v>13.0</v>
      </c>
      <c r="D73" s="721"/>
      <c r="E73" s="703"/>
      <c r="F73" s="897"/>
      <c r="G73" s="897"/>
      <c r="H73" s="659"/>
      <c r="I73" s="659"/>
      <c r="J73" s="659"/>
      <c r="K73" s="659"/>
      <c r="L73" s="659"/>
      <c r="M73" s="915"/>
      <c r="N73" s="916"/>
      <c r="O73" s="917"/>
      <c r="P73" s="918" t="s">
        <v>443</v>
      </c>
      <c r="Q73" s="823" t="str">
        <f>'Playoff Stats'!$AQ$14</f>
        <v>Zach VanSickle</v>
      </c>
      <c r="R73" s="825" t="s">
        <v>363</v>
      </c>
      <c r="S73" s="714" t="str">
        <f>'Playoff Stats'!$AQ$25</f>
        <v>Ryan Evans</v>
      </c>
      <c r="T73" s="659"/>
      <c r="U73" s="799" t="str">
        <f t="shared" si="9"/>
        <v>Dick Hansen</v>
      </c>
      <c r="V73" s="758" t="str">
        <f>Teams!$K32</f>
        <v/>
      </c>
      <c r="W73" s="758"/>
      <c r="X73" s="725"/>
      <c r="Y73" s="725"/>
      <c r="Z73" s="725"/>
      <c r="AA73" s="758"/>
      <c r="AB73" s="758"/>
      <c r="AC73" s="758"/>
      <c r="AD73" s="758"/>
      <c r="AE73" s="758"/>
      <c r="AF73" s="758"/>
      <c r="AG73" s="758"/>
      <c r="AH73" s="758"/>
      <c r="AI73" s="758"/>
      <c r="AJ73" s="758"/>
      <c r="AK73" s="758"/>
      <c r="AL73" s="758"/>
      <c r="AM73" s="758"/>
      <c r="AN73" s="725"/>
      <c r="AO73" s="725"/>
      <c r="AP73" s="758"/>
      <c r="AQ73" s="715"/>
    </row>
    <row r="74">
      <c r="A74" s="654"/>
      <c r="B74" s="719" t="s">
        <v>445</v>
      </c>
      <c r="C74" s="720">
        <v>13.0</v>
      </c>
      <c r="D74" s="721"/>
      <c r="E74" s="703"/>
      <c r="F74" s="897"/>
      <c r="G74" s="897"/>
      <c r="H74" s="659"/>
      <c r="I74" s="659"/>
      <c r="J74" s="659"/>
      <c r="K74" s="659"/>
      <c r="L74" s="659"/>
      <c r="M74" s="920"/>
      <c r="N74" s="913"/>
      <c r="O74" s="914"/>
      <c r="P74" s="714" t="s">
        <v>446</v>
      </c>
      <c r="Q74" s="823" t="str">
        <f>'Playoff Stats'!$AZ$14</f>
        <v>Zach VanSickle</v>
      </c>
      <c r="R74" s="825" t="s">
        <v>363</v>
      </c>
      <c r="S74" s="714" t="str">
        <f>IF('Playoff Stats'!AE12&gt;'Playoff Stats'!AI12,'Playoff Stats'!AH5,IF('Playoff Stats'!AE12='Playoff Stats'!AI12,"",'Playoff Stats'!AD5))</f>
        <v>Ian Heslin</v>
      </c>
      <c r="T74" s="659"/>
      <c r="U74" s="777" t="str">
        <f t="shared" ref="U74:U85" si="10">$G$9</f>
        <v>Jackson McLoughlin</v>
      </c>
      <c r="V74" s="779" t="str">
        <f>Teams!$R21</f>
        <v>ogerpon-wellspring</v>
      </c>
      <c r="W74" s="659">
        <v>110.0</v>
      </c>
      <c r="X74" s="697">
        <v>1.0</v>
      </c>
      <c r="Y74" s="697">
        <v>1.0</v>
      </c>
      <c r="Z74" s="697">
        <v>2.0</v>
      </c>
      <c r="AA74" s="659">
        <v>2.0</v>
      </c>
      <c r="AB74" s="659">
        <v>0.5</v>
      </c>
      <c r="AC74" s="659">
        <v>1.0</v>
      </c>
      <c r="AD74" s="659">
        <v>2.0</v>
      </c>
      <c r="AE74" s="659">
        <v>1.0</v>
      </c>
      <c r="AF74" s="659">
        <v>0.5</v>
      </c>
      <c r="AG74" s="659">
        <v>1.0</v>
      </c>
      <c r="AH74" s="659">
        <v>0.25</v>
      </c>
      <c r="AI74" s="659">
        <v>1.0</v>
      </c>
      <c r="AJ74" s="659">
        <v>1.0</v>
      </c>
      <c r="AK74" s="659">
        <v>1.0</v>
      </c>
      <c r="AL74" s="659">
        <v>1.0</v>
      </c>
      <c r="AM74" s="659">
        <v>1.0</v>
      </c>
      <c r="AN74" s="697">
        <v>1.0</v>
      </c>
      <c r="AO74" s="697">
        <v>1.0</v>
      </c>
      <c r="AP74" s="649" t="str">
        <f t="array" ref="AP74:AQ85">SORT(V74:W85,2,0)</f>
        <v>Regieleki</v>
      </c>
      <c r="AQ74" s="689">
        <v>200.0</v>
      </c>
    </row>
    <row r="75">
      <c r="A75" s="654"/>
      <c r="B75" s="738" t="s">
        <v>175</v>
      </c>
      <c r="C75" s="720">
        <v>13.0</v>
      </c>
      <c r="D75" s="721"/>
      <c r="E75" s="703"/>
      <c r="F75" s="897"/>
      <c r="G75" s="897"/>
      <c r="H75" s="659"/>
      <c r="I75" s="659"/>
      <c r="J75" s="659"/>
      <c r="K75" s="659"/>
      <c r="L75" s="659"/>
      <c r="M75" s="922"/>
      <c r="N75" s="913"/>
      <c r="O75" s="914"/>
      <c r="P75" s="714" t="s">
        <v>447</v>
      </c>
      <c r="Q75" s="823" t="str">
        <f>'Playoff Stats'!$AH$14</f>
        <v>Ryan Tidey</v>
      </c>
      <c r="R75" s="825" t="s">
        <v>363</v>
      </c>
      <c r="S75" s="714" t="str">
        <f>'Playoff Stats'!$BI$14</f>
        <v>Ian Heslin</v>
      </c>
      <c r="T75" s="659"/>
      <c r="U75" s="777" t="str">
        <f t="shared" si="10"/>
        <v>Jackson McLoughlin</v>
      </c>
      <c r="V75" s="779" t="str">
        <f>Teams!$R22</f>
        <v>Kyurem-Black</v>
      </c>
      <c r="W75" s="659">
        <v>95.0</v>
      </c>
      <c r="X75" s="697">
        <v>1.0</v>
      </c>
      <c r="Y75" s="697">
        <v>2.0</v>
      </c>
      <c r="Z75" s="697">
        <v>1.0</v>
      </c>
      <c r="AA75" s="659">
        <v>1.0</v>
      </c>
      <c r="AB75" s="659">
        <v>1.0</v>
      </c>
      <c r="AC75" s="659">
        <v>2.0</v>
      </c>
      <c r="AD75" s="659">
        <v>1.0</v>
      </c>
      <c r="AE75" s="659">
        <v>1.0</v>
      </c>
      <c r="AF75" s="659">
        <v>2.0</v>
      </c>
      <c r="AG75" s="659">
        <v>1.0</v>
      </c>
      <c r="AH75" s="659">
        <v>0.5</v>
      </c>
      <c r="AI75" s="659">
        <v>0.5</v>
      </c>
      <c r="AJ75" s="659">
        <v>0.5</v>
      </c>
      <c r="AK75" s="659">
        <v>1.0</v>
      </c>
      <c r="AL75" s="659">
        <v>1.0</v>
      </c>
      <c r="AM75" s="659">
        <v>2.0</v>
      </c>
      <c r="AN75" s="697">
        <v>1.0</v>
      </c>
      <c r="AO75" s="697">
        <v>2.0</v>
      </c>
      <c r="AP75" s="649" t="s">
        <v>142</v>
      </c>
      <c r="AQ75" s="689">
        <v>124.0</v>
      </c>
    </row>
    <row r="76">
      <c r="A76" s="736"/>
      <c r="B76" s="719" t="s">
        <v>102</v>
      </c>
      <c r="C76" s="720">
        <v>13.0</v>
      </c>
      <c r="D76" s="721"/>
      <c r="E76" s="703"/>
      <c r="F76" s="897"/>
      <c r="G76" s="897"/>
      <c r="H76" s="659"/>
      <c r="I76" s="659"/>
      <c r="J76" s="659"/>
      <c r="K76" s="659"/>
      <c r="L76" s="659"/>
      <c r="M76" s="922"/>
      <c r="N76" s="913"/>
      <c r="O76" s="914"/>
      <c r="P76" s="714" t="s">
        <v>459</v>
      </c>
      <c r="Q76" s="823" t="str">
        <f>IF('Playoff Stats'!BO12&gt;'Playoff Stats'!BS12,"N/A",IF('Playoff Stats'!BO12='Playoff Stats'!BS12,"",'Playoff Stats'!BN5))</f>
        <v/>
      </c>
      <c r="R76" s="825" t="s">
        <v>363</v>
      </c>
      <c r="S76" s="714" t="str">
        <f>IF('Playoff Stats'!BO12&gt;'Playoff Stats'!BS12,"N/A",IF('Playoff Stats'!BO12='Playoff Stats'!BS12,"",'Playoff Stats'!BR5))</f>
        <v/>
      </c>
      <c r="T76" s="659"/>
      <c r="U76" s="777" t="str">
        <f t="shared" si="10"/>
        <v>Jackson McLoughlin</v>
      </c>
      <c r="V76" s="779" t="str">
        <f>Teams!$R23</f>
        <v>Heatran</v>
      </c>
      <c r="W76" s="659">
        <v>77.0</v>
      </c>
      <c r="X76" s="697">
        <v>0.5</v>
      </c>
      <c r="Y76" s="697">
        <v>2.0</v>
      </c>
      <c r="Z76" s="697">
        <v>0.5</v>
      </c>
      <c r="AA76" s="659">
        <v>0.0</v>
      </c>
      <c r="AB76" s="659">
        <v>4.0</v>
      </c>
      <c r="AC76" s="659">
        <v>1.0</v>
      </c>
      <c r="AD76" s="659">
        <v>0.25</v>
      </c>
      <c r="AE76" s="659">
        <v>1.0</v>
      </c>
      <c r="AF76" s="659">
        <v>0.25</v>
      </c>
      <c r="AG76" s="659">
        <v>1.0</v>
      </c>
      <c r="AH76" s="659">
        <v>2.0</v>
      </c>
      <c r="AI76" s="659">
        <v>0.25</v>
      </c>
      <c r="AJ76" s="659">
        <v>1.0</v>
      </c>
      <c r="AK76" s="659">
        <v>0.5</v>
      </c>
      <c r="AL76" s="659">
        <v>0.25</v>
      </c>
      <c r="AM76" s="659">
        <v>0.5</v>
      </c>
      <c r="AN76" s="697">
        <v>1.0</v>
      </c>
      <c r="AO76" s="697">
        <v>0.25</v>
      </c>
      <c r="AP76" s="649" t="s">
        <v>168</v>
      </c>
      <c r="AQ76" s="689">
        <v>120.0</v>
      </c>
    </row>
    <row r="77">
      <c r="A77" s="654"/>
      <c r="B77" s="719" t="s">
        <v>469</v>
      </c>
      <c r="C77" s="720">
        <v>13.0</v>
      </c>
      <c r="D77" s="721"/>
      <c r="E77" s="703"/>
      <c r="F77" s="897"/>
      <c r="G77" s="897"/>
      <c r="H77" s="659"/>
      <c r="I77" s="659"/>
      <c r="J77" s="659"/>
      <c r="K77" s="659"/>
      <c r="L77" s="659"/>
      <c r="M77" s="659"/>
      <c r="N77" s="942"/>
      <c r="O77" s="942"/>
      <c r="P77" s="649"/>
      <c r="Q77" s="659"/>
      <c r="R77" s="649"/>
      <c r="S77" s="649"/>
      <c r="T77" s="659"/>
      <c r="U77" s="777" t="str">
        <f t="shared" si="10"/>
        <v>Jackson McLoughlin</v>
      </c>
      <c r="V77" s="659" t="str">
        <f>Teams!$R24</f>
        <v>Sylveon (T)</v>
      </c>
      <c r="W77" s="659">
        <v>60.0</v>
      </c>
      <c r="X77" s="697">
        <v>1.0</v>
      </c>
      <c r="Y77" s="697">
        <v>0.5</v>
      </c>
      <c r="Z77" s="697">
        <v>1.0</v>
      </c>
      <c r="AA77" s="659">
        <v>2.0</v>
      </c>
      <c r="AB77" s="659">
        <v>1.0</v>
      </c>
      <c r="AC77" s="659">
        <v>1.0</v>
      </c>
      <c r="AD77" s="659">
        <v>0.5</v>
      </c>
      <c r="AE77" s="659">
        <v>1.0</v>
      </c>
      <c r="AF77" s="659">
        <v>2.0</v>
      </c>
      <c r="AG77" s="659">
        <v>1.0</v>
      </c>
      <c r="AH77" s="659">
        <v>1.0</v>
      </c>
      <c r="AI77" s="659">
        <v>1.0</v>
      </c>
      <c r="AJ77" s="659">
        <v>1.0</v>
      </c>
      <c r="AK77" s="659">
        <v>1.0</v>
      </c>
      <c r="AL77" s="659">
        <v>1.0</v>
      </c>
      <c r="AM77" s="659">
        <v>0.0</v>
      </c>
      <c r="AN77" s="697">
        <v>0.5</v>
      </c>
      <c r="AO77" s="697">
        <v>1.0</v>
      </c>
      <c r="AP77" s="696" t="s">
        <v>166</v>
      </c>
      <c r="AQ77" s="689">
        <v>110.0</v>
      </c>
    </row>
    <row r="78">
      <c r="A78" s="654"/>
      <c r="B78" s="719" t="s">
        <v>470</v>
      </c>
      <c r="C78" s="720">
        <v>13.0</v>
      </c>
      <c r="D78" s="721"/>
      <c r="E78" s="703"/>
      <c r="F78" s="897"/>
      <c r="G78" s="897"/>
      <c r="H78" s="659"/>
      <c r="I78" s="659"/>
      <c r="J78" s="659"/>
      <c r="K78" s="659"/>
      <c r="L78" s="659"/>
      <c r="M78" s="659"/>
      <c r="N78" s="949"/>
      <c r="O78" s="951"/>
      <c r="P78" s="649"/>
      <c r="Q78" s="659"/>
      <c r="R78" s="649"/>
      <c r="S78" s="649"/>
      <c r="T78" s="659"/>
      <c r="U78" s="777" t="str">
        <f t="shared" si="10"/>
        <v>Jackson McLoughlin</v>
      </c>
      <c r="V78" s="659" t="str">
        <f>Teams!$R25</f>
        <v>Sneasler</v>
      </c>
      <c r="W78" s="659">
        <v>120.0</v>
      </c>
      <c r="X78" s="697">
        <v>1.0</v>
      </c>
      <c r="Y78" s="697">
        <v>0.5</v>
      </c>
      <c r="Z78" s="697">
        <v>2.0</v>
      </c>
      <c r="AA78" s="659">
        <v>0.5</v>
      </c>
      <c r="AB78" s="659">
        <v>2.0</v>
      </c>
      <c r="AC78" s="659">
        <v>0.5</v>
      </c>
      <c r="AD78" s="659">
        <v>0.25</v>
      </c>
      <c r="AE78" s="659">
        <v>1.0</v>
      </c>
      <c r="AF78" s="659">
        <v>1.0</v>
      </c>
      <c r="AG78" s="659">
        <v>1.0</v>
      </c>
      <c r="AH78" s="659">
        <v>1.0</v>
      </c>
      <c r="AI78" s="659">
        <v>0.5</v>
      </c>
      <c r="AJ78" s="659">
        <v>1.0</v>
      </c>
      <c r="AK78" s="659">
        <v>4.0</v>
      </c>
      <c r="AL78" s="659">
        <v>1.0</v>
      </c>
      <c r="AM78" s="659">
        <v>1.0</v>
      </c>
      <c r="AN78" s="697">
        <v>0.5</v>
      </c>
      <c r="AO78" s="697">
        <v>1.0</v>
      </c>
      <c r="AP78" s="649" t="s">
        <v>132</v>
      </c>
      <c r="AQ78" s="689">
        <v>110.0</v>
      </c>
    </row>
    <row r="79">
      <c r="A79" s="654"/>
      <c r="B79" s="686" t="s">
        <v>237</v>
      </c>
      <c r="C79" s="687">
        <v>12.0</v>
      </c>
      <c r="D79" s="702"/>
      <c r="E79" s="703"/>
      <c r="F79" s="897"/>
      <c r="G79" s="897"/>
      <c r="H79" s="659"/>
      <c r="I79" s="659"/>
      <c r="J79" s="659"/>
      <c r="K79" s="659"/>
      <c r="L79" s="659"/>
      <c r="M79" s="659"/>
      <c r="N79" s="949"/>
      <c r="O79" s="951"/>
      <c r="P79" s="649"/>
      <c r="Q79" s="659"/>
      <c r="R79" s="649"/>
      <c r="S79" s="649"/>
      <c r="T79" s="659"/>
      <c r="U79" s="777" t="str">
        <f t="shared" si="10"/>
        <v>Jackson McLoughlin</v>
      </c>
      <c r="V79" s="659" t="str">
        <f>Teams!$R26</f>
        <v>Shaymin (T)</v>
      </c>
      <c r="W79" s="659">
        <v>100.0</v>
      </c>
      <c r="X79" s="697">
        <v>1.0</v>
      </c>
      <c r="Y79" s="697">
        <v>1.0</v>
      </c>
      <c r="Z79" s="697">
        <v>2.0</v>
      </c>
      <c r="AA79" s="659">
        <v>2.0</v>
      </c>
      <c r="AB79" s="659">
        <v>0.5</v>
      </c>
      <c r="AC79" s="659">
        <v>1.0</v>
      </c>
      <c r="AD79" s="659">
        <v>2.0</v>
      </c>
      <c r="AE79" s="659">
        <v>1.0</v>
      </c>
      <c r="AF79" s="659">
        <v>1.0</v>
      </c>
      <c r="AG79" s="659">
        <v>2.0</v>
      </c>
      <c r="AH79" s="659">
        <v>0.5</v>
      </c>
      <c r="AI79" s="659">
        <v>0.5</v>
      </c>
      <c r="AJ79" s="659">
        <v>0.5</v>
      </c>
      <c r="AK79" s="659">
        <v>1.0</v>
      </c>
      <c r="AL79" s="659">
        <v>2.0</v>
      </c>
      <c r="AM79" s="659">
        <v>1.0</v>
      </c>
      <c r="AN79" s="697">
        <v>1.0</v>
      </c>
      <c r="AO79" s="697">
        <v>1.0</v>
      </c>
      <c r="AP79" s="649" t="s">
        <v>91</v>
      </c>
      <c r="AQ79" s="689">
        <v>100.0</v>
      </c>
    </row>
    <row r="80">
      <c r="A80" s="654"/>
      <c r="B80" s="704" t="s">
        <v>473</v>
      </c>
      <c r="C80" s="687">
        <v>12.0</v>
      </c>
      <c r="D80" s="702"/>
      <c r="E80" s="703"/>
      <c r="F80" s="897"/>
      <c r="G80" s="897"/>
      <c r="H80" s="659"/>
      <c r="I80" s="659"/>
      <c r="J80" s="659"/>
      <c r="K80" s="659"/>
      <c r="L80" s="659"/>
      <c r="M80" s="659"/>
      <c r="N80" s="949"/>
      <c r="O80" s="951"/>
      <c r="P80" s="649"/>
      <c r="Q80" s="659"/>
      <c r="R80" s="649"/>
      <c r="S80" s="649"/>
      <c r="T80" s="659"/>
      <c r="U80" s="777" t="str">
        <f t="shared" si="10"/>
        <v>Jackson McLoughlin</v>
      </c>
      <c r="V80" s="659" t="str">
        <f>Teams!$R27</f>
        <v>iron boulder</v>
      </c>
      <c r="W80" s="659">
        <v>124.0</v>
      </c>
      <c r="X80" s="697">
        <v>0.5</v>
      </c>
      <c r="Y80" s="697">
        <v>1.0</v>
      </c>
      <c r="Z80" s="697">
        <v>0.5</v>
      </c>
      <c r="AA80" s="659">
        <v>0.5</v>
      </c>
      <c r="AB80" s="659">
        <v>2.0</v>
      </c>
      <c r="AC80" s="659">
        <v>1.0</v>
      </c>
      <c r="AD80" s="659">
        <v>2.0</v>
      </c>
      <c r="AE80" s="659">
        <v>2.0</v>
      </c>
      <c r="AF80" s="659">
        <v>2.0</v>
      </c>
      <c r="AG80" s="659">
        <v>0.5</v>
      </c>
      <c r="AH80" s="659">
        <v>2.0</v>
      </c>
      <c r="AI80" s="659">
        <v>2.0</v>
      </c>
      <c r="AJ80" s="659">
        <v>1.0</v>
      </c>
      <c r="AK80" s="659">
        <v>0.5</v>
      </c>
      <c r="AL80" s="659">
        <v>1.0</v>
      </c>
      <c r="AM80" s="659">
        <v>1.0</v>
      </c>
      <c r="AN80" s="697">
        <v>2.0</v>
      </c>
      <c r="AO80" s="697">
        <v>1.0</v>
      </c>
      <c r="AP80" s="696" t="s">
        <v>104</v>
      </c>
      <c r="AQ80" s="689">
        <v>95.0</v>
      </c>
    </row>
    <row r="81">
      <c r="A81" s="654"/>
      <c r="B81" s="686" t="s">
        <v>475</v>
      </c>
      <c r="C81" s="687">
        <v>12.0</v>
      </c>
      <c r="D81" s="702"/>
      <c r="E81" s="703"/>
      <c r="F81" s="897"/>
      <c r="G81" s="897"/>
      <c r="H81" s="659"/>
      <c r="I81" s="659"/>
      <c r="J81" s="659"/>
      <c r="K81" s="659"/>
      <c r="L81" s="659"/>
      <c r="M81" s="659"/>
      <c r="N81" s="949"/>
      <c r="O81" s="951"/>
      <c r="P81" s="649"/>
      <c r="Q81" s="659"/>
      <c r="R81" s="649"/>
      <c r="S81" s="649"/>
      <c r="T81" s="659"/>
      <c r="U81" s="777" t="str">
        <f t="shared" si="10"/>
        <v>Jackson McLoughlin</v>
      </c>
      <c r="V81" s="659" t="str">
        <f>Teams!$R28</f>
        <v>Regieleki</v>
      </c>
      <c r="W81" s="659">
        <v>200.0</v>
      </c>
      <c r="X81" s="697">
        <v>1.0</v>
      </c>
      <c r="Y81" s="697">
        <v>1.0</v>
      </c>
      <c r="Z81" s="697">
        <v>0.5</v>
      </c>
      <c r="AA81" s="659">
        <v>1.0</v>
      </c>
      <c r="AB81" s="659">
        <v>2.0</v>
      </c>
      <c r="AC81" s="659">
        <v>1.0</v>
      </c>
      <c r="AD81" s="659">
        <v>1.0</v>
      </c>
      <c r="AE81" s="659">
        <v>1.0</v>
      </c>
      <c r="AF81" s="659">
        <v>0.5</v>
      </c>
      <c r="AG81" s="659">
        <v>1.0</v>
      </c>
      <c r="AH81" s="659">
        <v>1.0</v>
      </c>
      <c r="AI81" s="659">
        <v>1.0</v>
      </c>
      <c r="AJ81" s="659">
        <v>0.5</v>
      </c>
      <c r="AK81" s="659">
        <v>1.0</v>
      </c>
      <c r="AL81" s="659">
        <v>1.0</v>
      </c>
      <c r="AM81" s="659">
        <v>1.0</v>
      </c>
      <c r="AN81" s="697">
        <v>1.0</v>
      </c>
      <c r="AO81" s="697">
        <v>1.0</v>
      </c>
      <c r="AP81" s="696" t="s">
        <v>97</v>
      </c>
      <c r="AQ81" s="689">
        <v>77.0</v>
      </c>
    </row>
    <row r="82">
      <c r="A82" s="654"/>
      <c r="B82" s="686" t="s">
        <v>476</v>
      </c>
      <c r="C82" s="687">
        <v>12.0</v>
      </c>
      <c r="D82" s="702"/>
      <c r="E82" s="703"/>
      <c r="F82" s="897"/>
      <c r="G82" s="897"/>
      <c r="H82" s="659"/>
      <c r="I82" s="659"/>
      <c r="J82" s="659"/>
      <c r="K82" s="659"/>
      <c r="L82" s="659"/>
      <c r="M82" s="659"/>
      <c r="N82" s="949"/>
      <c r="O82" s="951"/>
      <c r="P82" s="649"/>
      <c r="Q82" s="659"/>
      <c r="R82" s="649"/>
      <c r="S82" s="649"/>
      <c r="T82" s="659"/>
      <c r="U82" s="777" t="str">
        <f t="shared" si="10"/>
        <v>Jackson McLoughlin</v>
      </c>
      <c r="V82" s="659" t="str">
        <f>Teams!$R29</f>
        <v>Bisharp (T)</v>
      </c>
      <c r="W82" s="659">
        <v>70.0</v>
      </c>
      <c r="X82" s="697">
        <v>0.5</v>
      </c>
      <c r="Y82" s="697">
        <v>4.0</v>
      </c>
      <c r="Z82" s="697">
        <v>0.5</v>
      </c>
      <c r="AA82" s="659">
        <v>0.0</v>
      </c>
      <c r="AB82" s="659">
        <v>2.0</v>
      </c>
      <c r="AC82" s="659">
        <v>0.5</v>
      </c>
      <c r="AD82" s="659">
        <v>1.0</v>
      </c>
      <c r="AE82" s="659">
        <v>0.5</v>
      </c>
      <c r="AF82" s="659">
        <v>0.5</v>
      </c>
      <c r="AG82" s="659">
        <v>2.0</v>
      </c>
      <c r="AH82" s="659">
        <v>1.0</v>
      </c>
      <c r="AI82" s="659">
        <v>0.5</v>
      </c>
      <c r="AJ82" s="659">
        <v>1.0</v>
      </c>
      <c r="AK82" s="659">
        <v>0.0</v>
      </c>
      <c r="AL82" s="659">
        <v>0.5</v>
      </c>
      <c r="AM82" s="659">
        <v>0.5</v>
      </c>
      <c r="AN82" s="697">
        <v>0.5</v>
      </c>
      <c r="AO82" s="697">
        <v>1.0</v>
      </c>
      <c r="AP82" s="649" t="s">
        <v>214</v>
      </c>
      <c r="AQ82" s="689">
        <v>70.0</v>
      </c>
    </row>
    <row r="83">
      <c r="A83" s="654"/>
      <c r="B83" s="686" t="s">
        <v>185</v>
      </c>
      <c r="C83" s="687">
        <v>12.0</v>
      </c>
      <c r="D83" s="702"/>
      <c r="E83" s="703"/>
      <c r="F83" s="897"/>
      <c r="G83" s="897"/>
      <c r="H83" s="659"/>
      <c r="I83" s="659"/>
      <c r="J83" s="659"/>
      <c r="K83" s="659"/>
      <c r="L83" s="659"/>
      <c r="M83" s="659"/>
      <c r="N83" s="949"/>
      <c r="O83" s="951"/>
      <c r="P83" s="649"/>
      <c r="Q83" s="659"/>
      <c r="R83" s="649"/>
      <c r="S83" s="649"/>
      <c r="T83" s="659"/>
      <c r="U83" s="777" t="str">
        <f t="shared" si="10"/>
        <v>Jackson McLoughlin</v>
      </c>
      <c r="V83" s="659" t="str">
        <f>Teams!$R30</f>
        <v>Hisuian Zoroark</v>
      </c>
      <c r="W83" s="659">
        <v>110.0</v>
      </c>
      <c r="X83" s="697">
        <v>0.0</v>
      </c>
      <c r="Y83" s="697">
        <v>0.0</v>
      </c>
      <c r="Z83" s="697">
        <v>1.0</v>
      </c>
      <c r="AA83" s="659">
        <v>0.5</v>
      </c>
      <c r="AB83" s="659">
        <v>1.0</v>
      </c>
      <c r="AC83" s="659">
        <v>1.0</v>
      </c>
      <c r="AD83" s="659">
        <v>0.5</v>
      </c>
      <c r="AE83" s="659">
        <v>0.0</v>
      </c>
      <c r="AF83" s="659">
        <v>1.0</v>
      </c>
      <c r="AG83" s="659">
        <v>1.0</v>
      </c>
      <c r="AH83" s="659">
        <v>1.0</v>
      </c>
      <c r="AI83" s="659">
        <v>1.0</v>
      </c>
      <c r="AJ83" s="659">
        <v>1.0</v>
      </c>
      <c r="AK83" s="659">
        <v>1.0</v>
      </c>
      <c r="AL83" s="659">
        <v>1.0</v>
      </c>
      <c r="AM83" s="659">
        <v>1.0</v>
      </c>
      <c r="AN83" s="697">
        <v>2.0</v>
      </c>
      <c r="AO83" s="697">
        <v>1.0</v>
      </c>
      <c r="AP83" s="649" t="s">
        <v>170</v>
      </c>
      <c r="AQ83" s="689">
        <v>60.0</v>
      </c>
    </row>
    <row r="84">
      <c r="A84" s="654"/>
      <c r="B84" s="686" t="s">
        <v>477</v>
      </c>
      <c r="C84" s="687">
        <v>12.0</v>
      </c>
      <c r="D84" s="702"/>
      <c r="E84" s="703"/>
      <c r="F84" s="897"/>
      <c r="G84" s="897"/>
      <c r="H84" s="659"/>
      <c r="I84" s="659"/>
      <c r="J84" s="659"/>
      <c r="K84" s="659"/>
      <c r="L84" s="659"/>
      <c r="M84" s="659"/>
      <c r="N84" s="949"/>
      <c r="O84" s="951"/>
      <c r="P84" s="649"/>
      <c r="Q84" s="659"/>
      <c r="R84" s="649"/>
      <c r="S84" s="649"/>
      <c r="T84" s="659"/>
      <c r="U84" s="777" t="str">
        <f t="shared" si="10"/>
        <v>Jackson McLoughlin</v>
      </c>
      <c r="V84" s="659" t="str">
        <f>Teams!$R31</f>
        <v/>
      </c>
      <c r="W84" s="659"/>
      <c r="X84" s="697"/>
      <c r="Y84" s="697"/>
      <c r="Z84" s="697"/>
      <c r="AA84" s="659"/>
      <c r="AB84" s="659"/>
      <c r="AC84" s="659"/>
      <c r="AD84" s="659"/>
      <c r="AE84" s="659"/>
      <c r="AF84" s="659"/>
      <c r="AG84" s="659"/>
      <c r="AH84" s="659"/>
      <c r="AI84" s="659"/>
      <c r="AJ84" s="659"/>
      <c r="AK84" s="659"/>
      <c r="AL84" s="659"/>
      <c r="AM84" s="659"/>
      <c r="AN84" s="697"/>
      <c r="AO84" s="697"/>
      <c r="AP84" s="649"/>
      <c r="AQ84" s="689"/>
    </row>
    <row r="85">
      <c r="A85" s="654"/>
      <c r="B85" s="704" t="s">
        <v>239</v>
      </c>
      <c r="C85" s="687">
        <v>12.0</v>
      </c>
      <c r="D85" s="702"/>
      <c r="E85" s="703"/>
      <c r="F85" s="897"/>
      <c r="G85" s="897"/>
      <c r="H85" s="659"/>
      <c r="I85" s="659"/>
      <c r="J85" s="659"/>
      <c r="K85" s="659"/>
      <c r="L85" s="659"/>
      <c r="M85" s="659"/>
      <c r="N85" s="949"/>
      <c r="O85" s="951"/>
      <c r="P85" s="649"/>
      <c r="Q85" s="659"/>
      <c r="R85" s="649"/>
      <c r="S85" s="649"/>
      <c r="T85" s="659"/>
      <c r="U85" s="799" t="str">
        <f t="shared" si="10"/>
        <v>Jackson McLoughlin</v>
      </c>
      <c r="V85" s="758" t="str">
        <f>Teams!$R32</f>
        <v/>
      </c>
      <c r="W85" s="758"/>
      <c r="X85" s="725"/>
      <c r="Y85" s="725"/>
      <c r="Z85" s="725"/>
      <c r="AA85" s="758"/>
      <c r="AB85" s="758"/>
      <c r="AC85" s="758"/>
      <c r="AD85" s="758"/>
      <c r="AE85" s="758"/>
      <c r="AF85" s="758"/>
      <c r="AG85" s="758"/>
      <c r="AH85" s="758"/>
      <c r="AI85" s="758"/>
      <c r="AJ85" s="758"/>
      <c r="AK85" s="758"/>
      <c r="AL85" s="758"/>
      <c r="AM85" s="758"/>
      <c r="AN85" s="725"/>
      <c r="AO85" s="725"/>
      <c r="AP85" s="713"/>
      <c r="AQ85" s="714"/>
    </row>
    <row r="86">
      <c r="A86" s="654"/>
      <c r="B86" s="686" t="s">
        <v>197</v>
      </c>
      <c r="C86" s="687">
        <v>12.0</v>
      </c>
      <c r="D86" s="702"/>
      <c r="E86" s="703"/>
      <c r="F86" s="897"/>
      <c r="G86" s="897"/>
      <c r="H86" s="659"/>
      <c r="I86" s="659"/>
      <c r="J86" s="659"/>
      <c r="K86" s="659"/>
      <c r="L86" s="659"/>
      <c r="M86" s="659"/>
      <c r="N86" s="949"/>
      <c r="O86" s="951"/>
      <c r="P86" s="649"/>
      <c r="Q86" s="659"/>
      <c r="R86" s="649"/>
      <c r="S86" s="649"/>
      <c r="T86" s="659"/>
      <c r="U86" s="777" t="str">
        <f t="shared" ref="U86:U97" si="11">$G$10</f>
        <v>Zach VanSickle</v>
      </c>
      <c r="V86" s="779" t="str">
        <f>Teams!$Y21</f>
        <v>Great Tusk</v>
      </c>
      <c r="W86" s="659">
        <v>87.0</v>
      </c>
      <c r="X86" s="697">
        <v>1.0</v>
      </c>
      <c r="Y86" s="697">
        <v>1.0</v>
      </c>
      <c r="Z86" s="697">
        <v>2.0</v>
      </c>
      <c r="AA86" s="659">
        <v>0.5</v>
      </c>
      <c r="AB86" s="659">
        <v>1.0</v>
      </c>
      <c r="AC86" s="659">
        <v>0.25</v>
      </c>
      <c r="AD86" s="659">
        <v>0.5</v>
      </c>
      <c r="AE86" s="659">
        <v>1.0</v>
      </c>
      <c r="AF86" s="659">
        <v>1.0</v>
      </c>
      <c r="AG86" s="659">
        <v>1.0</v>
      </c>
      <c r="AH86" s="659">
        <v>2.0</v>
      </c>
      <c r="AI86" s="659">
        <v>2.0</v>
      </c>
      <c r="AJ86" s="659">
        <v>0.0</v>
      </c>
      <c r="AK86" s="659">
        <v>2.0</v>
      </c>
      <c r="AL86" s="659">
        <v>2.0</v>
      </c>
      <c r="AM86" s="659">
        <v>1.0</v>
      </c>
      <c r="AN86" s="697">
        <v>0.5</v>
      </c>
      <c r="AO86" s="697">
        <v>2.0</v>
      </c>
      <c r="AP86" s="649" t="str">
        <f t="array" ref="AP86:AQ97">SORT(V86:W97,2,0)</f>
        <v>Azelf</v>
      </c>
      <c r="AQ86" s="689">
        <v>115.0</v>
      </c>
    </row>
    <row r="87">
      <c r="A87" s="654"/>
      <c r="B87" s="686" t="s">
        <v>478</v>
      </c>
      <c r="C87" s="687">
        <v>12.0</v>
      </c>
      <c r="D87" s="702"/>
      <c r="E87" s="703"/>
      <c r="F87" s="897"/>
      <c r="G87" s="897"/>
      <c r="H87" s="659"/>
      <c r="I87" s="659"/>
      <c r="J87" s="659"/>
      <c r="K87" s="659"/>
      <c r="L87" s="659"/>
      <c r="M87" s="659"/>
      <c r="N87" s="949"/>
      <c r="O87" s="951"/>
      <c r="P87" s="649"/>
      <c r="Q87" s="659"/>
      <c r="R87" s="649"/>
      <c r="S87" s="649"/>
      <c r="T87" s="659"/>
      <c r="U87" s="777" t="str">
        <f t="shared" si="11"/>
        <v>Zach VanSickle</v>
      </c>
      <c r="V87" s="779" t="str">
        <f>Teams!$Y22</f>
        <v>Urshifu-Single-Strike</v>
      </c>
      <c r="W87" s="659">
        <v>97.0</v>
      </c>
      <c r="X87" s="659">
        <v>1.0</v>
      </c>
      <c r="Y87" s="697">
        <v>2.0</v>
      </c>
      <c r="Z87" s="697">
        <v>2.0</v>
      </c>
      <c r="AA87" s="659">
        <v>1.0</v>
      </c>
      <c r="AB87" s="659">
        <v>1.0</v>
      </c>
      <c r="AC87" s="659">
        <v>0.5</v>
      </c>
      <c r="AD87" s="659">
        <v>1.0</v>
      </c>
      <c r="AE87" s="659">
        <v>0.5</v>
      </c>
      <c r="AF87" s="659">
        <v>1.0</v>
      </c>
      <c r="AG87" s="659">
        <v>1.0</v>
      </c>
      <c r="AH87" s="659">
        <v>1.0</v>
      </c>
      <c r="AI87" s="659">
        <v>1.0</v>
      </c>
      <c r="AJ87" s="659">
        <v>1.0</v>
      </c>
      <c r="AK87" s="659">
        <v>0.0</v>
      </c>
      <c r="AL87" s="659">
        <v>1.0</v>
      </c>
      <c r="AM87" s="659">
        <v>1.0</v>
      </c>
      <c r="AN87" s="697">
        <v>0.25</v>
      </c>
      <c r="AO87" s="697">
        <v>4.0</v>
      </c>
      <c r="AP87" s="659" t="s">
        <v>239</v>
      </c>
      <c r="AQ87" s="746">
        <v>108.0</v>
      </c>
    </row>
    <row r="88">
      <c r="A88" s="654"/>
      <c r="B88" s="686" t="s">
        <v>479</v>
      </c>
      <c r="C88" s="687">
        <v>12.0</v>
      </c>
      <c r="D88" s="702"/>
      <c r="E88" s="703"/>
      <c r="F88" s="897"/>
      <c r="G88" s="897"/>
      <c r="H88" s="659"/>
      <c r="I88" s="659"/>
      <c r="J88" s="659"/>
      <c r="K88" s="659"/>
      <c r="L88" s="659"/>
      <c r="M88" s="659"/>
      <c r="N88" s="949"/>
      <c r="O88" s="951"/>
      <c r="P88" s="649"/>
      <c r="Q88" s="659"/>
      <c r="R88" s="649"/>
      <c r="S88" s="649"/>
      <c r="T88" s="659"/>
      <c r="U88" s="777" t="str">
        <f t="shared" si="11"/>
        <v>Zach VanSickle</v>
      </c>
      <c r="V88" s="779" t="str">
        <f>Teams!$Y23</f>
        <v>Torkoal (T)</v>
      </c>
      <c r="W88" s="659">
        <v>20.0</v>
      </c>
      <c r="X88" s="659">
        <v>1.0</v>
      </c>
      <c r="Y88" s="697">
        <v>1.0</v>
      </c>
      <c r="Z88" s="697">
        <v>1.0</v>
      </c>
      <c r="AA88" s="659">
        <v>1.0</v>
      </c>
      <c r="AB88" s="659">
        <v>2.0</v>
      </c>
      <c r="AC88" s="659">
        <v>2.0</v>
      </c>
      <c r="AD88" s="659">
        <v>0.5</v>
      </c>
      <c r="AE88" s="659">
        <v>1.0</v>
      </c>
      <c r="AF88" s="659">
        <v>0.5</v>
      </c>
      <c r="AG88" s="659">
        <v>0.5</v>
      </c>
      <c r="AH88" s="659">
        <v>2.0</v>
      </c>
      <c r="AI88" s="659">
        <v>0.5</v>
      </c>
      <c r="AJ88" s="659">
        <v>1.0</v>
      </c>
      <c r="AK88" s="659">
        <v>1.0</v>
      </c>
      <c r="AL88" s="659">
        <v>0.5</v>
      </c>
      <c r="AM88" s="659">
        <v>1.0</v>
      </c>
      <c r="AN88" s="697">
        <v>1.0</v>
      </c>
      <c r="AO88" s="697">
        <v>0.5</v>
      </c>
      <c r="AP88" s="779" t="s">
        <v>118</v>
      </c>
      <c r="AQ88" s="746">
        <v>97.0</v>
      </c>
    </row>
    <row r="89">
      <c r="A89" s="654"/>
      <c r="B89" s="719" t="s">
        <v>480</v>
      </c>
      <c r="C89" s="720">
        <v>12.0</v>
      </c>
      <c r="D89" s="721"/>
      <c r="E89" s="703"/>
      <c r="F89" s="897"/>
      <c r="G89" s="897"/>
      <c r="H89" s="659"/>
      <c r="I89" s="659"/>
      <c r="J89" s="659"/>
      <c r="K89" s="659"/>
      <c r="L89" s="659"/>
      <c r="M89" s="659"/>
      <c r="N89" s="949"/>
      <c r="O89" s="951"/>
      <c r="P89" s="649"/>
      <c r="Q89" s="659"/>
      <c r="R89" s="649"/>
      <c r="S89" s="649"/>
      <c r="T89" s="659"/>
      <c r="U89" s="777" t="str">
        <f t="shared" si="11"/>
        <v>Zach VanSickle</v>
      </c>
      <c r="V89" s="659" t="str">
        <f>Teams!$Y24</f>
        <v>raging bolt</v>
      </c>
      <c r="W89" s="659">
        <v>75.0</v>
      </c>
      <c r="X89" s="659">
        <v>1.0</v>
      </c>
      <c r="Y89" s="697">
        <v>1.0</v>
      </c>
      <c r="Z89" s="697">
        <v>0.5</v>
      </c>
      <c r="AA89" s="659">
        <v>1.0</v>
      </c>
      <c r="AB89" s="659">
        <v>2.0</v>
      </c>
      <c r="AC89" s="659">
        <v>1.0</v>
      </c>
      <c r="AD89" s="659">
        <v>1.0</v>
      </c>
      <c r="AE89" s="659">
        <v>1.0</v>
      </c>
      <c r="AF89" s="659">
        <v>0.5</v>
      </c>
      <c r="AG89" s="659">
        <v>0.5</v>
      </c>
      <c r="AH89" s="659">
        <v>0.5</v>
      </c>
      <c r="AI89" s="659">
        <v>0.5</v>
      </c>
      <c r="AJ89" s="659">
        <v>0.25</v>
      </c>
      <c r="AK89" s="659">
        <v>1.0</v>
      </c>
      <c r="AL89" s="659">
        <v>2.0</v>
      </c>
      <c r="AM89" s="659">
        <v>2.0</v>
      </c>
      <c r="AN89" s="697">
        <v>1.0</v>
      </c>
      <c r="AO89" s="697">
        <v>2.0</v>
      </c>
      <c r="AP89" s="659" t="s">
        <v>188</v>
      </c>
      <c r="AQ89" s="746">
        <v>91.0</v>
      </c>
    </row>
    <row r="90">
      <c r="A90" s="654"/>
      <c r="B90" s="686" t="s">
        <v>481</v>
      </c>
      <c r="C90" s="687">
        <v>12.0</v>
      </c>
      <c r="D90" s="702"/>
      <c r="E90" s="703"/>
      <c r="F90" s="897"/>
      <c r="G90" s="897"/>
      <c r="H90" s="659"/>
      <c r="I90" s="659"/>
      <c r="J90" s="659"/>
      <c r="K90" s="659"/>
      <c r="L90" s="659"/>
      <c r="M90" s="659"/>
      <c r="N90" s="949"/>
      <c r="O90" s="951"/>
      <c r="P90" s="649"/>
      <c r="Q90" s="659"/>
      <c r="R90" s="649"/>
      <c r="S90" s="649"/>
      <c r="T90" s="659"/>
      <c r="U90" s="777" t="str">
        <f t="shared" si="11"/>
        <v>Zach VanSickle</v>
      </c>
      <c r="V90" s="659" t="str">
        <f>Teams!$Y25</f>
        <v>Azelf</v>
      </c>
      <c r="W90" s="659">
        <v>115.0</v>
      </c>
      <c r="X90" s="659">
        <v>1.0</v>
      </c>
      <c r="Y90" s="697">
        <v>0.5</v>
      </c>
      <c r="Z90" s="697">
        <v>1.0</v>
      </c>
      <c r="AA90" s="659">
        <v>1.0</v>
      </c>
      <c r="AB90" s="659">
        <v>1.0</v>
      </c>
      <c r="AC90" s="659">
        <v>1.0</v>
      </c>
      <c r="AD90" s="659">
        <v>2.0</v>
      </c>
      <c r="AE90" s="659">
        <v>2.0</v>
      </c>
      <c r="AF90" s="659">
        <v>1.0</v>
      </c>
      <c r="AG90" s="659">
        <v>1.0</v>
      </c>
      <c r="AH90" s="659">
        <v>1.0</v>
      </c>
      <c r="AI90" s="659">
        <v>1.0</v>
      </c>
      <c r="AJ90" s="659">
        <v>1.0</v>
      </c>
      <c r="AK90" s="659">
        <v>0.5</v>
      </c>
      <c r="AL90" s="659">
        <v>1.0</v>
      </c>
      <c r="AM90" s="659">
        <v>1.0</v>
      </c>
      <c r="AN90" s="697">
        <v>2.0</v>
      </c>
      <c r="AO90" s="697">
        <v>1.0</v>
      </c>
      <c r="AP90" s="779" t="s">
        <v>137</v>
      </c>
      <c r="AQ90" s="746">
        <v>87.0</v>
      </c>
    </row>
    <row r="91">
      <c r="A91" s="654"/>
      <c r="B91" s="738" t="s">
        <v>245</v>
      </c>
      <c r="C91" s="720">
        <v>12.0</v>
      </c>
      <c r="D91" s="721"/>
      <c r="E91" s="703"/>
      <c r="F91" s="897"/>
      <c r="G91" s="897"/>
      <c r="H91" s="659"/>
      <c r="I91" s="659"/>
      <c r="J91" s="659"/>
      <c r="K91" s="659"/>
      <c r="L91" s="659"/>
      <c r="M91" s="659"/>
      <c r="N91" s="949"/>
      <c r="O91" s="951"/>
      <c r="P91" s="649"/>
      <c r="Q91" s="659"/>
      <c r="R91" s="649"/>
      <c r="S91" s="649"/>
      <c r="T91" s="659"/>
      <c r="U91" s="777" t="str">
        <f t="shared" si="11"/>
        <v>Zach VanSickle</v>
      </c>
      <c r="V91" s="659" t="str">
        <f>Teams!$Y26</f>
        <v>gouging fire</v>
      </c>
      <c r="W91" s="659">
        <v>91.0</v>
      </c>
      <c r="X91" s="659">
        <v>1.0</v>
      </c>
      <c r="Y91" s="697">
        <v>1.0</v>
      </c>
      <c r="Z91" s="697">
        <v>1.0</v>
      </c>
      <c r="AA91" s="659">
        <v>1.0</v>
      </c>
      <c r="AB91" s="659">
        <v>2.0</v>
      </c>
      <c r="AC91" s="659">
        <v>2.0</v>
      </c>
      <c r="AD91" s="659">
        <v>0.5</v>
      </c>
      <c r="AE91" s="659">
        <v>1.0</v>
      </c>
      <c r="AF91" s="659">
        <v>0.5</v>
      </c>
      <c r="AG91" s="659">
        <v>0.25</v>
      </c>
      <c r="AH91" s="659">
        <v>1.0</v>
      </c>
      <c r="AI91" s="659">
        <v>0.25</v>
      </c>
      <c r="AJ91" s="659">
        <v>0.5</v>
      </c>
      <c r="AK91" s="659">
        <v>1.0</v>
      </c>
      <c r="AL91" s="659">
        <v>1.0</v>
      </c>
      <c r="AM91" s="659">
        <v>2.0</v>
      </c>
      <c r="AN91" s="697">
        <v>1.0</v>
      </c>
      <c r="AO91" s="697">
        <v>1.0</v>
      </c>
      <c r="AP91" s="659" t="s">
        <v>238</v>
      </c>
      <c r="AQ91" s="746">
        <v>86.0</v>
      </c>
    </row>
    <row r="92">
      <c r="A92" s="654"/>
      <c r="B92" s="686" t="s">
        <v>482</v>
      </c>
      <c r="C92" s="687">
        <v>12.0</v>
      </c>
      <c r="D92" s="702"/>
      <c r="E92" s="703"/>
      <c r="F92" s="897"/>
      <c r="G92" s="897"/>
      <c r="H92" s="659"/>
      <c r="I92" s="659"/>
      <c r="J92" s="659"/>
      <c r="K92" s="659"/>
      <c r="L92" s="659"/>
      <c r="M92" s="659"/>
      <c r="N92" s="949"/>
      <c r="O92" s="951"/>
      <c r="P92" s="649"/>
      <c r="Q92" s="659"/>
      <c r="R92" s="649"/>
      <c r="S92" s="649"/>
      <c r="T92" s="659"/>
      <c r="U92" s="777" t="str">
        <f t="shared" si="11"/>
        <v>Zach VanSickle</v>
      </c>
      <c r="V92" s="659" t="str">
        <f>Teams!$Y27</f>
        <v>Rotom-Wash</v>
      </c>
      <c r="W92" s="659">
        <v>86.0</v>
      </c>
      <c r="X92" s="659">
        <v>1.0</v>
      </c>
      <c r="Y92" s="697">
        <v>1.0</v>
      </c>
      <c r="Z92" s="697">
        <v>0.5</v>
      </c>
      <c r="AA92" s="659">
        <v>1.0</v>
      </c>
      <c r="AB92" s="659">
        <v>2.0</v>
      </c>
      <c r="AC92" s="659">
        <v>1.0</v>
      </c>
      <c r="AD92" s="659">
        <v>1.0</v>
      </c>
      <c r="AE92" s="659">
        <v>1.0</v>
      </c>
      <c r="AF92" s="659">
        <v>0.25</v>
      </c>
      <c r="AG92" s="659">
        <v>0.5</v>
      </c>
      <c r="AH92" s="659">
        <v>0.5</v>
      </c>
      <c r="AI92" s="659">
        <v>2.0</v>
      </c>
      <c r="AJ92" s="659">
        <v>1.0</v>
      </c>
      <c r="AK92" s="659">
        <v>1.0</v>
      </c>
      <c r="AL92" s="659">
        <v>0.5</v>
      </c>
      <c r="AM92" s="659">
        <v>1.0</v>
      </c>
      <c r="AN92" s="697">
        <v>1.0</v>
      </c>
      <c r="AO92" s="697">
        <v>1.0</v>
      </c>
      <c r="AP92" s="659" t="s">
        <v>138</v>
      </c>
      <c r="AQ92" s="746">
        <v>80.0</v>
      </c>
    </row>
    <row r="93">
      <c r="A93" s="654"/>
      <c r="B93" s="686" t="s">
        <v>483</v>
      </c>
      <c r="C93" s="687">
        <v>12.0</v>
      </c>
      <c r="D93" s="702"/>
      <c r="E93" s="703"/>
      <c r="F93" s="897"/>
      <c r="G93" s="897"/>
      <c r="H93" s="659"/>
      <c r="I93" s="659"/>
      <c r="J93" s="659"/>
      <c r="K93" s="659"/>
      <c r="L93" s="659"/>
      <c r="M93" s="659"/>
      <c r="N93" s="949"/>
      <c r="O93" s="951"/>
      <c r="P93" s="649"/>
      <c r="Q93" s="659"/>
      <c r="R93" s="649"/>
      <c r="S93" s="649"/>
      <c r="T93" s="659"/>
      <c r="U93" s="777" t="str">
        <f t="shared" si="11"/>
        <v>Zach VanSickle</v>
      </c>
      <c r="V93" s="659" t="str">
        <f>Teams!$Y28</f>
        <v>Iron Jugulis</v>
      </c>
      <c r="W93" s="659">
        <v>108.0</v>
      </c>
      <c r="X93" s="659">
        <v>1.0</v>
      </c>
      <c r="Y93" s="697">
        <v>1.0</v>
      </c>
      <c r="Z93" s="697">
        <v>1.0</v>
      </c>
      <c r="AA93" s="659">
        <v>1.0</v>
      </c>
      <c r="AB93" s="659">
        <v>0.0</v>
      </c>
      <c r="AC93" s="659">
        <v>2.0</v>
      </c>
      <c r="AD93" s="659">
        <v>1.0</v>
      </c>
      <c r="AE93" s="659">
        <v>0.5</v>
      </c>
      <c r="AF93" s="659">
        <v>1.0</v>
      </c>
      <c r="AG93" s="659">
        <v>1.0</v>
      </c>
      <c r="AH93" s="659">
        <v>1.0</v>
      </c>
      <c r="AI93" s="659">
        <v>0.5</v>
      </c>
      <c r="AJ93" s="659">
        <v>2.0</v>
      </c>
      <c r="AK93" s="659">
        <v>0.0</v>
      </c>
      <c r="AL93" s="659">
        <v>2.0</v>
      </c>
      <c r="AM93" s="659">
        <v>1.0</v>
      </c>
      <c r="AN93" s="697">
        <v>0.5</v>
      </c>
      <c r="AO93" s="697">
        <v>2.0</v>
      </c>
      <c r="AP93" s="659" t="s">
        <v>218</v>
      </c>
      <c r="AQ93" s="746">
        <v>80.0</v>
      </c>
    </row>
    <row r="94">
      <c r="A94" s="654"/>
      <c r="B94" s="686" t="s">
        <v>132</v>
      </c>
      <c r="C94" s="687">
        <v>12.0</v>
      </c>
      <c r="D94" s="702"/>
      <c r="E94" s="703"/>
      <c r="F94" s="897"/>
      <c r="G94" s="897"/>
      <c r="H94" s="659"/>
      <c r="I94" s="659"/>
      <c r="J94" s="659"/>
      <c r="K94" s="659"/>
      <c r="L94" s="659"/>
      <c r="M94" s="659"/>
      <c r="N94" s="949"/>
      <c r="O94" s="951"/>
      <c r="P94" s="649"/>
      <c r="Q94" s="659"/>
      <c r="R94" s="649"/>
      <c r="S94" s="649"/>
      <c r="T94" s="659"/>
      <c r="U94" s="777" t="str">
        <f t="shared" si="11"/>
        <v>Zach VanSickle</v>
      </c>
      <c r="V94" s="659" t="str">
        <f>Teams!$Y29</f>
        <v>Venusaur (T)</v>
      </c>
      <c r="W94" s="659">
        <v>80.0</v>
      </c>
      <c r="X94" s="659">
        <v>1.0</v>
      </c>
      <c r="Y94" s="697">
        <v>0.5</v>
      </c>
      <c r="Z94" s="697">
        <v>2.0</v>
      </c>
      <c r="AA94" s="659">
        <v>1.0</v>
      </c>
      <c r="AB94" s="659">
        <v>1.0</v>
      </c>
      <c r="AC94" s="659">
        <v>1.0</v>
      </c>
      <c r="AD94" s="659">
        <v>1.0</v>
      </c>
      <c r="AE94" s="659">
        <v>1.0</v>
      </c>
      <c r="AF94" s="659">
        <v>1.0</v>
      </c>
      <c r="AG94" s="659">
        <v>2.0</v>
      </c>
      <c r="AH94" s="659">
        <v>0.5</v>
      </c>
      <c r="AI94" s="659">
        <v>0.25</v>
      </c>
      <c r="AJ94" s="659">
        <v>0.5</v>
      </c>
      <c r="AK94" s="659">
        <v>2.0</v>
      </c>
      <c r="AL94" s="659">
        <v>2.0</v>
      </c>
      <c r="AM94" s="659">
        <v>1.0</v>
      </c>
      <c r="AN94" s="697">
        <v>1.0</v>
      </c>
      <c r="AO94" s="697">
        <v>0.5</v>
      </c>
      <c r="AP94" s="659" t="s">
        <v>221</v>
      </c>
      <c r="AQ94" s="746">
        <v>80.0</v>
      </c>
    </row>
    <row r="95">
      <c r="A95" s="654"/>
      <c r="B95" s="686" t="s">
        <v>484</v>
      </c>
      <c r="C95" s="687">
        <v>12.0</v>
      </c>
      <c r="D95" s="702"/>
      <c r="E95" s="703"/>
      <c r="F95" s="897"/>
      <c r="G95" s="897"/>
      <c r="H95" s="659"/>
      <c r="I95" s="659"/>
      <c r="J95" s="659"/>
      <c r="K95" s="659"/>
      <c r="L95" s="659"/>
      <c r="M95" s="659"/>
      <c r="N95" s="949"/>
      <c r="O95" s="951"/>
      <c r="P95" s="649"/>
      <c r="Q95" s="659"/>
      <c r="R95" s="649"/>
      <c r="S95" s="649"/>
      <c r="T95" s="659"/>
      <c r="U95" s="777" t="str">
        <f t="shared" si="11"/>
        <v>Zach VanSickle</v>
      </c>
      <c r="V95" s="659" t="str">
        <f>Teams!$Y30</f>
        <v>Coalossal (T)</v>
      </c>
      <c r="W95" s="659">
        <v>30.0</v>
      </c>
      <c r="X95" s="659">
        <v>0.5</v>
      </c>
      <c r="Y95" s="697">
        <v>2.0</v>
      </c>
      <c r="Z95" s="697">
        <v>0.5</v>
      </c>
      <c r="AA95" s="659">
        <v>0.5</v>
      </c>
      <c r="AB95" s="659">
        <v>4.0</v>
      </c>
      <c r="AC95" s="659">
        <v>2.0</v>
      </c>
      <c r="AD95" s="659">
        <v>0.5</v>
      </c>
      <c r="AE95" s="659">
        <v>1.0</v>
      </c>
      <c r="AF95" s="659">
        <v>1.0</v>
      </c>
      <c r="AG95" s="659">
        <v>0.25</v>
      </c>
      <c r="AH95" s="659">
        <v>4.0</v>
      </c>
      <c r="AI95" s="659">
        <v>1.0</v>
      </c>
      <c r="AJ95" s="659">
        <v>1.0</v>
      </c>
      <c r="AK95" s="659">
        <v>1.0</v>
      </c>
      <c r="AL95" s="659">
        <v>0.5</v>
      </c>
      <c r="AM95" s="659">
        <v>1.0</v>
      </c>
      <c r="AN95" s="697">
        <v>1.0</v>
      </c>
      <c r="AO95" s="697">
        <v>0.5</v>
      </c>
      <c r="AP95" s="659" t="s">
        <v>107</v>
      </c>
      <c r="AQ95" s="746">
        <v>75.0</v>
      </c>
    </row>
    <row r="96">
      <c r="A96" s="654"/>
      <c r="B96" s="704" t="s">
        <v>358</v>
      </c>
      <c r="C96" s="687">
        <v>12.0</v>
      </c>
      <c r="D96" s="702"/>
      <c r="E96" s="703"/>
      <c r="F96" s="897"/>
      <c r="G96" s="897"/>
      <c r="H96" s="659"/>
      <c r="I96" s="659"/>
      <c r="J96" s="659"/>
      <c r="K96" s="659"/>
      <c r="L96" s="659"/>
      <c r="M96" s="659"/>
      <c r="N96" s="949"/>
      <c r="O96" s="951"/>
      <c r="P96" s="649"/>
      <c r="Q96" s="659"/>
      <c r="R96" s="649"/>
      <c r="S96" s="649"/>
      <c r="T96" s="659"/>
      <c r="U96" s="777" t="str">
        <f t="shared" si="11"/>
        <v>Zach VanSickle</v>
      </c>
      <c r="V96" s="659" t="str">
        <f>Teams!$Y31</f>
        <v>Magikarp (T)</v>
      </c>
      <c r="W96" s="659">
        <v>80.0</v>
      </c>
      <c r="X96" s="659">
        <v>1.0</v>
      </c>
      <c r="Y96" s="697">
        <v>1.0</v>
      </c>
      <c r="Z96" s="697">
        <v>1.0</v>
      </c>
      <c r="AA96" s="659">
        <v>1.0</v>
      </c>
      <c r="AB96" s="659">
        <v>1.0</v>
      </c>
      <c r="AC96" s="659">
        <v>1.0</v>
      </c>
      <c r="AD96" s="659">
        <v>1.0</v>
      </c>
      <c r="AE96" s="659">
        <v>1.0</v>
      </c>
      <c r="AF96" s="659">
        <v>0.5</v>
      </c>
      <c r="AG96" s="659">
        <v>0.5</v>
      </c>
      <c r="AH96" s="659">
        <v>0.5</v>
      </c>
      <c r="AI96" s="659">
        <v>2.0</v>
      </c>
      <c r="AJ96" s="659">
        <v>2.0</v>
      </c>
      <c r="AK96" s="659">
        <v>1.0</v>
      </c>
      <c r="AL96" s="659">
        <v>0.5</v>
      </c>
      <c r="AM96" s="659">
        <v>1.0</v>
      </c>
      <c r="AN96" s="697">
        <v>1.0</v>
      </c>
      <c r="AO96" s="697">
        <v>1.0</v>
      </c>
      <c r="AP96" s="659" t="s">
        <v>217</v>
      </c>
      <c r="AQ96" s="746">
        <v>30.0</v>
      </c>
    </row>
    <row r="97">
      <c r="A97" s="654"/>
      <c r="B97" s="686" t="s">
        <v>244</v>
      </c>
      <c r="C97" s="687">
        <v>12.0</v>
      </c>
      <c r="D97" s="702"/>
      <c r="E97" s="703"/>
      <c r="F97" s="897"/>
      <c r="G97" s="897"/>
      <c r="H97" s="659"/>
      <c r="I97" s="659"/>
      <c r="J97" s="659"/>
      <c r="K97" s="659"/>
      <c r="L97" s="659"/>
      <c r="M97" s="659"/>
      <c r="N97" s="949"/>
      <c r="O97" s="951"/>
      <c r="P97" s="649"/>
      <c r="Q97" s="659"/>
      <c r="R97" s="649"/>
      <c r="S97" s="649"/>
      <c r="T97" s="659"/>
      <c r="U97" s="799" t="str">
        <f t="shared" si="11"/>
        <v>Zach VanSickle</v>
      </c>
      <c r="V97" s="758" t="str">
        <f>Teams!$Y32</f>
        <v>Magikarp</v>
      </c>
      <c r="W97" s="758">
        <v>80.0</v>
      </c>
      <c r="X97" s="758">
        <v>1.0</v>
      </c>
      <c r="Y97" s="725">
        <v>1.0</v>
      </c>
      <c r="Z97" s="725">
        <v>1.0</v>
      </c>
      <c r="AA97" s="758">
        <v>1.0</v>
      </c>
      <c r="AB97" s="758">
        <v>1.0</v>
      </c>
      <c r="AC97" s="758">
        <v>1.0</v>
      </c>
      <c r="AD97" s="758">
        <v>1.0</v>
      </c>
      <c r="AE97" s="758">
        <v>1.0</v>
      </c>
      <c r="AF97" s="758">
        <v>0.5</v>
      </c>
      <c r="AG97" s="758">
        <v>0.5</v>
      </c>
      <c r="AH97" s="758">
        <v>0.5</v>
      </c>
      <c r="AI97" s="758">
        <v>2.0</v>
      </c>
      <c r="AJ97" s="758">
        <v>2.0</v>
      </c>
      <c r="AK97" s="758">
        <v>1.0</v>
      </c>
      <c r="AL97" s="758">
        <v>0.5</v>
      </c>
      <c r="AM97" s="758">
        <v>1.0</v>
      </c>
      <c r="AN97" s="725">
        <v>1.0</v>
      </c>
      <c r="AO97" s="725">
        <v>1.0</v>
      </c>
      <c r="AP97" s="962" t="s">
        <v>225</v>
      </c>
      <c r="AQ97" s="715">
        <v>20.0</v>
      </c>
    </row>
    <row r="98">
      <c r="A98" s="654"/>
      <c r="B98" s="704" t="s">
        <v>485</v>
      </c>
      <c r="C98" s="687">
        <v>12.0</v>
      </c>
      <c r="D98" s="687"/>
      <c r="E98" s="897"/>
      <c r="F98" s="897"/>
      <c r="G98" s="897"/>
      <c r="H98" s="659"/>
      <c r="I98" s="659"/>
      <c r="J98" s="659"/>
      <c r="K98" s="659"/>
      <c r="L98" s="659"/>
      <c r="M98" s="659"/>
      <c r="N98" s="949"/>
      <c r="O98" s="951"/>
      <c r="P98" s="649"/>
      <c r="Q98" s="659"/>
      <c r="R98" s="649"/>
      <c r="S98" s="649"/>
      <c r="T98" s="659"/>
      <c r="AQ98" s="136"/>
    </row>
    <row r="99">
      <c r="A99" s="654"/>
      <c r="B99" s="719" t="s">
        <v>241</v>
      </c>
      <c r="C99" s="720">
        <v>12.0</v>
      </c>
      <c r="D99" s="721"/>
      <c r="E99" s="703"/>
      <c r="F99" s="897"/>
      <c r="G99" s="897"/>
      <c r="H99" s="659"/>
      <c r="I99" s="659"/>
      <c r="J99" s="659"/>
      <c r="K99" s="659"/>
      <c r="L99" s="659"/>
      <c r="M99" s="659"/>
      <c r="N99" s="949"/>
      <c r="O99" s="951"/>
      <c r="P99" s="649"/>
      <c r="Q99" s="659"/>
      <c r="R99" s="649"/>
      <c r="S99" s="649"/>
      <c r="T99" s="659"/>
      <c r="U99" s="659"/>
      <c r="V99" s="659"/>
      <c r="W99" s="659"/>
      <c r="X99" s="659"/>
      <c r="Y99" s="659"/>
      <c r="Z99" s="659"/>
      <c r="AA99" s="659"/>
      <c r="AB99" s="659"/>
      <c r="AC99" s="659"/>
      <c r="AD99" s="659"/>
      <c r="AE99" s="659"/>
      <c r="AF99" s="659"/>
      <c r="AG99" s="659"/>
      <c r="AH99" s="659"/>
      <c r="AI99" s="659"/>
      <c r="AJ99" s="659"/>
      <c r="AK99" s="659"/>
      <c r="AL99" s="659"/>
      <c r="AM99" s="659"/>
      <c r="AN99" s="659"/>
      <c r="AO99" s="659"/>
      <c r="AP99" s="659"/>
      <c r="AQ99" s="746"/>
    </row>
    <row r="100">
      <c r="A100" s="654"/>
      <c r="B100" s="719" t="s">
        <v>486</v>
      </c>
      <c r="C100" s="720">
        <v>12.0</v>
      </c>
      <c r="D100" s="721"/>
      <c r="E100" s="703"/>
      <c r="F100" s="897"/>
      <c r="G100" s="897"/>
      <c r="H100" s="659"/>
      <c r="I100" s="659"/>
      <c r="J100" s="659"/>
      <c r="K100" s="659"/>
      <c r="L100" s="659"/>
      <c r="M100" s="659"/>
      <c r="N100" s="949"/>
      <c r="O100" s="951"/>
      <c r="P100" s="649"/>
      <c r="Q100" s="659"/>
      <c r="R100" s="649"/>
      <c r="S100" s="649"/>
      <c r="T100" s="659"/>
      <c r="U100" s="659"/>
      <c r="V100" s="659"/>
      <c r="W100" s="659"/>
      <c r="X100" s="659"/>
      <c r="Y100" s="659"/>
      <c r="Z100" s="659"/>
      <c r="AA100" s="659"/>
      <c r="AB100" s="659"/>
      <c r="AC100" s="659"/>
      <c r="AD100" s="659"/>
      <c r="AE100" s="659"/>
      <c r="AF100" s="659"/>
      <c r="AG100" s="659"/>
      <c r="AH100" s="659"/>
      <c r="AI100" s="659"/>
      <c r="AJ100" s="659"/>
      <c r="AK100" s="659"/>
      <c r="AL100" s="659"/>
      <c r="AM100" s="659"/>
      <c r="AN100" s="659"/>
      <c r="AO100" s="659"/>
      <c r="AP100" s="659"/>
      <c r="AQ100" s="746"/>
    </row>
    <row r="101">
      <c r="A101" s="654"/>
      <c r="B101" s="719" t="s">
        <v>487</v>
      </c>
      <c r="C101" s="720">
        <v>12.0</v>
      </c>
      <c r="D101" s="721"/>
      <c r="E101" s="703"/>
      <c r="F101" s="897"/>
      <c r="G101" s="897"/>
      <c r="H101" s="659"/>
      <c r="I101" s="659"/>
      <c r="J101" s="659"/>
      <c r="K101" s="659"/>
      <c r="L101" s="659"/>
      <c r="M101" s="659"/>
      <c r="N101" s="949"/>
      <c r="O101" s="951"/>
      <c r="P101" s="649"/>
      <c r="Q101" s="659"/>
      <c r="R101" s="649"/>
      <c r="S101" s="649"/>
      <c r="T101" s="659"/>
      <c r="U101" s="659"/>
      <c r="V101" s="659"/>
      <c r="W101" s="659"/>
      <c r="X101" s="659"/>
      <c r="Y101" s="659"/>
      <c r="Z101" s="659"/>
      <c r="AA101" s="659"/>
      <c r="AB101" s="659"/>
      <c r="AC101" s="659"/>
      <c r="AD101" s="659"/>
      <c r="AE101" s="659"/>
      <c r="AF101" s="659"/>
      <c r="AG101" s="659"/>
      <c r="AH101" s="659"/>
      <c r="AI101" s="659"/>
      <c r="AJ101" s="659"/>
      <c r="AK101" s="659"/>
      <c r="AL101" s="659"/>
      <c r="AM101" s="659"/>
      <c r="AN101" s="659"/>
      <c r="AO101" s="659"/>
      <c r="AP101" s="659"/>
      <c r="AQ101" s="746"/>
    </row>
    <row r="102">
      <c r="A102" s="654"/>
      <c r="B102" s="686" t="s">
        <v>133</v>
      </c>
      <c r="C102" s="687">
        <v>11.0</v>
      </c>
      <c r="D102" s="702">
        <v>12.0</v>
      </c>
      <c r="E102" s="703"/>
      <c r="F102" s="897"/>
      <c r="G102" s="897"/>
      <c r="H102" s="659"/>
      <c r="I102" s="659"/>
      <c r="J102" s="659"/>
      <c r="K102" s="659"/>
      <c r="L102" s="659"/>
      <c r="M102" s="659"/>
      <c r="N102" s="949"/>
      <c r="O102" s="951"/>
      <c r="P102" s="649"/>
      <c r="Q102" s="659"/>
      <c r="R102" s="649"/>
      <c r="S102" s="649"/>
      <c r="T102" s="659"/>
      <c r="U102" s="659"/>
      <c r="V102" s="659"/>
      <c r="W102" s="659"/>
      <c r="X102" s="649"/>
      <c r="Y102" s="659"/>
      <c r="Z102" s="659"/>
      <c r="AA102" s="659"/>
      <c r="AB102" s="659"/>
      <c r="AC102" s="659"/>
      <c r="AD102" s="659"/>
      <c r="AE102" s="659"/>
      <c r="AF102" s="659"/>
      <c r="AG102" s="659"/>
      <c r="AH102" s="659"/>
      <c r="AI102" s="659"/>
      <c r="AJ102" s="659"/>
      <c r="AK102" s="659"/>
      <c r="AL102" s="659"/>
      <c r="AM102" s="659"/>
      <c r="AN102" s="659"/>
      <c r="AO102" s="659"/>
      <c r="AP102" s="659"/>
      <c r="AQ102" s="746"/>
    </row>
    <row r="103">
      <c r="A103" s="654"/>
      <c r="B103" s="719" t="s">
        <v>387</v>
      </c>
      <c r="C103" s="720">
        <v>11.0</v>
      </c>
      <c r="D103" s="721">
        <v>13.0</v>
      </c>
      <c r="E103" s="703"/>
      <c r="F103" s="897"/>
      <c r="G103" s="897"/>
      <c r="H103" s="659"/>
      <c r="I103" s="659"/>
      <c r="J103" s="659"/>
      <c r="K103" s="659"/>
      <c r="L103" s="659"/>
      <c r="M103" s="659"/>
      <c r="N103" s="949"/>
      <c r="O103" s="951"/>
      <c r="P103" s="649"/>
      <c r="Q103" s="659"/>
      <c r="R103" s="649"/>
      <c r="S103" s="649"/>
      <c r="T103" s="659"/>
      <c r="U103" s="659"/>
      <c r="V103" s="659"/>
      <c r="W103" s="659"/>
      <c r="X103" s="659"/>
      <c r="Y103" s="659"/>
      <c r="Z103" s="659"/>
      <c r="AA103" s="659"/>
      <c r="AB103" s="659"/>
      <c r="AC103" s="659"/>
      <c r="AD103" s="659"/>
      <c r="AE103" s="659"/>
      <c r="AF103" s="659"/>
      <c r="AG103" s="659"/>
      <c r="AH103" s="659"/>
      <c r="AI103" s="659"/>
      <c r="AJ103" s="659"/>
      <c r="AK103" s="659"/>
      <c r="AL103" s="659"/>
      <c r="AM103" s="659"/>
      <c r="AN103" s="659"/>
      <c r="AO103" s="659"/>
      <c r="AP103" s="659"/>
      <c r="AQ103" s="746"/>
    </row>
    <row r="104">
      <c r="A104" s="654"/>
      <c r="B104" s="704" t="s">
        <v>488</v>
      </c>
      <c r="C104" s="687">
        <v>11.0</v>
      </c>
      <c r="D104" s="702">
        <v>12.0</v>
      </c>
      <c r="E104" s="703"/>
      <c r="F104" s="897"/>
      <c r="G104" s="897"/>
      <c r="H104" s="659"/>
      <c r="I104" s="659"/>
      <c r="J104" s="659"/>
      <c r="K104" s="659"/>
      <c r="L104" s="659"/>
      <c r="M104" s="659"/>
      <c r="N104" s="949"/>
      <c r="O104" s="951"/>
      <c r="P104" s="649"/>
      <c r="Q104" s="659"/>
      <c r="R104" s="649"/>
      <c r="S104" s="649"/>
      <c r="T104" s="659"/>
      <c r="U104" s="659"/>
      <c r="V104" s="659"/>
      <c r="W104" s="659"/>
      <c r="X104" s="659"/>
      <c r="Y104" s="659"/>
      <c r="Z104" s="659"/>
      <c r="AA104" s="659"/>
      <c r="AB104" s="659"/>
      <c r="AC104" s="659"/>
      <c r="AD104" s="659"/>
      <c r="AE104" s="659"/>
      <c r="AF104" s="659"/>
      <c r="AG104" s="659"/>
      <c r="AH104" s="659"/>
      <c r="AI104" s="659"/>
      <c r="AJ104" s="659"/>
      <c r="AK104" s="659"/>
      <c r="AL104" s="659"/>
      <c r="AM104" s="659"/>
      <c r="AN104" s="659"/>
      <c r="AO104" s="659"/>
      <c r="AP104" s="659"/>
      <c r="AQ104" s="746"/>
    </row>
    <row r="105">
      <c r="A105" s="654"/>
      <c r="B105" s="704" t="s">
        <v>267</v>
      </c>
      <c r="C105" s="687">
        <v>11.0</v>
      </c>
      <c r="D105" s="702">
        <v>12.0</v>
      </c>
      <c r="E105" s="703"/>
      <c r="F105" s="897"/>
      <c r="G105" s="897"/>
      <c r="H105" s="659"/>
      <c r="I105" s="659"/>
      <c r="J105" s="659"/>
      <c r="K105" s="659"/>
      <c r="L105" s="659"/>
      <c r="M105" s="659"/>
      <c r="N105" s="949"/>
      <c r="O105" s="951"/>
      <c r="P105" s="649"/>
      <c r="Q105" s="659"/>
      <c r="R105" s="649"/>
      <c r="S105" s="649"/>
      <c r="T105" s="659"/>
      <c r="U105" s="659"/>
      <c r="V105" s="659"/>
      <c r="W105" s="659"/>
      <c r="X105" s="659"/>
      <c r="Y105" s="659"/>
      <c r="Z105" s="659"/>
      <c r="AA105" s="659"/>
      <c r="AB105" s="659"/>
      <c r="AC105" s="659"/>
      <c r="AD105" s="659"/>
      <c r="AE105" s="659"/>
      <c r="AF105" s="659"/>
      <c r="AG105" s="659"/>
      <c r="AH105" s="659"/>
      <c r="AI105" s="659"/>
      <c r="AJ105" s="659"/>
      <c r="AK105" s="659"/>
      <c r="AL105" s="659"/>
      <c r="AM105" s="659"/>
      <c r="AN105" s="659"/>
      <c r="AO105" s="659"/>
      <c r="AP105" s="659"/>
      <c r="AQ105" s="746"/>
    </row>
    <row r="106">
      <c r="A106" s="654"/>
      <c r="B106" s="686" t="s">
        <v>489</v>
      </c>
      <c r="C106" s="687">
        <v>11.0</v>
      </c>
      <c r="D106" s="702">
        <v>12.0</v>
      </c>
      <c r="E106" s="703"/>
      <c r="F106" s="897"/>
      <c r="G106" s="897"/>
      <c r="H106" s="659"/>
      <c r="I106" s="659"/>
      <c r="J106" s="659"/>
      <c r="K106" s="659"/>
      <c r="L106" s="659"/>
      <c r="M106" s="659"/>
      <c r="N106" s="949"/>
      <c r="O106" s="951"/>
      <c r="P106" s="649"/>
      <c r="Q106" s="659"/>
      <c r="R106" s="649"/>
      <c r="S106" s="649"/>
      <c r="T106" s="659"/>
      <c r="U106" s="659"/>
      <c r="V106" s="659"/>
      <c r="W106" s="659"/>
      <c r="X106" s="659"/>
      <c r="Y106" s="659"/>
      <c r="Z106" s="659"/>
      <c r="AA106" s="659"/>
      <c r="AB106" s="659"/>
      <c r="AC106" s="659"/>
      <c r="AD106" s="659"/>
      <c r="AE106" s="659"/>
      <c r="AF106" s="659"/>
      <c r="AG106" s="659"/>
      <c r="AH106" s="659"/>
      <c r="AI106" s="659"/>
      <c r="AJ106" s="659"/>
      <c r="AK106" s="659"/>
      <c r="AL106" s="659"/>
      <c r="AM106" s="659"/>
      <c r="AN106" s="659"/>
      <c r="AO106" s="659"/>
      <c r="AP106" s="659"/>
      <c r="AQ106" s="746"/>
    </row>
    <row r="107">
      <c r="A107" s="654"/>
      <c r="B107" s="704" t="s">
        <v>490</v>
      </c>
      <c r="C107" s="687">
        <v>11.0</v>
      </c>
      <c r="D107" s="702">
        <v>13.0</v>
      </c>
      <c r="E107" s="703"/>
      <c r="F107" s="897"/>
      <c r="G107" s="897"/>
      <c r="H107" s="659"/>
      <c r="I107" s="659"/>
      <c r="J107" s="659"/>
      <c r="K107" s="659"/>
      <c r="L107" s="659"/>
      <c r="M107" s="659"/>
      <c r="N107" s="949"/>
      <c r="O107" s="951"/>
      <c r="P107" s="649"/>
      <c r="Q107" s="659"/>
      <c r="R107" s="649"/>
      <c r="S107" s="649"/>
      <c r="T107" s="659"/>
      <c r="U107" s="659"/>
      <c r="V107" s="659"/>
      <c r="W107" s="659"/>
      <c r="X107" s="659"/>
      <c r="Y107" s="659"/>
      <c r="Z107" s="659"/>
      <c r="AA107" s="659"/>
      <c r="AB107" s="659"/>
      <c r="AC107" s="659"/>
      <c r="AD107" s="659"/>
      <c r="AE107" s="659"/>
      <c r="AF107" s="659"/>
      <c r="AG107" s="659"/>
      <c r="AH107" s="659"/>
      <c r="AI107" s="659"/>
      <c r="AJ107" s="659"/>
      <c r="AK107" s="659"/>
      <c r="AL107" s="659"/>
      <c r="AM107" s="659"/>
      <c r="AN107" s="659"/>
      <c r="AO107" s="659"/>
      <c r="AP107" s="659"/>
      <c r="AQ107" s="746"/>
    </row>
    <row r="108">
      <c r="A108" s="654"/>
      <c r="B108" s="686" t="s">
        <v>491</v>
      </c>
      <c r="C108" s="687">
        <v>11.0</v>
      </c>
      <c r="D108" s="702">
        <v>14.0</v>
      </c>
      <c r="E108" s="703"/>
      <c r="F108" s="897"/>
      <c r="G108" s="897"/>
      <c r="H108" s="659"/>
      <c r="I108" s="659"/>
      <c r="J108" s="659"/>
      <c r="K108" s="659"/>
      <c r="L108" s="659"/>
      <c r="M108" s="659"/>
      <c r="N108" s="949"/>
      <c r="O108" s="951"/>
      <c r="P108" s="649"/>
      <c r="Q108" s="659"/>
      <c r="R108" s="649"/>
      <c r="S108" s="649"/>
      <c r="T108" s="659"/>
      <c r="U108" s="659"/>
      <c r="V108" s="659"/>
      <c r="W108" s="659"/>
      <c r="X108" s="659"/>
      <c r="Y108" s="659"/>
      <c r="Z108" s="659"/>
      <c r="AA108" s="659"/>
      <c r="AB108" s="659"/>
      <c r="AC108" s="659"/>
      <c r="AD108" s="659"/>
      <c r="AE108" s="659"/>
      <c r="AF108" s="659"/>
      <c r="AG108" s="659"/>
      <c r="AH108" s="659"/>
      <c r="AI108" s="659"/>
      <c r="AJ108" s="659"/>
      <c r="AK108" s="659"/>
      <c r="AL108" s="659"/>
      <c r="AM108" s="659"/>
      <c r="AN108" s="659"/>
      <c r="AO108" s="659"/>
      <c r="AP108" s="659"/>
      <c r="AQ108" s="746"/>
    </row>
    <row r="109">
      <c r="A109" s="654"/>
      <c r="B109" s="686" t="s">
        <v>492</v>
      </c>
      <c r="C109" s="687">
        <v>11.0</v>
      </c>
      <c r="D109" s="702">
        <v>13.0</v>
      </c>
      <c r="E109" s="703"/>
      <c r="F109" s="897"/>
      <c r="G109" s="897"/>
      <c r="H109" s="659"/>
      <c r="I109" s="659"/>
      <c r="J109" s="659"/>
      <c r="K109" s="659"/>
      <c r="L109" s="659"/>
      <c r="M109" s="659"/>
      <c r="N109" s="949"/>
      <c r="O109" s="951"/>
      <c r="P109" s="649"/>
      <c r="Q109" s="659"/>
      <c r="R109" s="649"/>
      <c r="S109" s="649"/>
      <c r="T109" s="659"/>
      <c r="U109" s="659"/>
      <c r="V109" s="659"/>
      <c r="W109" s="659"/>
      <c r="X109" s="659"/>
      <c r="Y109" s="659"/>
      <c r="Z109" s="659"/>
      <c r="AA109" s="659"/>
      <c r="AB109" s="659"/>
      <c r="AC109" s="659"/>
      <c r="AD109" s="659"/>
      <c r="AE109" s="659"/>
      <c r="AF109" s="659"/>
      <c r="AG109" s="659"/>
      <c r="AH109" s="659"/>
      <c r="AI109" s="659"/>
      <c r="AJ109" s="659"/>
      <c r="AK109" s="659"/>
      <c r="AL109" s="659"/>
      <c r="AM109" s="659"/>
      <c r="AN109" s="659"/>
      <c r="AO109" s="659"/>
      <c r="AP109" s="659"/>
      <c r="AQ109" s="746"/>
    </row>
    <row r="110">
      <c r="A110" s="654"/>
      <c r="B110" s="738" t="s">
        <v>493</v>
      </c>
      <c r="C110" s="720">
        <v>11.0</v>
      </c>
      <c r="D110" s="721">
        <v>12.0</v>
      </c>
      <c r="E110" s="703"/>
      <c r="F110" s="897"/>
      <c r="G110" s="897"/>
      <c r="H110" s="659"/>
      <c r="I110" s="659"/>
      <c r="J110" s="659"/>
      <c r="K110" s="659"/>
      <c r="L110" s="659"/>
      <c r="M110" s="659"/>
      <c r="N110" s="949"/>
      <c r="O110" s="951"/>
      <c r="P110" s="649"/>
      <c r="Q110" s="659"/>
      <c r="R110" s="649"/>
      <c r="S110" s="649"/>
      <c r="T110" s="659"/>
      <c r="U110" s="659"/>
      <c r="V110" s="659"/>
      <c r="W110" s="659"/>
      <c r="X110" s="659"/>
      <c r="Y110" s="659"/>
      <c r="Z110" s="659"/>
      <c r="AA110" s="659"/>
      <c r="AB110" s="659"/>
      <c r="AC110" s="659"/>
      <c r="AD110" s="659"/>
      <c r="AE110" s="659"/>
      <c r="AF110" s="659"/>
      <c r="AG110" s="659"/>
      <c r="AH110" s="659"/>
      <c r="AI110" s="659"/>
      <c r="AJ110" s="659"/>
      <c r="AK110" s="659"/>
      <c r="AL110" s="659"/>
      <c r="AM110" s="659"/>
      <c r="AN110" s="659"/>
      <c r="AO110" s="659"/>
      <c r="AP110" s="659"/>
      <c r="AQ110" s="746"/>
    </row>
    <row r="111">
      <c r="A111" s="654"/>
      <c r="B111" s="719" t="s">
        <v>494</v>
      </c>
      <c r="C111" s="720">
        <v>11.0</v>
      </c>
      <c r="D111" s="721">
        <v>13.0</v>
      </c>
      <c r="E111" s="703"/>
      <c r="F111" s="897"/>
      <c r="G111" s="897"/>
      <c r="H111" s="659"/>
      <c r="I111" s="659"/>
      <c r="J111" s="659"/>
      <c r="K111" s="659"/>
      <c r="L111" s="659"/>
      <c r="M111" s="659"/>
      <c r="N111" s="949"/>
      <c r="O111" s="951"/>
      <c r="P111" s="649"/>
      <c r="Q111" s="659"/>
      <c r="R111" s="649"/>
      <c r="S111" s="649"/>
      <c r="T111" s="659"/>
      <c r="U111" s="659"/>
      <c r="V111" s="659"/>
      <c r="W111" s="659"/>
      <c r="X111" s="659"/>
      <c r="Y111" s="659"/>
      <c r="Z111" s="659"/>
      <c r="AA111" s="659"/>
      <c r="AB111" s="659"/>
      <c r="AC111" s="659"/>
      <c r="AD111" s="659"/>
      <c r="AE111" s="659"/>
      <c r="AF111" s="659"/>
      <c r="AG111" s="659"/>
      <c r="AH111" s="659"/>
      <c r="AI111" s="659"/>
      <c r="AJ111" s="659"/>
      <c r="AK111" s="659"/>
      <c r="AL111" s="659"/>
      <c r="AM111" s="659"/>
      <c r="AN111" s="659"/>
      <c r="AO111" s="659"/>
      <c r="AP111" s="659"/>
      <c r="AQ111" s="746"/>
    </row>
    <row r="112">
      <c r="A112" s="654"/>
      <c r="B112" s="719" t="s">
        <v>495</v>
      </c>
      <c r="C112" s="720">
        <v>11.0</v>
      </c>
      <c r="D112" s="721">
        <v>12.0</v>
      </c>
      <c r="E112" s="703"/>
      <c r="F112" s="897"/>
      <c r="G112" s="897"/>
      <c r="H112" s="659"/>
      <c r="I112" s="659"/>
      <c r="J112" s="659"/>
      <c r="K112" s="659"/>
      <c r="L112" s="659"/>
      <c r="M112" s="659"/>
      <c r="N112" s="949"/>
      <c r="O112" s="951"/>
      <c r="P112" s="649"/>
      <c r="Q112" s="659"/>
      <c r="R112" s="649"/>
      <c r="S112" s="649"/>
      <c r="T112" s="659"/>
      <c r="U112" s="659"/>
      <c r="V112" s="659"/>
      <c r="W112" s="659"/>
      <c r="X112" s="659"/>
      <c r="Y112" s="659"/>
      <c r="Z112" s="659"/>
      <c r="AA112" s="659"/>
      <c r="AB112" s="659"/>
      <c r="AC112" s="659"/>
      <c r="AD112" s="659"/>
      <c r="AE112" s="659"/>
      <c r="AF112" s="659"/>
      <c r="AG112" s="659"/>
      <c r="AH112" s="659"/>
      <c r="AI112" s="659"/>
      <c r="AJ112" s="659"/>
      <c r="AK112" s="659"/>
      <c r="AL112" s="659"/>
      <c r="AM112" s="659"/>
      <c r="AN112" s="659"/>
      <c r="AO112" s="659"/>
      <c r="AP112" s="659"/>
      <c r="AQ112" s="746"/>
    </row>
    <row r="113">
      <c r="A113" s="654"/>
      <c r="B113" s="704" t="s">
        <v>496</v>
      </c>
      <c r="C113" s="687">
        <v>11.0</v>
      </c>
      <c r="D113" s="702">
        <v>13.0</v>
      </c>
      <c r="E113" s="703"/>
      <c r="F113" s="897"/>
      <c r="G113" s="897"/>
      <c r="H113" s="659"/>
      <c r="I113" s="659"/>
      <c r="J113" s="659"/>
      <c r="K113" s="659"/>
      <c r="L113" s="659"/>
      <c r="M113" s="659"/>
      <c r="N113" s="949"/>
      <c r="O113" s="951"/>
      <c r="P113" s="649"/>
      <c r="Q113" s="659"/>
      <c r="R113" s="649"/>
      <c r="S113" s="649"/>
      <c r="T113" s="659"/>
      <c r="U113" s="659"/>
      <c r="V113" s="659"/>
      <c r="W113" s="659"/>
      <c r="X113" s="649"/>
      <c r="Y113" s="659"/>
      <c r="Z113" s="659"/>
      <c r="AA113" s="659"/>
      <c r="AB113" s="659"/>
      <c r="AC113" s="659"/>
      <c r="AD113" s="659"/>
      <c r="AE113" s="659"/>
      <c r="AF113" s="659"/>
      <c r="AG113" s="659"/>
      <c r="AH113" s="659"/>
      <c r="AI113" s="659"/>
      <c r="AJ113" s="659"/>
      <c r="AK113" s="659"/>
      <c r="AL113" s="659"/>
      <c r="AM113" s="659"/>
      <c r="AN113" s="659"/>
      <c r="AO113" s="659"/>
      <c r="AP113" s="659"/>
      <c r="AQ113" s="746"/>
    </row>
    <row r="114">
      <c r="A114" s="654"/>
      <c r="B114" s="738" t="s">
        <v>114</v>
      </c>
      <c r="C114" s="720">
        <v>11.0</v>
      </c>
      <c r="D114" s="721">
        <v>13.0</v>
      </c>
      <c r="E114" s="703"/>
      <c r="F114" s="897"/>
      <c r="G114" s="897"/>
      <c r="H114" s="659"/>
      <c r="I114" s="659"/>
      <c r="J114" s="659"/>
      <c r="K114" s="659"/>
      <c r="L114" s="659"/>
      <c r="M114" s="659"/>
      <c r="N114" s="949"/>
      <c r="O114" s="951"/>
      <c r="P114" s="649"/>
      <c r="Q114" s="659"/>
      <c r="R114" s="649"/>
      <c r="S114" s="649"/>
      <c r="T114" s="659"/>
      <c r="U114" s="659"/>
      <c r="V114" s="659"/>
      <c r="W114" s="659"/>
      <c r="X114" s="659"/>
      <c r="Y114" s="659"/>
      <c r="Z114" s="659"/>
      <c r="AA114" s="659"/>
      <c r="AB114" s="659"/>
      <c r="AC114" s="659"/>
      <c r="AD114" s="659"/>
      <c r="AE114" s="659"/>
      <c r="AF114" s="659"/>
      <c r="AG114" s="659"/>
      <c r="AH114" s="659"/>
      <c r="AI114" s="659"/>
      <c r="AJ114" s="659"/>
      <c r="AK114" s="659"/>
      <c r="AL114" s="659"/>
      <c r="AM114" s="659"/>
      <c r="AN114" s="659"/>
      <c r="AO114" s="659"/>
      <c r="AP114" s="659"/>
      <c r="AQ114" s="746"/>
    </row>
    <row r="115">
      <c r="A115" s="654"/>
      <c r="B115" s="686" t="s">
        <v>397</v>
      </c>
      <c r="C115" s="687">
        <v>11.0</v>
      </c>
      <c r="D115" s="702">
        <v>14.0</v>
      </c>
      <c r="E115" s="703"/>
      <c r="F115" s="897"/>
      <c r="G115" s="897"/>
      <c r="H115" s="659"/>
      <c r="I115" s="659"/>
      <c r="J115" s="659"/>
      <c r="K115" s="659"/>
      <c r="L115" s="659"/>
      <c r="M115" s="659"/>
      <c r="N115" s="949"/>
      <c r="O115" s="951"/>
      <c r="P115" s="649"/>
      <c r="Q115" s="659"/>
      <c r="R115" s="649"/>
      <c r="S115" s="649"/>
      <c r="T115" s="659"/>
      <c r="U115" s="659"/>
      <c r="V115" s="659"/>
      <c r="W115" s="659"/>
      <c r="X115" s="659"/>
      <c r="Y115" s="659"/>
      <c r="Z115" s="659"/>
      <c r="AA115" s="659"/>
      <c r="AB115" s="659"/>
      <c r="AC115" s="659"/>
      <c r="AD115" s="659"/>
      <c r="AE115" s="659"/>
      <c r="AF115" s="659"/>
      <c r="AG115" s="659"/>
      <c r="AH115" s="659"/>
      <c r="AI115" s="659"/>
      <c r="AJ115" s="659"/>
      <c r="AK115" s="659"/>
      <c r="AL115" s="659"/>
      <c r="AM115" s="659"/>
      <c r="AN115" s="659"/>
      <c r="AO115" s="659"/>
      <c r="AP115" s="659"/>
      <c r="AQ115" s="746"/>
    </row>
    <row r="116">
      <c r="A116" s="654"/>
      <c r="B116" s="686" t="s">
        <v>300</v>
      </c>
      <c r="C116" s="687">
        <v>11.0</v>
      </c>
      <c r="D116" s="702">
        <v>12.0</v>
      </c>
      <c r="E116" s="703"/>
      <c r="F116" s="897"/>
      <c r="G116" s="897"/>
      <c r="H116" s="659"/>
      <c r="I116" s="659"/>
      <c r="J116" s="659"/>
      <c r="K116" s="659"/>
      <c r="L116" s="659"/>
      <c r="M116" s="659"/>
      <c r="N116" s="949"/>
      <c r="O116" s="951"/>
      <c r="P116" s="649"/>
      <c r="Q116" s="659"/>
      <c r="R116" s="649"/>
      <c r="S116" s="649"/>
      <c r="T116" s="659"/>
      <c r="U116" s="659"/>
      <c r="V116" s="659"/>
      <c r="W116" s="659"/>
      <c r="X116" s="659"/>
      <c r="Y116" s="659"/>
      <c r="Z116" s="659"/>
      <c r="AA116" s="659"/>
      <c r="AB116" s="659"/>
      <c r="AC116" s="659"/>
      <c r="AD116" s="659"/>
      <c r="AE116" s="659"/>
      <c r="AF116" s="659"/>
      <c r="AG116" s="659"/>
      <c r="AH116" s="659"/>
      <c r="AI116" s="659"/>
      <c r="AJ116" s="659"/>
      <c r="AK116" s="659"/>
      <c r="AL116" s="659"/>
      <c r="AM116" s="659"/>
      <c r="AN116" s="659"/>
      <c r="AO116" s="659"/>
      <c r="AP116" s="659"/>
      <c r="AQ116" s="746"/>
    </row>
    <row r="117">
      <c r="A117" s="654"/>
      <c r="B117" s="704" t="s">
        <v>497</v>
      </c>
      <c r="C117" s="687">
        <v>11.0</v>
      </c>
      <c r="D117" s="702">
        <v>12.0</v>
      </c>
      <c r="E117" s="703"/>
      <c r="F117" s="897"/>
      <c r="G117" s="897"/>
      <c r="H117" s="659"/>
      <c r="I117" s="659"/>
      <c r="J117" s="659"/>
      <c r="K117" s="659"/>
      <c r="L117" s="659"/>
      <c r="M117" s="659"/>
      <c r="N117" s="949"/>
      <c r="O117" s="951"/>
      <c r="P117" s="649"/>
      <c r="Q117" s="659"/>
      <c r="R117" s="649"/>
      <c r="S117" s="649"/>
      <c r="T117" s="659"/>
      <c r="U117" s="659"/>
      <c r="V117" s="659"/>
      <c r="W117" s="659"/>
      <c r="X117" s="659"/>
      <c r="Y117" s="659"/>
      <c r="Z117" s="659"/>
      <c r="AA117" s="659"/>
      <c r="AB117" s="659"/>
      <c r="AC117" s="659"/>
      <c r="AD117" s="659"/>
      <c r="AE117" s="659"/>
      <c r="AF117" s="659"/>
      <c r="AG117" s="659"/>
      <c r="AH117" s="659"/>
      <c r="AI117" s="659"/>
      <c r="AJ117" s="659"/>
      <c r="AK117" s="659"/>
      <c r="AL117" s="659"/>
      <c r="AM117" s="659"/>
      <c r="AN117" s="659"/>
      <c r="AO117" s="659"/>
      <c r="AP117" s="659"/>
      <c r="AQ117" s="746"/>
    </row>
    <row r="118">
      <c r="A118" s="654"/>
      <c r="B118" s="704" t="s">
        <v>498</v>
      </c>
      <c r="C118" s="687">
        <v>11.0</v>
      </c>
      <c r="D118" s="702">
        <v>14.0</v>
      </c>
      <c r="E118" s="703"/>
      <c r="F118" s="897"/>
      <c r="G118" s="897"/>
      <c r="H118" s="659"/>
      <c r="I118" s="659"/>
      <c r="J118" s="659"/>
      <c r="K118" s="659"/>
      <c r="L118" s="659"/>
      <c r="M118" s="659"/>
      <c r="N118" s="949"/>
      <c r="O118" s="951"/>
      <c r="P118" s="649"/>
      <c r="Q118" s="659"/>
      <c r="R118" s="649"/>
      <c r="S118" s="649"/>
      <c r="T118" s="659"/>
      <c r="U118" s="659"/>
      <c r="V118" s="659"/>
      <c r="W118" s="659"/>
      <c r="X118" s="659"/>
      <c r="Y118" s="659"/>
      <c r="Z118" s="659"/>
      <c r="AA118" s="659"/>
      <c r="AB118" s="659"/>
      <c r="AC118" s="659"/>
      <c r="AD118" s="659"/>
      <c r="AE118" s="659"/>
      <c r="AF118" s="659"/>
      <c r="AG118" s="659"/>
      <c r="AH118" s="659"/>
      <c r="AI118" s="659"/>
      <c r="AJ118" s="659"/>
      <c r="AK118" s="659"/>
      <c r="AL118" s="659"/>
      <c r="AM118" s="659"/>
      <c r="AN118" s="659"/>
      <c r="AO118" s="659"/>
      <c r="AP118" s="659"/>
      <c r="AQ118" s="746"/>
    </row>
    <row r="119">
      <c r="A119" s="654"/>
      <c r="B119" s="686" t="s">
        <v>499</v>
      </c>
      <c r="C119" s="687">
        <v>11.0</v>
      </c>
      <c r="D119" s="702">
        <v>12.0</v>
      </c>
      <c r="E119" s="703"/>
      <c r="F119" s="897"/>
      <c r="G119" s="897"/>
      <c r="H119" s="659"/>
      <c r="I119" s="659"/>
      <c r="J119" s="659"/>
      <c r="K119" s="659"/>
      <c r="L119" s="659"/>
      <c r="M119" s="659"/>
      <c r="N119" s="949"/>
      <c r="O119" s="951"/>
      <c r="P119" s="649"/>
      <c r="Q119" s="659"/>
      <c r="R119" s="649"/>
      <c r="S119" s="649"/>
      <c r="T119" s="659"/>
      <c r="U119" s="659"/>
      <c r="V119" s="659"/>
      <c r="W119" s="659"/>
      <c r="X119" s="659"/>
      <c r="Y119" s="659"/>
      <c r="Z119" s="659"/>
      <c r="AA119" s="659"/>
      <c r="AB119" s="659"/>
      <c r="AC119" s="659"/>
      <c r="AD119" s="659"/>
      <c r="AE119" s="659"/>
      <c r="AF119" s="659"/>
      <c r="AG119" s="659"/>
      <c r="AH119" s="659"/>
      <c r="AI119" s="659"/>
      <c r="AJ119" s="659"/>
      <c r="AK119" s="659"/>
      <c r="AL119" s="659"/>
      <c r="AM119" s="659"/>
      <c r="AN119" s="659"/>
      <c r="AO119" s="659"/>
      <c r="AP119" s="659"/>
      <c r="AQ119" s="746"/>
    </row>
    <row r="120">
      <c r="A120" s="654"/>
      <c r="B120" s="686" t="s">
        <v>356</v>
      </c>
      <c r="C120" s="687">
        <v>11.0</v>
      </c>
      <c r="D120" s="702">
        <v>13.0</v>
      </c>
      <c r="E120" s="703"/>
      <c r="F120" s="897"/>
      <c r="G120" s="897"/>
      <c r="H120" s="659"/>
      <c r="I120" s="659"/>
      <c r="J120" s="659"/>
      <c r="K120" s="659"/>
      <c r="L120" s="659"/>
      <c r="M120" s="659"/>
      <c r="N120" s="949"/>
      <c r="O120" s="951"/>
      <c r="P120" s="649"/>
      <c r="Q120" s="659"/>
      <c r="R120" s="649"/>
      <c r="S120" s="649"/>
      <c r="T120" s="659"/>
      <c r="U120" s="659"/>
      <c r="V120" s="659"/>
      <c r="W120" s="659"/>
      <c r="X120" s="659"/>
      <c r="Y120" s="659"/>
      <c r="Z120" s="659"/>
      <c r="AA120" s="659"/>
      <c r="AB120" s="659"/>
      <c r="AC120" s="659"/>
      <c r="AD120" s="659"/>
      <c r="AE120" s="659"/>
      <c r="AF120" s="659"/>
      <c r="AG120" s="659"/>
      <c r="AH120" s="659"/>
      <c r="AI120" s="659"/>
      <c r="AJ120" s="659"/>
      <c r="AK120" s="659"/>
      <c r="AL120" s="659"/>
      <c r="AM120" s="659"/>
      <c r="AN120" s="659"/>
      <c r="AO120" s="659"/>
      <c r="AP120" s="659"/>
      <c r="AQ120" s="746"/>
    </row>
    <row r="121">
      <c r="A121" s="654"/>
      <c r="B121" s="738" t="s">
        <v>500</v>
      </c>
      <c r="C121" s="720">
        <v>11.0</v>
      </c>
      <c r="D121" s="721">
        <v>13.0</v>
      </c>
      <c r="E121" s="703"/>
      <c r="F121" s="897"/>
      <c r="G121" s="897"/>
      <c r="H121" s="659"/>
      <c r="I121" s="659"/>
      <c r="J121" s="659"/>
      <c r="K121" s="659"/>
      <c r="L121" s="659"/>
      <c r="M121" s="659"/>
      <c r="N121" s="949"/>
      <c r="O121" s="951"/>
      <c r="P121" s="649"/>
      <c r="Q121" s="659"/>
      <c r="R121" s="649"/>
      <c r="S121" s="649"/>
      <c r="T121" s="659"/>
      <c r="U121" s="659"/>
      <c r="V121" s="659"/>
      <c r="W121" s="659"/>
      <c r="X121" s="659"/>
      <c r="Y121" s="659"/>
      <c r="Z121" s="659"/>
      <c r="AA121" s="659"/>
      <c r="AB121" s="659"/>
      <c r="AC121" s="659"/>
      <c r="AD121" s="659"/>
      <c r="AE121" s="659"/>
      <c r="AF121" s="659"/>
      <c r="AG121" s="659"/>
      <c r="AH121" s="659"/>
      <c r="AI121" s="659"/>
      <c r="AJ121" s="659"/>
      <c r="AK121" s="659"/>
      <c r="AL121" s="659"/>
      <c r="AM121" s="659"/>
      <c r="AN121" s="659"/>
      <c r="AO121" s="659"/>
      <c r="AP121" s="659"/>
      <c r="AQ121" s="746"/>
    </row>
    <row r="122">
      <c r="A122" s="654"/>
      <c r="B122" s="738" t="s">
        <v>501</v>
      </c>
      <c r="C122" s="720">
        <v>11.0</v>
      </c>
      <c r="D122" s="721">
        <v>13.0</v>
      </c>
      <c r="E122" s="703"/>
      <c r="F122" s="897"/>
      <c r="G122" s="897"/>
      <c r="H122" s="659"/>
      <c r="I122" s="659"/>
      <c r="J122" s="659"/>
      <c r="K122" s="659"/>
      <c r="L122" s="659"/>
      <c r="M122" s="659"/>
      <c r="N122" s="949"/>
      <c r="O122" s="951"/>
      <c r="P122" s="649"/>
      <c r="Q122" s="659"/>
      <c r="R122" s="649"/>
      <c r="S122" s="649"/>
      <c r="T122" s="659"/>
      <c r="U122" s="659"/>
      <c r="V122" s="659"/>
      <c r="W122" s="659"/>
      <c r="X122" s="659"/>
      <c r="Y122" s="659"/>
      <c r="Z122" s="659"/>
      <c r="AA122" s="659"/>
      <c r="AB122" s="659"/>
      <c r="AC122" s="659"/>
      <c r="AD122" s="659"/>
      <c r="AE122" s="659"/>
      <c r="AF122" s="659"/>
      <c r="AG122" s="659"/>
      <c r="AH122" s="659"/>
      <c r="AI122" s="659"/>
      <c r="AJ122" s="659"/>
      <c r="AK122" s="659"/>
      <c r="AL122" s="659"/>
      <c r="AM122" s="659"/>
      <c r="AN122" s="659"/>
      <c r="AO122" s="659"/>
      <c r="AP122" s="659"/>
      <c r="AQ122" s="746"/>
    </row>
    <row r="123">
      <c r="A123" s="654"/>
      <c r="B123" s="738" t="s">
        <v>502</v>
      </c>
      <c r="C123" s="720">
        <v>11.0</v>
      </c>
      <c r="D123" s="721">
        <v>12.0</v>
      </c>
      <c r="E123" s="703"/>
      <c r="F123" s="897"/>
      <c r="G123" s="897"/>
      <c r="H123" s="659"/>
      <c r="I123" s="659"/>
      <c r="J123" s="659"/>
      <c r="K123" s="659"/>
      <c r="L123" s="659"/>
      <c r="M123" s="659"/>
      <c r="N123" s="949"/>
      <c r="O123" s="951"/>
      <c r="P123" s="649"/>
      <c r="Q123" s="659"/>
      <c r="R123" s="649"/>
      <c r="S123" s="649"/>
      <c r="T123" s="659"/>
      <c r="U123" s="659"/>
      <c r="V123" s="659"/>
      <c r="W123" s="659"/>
      <c r="X123" s="659"/>
      <c r="Y123" s="659"/>
      <c r="Z123" s="659"/>
      <c r="AA123" s="659"/>
      <c r="AB123" s="659"/>
      <c r="AC123" s="659"/>
      <c r="AD123" s="659"/>
      <c r="AE123" s="659"/>
      <c r="AF123" s="659"/>
      <c r="AG123" s="659"/>
      <c r="AH123" s="659"/>
      <c r="AI123" s="659"/>
      <c r="AJ123" s="659"/>
      <c r="AK123" s="659"/>
      <c r="AL123" s="659"/>
      <c r="AM123" s="659"/>
      <c r="AN123" s="659"/>
      <c r="AO123" s="659"/>
      <c r="AP123" s="659"/>
      <c r="AQ123" s="746"/>
    </row>
    <row r="124">
      <c r="A124" s="654"/>
      <c r="B124" s="738" t="s">
        <v>503</v>
      </c>
      <c r="C124" s="720">
        <v>11.0</v>
      </c>
      <c r="D124" s="721">
        <v>13.0</v>
      </c>
      <c r="E124" s="703"/>
      <c r="F124" s="897"/>
      <c r="G124" s="897"/>
      <c r="H124" s="659"/>
      <c r="I124" s="659"/>
      <c r="J124" s="659"/>
      <c r="K124" s="659"/>
      <c r="L124" s="659"/>
      <c r="M124" s="659"/>
      <c r="N124" s="949"/>
      <c r="O124" s="951"/>
      <c r="P124" s="649"/>
      <c r="Q124" s="659"/>
      <c r="R124" s="649"/>
      <c r="S124" s="649"/>
      <c r="T124" s="659"/>
      <c r="U124" s="659"/>
      <c r="V124" s="659"/>
      <c r="W124" s="659"/>
      <c r="X124" s="649"/>
      <c r="Y124" s="659"/>
      <c r="Z124" s="659"/>
      <c r="AA124" s="659"/>
      <c r="AB124" s="659"/>
      <c r="AC124" s="659"/>
      <c r="AD124" s="659"/>
      <c r="AE124" s="659"/>
      <c r="AF124" s="659"/>
      <c r="AG124" s="659"/>
      <c r="AH124" s="659"/>
      <c r="AI124" s="659"/>
      <c r="AJ124" s="659"/>
      <c r="AK124" s="659"/>
      <c r="AL124" s="659"/>
      <c r="AM124" s="659"/>
      <c r="AN124" s="659"/>
      <c r="AO124" s="659"/>
      <c r="AP124" s="659"/>
      <c r="AQ124" s="746"/>
    </row>
    <row r="125">
      <c r="A125" s="654"/>
      <c r="B125" s="704" t="s">
        <v>504</v>
      </c>
      <c r="C125" s="687">
        <v>11.0</v>
      </c>
      <c r="D125" s="702">
        <v>12.0</v>
      </c>
      <c r="E125" s="703"/>
      <c r="F125" s="897"/>
      <c r="G125" s="897"/>
      <c r="H125" s="659"/>
      <c r="I125" s="659"/>
      <c r="J125" s="659"/>
      <c r="K125" s="659"/>
      <c r="L125" s="659"/>
      <c r="M125" s="659"/>
      <c r="N125" s="949"/>
      <c r="O125" s="951"/>
      <c r="P125" s="649"/>
      <c r="Q125" s="659"/>
      <c r="R125" s="649"/>
      <c r="S125" s="649"/>
      <c r="T125" s="659"/>
      <c r="U125" s="659"/>
      <c r="V125" s="659"/>
      <c r="W125" s="659"/>
      <c r="X125" s="659"/>
      <c r="Y125" s="659"/>
      <c r="Z125" s="659"/>
      <c r="AA125" s="659"/>
      <c r="AB125" s="659"/>
      <c r="AC125" s="659"/>
      <c r="AD125" s="659"/>
      <c r="AE125" s="659"/>
      <c r="AF125" s="659"/>
      <c r="AG125" s="659"/>
      <c r="AH125" s="659"/>
      <c r="AI125" s="659"/>
      <c r="AJ125" s="659"/>
      <c r="AK125" s="659"/>
      <c r="AL125" s="659"/>
      <c r="AM125" s="659"/>
      <c r="AN125" s="659"/>
      <c r="AO125" s="659"/>
      <c r="AP125" s="659"/>
      <c r="AQ125" s="746"/>
    </row>
    <row r="126">
      <c r="A126" s="654"/>
      <c r="B126" s="719" t="s">
        <v>505</v>
      </c>
      <c r="C126" s="720">
        <v>10.0</v>
      </c>
      <c r="D126" s="721">
        <v>13.0</v>
      </c>
      <c r="E126" s="703"/>
      <c r="F126" s="897"/>
      <c r="G126" s="897"/>
      <c r="H126" s="659"/>
      <c r="I126" s="659"/>
      <c r="J126" s="659"/>
      <c r="K126" s="659"/>
      <c r="L126" s="659"/>
      <c r="M126" s="659"/>
      <c r="N126" s="949"/>
      <c r="O126" s="951"/>
      <c r="P126" s="649"/>
      <c r="Q126" s="659"/>
      <c r="R126" s="649"/>
      <c r="S126" s="649"/>
      <c r="T126" s="659"/>
      <c r="U126" s="659"/>
      <c r="V126" s="659"/>
      <c r="W126" s="659"/>
      <c r="X126" s="659"/>
      <c r="Y126" s="659"/>
      <c r="Z126" s="659"/>
      <c r="AA126" s="659"/>
      <c r="AB126" s="659"/>
      <c r="AC126" s="659"/>
      <c r="AD126" s="659"/>
      <c r="AE126" s="659"/>
      <c r="AF126" s="659"/>
      <c r="AG126" s="659"/>
      <c r="AH126" s="659"/>
      <c r="AI126" s="659"/>
      <c r="AJ126" s="659"/>
      <c r="AK126" s="659"/>
      <c r="AL126" s="659"/>
      <c r="AM126" s="659"/>
      <c r="AN126" s="659"/>
      <c r="AO126" s="659"/>
      <c r="AP126" s="659"/>
      <c r="AQ126" s="746"/>
    </row>
    <row r="127">
      <c r="A127" s="654"/>
      <c r="B127" s="719" t="s">
        <v>506</v>
      </c>
      <c r="C127" s="720">
        <v>10.0</v>
      </c>
      <c r="D127" s="721">
        <v>12.0</v>
      </c>
      <c r="E127" s="703"/>
      <c r="F127" s="897"/>
      <c r="G127" s="897"/>
      <c r="H127" s="659"/>
      <c r="I127" s="659"/>
      <c r="J127" s="659"/>
      <c r="K127" s="659"/>
      <c r="L127" s="659"/>
      <c r="M127" s="659"/>
      <c r="N127" s="949"/>
      <c r="O127" s="951"/>
      <c r="P127" s="649"/>
      <c r="Q127" s="659"/>
      <c r="R127" s="649"/>
      <c r="S127" s="649"/>
      <c r="T127" s="659"/>
      <c r="U127" s="659"/>
      <c r="V127" s="659"/>
      <c r="W127" s="659"/>
      <c r="X127" s="659"/>
      <c r="Y127" s="659"/>
      <c r="Z127" s="659"/>
      <c r="AA127" s="659"/>
      <c r="AB127" s="659"/>
      <c r="AC127" s="659"/>
      <c r="AD127" s="659"/>
      <c r="AE127" s="659"/>
      <c r="AF127" s="659"/>
      <c r="AG127" s="659"/>
      <c r="AH127" s="659"/>
      <c r="AI127" s="659"/>
      <c r="AJ127" s="659"/>
      <c r="AK127" s="659"/>
      <c r="AL127" s="659"/>
      <c r="AM127" s="659"/>
      <c r="AN127" s="659"/>
      <c r="AO127" s="659"/>
      <c r="AP127" s="659"/>
      <c r="AQ127" s="746"/>
    </row>
    <row r="128">
      <c r="A128" s="654"/>
      <c r="B128" s="704" t="s">
        <v>319</v>
      </c>
      <c r="C128" s="687">
        <v>10.0</v>
      </c>
      <c r="D128" s="702">
        <v>11.0</v>
      </c>
      <c r="E128" s="703"/>
      <c r="F128" s="897"/>
      <c r="G128" s="897"/>
      <c r="H128" s="659"/>
      <c r="I128" s="659"/>
      <c r="J128" s="659"/>
      <c r="K128" s="659"/>
      <c r="L128" s="659"/>
      <c r="M128" s="659"/>
      <c r="N128" s="949"/>
      <c r="O128" s="951"/>
      <c r="P128" s="649"/>
      <c r="Q128" s="659"/>
      <c r="R128" s="649"/>
      <c r="S128" s="649"/>
      <c r="T128" s="659"/>
      <c r="U128" s="659"/>
      <c r="V128" s="659"/>
      <c r="W128" s="659"/>
      <c r="X128" s="659"/>
      <c r="Y128" s="659"/>
      <c r="Z128" s="659"/>
      <c r="AA128" s="659"/>
      <c r="AB128" s="659"/>
      <c r="AC128" s="659"/>
      <c r="AD128" s="659"/>
      <c r="AE128" s="659"/>
      <c r="AF128" s="659"/>
      <c r="AG128" s="659"/>
      <c r="AH128" s="659"/>
      <c r="AI128" s="659"/>
      <c r="AJ128" s="659"/>
      <c r="AK128" s="659"/>
      <c r="AL128" s="659"/>
      <c r="AM128" s="659"/>
      <c r="AN128" s="659"/>
      <c r="AO128" s="659"/>
      <c r="AP128" s="659"/>
      <c r="AQ128" s="746"/>
    </row>
    <row r="129">
      <c r="A129" s="654"/>
      <c r="B129" s="704" t="s">
        <v>507</v>
      </c>
      <c r="C129" s="687">
        <v>10.0</v>
      </c>
      <c r="D129" s="702">
        <v>11.0</v>
      </c>
      <c r="E129" s="703"/>
      <c r="F129" s="897"/>
      <c r="G129" s="897"/>
      <c r="H129" s="659"/>
      <c r="I129" s="659"/>
      <c r="J129" s="659"/>
      <c r="K129" s="659"/>
      <c r="L129" s="659"/>
      <c r="M129" s="659"/>
      <c r="N129" s="949"/>
      <c r="O129" s="951"/>
      <c r="P129" s="649"/>
      <c r="Q129" s="659"/>
      <c r="R129" s="649"/>
      <c r="S129" s="649"/>
      <c r="T129" s="659"/>
      <c r="U129" s="659"/>
      <c r="V129" s="659"/>
      <c r="W129" s="659"/>
      <c r="X129" s="659"/>
      <c r="Y129" s="659"/>
      <c r="Z129" s="659"/>
      <c r="AA129" s="659"/>
      <c r="AB129" s="659"/>
      <c r="AC129" s="659"/>
      <c r="AD129" s="659"/>
      <c r="AE129" s="659"/>
      <c r="AF129" s="659"/>
      <c r="AG129" s="659"/>
      <c r="AH129" s="659"/>
      <c r="AI129" s="659"/>
      <c r="AJ129" s="659"/>
      <c r="AK129" s="659"/>
      <c r="AL129" s="659"/>
      <c r="AM129" s="659"/>
      <c r="AN129" s="659"/>
      <c r="AO129" s="659"/>
      <c r="AP129" s="659"/>
      <c r="AQ129" s="746"/>
    </row>
    <row r="130">
      <c r="A130" s="654"/>
      <c r="B130" s="738" t="s">
        <v>303</v>
      </c>
      <c r="C130" s="720">
        <v>10.0</v>
      </c>
      <c r="D130" s="721">
        <v>12.0</v>
      </c>
      <c r="E130" s="703"/>
      <c r="F130" s="897"/>
      <c r="G130" s="897"/>
      <c r="H130" s="659"/>
      <c r="I130" s="659"/>
      <c r="J130" s="659"/>
      <c r="K130" s="659"/>
      <c r="L130" s="659"/>
      <c r="M130" s="659"/>
      <c r="N130" s="649"/>
      <c r="O130" s="951"/>
      <c r="P130" s="649"/>
      <c r="Q130" s="659"/>
      <c r="R130" s="649"/>
      <c r="S130" s="649"/>
      <c r="T130" s="659"/>
      <c r="U130" s="659"/>
      <c r="V130" s="659"/>
      <c r="W130" s="659"/>
      <c r="X130" s="659"/>
      <c r="Y130" s="659"/>
      <c r="Z130" s="659"/>
      <c r="AA130" s="659"/>
      <c r="AB130" s="659"/>
      <c r="AC130" s="659"/>
      <c r="AD130" s="659"/>
      <c r="AE130" s="659"/>
      <c r="AF130" s="659"/>
      <c r="AG130" s="659"/>
      <c r="AH130" s="659"/>
      <c r="AI130" s="659"/>
      <c r="AJ130" s="659"/>
      <c r="AK130" s="659"/>
      <c r="AL130" s="659"/>
      <c r="AM130" s="659"/>
      <c r="AN130" s="659"/>
      <c r="AO130" s="659"/>
      <c r="AP130" s="659"/>
      <c r="AQ130" s="746"/>
    </row>
    <row r="131">
      <c r="A131" s="654"/>
      <c r="B131" s="704" t="s">
        <v>508</v>
      </c>
      <c r="C131" s="687">
        <v>10.0</v>
      </c>
      <c r="D131" s="702">
        <v>11.0</v>
      </c>
      <c r="E131" s="703"/>
      <c r="F131" s="897"/>
      <c r="G131" s="897"/>
      <c r="H131" s="659"/>
      <c r="I131" s="659"/>
      <c r="J131" s="659"/>
      <c r="K131" s="659"/>
      <c r="L131" s="659"/>
      <c r="M131" s="659"/>
      <c r="N131" s="949"/>
      <c r="O131" s="951"/>
      <c r="P131" s="951"/>
      <c r="Q131" s="659"/>
      <c r="R131" s="649"/>
      <c r="S131" s="649"/>
      <c r="T131" s="659"/>
      <c r="U131" s="659"/>
      <c r="V131" s="659"/>
      <c r="W131" s="659"/>
      <c r="X131" s="659"/>
      <c r="Y131" s="659"/>
      <c r="Z131" s="659"/>
      <c r="AA131" s="659"/>
      <c r="AB131" s="659"/>
      <c r="AC131" s="659"/>
      <c r="AD131" s="659"/>
      <c r="AE131" s="659"/>
      <c r="AF131" s="659"/>
      <c r="AG131" s="659"/>
      <c r="AH131" s="659"/>
      <c r="AI131" s="659"/>
      <c r="AJ131" s="659"/>
      <c r="AK131" s="659"/>
      <c r="AL131" s="659"/>
      <c r="AM131" s="659"/>
      <c r="AN131" s="659"/>
      <c r="AO131" s="659"/>
      <c r="AP131" s="659"/>
      <c r="AQ131" s="746"/>
    </row>
    <row r="132">
      <c r="A132" s="654"/>
      <c r="B132" s="704" t="s">
        <v>325</v>
      </c>
      <c r="C132" s="687">
        <v>10.0</v>
      </c>
      <c r="D132" s="702">
        <v>11.0</v>
      </c>
      <c r="E132" s="703"/>
      <c r="F132" s="897"/>
      <c r="G132" s="897"/>
      <c r="H132" s="659"/>
      <c r="I132" s="659"/>
      <c r="J132" s="659"/>
      <c r="K132" s="659"/>
      <c r="L132" s="659"/>
      <c r="M132" s="659"/>
      <c r="N132" s="949"/>
      <c r="O132" s="951"/>
      <c r="P132" s="951"/>
      <c r="Q132" s="659"/>
      <c r="R132" s="649"/>
      <c r="S132" s="649"/>
      <c r="T132" s="659"/>
      <c r="U132" s="659"/>
      <c r="V132" s="659"/>
      <c r="W132" s="659"/>
      <c r="X132" s="659"/>
      <c r="Y132" s="659"/>
      <c r="Z132" s="659"/>
      <c r="AA132" s="659"/>
      <c r="AB132" s="659"/>
      <c r="AC132" s="659"/>
      <c r="AD132" s="659"/>
      <c r="AE132" s="659"/>
      <c r="AF132" s="659"/>
      <c r="AG132" s="659"/>
      <c r="AH132" s="659"/>
      <c r="AI132" s="659"/>
      <c r="AJ132" s="659"/>
      <c r="AK132" s="659"/>
      <c r="AL132" s="659"/>
      <c r="AM132" s="659"/>
      <c r="AN132" s="659"/>
      <c r="AO132" s="659"/>
      <c r="AP132" s="659"/>
      <c r="AQ132" s="746"/>
    </row>
    <row r="133">
      <c r="A133" s="654"/>
      <c r="B133" s="704" t="s">
        <v>509</v>
      </c>
      <c r="C133" s="687">
        <v>10.0</v>
      </c>
      <c r="D133" s="702">
        <v>11.0</v>
      </c>
      <c r="E133" s="703"/>
      <c r="F133" s="897"/>
      <c r="G133" s="897"/>
      <c r="H133" s="659"/>
      <c r="I133" s="659"/>
      <c r="J133" s="659"/>
      <c r="K133" s="659"/>
      <c r="L133" s="659"/>
      <c r="M133" s="659"/>
      <c r="N133" s="949"/>
      <c r="O133" s="951"/>
      <c r="P133" s="951"/>
      <c r="Q133" s="659"/>
      <c r="R133" s="649"/>
      <c r="S133" s="649"/>
      <c r="T133" s="659"/>
      <c r="U133" s="659"/>
      <c r="V133" s="659"/>
      <c r="W133" s="659"/>
      <c r="X133" s="659"/>
      <c r="Y133" s="659"/>
      <c r="Z133" s="659"/>
      <c r="AA133" s="659"/>
      <c r="AB133" s="659"/>
      <c r="AC133" s="659"/>
      <c r="AD133" s="659"/>
      <c r="AE133" s="659"/>
      <c r="AF133" s="659"/>
      <c r="AG133" s="659"/>
      <c r="AH133" s="659"/>
      <c r="AI133" s="659"/>
      <c r="AJ133" s="659"/>
      <c r="AK133" s="659"/>
      <c r="AL133" s="659"/>
      <c r="AM133" s="659"/>
      <c r="AN133" s="659"/>
      <c r="AO133" s="659"/>
      <c r="AP133" s="659"/>
      <c r="AQ133" s="746"/>
    </row>
    <row r="134">
      <c r="A134" s="654"/>
      <c r="B134" s="686" t="s">
        <v>328</v>
      </c>
      <c r="C134" s="687">
        <v>10.0</v>
      </c>
      <c r="D134" s="702">
        <v>11.0</v>
      </c>
      <c r="E134" s="703"/>
      <c r="F134" s="897"/>
      <c r="G134" s="897"/>
      <c r="H134" s="659"/>
      <c r="I134" s="659"/>
      <c r="J134" s="659"/>
      <c r="K134" s="659"/>
      <c r="L134" s="659"/>
      <c r="M134" s="659"/>
      <c r="N134" s="949"/>
      <c r="O134" s="951"/>
      <c r="P134" s="951"/>
      <c r="Q134" s="659"/>
      <c r="R134" s="649"/>
      <c r="S134" s="649"/>
      <c r="T134" s="659"/>
      <c r="U134" s="659"/>
      <c r="V134" s="659"/>
      <c r="W134" s="659"/>
      <c r="X134" s="659"/>
      <c r="Y134" s="659"/>
      <c r="Z134" s="659"/>
      <c r="AA134" s="659"/>
      <c r="AB134" s="659"/>
      <c r="AC134" s="659"/>
      <c r="AD134" s="659"/>
      <c r="AE134" s="659"/>
      <c r="AF134" s="659"/>
      <c r="AG134" s="659"/>
      <c r="AH134" s="659"/>
      <c r="AI134" s="659"/>
      <c r="AJ134" s="659"/>
      <c r="AK134" s="659"/>
      <c r="AL134" s="659"/>
      <c r="AM134" s="659"/>
      <c r="AN134" s="659"/>
      <c r="AO134" s="659"/>
      <c r="AP134" s="659"/>
      <c r="AQ134" s="746"/>
    </row>
    <row r="135">
      <c r="A135" s="654"/>
      <c r="B135" s="686" t="s">
        <v>510</v>
      </c>
      <c r="C135" s="687">
        <v>10.0</v>
      </c>
      <c r="D135" s="702">
        <v>11.0</v>
      </c>
      <c r="E135" s="703"/>
      <c r="F135" s="897"/>
      <c r="G135" s="897"/>
      <c r="H135" s="659"/>
      <c r="I135" s="659"/>
      <c r="J135" s="659"/>
      <c r="K135" s="659"/>
      <c r="L135" s="659"/>
      <c r="M135" s="659"/>
      <c r="N135" s="949"/>
      <c r="O135" s="951"/>
      <c r="P135" s="951"/>
      <c r="Q135" s="659"/>
      <c r="R135" s="649"/>
      <c r="S135" s="649"/>
      <c r="T135" s="659"/>
      <c r="U135" s="659"/>
      <c r="V135" s="659"/>
      <c r="W135" s="659"/>
      <c r="X135" s="649"/>
      <c r="Y135" s="659"/>
      <c r="Z135" s="659"/>
      <c r="AA135" s="659"/>
      <c r="AB135" s="659"/>
      <c r="AC135" s="659"/>
      <c r="AD135" s="659"/>
      <c r="AE135" s="659"/>
      <c r="AF135" s="659"/>
      <c r="AG135" s="659"/>
      <c r="AH135" s="659"/>
      <c r="AI135" s="659"/>
      <c r="AJ135" s="659"/>
      <c r="AK135" s="659"/>
      <c r="AL135" s="659"/>
      <c r="AM135" s="659"/>
      <c r="AN135" s="659"/>
      <c r="AO135" s="659"/>
      <c r="AP135" s="659"/>
      <c r="AQ135" s="746"/>
    </row>
    <row r="136">
      <c r="A136" s="654"/>
      <c r="B136" s="686" t="s">
        <v>511</v>
      </c>
      <c r="C136" s="687">
        <v>10.0</v>
      </c>
      <c r="D136" s="702">
        <v>11.0</v>
      </c>
      <c r="E136" s="703"/>
      <c r="F136" s="897"/>
      <c r="G136" s="897"/>
      <c r="H136" s="659"/>
      <c r="I136" s="659"/>
      <c r="J136" s="659"/>
      <c r="K136" s="659"/>
      <c r="L136" s="659"/>
      <c r="M136" s="659"/>
      <c r="N136" s="949"/>
      <c r="O136" s="951"/>
      <c r="P136" s="951"/>
      <c r="Q136" s="659"/>
      <c r="R136" s="649"/>
      <c r="S136" s="649"/>
      <c r="T136" s="659"/>
      <c r="U136" s="659"/>
      <c r="V136" s="659"/>
      <c r="W136" s="659"/>
      <c r="X136" s="659"/>
      <c r="Y136" s="659"/>
      <c r="Z136" s="659"/>
      <c r="AA136" s="659"/>
      <c r="AB136" s="659"/>
      <c r="AC136" s="659"/>
      <c r="AD136" s="659"/>
      <c r="AE136" s="659"/>
      <c r="AF136" s="659"/>
      <c r="AG136" s="659"/>
      <c r="AH136" s="659"/>
      <c r="AI136" s="659"/>
      <c r="AJ136" s="659"/>
      <c r="AK136" s="659"/>
      <c r="AL136" s="659"/>
      <c r="AM136" s="659"/>
      <c r="AN136" s="659"/>
      <c r="AO136" s="659"/>
      <c r="AP136" s="659"/>
      <c r="AQ136" s="746"/>
    </row>
    <row r="137">
      <c r="A137" s="654"/>
      <c r="B137" s="738" t="s">
        <v>512</v>
      </c>
      <c r="C137" s="720">
        <v>10.0</v>
      </c>
      <c r="D137" s="721">
        <v>11.0</v>
      </c>
      <c r="E137" s="703"/>
      <c r="F137" s="897"/>
      <c r="G137" s="897"/>
      <c r="H137" s="659"/>
      <c r="I137" s="659"/>
      <c r="J137" s="659"/>
      <c r="K137" s="659"/>
      <c r="L137" s="659"/>
      <c r="M137" s="659"/>
      <c r="N137" s="949"/>
      <c r="O137" s="951"/>
      <c r="P137" s="951"/>
      <c r="Q137" s="659"/>
      <c r="R137" s="649"/>
      <c r="S137" s="649"/>
      <c r="T137" s="659"/>
      <c r="U137" s="659"/>
      <c r="V137" s="659"/>
      <c r="W137" s="659"/>
      <c r="X137" s="659"/>
      <c r="Y137" s="659"/>
      <c r="Z137" s="659"/>
      <c r="AA137" s="659"/>
      <c r="AB137" s="659"/>
      <c r="AC137" s="659"/>
      <c r="AD137" s="659"/>
      <c r="AE137" s="659"/>
      <c r="AF137" s="659"/>
      <c r="AG137" s="659"/>
      <c r="AH137" s="659"/>
      <c r="AI137" s="659"/>
      <c r="AJ137" s="659"/>
      <c r="AK137" s="659"/>
      <c r="AL137" s="659"/>
      <c r="AM137" s="659"/>
      <c r="AN137" s="659"/>
      <c r="AO137" s="659"/>
      <c r="AP137" s="659"/>
      <c r="AQ137" s="746"/>
    </row>
    <row r="138">
      <c r="A138" s="654"/>
      <c r="B138" s="719" t="s">
        <v>513</v>
      </c>
      <c r="C138" s="720">
        <v>10.0</v>
      </c>
      <c r="D138" s="721">
        <v>11.0</v>
      </c>
      <c r="E138" s="703"/>
      <c r="F138" s="897"/>
      <c r="G138" s="897"/>
      <c r="H138" s="659"/>
      <c r="I138" s="659"/>
      <c r="J138" s="659"/>
      <c r="K138" s="659"/>
      <c r="L138" s="659"/>
      <c r="M138" s="659"/>
      <c r="N138" s="949"/>
      <c r="O138" s="951"/>
      <c r="P138" s="951"/>
      <c r="Q138" s="659"/>
      <c r="R138" s="649"/>
      <c r="S138" s="649"/>
      <c r="T138" s="659"/>
      <c r="U138" s="659"/>
      <c r="V138" s="659"/>
      <c r="W138" s="659"/>
      <c r="X138" s="659"/>
      <c r="Y138" s="659"/>
      <c r="Z138" s="659"/>
      <c r="AA138" s="659"/>
      <c r="AB138" s="659"/>
      <c r="AC138" s="659"/>
      <c r="AD138" s="659"/>
      <c r="AE138" s="659"/>
      <c r="AF138" s="659"/>
      <c r="AG138" s="659"/>
      <c r="AH138" s="659"/>
      <c r="AI138" s="659"/>
      <c r="AJ138" s="659"/>
      <c r="AK138" s="659"/>
      <c r="AL138" s="659"/>
      <c r="AM138" s="659"/>
      <c r="AN138" s="659"/>
      <c r="AO138" s="659"/>
      <c r="AP138" s="659"/>
      <c r="AQ138" s="746"/>
    </row>
    <row r="139">
      <c r="A139" s="654"/>
      <c r="B139" s="704" t="s">
        <v>514</v>
      </c>
      <c r="C139" s="687">
        <v>10.0</v>
      </c>
      <c r="D139" s="702">
        <v>11.0</v>
      </c>
      <c r="E139" s="703"/>
      <c r="F139" s="897"/>
      <c r="G139" s="897"/>
      <c r="H139" s="659"/>
      <c r="I139" s="659"/>
      <c r="J139" s="659"/>
      <c r="K139" s="659"/>
      <c r="L139" s="659"/>
      <c r="M139" s="659"/>
      <c r="N139" s="949"/>
      <c r="O139" s="951"/>
      <c r="P139" s="951"/>
      <c r="Q139" s="659"/>
      <c r="R139" s="649"/>
      <c r="S139" s="649"/>
      <c r="T139" s="659"/>
      <c r="U139" s="659"/>
      <c r="V139" s="659"/>
      <c r="W139" s="659"/>
      <c r="X139" s="659"/>
      <c r="Y139" s="659"/>
      <c r="Z139" s="659"/>
      <c r="AA139" s="659"/>
      <c r="AB139" s="659"/>
      <c r="AC139" s="659"/>
      <c r="AD139" s="659"/>
      <c r="AE139" s="659"/>
      <c r="AF139" s="659"/>
      <c r="AG139" s="659"/>
      <c r="AH139" s="659"/>
      <c r="AI139" s="659"/>
      <c r="AJ139" s="659"/>
      <c r="AK139" s="659"/>
      <c r="AL139" s="659"/>
      <c r="AM139" s="659"/>
      <c r="AN139" s="659"/>
      <c r="AO139" s="659"/>
      <c r="AP139" s="659"/>
      <c r="AQ139" s="746"/>
    </row>
    <row r="140">
      <c r="A140" s="654"/>
      <c r="B140" s="686" t="s">
        <v>515</v>
      </c>
      <c r="C140" s="687">
        <v>10.0</v>
      </c>
      <c r="D140" s="702">
        <v>11.0</v>
      </c>
      <c r="E140" s="703"/>
      <c r="F140" s="897"/>
      <c r="G140" s="897"/>
      <c r="H140" s="659"/>
      <c r="I140" s="659"/>
      <c r="J140" s="659"/>
      <c r="K140" s="659"/>
      <c r="L140" s="659"/>
      <c r="M140" s="659"/>
      <c r="N140" s="949"/>
      <c r="O140" s="951"/>
      <c r="P140" s="951"/>
      <c r="Q140" s="659"/>
      <c r="R140" s="649"/>
      <c r="S140" s="649"/>
      <c r="T140" s="659"/>
      <c r="U140" s="659"/>
      <c r="V140" s="659"/>
      <c r="W140" s="659"/>
      <c r="X140" s="659"/>
      <c r="Y140" s="659"/>
      <c r="Z140" s="659"/>
      <c r="AA140" s="659"/>
      <c r="AB140" s="659"/>
      <c r="AC140" s="659"/>
      <c r="AD140" s="659"/>
      <c r="AE140" s="659"/>
      <c r="AF140" s="659"/>
      <c r="AG140" s="659"/>
      <c r="AH140" s="659"/>
      <c r="AI140" s="659"/>
      <c r="AJ140" s="659"/>
      <c r="AK140" s="659"/>
      <c r="AL140" s="659"/>
      <c r="AM140" s="659"/>
      <c r="AN140" s="659"/>
      <c r="AO140" s="659"/>
      <c r="AP140" s="659"/>
      <c r="AQ140" s="746"/>
    </row>
    <row r="141">
      <c r="A141" s="654"/>
      <c r="B141" s="686" t="s">
        <v>516</v>
      </c>
      <c r="C141" s="687">
        <v>10.0</v>
      </c>
      <c r="D141" s="702">
        <v>11.0</v>
      </c>
      <c r="E141" s="703"/>
      <c r="F141" s="897"/>
      <c r="G141" s="897"/>
      <c r="H141" s="659"/>
      <c r="I141" s="659"/>
      <c r="J141" s="659"/>
      <c r="K141" s="659"/>
      <c r="L141" s="659"/>
      <c r="M141" s="659"/>
      <c r="N141" s="949"/>
      <c r="O141" s="951"/>
      <c r="P141" s="951"/>
      <c r="Q141" s="659"/>
      <c r="R141" s="649"/>
      <c r="S141" s="649"/>
      <c r="T141" s="659"/>
      <c r="U141" s="659"/>
      <c r="V141" s="659"/>
      <c r="W141" s="659"/>
      <c r="X141" s="659"/>
      <c r="Y141" s="659"/>
      <c r="Z141" s="659"/>
      <c r="AA141" s="659"/>
      <c r="AB141" s="659"/>
      <c r="AC141" s="659"/>
      <c r="AD141" s="659"/>
      <c r="AE141" s="659"/>
      <c r="AF141" s="659"/>
      <c r="AG141" s="659"/>
      <c r="AH141" s="659"/>
      <c r="AI141" s="659"/>
      <c r="AJ141" s="659"/>
      <c r="AK141" s="659"/>
      <c r="AL141" s="659"/>
      <c r="AM141" s="659"/>
      <c r="AN141" s="659"/>
      <c r="AO141" s="659"/>
      <c r="AP141" s="659"/>
      <c r="AQ141" s="746"/>
    </row>
    <row r="142">
      <c r="A142" s="654"/>
      <c r="B142" s="686" t="s">
        <v>517</v>
      </c>
      <c r="C142" s="687">
        <v>10.0</v>
      </c>
      <c r="D142" s="702">
        <v>12.0</v>
      </c>
      <c r="E142" s="703"/>
      <c r="F142" s="897"/>
      <c r="G142" s="897"/>
      <c r="H142" s="659"/>
      <c r="I142" s="659"/>
      <c r="J142" s="659"/>
      <c r="K142" s="659"/>
      <c r="L142" s="659"/>
      <c r="M142" s="659"/>
      <c r="N142" s="949"/>
      <c r="O142" s="951"/>
      <c r="P142" s="951"/>
      <c r="Q142" s="659"/>
      <c r="R142" s="649"/>
      <c r="S142" s="649"/>
      <c r="T142" s="659"/>
      <c r="U142" s="659"/>
      <c r="V142" s="659"/>
      <c r="W142" s="659"/>
      <c r="X142" s="659"/>
      <c r="Y142" s="659"/>
      <c r="Z142" s="659"/>
      <c r="AA142" s="659"/>
      <c r="AB142" s="659"/>
      <c r="AC142" s="659"/>
      <c r="AD142" s="659"/>
      <c r="AE142" s="659"/>
      <c r="AF142" s="659"/>
      <c r="AG142" s="659"/>
      <c r="AH142" s="659"/>
      <c r="AI142" s="659"/>
      <c r="AJ142" s="659"/>
      <c r="AK142" s="659"/>
      <c r="AL142" s="659"/>
      <c r="AM142" s="659"/>
      <c r="AN142" s="659"/>
      <c r="AO142" s="659"/>
      <c r="AP142" s="659"/>
      <c r="AQ142" s="746"/>
    </row>
    <row r="143">
      <c r="A143" s="654"/>
      <c r="B143" s="704" t="s">
        <v>518</v>
      </c>
      <c r="C143" s="687">
        <v>10.0</v>
      </c>
      <c r="D143" s="702">
        <v>11.0</v>
      </c>
      <c r="E143" s="703"/>
      <c r="F143" s="897"/>
      <c r="G143" s="897"/>
      <c r="H143" s="659"/>
      <c r="I143" s="659"/>
      <c r="J143" s="659"/>
      <c r="K143" s="659"/>
      <c r="L143" s="659"/>
      <c r="M143" s="659"/>
      <c r="N143" s="949"/>
      <c r="O143" s="951"/>
      <c r="P143" s="951"/>
      <c r="Q143" s="659"/>
      <c r="R143" s="649"/>
      <c r="S143" s="649"/>
      <c r="T143" s="659"/>
      <c r="U143" s="659"/>
      <c r="V143" s="659"/>
      <c r="W143" s="659"/>
      <c r="X143" s="659"/>
      <c r="Y143" s="659"/>
      <c r="Z143" s="659"/>
      <c r="AA143" s="659"/>
      <c r="AB143" s="659"/>
      <c r="AC143" s="659"/>
      <c r="AD143" s="659"/>
      <c r="AE143" s="659"/>
      <c r="AF143" s="659"/>
      <c r="AG143" s="659"/>
      <c r="AH143" s="659"/>
      <c r="AI143" s="659"/>
      <c r="AJ143" s="659"/>
      <c r="AK143" s="659"/>
      <c r="AL143" s="659"/>
      <c r="AM143" s="659"/>
      <c r="AN143" s="659"/>
      <c r="AO143" s="659"/>
      <c r="AP143" s="659"/>
      <c r="AQ143" s="746"/>
    </row>
    <row r="144">
      <c r="A144" s="654"/>
      <c r="B144" s="719" t="s">
        <v>146</v>
      </c>
      <c r="C144" s="720">
        <v>10.0</v>
      </c>
      <c r="D144" s="721">
        <v>11.0</v>
      </c>
      <c r="E144" s="703"/>
      <c r="F144" s="897"/>
      <c r="G144" s="897"/>
      <c r="H144" s="659"/>
      <c r="I144" s="659"/>
      <c r="J144" s="659"/>
      <c r="K144" s="659"/>
      <c r="L144" s="659"/>
      <c r="M144" s="659"/>
      <c r="N144" s="949"/>
      <c r="O144" s="951"/>
      <c r="P144" s="951"/>
      <c r="Q144" s="659"/>
      <c r="R144" s="649"/>
      <c r="S144" s="649"/>
      <c r="T144" s="659"/>
      <c r="U144" s="659"/>
      <c r="V144" s="659"/>
      <c r="W144" s="659"/>
      <c r="X144" s="659"/>
      <c r="Y144" s="659"/>
      <c r="Z144" s="659"/>
      <c r="AA144" s="659"/>
      <c r="AB144" s="659"/>
      <c r="AC144" s="659"/>
      <c r="AD144" s="659"/>
      <c r="AE144" s="659"/>
      <c r="AF144" s="659"/>
      <c r="AG144" s="659"/>
      <c r="AH144" s="659"/>
      <c r="AI144" s="659"/>
      <c r="AJ144" s="659"/>
      <c r="AK144" s="659"/>
      <c r="AL144" s="659"/>
      <c r="AM144" s="659"/>
      <c r="AN144" s="659"/>
      <c r="AO144" s="659"/>
      <c r="AP144" s="659"/>
      <c r="AQ144" s="746"/>
    </row>
    <row r="145">
      <c r="A145" s="654"/>
      <c r="B145" s="686" t="s">
        <v>519</v>
      </c>
      <c r="C145" s="687">
        <v>10.0</v>
      </c>
      <c r="D145" s="702">
        <v>11.0</v>
      </c>
      <c r="E145" s="703"/>
      <c r="F145" s="897"/>
      <c r="G145" s="897"/>
      <c r="H145" s="659"/>
      <c r="I145" s="659"/>
      <c r="J145" s="659"/>
      <c r="K145" s="659"/>
      <c r="L145" s="659"/>
      <c r="M145" s="659"/>
      <c r="N145" s="949"/>
      <c r="O145" s="951"/>
      <c r="P145" s="951"/>
      <c r="Q145" s="659"/>
      <c r="R145" s="649"/>
      <c r="S145" s="649"/>
      <c r="T145" s="659"/>
      <c r="U145" s="659"/>
      <c r="V145" s="659"/>
      <c r="W145" s="659"/>
      <c r="X145" s="659"/>
      <c r="Y145" s="659"/>
      <c r="Z145" s="659"/>
      <c r="AA145" s="659"/>
      <c r="AB145" s="659"/>
      <c r="AC145" s="659"/>
      <c r="AD145" s="659"/>
      <c r="AE145" s="659"/>
      <c r="AF145" s="659"/>
      <c r="AG145" s="659"/>
      <c r="AH145" s="659"/>
      <c r="AI145" s="659"/>
      <c r="AJ145" s="659"/>
      <c r="AK145" s="659"/>
      <c r="AL145" s="659"/>
      <c r="AM145" s="659"/>
      <c r="AN145" s="659"/>
      <c r="AO145" s="659"/>
      <c r="AP145" s="659"/>
      <c r="AQ145" s="746"/>
    </row>
    <row r="146">
      <c r="A146" s="654"/>
      <c r="B146" s="686" t="s">
        <v>520</v>
      </c>
      <c r="C146" s="687">
        <v>10.0</v>
      </c>
      <c r="D146" s="702">
        <v>11.0</v>
      </c>
      <c r="E146" s="703"/>
      <c r="F146" s="897"/>
      <c r="G146" s="897"/>
      <c r="H146" s="659"/>
      <c r="I146" s="659"/>
      <c r="J146" s="659"/>
      <c r="K146" s="659"/>
      <c r="L146" s="659"/>
      <c r="M146" s="659"/>
      <c r="N146" s="949"/>
      <c r="O146" s="951"/>
      <c r="P146" s="951"/>
      <c r="Q146" s="659"/>
      <c r="R146" s="649"/>
      <c r="S146" s="649"/>
      <c r="T146" s="659"/>
      <c r="U146" s="659"/>
      <c r="V146" s="659"/>
      <c r="W146" s="659"/>
      <c r="X146" s="649"/>
      <c r="Y146" s="659"/>
      <c r="Z146" s="659"/>
      <c r="AA146" s="659"/>
      <c r="AB146" s="659"/>
      <c r="AC146" s="659"/>
      <c r="AD146" s="659"/>
      <c r="AE146" s="659"/>
      <c r="AF146" s="659"/>
      <c r="AG146" s="659"/>
      <c r="AH146" s="659"/>
      <c r="AI146" s="659"/>
      <c r="AJ146" s="659"/>
      <c r="AK146" s="659"/>
      <c r="AL146" s="659"/>
      <c r="AM146" s="659"/>
      <c r="AN146" s="659"/>
      <c r="AO146" s="659"/>
      <c r="AP146" s="659"/>
      <c r="AQ146" s="746"/>
    </row>
    <row r="147">
      <c r="A147" s="736"/>
      <c r="B147" s="719" t="s">
        <v>521</v>
      </c>
      <c r="C147" s="720">
        <v>10.0</v>
      </c>
      <c r="D147" s="721">
        <v>11.0</v>
      </c>
      <c r="E147" s="703"/>
      <c r="F147" s="897"/>
      <c r="G147" s="897"/>
      <c r="H147" s="659"/>
      <c r="I147" s="659"/>
      <c r="J147" s="659"/>
      <c r="K147" s="659"/>
      <c r="L147" s="659"/>
      <c r="M147" s="659"/>
      <c r="N147" s="949"/>
      <c r="O147" s="951"/>
      <c r="P147" s="951"/>
      <c r="Q147" s="659"/>
      <c r="R147" s="649"/>
      <c r="S147" s="649"/>
      <c r="T147" s="659"/>
      <c r="U147" s="659"/>
      <c r="V147" s="659"/>
      <c r="W147" s="659"/>
      <c r="X147" s="659"/>
      <c r="Y147" s="659"/>
      <c r="Z147" s="659"/>
      <c r="AA147" s="659"/>
      <c r="AB147" s="659"/>
      <c r="AC147" s="659"/>
      <c r="AD147" s="659"/>
      <c r="AE147" s="659"/>
      <c r="AF147" s="659"/>
      <c r="AG147" s="659"/>
      <c r="AH147" s="659"/>
      <c r="AI147" s="659"/>
      <c r="AJ147" s="659"/>
      <c r="AK147" s="659"/>
      <c r="AL147" s="659"/>
      <c r="AM147" s="659"/>
      <c r="AN147" s="659"/>
      <c r="AO147" s="659"/>
      <c r="AP147" s="659"/>
      <c r="AQ147" s="746"/>
    </row>
    <row r="148">
      <c r="A148" s="654"/>
      <c r="B148" s="719" t="s">
        <v>384</v>
      </c>
      <c r="C148" s="720">
        <v>10.0</v>
      </c>
      <c r="D148" s="721">
        <v>11.0</v>
      </c>
      <c r="E148" s="703"/>
      <c r="F148" s="897"/>
      <c r="G148" s="897"/>
      <c r="H148" s="659"/>
      <c r="I148" s="659"/>
      <c r="J148" s="659"/>
      <c r="K148" s="659"/>
      <c r="L148" s="659"/>
      <c r="M148" s="659"/>
      <c r="N148" s="949"/>
      <c r="O148" s="951"/>
      <c r="P148" s="951"/>
      <c r="Q148" s="659"/>
      <c r="R148" s="649"/>
      <c r="S148" s="649"/>
      <c r="T148" s="659"/>
      <c r="U148" s="659"/>
      <c r="V148" s="659"/>
      <c r="W148" s="659"/>
      <c r="X148" s="659"/>
      <c r="Y148" s="659"/>
      <c r="Z148" s="659"/>
      <c r="AA148" s="659"/>
      <c r="AB148" s="659"/>
      <c r="AC148" s="659"/>
      <c r="AD148" s="659"/>
      <c r="AE148" s="659"/>
      <c r="AF148" s="659"/>
      <c r="AG148" s="659"/>
      <c r="AH148" s="659"/>
      <c r="AI148" s="659"/>
      <c r="AJ148" s="659"/>
      <c r="AK148" s="659"/>
      <c r="AL148" s="659"/>
      <c r="AM148" s="659"/>
      <c r="AN148" s="659"/>
      <c r="AO148" s="659"/>
      <c r="AP148" s="659"/>
      <c r="AQ148" s="746"/>
    </row>
    <row r="149">
      <c r="A149" s="654"/>
      <c r="B149" s="686" t="s">
        <v>523</v>
      </c>
      <c r="C149" s="687">
        <v>9.0</v>
      </c>
      <c r="D149" s="702">
        <v>10.0</v>
      </c>
      <c r="E149" s="703"/>
      <c r="F149" s="897"/>
      <c r="G149" s="897"/>
      <c r="H149" s="659"/>
      <c r="I149" s="659"/>
      <c r="J149" s="659"/>
      <c r="K149" s="659"/>
      <c r="L149" s="659"/>
      <c r="M149" s="659"/>
      <c r="N149" s="949"/>
      <c r="O149" s="951"/>
      <c r="P149" s="951"/>
      <c r="Q149" s="659"/>
      <c r="R149" s="649"/>
      <c r="S149" s="649"/>
      <c r="T149" s="659"/>
      <c r="U149" s="659"/>
      <c r="V149" s="659"/>
      <c r="W149" s="659"/>
      <c r="X149" s="659"/>
      <c r="Y149" s="659"/>
      <c r="Z149" s="659"/>
      <c r="AA149" s="659"/>
      <c r="AB149" s="659"/>
      <c r="AC149" s="659"/>
      <c r="AD149" s="659"/>
      <c r="AE149" s="659"/>
      <c r="AF149" s="659"/>
      <c r="AG149" s="659"/>
      <c r="AH149" s="659"/>
      <c r="AI149" s="659"/>
      <c r="AJ149" s="659"/>
      <c r="AK149" s="659"/>
      <c r="AL149" s="659"/>
      <c r="AM149" s="659"/>
      <c r="AN149" s="659"/>
      <c r="AO149" s="659"/>
      <c r="AP149" s="659"/>
      <c r="AQ149" s="746"/>
    </row>
    <row r="150">
      <c r="A150" s="654"/>
      <c r="B150" s="686" t="s">
        <v>527</v>
      </c>
      <c r="C150" s="687">
        <v>9.0</v>
      </c>
      <c r="D150" s="702">
        <v>10.0</v>
      </c>
      <c r="E150" s="703"/>
      <c r="F150" s="897"/>
      <c r="G150" s="897"/>
      <c r="H150" s="659"/>
      <c r="I150" s="659"/>
      <c r="J150" s="659"/>
      <c r="K150" s="659"/>
      <c r="L150" s="659"/>
      <c r="M150" s="659"/>
      <c r="N150" s="949"/>
      <c r="O150" s="951"/>
      <c r="P150" s="951"/>
      <c r="Q150" s="659"/>
      <c r="R150" s="649"/>
      <c r="S150" s="649"/>
      <c r="T150" s="659"/>
      <c r="U150" s="659"/>
      <c r="V150" s="659"/>
      <c r="W150" s="659"/>
      <c r="X150" s="659"/>
      <c r="Y150" s="659"/>
      <c r="Z150" s="659"/>
      <c r="AA150" s="659"/>
      <c r="AB150" s="659"/>
      <c r="AC150" s="659"/>
      <c r="AD150" s="659"/>
      <c r="AE150" s="659"/>
      <c r="AF150" s="659"/>
      <c r="AG150" s="659"/>
      <c r="AH150" s="659"/>
      <c r="AI150" s="659"/>
      <c r="AJ150" s="659"/>
      <c r="AK150" s="659"/>
      <c r="AL150" s="659"/>
      <c r="AM150" s="659"/>
      <c r="AN150" s="659"/>
      <c r="AO150" s="659"/>
      <c r="AP150" s="659"/>
      <c r="AQ150" s="746"/>
    </row>
    <row r="151">
      <c r="A151" s="654"/>
      <c r="B151" s="686" t="s">
        <v>529</v>
      </c>
      <c r="C151" s="687">
        <v>9.0</v>
      </c>
      <c r="D151" s="702">
        <v>10.0</v>
      </c>
      <c r="E151" s="703"/>
      <c r="F151" s="897"/>
      <c r="G151" s="897"/>
      <c r="H151" s="659"/>
      <c r="I151" s="659"/>
      <c r="J151" s="659"/>
      <c r="K151" s="659"/>
      <c r="L151" s="659"/>
      <c r="M151" s="659"/>
      <c r="N151" s="949"/>
      <c r="O151" s="951"/>
      <c r="P151" s="951"/>
      <c r="Q151" s="659"/>
      <c r="R151" s="649"/>
      <c r="S151" s="649"/>
      <c r="T151" s="659"/>
      <c r="U151" s="659"/>
      <c r="V151" s="659"/>
      <c r="W151" s="659"/>
      <c r="X151" s="659"/>
      <c r="Y151" s="659"/>
      <c r="Z151" s="659"/>
      <c r="AA151" s="659"/>
      <c r="AB151" s="659"/>
      <c r="AC151" s="659"/>
      <c r="AD151" s="659"/>
      <c r="AE151" s="659"/>
      <c r="AF151" s="659"/>
      <c r="AG151" s="659"/>
      <c r="AH151" s="659"/>
      <c r="AI151" s="659"/>
      <c r="AJ151" s="659"/>
      <c r="AK151" s="659"/>
      <c r="AL151" s="659"/>
      <c r="AM151" s="659"/>
      <c r="AN151" s="659"/>
      <c r="AO151" s="659"/>
      <c r="AP151" s="659"/>
      <c r="AQ151" s="746"/>
    </row>
    <row r="152">
      <c r="A152" s="654"/>
      <c r="B152" s="686" t="s">
        <v>530</v>
      </c>
      <c r="C152" s="687">
        <v>9.0</v>
      </c>
      <c r="D152" s="702">
        <v>10.0</v>
      </c>
      <c r="E152" s="703"/>
      <c r="F152" s="897"/>
      <c r="G152" s="897"/>
      <c r="H152" s="659"/>
      <c r="I152" s="659"/>
      <c r="J152" s="659"/>
      <c r="K152" s="659"/>
      <c r="L152" s="659"/>
      <c r="M152" s="659"/>
      <c r="N152" s="949"/>
      <c r="O152" s="951"/>
      <c r="P152" s="951"/>
      <c r="Q152" s="659"/>
      <c r="R152" s="649"/>
      <c r="S152" s="649"/>
      <c r="T152" s="659"/>
      <c r="U152" s="659"/>
      <c r="V152" s="659"/>
      <c r="W152" s="659"/>
      <c r="X152" s="659"/>
      <c r="Y152" s="659"/>
      <c r="Z152" s="659"/>
      <c r="AA152" s="659"/>
      <c r="AB152" s="659"/>
      <c r="AC152" s="659"/>
      <c r="AD152" s="659"/>
      <c r="AE152" s="659"/>
      <c r="AF152" s="659"/>
      <c r="AG152" s="659"/>
      <c r="AH152" s="659"/>
      <c r="AI152" s="659"/>
      <c r="AJ152" s="659"/>
      <c r="AK152" s="659"/>
      <c r="AL152" s="659"/>
      <c r="AM152" s="659"/>
      <c r="AN152" s="659"/>
      <c r="AO152" s="659"/>
      <c r="AP152" s="659"/>
      <c r="AQ152" s="746"/>
    </row>
    <row r="153">
      <c r="A153" s="654"/>
      <c r="B153" s="686" t="s">
        <v>531</v>
      </c>
      <c r="C153" s="687">
        <v>9.0</v>
      </c>
      <c r="D153" s="702">
        <v>12.0</v>
      </c>
      <c r="E153" s="703"/>
      <c r="F153" s="897"/>
      <c r="G153" s="897"/>
      <c r="H153" s="659"/>
      <c r="I153" s="659"/>
      <c r="J153" s="659"/>
      <c r="K153" s="659"/>
      <c r="L153" s="659"/>
      <c r="M153" s="659"/>
      <c r="N153" s="949"/>
      <c r="O153" s="951"/>
      <c r="P153" s="951"/>
      <c r="Q153" s="659"/>
      <c r="R153" s="649"/>
      <c r="S153" s="649"/>
      <c r="T153" s="659"/>
      <c r="U153" s="659"/>
      <c r="V153" s="659"/>
      <c r="W153" s="659"/>
      <c r="X153" s="659"/>
      <c r="Y153" s="659"/>
      <c r="Z153" s="659"/>
      <c r="AA153" s="659"/>
      <c r="AB153" s="659"/>
      <c r="AC153" s="659"/>
      <c r="AD153" s="659"/>
      <c r="AE153" s="659"/>
      <c r="AF153" s="659"/>
      <c r="AG153" s="659"/>
      <c r="AH153" s="659"/>
      <c r="AI153" s="659"/>
      <c r="AJ153" s="659"/>
      <c r="AK153" s="659"/>
      <c r="AL153" s="659"/>
      <c r="AM153" s="659"/>
      <c r="AN153" s="659"/>
      <c r="AO153" s="659"/>
      <c r="AP153" s="659"/>
      <c r="AQ153" s="746"/>
    </row>
    <row r="154">
      <c r="A154" s="654"/>
      <c r="B154" s="704" t="s">
        <v>532</v>
      </c>
      <c r="C154" s="687">
        <v>9.0</v>
      </c>
      <c r="D154" s="702">
        <v>11.0</v>
      </c>
      <c r="E154" s="703"/>
      <c r="F154" s="897"/>
      <c r="G154" s="897"/>
      <c r="H154" s="659"/>
      <c r="I154" s="659"/>
      <c r="J154" s="659"/>
      <c r="K154" s="659"/>
      <c r="L154" s="659"/>
      <c r="M154" s="659"/>
      <c r="N154" s="949"/>
      <c r="O154" s="951"/>
      <c r="P154" s="951"/>
      <c r="Q154" s="659"/>
      <c r="R154" s="649"/>
      <c r="S154" s="649"/>
      <c r="T154" s="659"/>
      <c r="U154" s="659"/>
      <c r="V154" s="659"/>
      <c r="W154" s="659"/>
      <c r="X154" s="659"/>
      <c r="Y154" s="659"/>
      <c r="Z154" s="659"/>
      <c r="AA154" s="659"/>
      <c r="AB154" s="659"/>
      <c r="AC154" s="659"/>
      <c r="AD154" s="659"/>
      <c r="AE154" s="659"/>
      <c r="AF154" s="659"/>
      <c r="AG154" s="659"/>
      <c r="AH154" s="659"/>
      <c r="AI154" s="659"/>
      <c r="AJ154" s="659"/>
      <c r="AK154" s="659"/>
      <c r="AL154" s="659"/>
      <c r="AM154" s="659"/>
      <c r="AN154" s="659"/>
      <c r="AO154" s="659"/>
      <c r="AP154" s="659"/>
      <c r="AQ154" s="746"/>
    </row>
    <row r="155">
      <c r="A155" s="654"/>
      <c r="B155" s="704" t="s">
        <v>533</v>
      </c>
      <c r="C155" s="687">
        <v>9.0</v>
      </c>
      <c r="D155" s="702">
        <v>10.0</v>
      </c>
      <c r="E155" s="703"/>
      <c r="F155" s="897"/>
      <c r="G155" s="897"/>
      <c r="H155" s="659"/>
      <c r="I155" s="659"/>
      <c r="J155" s="659"/>
      <c r="K155" s="659"/>
      <c r="L155" s="659"/>
      <c r="M155" s="659"/>
      <c r="N155" s="949"/>
      <c r="O155" s="951"/>
      <c r="P155" s="951"/>
      <c r="Q155" s="659"/>
      <c r="R155" s="649"/>
      <c r="S155" s="649"/>
      <c r="T155" s="659"/>
      <c r="U155" s="659"/>
      <c r="V155" s="659"/>
      <c r="W155" s="659"/>
      <c r="X155" s="659"/>
      <c r="Y155" s="659"/>
      <c r="Z155" s="659"/>
      <c r="AA155" s="659"/>
      <c r="AB155" s="659"/>
      <c r="AC155" s="659"/>
      <c r="AD155" s="659"/>
      <c r="AE155" s="659"/>
      <c r="AF155" s="659"/>
      <c r="AG155" s="659"/>
      <c r="AH155" s="659"/>
      <c r="AI155" s="659"/>
      <c r="AJ155" s="659"/>
      <c r="AK155" s="659"/>
      <c r="AL155" s="659"/>
      <c r="AM155" s="659"/>
      <c r="AN155" s="659"/>
      <c r="AO155" s="659"/>
      <c r="AP155" s="659"/>
      <c r="AQ155" s="746"/>
    </row>
    <row r="156">
      <c r="A156" s="654"/>
      <c r="B156" s="704" t="s">
        <v>534</v>
      </c>
      <c r="C156" s="687">
        <v>9.0</v>
      </c>
      <c r="D156" s="702">
        <v>10.0</v>
      </c>
      <c r="E156" s="703"/>
      <c r="F156" s="897"/>
      <c r="G156" s="897"/>
      <c r="H156" s="659"/>
      <c r="I156" s="659"/>
      <c r="J156" s="659"/>
      <c r="K156" s="659"/>
      <c r="L156" s="659"/>
      <c r="M156" s="659"/>
      <c r="N156" s="949"/>
      <c r="O156" s="951"/>
      <c r="P156" s="951"/>
      <c r="Q156" s="659"/>
      <c r="R156" s="649"/>
      <c r="S156" s="649"/>
      <c r="T156" s="659"/>
      <c r="U156" s="659"/>
      <c r="V156" s="659"/>
      <c r="W156" s="659"/>
      <c r="X156" s="659"/>
      <c r="Y156" s="659"/>
      <c r="Z156" s="659"/>
      <c r="AA156" s="659"/>
      <c r="AB156" s="659"/>
      <c r="AC156" s="659"/>
      <c r="AD156" s="659"/>
      <c r="AE156" s="659"/>
      <c r="AF156" s="659"/>
      <c r="AG156" s="659"/>
      <c r="AH156" s="659"/>
      <c r="AI156" s="659"/>
      <c r="AJ156" s="659"/>
      <c r="AK156" s="659"/>
      <c r="AL156" s="659"/>
      <c r="AM156" s="659"/>
      <c r="AN156" s="659"/>
      <c r="AO156" s="659"/>
      <c r="AP156" s="659"/>
      <c r="AQ156" s="746"/>
    </row>
    <row r="157">
      <c r="A157" s="654"/>
      <c r="B157" s="704" t="s">
        <v>535</v>
      </c>
      <c r="C157" s="687">
        <v>9.0</v>
      </c>
      <c r="D157" s="702">
        <v>11.0</v>
      </c>
      <c r="E157" s="703"/>
      <c r="F157" s="897"/>
      <c r="G157" s="897"/>
      <c r="H157" s="659"/>
      <c r="I157" s="659"/>
      <c r="J157" s="659"/>
      <c r="K157" s="659"/>
      <c r="L157" s="659"/>
      <c r="M157" s="659"/>
      <c r="N157" s="949"/>
      <c r="O157" s="951"/>
      <c r="P157" s="951"/>
      <c r="Q157" s="659"/>
      <c r="R157" s="659"/>
      <c r="S157" s="659"/>
      <c r="T157" s="659"/>
      <c r="U157" s="659"/>
      <c r="V157" s="659"/>
      <c r="W157" s="659"/>
      <c r="X157" s="649"/>
      <c r="Y157" s="659"/>
      <c r="Z157" s="659"/>
      <c r="AA157" s="659"/>
      <c r="AB157" s="659"/>
      <c r="AC157" s="659"/>
      <c r="AD157" s="659"/>
      <c r="AE157" s="659"/>
      <c r="AF157" s="659"/>
      <c r="AG157" s="659"/>
      <c r="AH157" s="659"/>
      <c r="AI157" s="659"/>
      <c r="AJ157" s="659"/>
      <c r="AK157" s="659"/>
      <c r="AL157" s="659"/>
      <c r="AM157" s="659"/>
      <c r="AN157" s="659"/>
      <c r="AO157" s="659"/>
      <c r="AP157" s="659"/>
      <c r="AQ157" s="746"/>
    </row>
    <row r="158">
      <c r="A158" s="654"/>
      <c r="B158" s="738" t="s">
        <v>536</v>
      </c>
      <c r="C158" s="720">
        <v>9.0</v>
      </c>
      <c r="D158" s="721">
        <v>13.0</v>
      </c>
      <c r="E158" s="703"/>
      <c r="F158" s="897"/>
      <c r="G158" s="897"/>
      <c r="H158" s="659"/>
      <c r="I158" s="659"/>
      <c r="J158" s="659"/>
      <c r="K158" s="659"/>
      <c r="L158" s="659"/>
      <c r="M158" s="659"/>
      <c r="N158" s="949"/>
      <c r="O158" s="951"/>
      <c r="P158" s="951"/>
      <c r="Q158" s="659"/>
      <c r="R158" s="659"/>
      <c r="S158" s="659"/>
      <c r="T158" s="659"/>
      <c r="U158" s="659"/>
      <c r="V158" s="659"/>
      <c r="W158" s="659"/>
      <c r="X158" s="659"/>
      <c r="Y158" s="659"/>
      <c r="Z158" s="659"/>
      <c r="AA158" s="659"/>
      <c r="AB158" s="659"/>
      <c r="AC158" s="659"/>
      <c r="AD158" s="659"/>
      <c r="AE158" s="659"/>
      <c r="AF158" s="659"/>
      <c r="AG158" s="659"/>
      <c r="AH158" s="659"/>
      <c r="AI158" s="659"/>
      <c r="AJ158" s="659"/>
      <c r="AK158" s="659"/>
      <c r="AL158" s="659"/>
      <c r="AM158" s="659"/>
      <c r="AN158" s="659"/>
      <c r="AO158" s="659"/>
      <c r="AP158" s="659"/>
      <c r="AQ158" s="746"/>
    </row>
    <row r="159">
      <c r="A159" s="654"/>
      <c r="B159" s="704" t="s">
        <v>537</v>
      </c>
      <c r="C159" s="687">
        <v>9.0</v>
      </c>
      <c r="D159" s="702">
        <v>10.0</v>
      </c>
      <c r="E159" s="703"/>
      <c r="F159" s="897"/>
      <c r="G159" s="897"/>
      <c r="H159" s="659"/>
      <c r="I159" s="659"/>
      <c r="J159" s="659"/>
      <c r="K159" s="659"/>
      <c r="L159" s="659"/>
      <c r="M159" s="659"/>
      <c r="N159" s="949"/>
      <c r="O159" s="951"/>
      <c r="P159" s="951"/>
      <c r="Q159" s="659"/>
      <c r="R159" s="659"/>
      <c r="S159" s="659"/>
      <c r="T159" s="659"/>
      <c r="U159" s="659"/>
      <c r="V159" s="659"/>
      <c r="W159" s="659"/>
      <c r="X159" s="659"/>
      <c r="Y159" s="659"/>
      <c r="Z159" s="659"/>
      <c r="AA159" s="659"/>
      <c r="AB159" s="659"/>
      <c r="AC159" s="659"/>
      <c r="AD159" s="659"/>
      <c r="AE159" s="659"/>
      <c r="AF159" s="659"/>
      <c r="AG159" s="659"/>
      <c r="AH159" s="659"/>
      <c r="AI159" s="659"/>
      <c r="AJ159" s="659"/>
      <c r="AK159" s="659"/>
      <c r="AL159" s="659"/>
      <c r="AM159" s="659"/>
      <c r="AN159" s="659"/>
      <c r="AO159" s="659"/>
      <c r="AP159" s="659"/>
      <c r="AQ159" s="746"/>
    </row>
    <row r="160">
      <c r="A160" s="654"/>
      <c r="B160" s="704" t="s">
        <v>538</v>
      </c>
      <c r="C160" s="687">
        <v>9.0</v>
      </c>
      <c r="D160" s="702">
        <v>11.0</v>
      </c>
      <c r="E160" s="703"/>
      <c r="F160" s="897"/>
      <c r="G160" s="897"/>
      <c r="H160" s="659"/>
      <c r="I160" s="659"/>
      <c r="J160" s="659"/>
      <c r="K160" s="659"/>
      <c r="L160" s="659"/>
      <c r="M160" s="659"/>
      <c r="N160" s="949"/>
      <c r="O160" s="951"/>
      <c r="P160" s="951"/>
      <c r="Q160" s="659"/>
      <c r="R160" s="659"/>
      <c r="S160" s="659"/>
      <c r="T160" s="659"/>
      <c r="U160" s="659"/>
      <c r="V160" s="659"/>
      <c r="W160" s="659"/>
      <c r="X160" s="659"/>
      <c r="Y160" s="659"/>
      <c r="Z160" s="659"/>
      <c r="AA160" s="659"/>
      <c r="AB160" s="659"/>
      <c r="AC160" s="659"/>
      <c r="AD160" s="659"/>
      <c r="AE160" s="659"/>
      <c r="AF160" s="659"/>
      <c r="AG160" s="659"/>
      <c r="AH160" s="659"/>
      <c r="AI160" s="659"/>
      <c r="AJ160" s="659"/>
      <c r="AK160" s="659"/>
      <c r="AL160" s="659"/>
      <c r="AM160" s="659"/>
      <c r="AN160" s="659"/>
      <c r="AO160" s="659"/>
      <c r="AP160" s="659"/>
      <c r="AQ160" s="746"/>
    </row>
    <row r="161">
      <c r="A161" s="654"/>
      <c r="B161" s="704" t="s">
        <v>539</v>
      </c>
      <c r="C161" s="687">
        <v>9.0</v>
      </c>
      <c r="D161" s="702">
        <v>10.0</v>
      </c>
      <c r="E161" s="703"/>
      <c r="F161" s="897"/>
      <c r="G161" s="897"/>
      <c r="H161" s="659"/>
      <c r="I161" s="659"/>
      <c r="J161" s="659"/>
      <c r="K161" s="659"/>
      <c r="L161" s="659"/>
      <c r="M161" s="659"/>
      <c r="N161" s="949"/>
      <c r="O161" s="951"/>
      <c r="P161" s="951"/>
      <c r="Q161" s="659"/>
      <c r="R161" s="659"/>
      <c r="S161" s="659"/>
      <c r="T161" s="659"/>
      <c r="U161" s="659"/>
      <c r="V161" s="659"/>
      <c r="W161" s="659"/>
      <c r="X161" s="659"/>
      <c r="Y161" s="659"/>
      <c r="Z161" s="659"/>
      <c r="AA161" s="659"/>
      <c r="AB161" s="659"/>
      <c r="AC161" s="659"/>
      <c r="AD161" s="659"/>
      <c r="AE161" s="659"/>
      <c r="AF161" s="659"/>
      <c r="AG161" s="659"/>
      <c r="AH161" s="659"/>
      <c r="AI161" s="659"/>
      <c r="AJ161" s="659"/>
      <c r="AK161" s="659"/>
      <c r="AL161" s="659"/>
      <c r="AM161" s="659"/>
      <c r="AN161" s="659"/>
      <c r="AO161" s="659"/>
      <c r="AP161" s="659"/>
      <c r="AQ161" s="746"/>
    </row>
    <row r="162">
      <c r="A162" s="654"/>
      <c r="B162" s="686" t="s">
        <v>540</v>
      </c>
      <c r="C162" s="687">
        <v>9.0</v>
      </c>
      <c r="D162" s="702">
        <v>10.0</v>
      </c>
      <c r="E162" s="703"/>
      <c r="F162" s="897"/>
      <c r="G162" s="897"/>
      <c r="H162" s="659"/>
      <c r="I162" s="659"/>
      <c r="J162" s="659"/>
      <c r="K162" s="659"/>
      <c r="L162" s="659"/>
      <c r="M162" s="659"/>
      <c r="N162" s="949"/>
      <c r="O162" s="951"/>
      <c r="P162" s="951"/>
      <c r="Q162" s="659"/>
      <c r="R162" s="659"/>
      <c r="S162" s="659"/>
      <c r="T162" s="659"/>
      <c r="U162" s="659"/>
      <c r="V162" s="659"/>
      <c r="W162" s="659"/>
      <c r="X162" s="659"/>
      <c r="Y162" s="659"/>
      <c r="Z162" s="659"/>
      <c r="AA162" s="659"/>
      <c r="AB162" s="659"/>
      <c r="AC162" s="659"/>
      <c r="AD162" s="659"/>
      <c r="AE162" s="659"/>
      <c r="AF162" s="659"/>
      <c r="AG162" s="659"/>
      <c r="AH162" s="659"/>
      <c r="AI162" s="659"/>
      <c r="AJ162" s="659"/>
      <c r="AK162" s="659"/>
      <c r="AL162" s="659"/>
      <c r="AM162" s="659"/>
      <c r="AN162" s="659"/>
      <c r="AO162" s="659"/>
      <c r="AP162" s="659"/>
      <c r="AQ162" s="746"/>
    </row>
    <row r="163">
      <c r="A163" s="654"/>
      <c r="B163" s="686" t="s">
        <v>541</v>
      </c>
      <c r="C163" s="687">
        <v>9.0</v>
      </c>
      <c r="D163" s="702">
        <v>11.0</v>
      </c>
      <c r="E163" s="703"/>
      <c r="F163" s="897"/>
      <c r="G163" s="897"/>
      <c r="H163" s="659"/>
      <c r="I163" s="659"/>
      <c r="J163" s="659"/>
      <c r="K163" s="659"/>
      <c r="L163" s="659"/>
      <c r="M163" s="659"/>
      <c r="N163" s="949"/>
      <c r="O163" s="951"/>
      <c r="P163" s="951"/>
      <c r="Q163" s="659"/>
      <c r="R163" s="659"/>
      <c r="S163" s="659"/>
      <c r="T163" s="659"/>
      <c r="U163" s="659"/>
      <c r="V163" s="659"/>
      <c r="W163" s="659"/>
      <c r="X163" s="659"/>
      <c r="Y163" s="659"/>
      <c r="Z163" s="659"/>
      <c r="AA163" s="659"/>
      <c r="AB163" s="659"/>
      <c r="AC163" s="659"/>
      <c r="AD163" s="659"/>
      <c r="AE163" s="659"/>
      <c r="AF163" s="659"/>
      <c r="AG163" s="659"/>
      <c r="AH163" s="659"/>
      <c r="AI163" s="659"/>
      <c r="AJ163" s="659"/>
      <c r="AK163" s="659"/>
      <c r="AL163" s="659"/>
      <c r="AM163" s="659"/>
      <c r="AN163" s="659"/>
      <c r="AO163" s="659"/>
      <c r="AP163" s="659"/>
      <c r="AQ163" s="746"/>
    </row>
    <row r="164">
      <c r="A164" s="654"/>
      <c r="B164" s="686" t="s">
        <v>542</v>
      </c>
      <c r="C164" s="687">
        <v>9.0</v>
      </c>
      <c r="D164" s="702">
        <v>10.0</v>
      </c>
      <c r="E164" s="703"/>
      <c r="F164" s="897"/>
      <c r="G164" s="897"/>
      <c r="H164" s="659"/>
      <c r="I164" s="659"/>
      <c r="J164" s="659"/>
      <c r="K164" s="659"/>
      <c r="L164" s="659"/>
      <c r="M164" s="659"/>
      <c r="N164" s="949"/>
      <c r="O164" s="951"/>
      <c r="P164" s="951"/>
      <c r="Q164" s="659"/>
      <c r="R164" s="659"/>
      <c r="S164" s="659"/>
      <c r="T164" s="659"/>
      <c r="U164" s="659"/>
      <c r="V164" s="659"/>
      <c r="W164" s="659"/>
      <c r="X164" s="659"/>
      <c r="Y164" s="659"/>
      <c r="Z164" s="659"/>
      <c r="AA164" s="659"/>
      <c r="AB164" s="659"/>
      <c r="AC164" s="659"/>
      <c r="AD164" s="659"/>
      <c r="AE164" s="659"/>
      <c r="AF164" s="659"/>
      <c r="AG164" s="659"/>
      <c r="AH164" s="659"/>
      <c r="AI164" s="659"/>
      <c r="AJ164" s="659"/>
      <c r="AK164" s="659"/>
      <c r="AL164" s="659"/>
      <c r="AM164" s="659"/>
      <c r="AN164" s="659"/>
      <c r="AO164" s="659"/>
      <c r="AP164" s="659"/>
      <c r="AQ164" s="746"/>
    </row>
    <row r="165">
      <c r="A165" s="654"/>
      <c r="B165" s="719" t="s">
        <v>544</v>
      </c>
      <c r="C165" s="720">
        <v>9.0</v>
      </c>
      <c r="D165" s="721">
        <v>10.0</v>
      </c>
      <c r="E165" s="703"/>
      <c r="F165" s="897"/>
      <c r="G165" s="897"/>
      <c r="H165" s="659"/>
      <c r="I165" s="659"/>
      <c r="J165" s="659"/>
      <c r="K165" s="659"/>
      <c r="L165" s="659"/>
      <c r="M165" s="659"/>
      <c r="N165" s="949"/>
      <c r="O165" s="951"/>
      <c r="P165" s="951"/>
      <c r="Q165" s="659"/>
      <c r="R165" s="659"/>
      <c r="S165" s="659"/>
      <c r="T165" s="659"/>
      <c r="U165" s="659"/>
      <c r="V165" s="659"/>
      <c r="W165" s="659"/>
      <c r="X165" s="659"/>
      <c r="Y165" s="659"/>
      <c r="Z165" s="659"/>
      <c r="AA165" s="659"/>
      <c r="AB165" s="659"/>
      <c r="AC165" s="659"/>
      <c r="AD165" s="659"/>
      <c r="AE165" s="659"/>
      <c r="AF165" s="659"/>
      <c r="AG165" s="659"/>
      <c r="AH165" s="659"/>
      <c r="AI165" s="659"/>
      <c r="AJ165" s="659"/>
      <c r="AK165" s="659"/>
      <c r="AL165" s="659"/>
      <c r="AM165" s="659"/>
      <c r="AN165" s="659"/>
      <c r="AO165" s="659"/>
      <c r="AP165" s="659"/>
      <c r="AQ165" s="746"/>
    </row>
    <row r="166">
      <c r="A166" s="654"/>
      <c r="B166" s="719" t="s">
        <v>545</v>
      </c>
      <c r="C166" s="720">
        <v>9.0</v>
      </c>
      <c r="D166" s="721">
        <v>10.0</v>
      </c>
      <c r="E166" s="703"/>
      <c r="F166" s="897"/>
      <c r="G166" s="897"/>
      <c r="H166" s="659"/>
      <c r="I166" s="659"/>
      <c r="J166" s="659"/>
      <c r="K166" s="659"/>
      <c r="L166" s="659"/>
      <c r="M166" s="659"/>
      <c r="N166" s="949"/>
      <c r="O166" s="951"/>
      <c r="P166" s="951"/>
      <c r="Q166" s="659"/>
      <c r="R166" s="659"/>
      <c r="S166" s="659"/>
      <c r="T166" s="659"/>
      <c r="U166" s="659"/>
      <c r="V166" s="659"/>
      <c r="W166" s="659"/>
      <c r="X166" s="659"/>
      <c r="Y166" s="659"/>
      <c r="Z166" s="659"/>
      <c r="AA166" s="659"/>
      <c r="AB166" s="659"/>
      <c r="AC166" s="659"/>
      <c r="AD166" s="659"/>
      <c r="AE166" s="659"/>
      <c r="AF166" s="659"/>
      <c r="AG166" s="659"/>
      <c r="AH166" s="659"/>
      <c r="AI166" s="659"/>
      <c r="AJ166" s="659"/>
      <c r="AK166" s="659"/>
      <c r="AL166" s="659"/>
      <c r="AM166" s="659"/>
      <c r="AN166" s="659"/>
      <c r="AO166" s="659"/>
      <c r="AP166" s="659"/>
      <c r="AQ166" s="746"/>
    </row>
    <row r="167">
      <c r="A167" s="654"/>
      <c r="B167" s="704" t="s">
        <v>153</v>
      </c>
      <c r="C167" s="687">
        <v>9.0</v>
      </c>
      <c r="D167" s="702">
        <v>10.0</v>
      </c>
      <c r="E167" s="703"/>
      <c r="F167" s="897"/>
      <c r="G167" s="897"/>
      <c r="H167" s="659"/>
      <c r="I167" s="659"/>
      <c r="J167" s="659"/>
      <c r="K167" s="659"/>
      <c r="L167" s="659"/>
      <c r="M167" s="659"/>
      <c r="N167" s="949"/>
      <c r="O167" s="951"/>
      <c r="P167" s="951"/>
      <c r="Q167" s="659"/>
      <c r="R167" s="659"/>
      <c r="S167" s="659"/>
      <c r="T167" s="659"/>
      <c r="U167" s="659"/>
      <c r="V167" s="659"/>
      <c r="W167" s="659"/>
      <c r="X167" s="659"/>
      <c r="Y167" s="659"/>
      <c r="Z167" s="659"/>
      <c r="AA167" s="659"/>
      <c r="AB167" s="659"/>
      <c r="AC167" s="659"/>
      <c r="AD167" s="659"/>
      <c r="AE167" s="659"/>
      <c r="AF167" s="659"/>
      <c r="AG167" s="659"/>
      <c r="AH167" s="659"/>
      <c r="AI167" s="659"/>
      <c r="AJ167" s="659"/>
      <c r="AK167" s="659"/>
      <c r="AL167" s="659"/>
      <c r="AM167" s="659"/>
      <c r="AN167" s="659"/>
      <c r="AO167" s="659"/>
      <c r="AP167" s="659"/>
      <c r="AQ167" s="746"/>
    </row>
    <row r="168">
      <c r="A168" s="654"/>
      <c r="B168" s="704" t="s">
        <v>546</v>
      </c>
      <c r="C168" s="687">
        <v>9.0</v>
      </c>
      <c r="D168" s="702">
        <v>12.0</v>
      </c>
      <c r="E168" s="703"/>
      <c r="F168" s="897"/>
      <c r="G168" s="897"/>
      <c r="H168" s="659"/>
      <c r="I168" s="659"/>
      <c r="J168" s="659"/>
      <c r="K168" s="659"/>
      <c r="L168" s="659"/>
      <c r="M168" s="659"/>
      <c r="N168" s="949"/>
      <c r="O168" s="951"/>
      <c r="P168" s="951"/>
      <c r="Q168" s="659"/>
      <c r="R168" s="659"/>
      <c r="S168" s="659"/>
      <c r="T168" s="659"/>
      <c r="U168" s="659"/>
      <c r="V168" s="659"/>
      <c r="W168" s="659"/>
      <c r="X168" s="649"/>
      <c r="Y168" s="659"/>
      <c r="Z168" s="659"/>
      <c r="AA168" s="659"/>
      <c r="AB168" s="659"/>
      <c r="AC168" s="659"/>
      <c r="AD168" s="659"/>
      <c r="AE168" s="659"/>
      <c r="AF168" s="659"/>
      <c r="AG168" s="659"/>
      <c r="AH168" s="659"/>
      <c r="AI168" s="659"/>
      <c r="AJ168" s="659"/>
      <c r="AK168" s="659"/>
      <c r="AL168" s="659"/>
      <c r="AM168" s="659"/>
      <c r="AN168" s="659"/>
      <c r="AO168" s="659"/>
      <c r="AP168" s="659"/>
      <c r="AQ168" s="746"/>
    </row>
    <row r="169">
      <c r="A169" s="654"/>
      <c r="B169" s="704" t="s">
        <v>547</v>
      </c>
      <c r="C169" s="687">
        <v>9.0</v>
      </c>
      <c r="D169" s="702">
        <v>10.0</v>
      </c>
      <c r="E169" s="703"/>
      <c r="F169" s="897"/>
      <c r="G169" s="897"/>
      <c r="H169" s="659"/>
      <c r="I169" s="659"/>
      <c r="J169" s="659"/>
      <c r="K169" s="659"/>
      <c r="L169" s="659"/>
      <c r="M169" s="659"/>
      <c r="N169" s="949"/>
      <c r="O169" s="951"/>
      <c r="P169" s="951"/>
      <c r="Q169" s="659"/>
      <c r="R169" s="659"/>
      <c r="S169" s="659"/>
      <c r="T169" s="659"/>
      <c r="U169" s="659"/>
      <c r="V169" s="659"/>
      <c r="W169" s="659"/>
      <c r="X169" s="659"/>
      <c r="Y169" s="659"/>
      <c r="Z169" s="659"/>
      <c r="AA169" s="659"/>
      <c r="AB169" s="659"/>
      <c r="AC169" s="659"/>
      <c r="AD169" s="659"/>
      <c r="AE169" s="659"/>
      <c r="AF169" s="659"/>
      <c r="AG169" s="659"/>
      <c r="AH169" s="659"/>
      <c r="AI169" s="659"/>
      <c r="AJ169" s="659"/>
      <c r="AK169" s="659"/>
      <c r="AL169" s="659"/>
      <c r="AM169" s="659"/>
      <c r="AN169" s="659"/>
      <c r="AO169" s="659"/>
      <c r="AP169" s="659"/>
      <c r="AQ169" s="746"/>
    </row>
    <row r="170">
      <c r="A170" s="654"/>
      <c r="B170" s="704" t="s">
        <v>548</v>
      </c>
      <c r="C170" s="687">
        <v>9.0</v>
      </c>
      <c r="D170" s="702">
        <v>10.0</v>
      </c>
      <c r="E170" s="703"/>
      <c r="F170" s="897"/>
      <c r="G170" s="897"/>
      <c r="H170" s="659"/>
      <c r="I170" s="659"/>
      <c r="J170" s="659"/>
      <c r="K170" s="659"/>
      <c r="L170" s="659"/>
      <c r="M170" s="659"/>
      <c r="N170" s="949"/>
      <c r="O170" s="951"/>
      <c r="P170" s="951"/>
      <c r="Q170" s="659"/>
      <c r="R170" s="659"/>
      <c r="S170" s="659"/>
      <c r="T170" s="659"/>
      <c r="U170" s="659"/>
      <c r="V170" s="659"/>
      <c r="W170" s="659"/>
      <c r="X170" s="659"/>
      <c r="Y170" s="659"/>
      <c r="Z170" s="659"/>
      <c r="AA170" s="659"/>
      <c r="AB170" s="659"/>
      <c r="AC170" s="659"/>
      <c r="AD170" s="659"/>
      <c r="AE170" s="659"/>
      <c r="AF170" s="659"/>
      <c r="AG170" s="659"/>
      <c r="AH170" s="659"/>
      <c r="AI170" s="659"/>
      <c r="AJ170" s="659"/>
      <c r="AK170" s="659"/>
      <c r="AL170" s="659"/>
      <c r="AM170" s="659"/>
      <c r="AN170" s="659"/>
      <c r="AO170" s="659"/>
      <c r="AP170" s="659"/>
      <c r="AQ170" s="746"/>
    </row>
    <row r="171">
      <c r="A171" s="654"/>
      <c r="B171" s="704" t="s">
        <v>549</v>
      </c>
      <c r="C171" s="687">
        <v>9.0</v>
      </c>
      <c r="D171" s="702">
        <v>10.0</v>
      </c>
      <c r="E171" s="703"/>
      <c r="F171" s="897"/>
      <c r="G171" s="897"/>
      <c r="H171" s="659"/>
      <c r="I171" s="659"/>
      <c r="J171" s="659"/>
      <c r="K171" s="659"/>
      <c r="L171" s="659"/>
      <c r="M171" s="659"/>
      <c r="N171" s="949"/>
      <c r="O171" s="951"/>
      <c r="P171" s="951"/>
      <c r="Q171" s="659"/>
      <c r="R171" s="659"/>
      <c r="S171" s="659"/>
      <c r="T171" s="659"/>
      <c r="U171" s="659"/>
      <c r="V171" s="659"/>
      <c r="W171" s="659"/>
      <c r="X171" s="659"/>
      <c r="Y171" s="659"/>
      <c r="Z171" s="659"/>
      <c r="AA171" s="659"/>
      <c r="AB171" s="659"/>
      <c r="AC171" s="659"/>
      <c r="AD171" s="659"/>
      <c r="AE171" s="659"/>
      <c r="AF171" s="659"/>
      <c r="AG171" s="659"/>
      <c r="AH171" s="659"/>
      <c r="AI171" s="659"/>
      <c r="AJ171" s="659"/>
      <c r="AK171" s="659"/>
      <c r="AL171" s="659"/>
      <c r="AM171" s="659"/>
      <c r="AN171" s="659"/>
      <c r="AO171" s="659"/>
      <c r="AP171" s="659"/>
      <c r="AQ171" s="746"/>
    </row>
    <row r="172">
      <c r="A172" s="654"/>
      <c r="B172" s="704" t="s">
        <v>550</v>
      </c>
      <c r="C172" s="687">
        <v>9.0</v>
      </c>
      <c r="D172" s="702">
        <v>10.0</v>
      </c>
      <c r="E172" s="703"/>
      <c r="F172" s="897"/>
      <c r="G172" s="897"/>
      <c r="H172" s="659"/>
      <c r="I172" s="659"/>
      <c r="J172" s="659"/>
      <c r="K172" s="659"/>
      <c r="L172" s="659"/>
      <c r="M172" s="659"/>
      <c r="N172" s="949"/>
      <c r="O172" s="951"/>
      <c r="P172" s="951"/>
      <c r="Q172" s="659"/>
      <c r="R172" s="659"/>
      <c r="S172" s="659"/>
      <c r="T172" s="659"/>
      <c r="U172" s="659"/>
      <c r="V172" s="659"/>
      <c r="W172" s="659"/>
      <c r="X172" s="659"/>
      <c r="Y172" s="659"/>
      <c r="Z172" s="659"/>
      <c r="AA172" s="659"/>
      <c r="AB172" s="659"/>
      <c r="AC172" s="659"/>
      <c r="AD172" s="659"/>
      <c r="AE172" s="659"/>
      <c r="AF172" s="659"/>
      <c r="AG172" s="659"/>
      <c r="AH172" s="659"/>
      <c r="AI172" s="659"/>
      <c r="AJ172" s="659"/>
      <c r="AK172" s="659"/>
      <c r="AL172" s="659"/>
      <c r="AM172" s="659"/>
      <c r="AN172" s="659"/>
      <c r="AO172" s="659"/>
      <c r="AP172" s="659"/>
      <c r="AQ172" s="746"/>
    </row>
    <row r="173">
      <c r="A173" s="654"/>
      <c r="B173" s="738" t="s">
        <v>551</v>
      </c>
      <c r="C173" s="720">
        <v>9.0</v>
      </c>
      <c r="D173" s="721">
        <v>11.0</v>
      </c>
      <c r="E173" s="703"/>
      <c r="F173" s="897"/>
      <c r="G173" s="897"/>
      <c r="H173" s="659"/>
      <c r="I173" s="659"/>
      <c r="J173" s="659"/>
      <c r="K173" s="659"/>
      <c r="L173" s="659"/>
      <c r="M173" s="659"/>
      <c r="N173" s="949"/>
      <c r="O173" s="951"/>
      <c r="P173" s="951"/>
      <c r="Q173" s="659"/>
      <c r="R173" s="659"/>
      <c r="S173" s="659"/>
      <c r="T173" s="659"/>
      <c r="U173" s="659"/>
      <c r="V173" s="659"/>
      <c r="W173" s="659"/>
      <c r="X173" s="659"/>
      <c r="Y173" s="659"/>
      <c r="Z173" s="659"/>
      <c r="AA173" s="659"/>
      <c r="AB173" s="659"/>
      <c r="AC173" s="659"/>
      <c r="AD173" s="659"/>
      <c r="AE173" s="659"/>
      <c r="AF173" s="659"/>
      <c r="AG173" s="659"/>
      <c r="AH173" s="659"/>
      <c r="AI173" s="659"/>
      <c r="AJ173" s="659"/>
      <c r="AK173" s="659"/>
      <c r="AL173" s="659"/>
      <c r="AM173" s="659"/>
      <c r="AN173" s="659"/>
      <c r="AO173" s="659"/>
      <c r="AP173" s="659"/>
      <c r="AQ173" s="746"/>
    </row>
    <row r="174">
      <c r="A174" s="654"/>
      <c r="B174" s="738" t="s">
        <v>552</v>
      </c>
      <c r="C174" s="720">
        <v>9.0</v>
      </c>
      <c r="D174" s="721">
        <v>11.0</v>
      </c>
      <c r="E174" s="703"/>
      <c r="F174" s="897"/>
      <c r="G174" s="897"/>
      <c r="H174" s="659"/>
      <c r="I174" s="659"/>
      <c r="J174" s="659"/>
      <c r="K174" s="659"/>
      <c r="L174" s="659"/>
      <c r="M174" s="659"/>
      <c r="N174" s="949"/>
      <c r="O174" s="951"/>
      <c r="P174" s="951"/>
      <c r="Q174" s="659"/>
      <c r="R174" s="659"/>
      <c r="S174" s="659"/>
      <c r="T174" s="659"/>
      <c r="U174" s="659"/>
      <c r="V174" s="659"/>
      <c r="W174" s="659"/>
      <c r="X174" s="659"/>
      <c r="Y174" s="659"/>
      <c r="Z174" s="659"/>
      <c r="AA174" s="659"/>
      <c r="AB174" s="659"/>
      <c r="AC174" s="659"/>
      <c r="AD174" s="659"/>
      <c r="AE174" s="659"/>
      <c r="AF174" s="659"/>
      <c r="AG174" s="659"/>
      <c r="AH174" s="659"/>
      <c r="AI174" s="659"/>
      <c r="AJ174" s="659"/>
      <c r="AK174" s="659"/>
      <c r="AL174" s="659"/>
      <c r="AM174" s="659"/>
      <c r="AN174" s="659"/>
      <c r="AO174" s="659"/>
      <c r="AP174" s="659"/>
      <c r="AQ174" s="746"/>
    </row>
    <row r="175">
      <c r="A175" s="654"/>
      <c r="B175" s="719" t="s">
        <v>553</v>
      </c>
      <c r="C175" s="720">
        <v>9.0</v>
      </c>
      <c r="D175" s="721">
        <v>12.0</v>
      </c>
      <c r="E175" s="703"/>
      <c r="F175" s="897"/>
      <c r="G175" s="897"/>
      <c r="H175" s="659"/>
      <c r="I175" s="659"/>
      <c r="J175" s="659"/>
      <c r="K175" s="659"/>
      <c r="L175" s="659"/>
      <c r="M175" s="659"/>
      <c r="N175" s="949"/>
      <c r="O175" s="951"/>
      <c r="P175" s="951"/>
      <c r="Q175" s="659"/>
      <c r="R175" s="659"/>
      <c r="S175" s="659"/>
      <c r="T175" s="659"/>
      <c r="U175" s="659"/>
      <c r="V175" s="659"/>
      <c r="W175" s="659"/>
      <c r="X175" s="659"/>
      <c r="Y175" s="659"/>
      <c r="Z175" s="659"/>
      <c r="AA175" s="659"/>
      <c r="AB175" s="659"/>
      <c r="AC175" s="659"/>
      <c r="AD175" s="659"/>
      <c r="AE175" s="659"/>
      <c r="AF175" s="659"/>
      <c r="AG175" s="659"/>
      <c r="AH175" s="659"/>
      <c r="AI175" s="659"/>
      <c r="AJ175" s="659"/>
      <c r="AK175" s="659"/>
      <c r="AL175" s="659"/>
      <c r="AM175" s="659"/>
      <c r="AN175" s="659"/>
      <c r="AO175" s="659"/>
      <c r="AP175" s="659"/>
      <c r="AQ175" s="746"/>
    </row>
    <row r="176">
      <c r="A176" s="654"/>
      <c r="B176" s="686" t="s">
        <v>555</v>
      </c>
      <c r="C176" s="687">
        <v>8.0</v>
      </c>
      <c r="D176" s="702">
        <v>10.0</v>
      </c>
      <c r="E176" s="703"/>
      <c r="F176" s="897"/>
      <c r="G176" s="897"/>
      <c r="H176" s="659"/>
      <c r="I176" s="659"/>
      <c r="J176" s="659"/>
      <c r="K176" s="659"/>
      <c r="L176" s="659"/>
      <c r="M176" s="659"/>
      <c r="N176" s="949"/>
      <c r="O176" s="951"/>
      <c r="P176" s="951"/>
      <c r="Q176" s="659"/>
      <c r="R176" s="659"/>
      <c r="S176" s="659"/>
      <c r="T176" s="659"/>
      <c r="U176" s="659"/>
      <c r="V176" s="659"/>
      <c r="W176" s="659"/>
      <c r="X176" s="659"/>
      <c r="Y176" s="659"/>
      <c r="Z176" s="659"/>
      <c r="AA176" s="659"/>
      <c r="AB176" s="659"/>
      <c r="AC176" s="659"/>
      <c r="AD176" s="659"/>
      <c r="AE176" s="659"/>
      <c r="AF176" s="659"/>
      <c r="AG176" s="659"/>
      <c r="AH176" s="659"/>
      <c r="AI176" s="659"/>
      <c r="AJ176" s="659"/>
      <c r="AK176" s="659"/>
      <c r="AL176" s="659"/>
      <c r="AM176" s="659"/>
      <c r="AN176" s="659"/>
      <c r="AO176" s="659"/>
      <c r="AP176" s="659"/>
      <c r="AQ176" s="746"/>
    </row>
    <row r="177">
      <c r="A177" s="654"/>
      <c r="B177" s="686" t="s">
        <v>556</v>
      </c>
      <c r="C177" s="687">
        <v>8.0</v>
      </c>
      <c r="D177" s="702">
        <v>9.0</v>
      </c>
      <c r="E177" s="703"/>
      <c r="F177" s="897"/>
      <c r="G177" s="897"/>
      <c r="H177" s="659"/>
      <c r="I177" s="659"/>
      <c r="J177" s="659"/>
      <c r="K177" s="659"/>
      <c r="L177" s="659"/>
      <c r="M177" s="659"/>
      <c r="N177" s="949"/>
      <c r="O177" s="951"/>
      <c r="P177" s="951"/>
      <c r="Q177" s="659"/>
      <c r="R177" s="659"/>
      <c r="S177" s="659"/>
      <c r="T177" s="659"/>
      <c r="U177" s="659"/>
      <c r="V177" s="659"/>
      <c r="W177" s="659"/>
      <c r="X177" s="659"/>
      <c r="Y177" s="659"/>
      <c r="Z177" s="659"/>
      <c r="AA177" s="659"/>
      <c r="AB177" s="659"/>
      <c r="AC177" s="659"/>
      <c r="AD177" s="659"/>
      <c r="AE177" s="659"/>
      <c r="AF177" s="659"/>
      <c r="AG177" s="659"/>
      <c r="AH177" s="659"/>
      <c r="AI177" s="659"/>
      <c r="AJ177" s="659"/>
      <c r="AK177" s="659"/>
      <c r="AL177" s="659"/>
      <c r="AM177" s="659"/>
      <c r="AN177" s="659"/>
      <c r="AO177" s="659"/>
      <c r="AP177" s="659"/>
      <c r="AQ177" s="746"/>
    </row>
    <row r="178">
      <c r="A178" s="654"/>
      <c r="B178" s="686" t="s">
        <v>557</v>
      </c>
      <c r="C178" s="687">
        <v>8.0</v>
      </c>
      <c r="D178" s="702">
        <v>10.0</v>
      </c>
      <c r="E178" s="703"/>
      <c r="F178" s="897"/>
      <c r="G178" s="897"/>
      <c r="H178" s="659"/>
      <c r="I178" s="659"/>
      <c r="J178" s="659"/>
      <c r="K178" s="659"/>
      <c r="L178" s="659"/>
      <c r="M178" s="659"/>
      <c r="N178" s="949"/>
      <c r="O178" s="951"/>
      <c r="P178" s="951"/>
      <c r="Q178" s="659"/>
      <c r="R178" s="659"/>
      <c r="S178" s="659"/>
      <c r="T178" s="659"/>
      <c r="U178" s="659"/>
      <c r="V178" s="659"/>
      <c r="W178" s="659"/>
      <c r="X178" s="659"/>
      <c r="Y178" s="659"/>
      <c r="Z178" s="659"/>
      <c r="AA178" s="659"/>
      <c r="AB178" s="659"/>
      <c r="AC178" s="659"/>
      <c r="AD178" s="659"/>
      <c r="AE178" s="659"/>
      <c r="AF178" s="659"/>
      <c r="AG178" s="659"/>
      <c r="AH178" s="659"/>
      <c r="AI178" s="659"/>
      <c r="AJ178" s="659"/>
      <c r="AK178" s="659"/>
      <c r="AL178" s="659"/>
      <c r="AM178" s="659"/>
      <c r="AN178" s="659"/>
      <c r="AO178" s="659"/>
      <c r="AP178" s="659"/>
      <c r="AQ178" s="746"/>
    </row>
    <row r="179">
      <c r="A179" s="654"/>
      <c r="B179" s="686" t="s">
        <v>558</v>
      </c>
      <c r="C179" s="687">
        <v>8.0</v>
      </c>
      <c r="D179" s="702">
        <v>11.0</v>
      </c>
      <c r="E179" s="703"/>
      <c r="F179" s="897"/>
      <c r="G179" s="897"/>
      <c r="H179" s="659"/>
      <c r="I179" s="659"/>
      <c r="J179" s="659"/>
      <c r="K179" s="659"/>
      <c r="L179" s="659"/>
      <c r="M179" s="659"/>
      <c r="N179" s="949"/>
      <c r="O179" s="951"/>
      <c r="P179" s="951"/>
      <c r="Q179" s="659"/>
      <c r="R179" s="659"/>
      <c r="S179" s="659"/>
      <c r="T179" s="659"/>
      <c r="U179" s="659"/>
      <c r="V179" s="659"/>
      <c r="W179" s="659"/>
      <c r="X179" s="649"/>
      <c r="Y179" s="659"/>
      <c r="Z179" s="659"/>
      <c r="AA179" s="659"/>
      <c r="AB179" s="659"/>
      <c r="AC179" s="659"/>
      <c r="AD179" s="659"/>
      <c r="AE179" s="659"/>
      <c r="AF179" s="659"/>
      <c r="AG179" s="659"/>
      <c r="AH179" s="659"/>
      <c r="AI179" s="659"/>
      <c r="AJ179" s="659"/>
      <c r="AK179" s="659"/>
      <c r="AL179" s="659"/>
      <c r="AM179" s="659"/>
      <c r="AN179" s="659"/>
      <c r="AO179" s="659"/>
      <c r="AP179" s="659"/>
      <c r="AQ179" s="746"/>
    </row>
    <row r="180">
      <c r="A180" s="654"/>
      <c r="B180" s="686" t="s">
        <v>559</v>
      </c>
      <c r="C180" s="687">
        <v>8.0</v>
      </c>
      <c r="D180" s="702">
        <v>9.0</v>
      </c>
      <c r="E180" s="703"/>
      <c r="F180" s="897"/>
      <c r="G180" s="897"/>
      <c r="H180" s="659"/>
      <c r="I180" s="659"/>
      <c r="J180" s="659"/>
      <c r="K180" s="659"/>
      <c r="L180" s="659"/>
      <c r="M180" s="659"/>
      <c r="N180" s="949"/>
      <c r="O180" s="951"/>
      <c r="P180" s="951"/>
      <c r="Q180" s="659"/>
      <c r="R180" s="659"/>
      <c r="S180" s="659"/>
      <c r="T180" s="659"/>
      <c r="U180" s="659"/>
      <c r="V180" s="659"/>
      <c r="W180" s="659"/>
      <c r="X180" s="659"/>
      <c r="Y180" s="659"/>
      <c r="Z180" s="659"/>
      <c r="AA180" s="659"/>
      <c r="AB180" s="659"/>
      <c r="AC180" s="659"/>
      <c r="AD180" s="659"/>
      <c r="AE180" s="659"/>
      <c r="AF180" s="659"/>
      <c r="AG180" s="659"/>
      <c r="AH180" s="659"/>
      <c r="AI180" s="659"/>
      <c r="AJ180" s="659"/>
      <c r="AK180" s="659"/>
      <c r="AL180" s="659"/>
      <c r="AM180" s="659"/>
      <c r="AN180" s="659"/>
      <c r="AO180" s="659"/>
      <c r="AP180" s="659"/>
      <c r="AQ180" s="746"/>
    </row>
    <row r="181">
      <c r="A181" s="654"/>
      <c r="B181" s="738" t="s">
        <v>560</v>
      </c>
      <c r="C181" s="720">
        <v>8.0</v>
      </c>
      <c r="D181" s="721">
        <v>9.0</v>
      </c>
      <c r="E181" s="703"/>
      <c r="F181" s="897"/>
      <c r="G181" s="897"/>
      <c r="H181" s="659"/>
      <c r="I181" s="659"/>
      <c r="J181" s="659"/>
      <c r="K181" s="659"/>
      <c r="L181" s="659"/>
      <c r="M181" s="659"/>
      <c r="N181" s="949"/>
      <c r="O181" s="951"/>
      <c r="P181" s="951"/>
      <c r="Q181" s="659"/>
      <c r="R181" s="659"/>
      <c r="S181" s="659"/>
      <c r="T181" s="659"/>
      <c r="U181" s="659"/>
      <c r="V181" s="659"/>
      <c r="W181" s="659"/>
      <c r="X181" s="659"/>
      <c r="Y181" s="659"/>
      <c r="Z181" s="659"/>
      <c r="AA181" s="659"/>
      <c r="AB181" s="659"/>
      <c r="AC181" s="659"/>
      <c r="AD181" s="659"/>
      <c r="AE181" s="659"/>
      <c r="AF181" s="659"/>
      <c r="AG181" s="659"/>
      <c r="AH181" s="659"/>
      <c r="AI181" s="659"/>
      <c r="AJ181" s="659"/>
      <c r="AK181" s="659"/>
      <c r="AL181" s="659"/>
      <c r="AM181" s="659"/>
      <c r="AN181" s="659"/>
      <c r="AO181" s="659"/>
      <c r="AP181" s="659"/>
      <c r="AQ181" s="746"/>
    </row>
    <row r="182">
      <c r="A182" s="654"/>
      <c r="B182" s="704" t="s">
        <v>561</v>
      </c>
      <c r="C182" s="687">
        <v>8.0</v>
      </c>
      <c r="D182" s="702">
        <v>9.0</v>
      </c>
      <c r="E182" s="703"/>
      <c r="F182" s="897"/>
      <c r="G182" s="897"/>
      <c r="H182" s="659"/>
      <c r="I182" s="659"/>
      <c r="J182" s="659"/>
      <c r="K182" s="659"/>
      <c r="L182" s="659"/>
      <c r="M182" s="659"/>
      <c r="N182" s="949"/>
      <c r="O182" s="951"/>
      <c r="P182" s="951"/>
      <c r="Q182" s="659"/>
      <c r="R182" s="659"/>
      <c r="S182" s="659"/>
      <c r="T182" s="659"/>
      <c r="U182" s="659"/>
      <c r="V182" s="659"/>
      <c r="W182" s="659"/>
      <c r="X182" s="659"/>
      <c r="Y182" s="659"/>
      <c r="Z182" s="659"/>
      <c r="AA182" s="659"/>
      <c r="AB182" s="659"/>
      <c r="AC182" s="659"/>
      <c r="AD182" s="659"/>
      <c r="AE182" s="659"/>
      <c r="AF182" s="659"/>
      <c r="AG182" s="659"/>
      <c r="AH182" s="659"/>
      <c r="AI182" s="659"/>
      <c r="AJ182" s="659"/>
      <c r="AK182" s="659"/>
      <c r="AL182" s="659"/>
      <c r="AM182" s="659"/>
      <c r="AN182" s="659"/>
      <c r="AO182" s="659"/>
      <c r="AP182" s="659"/>
      <c r="AQ182" s="746"/>
    </row>
    <row r="183">
      <c r="A183" s="654"/>
      <c r="B183" s="704" t="s">
        <v>562</v>
      </c>
      <c r="C183" s="687">
        <v>8.0</v>
      </c>
      <c r="D183" s="702">
        <v>10.0</v>
      </c>
      <c r="E183" s="703"/>
      <c r="F183" s="897"/>
      <c r="G183" s="897"/>
      <c r="H183" s="659"/>
      <c r="I183" s="659"/>
      <c r="J183" s="659"/>
      <c r="K183" s="659"/>
      <c r="L183" s="659"/>
      <c r="M183" s="659"/>
      <c r="N183" s="949"/>
      <c r="O183" s="951"/>
      <c r="P183" s="951"/>
      <c r="Q183" s="659"/>
      <c r="R183" s="659"/>
      <c r="S183" s="659"/>
      <c r="T183" s="659"/>
      <c r="U183" s="659"/>
      <c r="V183" s="659"/>
      <c r="W183" s="659"/>
      <c r="X183" s="659"/>
      <c r="Y183" s="659"/>
      <c r="Z183" s="659"/>
      <c r="AA183" s="659"/>
      <c r="AB183" s="659"/>
      <c r="AC183" s="659"/>
      <c r="AD183" s="659"/>
      <c r="AE183" s="659"/>
      <c r="AF183" s="659"/>
      <c r="AG183" s="659"/>
      <c r="AH183" s="659"/>
      <c r="AI183" s="659"/>
      <c r="AJ183" s="659"/>
      <c r="AK183" s="659"/>
      <c r="AL183" s="659"/>
      <c r="AM183" s="659"/>
      <c r="AN183" s="659"/>
      <c r="AO183" s="659"/>
      <c r="AP183" s="659"/>
      <c r="AQ183" s="746"/>
    </row>
    <row r="184">
      <c r="A184" s="654"/>
      <c r="B184" s="972" t="s">
        <v>563</v>
      </c>
      <c r="C184" s="973">
        <v>8.0</v>
      </c>
      <c r="D184" s="974">
        <v>10.0</v>
      </c>
      <c r="E184" s="703"/>
      <c r="F184" s="897"/>
      <c r="G184" s="897"/>
      <c r="H184" s="659"/>
      <c r="I184" s="659"/>
      <c r="J184" s="659"/>
      <c r="K184" s="659"/>
      <c r="L184" s="659"/>
      <c r="M184" s="659"/>
      <c r="N184" s="949"/>
      <c r="O184" s="951"/>
      <c r="P184" s="951"/>
      <c r="Q184" s="659"/>
      <c r="R184" s="659"/>
      <c r="S184" s="659"/>
      <c r="T184" s="659"/>
      <c r="U184" s="659"/>
      <c r="V184" s="659"/>
      <c r="W184" s="659"/>
      <c r="X184" s="659"/>
      <c r="Y184" s="659"/>
      <c r="Z184" s="659"/>
      <c r="AA184" s="659"/>
      <c r="AB184" s="659"/>
      <c r="AC184" s="659"/>
      <c r="AD184" s="659"/>
      <c r="AE184" s="659"/>
      <c r="AF184" s="659"/>
      <c r="AG184" s="659"/>
      <c r="AH184" s="659"/>
      <c r="AI184" s="659"/>
      <c r="AJ184" s="659"/>
      <c r="AK184" s="659"/>
      <c r="AL184" s="659"/>
      <c r="AM184" s="659"/>
      <c r="AN184" s="659"/>
      <c r="AO184" s="659"/>
      <c r="AP184" s="659"/>
      <c r="AQ184" s="746"/>
    </row>
    <row r="185">
      <c r="A185" s="654"/>
      <c r="B185" s="738" t="s">
        <v>564</v>
      </c>
      <c r="C185" s="720">
        <v>8.0</v>
      </c>
      <c r="D185" s="721">
        <v>11.0</v>
      </c>
      <c r="E185" s="703"/>
      <c r="F185" s="897"/>
      <c r="G185" s="897"/>
      <c r="H185" s="659"/>
      <c r="I185" s="659"/>
      <c r="J185" s="659"/>
      <c r="K185" s="659"/>
      <c r="L185" s="659"/>
      <c r="M185" s="659"/>
      <c r="N185" s="949"/>
      <c r="O185" s="951"/>
      <c r="P185" s="951"/>
      <c r="Q185" s="659"/>
      <c r="R185" s="659"/>
      <c r="S185" s="659"/>
      <c r="T185" s="659"/>
      <c r="U185" s="659"/>
      <c r="V185" s="659"/>
      <c r="W185" s="659"/>
      <c r="X185" s="659"/>
      <c r="Y185" s="659"/>
      <c r="Z185" s="659"/>
      <c r="AA185" s="659"/>
      <c r="AB185" s="659"/>
      <c r="AC185" s="659"/>
      <c r="AD185" s="659"/>
      <c r="AE185" s="659"/>
      <c r="AF185" s="659"/>
      <c r="AG185" s="659"/>
      <c r="AH185" s="659"/>
      <c r="AI185" s="659"/>
      <c r="AJ185" s="659"/>
      <c r="AK185" s="659"/>
      <c r="AL185" s="659"/>
      <c r="AM185" s="659"/>
      <c r="AN185" s="659"/>
      <c r="AO185" s="659"/>
      <c r="AP185" s="659"/>
      <c r="AQ185" s="746"/>
    </row>
    <row r="186">
      <c r="A186" s="654"/>
      <c r="B186" s="686" t="s">
        <v>565</v>
      </c>
      <c r="C186" s="687">
        <v>8.0</v>
      </c>
      <c r="D186" s="702">
        <v>9.0</v>
      </c>
      <c r="E186" s="703"/>
      <c r="F186" s="897"/>
      <c r="G186" s="897"/>
      <c r="H186" s="659"/>
      <c r="I186" s="659"/>
      <c r="J186" s="659"/>
      <c r="K186" s="659"/>
      <c r="L186" s="659"/>
      <c r="M186" s="659"/>
      <c r="N186" s="949"/>
      <c r="O186" s="951"/>
      <c r="P186" s="951"/>
      <c r="Q186" s="659"/>
      <c r="R186" s="659"/>
      <c r="S186" s="659"/>
      <c r="T186" s="659"/>
      <c r="U186" s="659"/>
      <c r="V186" s="659"/>
      <c r="W186" s="659"/>
      <c r="X186" s="659"/>
      <c r="Y186" s="659"/>
      <c r="Z186" s="659"/>
      <c r="AA186" s="659"/>
      <c r="AB186" s="659"/>
      <c r="AC186" s="659"/>
      <c r="AD186" s="659"/>
      <c r="AE186" s="659"/>
      <c r="AF186" s="659"/>
      <c r="AG186" s="659"/>
      <c r="AH186" s="659"/>
      <c r="AI186" s="659"/>
      <c r="AJ186" s="659"/>
      <c r="AK186" s="659"/>
      <c r="AL186" s="659"/>
      <c r="AM186" s="659"/>
      <c r="AN186" s="659"/>
      <c r="AO186" s="659"/>
      <c r="AP186" s="659"/>
      <c r="AQ186" s="746"/>
    </row>
    <row r="187">
      <c r="A187" s="654"/>
      <c r="B187" s="686" t="s">
        <v>566</v>
      </c>
      <c r="C187" s="687">
        <v>8.0</v>
      </c>
      <c r="D187" s="702">
        <v>11.0</v>
      </c>
      <c r="E187" s="703"/>
      <c r="F187" s="897"/>
      <c r="G187" s="897"/>
      <c r="H187" s="659"/>
      <c r="I187" s="659"/>
      <c r="J187" s="659"/>
      <c r="K187" s="659"/>
      <c r="L187" s="659"/>
      <c r="M187" s="659"/>
      <c r="N187" s="949"/>
      <c r="O187" s="951"/>
      <c r="P187" s="951"/>
      <c r="Q187" s="659"/>
      <c r="R187" s="659"/>
      <c r="S187" s="659"/>
      <c r="T187" s="659"/>
      <c r="U187" s="659"/>
      <c r="V187" s="659"/>
      <c r="W187" s="659"/>
      <c r="X187" s="659"/>
      <c r="Y187" s="659"/>
      <c r="Z187" s="659"/>
      <c r="AA187" s="659"/>
      <c r="AB187" s="659"/>
      <c r="AC187" s="659"/>
      <c r="AD187" s="659"/>
      <c r="AE187" s="659"/>
      <c r="AF187" s="659"/>
      <c r="AG187" s="659"/>
      <c r="AH187" s="659"/>
      <c r="AI187" s="659"/>
      <c r="AJ187" s="659"/>
      <c r="AK187" s="659"/>
      <c r="AL187" s="659"/>
      <c r="AM187" s="659"/>
      <c r="AN187" s="659"/>
      <c r="AO187" s="659"/>
      <c r="AP187" s="659"/>
      <c r="AQ187" s="746"/>
    </row>
    <row r="188">
      <c r="A188" s="654"/>
      <c r="B188" s="704" t="s">
        <v>567</v>
      </c>
      <c r="C188" s="687">
        <v>8.0</v>
      </c>
      <c r="D188" s="702">
        <v>9.0</v>
      </c>
      <c r="E188" s="703"/>
      <c r="F188" s="897"/>
      <c r="G188" s="897"/>
      <c r="H188" s="659"/>
      <c r="I188" s="659"/>
      <c r="J188" s="659"/>
      <c r="K188" s="659"/>
      <c r="L188" s="659"/>
      <c r="M188" s="659"/>
      <c r="N188" s="949"/>
      <c r="O188" s="951"/>
      <c r="P188" s="951"/>
      <c r="Q188" s="659"/>
      <c r="R188" s="659"/>
      <c r="S188" s="659"/>
      <c r="T188" s="659"/>
      <c r="U188" s="659"/>
      <c r="V188" s="659"/>
      <c r="W188" s="659"/>
      <c r="X188" s="659"/>
      <c r="Y188" s="659"/>
      <c r="Z188" s="659"/>
      <c r="AA188" s="659"/>
      <c r="AB188" s="659"/>
      <c r="AC188" s="659"/>
      <c r="AD188" s="659"/>
      <c r="AE188" s="659"/>
      <c r="AF188" s="659"/>
      <c r="AG188" s="659"/>
      <c r="AH188" s="659"/>
      <c r="AI188" s="659"/>
      <c r="AJ188" s="659"/>
      <c r="AK188" s="659"/>
      <c r="AL188" s="659"/>
      <c r="AM188" s="659"/>
      <c r="AN188" s="659"/>
      <c r="AO188" s="659"/>
      <c r="AP188" s="659"/>
      <c r="AQ188" s="746"/>
    </row>
    <row r="189">
      <c r="A189" s="654"/>
      <c r="B189" s="686" t="s">
        <v>568</v>
      </c>
      <c r="C189" s="687">
        <v>8.0</v>
      </c>
      <c r="D189" s="702">
        <v>11.0</v>
      </c>
      <c r="E189" s="703"/>
      <c r="F189" s="897"/>
      <c r="G189" s="897"/>
      <c r="H189" s="659"/>
      <c r="I189" s="659"/>
      <c r="J189" s="659"/>
      <c r="K189" s="659"/>
      <c r="L189" s="659"/>
      <c r="M189" s="659"/>
      <c r="N189" s="949"/>
      <c r="O189" s="951"/>
      <c r="P189" s="951"/>
      <c r="Q189" s="659"/>
      <c r="R189" s="659"/>
      <c r="S189" s="659"/>
      <c r="T189" s="659"/>
      <c r="U189" s="659"/>
      <c r="V189" s="659"/>
      <c r="W189" s="659"/>
      <c r="X189" s="659"/>
      <c r="Y189" s="659"/>
      <c r="Z189" s="659"/>
      <c r="AA189" s="659"/>
      <c r="AB189" s="659"/>
      <c r="AC189" s="659"/>
      <c r="AD189" s="659"/>
      <c r="AE189" s="659"/>
      <c r="AF189" s="659"/>
      <c r="AG189" s="659"/>
      <c r="AH189" s="659"/>
      <c r="AI189" s="659"/>
      <c r="AJ189" s="659"/>
      <c r="AK189" s="659"/>
      <c r="AL189" s="659"/>
      <c r="AM189" s="659"/>
      <c r="AN189" s="659"/>
      <c r="AO189" s="659"/>
      <c r="AP189" s="659"/>
      <c r="AQ189" s="746"/>
    </row>
    <row r="190">
      <c r="A190" s="654"/>
      <c r="B190" s="686" t="s">
        <v>569</v>
      </c>
      <c r="C190" s="687">
        <v>8.0</v>
      </c>
      <c r="D190" s="702">
        <v>9.0</v>
      </c>
      <c r="E190" s="703"/>
      <c r="F190" s="897"/>
      <c r="G190" s="897"/>
      <c r="H190" s="659"/>
      <c r="I190" s="659"/>
      <c r="J190" s="659"/>
      <c r="K190" s="659"/>
      <c r="L190" s="659"/>
      <c r="M190" s="659"/>
      <c r="N190" s="949"/>
      <c r="O190" s="951"/>
      <c r="P190" s="951"/>
      <c r="Q190" s="659"/>
      <c r="R190" s="659"/>
      <c r="S190" s="659"/>
      <c r="T190" s="659"/>
      <c r="U190" s="659"/>
      <c r="V190" s="659"/>
      <c r="W190" s="659"/>
      <c r="X190" s="649"/>
      <c r="Y190" s="659"/>
      <c r="Z190" s="659"/>
      <c r="AA190" s="659"/>
      <c r="AB190" s="659"/>
      <c r="AC190" s="659"/>
      <c r="AD190" s="659"/>
      <c r="AE190" s="659"/>
      <c r="AF190" s="659"/>
      <c r="AG190" s="659"/>
      <c r="AH190" s="659"/>
      <c r="AI190" s="659"/>
      <c r="AJ190" s="659"/>
      <c r="AK190" s="659"/>
      <c r="AL190" s="659"/>
      <c r="AM190" s="659"/>
      <c r="AN190" s="659"/>
      <c r="AO190" s="659"/>
      <c r="AP190" s="659"/>
      <c r="AQ190" s="746"/>
    </row>
    <row r="191">
      <c r="A191" s="654"/>
      <c r="B191" s="686" t="s">
        <v>90</v>
      </c>
      <c r="C191" s="687">
        <v>8.0</v>
      </c>
      <c r="D191" s="702" t="s">
        <v>216</v>
      </c>
      <c r="E191" s="703"/>
      <c r="F191" s="897"/>
      <c r="G191" s="897"/>
      <c r="H191" s="659"/>
      <c r="I191" s="659"/>
      <c r="J191" s="659"/>
      <c r="K191" s="659"/>
      <c r="L191" s="659"/>
      <c r="M191" s="659"/>
      <c r="N191" s="949"/>
      <c r="O191" s="951"/>
      <c r="P191" s="951"/>
      <c r="Q191" s="659"/>
      <c r="R191" s="659"/>
      <c r="S191" s="659"/>
      <c r="T191" s="659"/>
      <c r="U191" s="659"/>
      <c r="V191" s="659"/>
      <c r="W191" s="659"/>
      <c r="X191" s="659"/>
      <c r="Y191" s="659"/>
      <c r="Z191" s="659"/>
      <c r="AA191" s="659"/>
      <c r="AB191" s="659"/>
      <c r="AC191" s="659"/>
      <c r="AD191" s="659"/>
      <c r="AE191" s="659"/>
      <c r="AF191" s="659"/>
      <c r="AG191" s="659"/>
      <c r="AH191" s="659"/>
      <c r="AI191" s="659"/>
      <c r="AJ191" s="659"/>
      <c r="AK191" s="659"/>
      <c r="AL191" s="659"/>
      <c r="AM191" s="659"/>
      <c r="AN191" s="659"/>
      <c r="AO191" s="659"/>
      <c r="AP191" s="659"/>
      <c r="AQ191" s="746"/>
    </row>
    <row r="192">
      <c r="A192" s="654"/>
      <c r="B192" s="686" t="s">
        <v>570</v>
      </c>
      <c r="C192" s="687">
        <v>8.0</v>
      </c>
      <c r="D192" s="702">
        <v>9.0</v>
      </c>
      <c r="E192" s="703"/>
      <c r="F192" s="897"/>
      <c r="G192" s="897"/>
      <c r="H192" s="659"/>
      <c r="I192" s="659"/>
      <c r="J192" s="659"/>
      <c r="K192" s="659"/>
      <c r="L192" s="659"/>
      <c r="M192" s="659"/>
      <c r="N192" s="949"/>
      <c r="O192" s="951"/>
      <c r="P192" s="951"/>
      <c r="Q192" s="659"/>
      <c r="R192" s="659"/>
      <c r="S192" s="659"/>
      <c r="T192" s="659"/>
      <c r="U192" s="659"/>
      <c r="V192" s="659"/>
      <c r="W192" s="659"/>
      <c r="X192" s="659"/>
      <c r="Y192" s="659"/>
      <c r="Z192" s="659"/>
      <c r="AA192" s="659"/>
      <c r="AB192" s="659"/>
      <c r="AC192" s="659"/>
      <c r="AD192" s="659"/>
      <c r="AE192" s="659"/>
      <c r="AF192" s="659"/>
      <c r="AG192" s="659"/>
      <c r="AH192" s="659"/>
      <c r="AI192" s="659"/>
      <c r="AJ192" s="659"/>
      <c r="AK192" s="659"/>
      <c r="AL192" s="659"/>
      <c r="AM192" s="659"/>
      <c r="AN192" s="659"/>
      <c r="AO192" s="659"/>
      <c r="AP192" s="659"/>
      <c r="AQ192" s="746"/>
    </row>
    <row r="193">
      <c r="A193" s="654"/>
      <c r="B193" s="719" t="s">
        <v>571</v>
      </c>
      <c r="C193" s="720">
        <v>8.0</v>
      </c>
      <c r="D193" s="721">
        <v>9.0</v>
      </c>
      <c r="E193" s="703"/>
      <c r="F193" s="897"/>
      <c r="G193" s="897"/>
      <c r="H193" s="659"/>
      <c r="I193" s="659"/>
      <c r="J193" s="659"/>
      <c r="K193" s="659"/>
      <c r="L193" s="659"/>
      <c r="M193" s="659"/>
      <c r="N193" s="949"/>
      <c r="O193" s="951"/>
      <c r="P193" s="951"/>
      <c r="Q193" s="659"/>
      <c r="R193" s="659"/>
      <c r="S193" s="659"/>
      <c r="T193" s="659"/>
      <c r="U193" s="659"/>
      <c r="V193" s="659"/>
      <c r="W193" s="659"/>
      <c r="X193" s="659"/>
      <c r="Y193" s="659"/>
      <c r="Z193" s="659"/>
      <c r="AA193" s="659"/>
      <c r="AB193" s="659"/>
      <c r="AC193" s="659"/>
      <c r="AD193" s="659"/>
      <c r="AE193" s="659"/>
      <c r="AF193" s="659"/>
      <c r="AG193" s="659"/>
      <c r="AH193" s="659"/>
      <c r="AI193" s="659"/>
      <c r="AJ193" s="659"/>
      <c r="AK193" s="659"/>
      <c r="AL193" s="659"/>
      <c r="AM193" s="659"/>
      <c r="AN193" s="659"/>
      <c r="AO193" s="659"/>
      <c r="AP193" s="659"/>
      <c r="AQ193" s="746"/>
    </row>
    <row r="194">
      <c r="A194" s="654"/>
      <c r="B194" s="738" t="s">
        <v>572</v>
      </c>
      <c r="C194" s="720">
        <v>8.0</v>
      </c>
      <c r="D194" s="721">
        <v>9.0</v>
      </c>
      <c r="E194" s="703"/>
      <c r="F194" s="897"/>
      <c r="G194" s="897"/>
      <c r="H194" s="659"/>
      <c r="I194" s="659"/>
      <c r="J194" s="659"/>
      <c r="K194" s="659"/>
      <c r="L194" s="659"/>
      <c r="M194" s="659"/>
      <c r="N194" s="949"/>
      <c r="O194" s="951"/>
      <c r="P194" s="951"/>
      <c r="Q194" s="659"/>
      <c r="R194" s="659"/>
      <c r="S194" s="659"/>
      <c r="T194" s="659"/>
      <c r="U194" s="659"/>
      <c r="V194" s="659"/>
      <c r="W194" s="659"/>
      <c r="X194" s="659"/>
      <c r="Y194" s="659"/>
      <c r="Z194" s="659"/>
      <c r="AA194" s="659"/>
      <c r="AB194" s="659"/>
      <c r="AC194" s="659"/>
      <c r="AD194" s="659"/>
      <c r="AE194" s="659"/>
      <c r="AF194" s="659"/>
      <c r="AG194" s="659"/>
      <c r="AH194" s="659"/>
      <c r="AI194" s="659"/>
      <c r="AJ194" s="659"/>
      <c r="AK194" s="659"/>
      <c r="AL194" s="659"/>
      <c r="AM194" s="659"/>
      <c r="AN194" s="659"/>
      <c r="AO194" s="659"/>
      <c r="AP194" s="659"/>
      <c r="AQ194" s="746"/>
    </row>
    <row r="195">
      <c r="A195" s="654"/>
      <c r="B195" s="704" t="s">
        <v>329</v>
      </c>
      <c r="C195" s="687">
        <v>8.0</v>
      </c>
      <c r="D195" s="702">
        <v>9.0</v>
      </c>
      <c r="E195" s="703"/>
      <c r="F195" s="897"/>
      <c r="G195" s="897"/>
      <c r="H195" s="659"/>
      <c r="I195" s="659"/>
      <c r="J195" s="659"/>
      <c r="K195" s="659"/>
      <c r="L195" s="659"/>
      <c r="M195" s="659"/>
      <c r="N195" s="949"/>
      <c r="O195" s="951"/>
      <c r="P195" s="951"/>
      <c r="Q195" s="659"/>
      <c r="R195" s="659"/>
      <c r="S195" s="659"/>
      <c r="T195" s="659"/>
      <c r="U195" s="659"/>
      <c r="V195" s="659"/>
      <c r="W195" s="659"/>
      <c r="X195" s="659"/>
      <c r="Y195" s="659"/>
      <c r="Z195" s="659"/>
      <c r="AA195" s="659"/>
      <c r="AB195" s="659"/>
      <c r="AC195" s="659"/>
      <c r="AD195" s="659"/>
      <c r="AE195" s="659"/>
      <c r="AF195" s="659"/>
      <c r="AG195" s="659"/>
      <c r="AH195" s="659"/>
      <c r="AI195" s="659"/>
      <c r="AJ195" s="659"/>
      <c r="AK195" s="659"/>
      <c r="AL195" s="659"/>
      <c r="AM195" s="659"/>
      <c r="AN195" s="659"/>
      <c r="AO195" s="659"/>
      <c r="AP195" s="659"/>
      <c r="AQ195" s="746"/>
    </row>
    <row r="196">
      <c r="A196" s="654"/>
      <c r="B196" s="704" t="s">
        <v>573</v>
      </c>
      <c r="C196" s="687">
        <v>8.0</v>
      </c>
      <c r="D196" s="702">
        <v>11.0</v>
      </c>
      <c r="E196" s="703"/>
      <c r="F196" s="897"/>
      <c r="G196" s="897"/>
      <c r="H196" s="659"/>
      <c r="I196" s="659"/>
      <c r="J196" s="659"/>
      <c r="K196" s="659"/>
      <c r="L196" s="659"/>
      <c r="M196" s="659"/>
      <c r="N196" s="949"/>
      <c r="O196" s="951"/>
      <c r="P196" s="951"/>
      <c r="Q196" s="659"/>
      <c r="R196" s="659"/>
      <c r="S196" s="659"/>
      <c r="T196" s="659"/>
      <c r="U196" s="659"/>
      <c r="V196" s="659"/>
      <c r="W196" s="659"/>
      <c r="X196" s="659"/>
      <c r="Y196" s="659"/>
      <c r="Z196" s="659"/>
      <c r="AA196" s="659"/>
      <c r="AB196" s="659"/>
      <c r="AC196" s="659"/>
      <c r="AD196" s="659"/>
      <c r="AE196" s="659"/>
      <c r="AF196" s="659"/>
      <c r="AG196" s="659"/>
      <c r="AH196" s="659"/>
      <c r="AI196" s="659"/>
      <c r="AJ196" s="659"/>
      <c r="AK196" s="659"/>
      <c r="AL196" s="659"/>
      <c r="AM196" s="659"/>
      <c r="AN196" s="659"/>
      <c r="AO196" s="659"/>
      <c r="AP196" s="659"/>
      <c r="AQ196" s="746"/>
    </row>
    <row r="197">
      <c r="A197" s="654"/>
      <c r="B197" s="704" t="s">
        <v>574</v>
      </c>
      <c r="C197" s="687">
        <v>8.0</v>
      </c>
      <c r="D197" s="702">
        <v>9.0</v>
      </c>
      <c r="E197" s="703"/>
      <c r="F197" s="897"/>
      <c r="G197" s="897"/>
      <c r="H197" s="659"/>
      <c r="I197" s="659"/>
      <c r="J197" s="659"/>
      <c r="K197" s="659"/>
      <c r="L197" s="659"/>
      <c r="M197" s="659"/>
      <c r="N197" s="949"/>
      <c r="O197" s="951"/>
      <c r="P197" s="951"/>
      <c r="Q197" s="659"/>
      <c r="R197" s="659"/>
      <c r="S197" s="659"/>
      <c r="T197" s="659"/>
      <c r="U197" s="659"/>
      <c r="V197" s="659"/>
      <c r="W197" s="659"/>
      <c r="X197" s="659"/>
      <c r="Y197" s="659"/>
      <c r="Z197" s="659"/>
      <c r="AA197" s="659"/>
      <c r="AB197" s="659"/>
      <c r="AC197" s="659"/>
      <c r="AD197" s="659"/>
      <c r="AE197" s="659"/>
      <c r="AF197" s="659"/>
      <c r="AG197" s="659"/>
      <c r="AH197" s="659"/>
      <c r="AI197" s="659"/>
      <c r="AJ197" s="659"/>
      <c r="AK197" s="659"/>
      <c r="AL197" s="659"/>
      <c r="AM197" s="659"/>
      <c r="AN197" s="659"/>
      <c r="AO197" s="659"/>
      <c r="AP197" s="659"/>
      <c r="AQ197" s="746"/>
    </row>
    <row r="198">
      <c r="A198" s="654"/>
      <c r="B198" s="704" t="s">
        <v>575</v>
      </c>
      <c r="C198" s="687">
        <v>8.0</v>
      </c>
      <c r="D198" s="702">
        <v>9.0</v>
      </c>
      <c r="E198" s="703"/>
      <c r="F198" s="897"/>
      <c r="G198" s="897"/>
      <c r="H198" s="659"/>
      <c r="I198" s="659"/>
      <c r="J198" s="659"/>
      <c r="K198" s="659"/>
      <c r="L198" s="659"/>
      <c r="M198" s="659"/>
      <c r="N198" s="949"/>
      <c r="O198" s="951"/>
      <c r="P198" s="951"/>
      <c r="Q198" s="659"/>
      <c r="R198" s="659"/>
      <c r="S198" s="659"/>
      <c r="T198" s="659"/>
      <c r="U198" s="659"/>
      <c r="V198" s="659"/>
      <c r="W198" s="659"/>
      <c r="X198" s="659"/>
      <c r="Y198" s="659"/>
      <c r="Z198" s="659"/>
      <c r="AA198" s="659"/>
      <c r="AB198" s="659"/>
      <c r="AC198" s="659"/>
      <c r="AD198" s="659"/>
      <c r="AE198" s="659"/>
      <c r="AF198" s="659"/>
      <c r="AG198" s="659"/>
      <c r="AH198" s="659"/>
      <c r="AI198" s="659"/>
      <c r="AJ198" s="659"/>
      <c r="AK198" s="659"/>
      <c r="AL198" s="659"/>
      <c r="AM198" s="659"/>
      <c r="AN198" s="659"/>
      <c r="AO198" s="659"/>
      <c r="AP198" s="659"/>
      <c r="AQ198" s="746"/>
    </row>
    <row r="199">
      <c r="A199" s="654"/>
      <c r="B199" s="704" t="s">
        <v>576</v>
      </c>
      <c r="C199" s="687">
        <v>8.0</v>
      </c>
      <c r="D199" s="702">
        <v>9.0</v>
      </c>
      <c r="E199" s="703"/>
      <c r="F199" s="897"/>
      <c r="G199" s="897"/>
      <c r="H199" s="659"/>
      <c r="I199" s="659"/>
      <c r="J199" s="659"/>
      <c r="K199" s="659"/>
      <c r="L199" s="659"/>
      <c r="M199" s="659"/>
      <c r="N199" s="949"/>
      <c r="O199" s="951"/>
      <c r="P199" s="951"/>
      <c r="Q199" s="659"/>
      <c r="R199" s="659"/>
      <c r="S199" s="659"/>
      <c r="T199" s="659"/>
      <c r="U199" s="659"/>
      <c r="V199" s="659"/>
      <c r="W199" s="659"/>
      <c r="X199" s="659"/>
      <c r="Y199" s="659"/>
      <c r="Z199" s="659"/>
      <c r="AA199" s="659"/>
      <c r="AB199" s="659"/>
      <c r="AC199" s="659"/>
      <c r="AD199" s="659"/>
      <c r="AE199" s="659"/>
      <c r="AF199" s="659"/>
      <c r="AG199" s="659"/>
      <c r="AH199" s="659"/>
      <c r="AI199" s="659"/>
      <c r="AJ199" s="659"/>
      <c r="AK199" s="659"/>
      <c r="AL199" s="659"/>
      <c r="AM199" s="659"/>
      <c r="AN199" s="659"/>
      <c r="AO199" s="659"/>
      <c r="AP199" s="659"/>
      <c r="AQ199" s="746"/>
    </row>
    <row r="200">
      <c r="A200" s="654"/>
      <c r="B200" s="738" t="s">
        <v>577</v>
      </c>
      <c r="C200" s="720">
        <v>8.0</v>
      </c>
      <c r="D200" s="721">
        <v>9.0</v>
      </c>
      <c r="E200" s="703"/>
      <c r="F200" s="897"/>
      <c r="G200" s="897"/>
      <c r="H200" s="659"/>
      <c r="I200" s="659"/>
      <c r="J200" s="659"/>
      <c r="K200" s="659"/>
      <c r="L200" s="659"/>
      <c r="M200" s="659"/>
      <c r="N200" s="949"/>
      <c r="O200" s="951"/>
      <c r="P200" s="951"/>
      <c r="Q200" s="659"/>
      <c r="R200" s="659"/>
      <c r="S200" s="659"/>
      <c r="T200" s="659"/>
      <c r="U200" s="659"/>
      <c r="V200" s="659"/>
      <c r="W200" s="659"/>
      <c r="X200" s="659"/>
      <c r="Y200" s="659"/>
      <c r="Z200" s="659"/>
      <c r="AA200" s="659"/>
      <c r="AB200" s="659"/>
      <c r="AC200" s="659"/>
      <c r="AD200" s="659"/>
      <c r="AE200" s="659"/>
      <c r="AF200" s="659"/>
      <c r="AG200" s="659"/>
      <c r="AH200" s="659"/>
      <c r="AI200" s="659"/>
      <c r="AJ200" s="659"/>
      <c r="AK200" s="659"/>
      <c r="AL200" s="659"/>
      <c r="AM200" s="659"/>
      <c r="AN200" s="659"/>
      <c r="AO200" s="659"/>
      <c r="AP200" s="659"/>
      <c r="AQ200" s="746"/>
    </row>
    <row r="201">
      <c r="A201" s="654"/>
      <c r="B201" s="738" t="s">
        <v>578</v>
      </c>
      <c r="C201" s="720">
        <v>8.0</v>
      </c>
      <c r="D201" s="721">
        <v>12.0</v>
      </c>
      <c r="E201" s="703"/>
      <c r="F201" s="897"/>
      <c r="G201" s="897"/>
      <c r="H201" s="659"/>
      <c r="I201" s="659"/>
      <c r="J201" s="659"/>
      <c r="K201" s="659"/>
      <c r="L201" s="659"/>
      <c r="M201" s="659"/>
      <c r="N201" s="949"/>
      <c r="O201" s="951"/>
      <c r="P201" s="951"/>
      <c r="Q201" s="659"/>
      <c r="R201" s="659"/>
      <c r="S201" s="659"/>
      <c r="T201" s="659"/>
      <c r="U201" s="659"/>
      <c r="V201" s="659"/>
      <c r="W201" s="659"/>
      <c r="X201" s="649"/>
      <c r="Y201" s="659"/>
      <c r="Z201" s="659"/>
      <c r="AA201" s="659"/>
      <c r="AB201" s="659"/>
      <c r="AC201" s="659"/>
      <c r="AD201" s="659"/>
      <c r="AE201" s="659"/>
      <c r="AF201" s="659"/>
      <c r="AG201" s="659"/>
      <c r="AH201" s="659"/>
      <c r="AI201" s="659"/>
      <c r="AJ201" s="659"/>
      <c r="AK201" s="659"/>
      <c r="AL201" s="659"/>
      <c r="AM201" s="659"/>
      <c r="AN201" s="659"/>
      <c r="AO201" s="659"/>
      <c r="AP201" s="659"/>
      <c r="AQ201" s="746"/>
    </row>
    <row r="202">
      <c r="A202" s="654"/>
      <c r="B202" s="738" t="s">
        <v>579</v>
      </c>
      <c r="C202" s="720">
        <v>8.0</v>
      </c>
      <c r="D202" s="721">
        <v>9.0</v>
      </c>
      <c r="E202" s="703"/>
      <c r="F202" s="897"/>
      <c r="G202" s="897"/>
      <c r="H202" s="659"/>
      <c r="I202" s="659"/>
      <c r="J202" s="659"/>
      <c r="K202" s="659"/>
      <c r="L202" s="659"/>
      <c r="M202" s="659"/>
      <c r="N202" s="949"/>
      <c r="O202" s="951"/>
      <c r="P202" s="951"/>
      <c r="Q202" s="659"/>
      <c r="R202" s="659"/>
      <c r="S202" s="659"/>
      <c r="T202" s="659"/>
      <c r="U202" s="659"/>
      <c r="V202" s="659"/>
      <c r="W202" s="659"/>
      <c r="X202" s="659"/>
      <c r="Y202" s="659"/>
      <c r="Z202" s="659"/>
      <c r="AA202" s="659"/>
      <c r="AB202" s="659"/>
      <c r="AC202" s="659"/>
      <c r="AD202" s="659"/>
      <c r="AE202" s="659"/>
      <c r="AF202" s="659"/>
      <c r="AG202" s="659"/>
      <c r="AH202" s="659"/>
      <c r="AI202" s="659"/>
      <c r="AJ202" s="659"/>
      <c r="AK202" s="659"/>
      <c r="AL202" s="659"/>
      <c r="AM202" s="659"/>
      <c r="AN202" s="659"/>
      <c r="AO202" s="659"/>
      <c r="AP202" s="659"/>
      <c r="AQ202" s="746"/>
    </row>
    <row r="203">
      <c r="A203" s="654"/>
      <c r="B203" s="704" t="s">
        <v>580</v>
      </c>
      <c r="C203" s="687">
        <v>7.0</v>
      </c>
      <c r="D203" s="702">
        <v>8.0</v>
      </c>
      <c r="E203" s="703"/>
      <c r="F203" s="897"/>
      <c r="G203" s="897"/>
      <c r="H203" s="659"/>
      <c r="I203" s="659"/>
      <c r="J203" s="659"/>
      <c r="K203" s="659"/>
      <c r="L203" s="659"/>
      <c r="M203" s="659"/>
      <c r="N203" s="949"/>
      <c r="O203" s="951"/>
      <c r="P203" s="951"/>
      <c r="Q203" s="659"/>
      <c r="R203" s="659"/>
      <c r="S203" s="659"/>
      <c r="T203" s="659"/>
      <c r="U203" s="659"/>
      <c r="V203" s="659"/>
      <c r="W203" s="659"/>
      <c r="X203" s="659"/>
      <c r="Y203" s="659"/>
      <c r="Z203" s="659"/>
      <c r="AA203" s="659"/>
      <c r="AB203" s="659"/>
      <c r="AC203" s="659"/>
      <c r="AD203" s="659"/>
      <c r="AE203" s="659"/>
      <c r="AF203" s="659"/>
      <c r="AG203" s="659"/>
      <c r="AH203" s="659"/>
      <c r="AI203" s="659"/>
      <c r="AJ203" s="659"/>
      <c r="AK203" s="659"/>
      <c r="AL203" s="659"/>
      <c r="AM203" s="659"/>
      <c r="AN203" s="659"/>
      <c r="AO203" s="659"/>
      <c r="AP203" s="659"/>
      <c r="AQ203" s="746"/>
    </row>
    <row r="204">
      <c r="A204" s="654"/>
      <c r="B204" s="704" t="s">
        <v>581</v>
      </c>
      <c r="C204" s="687">
        <v>7.0</v>
      </c>
      <c r="D204" s="702">
        <v>9.0</v>
      </c>
      <c r="E204" s="703"/>
      <c r="F204" s="897"/>
      <c r="G204" s="897"/>
      <c r="H204" s="659"/>
      <c r="I204" s="659"/>
      <c r="J204" s="659"/>
      <c r="K204" s="659"/>
      <c r="L204" s="659"/>
      <c r="M204" s="659"/>
      <c r="N204" s="949"/>
      <c r="O204" s="951"/>
      <c r="P204" s="951"/>
      <c r="Q204" s="659"/>
      <c r="R204" s="659"/>
      <c r="S204" s="659"/>
      <c r="T204" s="659"/>
      <c r="U204" s="659"/>
      <c r="V204" s="659"/>
      <c r="W204" s="659"/>
      <c r="X204" s="659"/>
      <c r="Y204" s="659"/>
      <c r="Z204" s="659"/>
      <c r="AA204" s="659"/>
      <c r="AB204" s="659"/>
      <c r="AC204" s="659"/>
      <c r="AD204" s="659"/>
      <c r="AE204" s="659"/>
      <c r="AF204" s="659"/>
      <c r="AG204" s="659"/>
      <c r="AH204" s="659"/>
      <c r="AI204" s="659"/>
      <c r="AJ204" s="659"/>
      <c r="AK204" s="659"/>
      <c r="AL204" s="659"/>
      <c r="AM204" s="659"/>
      <c r="AN204" s="659"/>
      <c r="AO204" s="659"/>
      <c r="AP204" s="659"/>
      <c r="AQ204" s="746"/>
    </row>
    <row r="205">
      <c r="A205" s="654"/>
      <c r="B205" s="704" t="s">
        <v>582</v>
      </c>
      <c r="C205" s="687">
        <v>7.0</v>
      </c>
      <c r="D205" s="702">
        <v>8.0</v>
      </c>
      <c r="E205" s="703"/>
      <c r="F205" s="897"/>
      <c r="G205" s="897"/>
      <c r="H205" s="659"/>
      <c r="I205" s="659"/>
      <c r="J205" s="659"/>
      <c r="K205" s="659"/>
      <c r="L205" s="659"/>
      <c r="M205" s="659"/>
      <c r="N205" s="949"/>
      <c r="O205" s="951"/>
      <c r="P205" s="951"/>
      <c r="Q205" s="659"/>
      <c r="R205" s="659"/>
      <c r="S205" s="659"/>
      <c r="T205" s="659"/>
      <c r="U205" s="659"/>
      <c r="V205" s="659"/>
      <c r="W205" s="659"/>
      <c r="X205" s="659"/>
      <c r="Y205" s="659"/>
      <c r="Z205" s="659"/>
      <c r="AA205" s="659"/>
      <c r="AB205" s="659"/>
      <c r="AC205" s="659"/>
      <c r="AD205" s="659"/>
      <c r="AE205" s="659"/>
      <c r="AF205" s="659"/>
      <c r="AG205" s="659"/>
      <c r="AH205" s="659"/>
      <c r="AI205" s="659"/>
      <c r="AJ205" s="659"/>
      <c r="AK205" s="659"/>
      <c r="AL205" s="659"/>
      <c r="AM205" s="659"/>
      <c r="AN205" s="659"/>
      <c r="AO205" s="659"/>
      <c r="AP205" s="659"/>
      <c r="AQ205" s="746"/>
    </row>
    <row r="206">
      <c r="A206" s="654"/>
      <c r="B206" s="738" t="s">
        <v>583</v>
      </c>
      <c r="C206" s="720">
        <v>7.0</v>
      </c>
      <c r="D206" s="721">
        <v>8.0</v>
      </c>
      <c r="E206" s="703"/>
      <c r="F206" s="897"/>
      <c r="G206" s="897"/>
      <c r="H206" s="659"/>
      <c r="I206" s="659"/>
      <c r="J206" s="659"/>
      <c r="K206" s="659"/>
      <c r="L206" s="659"/>
      <c r="M206" s="659"/>
      <c r="N206" s="949"/>
      <c r="O206" s="951"/>
      <c r="P206" s="951"/>
      <c r="Q206" s="659"/>
      <c r="R206" s="659"/>
      <c r="S206" s="659"/>
      <c r="T206" s="659"/>
      <c r="U206" s="659"/>
      <c r="V206" s="659"/>
      <c r="W206" s="659"/>
      <c r="X206" s="659"/>
      <c r="Y206" s="659"/>
      <c r="Z206" s="659"/>
      <c r="AA206" s="659"/>
      <c r="AB206" s="659"/>
      <c r="AC206" s="659"/>
      <c r="AD206" s="659"/>
      <c r="AE206" s="659"/>
      <c r="AF206" s="659"/>
      <c r="AG206" s="659"/>
      <c r="AH206" s="659"/>
      <c r="AI206" s="659"/>
      <c r="AJ206" s="659"/>
      <c r="AK206" s="659"/>
      <c r="AL206" s="659"/>
      <c r="AM206" s="659"/>
      <c r="AN206" s="659"/>
      <c r="AO206" s="659"/>
      <c r="AP206" s="659"/>
      <c r="AQ206" s="746"/>
    </row>
    <row r="207">
      <c r="A207" s="654"/>
      <c r="B207" s="704" t="s">
        <v>584</v>
      </c>
      <c r="C207" s="687">
        <v>7.0</v>
      </c>
      <c r="D207" s="702">
        <v>8.0</v>
      </c>
      <c r="E207" s="703"/>
      <c r="F207" s="897"/>
      <c r="G207" s="897"/>
      <c r="H207" s="659"/>
      <c r="I207" s="659"/>
      <c r="J207" s="659"/>
      <c r="K207" s="659"/>
      <c r="L207" s="659"/>
      <c r="M207" s="659"/>
      <c r="N207" s="949"/>
      <c r="O207" s="951"/>
      <c r="P207" s="951"/>
      <c r="Q207" s="659"/>
      <c r="R207" s="659"/>
      <c r="S207" s="659"/>
      <c r="T207" s="659"/>
      <c r="U207" s="659"/>
      <c r="V207" s="659"/>
      <c r="W207" s="659"/>
      <c r="X207" s="659"/>
      <c r="Y207" s="659"/>
      <c r="Z207" s="659"/>
      <c r="AA207" s="659"/>
      <c r="AB207" s="659"/>
      <c r="AC207" s="659"/>
      <c r="AD207" s="659"/>
      <c r="AE207" s="659"/>
      <c r="AF207" s="659"/>
      <c r="AG207" s="659"/>
      <c r="AH207" s="659"/>
      <c r="AI207" s="659"/>
      <c r="AJ207" s="659"/>
      <c r="AK207" s="659"/>
      <c r="AL207" s="659"/>
      <c r="AM207" s="659"/>
      <c r="AN207" s="659"/>
      <c r="AO207" s="659"/>
      <c r="AP207" s="659"/>
      <c r="AQ207" s="746"/>
    </row>
    <row r="208">
      <c r="A208" s="654"/>
      <c r="B208" s="686" t="s">
        <v>585</v>
      </c>
      <c r="C208" s="687">
        <v>7.0</v>
      </c>
      <c r="D208" s="702">
        <v>8.0</v>
      </c>
      <c r="E208" s="703"/>
      <c r="F208" s="897"/>
      <c r="G208" s="897"/>
      <c r="H208" s="659"/>
      <c r="I208" s="659"/>
      <c r="J208" s="659"/>
      <c r="K208" s="659"/>
      <c r="L208" s="659"/>
      <c r="M208" s="659"/>
      <c r="N208" s="949"/>
      <c r="O208" s="951"/>
      <c r="P208" s="951"/>
      <c r="Q208" s="659"/>
      <c r="R208" s="659"/>
      <c r="S208" s="659"/>
      <c r="T208" s="659"/>
      <c r="U208" s="659"/>
      <c r="V208" s="659"/>
      <c r="W208" s="659"/>
      <c r="X208" s="659"/>
      <c r="Y208" s="659"/>
      <c r="Z208" s="659"/>
      <c r="AA208" s="659"/>
      <c r="AB208" s="659"/>
      <c r="AC208" s="659"/>
      <c r="AD208" s="659"/>
      <c r="AE208" s="659"/>
      <c r="AF208" s="659"/>
      <c r="AG208" s="659"/>
      <c r="AH208" s="659"/>
      <c r="AI208" s="659"/>
      <c r="AJ208" s="659"/>
      <c r="AK208" s="659"/>
      <c r="AL208" s="659"/>
      <c r="AM208" s="659"/>
      <c r="AN208" s="659"/>
      <c r="AO208" s="659"/>
      <c r="AP208" s="659"/>
      <c r="AQ208" s="746"/>
    </row>
    <row r="209">
      <c r="A209" s="654"/>
      <c r="B209" s="719" t="s">
        <v>586</v>
      </c>
      <c r="C209" s="720">
        <v>7.0</v>
      </c>
      <c r="D209" s="721">
        <v>8.0</v>
      </c>
      <c r="E209" s="703"/>
      <c r="F209" s="897"/>
      <c r="G209" s="897"/>
      <c r="H209" s="659"/>
      <c r="I209" s="659"/>
      <c r="J209" s="659"/>
      <c r="K209" s="659"/>
      <c r="L209" s="659"/>
      <c r="M209" s="659"/>
      <c r="N209" s="949"/>
      <c r="O209" s="951"/>
      <c r="P209" s="951"/>
      <c r="Q209" s="659"/>
      <c r="R209" s="659"/>
      <c r="S209" s="659"/>
      <c r="T209" s="659"/>
      <c r="U209" s="659"/>
      <c r="V209" s="659"/>
      <c r="W209" s="659"/>
      <c r="X209" s="659"/>
      <c r="Y209" s="659"/>
      <c r="Z209" s="659"/>
      <c r="AA209" s="659"/>
      <c r="AB209" s="659"/>
      <c r="AC209" s="659"/>
      <c r="AD209" s="659"/>
      <c r="AE209" s="659"/>
      <c r="AF209" s="659"/>
      <c r="AG209" s="659"/>
      <c r="AH209" s="659"/>
      <c r="AI209" s="659"/>
      <c r="AJ209" s="659"/>
      <c r="AK209" s="659"/>
      <c r="AL209" s="659"/>
      <c r="AM209" s="659"/>
      <c r="AN209" s="659"/>
      <c r="AO209" s="659"/>
      <c r="AP209" s="659"/>
      <c r="AQ209" s="746"/>
    </row>
    <row r="210">
      <c r="A210" s="654"/>
      <c r="B210" s="686" t="s">
        <v>587</v>
      </c>
      <c r="C210" s="687">
        <v>7.0</v>
      </c>
      <c r="D210" s="702">
        <v>9.0</v>
      </c>
      <c r="E210" s="703"/>
      <c r="F210" s="897"/>
      <c r="G210" s="897"/>
      <c r="H210" s="659"/>
      <c r="I210" s="659"/>
      <c r="J210" s="659"/>
      <c r="K210" s="659"/>
      <c r="L210" s="659"/>
      <c r="M210" s="659"/>
      <c r="N210" s="949"/>
      <c r="O210" s="951"/>
      <c r="P210" s="951"/>
      <c r="Q210" s="659"/>
      <c r="R210" s="659"/>
      <c r="S210" s="659"/>
      <c r="T210" s="659"/>
      <c r="U210" s="659"/>
      <c r="V210" s="659"/>
      <c r="W210" s="659"/>
      <c r="X210" s="659"/>
      <c r="Y210" s="659"/>
      <c r="Z210" s="659"/>
      <c r="AA210" s="659"/>
      <c r="AB210" s="659"/>
      <c r="AC210" s="659"/>
      <c r="AD210" s="659"/>
      <c r="AE210" s="659"/>
      <c r="AF210" s="659"/>
      <c r="AG210" s="659"/>
      <c r="AH210" s="659"/>
      <c r="AI210" s="659"/>
      <c r="AJ210" s="659"/>
      <c r="AK210" s="659"/>
      <c r="AL210" s="659"/>
      <c r="AM210" s="659"/>
      <c r="AN210" s="659"/>
      <c r="AO210" s="659"/>
      <c r="AP210" s="659"/>
      <c r="AQ210" s="746"/>
    </row>
    <row r="211">
      <c r="A211" s="654"/>
      <c r="B211" s="704" t="s">
        <v>588</v>
      </c>
      <c r="C211" s="687">
        <v>7.0</v>
      </c>
      <c r="D211" s="702">
        <v>9.0</v>
      </c>
      <c r="E211" s="703"/>
      <c r="F211" s="897"/>
      <c r="G211" s="897"/>
      <c r="H211" s="659"/>
      <c r="I211" s="659"/>
      <c r="J211" s="659"/>
      <c r="K211" s="659"/>
      <c r="L211" s="659"/>
      <c r="M211" s="659"/>
      <c r="N211" s="949"/>
      <c r="O211" s="951"/>
      <c r="P211" s="951"/>
      <c r="Q211" s="659"/>
      <c r="R211" s="659"/>
      <c r="S211" s="659"/>
      <c r="T211" s="659"/>
      <c r="U211" s="659"/>
      <c r="V211" s="659"/>
      <c r="W211" s="659"/>
      <c r="X211" s="659"/>
      <c r="Y211" s="659"/>
      <c r="Z211" s="659"/>
      <c r="AA211" s="659"/>
      <c r="AB211" s="659"/>
      <c r="AC211" s="659"/>
      <c r="AD211" s="659"/>
      <c r="AE211" s="659"/>
      <c r="AF211" s="659"/>
      <c r="AG211" s="659"/>
      <c r="AH211" s="659"/>
      <c r="AI211" s="659"/>
      <c r="AJ211" s="659"/>
      <c r="AK211" s="659"/>
      <c r="AL211" s="659"/>
      <c r="AM211" s="659"/>
      <c r="AN211" s="659"/>
      <c r="AO211" s="659"/>
      <c r="AP211" s="659"/>
      <c r="AQ211" s="746"/>
    </row>
    <row r="212">
      <c r="A212" s="654"/>
      <c r="B212" s="976" t="s">
        <v>589</v>
      </c>
      <c r="C212" s="973">
        <v>7.0</v>
      </c>
      <c r="D212" s="974">
        <v>9.0</v>
      </c>
      <c r="E212" s="703"/>
      <c r="F212" s="897"/>
      <c r="G212" s="897"/>
      <c r="H212" s="659"/>
      <c r="I212" s="659"/>
      <c r="J212" s="659"/>
      <c r="K212" s="659"/>
      <c r="L212" s="659"/>
      <c r="M212" s="659"/>
      <c r="N212" s="949"/>
      <c r="O212" s="951"/>
      <c r="P212" s="951"/>
      <c r="Q212" s="659"/>
      <c r="R212" s="659"/>
      <c r="S212" s="659"/>
      <c r="T212" s="659"/>
      <c r="U212" s="659"/>
      <c r="V212" s="659"/>
      <c r="W212" s="659"/>
      <c r="X212" s="649"/>
      <c r="Y212" s="659"/>
      <c r="Z212" s="659"/>
      <c r="AA212" s="659"/>
      <c r="AB212" s="659"/>
      <c r="AC212" s="659"/>
      <c r="AD212" s="659"/>
      <c r="AE212" s="659"/>
      <c r="AF212" s="659"/>
      <c r="AG212" s="659"/>
      <c r="AH212" s="659"/>
      <c r="AI212" s="659"/>
      <c r="AJ212" s="659"/>
      <c r="AK212" s="659"/>
      <c r="AL212" s="659"/>
      <c r="AM212" s="659"/>
      <c r="AN212" s="659"/>
      <c r="AO212" s="659"/>
      <c r="AP212" s="659"/>
      <c r="AQ212" s="746"/>
    </row>
    <row r="213">
      <c r="A213" s="654"/>
      <c r="B213" s="686" t="s">
        <v>590</v>
      </c>
      <c r="C213" s="687">
        <v>7.0</v>
      </c>
      <c r="D213" s="702">
        <v>10.0</v>
      </c>
      <c r="E213" s="703"/>
      <c r="F213" s="897"/>
      <c r="G213" s="897"/>
      <c r="H213" s="659"/>
      <c r="I213" s="659"/>
      <c r="J213" s="659"/>
      <c r="K213" s="659"/>
      <c r="L213" s="659"/>
      <c r="M213" s="659"/>
      <c r="N213" s="949"/>
      <c r="O213" s="951"/>
      <c r="P213" s="951"/>
      <c r="Q213" s="659"/>
      <c r="R213" s="659"/>
      <c r="S213" s="659"/>
      <c r="T213" s="659"/>
      <c r="U213" s="659"/>
      <c r="V213" s="659"/>
      <c r="W213" s="659"/>
      <c r="X213" s="659"/>
      <c r="Y213" s="659"/>
      <c r="Z213" s="659"/>
      <c r="AA213" s="659"/>
      <c r="AB213" s="659"/>
      <c r="AC213" s="659"/>
      <c r="AD213" s="659"/>
      <c r="AE213" s="659"/>
      <c r="AF213" s="659"/>
      <c r="AG213" s="659"/>
      <c r="AH213" s="659"/>
      <c r="AI213" s="659"/>
      <c r="AJ213" s="659"/>
      <c r="AK213" s="659"/>
      <c r="AL213" s="659"/>
      <c r="AM213" s="659"/>
      <c r="AN213" s="659"/>
      <c r="AO213" s="659"/>
      <c r="AP213" s="659"/>
      <c r="AQ213" s="746"/>
    </row>
    <row r="214">
      <c r="A214" s="654"/>
      <c r="B214" s="686" t="s">
        <v>591</v>
      </c>
      <c r="C214" s="687">
        <v>7.0</v>
      </c>
      <c r="D214" s="702">
        <v>9.0</v>
      </c>
      <c r="E214" s="703"/>
      <c r="F214" s="897"/>
      <c r="G214" s="897"/>
      <c r="H214" s="659"/>
      <c r="I214" s="659"/>
      <c r="J214" s="659"/>
      <c r="K214" s="659"/>
      <c r="L214" s="659"/>
      <c r="M214" s="659"/>
      <c r="N214" s="949"/>
      <c r="O214" s="951"/>
      <c r="P214" s="951"/>
      <c r="Q214" s="659"/>
      <c r="R214" s="659"/>
      <c r="S214" s="659"/>
      <c r="T214" s="659"/>
      <c r="U214" s="659"/>
      <c r="V214" s="659"/>
      <c r="W214" s="659"/>
      <c r="X214" s="659"/>
      <c r="Y214" s="659"/>
      <c r="Z214" s="659"/>
      <c r="AA214" s="659"/>
      <c r="AB214" s="659"/>
      <c r="AC214" s="659"/>
      <c r="AD214" s="659"/>
      <c r="AE214" s="659"/>
      <c r="AF214" s="659"/>
      <c r="AG214" s="659"/>
      <c r="AH214" s="659"/>
      <c r="AI214" s="659"/>
      <c r="AJ214" s="659"/>
      <c r="AK214" s="659"/>
      <c r="AL214" s="659"/>
      <c r="AM214" s="659"/>
      <c r="AN214" s="659"/>
      <c r="AO214" s="659"/>
      <c r="AP214" s="659"/>
      <c r="AQ214" s="746"/>
    </row>
    <row r="215">
      <c r="A215" s="654"/>
      <c r="B215" s="719" t="s">
        <v>592</v>
      </c>
      <c r="C215" s="720">
        <v>7.0</v>
      </c>
      <c r="D215" s="721">
        <v>9.0</v>
      </c>
      <c r="E215" s="703"/>
      <c r="F215" s="897"/>
      <c r="G215" s="897"/>
      <c r="H215" s="659"/>
      <c r="I215" s="659"/>
      <c r="J215" s="659"/>
      <c r="K215" s="659"/>
      <c r="L215" s="659"/>
      <c r="M215" s="659"/>
      <c r="N215" s="949"/>
      <c r="O215" s="951"/>
      <c r="P215" s="951"/>
      <c r="Q215" s="659"/>
      <c r="R215" s="659"/>
      <c r="S215" s="659"/>
      <c r="T215" s="659"/>
      <c r="U215" s="659"/>
      <c r="V215" s="659"/>
      <c r="W215" s="659"/>
      <c r="X215" s="659"/>
      <c r="Y215" s="659"/>
      <c r="Z215" s="659"/>
      <c r="AA215" s="659"/>
      <c r="AB215" s="659"/>
      <c r="AC215" s="659"/>
      <c r="AD215" s="659"/>
      <c r="AE215" s="659"/>
      <c r="AF215" s="659"/>
      <c r="AG215" s="659"/>
      <c r="AH215" s="659"/>
      <c r="AI215" s="659"/>
      <c r="AJ215" s="659"/>
      <c r="AK215" s="659"/>
      <c r="AL215" s="659"/>
      <c r="AM215" s="659"/>
      <c r="AN215" s="659"/>
      <c r="AO215" s="659"/>
      <c r="AP215" s="659"/>
      <c r="AQ215" s="746"/>
    </row>
    <row r="216">
      <c r="A216" s="654"/>
      <c r="B216" s="686" t="s">
        <v>593</v>
      </c>
      <c r="C216" s="687">
        <v>7.0</v>
      </c>
      <c r="D216" s="702">
        <v>8.0</v>
      </c>
      <c r="E216" s="703"/>
      <c r="F216" s="897"/>
      <c r="G216" s="897"/>
      <c r="H216" s="659"/>
      <c r="I216" s="659"/>
      <c r="J216" s="659"/>
      <c r="K216" s="659"/>
      <c r="L216" s="659"/>
      <c r="M216" s="659"/>
      <c r="N216" s="949"/>
      <c r="O216" s="951"/>
      <c r="P216" s="951"/>
      <c r="Q216" s="659"/>
      <c r="R216" s="659"/>
      <c r="S216" s="659"/>
      <c r="T216" s="659"/>
      <c r="U216" s="659"/>
      <c r="V216" s="659"/>
      <c r="W216" s="659"/>
      <c r="X216" s="659"/>
      <c r="Y216" s="659"/>
      <c r="Z216" s="659"/>
      <c r="AA216" s="659"/>
      <c r="AB216" s="659"/>
      <c r="AC216" s="659"/>
      <c r="AD216" s="659"/>
      <c r="AE216" s="659"/>
      <c r="AF216" s="659"/>
      <c r="AG216" s="659"/>
      <c r="AH216" s="659"/>
      <c r="AI216" s="659"/>
      <c r="AJ216" s="659"/>
      <c r="AK216" s="659"/>
      <c r="AL216" s="659"/>
      <c r="AM216" s="659"/>
      <c r="AN216" s="659"/>
      <c r="AO216" s="659"/>
      <c r="AP216" s="659"/>
      <c r="AQ216" s="746"/>
    </row>
    <row r="217">
      <c r="A217" s="654"/>
      <c r="B217" s="686" t="s">
        <v>594</v>
      </c>
      <c r="C217" s="687">
        <v>7.0</v>
      </c>
      <c r="D217" s="702">
        <v>9.0</v>
      </c>
      <c r="E217" s="703"/>
      <c r="F217" s="897"/>
      <c r="G217" s="897"/>
      <c r="H217" s="659"/>
      <c r="I217" s="659"/>
      <c r="J217" s="659"/>
      <c r="K217" s="659"/>
      <c r="L217" s="659"/>
      <c r="M217" s="659"/>
      <c r="N217" s="949"/>
      <c r="O217" s="951"/>
      <c r="P217" s="951"/>
      <c r="Q217" s="659"/>
      <c r="R217" s="659"/>
      <c r="S217" s="659"/>
      <c r="T217" s="659"/>
      <c r="U217" s="659"/>
      <c r="V217" s="659"/>
      <c r="W217" s="659"/>
      <c r="X217" s="659"/>
      <c r="Y217" s="659"/>
      <c r="Z217" s="659"/>
      <c r="AA217" s="659"/>
      <c r="AB217" s="659"/>
      <c r="AC217" s="659"/>
      <c r="AD217" s="659"/>
      <c r="AE217" s="659"/>
      <c r="AF217" s="659"/>
      <c r="AG217" s="659"/>
      <c r="AH217" s="659"/>
      <c r="AI217" s="659"/>
      <c r="AJ217" s="659"/>
      <c r="AK217" s="659"/>
      <c r="AL217" s="659"/>
      <c r="AM217" s="659"/>
      <c r="AN217" s="659"/>
      <c r="AO217" s="659"/>
      <c r="AP217" s="659"/>
      <c r="AQ217" s="746"/>
    </row>
    <row r="218">
      <c r="A218" s="654"/>
      <c r="B218" s="686" t="s">
        <v>595</v>
      </c>
      <c r="C218" s="687">
        <v>7.0</v>
      </c>
      <c r="D218" s="702">
        <v>8.0</v>
      </c>
      <c r="E218" s="703"/>
      <c r="F218" s="897"/>
      <c r="G218" s="897"/>
      <c r="H218" s="659"/>
      <c r="I218" s="659"/>
      <c r="J218" s="659"/>
      <c r="K218" s="659"/>
      <c r="L218" s="659"/>
      <c r="M218" s="659"/>
      <c r="N218" s="949"/>
      <c r="O218" s="951"/>
      <c r="P218" s="951"/>
      <c r="Q218" s="659"/>
      <c r="R218" s="659"/>
      <c r="S218" s="659"/>
      <c r="T218" s="659"/>
      <c r="U218" s="659"/>
      <c r="V218" s="659"/>
      <c r="W218" s="659"/>
      <c r="X218" s="659"/>
      <c r="Y218" s="659"/>
      <c r="Z218" s="659"/>
      <c r="AA218" s="659"/>
      <c r="AB218" s="659"/>
      <c r="AC218" s="659"/>
      <c r="AD218" s="659"/>
      <c r="AE218" s="659"/>
      <c r="AF218" s="659"/>
      <c r="AG218" s="659"/>
      <c r="AH218" s="659"/>
      <c r="AI218" s="659"/>
      <c r="AJ218" s="659"/>
      <c r="AK218" s="659"/>
      <c r="AL218" s="659"/>
      <c r="AM218" s="659"/>
      <c r="AN218" s="659"/>
      <c r="AO218" s="659"/>
      <c r="AP218" s="659"/>
      <c r="AQ218" s="746"/>
    </row>
    <row r="219">
      <c r="A219" s="654"/>
      <c r="B219" s="719" t="s">
        <v>596</v>
      </c>
      <c r="C219" s="720">
        <v>7.0</v>
      </c>
      <c r="D219" s="721">
        <v>8.0</v>
      </c>
      <c r="E219" s="703"/>
      <c r="F219" s="897"/>
      <c r="G219" s="897"/>
      <c r="H219" s="659"/>
      <c r="I219" s="659"/>
      <c r="J219" s="659"/>
      <c r="K219" s="659"/>
      <c r="L219" s="659"/>
      <c r="M219" s="659"/>
      <c r="N219" s="949"/>
      <c r="O219" s="951"/>
      <c r="P219" s="951"/>
      <c r="Q219" s="659"/>
      <c r="R219" s="659"/>
      <c r="S219" s="659"/>
      <c r="T219" s="659"/>
      <c r="U219" s="659"/>
      <c r="V219" s="659"/>
      <c r="W219" s="659"/>
      <c r="X219" s="659"/>
      <c r="Y219" s="659"/>
      <c r="Z219" s="659"/>
      <c r="AA219" s="659"/>
      <c r="AB219" s="659"/>
      <c r="AC219" s="659"/>
      <c r="AD219" s="659"/>
      <c r="AE219" s="659"/>
      <c r="AF219" s="659"/>
      <c r="AG219" s="659"/>
      <c r="AH219" s="659"/>
      <c r="AI219" s="659"/>
      <c r="AJ219" s="659"/>
      <c r="AK219" s="659"/>
      <c r="AL219" s="659"/>
      <c r="AM219" s="659"/>
      <c r="AN219" s="659"/>
      <c r="AO219" s="659"/>
      <c r="AP219" s="659"/>
      <c r="AQ219" s="746"/>
    </row>
    <row r="220">
      <c r="A220" s="654"/>
      <c r="B220" s="719" t="s">
        <v>597</v>
      </c>
      <c r="C220" s="720">
        <v>7.0</v>
      </c>
      <c r="D220" s="721">
        <v>8.0</v>
      </c>
      <c r="E220" s="703"/>
      <c r="F220" s="951"/>
      <c r="G220" s="951"/>
      <c r="H220" s="951"/>
      <c r="I220" s="951"/>
      <c r="J220" s="951"/>
      <c r="K220" s="951"/>
      <c r="L220" s="951"/>
      <c r="M220" s="951"/>
      <c r="N220" s="659"/>
      <c r="O220" s="951"/>
      <c r="P220" s="951"/>
      <c r="Q220" s="659"/>
      <c r="R220" s="659"/>
      <c r="S220" s="659"/>
      <c r="T220" s="659"/>
      <c r="U220" s="659"/>
      <c r="V220" s="659"/>
      <c r="W220" s="659"/>
      <c r="X220" s="659"/>
      <c r="Y220" s="659"/>
      <c r="Z220" s="659"/>
      <c r="AA220" s="659"/>
      <c r="AB220" s="659"/>
      <c r="AC220" s="659"/>
      <c r="AD220" s="659"/>
      <c r="AE220" s="659"/>
      <c r="AF220" s="659"/>
      <c r="AG220" s="659"/>
      <c r="AH220" s="659"/>
      <c r="AI220" s="659"/>
      <c r="AJ220" s="659"/>
      <c r="AK220" s="659"/>
      <c r="AL220" s="659"/>
      <c r="AM220" s="659"/>
      <c r="AN220" s="659"/>
      <c r="AO220" s="659"/>
      <c r="AP220" s="659"/>
      <c r="AQ220" s="746"/>
    </row>
    <row r="221">
      <c r="A221" s="654"/>
      <c r="B221" s="686" t="s">
        <v>598</v>
      </c>
      <c r="C221" s="687">
        <v>7.0</v>
      </c>
      <c r="D221" s="702">
        <v>10.0</v>
      </c>
      <c r="E221" s="703"/>
      <c r="F221" s="951"/>
      <c r="G221" s="951"/>
      <c r="H221" s="951"/>
      <c r="I221" s="951"/>
      <c r="J221" s="951"/>
      <c r="K221" s="951"/>
      <c r="L221" s="951"/>
      <c r="M221" s="951"/>
      <c r="N221" s="659"/>
      <c r="O221" s="951"/>
      <c r="P221" s="951"/>
      <c r="Q221" s="659"/>
      <c r="R221" s="659"/>
      <c r="S221" s="659"/>
      <c r="T221" s="659"/>
      <c r="U221" s="659"/>
      <c r="V221" s="659"/>
      <c r="W221" s="659"/>
      <c r="X221" s="659"/>
      <c r="Y221" s="659"/>
      <c r="Z221" s="659"/>
      <c r="AA221" s="659"/>
      <c r="AB221" s="659"/>
      <c r="AC221" s="659"/>
      <c r="AD221" s="659"/>
      <c r="AE221" s="659"/>
      <c r="AF221" s="659"/>
      <c r="AG221" s="659"/>
      <c r="AH221" s="659"/>
      <c r="AI221" s="659"/>
      <c r="AJ221" s="659"/>
      <c r="AK221" s="659"/>
      <c r="AL221" s="659"/>
      <c r="AM221" s="659"/>
      <c r="AN221" s="659"/>
      <c r="AO221" s="659"/>
      <c r="AP221" s="659"/>
      <c r="AQ221" s="746"/>
    </row>
    <row r="222">
      <c r="A222" s="654"/>
      <c r="B222" s="686" t="s">
        <v>599</v>
      </c>
      <c r="C222" s="687">
        <v>7.0</v>
      </c>
      <c r="D222" s="702">
        <v>8.0</v>
      </c>
      <c r="E222" s="703"/>
      <c r="F222" s="951"/>
      <c r="G222" s="951"/>
      <c r="H222" s="951"/>
      <c r="I222" s="951"/>
      <c r="J222" s="951"/>
      <c r="K222" s="951"/>
      <c r="L222" s="951"/>
      <c r="M222" s="951"/>
      <c r="N222" s="659"/>
      <c r="O222" s="951"/>
      <c r="P222" s="951"/>
      <c r="Q222" s="659"/>
      <c r="R222" s="659"/>
      <c r="S222" s="659"/>
      <c r="T222" s="659"/>
      <c r="U222" s="659"/>
      <c r="V222" s="659"/>
      <c r="W222" s="659"/>
      <c r="X222" s="659"/>
      <c r="Y222" s="659"/>
      <c r="Z222" s="659"/>
      <c r="AA222" s="659"/>
      <c r="AB222" s="659"/>
      <c r="AC222" s="659"/>
      <c r="AD222" s="659"/>
      <c r="AE222" s="659"/>
      <c r="AF222" s="659"/>
      <c r="AG222" s="659"/>
      <c r="AH222" s="659"/>
      <c r="AI222" s="659"/>
      <c r="AJ222" s="659"/>
      <c r="AK222" s="659"/>
      <c r="AL222" s="659"/>
      <c r="AM222" s="659"/>
      <c r="AN222" s="659"/>
      <c r="AO222" s="659"/>
      <c r="AP222" s="659"/>
      <c r="AQ222" s="746"/>
    </row>
    <row r="223">
      <c r="A223" s="654"/>
      <c r="B223" s="686" t="s">
        <v>600</v>
      </c>
      <c r="C223" s="687">
        <v>7.0</v>
      </c>
      <c r="D223" s="702">
        <v>8.0</v>
      </c>
      <c r="E223" s="703"/>
      <c r="F223" s="951"/>
      <c r="G223" s="951"/>
      <c r="H223" s="951"/>
      <c r="I223" s="951"/>
      <c r="J223" s="951"/>
      <c r="K223" s="951"/>
      <c r="L223" s="951"/>
      <c r="M223" s="951"/>
      <c r="N223" s="659"/>
      <c r="O223" s="951"/>
      <c r="P223" s="951"/>
      <c r="Q223" s="659"/>
      <c r="R223" s="659"/>
      <c r="S223" s="659"/>
      <c r="T223" s="659"/>
      <c r="U223" s="659"/>
      <c r="V223" s="659"/>
      <c r="W223" s="659"/>
      <c r="X223" s="649"/>
      <c r="Y223" s="659"/>
      <c r="Z223" s="659"/>
      <c r="AA223" s="659"/>
      <c r="AB223" s="659"/>
      <c r="AC223" s="659"/>
      <c r="AD223" s="659"/>
      <c r="AE223" s="659"/>
      <c r="AF223" s="659"/>
      <c r="AG223" s="659"/>
      <c r="AH223" s="659"/>
      <c r="AI223" s="659"/>
      <c r="AJ223" s="659"/>
      <c r="AK223" s="659"/>
      <c r="AL223" s="659"/>
      <c r="AM223" s="659"/>
      <c r="AN223" s="659"/>
      <c r="AO223" s="659"/>
      <c r="AP223" s="659"/>
      <c r="AQ223" s="746"/>
    </row>
    <row r="224">
      <c r="A224" s="654"/>
      <c r="B224" s="704" t="s">
        <v>601</v>
      </c>
      <c r="C224" s="687">
        <v>7.0</v>
      </c>
      <c r="D224" s="702">
        <v>8.0</v>
      </c>
      <c r="E224" s="703"/>
      <c r="F224" s="951"/>
      <c r="G224" s="951"/>
      <c r="H224" s="951"/>
      <c r="I224" s="951"/>
      <c r="J224" s="951"/>
      <c r="K224" s="951"/>
      <c r="L224" s="951"/>
      <c r="M224" s="951"/>
      <c r="N224" s="659"/>
      <c r="O224" s="951"/>
      <c r="P224" s="951"/>
      <c r="Q224" s="659"/>
      <c r="R224" s="659"/>
      <c r="S224" s="659"/>
      <c r="T224" s="659"/>
      <c r="U224" s="659"/>
      <c r="V224" s="659"/>
      <c r="W224" s="659"/>
      <c r="X224" s="659"/>
      <c r="Y224" s="659"/>
      <c r="Z224" s="659"/>
      <c r="AA224" s="659"/>
      <c r="AB224" s="659"/>
      <c r="AC224" s="659"/>
      <c r="AD224" s="659"/>
      <c r="AE224" s="659"/>
      <c r="AF224" s="659"/>
      <c r="AG224" s="659"/>
      <c r="AH224" s="659"/>
      <c r="AI224" s="659"/>
      <c r="AJ224" s="659"/>
      <c r="AK224" s="659"/>
      <c r="AL224" s="659"/>
      <c r="AM224" s="659"/>
      <c r="AN224" s="659"/>
      <c r="AO224" s="659"/>
      <c r="AP224" s="659"/>
      <c r="AQ224" s="746"/>
    </row>
    <row r="225">
      <c r="A225" s="654"/>
      <c r="B225" s="704" t="s">
        <v>602</v>
      </c>
      <c r="C225" s="687">
        <v>7.0</v>
      </c>
      <c r="D225" s="702">
        <v>8.0</v>
      </c>
      <c r="E225" s="703"/>
      <c r="F225" s="951"/>
      <c r="G225" s="951"/>
      <c r="H225" s="951"/>
      <c r="I225" s="951"/>
      <c r="J225" s="951"/>
      <c r="K225" s="951"/>
      <c r="L225" s="951"/>
      <c r="M225" s="951"/>
      <c r="N225" s="659"/>
      <c r="O225" s="951"/>
      <c r="P225" s="951"/>
      <c r="Q225" s="659"/>
      <c r="R225" s="659"/>
      <c r="S225" s="659"/>
      <c r="T225" s="659"/>
      <c r="U225" s="659"/>
      <c r="V225" s="659"/>
      <c r="W225" s="659"/>
      <c r="X225" s="659"/>
      <c r="Y225" s="659"/>
      <c r="Z225" s="659"/>
      <c r="AA225" s="659"/>
      <c r="AB225" s="659"/>
      <c r="AC225" s="659"/>
      <c r="AD225" s="659"/>
      <c r="AE225" s="659"/>
      <c r="AF225" s="659"/>
      <c r="AG225" s="659"/>
      <c r="AH225" s="659"/>
      <c r="AI225" s="659"/>
      <c r="AJ225" s="659"/>
      <c r="AK225" s="659"/>
      <c r="AL225" s="659"/>
      <c r="AM225" s="659"/>
      <c r="AN225" s="659"/>
      <c r="AO225" s="659"/>
      <c r="AP225" s="659"/>
      <c r="AQ225" s="746"/>
    </row>
    <row r="226">
      <c r="A226" s="654"/>
      <c r="B226" s="704" t="s">
        <v>603</v>
      </c>
      <c r="C226" s="687">
        <v>7.0</v>
      </c>
      <c r="D226" s="702">
        <v>8.0</v>
      </c>
      <c r="E226" s="703"/>
      <c r="F226" s="951"/>
      <c r="G226" s="951"/>
      <c r="H226" s="951"/>
      <c r="I226" s="951"/>
      <c r="J226" s="951"/>
      <c r="K226" s="951"/>
      <c r="L226" s="951"/>
      <c r="M226" s="951"/>
      <c r="N226" s="659"/>
      <c r="O226" s="951"/>
      <c r="P226" s="951"/>
      <c r="Q226" s="659"/>
      <c r="R226" s="659"/>
      <c r="S226" s="659"/>
      <c r="T226" s="659"/>
      <c r="U226" s="659"/>
      <c r="V226" s="659"/>
      <c r="W226" s="659"/>
      <c r="X226" s="659"/>
      <c r="Y226" s="659"/>
      <c r="Z226" s="659"/>
      <c r="AA226" s="659"/>
      <c r="AB226" s="659"/>
      <c r="AC226" s="659"/>
      <c r="AD226" s="659"/>
      <c r="AE226" s="659"/>
      <c r="AF226" s="659"/>
      <c r="AG226" s="659"/>
      <c r="AH226" s="659"/>
      <c r="AI226" s="659"/>
      <c r="AJ226" s="659"/>
      <c r="AK226" s="659"/>
      <c r="AL226" s="659"/>
      <c r="AM226" s="659"/>
      <c r="AN226" s="659"/>
      <c r="AO226" s="659"/>
      <c r="AP226" s="659"/>
      <c r="AQ226" s="746"/>
    </row>
    <row r="227">
      <c r="A227" s="654"/>
      <c r="B227" s="738" t="s">
        <v>604</v>
      </c>
      <c r="C227" s="720">
        <v>7.0</v>
      </c>
      <c r="D227" s="721">
        <v>8.0</v>
      </c>
      <c r="E227" s="703"/>
      <c r="F227" s="951"/>
      <c r="G227" s="951"/>
      <c r="H227" s="951"/>
      <c r="I227" s="951"/>
      <c r="J227" s="951"/>
      <c r="K227" s="951"/>
      <c r="L227" s="951"/>
      <c r="M227" s="951"/>
      <c r="N227" s="659"/>
      <c r="O227" s="951"/>
      <c r="P227" s="951"/>
      <c r="Q227" s="659"/>
      <c r="R227" s="659"/>
      <c r="S227" s="659"/>
      <c r="T227" s="659"/>
      <c r="U227" s="659"/>
      <c r="V227" s="659"/>
      <c r="W227" s="659"/>
      <c r="X227" s="659"/>
      <c r="Y227" s="659"/>
      <c r="Z227" s="659"/>
      <c r="AA227" s="659"/>
      <c r="AB227" s="659"/>
      <c r="AC227" s="659"/>
      <c r="AD227" s="659"/>
      <c r="AE227" s="659"/>
      <c r="AF227" s="659"/>
      <c r="AG227" s="659"/>
      <c r="AH227" s="659"/>
      <c r="AI227" s="659"/>
      <c r="AJ227" s="659"/>
      <c r="AK227" s="659"/>
      <c r="AL227" s="659"/>
      <c r="AM227" s="659"/>
      <c r="AN227" s="659"/>
      <c r="AO227" s="659"/>
      <c r="AP227" s="659"/>
      <c r="AQ227" s="746"/>
    </row>
    <row r="228">
      <c r="A228" s="654"/>
      <c r="B228" s="704" t="s">
        <v>605</v>
      </c>
      <c r="C228" s="687">
        <v>7.0</v>
      </c>
      <c r="D228" s="702">
        <v>8.0</v>
      </c>
      <c r="E228" s="703"/>
      <c r="F228" s="951"/>
      <c r="G228" s="951"/>
      <c r="H228" s="951"/>
      <c r="I228" s="951"/>
      <c r="J228" s="951"/>
      <c r="K228" s="951"/>
      <c r="L228" s="951"/>
      <c r="M228" s="951"/>
      <c r="N228" s="659"/>
      <c r="O228" s="951"/>
      <c r="P228" s="951"/>
      <c r="Q228" s="659"/>
      <c r="R228" s="659"/>
      <c r="S228" s="659"/>
      <c r="T228" s="659"/>
      <c r="U228" s="659"/>
      <c r="V228" s="659"/>
      <c r="W228" s="659"/>
      <c r="X228" s="659"/>
      <c r="Y228" s="659"/>
      <c r="Z228" s="659"/>
      <c r="AA228" s="659"/>
      <c r="AB228" s="659"/>
      <c r="AC228" s="659"/>
      <c r="AD228" s="659"/>
      <c r="AE228" s="659"/>
      <c r="AF228" s="659"/>
      <c r="AG228" s="659"/>
      <c r="AH228" s="659"/>
      <c r="AI228" s="659"/>
      <c r="AJ228" s="659"/>
      <c r="AK228" s="659"/>
      <c r="AL228" s="659"/>
      <c r="AM228" s="659"/>
      <c r="AN228" s="659"/>
      <c r="AO228" s="659"/>
      <c r="AP228" s="659"/>
      <c r="AQ228" s="746"/>
    </row>
    <row r="229">
      <c r="A229" s="654"/>
      <c r="B229" s="704" t="s">
        <v>311</v>
      </c>
      <c r="C229" s="687">
        <v>7.0</v>
      </c>
      <c r="D229" s="702">
        <v>8.0</v>
      </c>
      <c r="E229" s="703"/>
      <c r="F229" s="951"/>
      <c r="G229" s="951"/>
      <c r="H229" s="951"/>
      <c r="I229" s="951"/>
      <c r="J229" s="951"/>
      <c r="K229" s="951"/>
      <c r="L229" s="951"/>
      <c r="M229" s="951"/>
      <c r="N229" s="659"/>
      <c r="O229" s="951"/>
      <c r="P229" s="951"/>
      <c r="Q229" s="659"/>
      <c r="R229" s="659"/>
      <c r="S229" s="659"/>
      <c r="T229" s="659"/>
      <c r="U229" s="659"/>
      <c r="V229" s="659"/>
      <c r="W229" s="659"/>
      <c r="X229" s="659"/>
      <c r="Y229" s="659"/>
      <c r="Z229" s="659"/>
      <c r="AA229" s="659"/>
      <c r="AB229" s="659"/>
      <c r="AC229" s="659"/>
      <c r="AD229" s="659"/>
      <c r="AE229" s="659"/>
      <c r="AF229" s="659"/>
      <c r="AG229" s="659"/>
      <c r="AH229" s="659"/>
      <c r="AI229" s="659"/>
      <c r="AJ229" s="659"/>
      <c r="AK229" s="659"/>
      <c r="AL229" s="659"/>
      <c r="AM229" s="659"/>
      <c r="AN229" s="659"/>
      <c r="AO229" s="659"/>
      <c r="AP229" s="659"/>
      <c r="AQ229" s="746"/>
    </row>
    <row r="230">
      <c r="A230" s="736"/>
      <c r="B230" s="738" t="s">
        <v>312</v>
      </c>
      <c r="C230" s="720">
        <v>7.0</v>
      </c>
      <c r="D230" s="721">
        <v>9.0</v>
      </c>
      <c r="E230" s="703"/>
      <c r="F230" s="951"/>
      <c r="G230" s="951"/>
      <c r="H230" s="951"/>
      <c r="I230" s="951"/>
      <c r="J230" s="951"/>
      <c r="K230" s="951"/>
      <c r="L230" s="951"/>
      <c r="M230" s="951"/>
      <c r="N230" s="659"/>
      <c r="O230" s="951"/>
      <c r="P230" s="951"/>
      <c r="Q230" s="659"/>
      <c r="R230" s="659"/>
      <c r="S230" s="659"/>
      <c r="T230" s="659"/>
      <c r="U230" s="659"/>
      <c r="V230" s="659"/>
      <c r="W230" s="659"/>
      <c r="X230" s="659"/>
      <c r="Y230" s="659"/>
      <c r="Z230" s="659"/>
      <c r="AA230" s="659"/>
      <c r="AB230" s="659"/>
      <c r="AC230" s="659"/>
      <c r="AD230" s="659"/>
      <c r="AE230" s="659"/>
      <c r="AF230" s="659"/>
      <c r="AG230" s="659"/>
      <c r="AH230" s="659"/>
      <c r="AI230" s="659"/>
      <c r="AJ230" s="659"/>
      <c r="AK230" s="659"/>
      <c r="AL230" s="659"/>
      <c r="AM230" s="659"/>
      <c r="AN230" s="659"/>
      <c r="AO230" s="659"/>
      <c r="AP230" s="659"/>
      <c r="AQ230" s="746"/>
    </row>
    <row r="231">
      <c r="A231" s="654"/>
      <c r="B231" s="738" t="s">
        <v>606</v>
      </c>
      <c r="C231" s="720">
        <v>7.0</v>
      </c>
      <c r="D231" s="721">
        <v>8.0</v>
      </c>
      <c r="E231" s="703"/>
      <c r="F231" s="951"/>
      <c r="G231" s="951"/>
      <c r="H231" s="951"/>
      <c r="I231" s="951"/>
      <c r="J231" s="951"/>
      <c r="K231" s="951"/>
      <c r="L231" s="951"/>
      <c r="M231" s="951"/>
      <c r="N231" s="659"/>
      <c r="O231" s="951"/>
      <c r="P231" s="951"/>
      <c r="Q231" s="659"/>
      <c r="R231" s="659"/>
      <c r="S231" s="659"/>
      <c r="T231" s="659"/>
      <c r="U231" s="659"/>
      <c r="V231" s="659"/>
      <c r="W231" s="659"/>
      <c r="X231" s="659"/>
      <c r="Y231" s="659"/>
      <c r="Z231" s="659"/>
      <c r="AA231" s="659"/>
      <c r="AB231" s="659"/>
      <c r="AC231" s="659"/>
      <c r="AD231" s="659"/>
      <c r="AE231" s="659"/>
      <c r="AF231" s="659"/>
      <c r="AG231" s="659"/>
      <c r="AH231" s="659"/>
      <c r="AI231" s="659"/>
      <c r="AJ231" s="659"/>
      <c r="AK231" s="659"/>
      <c r="AL231" s="659"/>
      <c r="AM231" s="659"/>
      <c r="AN231" s="659"/>
      <c r="AO231" s="659"/>
      <c r="AP231" s="659"/>
      <c r="AQ231" s="746"/>
    </row>
    <row r="232">
      <c r="A232" s="654"/>
      <c r="B232" s="738" t="s">
        <v>306</v>
      </c>
      <c r="C232" s="720">
        <v>7.0</v>
      </c>
      <c r="D232" s="721">
        <v>8.0</v>
      </c>
      <c r="E232" s="703"/>
      <c r="F232" s="951"/>
      <c r="G232" s="951"/>
      <c r="H232" s="951"/>
      <c r="I232" s="951"/>
      <c r="J232" s="951"/>
      <c r="K232" s="951"/>
      <c r="L232" s="951"/>
      <c r="M232" s="951"/>
      <c r="N232" s="659"/>
      <c r="O232" s="951"/>
      <c r="P232" s="951"/>
      <c r="Q232" s="659"/>
      <c r="R232" s="659"/>
      <c r="S232" s="659"/>
      <c r="T232" s="659"/>
      <c r="U232" s="659"/>
      <c r="V232" s="659"/>
      <c r="W232" s="659"/>
      <c r="X232" s="659"/>
      <c r="Y232" s="659"/>
      <c r="Z232" s="659"/>
      <c r="AA232" s="659"/>
      <c r="AB232" s="659"/>
      <c r="AC232" s="659"/>
      <c r="AD232" s="659"/>
      <c r="AE232" s="659"/>
      <c r="AF232" s="659"/>
      <c r="AG232" s="659"/>
      <c r="AH232" s="659"/>
      <c r="AI232" s="659"/>
      <c r="AJ232" s="659"/>
      <c r="AK232" s="659"/>
      <c r="AL232" s="659"/>
      <c r="AM232" s="659"/>
      <c r="AN232" s="659"/>
      <c r="AO232" s="659"/>
      <c r="AP232" s="659"/>
      <c r="AQ232" s="746"/>
    </row>
    <row r="233">
      <c r="A233" s="654"/>
      <c r="B233" s="738" t="s">
        <v>607</v>
      </c>
      <c r="C233" s="720">
        <v>7.0</v>
      </c>
      <c r="D233" s="721">
        <v>9.0</v>
      </c>
      <c r="E233" s="703"/>
      <c r="F233" s="951"/>
      <c r="G233" s="951"/>
      <c r="H233" s="951"/>
      <c r="I233" s="951"/>
      <c r="J233" s="951"/>
      <c r="K233" s="951"/>
      <c r="L233" s="951"/>
      <c r="M233" s="951"/>
      <c r="N233" s="659"/>
      <c r="O233" s="951"/>
      <c r="P233" s="951"/>
      <c r="Q233" s="659"/>
      <c r="R233" s="659"/>
      <c r="S233" s="659"/>
      <c r="T233" s="659"/>
      <c r="U233" s="659"/>
      <c r="V233" s="659"/>
      <c r="W233" s="659"/>
      <c r="X233" s="659"/>
      <c r="Y233" s="659"/>
      <c r="Z233" s="659"/>
      <c r="AA233" s="659"/>
      <c r="AB233" s="659"/>
      <c r="AC233" s="659"/>
      <c r="AD233" s="659"/>
      <c r="AE233" s="659"/>
      <c r="AF233" s="659"/>
      <c r="AG233" s="659"/>
      <c r="AH233" s="659"/>
      <c r="AI233" s="659"/>
      <c r="AJ233" s="659"/>
      <c r="AK233" s="659"/>
      <c r="AL233" s="659"/>
      <c r="AM233" s="659"/>
      <c r="AN233" s="659"/>
      <c r="AO233" s="659"/>
      <c r="AP233" s="659"/>
      <c r="AQ233" s="746"/>
    </row>
    <row r="234">
      <c r="A234" s="654"/>
      <c r="B234" s="738" t="s">
        <v>608</v>
      </c>
      <c r="C234" s="720">
        <v>7.0</v>
      </c>
      <c r="D234" s="721">
        <v>8.0</v>
      </c>
      <c r="E234" s="703"/>
      <c r="F234" s="951"/>
      <c r="G234" s="951"/>
      <c r="H234" s="951"/>
      <c r="I234" s="951"/>
      <c r="J234" s="951"/>
      <c r="K234" s="951"/>
      <c r="L234" s="951"/>
      <c r="M234" s="951"/>
      <c r="N234" s="659"/>
      <c r="O234" s="951"/>
      <c r="P234" s="951"/>
      <c r="Q234" s="659"/>
      <c r="R234" s="659"/>
      <c r="S234" s="659"/>
      <c r="T234" s="659"/>
      <c r="U234" s="659"/>
      <c r="V234" s="659"/>
      <c r="W234" s="659"/>
      <c r="X234" s="649"/>
      <c r="Y234" s="659"/>
      <c r="Z234" s="659"/>
      <c r="AA234" s="659"/>
      <c r="AB234" s="659"/>
      <c r="AC234" s="659"/>
      <c r="AD234" s="659"/>
      <c r="AE234" s="659"/>
      <c r="AF234" s="659"/>
      <c r="AG234" s="659"/>
      <c r="AH234" s="659"/>
      <c r="AI234" s="659"/>
      <c r="AJ234" s="659"/>
      <c r="AK234" s="659"/>
      <c r="AL234" s="659"/>
      <c r="AM234" s="659"/>
      <c r="AN234" s="659"/>
      <c r="AO234" s="659"/>
      <c r="AP234" s="659"/>
      <c r="AQ234" s="746"/>
    </row>
    <row r="235">
      <c r="A235" s="654"/>
      <c r="B235" s="738" t="s">
        <v>609</v>
      </c>
      <c r="C235" s="720">
        <v>7.0</v>
      </c>
      <c r="D235" s="721">
        <v>8.0</v>
      </c>
      <c r="E235" s="703"/>
      <c r="F235" s="951"/>
      <c r="G235" s="951"/>
      <c r="H235" s="951"/>
      <c r="I235" s="951"/>
      <c r="J235" s="951"/>
      <c r="K235" s="951"/>
      <c r="L235" s="951"/>
      <c r="M235" s="951"/>
      <c r="N235" s="659"/>
      <c r="O235" s="951"/>
      <c r="P235" s="951"/>
      <c r="Q235" s="659"/>
      <c r="R235" s="659"/>
      <c r="S235" s="659"/>
      <c r="T235" s="659"/>
      <c r="U235" s="659"/>
      <c r="V235" s="659"/>
      <c r="W235" s="659"/>
      <c r="X235" s="659"/>
      <c r="Y235" s="659"/>
      <c r="Z235" s="659"/>
      <c r="AA235" s="659"/>
      <c r="AB235" s="659"/>
      <c r="AC235" s="659"/>
      <c r="AD235" s="659"/>
      <c r="AE235" s="659"/>
      <c r="AF235" s="659"/>
      <c r="AG235" s="659"/>
      <c r="AH235" s="659"/>
      <c r="AI235" s="659"/>
      <c r="AJ235" s="659"/>
      <c r="AK235" s="659"/>
      <c r="AL235" s="659"/>
      <c r="AM235" s="659"/>
      <c r="AN235" s="659"/>
      <c r="AO235" s="659"/>
      <c r="AP235" s="659"/>
      <c r="AQ235" s="746"/>
    </row>
    <row r="236">
      <c r="A236" s="654"/>
      <c r="B236" s="738" t="s">
        <v>612</v>
      </c>
      <c r="C236" s="720">
        <v>7.0</v>
      </c>
      <c r="D236" s="721">
        <v>8.0</v>
      </c>
      <c r="E236" s="703"/>
      <c r="F236" s="951"/>
      <c r="G236" s="951"/>
      <c r="H236" s="951"/>
      <c r="I236" s="951"/>
      <c r="J236" s="951"/>
      <c r="K236" s="951"/>
      <c r="L236" s="951"/>
      <c r="M236" s="951"/>
      <c r="N236" s="659"/>
      <c r="O236" s="951"/>
      <c r="P236" s="951"/>
      <c r="Q236" s="659"/>
      <c r="R236" s="659"/>
      <c r="S236" s="659"/>
      <c r="T236" s="659"/>
      <c r="U236" s="659"/>
      <c r="V236" s="659"/>
      <c r="W236" s="659"/>
      <c r="X236" s="659"/>
      <c r="Y236" s="659"/>
      <c r="Z236" s="659"/>
      <c r="AA236" s="659"/>
      <c r="AB236" s="659"/>
      <c r="AC236" s="659"/>
      <c r="AD236" s="659"/>
      <c r="AE236" s="659"/>
      <c r="AF236" s="659"/>
      <c r="AG236" s="659"/>
      <c r="AH236" s="659"/>
      <c r="AI236" s="659"/>
      <c r="AJ236" s="659"/>
      <c r="AK236" s="659"/>
      <c r="AL236" s="659"/>
      <c r="AM236" s="659"/>
      <c r="AN236" s="659"/>
      <c r="AO236" s="659"/>
      <c r="AP236" s="659"/>
      <c r="AQ236" s="746"/>
    </row>
    <row r="237">
      <c r="A237" s="654"/>
      <c r="B237" s="738" t="s">
        <v>613</v>
      </c>
      <c r="C237" s="720">
        <v>7.0</v>
      </c>
      <c r="D237" s="721">
        <v>8.0</v>
      </c>
      <c r="E237" s="703"/>
      <c r="F237" s="951"/>
      <c r="G237" s="951"/>
      <c r="H237" s="951"/>
      <c r="I237" s="951"/>
      <c r="J237" s="951"/>
      <c r="K237" s="951"/>
      <c r="L237" s="951"/>
      <c r="M237" s="951"/>
      <c r="N237" s="659"/>
      <c r="O237" s="951"/>
      <c r="P237" s="951"/>
      <c r="Q237" s="659"/>
      <c r="R237" s="659"/>
      <c r="S237" s="659"/>
      <c r="T237" s="659"/>
      <c r="U237" s="659"/>
      <c r="V237" s="659"/>
      <c r="W237" s="659"/>
      <c r="X237" s="659"/>
      <c r="Y237" s="659"/>
      <c r="Z237" s="659"/>
      <c r="AA237" s="659"/>
      <c r="AB237" s="659"/>
      <c r="AC237" s="659"/>
      <c r="AD237" s="659"/>
      <c r="AE237" s="659"/>
      <c r="AF237" s="659"/>
      <c r="AG237" s="659"/>
      <c r="AH237" s="659"/>
      <c r="AI237" s="659"/>
      <c r="AJ237" s="659"/>
      <c r="AK237" s="659"/>
      <c r="AL237" s="659"/>
      <c r="AM237" s="659"/>
      <c r="AN237" s="659"/>
      <c r="AO237" s="659"/>
      <c r="AP237" s="659"/>
      <c r="AQ237" s="746"/>
    </row>
    <row r="238">
      <c r="A238" s="654"/>
      <c r="B238" s="738" t="s">
        <v>614</v>
      </c>
      <c r="C238" s="720">
        <v>7.0</v>
      </c>
      <c r="D238" s="721">
        <v>9.0</v>
      </c>
      <c r="E238" s="703"/>
      <c r="F238" s="951"/>
      <c r="G238" s="951"/>
      <c r="H238" s="951"/>
      <c r="I238" s="951"/>
      <c r="J238" s="951"/>
      <c r="K238" s="951"/>
      <c r="L238" s="951"/>
      <c r="M238" s="951"/>
      <c r="N238" s="659"/>
      <c r="O238" s="951"/>
      <c r="P238" s="951"/>
      <c r="Q238" s="659"/>
      <c r="R238" s="659"/>
      <c r="S238" s="659"/>
      <c r="T238" s="659"/>
      <c r="U238" s="659"/>
      <c r="V238" s="659"/>
      <c r="W238" s="659"/>
      <c r="X238" s="659"/>
      <c r="Y238" s="659"/>
      <c r="Z238" s="659"/>
      <c r="AA238" s="659"/>
      <c r="AB238" s="659"/>
      <c r="AC238" s="659"/>
      <c r="AD238" s="659"/>
      <c r="AE238" s="659"/>
      <c r="AF238" s="659"/>
      <c r="AG238" s="659"/>
      <c r="AH238" s="659"/>
      <c r="AI238" s="659"/>
      <c r="AJ238" s="659"/>
      <c r="AK238" s="659"/>
      <c r="AL238" s="659"/>
      <c r="AM238" s="659"/>
      <c r="AN238" s="659"/>
      <c r="AO238" s="659"/>
      <c r="AP238" s="659"/>
      <c r="AQ238" s="746"/>
    </row>
    <row r="239">
      <c r="A239" s="654"/>
      <c r="B239" s="686" t="s">
        <v>615</v>
      </c>
      <c r="C239" s="687">
        <v>7.0</v>
      </c>
      <c r="D239" s="702">
        <v>8.0</v>
      </c>
      <c r="E239" s="703"/>
      <c r="F239" s="951"/>
      <c r="G239" s="951"/>
      <c r="H239" s="951"/>
      <c r="I239" s="951"/>
      <c r="J239" s="951"/>
      <c r="K239" s="951"/>
      <c r="L239" s="951"/>
      <c r="M239" s="951"/>
      <c r="N239" s="659"/>
      <c r="O239" s="951"/>
      <c r="P239" s="951"/>
      <c r="Q239" s="659"/>
      <c r="R239" s="659"/>
      <c r="S239" s="659"/>
      <c r="T239" s="659"/>
      <c r="U239" s="659"/>
      <c r="V239" s="659"/>
      <c r="W239" s="659"/>
      <c r="X239" s="659"/>
      <c r="Y239" s="659"/>
      <c r="Z239" s="659"/>
      <c r="AA239" s="659"/>
      <c r="AB239" s="659"/>
      <c r="AC239" s="659"/>
      <c r="AD239" s="659"/>
      <c r="AE239" s="659"/>
      <c r="AF239" s="659"/>
      <c r="AG239" s="659"/>
      <c r="AH239" s="659"/>
      <c r="AI239" s="659"/>
      <c r="AJ239" s="659"/>
      <c r="AK239" s="659"/>
      <c r="AL239" s="659"/>
      <c r="AM239" s="659"/>
      <c r="AN239" s="659"/>
      <c r="AO239" s="659"/>
      <c r="AP239" s="659"/>
      <c r="AQ239" s="746"/>
    </row>
    <row r="240">
      <c r="A240" s="654"/>
      <c r="B240" s="738" t="s">
        <v>616</v>
      </c>
      <c r="C240" s="720">
        <v>7.0</v>
      </c>
      <c r="D240" s="721">
        <v>8.0</v>
      </c>
      <c r="E240" s="703"/>
      <c r="F240" s="951"/>
      <c r="G240" s="951"/>
      <c r="H240" s="951"/>
      <c r="I240" s="951"/>
      <c r="J240" s="951"/>
      <c r="K240" s="951"/>
      <c r="L240" s="951"/>
      <c r="M240" s="951"/>
      <c r="N240" s="659"/>
      <c r="O240" s="951"/>
      <c r="P240" s="951"/>
      <c r="Q240" s="659"/>
      <c r="R240" s="659"/>
      <c r="S240" s="659"/>
      <c r="T240" s="659"/>
      <c r="U240" s="659"/>
      <c r="V240" s="659"/>
      <c r="W240" s="659"/>
      <c r="X240" s="659"/>
      <c r="Y240" s="659"/>
      <c r="Z240" s="659"/>
      <c r="AA240" s="659"/>
      <c r="AB240" s="659"/>
      <c r="AC240" s="659"/>
      <c r="AD240" s="659"/>
      <c r="AE240" s="659"/>
      <c r="AF240" s="659"/>
      <c r="AG240" s="659"/>
      <c r="AH240" s="659"/>
      <c r="AI240" s="659"/>
      <c r="AJ240" s="659"/>
      <c r="AK240" s="659"/>
      <c r="AL240" s="659"/>
      <c r="AM240" s="659"/>
      <c r="AN240" s="659"/>
      <c r="AO240" s="659"/>
      <c r="AP240" s="659"/>
      <c r="AQ240" s="746"/>
    </row>
    <row r="241">
      <c r="A241" s="654"/>
      <c r="B241" s="719" t="s">
        <v>617</v>
      </c>
      <c r="C241" s="720">
        <v>6.0</v>
      </c>
      <c r="D241" s="721">
        <v>7.0</v>
      </c>
      <c r="E241" s="703"/>
      <c r="F241" s="951"/>
      <c r="G241" s="951"/>
      <c r="H241" s="951"/>
      <c r="I241" s="951"/>
      <c r="J241" s="951"/>
      <c r="K241" s="951"/>
      <c r="L241" s="951"/>
      <c r="M241" s="951"/>
      <c r="N241" s="659"/>
      <c r="O241" s="951"/>
      <c r="P241" s="951"/>
      <c r="Q241" s="659"/>
      <c r="R241" s="659"/>
      <c r="S241" s="659"/>
      <c r="T241" s="659"/>
      <c r="U241" s="659"/>
      <c r="V241" s="659"/>
      <c r="W241" s="659"/>
      <c r="X241" s="659"/>
      <c r="Y241" s="659"/>
      <c r="Z241" s="659"/>
      <c r="AA241" s="659"/>
      <c r="AB241" s="659"/>
      <c r="AC241" s="659"/>
      <c r="AD241" s="659"/>
      <c r="AE241" s="659"/>
      <c r="AF241" s="659"/>
      <c r="AG241" s="659"/>
      <c r="AH241" s="659"/>
      <c r="AI241" s="659"/>
      <c r="AJ241" s="659"/>
      <c r="AK241" s="659"/>
      <c r="AL241" s="659"/>
      <c r="AM241" s="659"/>
      <c r="AN241" s="659"/>
      <c r="AO241" s="659"/>
      <c r="AP241" s="659"/>
      <c r="AQ241" s="746"/>
    </row>
    <row r="242">
      <c r="A242" s="654"/>
      <c r="B242" s="686" t="s">
        <v>618</v>
      </c>
      <c r="C242" s="687">
        <v>6.0</v>
      </c>
      <c r="D242" s="702">
        <v>8.0</v>
      </c>
      <c r="E242" s="703"/>
      <c r="F242" s="951"/>
      <c r="G242" s="951"/>
      <c r="H242" s="951"/>
      <c r="I242" s="951"/>
      <c r="J242" s="951"/>
      <c r="K242" s="951"/>
      <c r="L242" s="951"/>
      <c r="M242" s="951"/>
      <c r="N242" s="659"/>
      <c r="O242" s="951"/>
      <c r="P242" s="951"/>
      <c r="Q242" s="659"/>
      <c r="R242" s="659"/>
      <c r="S242" s="659"/>
      <c r="T242" s="659"/>
      <c r="U242" s="659"/>
      <c r="V242" s="659"/>
      <c r="W242" s="659"/>
      <c r="X242" s="659"/>
      <c r="Y242" s="659"/>
      <c r="Z242" s="659"/>
      <c r="AA242" s="659"/>
      <c r="AB242" s="659"/>
      <c r="AC242" s="659"/>
      <c r="AD242" s="659"/>
      <c r="AE242" s="659"/>
      <c r="AF242" s="659"/>
      <c r="AG242" s="659"/>
      <c r="AH242" s="659"/>
      <c r="AI242" s="659"/>
      <c r="AJ242" s="659"/>
      <c r="AK242" s="659"/>
      <c r="AL242" s="659"/>
      <c r="AM242" s="659"/>
      <c r="AN242" s="659"/>
      <c r="AO242" s="659"/>
      <c r="AP242" s="659"/>
      <c r="AQ242" s="746"/>
    </row>
    <row r="243">
      <c r="A243" s="654"/>
      <c r="B243" s="738" t="s">
        <v>619</v>
      </c>
      <c r="C243" s="720">
        <v>6.0</v>
      </c>
      <c r="D243" s="721">
        <v>8.0</v>
      </c>
      <c r="E243" s="703"/>
      <c r="F243" s="951"/>
      <c r="G243" s="951"/>
      <c r="H243" s="951"/>
      <c r="I243" s="951"/>
      <c r="J243" s="951"/>
      <c r="K243" s="951"/>
      <c r="L243" s="951"/>
      <c r="M243" s="951"/>
      <c r="N243" s="659"/>
      <c r="O243" s="951"/>
      <c r="P243" s="951"/>
      <c r="Q243" s="659"/>
      <c r="R243" s="659"/>
      <c r="S243" s="659"/>
      <c r="T243" s="659"/>
      <c r="U243" s="659"/>
      <c r="V243" s="659"/>
      <c r="W243" s="659"/>
      <c r="X243" s="659"/>
      <c r="Y243" s="659"/>
      <c r="Z243" s="659"/>
      <c r="AA243" s="659"/>
      <c r="AB243" s="659"/>
      <c r="AC243" s="659"/>
      <c r="AD243" s="659"/>
      <c r="AE243" s="659"/>
      <c r="AF243" s="659"/>
      <c r="AG243" s="659"/>
      <c r="AH243" s="659"/>
      <c r="AI243" s="659"/>
      <c r="AJ243" s="659"/>
      <c r="AK243" s="659"/>
      <c r="AL243" s="659"/>
      <c r="AM243" s="659"/>
      <c r="AN243" s="659"/>
      <c r="AO243" s="659"/>
      <c r="AP243" s="659"/>
      <c r="AQ243" s="746"/>
    </row>
    <row r="244">
      <c r="A244" s="654"/>
      <c r="B244" s="704" t="s">
        <v>620</v>
      </c>
      <c r="C244" s="687">
        <v>6.0</v>
      </c>
      <c r="D244" s="702">
        <v>7.0</v>
      </c>
      <c r="E244" s="703"/>
      <c r="F244" s="951"/>
      <c r="G244" s="951"/>
      <c r="H244" s="951"/>
      <c r="I244" s="951"/>
      <c r="J244" s="951"/>
      <c r="K244" s="951"/>
      <c r="L244" s="951"/>
      <c r="M244" s="951"/>
      <c r="N244" s="659"/>
      <c r="O244" s="951"/>
      <c r="P244" s="951"/>
      <c r="Q244" s="659"/>
      <c r="R244" s="659"/>
      <c r="S244" s="659"/>
      <c r="T244" s="659"/>
      <c r="U244" s="659"/>
      <c r="V244" s="659"/>
      <c r="W244" s="659"/>
      <c r="X244" s="659"/>
      <c r="Y244" s="659"/>
      <c r="Z244" s="659"/>
      <c r="AA244" s="659"/>
      <c r="AB244" s="659"/>
      <c r="AC244" s="659"/>
      <c r="AD244" s="659"/>
      <c r="AE244" s="659"/>
      <c r="AF244" s="659"/>
      <c r="AG244" s="659"/>
      <c r="AH244" s="659"/>
      <c r="AI244" s="659"/>
      <c r="AJ244" s="659"/>
      <c r="AK244" s="659"/>
      <c r="AL244" s="659"/>
      <c r="AM244" s="659"/>
      <c r="AN244" s="659"/>
      <c r="AO244" s="659"/>
      <c r="AP244" s="659"/>
      <c r="AQ244" s="746"/>
    </row>
    <row r="245">
      <c r="A245" s="654"/>
      <c r="B245" s="686" t="s">
        <v>621</v>
      </c>
      <c r="C245" s="687">
        <v>6.0</v>
      </c>
      <c r="D245" s="702">
        <v>7.0</v>
      </c>
      <c r="E245" s="703"/>
      <c r="F245" s="951"/>
      <c r="G245" s="951"/>
      <c r="H245" s="951"/>
      <c r="I245" s="951"/>
      <c r="J245" s="951"/>
      <c r="K245" s="951"/>
      <c r="L245" s="951"/>
      <c r="M245" s="951"/>
      <c r="N245" s="659"/>
      <c r="O245" s="951"/>
      <c r="P245" s="951"/>
      <c r="Q245" s="659"/>
      <c r="R245" s="659"/>
      <c r="S245" s="659"/>
      <c r="T245" s="659"/>
      <c r="U245" s="659"/>
      <c r="V245" s="659"/>
      <c r="W245" s="659"/>
      <c r="X245" s="649"/>
      <c r="Y245" s="659"/>
      <c r="Z245" s="659"/>
      <c r="AA245" s="659"/>
      <c r="AB245" s="659"/>
      <c r="AC245" s="659"/>
      <c r="AD245" s="659"/>
      <c r="AE245" s="659"/>
      <c r="AF245" s="659"/>
      <c r="AG245" s="659"/>
      <c r="AH245" s="659"/>
      <c r="AI245" s="659"/>
      <c r="AJ245" s="659"/>
      <c r="AK245" s="659"/>
      <c r="AL245" s="659"/>
      <c r="AM245" s="659"/>
      <c r="AN245" s="659"/>
      <c r="AO245" s="659"/>
      <c r="AP245" s="659"/>
      <c r="AQ245" s="746"/>
    </row>
    <row r="246">
      <c r="A246" s="654"/>
      <c r="B246" s="719" t="s">
        <v>622</v>
      </c>
      <c r="C246" s="720">
        <v>6.0</v>
      </c>
      <c r="D246" s="721">
        <v>7.0</v>
      </c>
      <c r="E246" s="703"/>
      <c r="F246" s="951"/>
      <c r="G246" s="951"/>
      <c r="H246" s="951"/>
      <c r="I246" s="951"/>
      <c r="J246" s="951"/>
      <c r="K246" s="951"/>
      <c r="L246" s="951"/>
      <c r="M246" s="951"/>
      <c r="N246" s="659"/>
      <c r="O246" s="951"/>
      <c r="P246" s="951"/>
      <c r="Q246" s="659"/>
      <c r="R246" s="659"/>
      <c r="S246" s="659"/>
      <c r="T246" s="659"/>
      <c r="U246" s="659"/>
      <c r="V246" s="659"/>
      <c r="W246" s="659"/>
      <c r="X246" s="659"/>
      <c r="Y246" s="659"/>
      <c r="Z246" s="659"/>
      <c r="AA246" s="659"/>
      <c r="AB246" s="659"/>
      <c r="AC246" s="659"/>
      <c r="AD246" s="659"/>
      <c r="AE246" s="659"/>
      <c r="AF246" s="659"/>
      <c r="AG246" s="659"/>
      <c r="AH246" s="659"/>
      <c r="AI246" s="659"/>
      <c r="AJ246" s="659"/>
      <c r="AK246" s="659"/>
      <c r="AL246" s="659"/>
      <c r="AM246" s="659"/>
      <c r="AN246" s="659"/>
      <c r="AO246" s="659"/>
      <c r="AP246" s="659"/>
      <c r="AQ246" s="746"/>
    </row>
    <row r="247">
      <c r="A247" s="654"/>
      <c r="B247" s="686" t="s">
        <v>623</v>
      </c>
      <c r="C247" s="687">
        <v>6.0</v>
      </c>
      <c r="D247" s="702">
        <v>8.0</v>
      </c>
      <c r="E247" s="703"/>
      <c r="F247" s="951"/>
      <c r="G247" s="951"/>
      <c r="H247" s="951"/>
      <c r="I247" s="951"/>
      <c r="J247" s="951"/>
      <c r="K247" s="951"/>
      <c r="L247" s="951"/>
      <c r="M247" s="951"/>
      <c r="N247" s="659"/>
      <c r="O247" s="951"/>
      <c r="P247" s="951"/>
      <c r="Q247" s="659"/>
      <c r="R247" s="659"/>
      <c r="S247" s="659"/>
      <c r="T247" s="659"/>
      <c r="U247" s="659"/>
      <c r="V247" s="659"/>
      <c r="W247" s="659"/>
      <c r="X247" s="659"/>
      <c r="Y247" s="659"/>
      <c r="Z247" s="659"/>
      <c r="AA247" s="659"/>
      <c r="AB247" s="659"/>
      <c r="AC247" s="659"/>
      <c r="AD247" s="659"/>
      <c r="AE247" s="659"/>
      <c r="AF247" s="659"/>
      <c r="AG247" s="659"/>
      <c r="AH247" s="659"/>
      <c r="AI247" s="659"/>
      <c r="AJ247" s="659"/>
      <c r="AK247" s="659"/>
      <c r="AL247" s="659"/>
      <c r="AM247" s="659"/>
      <c r="AN247" s="659"/>
      <c r="AO247" s="659"/>
      <c r="AP247" s="659"/>
      <c r="AQ247" s="746"/>
    </row>
    <row r="248">
      <c r="A248" s="654"/>
      <c r="B248" s="686" t="s">
        <v>210</v>
      </c>
      <c r="C248" s="687">
        <v>6.0</v>
      </c>
      <c r="D248" s="702">
        <v>7.0</v>
      </c>
      <c r="E248" s="703"/>
      <c r="F248" s="951"/>
      <c r="G248" s="951"/>
      <c r="H248" s="951"/>
      <c r="I248" s="951"/>
      <c r="J248" s="951"/>
      <c r="K248" s="951"/>
      <c r="L248" s="951"/>
      <c r="M248" s="951"/>
      <c r="N248" s="659"/>
      <c r="O248" s="951"/>
      <c r="P248" s="951"/>
      <c r="Q248" s="659"/>
      <c r="R248" s="659"/>
      <c r="S248" s="659"/>
      <c r="T248" s="659"/>
      <c r="U248" s="659"/>
      <c r="V248" s="659"/>
      <c r="W248" s="659"/>
      <c r="X248" s="659"/>
      <c r="Y248" s="659"/>
      <c r="Z248" s="659"/>
      <c r="AA248" s="659"/>
      <c r="AB248" s="659"/>
      <c r="AC248" s="659"/>
      <c r="AD248" s="659"/>
      <c r="AE248" s="659"/>
      <c r="AF248" s="659"/>
      <c r="AG248" s="659"/>
      <c r="AH248" s="659"/>
      <c r="AI248" s="659"/>
      <c r="AJ248" s="659"/>
      <c r="AK248" s="659"/>
      <c r="AL248" s="659"/>
      <c r="AM248" s="659"/>
      <c r="AN248" s="659"/>
      <c r="AO248" s="659"/>
      <c r="AP248" s="659"/>
      <c r="AQ248" s="746"/>
    </row>
    <row r="249">
      <c r="A249" s="654"/>
      <c r="B249" s="686" t="s">
        <v>624</v>
      </c>
      <c r="C249" s="687">
        <v>6.0</v>
      </c>
      <c r="D249" s="702">
        <v>7.0</v>
      </c>
      <c r="E249" s="703"/>
      <c r="F249" s="951"/>
      <c r="G249" s="951"/>
      <c r="H249" s="951"/>
      <c r="I249" s="951"/>
      <c r="J249" s="951"/>
      <c r="K249" s="951"/>
      <c r="L249" s="951"/>
      <c r="M249" s="951"/>
      <c r="N249" s="659"/>
      <c r="O249" s="951"/>
      <c r="P249" s="951"/>
      <c r="Q249" s="659"/>
      <c r="R249" s="659"/>
      <c r="S249" s="659"/>
      <c r="T249" s="659"/>
      <c r="U249" s="659"/>
      <c r="V249" s="659"/>
      <c r="W249" s="659"/>
      <c r="X249" s="659"/>
      <c r="Y249" s="659"/>
      <c r="Z249" s="659"/>
      <c r="AA249" s="659"/>
      <c r="AB249" s="659"/>
      <c r="AC249" s="659"/>
      <c r="AD249" s="659"/>
      <c r="AE249" s="659"/>
      <c r="AF249" s="659"/>
      <c r="AG249" s="659"/>
      <c r="AH249" s="659"/>
      <c r="AI249" s="659"/>
      <c r="AJ249" s="659"/>
      <c r="AK249" s="659"/>
      <c r="AL249" s="659"/>
      <c r="AM249" s="659"/>
      <c r="AN249" s="659"/>
      <c r="AO249" s="659"/>
      <c r="AP249" s="659"/>
      <c r="AQ249" s="746"/>
    </row>
    <row r="250">
      <c r="A250" s="654"/>
      <c r="B250" s="686" t="s">
        <v>625</v>
      </c>
      <c r="C250" s="687">
        <v>6.0</v>
      </c>
      <c r="D250" s="702">
        <v>7.0</v>
      </c>
      <c r="E250" s="703"/>
      <c r="F250" s="951"/>
      <c r="G250" s="951"/>
      <c r="H250" s="951"/>
      <c r="I250" s="951"/>
      <c r="J250" s="951"/>
      <c r="K250" s="951"/>
      <c r="L250" s="951"/>
      <c r="M250" s="951"/>
      <c r="N250" s="659"/>
      <c r="O250" s="951"/>
      <c r="P250" s="951"/>
      <c r="Q250" s="659"/>
      <c r="R250" s="659"/>
      <c r="S250" s="659"/>
      <c r="T250" s="659"/>
      <c r="U250" s="659"/>
      <c r="V250" s="659"/>
      <c r="W250" s="659"/>
      <c r="X250" s="659"/>
      <c r="Y250" s="659"/>
      <c r="Z250" s="659"/>
      <c r="AA250" s="659"/>
      <c r="AB250" s="659"/>
      <c r="AC250" s="659"/>
      <c r="AD250" s="659"/>
      <c r="AE250" s="659"/>
      <c r="AF250" s="659"/>
      <c r="AG250" s="659"/>
      <c r="AH250" s="659"/>
      <c r="AI250" s="659"/>
      <c r="AJ250" s="659"/>
      <c r="AK250" s="659"/>
      <c r="AL250" s="659"/>
      <c r="AM250" s="659"/>
      <c r="AN250" s="659"/>
      <c r="AO250" s="659"/>
      <c r="AP250" s="659"/>
      <c r="AQ250" s="746"/>
    </row>
    <row r="251">
      <c r="A251" s="654"/>
      <c r="B251" s="977" t="s">
        <v>626</v>
      </c>
      <c r="C251" s="687">
        <v>6.0</v>
      </c>
      <c r="D251" s="702">
        <v>7.0</v>
      </c>
      <c r="E251" s="703"/>
      <c r="F251" s="951"/>
      <c r="G251" s="951"/>
      <c r="H251" s="951"/>
      <c r="I251" s="951"/>
      <c r="J251" s="951"/>
      <c r="K251" s="951"/>
      <c r="L251" s="951"/>
      <c r="M251" s="951"/>
      <c r="N251" s="659"/>
      <c r="O251" s="951"/>
      <c r="P251" s="951"/>
      <c r="Q251" s="659"/>
      <c r="R251" s="659"/>
      <c r="S251" s="659"/>
      <c r="T251" s="659"/>
      <c r="U251" s="659"/>
      <c r="V251" s="659"/>
      <c r="W251" s="659"/>
      <c r="X251" s="659"/>
      <c r="Y251" s="659"/>
      <c r="Z251" s="659"/>
      <c r="AA251" s="659"/>
      <c r="AB251" s="659"/>
      <c r="AC251" s="659"/>
      <c r="AD251" s="659"/>
      <c r="AE251" s="659"/>
      <c r="AF251" s="659"/>
      <c r="AG251" s="659"/>
      <c r="AH251" s="659"/>
      <c r="AI251" s="659"/>
      <c r="AJ251" s="659"/>
      <c r="AK251" s="659"/>
      <c r="AL251" s="659"/>
      <c r="AM251" s="659"/>
      <c r="AN251" s="659"/>
      <c r="AO251" s="659"/>
      <c r="AP251" s="659"/>
      <c r="AQ251" s="746"/>
    </row>
    <row r="252">
      <c r="A252" s="654"/>
      <c r="B252" s="686" t="s">
        <v>627</v>
      </c>
      <c r="C252" s="687">
        <v>6.0</v>
      </c>
      <c r="D252" s="702">
        <v>7.0</v>
      </c>
      <c r="E252" s="703"/>
      <c r="F252" s="951"/>
      <c r="G252" s="951"/>
      <c r="H252" s="951"/>
      <c r="I252" s="951"/>
      <c r="J252" s="951"/>
      <c r="K252" s="951"/>
      <c r="L252" s="951"/>
      <c r="M252" s="951"/>
      <c r="N252" s="659"/>
      <c r="O252" s="951"/>
      <c r="P252" s="951"/>
      <c r="Q252" s="659"/>
      <c r="R252" s="659"/>
      <c r="S252" s="659"/>
      <c r="T252" s="659"/>
      <c r="U252" s="659"/>
      <c r="V252" s="659"/>
      <c r="W252" s="659"/>
      <c r="X252" s="659"/>
      <c r="Y252" s="659"/>
      <c r="Z252" s="659"/>
      <c r="AA252" s="659"/>
      <c r="AB252" s="659"/>
      <c r="AC252" s="659"/>
      <c r="AD252" s="659"/>
      <c r="AE252" s="659"/>
      <c r="AF252" s="659"/>
      <c r="AG252" s="659"/>
      <c r="AH252" s="659"/>
      <c r="AI252" s="659"/>
      <c r="AJ252" s="659"/>
      <c r="AK252" s="659"/>
      <c r="AL252" s="659"/>
      <c r="AM252" s="659"/>
      <c r="AN252" s="659"/>
      <c r="AO252" s="659"/>
      <c r="AP252" s="659"/>
      <c r="AQ252" s="746"/>
    </row>
    <row r="253">
      <c r="A253" s="654"/>
      <c r="B253" s="686" t="s">
        <v>628</v>
      </c>
      <c r="C253" s="687">
        <v>6.0</v>
      </c>
      <c r="D253" s="702">
        <v>7.0</v>
      </c>
      <c r="E253" s="703"/>
      <c r="F253" s="951"/>
      <c r="G253" s="951"/>
      <c r="H253" s="951"/>
      <c r="I253" s="951"/>
      <c r="J253" s="951"/>
      <c r="K253" s="951"/>
      <c r="L253" s="951"/>
      <c r="M253" s="951"/>
      <c r="N253" s="659"/>
      <c r="O253" s="951"/>
      <c r="P253" s="951"/>
      <c r="Q253" s="659"/>
      <c r="R253" s="659"/>
      <c r="S253" s="659"/>
      <c r="T253" s="659"/>
      <c r="U253" s="659"/>
      <c r="V253" s="659"/>
      <c r="W253" s="659"/>
      <c r="X253" s="659"/>
      <c r="Y253" s="659"/>
      <c r="Z253" s="659"/>
      <c r="AA253" s="659"/>
      <c r="AB253" s="659"/>
      <c r="AC253" s="659"/>
      <c r="AD253" s="659"/>
      <c r="AE253" s="659"/>
      <c r="AF253" s="659"/>
      <c r="AG253" s="659"/>
      <c r="AH253" s="659"/>
      <c r="AI253" s="659"/>
      <c r="AJ253" s="659"/>
      <c r="AK253" s="659"/>
      <c r="AL253" s="659"/>
      <c r="AM253" s="659"/>
      <c r="AN253" s="659"/>
      <c r="AO253" s="659"/>
      <c r="AP253" s="659"/>
      <c r="AQ253" s="746"/>
    </row>
    <row r="254">
      <c r="A254" s="654"/>
      <c r="B254" s="686" t="s">
        <v>629</v>
      </c>
      <c r="C254" s="687">
        <v>6.0</v>
      </c>
      <c r="D254" s="702">
        <v>7.0</v>
      </c>
      <c r="E254" s="703"/>
      <c r="F254" s="951"/>
      <c r="G254" s="951"/>
      <c r="H254" s="951"/>
      <c r="I254" s="951"/>
      <c r="J254" s="951"/>
      <c r="K254" s="951"/>
      <c r="L254" s="951"/>
      <c r="M254" s="951"/>
      <c r="N254" s="659"/>
      <c r="O254" s="951"/>
      <c r="P254" s="951"/>
      <c r="Q254" s="659"/>
      <c r="R254" s="659"/>
      <c r="S254" s="659"/>
      <c r="T254" s="659"/>
      <c r="U254" s="659"/>
      <c r="V254" s="659"/>
      <c r="W254" s="659"/>
      <c r="X254" s="659"/>
      <c r="Y254" s="659"/>
      <c r="Z254" s="659"/>
      <c r="AA254" s="659"/>
      <c r="AB254" s="659"/>
      <c r="AC254" s="659"/>
      <c r="AD254" s="659"/>
      <c r="AE254" s="659"/>
      <c r="AF254" s="659"/>
      <c r="AG254" s="659"/>
      <c r="AH254" s="659"/>
      <c r="AI254" s="659"/>
      <c r="AJ254" s="659"/>
      <c r="AK254" s="659"/>
      <c r="AL254" s="659"/>
      <c r="AM254" s="659"/>
      <c r="AN254" s="659"/>
      <c r="AO254" s="659"/>
      <c r="AP254" s="659"/>
      <c r="AQ254" s="746"/>
    </row>
    <row r="255">
      <c r="A255" s="654"/>
      <c r="B255" s="686" t="s">
        <v>630</v>
      </c>
      <c r="C255" s="687">
        <v>6.0</v>
      </c>
      <c r="D255" s="702">
        <v>7.0</v>
      </c>
      <c r="E255" s="703"/>
      <c r="F255" s="951"/>
      <c r="G255" s="951"/>
      <c r="H255" s="951"/>
      <c r="I255" s="951"/>
      <c r="J255" s="951"/>
      <c r="K255" s="951"/>
      <c r="L255" s="951"/>
      <c r="M255" s="951"/>
      <c r="N255" s="659"/>
      <c r="O255" s="951"/>
      <c r="P255" s="951"/>
      <c r="Q255" s="659"/>
      <c r="R255" s="659"/>
      <c r="S255" s="659"/>
      <c r="T255" s="659"/>
      <c r="U255" s="659"/>
      <c r="V255" s="659"/>
      <c r="W255" s="659"/>
      <c r="X255" s="659"/>
      <c r="Y255" s="659"/>
      <c r="Z255" s="659"/>
      <c r="AA255" s="659"/>
      <c r="AB255" s="659"/>
      <c r="AC255" s="659"/>
      <c r="AD255" s="659"/>
      <c r="AE255" s="659"/>
      <c r="AF255" s="659"/>
      <c r="AG255" s="659"/>
      <c r="AH255" s="659"/>
      <c r="AI255" s="659"/>
      <c r="AJ255" s="659"/>
      <c r="AK255" s="659"/>
      <c r="AL255" s="659"/>
      <c r="AM255" s="659"/>
      <c r="AN255" s="659"/>
      <c r="AO255" s="659"/>
      <c r="AP255" s="659"/>
      <c r="AQ255" s="746"/>
    </row>
    <row r="256">
      <c r="A256" s="654"/>
      <c r="B256" s="686" t="s">
        <v>631</v>
      </c>
      <c r="C256" s="687">
        <v>6.0</v>
      </c>
      <c r="D256" s="702">
        <v>7.0</v>
      </c>
      <c r="E256" s="703"/>
      <c r="F256" s="951"/>
      <c r="G256" s="951"/>
      <c r="H256" s="951"/>
      <c r="I256" s="951"/>
      <c r="J256" s="951"/>
      <c r="K256" s="951"/>
      <c r="L256" s="951"/>
      <c r="M256" s="951"/>
      <c r="N256" s="659"/>
      <c r="O256" s="951"/>
      <c r="P256" s="951"/>
      <c r="Q256" s="659"/>
      <c r="R256" s="659"/>
      <c r="S256" s="659"/>
      <c r="T256" s="659"/>
      <c r="U256" s="659"/>
      <c r="V256" s="659"/>
      <c r="W256" s="659"/>
      <c r="X256" s="649"/>
      <c r="Y256" s="659"/>
      <c r="Z256" s="659"/>
      <c r="AA256" s="659"/>
      <c r="AB256" s="659"/>
      <c r="AC256" s="659"/>
      <c r="AD256" s="659"/>
      <c r="AE256" s="659"/>
      <c r="AF256" s="659"/>
      <c r="AG256" s="659"/>
      <c r="AH256" s="659"/>
      <c r="AI256" s="659"/>
      <c r="AJ256" s="659"/>
      <c r="AK256" s="659"/>
      <c r="AL256" s="659"/>
      <c r="AM256" s="659"/>
      <c r="AN256" s="659"/>
      <c r="AO256" s="659"/>
      <c r="AP256" s="659"/>
      <c r="AQ256" s="746"/>
    </row>
    <row r="257">
      <c r="A257" s="654"/>
      <c r="B257" s="719" t="s">
        <v>632</v>
      </c>
      <c r="C257" s="720">
        <v>6.0</v>
      </c>
      <c r="D257" s="721">
        <v>7.0</v>
      </c>
      <c r="E257" s="703"/>
      <c r="F257" s="951"/>
      <c r="G257" s="951"/>
      <c r="H257" s="951"/>
      <c r="I257" s="951"/>
      <c r="J257" s="951"/>
      <c r="K257" s="951"/>
      <c r="L257" s="951"/>
      <c r="M257" s="951"/>
      <c r="N257" s="659"/>
      <c r="O257" s="951"/>
      <c r="P257" s="951"/>
      <c r="Q257" s="659"/>
      <c r="R257" s="659"/>
      <c r="S257" s="659"/>
      <c r="T257" s="659"/>
      <c r="U257" s="659"/>
      <c r="V257" s="659"/>
      <c r="W257" s="659"/>
      <c r="X257" s="659"/>
      <c r="Y257" s="659"/>
      <c r="Z257" s="659"/>
      <c r="AA257" s="659"/>
      <c r="AB257" s="659"/>
      <c r="AC257" s="659"/>
      <c r="AD257" s="659"/>
      <c r="AE257" s="659"/>
      <c r="AF257" s="659"/>
      <c r="AG257" s="659"/>
      <c r="AH257" s="659"/>
      <c r="AI257" s="659"/>
      <c r="AJ257" s="659"/>
      <c r="AK257" s="659"/>
      <c r="AL257" s="659"/>
      <c r="AM257" s="659"/>
      <c r="AN257" s="659"/>
      <c r="AO257" s="659"/>
      <c r="AP257" s="659"/>
      <c r="AQ257" s="746"/>
    </row>
    <row r="258">
      <c r="A258" s="654"/>
      <c r="B258" s="719" t="s">
        <v>633</v>
      </c>
      <c r="C258" s="720">
        <v>6.0</v>
      </c>
      <c r="D258" s="721">
        <v>7.0</v>
      </c>
      <c r="E258" s="703"/>
      <c r="F258" s="951"/>
      <c r="G258" s="951"/>
      <c r="H258" s="951"/>
      <c r="I258" s="951"/>
      <c r="J258" s="951"/>
      <c r="K258" s="951"/>
      <c r="L258" s="951"/>
      <c r="M258" s="951"/>
      <c r="N258" s="659"/>
      <c r="O258" s="951"/>
      <c r="P258" s="951"/>
      <c r="Q258" s="659"/>
      <c r="R258" s="659"/>
      <c r="S258" s="659"/>
      <c r="T258" s="659"/>
      <c r="U258" s="659"/>
      <c r="V258" s="659"/>
      <c r="W258" s="659"/>
      <c r="X258" s="659"/>
      <c r="Y258" s="659"/>
      <c r="Z258" s="659"/>
      <c r="AA258" s="659"/>
      <c r="AB258" s="659"/>
      <c r="AC258" s="659"/>
      <c r="AD258" s="659"/>
      <c r="AE258" s="659"/>
      <c r="AF258" s="659"/>
      <c r="AG258" s="659"/>
      <c r="AH258" s="659"/>
      <c r="AI258" s="659"/>
      <c r="AJ258" s="659"/>
      <c r="AK258" s="659"/>
      <c r="AL258" s="659"/>
      <c r="AM258" s="659"/>
      <c r="AN258" s="659"/>
      <c r="AO258" s="659"/>
      <c r="AP258" s="659"/>
      <c r="AQ258" s="746"/>
    </row>
    <row r="259">
      <c r="A259" s="654"/>
      <c r="B259" s="686" t="s">
        <v>634</v>
      </c>
      <c r="C259" s="687">
        <v>6.0</v>
      </c>
      <c r="D259" s="702">
        <v>7.0</v>
      </c>
      <c r="E259" s="703"/>
      <c r="F259" s="951"/>
      <c r="G259" s="951"/>
      <c r="H259" s="951"/>
      <c r="I259" s="951"/>
      <c r="J259" s="951"/>
      <c r="K259" s="951"/>
      <c r="L259" s="951"/>
      <c r="M259" s="951"/>
      <c r="N259" s="659"/>
      <c r="O259" s="951"/>
      <c r="P259" s="951"/>
      <c r="Q259" s="659"/>
      <c r="R259" s="659"/>
      <c r="S259" s="659"/>
      <c r="T259" s="659"/>
      <c r="U259" s="659"/>
      <c r="V259" s="659"/>
      <c r="W259" s="659"/>
      <c r="X259" s="659"/>
      <c r="Y259" s="659"/>
      <c r="Z259" s="659"/>
      <c r="AA259" s="659"/>
      <c r="AB259" s="659"/>
      <c r="AC259" s="659"/>
      <c r="AD259" s="659"/>
      <c r="AE259" s="659"/>
      <c r="AF259" s="659"/>
      <c r="AG259" s="659"/>
      <c r="AH259" s="659"/>
      <c r="AI259" s="659"/>
      <c r="AJ259" s="659"/>
      <c r="AK259" s="659"/>
      <c r="AL259" s="659"/>
      <c r="AM259" s="659"/>
      <c r="AN259" s="659"/>
      <c r="AO259" s="659"/>
      <c r="AP259" s="659"/>
      <c r="AQ259" s="746"/>
    </row>
    <row r="260">
      <c r="A260" s="654"/>
      <c r="B260" s="719" t="s">
        <v>635</v>
      </c>
      <c r="C260" s="720">
        <v>6.0</v>
      </c>
      <c r="D260" s="721">
        <v>8.0</v>
      </c>
      <c r="E260" s="703"/>
      <c r="F260" s="951"/>
      <c r="G260" s="951"/>
      <c r="H260" s="951"/>
      <c r="I260" s="951"/>
      <c r="J260" s="951"/>
      <c r="K260" s="951"/>
      <c r="L260" s="951"/>
      <c r="M260" s="951"/>
      <c r="N260" s="659"/>
      <c r="O260" s="951"/>
      <c r="P260" s="951"/>
      <c r="Q260" s="659"/>
      <c r="R260" s="659"/>
      <c r="S260" s="659"/>
      <c r="T260" s="659"/>
      <c r="U260" s="659"/>
      <c r="V260" s="659"/>
      <c r="W260" s="659"/>
      <c r="X260" s="659"/>
      <c r="Y260" s="659"/>
      <c r="Z260" s="659"/>
      <c r="AA260" s="659"/>
      <c r="AB260" s="659"/>
      <c r="AC260" s="659"/>
      <c r="AD260" s="659"/>
      <c r="AE260" s="659"/>
      <c r="AF260" s="659"/>
      <c r="AG260" s="659"/>
      <c r="AH260" s="659"/>
      <c r="AI260" s="659"/>
      <c r="AJ260" s="659"/>
      <c r="AK260" s="659"/>
      <c r="AL260" s="659"/>
      <c r="AM260" s="659"/>
      <c r="AN260" s="659"/>
      <c r="AO260" s="659"/>
      <c r="AP260" s="659"/>
      <c r="AQ260" s="746"/>
    </row>
    <row r="261">
      <c r="A261" s="654"/>
      <c r="B261" s="686" t="s">
        <v>636</v>
      </c>
      <c r="C261" s="687">
        <v>6.0</v>
      </c>
      <c r="D261" s="702">
        <v>8.0</v>
      </c>
      <c r="E261" s="703"/>
      <c r="F261" s="951"/>
      <c r="G261" s="951"/>
      <c r="H261" s="951"/>
      <c r="I261" s="951"/>
      <c r="J261" s="951"/>
      <c r="K261" s="951"/>
      <c r="L261" s="951"/>
      <c r="M261" s="951"/>
      <c r="N261" s="659"/>
      <c r="O261" s="951"/>
      <c r="P261" s="951"/>
      <c r="Q261" s="659"/>
      <c r="R261" s="659"/>
      <c r="S261" s="659"/>
      <c r="T261" s="659"/>
      <c r="U261" s="659"/>
      <c r="V261" s="659"/>
      <c r="W261" s="659"/>
      <c r="X261" s="659"/>
      <c r="Y261" s="659"/>
      <c r="Z261" s="659"/>
      <c r="AA261" s="659"/>
      <c r="AB261" s="659"/>
      <c r="AC261" s="659"/>
      <c r="AD261" s="659"/>
      <c r="AE261" s="659"/>
      <c r="AF261" s="659"/>
      <c r="AG261" s="659"/>
      <c r="AH261" s="659"/>
      <c r="AI261" s="659"/>
      <c r="AJ261" s="659"/>
      <c r="AK261" s="659"/>
      <c r="AL261" s="659"/>
      <c r="AM261" s="659"/>
      <c r="AN261" s="659"/>
      <c r="AO261" s="659"/>
      <c r="AP261" s="659"/>
      <c r="AQ261" s="746"/>
    </row>
    <row r="262">
      <c r="A262" s="654"/>
      <c r="B262" s="704" t="s">
        <v>637</v>
      </c>
      <c r="C262" s="687">
        <v>6.0</v>
      </c>
      <c r="D262" s="702">
        <v>7.0</v>
      </c>
      <c r="E262" s="703"/>
      <c r="F262" s="951"/>
      <c r="G262" s="951"/>
      <c r="H262" s="951"/>
      <c r="I262" s="951"/>
      <c r="J262" s="951"/>
      <c r="K262" s="951"/>
      <c r="L262" s="951"/>
      <c r="M262" s="951"/>
      <c r="N262" s="659"/>
      <c r="O262" s="951"/>
      <c r="P262" s="951"/>
      <c r="Q262" s="659"/>
      <c r="R262" s="659"/>
      <c r="S262" s="659"/>
      <c r="T262" s="659"/>
      <c r="U262" s="659"/>
      <c r="V262" s="659"/>
      <c r="W262" s="659"/>
      <c r="X262" s="659"/>
      <c r="Y262" s="659"/>
      <c r="Z262" s="659"/>
      <c r="AA262" s="659"/>
      <c r="AB262" s="659"/>
      <c r="AC262" s="659"/>
      <c r="AD262" s="659"/>
      <c r="AE262" s="659"/>
      <c r="AF262" s="659"/>
      <c r="AG262" s="659"/>
      <c r="AH262" s="659"/>
      <c r="AI262" s="659"/>
      <c r="AJ262" s="659"/>
      <c r="AK262" s="659"/>
      <c r="AL262" s="659"/>
      <c r="AM262" s="659"/>
      <c r="AN262" s="659"/>
      <c r="AO262" s="659"/>
      <c r="AP262" s="659"/>
      <c r="AQ262" s="746"/>
    </row>
    <row r="263">
      <c r="A263" s="654"/>
      <c r="B263" s="738" t="s">
        <v>638</v>
      </c>
      <c r="C263" s="720">
        <v>6.0</v>
      </c>
      <c r="D263" s="721">
        <v>7.0</v>
      </c>
      <c r="E263" s="703"/>
      <c r="F263" s="951"/>
      <c r="G263" s="951"/>
      <c r="H263" s="951"/>
      <c r="I263" s="951"/>
      <c r="J263" s="951"/>
      <c r="K263" s="951"/>
      <c r="L263" s="951"/>
      <c r="M263" s="951"/>
      <c r="N263" s="659"/>
      <c r="O263" s="951"/>
      <c r="P263" s="951"/>
      <c r="Q263" s="659"/>
      <c r="R263" s="659"/>
      <c r="S263" s="659"/>
      <c r="T263" s="659"/>
      <c r="U263" s="659"/>
      <c r="V263" s="659"/>
      <c r="W263" s="659"/>
      <c r="X263" s="659"/>
      <c r="Y263" s="659"/>
      <c r="Z263" s="659"/>
      <c r="AA263" s="659"/>
      <c r="AB263" s="659"/>
      <c r="AC263" s="659"/>
      <c r="AD263" s="659"/>
      <c r="AE263" s="659"/>
      <c r="AF263" s="659"/>
      <c r="AG263" s="659"/>
      <c r="AH263" s="659"/>
      <c r="AI263" s="659"/>
      <c r="AJ263" s="659"/>
      <c r="AK263" s="659"/>
      <c r="AL263" s="659"/>
      <c r="AM263" s="659"/>
      <c r="AN263" s="659"/>
      <c r="AO263" s="659"/>
      <c r="AP263" s="659"/>
      <c r="AQ263" s="746"/>
    </row>
    <row r="264">
      <c r="A264" s="654"/>
      <c r="B264" s="704" t="s">
        <v>323</v>
      </c>
      <c r="C264" s="687">
        <v>6.0</v>
      </c>
      <c r="D264" s="702">
        <v>9.0</v>
      </c>
      <c r="E264" s="703"/>
      <c r="F264" s="951"/>
      <c r="G264" s="951"/>
      <c r="H264" s="951"/>
      <c r="I264" s="951"/>
      <c r="J264" s="951"/>
      <c r="K264" s="951"/>
      <c r="L264" s="951"/>
      <c r="M264" s="951"/>
      <c r="N264" s="659"/>
      <c r="O264" s="951"/>
      <c r="P264" s="951"/>
      <c r="Q264" s="659"/>
      <c r="R264" s="659"/>
      <c r="S264" s="659"/>
      <c r="T264" s="659"/>
      <c r="U264" s="659"/>
      <c r="V264" s="659"/>
      <c r="W264" s="659"/>
      <c r="X264" s="659"/>
      <c r="Y264" s="659"/>
      <c r="Z264" s="659"/>
      <c r="AA264" s="659"/>
      <c r="AB264" s="659"/>
      <c r="AC264" s="659"/>
      <c r="AD264" s="659"/>
      <c r="AE264" s="659"/>
      <c r="AF264" s="659"/>
      <c r="AG264" s="659"/>
      <c r="AH264" s="659"/>
      <c r="AI264" s="659"/>
      <c r="AJ264" s="659"/>
      <c r="AK264" s="659"/>
      <c r="AL264" s="659"/>
      <c r="AM264" s="659"/>
      <c r="AN264" s="659"/>
      <c r="AO264" s="659"/>
      <c r="AP264" s="659"/>
      <c r="AQ264" s="746"/>
    </row>
    <row r="265">
      <c r="A265" s="654"/>
      <c r="B265" s="738" t="s">
        <v>639</v>
      </c>
      <c r="C265" s="720">
        <v>6.0</v>
      </c>
      <c r="D265" s="721">
        <v>7.0</v>
      </c>
      <c r="E265" s="703"/>
      <c r="F265" s="951"/>
      <c r="G265" s="951"/>
      <c r="H265" s="951"/>
      <c r="I265" s="951"/>
      <c r="J265" s="951"/>
      <c r="K265" s="951"/>
      <c r="L265" s="951"/>
      <c r="M265" s="951"/>
      <c r="N265" s="659"/>
      <c r="O265" s="951"/>
      <c r="P265" s="951"/>
      <c r="Q265" s="659"/>
      <c r="R265" s="659"/>
      <c r="S265" s="659"/>
      <c r="T265" s="659"/>
      <c r="U265" s="659"/>
      <c r="V265" s="659"/>
      <c r="W265" s="659"/>
      <c r="X265" s="659"/>
      <c r="Y265" s="659"/>
      <c r="Z265" s="659"/>
      <c r="AA265" s="659"/>
      <c r="AB265" s="659"/>
      <c r="AC265" s="659"/>
      <c r="AD265" s="659"/>
      <c r="AE265" s="659"/>
      <c r="AF265" s="659"/>
      <c r="AG265" s="659"/>
      <c r="AH265" s="659"/>
      <c r="AI265" s="659"/>
      <c r="AJ265" s="659"/>
      <c r="AK265" s="659"/>
      <c r="AL265" s="659"/>
      <c r="AM265" s="659"/>
      <c r="AN265" s="659"/>
      <c r="AO265" s="659"/>
      <c r="AP265" s="659"/>
      <c r="AQ265" s="746"/>
    </row>
    <row r="266">
      <c r="A266" s="654"/>
      <c r="B266" s="738" t="s">
        <v>640</v>
      </c>
      <c r="C266" s="720">
        <v>6.0</v>
      </c>
      <c r="D266" s="721">
        <v>8.0</v>
      </c>
      <c r="E266" s="703"/>
      <c r="F266" s="951"/>
      <c r="G266" s="951"/>
      <c r="H266" s="951"/>
      <c r="I266" s="951"/>
      <c r="J266" s="951"/>
      <c r="K266" s="951"/>
      <c r="L266" s="951"/>
      <c r="M266" s="951"/>
      <c r="N266" s="659"/>
      <c r="O266" s="951"/>
      <c r="P266" s="951"/>
      <c r="Q266" s="659"/>
      <c r="R266" s="659"/>
      <c r="S266" s="659"/>
      <c r="T266" s="659"/>
      <c r="U266" s="659"/>
      <c r="V266" s="659"/>
      <c r="W266" s="659"/>
      <c r="X266" s="659"/>
      <c r="Y266" s="659"/>
      <c r="Z266" s="659"/>
      <c r="AA266" s="659"/>
      <c r="AB266" s="659"/>
      <c r="AC266" s="659"/>
      <c r="AD266" s="659"/>
      <c r="AE266" s="659"/>
      <c r="AF266" s="659"/>
      <c r="AG266" s="659"/>
      <c r="AH266" s="659"/>
      <c r="AI266" s="659"/>
      <c r="AJ266" s="659"/>
      <c r="AK266" s="659"/>
      <c r="AL266" s="659"/>
      <c r="AM266" s="659"/>
      <c r="AN266" s="659"/>
      <c r="AO266" s="659"/>
      <c r="AP266" s="659"/>
      <c r="AQ266" s="746"/>
    </row>
    <row r="267">
      <c r="A267" s="654"/>
      <c r="B267" s="738" t="s">
        <v>641</v>
      </c>
      <c r="C267" s="720">
        <v>6.0</v>
      </c>
      <c r="D267" s="721">
        <v>8.0</v>
      </c>
      <c r="E267" s="703"/>
      <c r="F267" s="951"/>
      <c r="G267" s="951"/>
      <c r="H267" s="951"/>
      <c r="I267" s="951"/>
      <c r="J267" s="951"/>
      <c r="K267" s="951"/>
      <c r="L267" s="951"/>
      <c r="M267" s="951"/>
      <c r="N267" s="659"/>
      <c r="O267" s="951"/>
      <c r="P267" s="951"/>
      <c r="Q267" s="659"/>
      <c r="R267" s="659"/>
      <c r="S267" s="659"/>
      <c r="T267" s="659"/>
      <c r="U267" s="659"/>
      <c r="V267" s="659"/>
      <c r="W267" s="659"/>
      <c r="X267" s="649"/>
      <c r="Y267" s="659"/>
      <c r="Z267" s="659"/>
      <c r="AA267" s="659"/>
      <c r="AB267" s="659"/>
      <c r="AC267" s="659"/>
      <c r="AD267" s="659"/>
      <c r="AE267" s="659"/>
      <c r="AF267" s="659"/>
      <c r="AG267" s="659"/>
      <c r="AH267" s="659"/>
      <c r="AI267" s="659"/>
      <c r="AJ267" s="659"/>
      <c r="AK267" s="659"/>
      <c r="AL267" s="659"/>
      <c r="AM267" s="659"/>
      <c r="AN267" s="659"/>
      <c r="AO267" s="659"/>
      <c r="AP267" s="659"/>
      <c r="AQ267" s="746"/>
    </row>
    <row r="268">
      <c r="A268" s="654"/>
      <c r="B268" s="738" t="s">
        <v>642</v>
      </c>
      <c r="C268" s="720">
        <v>6.0</v>
      </c>
      <c r="D268" s="721">
        <v>7.0</v>
      </c>
      <c r="E268" s="703"/>
      <c r="F268" s="951"/>
      <c r="G268" s="951"/>
      <c r="H268" s="951"/>
      <c r="I268" s="951"/>
      <c r="J268" s="951"/>
      <c r="K268" s="951"/>
      <c r="L268" s="951"/>
      <c r="M268" s="951"/>
      <c r="N268" s="659"/>
      <c r="O268" s="951"/>
      <c r="P268" s="951"/>
      <c r="Q268" s="659"/>
      <c r="R268" s="659"/>
      <c r="S268" s="659"/>
      <c r="T268" s="659"/>
      <c r="U268" s="659"/>
      <c r="V268" s="659"/>
      <c r="W268" s="659"/>
      <c r="X268" s="659"/>
      <c r="Y268" s="659"/>
      <c r="Z268" s="659"/>
      <c r="AA268" s="659"/>
      <c r="AB268" s="659"/>
      <c r="AC268" s="659"/>
      <c r="AD268" s="659"/>
      <c r="AE268" s="659"/>
      <c r="AF268" s="659"/>
      <c r="AG268" s="659"/>
      <c r="AH268" s="659"/>
      <c r="AI268" s="659"/>
      <c r="AJ268" s="659"/>
      <c r="AK268" s="659"/>
      <c r="AL268" s="659"/>
      <c r="AM268" s="659"/>
      <c r="AN268" s="659"/>
      <c r="AO268" s="659"/>
      <c r="AP268" s="659"/>
      <c r="AQ268" s="746"/>
    </row>
    <row r="269">
      <c r="A269" s="654"/>
      <c r="B269" s="738" t="s">
        <v>643</v>
      </c>
      <c r="C269" s="720">
        <v>6.0</v>
      </c>
      <c r="D269" s="721">
        <v>7.0</v>
      </c>
      <c r="E269" s="703"/>
      <c r="F269" s="951"/>
      <c r="G269" s="951"/>
      <c r="H269" s="951"/>
      <c r="I269" s="951"/>
      <c r="J269" s="951"/>
      <c r="K269" s="951"/>
      <c r="L269" s="951"/>
      <c r="M269" s="951"/>
      <c r="N269" s="659"/>
      <c r="O269" s="951"/>
      <c r="P269" s="951"/>
      <c r="Q269" s="659"/>
      <c r="R269" s="659"/>
      <c r="S269" s="659"/>
      <c r="T269" s="659"/>
      <c r="U269" s="659"/>
      <c r="V269" s="659"/>
      <c r="W269" s="659"/>
      <c r="X269" s="659"/>
      <c r="Y269" s="659"/>
      <c r="Z269" s="659"/>
      <c r="AA269" s="659"/>
      <c r="AB269" s="659"/>
      <c r="AC269" s="659"/>
      <c r="AD269" s="659"/>
      <c r="AE269" s="659"/>
      <c r="AF269" s="659"/>
      <c r="AG269" s="659"/>
      <c r="AH269" s="659"/>
      <c r="AI269" s="659"/>
      <c r="AJ269" s="659"/>
      <c r="AK269" s="659"/>
      <c r="AL269" s="659"/>
      <c r="AM269" s="659"/>
      <c r="AN269" s="659"/>
      <c r="AO269" s="659"/>
      <c r="AP269" s="659"/>
      <c r="AQ269" s="746"/>
    </row>
    <row r="270">
      <c r="A270" s="654"/>
      <c r="B270" s="704" t="s">
        <v>644</v>
      </c>
      <c r="C270" s="687">
        <v>5.0</v>
      </c>
      <c r="D270" s="702">
        <v>6.0</v>
      </c>
      <c r="E270" s="703"/>
      <c r="F270" s="951"/>
      <c r="G270" s="951"/>
      <c r="H270" s="951"/>
      <c r="I270" s="951"/>
      <c r="J270" s="951"/>
      <c r="K270" s="951"/>
      <c r="L270" s="951"/>
      <c r="M270" s="951"/>
      <c r="N270" s="659"/>
      <c r="O270" s="951"/>
      <c r="P270" s="951"/>
      <c r="Q270" s="659"/>
      <c r="R270" s="659"/>
      <c r="S270" s="659"/>
      <c r="T270" s="659"/>
      <c r="U270" s="659"/>
      <c r="V270" s="659"/>
      <c r="W270" s="659"/>
      <c r="X270" s="659"/>
      <c r="Y270" s="659"/>
      <c r="Z270" s="659"/>
      <c r="AA270" s="659"/>
      <c r="AB270" s="659"/>
      <c r="AC270" s="659"/>
      <c r="AD270" s="659"/>
      <c r="AE270" s="659"/>
      <c r="AF270" s="659"/>
      <c r="AG270" s="659"/>
      <c r="AH270" s="659"/>
      <c r="AI270" s="659"/>
      <c r="AJ270" s="659"/>
      <c r="AK270" s="659"/>
      <c r="AL270" s="659"/>
      <c r="AM270" s="659"/>
      <c r="AN270" s="659"/>
      <c r="AO270" s="659"/>
      <c r="AP270" s="659"/>
      <c r="AQ270" s="746"/>
    </row>
    <row r="271">
      <c r="A271" s="654"/>
      <c r="B271" s="704" t="s">
        <v>645</v>
      </c>
      <c r="C271" s="687">
        <v>5.0</v>
      </c>
      <c r="D271" s="702">
        <v>7.0</v>
      </c>
      <c r="E271" s="703"/>
      <c r="F271" s="951"/>
      <c r="G271" s="951"/>
      <c r="H271" s="951"/>
      <c r="I271" s="951"/>
      <c r="J271" s="951"/>
      <c r="K271" s="951"/>
      <c r="L271" s="951"/>
      <c r="M271" s="951"/>
      <c r="N271" s="659"/>
      <c r="O271" s="951"/>
      <c r="P271" s="951"/>
      <c r="Q271" s="659"/>
      <c r="R271" s="659"/>
      <c r="S271" s="659"/>
      <c r="T271" s="659"/>
      <c r="U271" s="659"/>
      <c r="V271" s="659"/>
      <c r="W271" s="659"/>
      <c r="X271" s="659"/>
      <c r="Y271" s="659"/>
      <c r="Z271" s="659"/>
      <c r="AA271" s="659"/>
      <c r="AB271" s="659"/>
      <c r="AC271" s="659"/>
      <c r="AD271" s="659"/>
      <c r="AE271" s="659"/>
      <c r="AF271" s="659"/>
      <c r="AG271" s="659"/>
      <c r="AH271" s="659"/>
      <c r="AI271" s="659"/>
      <c r="AJ271" s="659"/>
      <c r="AK271" s="659"/>
      <c r="AL271" s="659"/>
      <c r="AM271" s="659"/>
      <c r="AN271" s="659"/>
      <c r="AO271" s="659"/>
      <c r="AP271" s="659"/>
      <c r="AQ271" s="746"/>
    </row>
    <row r="272">
      <c r="A272" s="654"/>
      <c r="B272" s="738" t="s">
        <v>646</v>
      </c>
      <c r="C272" s="720">
        <v>5.0</v>
      </c>
      <c r="D272" s="721">
        <v>6.0</v>
      </c>
      <c r="E272" s="703"/>
      <c r="F272" s="951"/>
      <c r="G272" s="951"/>
      <c r="H272" s="951"/>
      <c r="I272" s="951"/>
      <c r="J272" s="951"/>
      <c r="K272" s="951"/>
      <c r="L272" s="951"/>
      <c r="M272" s="951"/>
      <c r="N272" s="659"/>
      <c r="O272" s="951"/>
      <c r="P272" s="951"/>
      <c r="Q272" s="659"/>
      <c r="R272" s="659"/>
      <c r="S272" s="659"/>
      <c r="T272" s="659"/>
      <c r="U272" s="659"/>
      <c r="V272" s="659"/>
      <c r="W272" s="659"/>
      <c r="X272" s="659"/>
      <c r="Y272" s="659"/>
      <c r="Z272" s="659"/>
      <c r="AA272" s="659"/>
      <c r="AB272" s="659"/>
      <c r="AC272" s="659"/>
      <c r="AD272" s="659"/>
      <c r="AE272" s="659"/>
      <c r="AF272" s="659"/>
      <c r="AG272" s="659"/>
      <c r="AH272" s="659"/>
      <c r="AI272" s="659"/>
      <c r="AJ272" s="659"/>
      <c r="AK272" s="659"/>
      <c r="AL272" s="659"/>
      <c r="AM272" s="659"/>
      <c r="AN272" s="659"/>
      <c r="AO272" s="659"/>
      <c r="AP272" s="659"/>
      <c r="AQ272" s="746"/>
    </row>
    <row r="273">
      <c r="A273" s="654"/>
      <c r="B273" s="704" t="s">
        <v>647</v>
      </c>
      <c r="C273" s="687">
        <v>5.0</v>
      </c>
      <c r="D273" s="702">
        <v>6.0</v>
      </c>
      <c r="E273" s="703"/>
      <c r="F273" s="951"/>
      <c r="G273" s="951"/>
      <c r="H273" s="951"/>
      <c r="I273" s="951"/>
      <c r="J273" s="951"/>
      <c r="K273" s="951"/>
      <c r="L273" s="951"/>
      <c r="M273" s="951"/>
      <c r="N273" s="659"/>
      <c r="O273" s="951"/>
      <c r="P273" s="951"/>
      <c r="Q273" s="659"/>
      <c r="R273" s="659"/>
      <c r="S273" s="659"/>
      <c r="T273" s="659"/>
      <c r="U273" s="659"/>
      <c r="V273" s="659"/>
      <c r="W273" s="659"/>
      <c r="X273" s="659"/>
      <c r="Y273" s="659"/>
      <c r="Z273" s="659"/>
      <c r="AA273" s="659"/>
      <c r="AB273" s="659"/>
      <c r="AC273" s="659"/>
      <c r="AD273" s="659"/>
      <c r="AE273" s="659"/>
      <c r="AF273" s="659"/>
      <c r="AG273" s="659"/>
      <c r="AH273" s="659"/>
      <c r="AI273" s="659"/>
      <c r="AJ273" s="659"/>
      <c r="AK273" s="659"/>
      <c r="AL273" s="659"/>
      <c r="AM273" s="659"/>
      <c r="AN273" s="659"/>
      <c r="AO273" s="659"/>
      <c r="AP273" s="659"/>
      <c r="AQ273" s="746"/>
    </row>
    <row r="274">
      <c r="A274" s="654"/>
      <c r="B274" s="704" t="s">
        <v>130</v>
      </c>
      <c r="C274" s="687">
        <v>5.0</v>
      </c>
      <c r="D274" s="702">
        <v>6.0</v>
      </c>
      <c r="E274" s="703"/>
      <c r="F274" s="951"/>
      <c r="G274" s="951"/>
      <c r="H274" s="951"/>
      <c r="I274" s="951"/>
      <c r="J274" s="951"/>
      <c r="K274" s="951"/>
      <c r="L274" s="951"/>
      <c r="M274" s="951"/>
      <c r="N274" s="659"/>
      <c r="O274" s="951"/>
      <c r="P274" s="951"/>
      <c r="Q274" s="659"/>
      <c r="R274" s="659"/>
      <c r="S274" s="659"/>
      <c r="T274" s="659"/>
      <c r="U274" s="659"/>
      <c r="V274" s="659"/>
      <c r="W274" s="659"/>
      <c r="X274" s="659"/>
      <c r="Y274" s="659"/>
      <c r="Z274" s="659"/>
      <c r="AA274" s="659"/>
      <c r="AB274" s="659"/>
      <c r="AC274" s="659"/>
      <c r="AD274" s="659"/>
      <c r="AE274" s="659"/>
      <c r="AF274" s="659"/>
      <c r="AG274" s="659"/>
      <c r="AH274" s="659"/>
      <c r="AI274" s="659"/>
      <c r="AJ274" s="659"/>
      <c r="AK274" s="659"/>
      <c r="AL274" s="659"/>
      <c r="AM274" s="659"/>
      <c r="AN274" s="659"/>
      <c r="AO274" s="659"/>
      <c r="AP274" s="659"/>
      <c r="AQ274" s="746"/>
    </row>
    <row r="275">
      <c r="A275" s="654"/>
      <c r="B275" s="704" t="s">
        <v>648</v>
      </c>
      <c r="C275" s="687">
        <v>5.0</v>
      </c>
      <c r="D275" s="702">
        <v>6.0</v>
      </c>
      <c r="E275" s="703"/>
      <c r="F275" s="951"/>
      <c r="G275" s="951"/>
      <c r="H275" s="951"/>
      <c r="I275" s="951"/>
      <c r="J275" s="951"/>
      <c r="K275" s="951"/>
      <c r="L275" s="951"/>
      <c r="M275" s="951"/>
      <c r="N275" s="659"/>
      <c r="O275" s="951"/>
      <c r="P275" s="951"/>
      <c r="Q275" s="659"/>
      <c r="R275" s="659"/>
      <c r="S275" s="659"/>
      <c r="T275" s="659"/>
      <c r="U275" s="659"/>
      <c r="V275" s="659"/>
      <c r="W275" s="659"/>
      <c r="X275" s="659"/>
      <c r="Y275" s="659"/>
      <c r="Z275" s="659"/>
      <c r="AA275" s="659"/>
      <c r="AB275" s="659"/>
      <c r="AC275" s="659"/>
      <c r="AD275" s="659"/>
      <c r="AE275" s="659"/>
      <c r="AF275" s="659"/>
      <c r="AG275" s="659"/>
      <c r="AH275" s="659"/>
      <c r="AI275" s="659"/>
      <c r="AJ275" s="659"/>
      <c r="AK275" s="659"/>
      <c r="AL275" s="659"/>
      <c r="AM275" s="659"/>
      <c r="AN275" s="659"/>
      <c r="AO275" s="659"/>
      <c r="AP275" s="659"/>
      <c r="AQ275" s="746"/>
    </row>
    <row r="276">
      <c r="A276" s="654"/>
      <c r="B276" s="704" t="s">
        <v>649</v>
      </c>
      <c r="C276" s="687">
        <v>5.0</v>
      </c>
      <c r="D276" s="702">
        <v>7.0</v>
      </c>
      <c r="E276" s="703"/>
      <c r="F276" s="951"/>
      <c r="G276" s="951"/>
      <c r="H276" s="951"/>
      <c r="I276" s="951"/>
      <c r="J276" s="951"/>
      <c r="K276" s="951"/>
      <c r="L276" s="951"/>
      <c r="M276" s="951"/>
      <c r="N276" s="659"/>
      <c r="O276" s="951"/>
      <c r="P276" s="951"/>
      <c r="Q276" s="659"/>
      <c r="R276" s="659"/>
      <c r="S276" s="659"/>
      <c r="T276" s="659"/>
      <c r="U276" s="659"/>
      <c r="V276" s="659"/>
      <c r="W276" s="659"/>
      <c r="X276" s="659"/>
      <c r="Y276" s="659"/>
      <c r="Z276" s="659"/>
      <c r="AA276" s="659"/>
      <c r="AB276" s="659"/>
      <c r="AC276" s="659"/>
      <c r="AD276" s="659"/>
      <c r="AE276" s="659"/>
      <c r="AF276" s="659"/>
      <c r="AG276" s="659"/>
      <c r="AH276" s="659"/>
      <c r="AI276" s="659"/>
      <c r="AJ276" s="659"/>
      <c r="AK276" s="659"/>
      <c r="AL276" s="659"/>
      <c r="AM276" s="659"/>
      <c r="AN276" s="659"/>
      <c r="AO276" s="659"/>
      <c r="AP276" s="659"/>
      <c r="AQ276" s="746"/>
    </row>
    <row r="277">
      <c r="A277" s="654"/>
      <c r="B277" s="704" t="s">
        <v>650</v>
      </c>
      <c r="C277" s="687">
        <v>5.0</v>
      </c>
      <c r="D277" s="702">
        <v>7.0</v>
      </c>
      <c r="E277" s="703"/>
      <c r="F277" s="951"/>
      <c r="G277" s="951"/>
      <c r="H277" s="951"/>
      <c r="I277" s="951"/>
      <c r="J277" s="951"/>
      <c r="K277" s="951"/>
      <c r="L277" s="951"/>
      <c r="M277" s="951"/>
      <c r="N277" s="659"/>
      <c r="O277" s="951"/>
      <c r="P277" s="951"/>
      <c r="Q277" s="659"/>
      <c r="R277" s="659"/>
      <c r="S277" s="659"/>
      <c r="T277" s="659"/>
      <c r="U277" s="659"/>
      <c r="V277" s="659"/>
      <c r="W277" s="659"/>
      <c r="X277" s="659"/>
      <c r="Y277" s="659"/>
      <c r="Z277" s="659"/>
      <c r="AA277" s="659"/>
      <c r="AB277" s="659"/>
      <c r="AC277" s="659"/>
      <c r="AD277" s="659"/>
      <c r="AE277" s="659"/>
      <c r="AF277" s="659"/>
      <c r="AG277" s="659"/>
      <c r="AH277" s="659"/>
      <c r="AI277" s="659"/>
      <c r="AJ277" s="659"/>
      <c r="AK277" s="659"/>
      <c r="AL277" s="659"/>
      <c r="AM277" s="659"/>
      <c r="AN277" s="659"/>
      <c r="AO277" s="659"/>
      <c r="AP277" s="659"/>
      <c r="AQ277" s="746"/>
    </row>
    <row r="278">
      <c r="A278" s="654"/>
      <c r="B278" s="704" t="s">
        <v>651</v>
      </c>
      <c r="C278" s="687">
        <v>5.0</v>
      </c>
      <c r="D278" s="702">
        <v>6.0</v>
      </c>
      <c r="E278" s="703"/>
      <c r="F278" s="951"/>
      <c r="G278" s="951"/>
      <c r="H278" s="951"/>
      <c r="I278" s="951"/>
      <c r="J278" s="951"/>
      <c r="K278" s="951"/>
      <c r="L278" s="951"/>
      <c r="M278" s="951"/>
      <c r="N278" s="659"/>
      <c r="O278" s="951"/>
      <c r="P278" s="951"/>
      <c r="Q278" s="659"/>
      <c r="R278" s="659"/>
      <c r="S278" s="659"/>
      <c r="T278" s="659"/>
      <c r="U278" s="659"/>
      <c r="V278" s="659"/>
      <c r="W278" s="659"/>
      <c r="X278" s="649"/>
      <c r="Y278" s="659"/>
      <c r="Z278" s="659"/>
      <c r="AA278" s="659"/>
      <c r="AB278" s="659"/>
      <c r="AC278" s="659"/>
      <c r="AD278" s="659"/>
      <c r="AE278" s="659"/>
      <c r="AF278" s="659"/>
      <c r="AG278" s="659"/>
      <c r="AH278" s="659"/>
      <c r="AI278" s="659"/>
      <c r="AJ278" s="659"/>
      <c r="AK278" s="659"/>
      <c r="AL278" s="659"/>
      <c r="AM278" s="659"/>
      <c r="AN278" s="659"/>
      <c r="AO278" s="659"/>
      <c r="AP278" s="659"/>
      <c r="AQ278" s="746"/>
    </row>
    <row r="279">
      <c r="A279" s="654"/>
      <c r="B279" s="704" t="s">
        <v>652</v>
      </c>
      <c r="C279" s="687">
        <v>5.0</v>
      </c>
      <c r="D279" s="702">
        <v>7.0</v>
      </c>
      <c r="E279" s="703"/>
      <c r="F279" s="951"/>
      <c r="G279" s="951"/>
      <c r="H279" s="951"/>
      <c r="I279" s="951"/>
      <c r="J279" s="951"/>
      <c r="K279" s="951"/>
      <c r="L279" s="951"/>
      <c r="M279" s="951"/>
      <c r="N279" s="659"/>
      <c r="O279" s="951"/>
      <c r="P279" s="951"/>
      <c r="Q279" s="659"/>
      <c r="R279" s="659"/>
      <c r="S279" s="659"/>
      <c r="T279" s="659"/>
      <c r="U279" s="659"/>
      <c r="V279" s="659"/>
      <c r="W279" s="659"/>
      <c r="X279" s="659"/>
      <c r="Y279" s="659"/>
      <c r="Z279" s="659"/>
      <c r="AA279" s="659"/>
      <c r="AB279" s="659"/>
      <c r="AC279" s="659"/>
      <c r="AD279" s="659"/>
      <c r="AE279" s="659"/>
      <c r="AF279" s="659"/>
      <c r="AG279" s="659"/>
      <c r="AH279" s="659"/>
      <c r="AI279" s="659"/>
      <c r="AJ279" s="659"/>
      <c r="AK279" s="659"/>
      <c r="AL279" s="659"/>
      <c r="AM279" s="659"/>
      <c r="AN279" s="659"/>
      <c r="AO279" s="659"/>
      <c r="AP279" s="659"/>
      <c r="AQ279" s="746"/>
    </row>
    <row r="280">
      <c r="A280" s="654"/>
      <c r="B280" s="704" t="s">
        <v>653</v>
      </c>
      <c r="C280" s="687">
        <v>5.0</v>
      </c>
      <c r="D280" s="702">
        <v>9.0</v>
      </c>
      <c r="E280" s="703"/>
      <c r="F280" s="951"/>
      <c r="G280" s="951"/>
      <c r="H280" s="951"/>
      <c r="I280" s="951"/>
      <c r="J280" s="951"/>
      <c r="K280" s="951"/>
      <c r="L280" s="951"/>
      <c r="M280" s="951"/>
      <c r="N280" s="659"/>
      <c r="O280" s="951"/>
      <c r="P280" s="951"/>
      <c r="Q280" s="659"/>
      <c r="R280" s="659"/>
      <c r="S280" s="659"/>
      <c r="T280" s="659"/>
      <c r="U280" s="659"/>
      <c r="V280" s="659"/>
      <c r="W280" s="659"/>
      <c r="X280" s="659"/>
      <c r="Y280" s="659"/>
      <c r="Z280" s="659"/>
      <c r="AA280" s="659"/>
      <c r="AB280" s="659"/>
      <c r="AC280" s="659"/>
      <c r="AD280" s="659"/>
      <c r="AE280" s="659"/>
      <c r="AF280" s="659"/>
      <c r="AG280" s="659"/>
      <c r="AH280" s="659"/>
      <c r="AI280" s="659"/>
      <c r="AJ280" s="659"/>
      <c r="AK280" s="659"/>
      <c r="AL280" s="659"/>
      <c r="AM280" s="659"/>
      <c r="AN280" s="659"/>
      <c r="AO280" s="659"/>
      <c r="AP280" s="659"/>
      <c r="AQ280" s="746"/>
    </row>
    <row r="281">
      <c r="A281" s="654"/>
      <c r="B281" s="704" t="s">
        <v>654</v>
      </c>
      <c r="C281" s="687">
        <v>5.0</v>
      </c>
      <c r="D281" s="702">
        <v>7.0</v>
      </c>
      <c r="E281" s="703"/>
      <c r="F281" s="951"/>
      <c r="G281" s="951"/>
      <c r="H281" s="951"/>
      <c r="I281" s="951"/>
      <c r="J281" s="951"/>
      <c r="K281" s="951"/>
      <c r="L281" s="951"/>
      <c r="M281" s="951"/>
      <c r="N281" s="659"/>
      <c r="O281" s="951"/>
      <c r="P281" s="951"/>
      <c r="Q281" s="659"/>
      <c r="R281" s="659"/>
      <c r="S281" s="659"/>
      <c r="T281" s="659"/>
      <c r="U281" s="659"/>
      <c r="V281" s="659"/>
      <c r="W281" s="659"/>
      <c r="X281" s="659"/>
      <c r="Y281" s="659"/>
      <c r="Z281" s="659"/>
      <c r="AA281" s="659"/>
      <c r="AB281" s="659"/>
      <c r="AC281" s="659"/>
      <c r="AD281" s="659"/>
      <c r="AE281" s="659"/>
      <c r="AF281" s="659"/>
      <c r="AG281" s="659"/>
      <c r="AH281" s="659"/>
      <c r="AI281" s="659"/>
      <c r="AJ281" s="659"/>
      <c r="AK281" s="659"/>
      <c r="AL281" s="659"/>
      <c r="AM281" s="659"/>
      <c r="AN281" s="659"/>
      <c r="AO281" s="659"/>
      <c r="AP281" s="659"/>
      <c r="AQ281" s="746"/>
    </row>
    <row r="282">
      <c r="A282" s="654"/>
      <c r="B282" s="704" t="s">
        <v>655</v>
      </c>
      <c r="C282" s="687">
        <v>5.0</v>
      </c>
      <c r="D282" s="702">
        <v>6.0</v>
      </c>
      <c r="E282" s="703"/>
      <c r="F282" s="951"/>
      <c r="G282" s="951"/>
      <c r="H282" s="951"/>
      <c r="I282" s="951"/>
      <c r="J282" s="951"/>
      <c r="K282" s="951"/>
      <c r="L282" s="951"/>
      <c r="M282" s="951"/>
      <c r="N282" s="659"/>
      <c r="O282" s="951"/>
      <c r="P282" s="951"/>
      <c r="Q282" s="659"/>
      <c r="R282" s="659"/>
      <c r="S282" s="659"/>
      <c r="T282" s="659"/>
      <c r="U282" s="659"/>
      <c r="V282" s="659"/>
      <c r="W282" s="659"/>
      <c r="X282" s="659"/>
      <c r="Y282" s="659"/>
      <c r="Z282" s="659"/>
      <c r="AA282" s="659"/>
      <c r="AB282" s="659"/>
      <c r="AC282" s="659"/>
      <c r="AD282" s="659"/>
      <c r="AE282" s="659"/>
      <c r="AF282" s="659"/>
      <c r="AG282" s="659"/>
      <c r="AH282" s="659"/>
      <c r="AI282" s="659"/>
      <c r="AJ282" s="659"/>
      <c r="AK282" s="659"/>
      <c r="AL282" s="659"/>
      <c r="AM282" s="659"/>
      <c r="AN282" s="659"/>
      <c r="AO282" s="659"/>
      <c r="AP282" s="659"/>
      <c r="AQ282" s="746"/>
    </row>
    <row r="283">
      <c r="A283" s="654"/>
      <c r="B283" s="704" t="s">
        <v>305</v>
      </c>
      <c r="C283" s="687">
        <v>5.0</v>
      </c>
      <c r="D283" s="702">
        <v>6.0</v>
      </c>
      <c r="E283" s="703"/>
      <c r="F283" s="951"/>
      <c r="G283" s="951"/>
      <c r="H283" s="951"/>
      <c r="I283" s="951"/>
      <c r="J283" s="951"/>
      <c r="K283" s="951"/>
      <c r="L283" s="951"/>
      <c r="M283" s="951"/>
      <c r="N283" s="659"/>
      <c r="O283" s="951"/>
      <c r="P283" s="951"/>
      <c r="Q283" s="659"/>
      <c r="R283" s="659"/>
      <c r="S283" s="659"/>
      <c r="T283" s="659"/>
      <c r="U283" s="659"/>
      <c r="V283" s="659"/>
      <c r="W283" s="659"/>
      <c r="X283" s="659"/>
      <c r="Y283" s="659"/>
      <c r="Z283" s="659"/>
      <c r="AA283" s="659"/>
      <c r="AB283" s="659"/>
      <c r="AC283" s="659"/>
      <c r="AD283" s="659"/>
      <c r="AE283" s="659"/>
      <c r="AF283" s="659"/>
      <c r="AG283" s="659"/>
      <c r="AH283" s="659"/>
      <c r="AI283" s="659"/>
      <c r="AJ283" s="659"/>
      <c r="AK283" s="659"/>
      <c r="AL283" s="659"/>
      <c r="AM283" s="659"/>
      <c r="AN283" s="659"/>
      <c r="AO283" s="659"/>
      <c r="AP283" s="659"/>
      <c r="AQ283" s="746"/>
    </row>
    <row r="284">
      <c r="A284" s="654"/>
      <c r="B284" s="704" t="s">
        <v>656</v>
      </c>
      <c r="C284" s="687">
        <v>5.0</v>
      </c>
      <c r="D284" s="702">
        <v>6.0</v>
      </c>
      <c r="E284" s="703"/>
      <c r="F284" s="951"/>
      <c r="G284" s="951"/>
      <c r="H284" s="951"/>
      <c r="I284" s="951"/>
      <c r="J284" s="951"/>
      <c r="K284" s="951"/>
      <c r="L284" s="951"/>
      <c r="M284" s="951"/>
      <c r="N284" s="659"/>
      <c r="O284" s="951"/>
      <c r="P284" s="951"/>
      <c r="Q284" s="659"/>
      <c r="R284" s="659"/>
      <c r="S284" s="659"/>
      <c r="T284" s="659"/>
      <c r="U284" s="659"/>
      <c r="V284" s="659"/>
      <c r="W284" s="659"/>
      <c r="X284" s="659"/>
      <c r="Y284" s="659"/>
      <c r="Z284" s="659"/>
      <c r="AA284" s="659"/>
      <c r="AB284" s="659"/>
      <c r="AC284" s="659"/>
      <c r="AD284" s="659"/>
      <c r="AE284" s="659"/>
      <c r="AF284" s="659"/>
      <c r="AG284" s="659"/>
      <c r="AH284" s="659"/>
      <c r="AI284" s="659"/>
      <c r="AJ284" s="659"/>
      <c r="AK284" s="659"/>
      <c r="AL284" s="659"/>
      <c r="AM284" s="659"/>
      <c r="AN284" s="659"/>
      <c r="AO284" s="659"/>
      <c r="AP284" s="659"/>
      <c r="AQ284" s="746"/>
    </row>
    <row r="285">
      <c r="A285" s="654"/>
      <c r="B285" s="704" t="s">
        <v>657</v>
      </c>
      <c r="C285" s="687">
        <v>5.0</v>
      </c>
      <c r="D285" s="702">
        <v>6.0</v>
      </c>
      <c r="E285" s="703"/>
      <c r="F285" s="951"/>
      <c r="G285" s="951"/>
      <c r="H285" s="951"/>
      <c r="I285" s="951"/>
      <c r="J285" s="951"/>
      <c r="K285" s="951"/>
      <c r="L285" s="951"/>
      <c r="M285" s="951"/>
      <c r="N285" s="659"/>
      <c r="O285" s="951"/>
      <c r="P285" s="951"/>
      <c r="Q285" s="659"/>
      <c r="R285" s="659"/>
      <c r="S285" s="659"/>
      <c r="T285" s="659"/>
      <c r="U285" s="659"/>
      <c r="V285" s="659"/>
      <c r="W285" s="659"/>
      <c r="X285" s="659"/>
      <c r="Y285" s="659"/>
      <c r="Z285" s="659"/>
      <c r="AA285" s="659"/>
      <c r="AB285" s="659"/>
      <c r="AC285" s="659"/>
      <c r="AD285" s="659"/>
      <c r="AE285" s="659"/>
      <c r="AF285" s="659"/>
      <c r="AG285" s="659"/>
      <c r="AH285" s="659"/>
      <c r="AI285" s="659"/>
      <c r="AJ285" s="659"/>
      <c r="AK285" s="659"/>
      <c r="AL285" s="659"/>
      <c r="AM285" s="659"/>
      <c r="AN285" s="659"/>
      <c r="AO285" s="659"/>
      <c r="AP285" s="659"/>
      <c r="AQ285" s="746"/>
    </row>
    <row r="286">
      <c r="A286" s="654"/>
      <c r="B286" s="704" t="s">
        <v>658</v>
      </c>
      <c r="C286" s="687">
        <v>5.0</v>
      </c>
      <c r="D286" s="702">
        <v>6.0</v>
      </c>
      <c r="E286" s="703"/>
      <c r="F286" s="951"/>
      <c r="G286" s="951"/>
      <c r="H286" s="951"/>
      <c r="I286" s="951"/>
      <c r="J286" s="951"/>
      <c r="K286" s="951"/>
      <c r="L286" s="951"/>
      <c r="M286" s="951"/>
      <c r="N286" s="659"/>
      <c r="O286" s="951"/>
      <c r="P286" s="951"/>
      <c r="Q286" s="659"/>
      <c r="R286" s="659"/>
      <c r="S286" s="659"/>
      <c r="T286" s="659"/>
      <c r="U286" s="659"/>
      <c r="V286" s="659"/>
      <c r="W286" s="659"/>
      <c r="X286" s="659"/>
      <c r="Y286" s="659"/>
      <c r="Z286" s="659"/>
      <c r="AA286" s="659"/>
      <c r="AB286" s="659"/>
      <c r="AC286" s="659"/>
      <c r="AD286" s="659"/>
      <c r="AE286" s="659"/>
      <c r="AF286" s="659"/>
      <c r="AG286" s="659"/>
      <c r="AH286" s="659"/>
      <c r="AI286" s="659"/>
      <c r="AJ286" s="659"/>
      <c r="AK286" s="659"/>
      <c r="AL286" s="659"/>
      <c r="AM286" s="659"/>
      <c r="AN286" s="659"/>
      <c r="AO286" s="659"/>
      <c r="AP286" s="659"/>
      <c r="AQ286" s="746"/>
    </row>
    <row r="287">
      <c r="A287" s="654"/>
      <c r="B287" s="704" t="s">
        <v>659</v>
      </c>
      <c r="C287" s="687">
        <v>5.0</v>
      </c>
      <c r="D287" s="702">
        <v>8.0</v>
      </c>
      <c r="E287" s="703"/>
      <c r="F287" s="951"/>
      <c r="G287" s="951"/>
      <c r="H287" s="951"/>
      <c r="I287" s="951"/>
      <c r="J287" s="951"/>
      <c r="K287" s="951"/>
      <c r="L287" s="951"/>
      <c r="M287" s="951"/>
      <c r="N287" s="659"/>
      <c r="O287" s="951"/>
      <c r="P287" s="951"/>
      <c r="Q287" s="659"/>
      <c r="R287" s="659"/>
      <c r="S287" s="659"/>
      <c r="T287" s="659"/>
      <c r="U287" s="659"/>
      <c r="V287" s="659"/>
      <c r="W287" s="659"/>
      <c r="X287" s="659"/>
      <c r="Y287" s="659"/>
      <c r="Z287" s="659"/>
      <c r="AA287" s="659"/>
      <c r="AB287" s="659"/>
      <c r="AC287" s="659"/>
      <c r="AD287" s="659"/>
      <c r="AE287" s="659"/>
      <c r="AF287" s="659"/>
      <c r="AG287" s="659"/>
      <c r="AH287" s="659"/>
      <c r="AI287" s="659"/>
      <c r="AJ287" s="659"/>
      <c r="AK287" s="659"/>
      <c r="AL287" s="659"/>
      <c r="AM287" s="659"/>
      <c r="AN287" s="659"/>
      <c r="AO287" s="659"/>
      <c r="AP287" s="659"/>
      <c r="AQ287" s="746"/>
    </row>
    <row r="288">
      <c r="A288" s="654"/>
      <c r="B288" s="704" t="s">
        <v>660</v>
      </c>
      <c r="C288" s="687">
        <v>5.0</v>
      </c>
      <c r="D288" s="702">
        <v>6.0</v>
      </c>
      <c r="E288" s="703"/>
      <c r="F288" s="951"/>
      <c r="G288" s="951"/>
      <c r="H288" s="951"/>
      <c r="I288" s="951"/>
      <c r="J288" s="951"/>
      <c r="K288" s="951"/>
      <c r="L288" s="951"/>
      <c r="M288" s="951"/>
      <c r="N288" s="659"/>
      <c r="O288" s="951"/>
      <c r="P288" s="951"/>
      <c r="Q288" s="659"/>
      <c r="R288" s="659"/>
      <c r="S288" s="659"/>
      <c r="T288" s="659"/>
      <c r="U288" s="659"/>
      <c r="V288" s="659"/>
      <c r="W288" s="659"/>
      <c r="X288" s="659"/>
      <c r="Y288" s="659"/>
      <c r="Z288" s="659"/>
      <c r="AA288" s="659"/>
      <c r="AB288" s="659"/>
      <c r="AC288" s="659"/>
      <c r="AD288" s="659"/>
      <c r="AE288" s="659"/>
      <c r="AF288" s="659"/>
      <c r="AG288" s="659"/>
      <c r="AH288" s="659"/>
      <c r="AI288" s="659"/>
      <c r="AJ288" s="659"/>
      <c r="AK288" s="659"/>
      <c r="AL288" s="659"/>
      <c r="AM288" s="659"/>
      <c r="AN288" s="659"/>
      <c r="AO288" s="659"/>
      <c r="AP288" s="659"/>
      <c r="AQ288" s="746"/>
    </row>
    <row r="289">
      <c r="A289" s="654"/>
      <c r="B289" s="704" t="s">
        <v>661</v>
      </c>
      <c r="C289" s="687">
        <v>5.0</v>
      </c>
      <c r="D289" s="702">
        <v>6.0</v>
      </c>
      <c r="E289" s="703"/>
      <c r="F289" s="951"/>
      <c r="G289" s="951"/>
      <c r="H289" s="951"/>
      <c r="I289" s="951"/>
      <c r="J289" s="951"/>
      <c r="K289" s="951"/>
      <c r="L289" s="951"/>
      <c r="M289" s="951"/>
      <c r="N289" s="659"/>
      <c r="O289" s="951"/>
      <c r="P289" s="951"/>
      <c r="Q289" s="659"/>
      <c r="R289" s="659"/>
      <c r="S289" s="659"/>
      <c r="T289" s="659"/>
      <c r="U289" s="659"/>
      <c r="V289" s="659"/>
      <c r="W289" s="659"/>
      <c r="X289" s="649"/>
      <c r="Y289" s="659"/>
      <c r="Z289" s="659"/>
      <c r="AA289" s="659"/>
      <c r="AB289" s="659"/>
      <c r="AC289" s="659"/>
      <c r="AD289" s="659"/>
      <c r="AE289" s="659"/>
      <c r="AF289" s="659"/>
      <c r="AG289" s="659"/>
      <c r="AH289" s="659"/>
      <c r="AI289" s="659"/>
      <c r="AJ289" s="659"/>
      <c r="AK289" s="659"/>
      <c r="AL289" s="659"/>
      <c r="AM289" s="659"/>
      <c r="AN289" s="659"/>
      <c r="AO289" s="659"/>
      <c r="AP289" s="659"/>
      <c r="AQ289" s="746"/>
    </row>
    <row r="290">
      <c r="A290" s="654"/>
      <c r="B290" s="704" t="s">
        <v>662</v>
      </c>
      <c r="C290" s="687">
        <v>5.0</v>
      </c>
      <c r="D290" s="702">
        <v>6.0</v>
      </c>
      <c r="E290" s="703"/>
      <c r="F290" s="951"/>
      <c r="G290" s="951"/>
      <c r="H290" s="951"/>
      <c r="I290" s="951"/>
      <c r="J290" s="951"/>
      <c r="K290" s="951"/>
      <c r="L290" s="951"/>
      <c r="M290" s="951"/>
      <c r="N290" s="659"/>
      <c r="O290" s="951"/>
      <c r="P290" s="951"/>
      <c r="Q290" s="659"/>
      <c r="R290" s="659"/>
      <c r="S290" s="659"/>
      <c r="T290" s="659"/>
      <c r="U290" s="659"/>
      <c r="V290" s="659"/>
      <c r="W290" s="659"/>
      <c r="X290" s="659"/>
      <c r="Y290" s="659"/>
      <c r="Z290" s="659"/>
      <c r="AA290" s="659"/>
      <c r="AB290" s="659"/>
      <c r="AC290" s="659"/>
      <c r="AD290" s="659"/>
      <c r="AE290" s="659"/>
      <c r="AF290" s="659"/>
      <c r="AG290" s="659"/>
      <c r="AH290" s="659"/>
      <c r="AI290" s="659"/>
      <c r="AJ290" s="659"/>
      <c r="AK290" s="659"/>
      <c r="AL290" s="659"/>
      <c r="AM290" s="659"/>
      <c r="AN290" s="659"/>
      <c r="AO290" s="659"/>
      <c r="AP290" s="659"/>
      <c r="AQ290" s="746"/>
    </row>
    <row r="291">
      <c r="A291" s="654"/>
      <c r="B291" s="704" t="s">
        <v>663</v>
      </c>
      <c r="C291" s="687">
        <v>5.0</v>
      </c>
      <c r="D291" s="702">
        <v>6.0</v>
      </c>
      <c r="E291" s="703"/>
      <c r="F291" s="951"/>
      <c r="G291" s="951"/>
      <c r="H291" s="951"/>
      <c r="I291" s="951"/>
      <c r="J291" s="951"/>
      <c r="K291" s="951"/>
      <c r="L291" s="951"/>
      <c r="M291" s="951"/>
      <c r="N291" s="659"/>
      <c r="O291" s="951"/>
      <c r="P291" s="951"/>
      <c r="Q291" s="659"/>
      <c r="R291" s="659"/>
      <c r="S291" s="659"/>
      <c r="T291" s="659"/>
      <c r="U291" s="659"/>
      <c r="V291" s="659"/>
      <c r="W291" s="659"/>
      <c r="X291" s="659"/>
      <c r="Y291" s="659"/>
      <c r="Z291" s="659"/>
      <c r="AA291" s="659"/>
      <c r="AB291" s="659"/>
      <c r="AC291" s="659"/>
      <c r="AD291" s="659"/>
      <c r="AE291" s="659"/>
      <c r="AF291" s="659"/>
      <c r="AG291" s="659"/>
      <c r="AH291" s="659"/>
      <c r="AI291" s="659"/>
      <c r="AJ291" s="659"/>
      <c r="AK291" s="659"/>
      <c r="AL291" s="659"/>
      <c r="AM291" s="659"/>
      <c r="AN291" s="659"/>
      <c r="AO291" s="659"/>
      <c r="AP291" s="659"/>
      <c r="AQ291" s="746"/>
    </row>
    <row r="292">
      <c r="A292" s="654"/>
      <c r="B292" s="738" t="s">
        <v>664</v>
      </c>
      <c r="C292" s="720">
        <v>7.0</v>
      </c>
      <c r="D292" s="721">
        <v>8.0</v>
      </c>
      <c r="E292" s="703"/>
      <c r="F292" s="951"/>
      <c r="G292" s="951"/>
      <c r="H292" s="951"/>
      <c r="I292" s="951"/>
      <c r="J292" s="951"/>
      <c r="K292" s="951"/>
      <c r="L292" s="951"/>
      <c r="M292" s="951"/>
      <c r="N292" s="659"/>
      <c r="O292" s="951"/>
      <c r="P292" s="951"/>
      <c r="Q292" s="659"/>
      <c r="R292" s="659"/>
      <c r="S292" s="659"/>
      <c r="T292" s="659"/>
      <c r="U292" s="659"/>
      <c r="V292" s="659"/>
      <c r="W292" s="659"/>
      <c r="X292" s="659"/>
      <c r="Y292" s="659"/>
      <c r="Z292" s="659"/>
      <c r="AA292" s="659"/>
      <c r="AB292" s="659"/>
      <c r="AC292" s="659"/>
      <c r="AD292" s="659"/>
      <c r="AE292" s="659"/>
      <c r="AF292" s="659"/>
      <c r="AG292" s="659"/>
      <c r="AH292" s="659"/>
      <c r="AI292" s="659"/>
      <c r="AJ292" s="659"/>
      <c r="AK292" s="659"/>
      <c r="AL292" s="659"/>
      <c r="AM292" s="659"/>
      <c r="AN292" s="659"/>
      <c r="AO292" s="659"/>
      <c r="AP292" s="659"/>
      <c r="AQ292" s="746"/>
    </row>
    <row r="293">
      <c r="A293" s="654"/>
      <c r="B293" s="704" t="s">
        <v>314</v>
      </c>
      <c r="C293" s="687">
        <v>5.0</v>
      </c>
      <c r="D293" s="702">
        <v>6.0</v>
      </c>
      <c r="E293" s="703"/>
      <c r="F293" s="951"/>
      <c r="G293" s="951"/>
      <c r="H293" s="951"/>
      <c r="I293" s="951"/>
      <c r="J293" s="951"/>
      <c r="K293" s="951"/>
      <c r="L293" s="951"/>
      <c r="M293" s="951"/>
      <c r="N293" s="659"/>
      <c r="O293" s="951"/>
      <c r="P293" s="951"/>
      <c r="Q293" s="659"/>
      <c r="R293" s="659"/>
      <c r="S293" s="659"/>
      <c r="T293" s="659"/>
      <c r="U293" s="659"/>
      <c r="V293" s="659"/>
      <c r="W293" s="659"/>
      <c r="X293" s="659"/>
      <c r="Y293" s="659"/>
      <c r="Z293" s="659"/>
      <c r="AA293" s="659"/>
      <c r="AB293" s="659"/>
      <c r="AC293" s="659"/>
      <c r="AD293" s="659"/>
      <c r="AE293" s="659"/>
      <c r="AF293" s="659"/>
      <c r="AG293" s="659"/>
      <c r="AH293" s="659"/>
      <c r="AI293" s="659"/>
      <c r="AJ293" s="659"/>
      <c r="AK293" s="659"/>
      <c r="AL293" s="659"/>
      <c r="AM293" s="659"/>
      <c r="AN293" s="659"/>
      <c r="AO293" s="659"/>
      <c r="AP293" s="659"/>
      <c r="AQ293" s="746"/>
    </row>
    <row r="294">
      <c r="A294" s="654"/>
      <c r="B294" s="738" t="s">
        <v>665</v>
      </c>
      <c r="C294" s="720">
        <v>5.0</v>
      </c>
      <c r="D294" s="721">
        <v>6.0</v>
      </c>
      <c r="E294" s="703"/>
      <c r="F294" s="951"/>
      <c r="G294" s="951"/>
      <c r="H294" s="951"/>
      <c r="I294" s="951"/>
      <c r="J294" s="951"/>
      <c r="K294" s="951"/>
      <c r="L294" s="951"/>
      <c r="M294" s="951"/>
      <c r="N294" s="659"/>
      <c r="O294" s="951"/>
      <c r="P294" s="951"/>
      <c r="Q294" s="659"/>
      <c r="R294" s="659"/>
      <c r="S294" s="659"/>
      <c r="T294" s="659"/>
      <c r="U294" s="659"/>
      <c r="V294" s="659"/>
      <c r="W294" s="659"/>
      <c r="X294" s="659"/>
      <c r="Y294" s="659"/>
      <c r="Z294" s="659"/>
      <c r="AA294" s="659"/>
      <c r="AB294" s="659"/>
      <c r="AC294" s="659"/>
      <c r="AD294" s="659"/>
      <c r="AE294" s="659"/>
      <c r="AF294" s="659"/>
      <c r="AG294" s="659"/>
      <c r="AH294" s="659"/>
      <c r="AI294" s="659"/>
      <c r="AJ294" s="659"/>
      <c r="AK294" s="659"/>
      <c r="AL294" s="659"/>
      <c r="AM294" s="659"/>
      <c r="AN294" s="659"/>
      <c r="AO294" s="659"/>
      <c r="AP294" s="659"/>
      <c r="AQ294" s="746"/>
    </row>
    <row r="295">
      <c r="A295" s="654"/>
      <c r="B295" s="738" t="s">
        <v>131</v>
      </c>
      <c r="C295" s="720">
        <v>5.0</v>
      </c>
      <c r="D295" s="721">
        <v>6.0</v>
      </c>
      <c r="E295" s="703"/>
      <c r="F295" s="951"/>
      <c r="G295" s="951"/>
      <c r="H295" s="951"/>
      <c r="I295" s="951"/>
      <c r="J295" s="951"/>
      <c r="K295" s="951"/>
      <c r="L295" s="951"/>
      <c r="M295" s="951"/>
      <c r="N295" s="659"/>
      <c r="O295" s="951"/>
      <c r="P295" s="951"/>
      <c r="Q295" s="659"/>
      <c r="R295" s="659"/>
      <c r="S295" s="659"/>
      <c r="T295" s="659"/>
      <c r="U295" s="659"/>
      <c r="V295" s="659"/>
      <c r="W295" s="659"/>
      <c r="X295" s="659"/>
      <c r="Y295" s="659"/>
      <c r="Z295" s="659"/>
      <c r="AA295" s="659"/>
      <c r="AB295" s="659"/>
      <c r="AC295" s="659"/>
      <c r="AD295" s="659"/>
      <c r="AE295" s="659"/>
      <c r="AF295" s="659"/>
      <c r="AG295" s="659"/>
      <c r="AH295" s="659"/>
      <c r="AI295" s="659"/>
      <c r="AJ295" s="659"/>
      <c r="AK295" s="659"/>
      <c r="AL295" s="659"/>
      <c r="AM295" s="659"/>
      <c r="AN295" s="659"/>
      <c r="AO295" s="659"/>
      <c r="AP295" s="659"/>
      <c r="AQ295" s="746"/>
    </row>
    <row r="296">
      <c r="A296" s="654"/>
      <c r="B296" s="738" t="s">
        <v>666</v>
      </c>
      <c r="C296" s="720">
        <v>5.0</v>
      </c>
      <c r="D296" s="721">
        <v>6.0</v>
      </c>
      <c r="E296" s="703"/>
      <c r="F296" s="951"/>
      <c r="G296" s="951"/>
      <c r="H296" s="951"/>
      <c r="I296" s="951"/>
      <c r="J296" s="951"/>
      <c r="K296" s="951"/>
      <c r="L296" s="951"/>
      <c r="M296" s="951"/>
      <c r="N296" s="659"/>
      <c r="O296" s="951"/>
      <c r="P296" s="951"/>
      <c r="Q296" s="659"/>
      <c r="R296" s="659"/>
      <c r="S296" s="659"/>
      <c r="T296" s="659"/>
      <c r="U296" s="659"/>
      <c r="V296" s="659"/>
      <c r="W296" s="659"/>
      <c r="X296" s="659"/>
      <c r="Y296" s="659"/>
      <c r="Z296" s="659"/>
      <c r="AA296" s="659"/>
      <c r="AB296" s="659"/>
      <c r="AC296" s="659"/>
      <c r="AD296" s="659"/>
      <c r="AE296" s="659"/>
      <c r="AF296" s="659"/>
      <c r="AG296" s="659"/>
      <c r="AH296" s="659"/>
      <c r="AI296" s="659"/>
      <c r="AJ296" s="659"/>
      <c r="AK296" s="659"/>
      <c r="AL296" s="659"/>
      <c r="AM296" s="659"/>
      <c r="AN296" s="659"/>
      <c r="AO296" s="659"/>
      <c r="AP296" s="659"/>
      <c r="AQ296" s="746"/>
    </row>
    <row r="297">
      <c r="A297" s="654"/>
      <c r="B297" s="738" t="s">
        <v>667</v>
      </c>
      <c r="C297" s="720">
        <v>5.0</v>
      </c>
      <c r="D297" s="721">
        <v>6.0</v>
      </c>
      <c r="E297" s="703"/>
      <c r="F297" s="951"/>
      <c r="G297" s="951"/>
      <c r="H297" s="951"/>
      <c r="I297" s="951"/>
      <c r="J297" s="951"/>
      <c r="K297" s="951"/>
      <c r="L297" s="951"/>
      <c r="M297" s="951"/>
      <c r="N297" s="659"/>
      <c r="O297" s="951"/>
      <c r="P297" s="951"/>
      <c r="Q297" s="659"/>
      <c r="R297" s="659"/>
      <c r="S297" s="659"/>
      <c r="T297" s="659"/>
      <c r="U297" s="659"/>
      <c r="V297" s="659"/>
      <c r="W297" s="659"/>
      <c r="X297" s="659"/>
      <c r="Y297" s="659"/>
      <c r="Z297" s="659"/>
      <c r="AA297" s="659"/>
      <c r="AB297" s="659"/>
      <c r="AC297" s="659"/>
      <c r="AD297" s="659"/>
      <c r="AE297" s="659"/>
      <c r="AF297" s="659"/>
      <c r="AG297" s="659"/>
      <c r="AH297" s="659"/>
      <c r="AI297" s="659"/>
      <c r="AJ297" s="659"/>
      <c r="AK297" s="659"/>
      <c r="AL297" s="659"/>
      <c r="AM297" s="659"/>
      <c r="AN297" s="659"/>
      <c r="AO297" s="659"/>
      <c r="AP297" s="659"/>
      <c r="AQ297" s="746"/>
    </row>
    <row r="298">
      <c r="A298" s="654"/>
      <c r="B298" s="704" t="s">
        <v>668</v>
      </c>
      <c r="C298" s="687">
        <v>5.0</v>
      </c>
      <c r="D298" s="702">
        <v>6.0</v>
      </c>
      <c r="E298" s="703"/>
      <c r="F298" s="951"/>
      <c r="G298" s="951"/>
      <c r="H298" s="951"/>
      <c r="I298" s="951"/>
      <c r="J298" s="951"/>
      <c r="K298" s="951"/>
      <c r="L298" s="951"/>
      <c r="M298" s="951"/>
      <c r="N298" s="659"/>
      <c r="O298" s="951"/>
      <c r="P298" s="951"/>
      <c r="Q298" s="659"/>
      <c r="R298" s="659"/>
      <c r="S298" s="659"/>
      <c r="T298" s="659"/>
      <c r="U298" s="659"/>
      <c r="V298" s="659"/>
      <c r="W298" s="659"/>
      <c r="X298" s="659"/>
      <c r="Y298" s="659"/>
      <c r="Z298" s="659"/>
      <c r="AA298" s="659"/>
      <c r="AB298" s="659"/>
      <c r="AC298" s="659"/>
      <c r="AD298" s="659"/>
      <c r="AE298" s="659"/>
      <c r="AF298" s="659"/>
      <c r="AG298" s="659"/>
      <c r="AH298" s="659"/>
      <c r="AI298" s="659"/>
      <c r="AJ298" s="659"/>
      <c r="AK298" s="659"/>
      <c r="AL298" s="659"/>
      <c r="AM298" s="659"/>
      <c r="AN298" s="659"/>
      <c r="AO298" s="659"/>
      <c r="AP298" s="659"/>
      <c r="AQ298" s="746"/>
    </row>
    <row r="299">
      <c r="A299" s="654"/>
      <c r="B299" s="738" t="s">
        <v>669</v>
      </c>
      <c r="C299" s="720">
        <v>5.0</v>
      </c>
      <c r="D299" s="721">
        <v>7.0</v>
      </c>
      <c r="E299" s="703"/>
      <c r="F299" s="951"/>
      <c r="G299" s="951"/>
      <c r="H299" s="951"/>
      <c r="I299" s="951"/>
      <c r="J299" s="951"/>
      <c r="K299" s="951"/>
      <c r="L299" s="951"/>
      <c r="M299" s="951"/>
      <c r="N299" s="659"/>
      <c r="O299" s="951"/>
      <c r="P299" s="951"/>
      <c r="Q299" s="659"/>
      <c r="R299" s="659"/>
      <c r="S299" s="659"/>
      <c r="T299" s="659"/>
      <c r="U299" s="659"/>
      <c r="V299" s="659"/>
      <c r="W299" s="659"/>
      <c r="X299" s="659"/>
      <c r="Y299" s="659"/>
      <c r="Z299" s="659"/>
      <c r="AA299" s="659"/>
      <c r="AB299" s="659"/>
      <c r="AC299" s="659"/>
      <c r="AD299" s="659"/>
      <c r="AE299" s="659"/>
      <c r="AF299" s="659"/>
      <c r="AG299" s="659"/>
      <c r="AH299" s="659"/>
      <c r="AI299" s="659"/>
      <c r="AJ299" s="659"/>
      <c r="AK299" s="659"/>
      <c r="AL299" s="659"/>
      <c r="AM299" s="659"/>
      <c r="AN299" s="659"/>
      <c r="AO299" s="659"/>
      <c r="AP299" s="659"/>
      <c r="AQ299" s="746"/>
    </row>
    <row r="300">
      <c r="A300" s="654"/>
      <c r="B300" s="738" t="s">
        <v>670</v>
      </c>
      <c r="C300" s="720">
        <v>4.0</v>
      </c>
      <c r="D300" s="721">
        <v>5.0</v>
      </c>
      <c r="E300" s="703"/>
      <c r="F300" s="951"/>
      <c r="G300" s="951"/>
      <c r="H300" s="951"/>
      <c r="I300" s="951"/>
      <c r="J300" s="951"/>
      <c r="K300" s="951"/>
      <c r="L300" s="951"/>
      <c r="M300" s="951"/>
      <c r="N300" s="659"/>
      <c r="O300" s="951"/>
      <c r="P300" s="951"/>
      <c r="Q300" s="659"/>
      <c r="R300" s="659"/>
      <c r="S300" s="659"/>
      <c r="T300" s="659"/>
      <c r="U300" s="659"/>
      <c r="V300" s="659"/>
      <c r="W300" s="659"/>
      <c r="X300" s="649"/>
      <c r="Y300" s="659"/>
      <c r="Z300" s="659"/>
      <c r="AA300" s="659"/>
      <c r="AB300" s="659"/>
      <c r="AC300" s="659"/>
      <c r="AD300" s="659"/>
      <c r="AE300" s="659"/>
      <c r="AF300" s="659"/>
      <c r="AG300" s="659"/>
      <c r="AH300" s="659"/>
      <c r="AI300" s="659"/>
      <c r="AJ300" s="659"/>
      <c r="AK300" s="659"/>
      <c r="AL300" s="659"/>
      <c r="AM300" s="659"/>
      <c r="AN300" s="659"/>
      <c r="AO300" s="659"/>
      <c r="AP300" s="659"/>
      <c r="AQ300" s="746"/>
    </row>
    <row r="301">
      <c r="A301" s="654"/>
      <c r="B301" s="704" t="s">
        <v>671</v>
      </c>
      <c r="C301" s="687">
        <v>4.0</v>
      </c>
      <c r="D301" s="702">
        <v>5.0</v>
      </c>
      <c r="E301" s="703"/>
      <c r="F301" s="951"/>
      <c r="G301" s="951"/>
      <c r="H301" s="951"/>
      <c r="I301" s="951"/>
      <c r="J301" s="951"/>
      <c r="K301" s="951"/>
      <c r="L301" s="951"/>
      <c r="M301" s="951"/>
      <c r="N301" s="659"/>
      <c r="O301" s="951"/>
      <c r="P301" s="951"/>
      <c r="Q301" s="659"/>
      <c r="R301" s="659"/>
      <c r="S301" s="659"/>
      <c r="T301" s="659"/>
      <c r="U301" s="659"/>
      <c r="V301" s="659"/>
      <c r="W301" s="659"/>
      <c r="X301" s="659"/>
      <c r="Y301" s="659"/>
      <c r="Z301" s="659"/>
      <c r="AA301" s="659"/>
      <c r="AB301" s="659"/>
      <c r="AC301" s="659"/>
      <c r="AD301" s="659"/>
      <c r="AE301" s="659"/>
      <c r="AF301" s="659"/>
      <c r="AG301" s="659"/>
      <c r="AH301" s="659"/>
      <c r="AI301" s="659"/>
      <c r="AJ301" s="659"/>
      <c r="AK301" s="659"/>
      <c r="AL301" s="659"/>
      <c r="AM301" s="659"/>
      <c r="AN301" s="659"/>
      <c r="AO301" s="659"/>
      <c r="AP301" s="659"/>
      <c r="AQ301" s="746"/>
    </row>
    <row r="302">
      <c r="A302" s="654"/>
      <c r="B302" s="704" t="s">
        <v>673</v>
      </c>
      <c r="C302" s="687">
        <v>4.0</v>
      </c>
      <c r="D302" s="702">
        <v>5.0</v>
      </c>
      <c r="E302" s="703"/>
      <c r="F302" s="951"/>
      <c r="G302" s="951"/>
      <c r="H302" s="951"/>
      <c r="I302" s="951"/>
      <c r="J302" s="951"/>
      <c r="K302" s="951"/>
      <c r="L302" s="951"/>
      <c r="M302" s="951"/>
      <c r="N302" s="659"/>
      <c r="O302" s="951"/>
      <c r="P302" s="951"/>
      <c r="Q302" s="659"/>
      <c r="R302" s="659"/>
      <c r="S302" s="659"/>
      <c r="T302" s="659"/>
      <c r="U302" s="659"/>
      <c r="V302" s="659"/>
      <c r="W302" s="659"/>
      <c r="X302" s="659"/>
      <c r="Y302" s="659"/>
      <c r="Z302" s="659"/>
      <c r="AA302" s="659"/>
      <c r="AB302" s="659"/>
      <c r="AC302" s="659"/>
      <c r="AD302" s="659"/>
      <c r="AE302" s="659"/>
      <c r="AF302" s="659"/>
      <c r="AG302" s="659"/>
      <c r="AH302" s="659"/>
      <c r="AI302" s="659"/>
      <c r="AJ302" s="659"/>
      <c r="AK302" s="659"/>
      <c r="AL302" s="659"/>
      <c r="AM302" s="659"/>
      <c r="AN302" s="659"/>
      <c r="AO302" s="659"/>
      <c r="AP302" s="659"/>
      <c r="AQ302" s="746"/>
    </row>
    <row r="303">
      <c r="A303" s="654"/>
      <c r="B303" s="738" t="s">
        <v>674</v>
      </c>
      <c r="C303" s="720">
        <v>4.0</v>
      </c>
      <c r="D303" s="721">
        <v>5.0</v>
      </c>
      <c r="E303" s="703"/>
      <c r="F303" s="951"/>
      <c r="G303" s="951"/>
      <c r="H303" s="951"/>
      <c r="I303" s="951"/>
      <c r="J303" s="951"/>
      <c r="K303" s="951"/>
      <c r="L303" s="951"/>
      <c r="M303" s="951"/>
      <c r="N303" s="659"/>
      <c r="O303" s="951"/>
      <c r="P303" s="951"/>
      <c r="Q303" s="659"/>
      <c r="R303" s="659"/>
      <c r="S303" s="659"/>
      <c r="T303" s="659"/>
      <c r="U303" s="659"/>
      <c r="V303" s="659"/>
      <c r="W303" s="659"/>
      <c r="X303" s="659"/>
      <c r="Y303" s="659"/>
      <c r="Z303" s="659"/>
      <c r="AA303" s="659"/>
      <c r="AB303" s="659"/>
      <c r="AC303" s="659"/>
      <c r="AD303" s="659"/>
      <c r="AE303" s="659"/>
      <c r="AF303" s="659"/>
      <c r="AG303" s="659"/>
      <c r="AH303" s="659"/>
      <c r="AI303" s="659"/>
      <c r="AJ303" s="659"/>
      <c r="AK303" s="659"/>
      <c r="AL303" s="659"/>
      <c r="AM303" s="659"/>
      <c r="AN303" s="659"/>
      <c r="AO303" s="659"/>
      <c r="AP303" s="659"/>
      <c r="AQ303" s="746"/>
    </row>
    <row r="304">
      <c r="A304" s="654"/>
      <c r="B304" s="704" t="s">
        <v>675</v>
      </c>
      <c r="C304" s="687">
        <v>4.0</v>
      </c>
      <c r="D304" s="702">
        <v>5.0</v>
      </c>
      <c r="E304" s="703"/>
      <c r="F304" s="951"/>
      <c r="G304" s="951"/>
      <c r="H304" s="951"/>
      <c r="I304" s="951"/>
      <c r="J304" s="951"/>
      <c r="K304" s="951"/>
      <c r="L304" s="951"/>
      <c r="M304" s="951"/>
      <c r="N304" s="659"/>
      <c r="O304" s="951"/>
      <c r="P304" s="951"/>
      <c r="Q304" s="659"/>
      <c r="R304" s="659"/>
      <c r="S304" s="659"/>
      <c r="T304" s="659"/>
      <c r="U304" s="659"/>
      <c r="V304" s="659"/>
      <c r="W304" s="659"/>
      <c r="X304" s="659"/>
      <c r="Y304" s="659"/>
      <c r="Z304" s="659"/>
      <c r="AA304" s="659"/>
      <c r="AB304" s="659"/>
      <c r="AC304" s="659"/>
      <c r="AD304" s="659"/>
      <c r="AE304" s="659"/>
      <c r="AF304" s="659"/>
      <c r="AG304" s="659"/>
      <c r="AH304" s="659"/>
      <c r="AI304" s="659"/>
      <c r="AJ304" s="659"/>
      <c r="AK304" s="659"/>
      <c r="AL304" s="659"/>
      <c r="AM304" s="659"/>
      <c r="AN304" s="659"/>
      <c r="AO304" s="659"/>
      <c r="AP304" s="659"/>
      <c r="AQ304" s="746"/>
    </row>
    <row r="305">
      <c r="A305" s="654"/>
      <c r="B305" s="704" t="s">
        <v>676</v>
      </c>
      <c r="C305" s="687">
        <v>4.0</v>
      </c>
      <c r="D305" s="702">
        <v>5.0</v>
      </c>
      <c r="E305" s="703"/>
      <c r="F305" s="951"/>
      <c r="G305" s="951"/>
      <c r="H305" s="951"/>
      <c r="I305" s="951"/>
      <c r="J305" s="951"/>
      <c r="K305" s="951"/>
      <c r="L305" s="951"/>
      <c r="M305" s="951"/>
      <c r="N305" s="659"/>
      <c r="O305" s="951"/>
      <c r="P305" s="951"/>
      <c r="Q305" s="659"/>
      <c r="R305" s="659"/>
      <c r="S305" s="659"/>
      <c r="T305" s="659"/>
      <c r="U305" s="659"/>
      <c r="V305" s="659"/>
      <c r="W305" s="659"/>
      <c r="X305" s="659"/>
      <c r="Y305" s="659"/>
      <c r="Z305" s="659"/>
      <c r="AA305" s="659"/>
      <c r="AB305" s="659"/>
      <c r="AC305" s="659"/>
      <c r="AD305" s="659"/>
      <c r="AE305" s="659"/>
      <c r="AF305" s="659"/>
      <c r="AG305" s="659"/>
      <c r="AH305" s="659"/>
      <c r="AI305" s="659"/>
      <c r="AJ305" s="659"/>
      <c r="AK305" s="659"/>
      <c r="AL305" s="659"/>
      <c r="AM305" s="659"/>
      <c r="AN305" s="659"/>
      <c r="AO305" s="659"/>
      <c r="AP305" s="659"/>
      <c r="AQ305" s="746"/>
    </row>
    <row r="306">
      <c r="A306" s="654"/>
      <c r="B306" s="704" t="s">
        <v>677</v>
      </c>
      <c r="C306" s="687">
        <v>4.0</v>
      </c>
      <c r="D306" s="702">
        <v>5.0</v>
      </c>
      <c r="E306" s="703"/>
      <c r="F306" s="951"/>
      <c r="G306" s="951"/>
      <c r="H306" s="951"/>
      <c r="I306" s="951"/>
      <c r="J306" s="951"/>
      <c r="K306" s="951"/>
      <c r="L306" s="951"/>
      <c r="M306" s="951"/>
      <c r="N306" s="659"/>
      <c r="O306" s="951"/>
      <c r="P306" s="951"/>
      <c r="Q306" s="659"/>
      <c r="R306" s="659"/>
      <c r="S306" s="659"/>
      <c r="T306" s="659"/>
      <c r="U306" s="659"/>
      <c r="V306" s="659"/>
      <c r="W306" s="659"/>
      <c r="X306" s="659"/>
      <c r="Y306" s="659"/>
      <c r="Z306" s="659"/>
      <c r="AA306" s="659"/>
      <c r="AB306" s="659"/>
      <c r="AC306" s="659"/>
      <c r="AD306" s="659"/>
      <c r="AE306" s="659"/>
      <c r="AF306" s="659"/>
      <c r="AG306" s="659"/>
      <c r="AH306" s="659"/>
      <c r="AI306" s="659"/>
      <c r="AJ306" s="659"/>
      <c r="AK306" s="659"/>
      <c r="AL306" s="659"/>
      <c r="AM306" s="659"/>
      <c r="AN306" s="659"/>
      <c r="AO306" s="659"/>
      <c r="AP306" s="659"/>
      <c r="AQ306" s="746"/>
    </row>
    <row r="307">
      <c r="A307" s="654"/>
      <c r="B307" s="738" t="s">
        <v>678</v>
      </c>
      <c r="C307" s="720">
        <v>4.0</v>
      </c>
      <c r="D307" s="721">
        <v>5.0</v>
      </c>
      <c r="E307" s="703"/>
      <c r="F307" s="951"/>
      <c r="G307" s="951"/>
      <c r="H307" s="951"/>
      <c r="I307" s="951"/>
      <c r="J307" s="951"/>
      <c r="K307" s="951"/>
      <c r="L307" s="951"/>
      <c r="M307" s="951"/>
      <c r="N307" s="659"/>
      <c r="O307" s="951"/>
      <c r="P307" s="951"/>
      <c r="Q307" s="659"/>
      <c r="R307" s="659"/>
      <c r="S307" s="659"/>
      <c r="T307" s="659"/>
      <c r="U307" s="659"/>
      <c r="V307" s="659"/>
      <c r="W307" s="659"/>
      <c r="X307" s="659"/>
      <c r="Y307" s="659"/>
      <c r="Z307" s="659"/>
      <c r="AA307" s="659"/>
      <c r="AB307" s="659"/>
      <c r="AC307" s="659"/>
      <c r="AD307" s="659"/>
      <c r="AE307" s="659"/>
      <c r="AF307" s="659"/>
      <c r="AG307" s="659"/>
      <c r="AH307" s="659"/>
      <c r="AI307" s="659"/>
      <c r="AJ307" s="659"/>
      <c r="AK307" s="659"/>
      <c r="AL307" s="659"/>
      <c r="AM307" s="659"/>
      <c r="AN307" s="659"/>
      <c r="AO307" s="659"/>
      <c r="AP307" s="659"/>
      <c r="AQ307" s="746"/>
    </row>
    <row r="308">
      <c r="A308" s="654"/>
      <c r="B308" s="686" t="s">
        <v>679</v>
      </c>
      <c r="C308" s="687">
        <v>4.0</v>
      </c>
      <c r="D308" s="702">
        <v>5.0</v>
      </c>
      <c r="E308" s="703"/>
      <c r="F308" s="951"/>
      <c r="G308" s="951"/>
      <c r="H308" s="951"/>
      <c r="I308" s="951"/>
      <c r="J308" s="951"/>
      <c r="K308" s="951"/>
      <c r="L308" s="951"/>
      <c r="M308" s="951"/>
      <c r="N308" s="659"/>
      <c r="O308" s="951"/>
      <c r="P308" s="951"/>
      <c r="Q308" s="659"/>
      <c r="R308" s="659"/>
      <c r="S308" s="659"/>
      <c r="T308" s="659"/>
      <c r="U308" s="659"/>
      <c r="V308" s="659"/>
      <c r="W308" s="659"/>
      <c r="X308" s="659"/>
      <c r="Y308" s="659"/>
      <c r="Z308" s="659"/>
      <c r="AA308" s="659"/>
      <c r="AB308" s="659"/>
      <c r="AC308" s="659"/>
      <c r="AD308" s="659"/>
      <c r="AE308" s="659"/>
      <c r="AF308" s="659"/>
      <c r="AG308" s="659"/>
      <c r="AH308" s="659"/>
      <c r="AI308" s="659"/>
      <c r="AJ308" s="659"/>
      <c r="AK308" s="659"/>
      <c r="AL308" s="659"/>
      <c r="AM308" s="659"/>
      <c r="AN308" s="659"/>
      <c r="AO308" s="659"/>
      <c r="AP308" s="659"/>
      <c r="AQ308" s="746"/>
    </row>
    <row r="309">
      <c r="A309" s="654"/>
      <c r="B309" s="738" t="s">
        <v>680</v>
      </c>
      <c r="C309" s="720">
        <v>4.0</v>
      </c>
      <c r="D309" s="721">
        <v>6.0</v>
      </c>
      <c r="E309" s="703"/>
      <c r="F309" s="951"/>
      <c r="G309" s="951"/>
      <c r="H309" s="951"/>
      <c r="I309" s="951"/>
      <c r="J309" s="951"/>
      <c r="K309" s="951"/>
      <c r="L309" s="951"/>
      <c r="M309" s="951"/>
      <c r="N309" s="659"/>
      <c r="O309" s="951"/>
      <c r="P309" s="951"/>
      <c r="Q309" s="659"/>
      <c r="R309" s="659"/>
      <c r="S309" s="659"/>
      <c r="T309" s="659"/>
      <c r="U309" s="659"/>
      <c r="V309" s="659"/>
      <c r="W309" s="659"/>
      <c r="X309" s="659"/>
      <c r="Y309" s="659"/>
      <c r="Z309" s="659"/>
      <c r="AA309" s="659"/>
      <c r="AB309" s="659"/>
      <c r="AC309" s="659"/>
      <c r="AD309" s="659"/>
      <c r="AE309" s="659"/>
      <c r="AF309" s="659"/>
      <c r="AG309" s="659"/>
      <c r="AH309" s="659"/>
      <c r="AI309" s="659"/>
      <c r="AJ309" s="659"/>
      <c r="AK309" s="659"/>
      <c r="AL309" s="659"/>
      <c r="AM309" s="659"/>
      <c r="AN309" s="659"/>
      <c r="AO309" s="659"/>
      <c r="AP309" s="659"/>
      <c r="AQ309" s="746"/>
    </row>
    <row r="310">
      <c r="A310" s="654"/>
      <c r="B310" s="686" t="s">
        <v>681</v>
      </c>
      <c r="C310" s="687">
        <v>4.0</v>
      </c>
      <c r="D310" s="702">
        <v>5.0</v>
      </c>
      <c r="E310" s="703"/>
      <c r="F310" s="951"/>
      <c r="G310" s="951"/>
      <c r="H310" s="951"/>
      <c r="I310" s="951"/>
      <c r="J310" s="951"/>
      <c r="K310" s="951"/>
      <c r="L310" s="951"/>
      <c r="M310" s="951"/>
      <c r="N310" s="659"/>
      <c r="O310" s="951"/>
      <c r="P310" s="951"/>
      <c r="Q310" s="659"/>
      <c r="R310" s="659"/>
      <c r="S310" s="659"/>
      <c r="T310" s="659"/>
      <c r="U310" s="659"/>
      <c r="V310" s="659"/>
      <c r="W310" s="659"/>
      <c r="X310" s="659"/>
      <c r="Y310" s="659"/>
      <c r="Z310" s="659"/>
      <c r="AA310" s="659"/>
      <c r="AB310" s="659"/>
      <c r="AC310" s="659"/>
      <c r="AD310" s="659"/>
      <c r="AE310" s="659"/>
      <c r="AF310" s="659"/>
      <c r="AG310" s="659"/>
      <c r="AH310" s="659"/>
      <c r="AI310" s="659"/>
      <c r="AJ310" s="659"/>
      <c r="AK310" s="659"/>
      <c r="AL310" s="659"/>
      <c r="AM310" s="659"/>
      <c r="AN310" s="659"/>
      <c r="AO310" s="659"/>
      <c r="AP310" s="659"/>
      <c r="AQ310" s="746"/>
    </row>
    <row r="311">
      <c r="A311" s="654"/>
      <c r="B311" s="686" t="s">
        <v>682</v>
      </c>
      <c r="C311" s="687">
        <v>4.0</v>
      </c>
      <c r="D311" s="702">
        <v>5.0</v>
      </c>
      <c r="E311" s="703"/>
      <c r="F311" s="951"/>
      <c r="G311" s="951"/>
      <c r="H311" s="951"/>
      <c r="I311" s="951"/>
      <c r="J311" s="951"/>
      <c r="K311" s="951"/>
      <c r="L311" s="951"/>
      <c r="M311" s="951"/>
      <c r="N311" s="659"/>
      <c r="O311" s="951"/>
      <c r="P311" s="951"/>
      <c r="Q311" s="659"/>
      <c r="R311" s="659"/>
      <c r="S311" s="659"/>
      <c r="T311" s="659"/>
      <c r="U311" s="659"/>
      <c r="V311" s="659"/>
      <c r="W311" s="659"/>
      <c r="X311" s="649"/>
      <c r="Y311" s="659"/>
      <c r="Z311" s="659"/>
      <c r="AA311" s="659"/>
      <c r="AB311" s="659"/>
      <c r="AC311" s="659"/>
      <c r="AD311" s="659"/>
      <c r="AE311" s="659"/>
      <c r="AF311" s="659"/>
      <c r="AG311" s="659"/>
      <c r="AH311" s="659"/>
      <c r="AI311" s="659"/>
      <c r="AJ311" s="659"/>
      <c r="AK311" s="659"/>
      <c r="AL311" s="659"/>
      <c r="AM311" s="659"/>
      <c r="AN311" s="659"/>
      <c r="AO311" s="659"/>
      <c r="AP311" s="659"/>
      <c r="AQ311" s="746"/>
    </row>
    <row r="312">
      <c r="A312" s="654"/>
      <c r="B312" s="704" t="s">
        <v>685</v>
      </c>
      <c r="C312" s="687">
        <v>4.0</v>
      </c>
      <c r="D312" s="702">
        <v>5.0</v>
      </c>
      <c r="E312" s="703"/>
      <c r="F312" s="951"/>
      <c r="G312" s="951"/>
      <c r="H312" s="951"/>
      <c r="I312" s="951"/>
      <c r="J312" s="951"/>
      <c r="K312" s="951"/>
      <c r="L312" s="951"/>
      <c r="M312" s="951"/>
      <c r="N312" s="659"/>
      <c r="O312" s="951"/>
      <c r="P312" s="951"/>
      <c r="Q312" s="659"/>
      <c r="R312" s="659"/>
      <c r="S312" s="659"/>
      <c r="T312" s="659"/>
      <c r="U312" s="659"/>
      <c r="V312" s="659"/>
      <c r="W312" s="659"/>
      <c r="X312" s="659"/>
      <c r="Y312" s="659"/>
      <c r="Z312" s="659"/>
      <c r="AA312" s="659"/>
      <c r="AB312" s="659"/>
      <c r="AC312" s="659"/>
      <c r="AD312" s="659"/>
      <c r="AE312" s="659"/>
      <c r="AF312" s="659"/>
      <c r="AG312" s="659"/>
      <c r="AH312" s="659"/>
      <c r="AI312" s="659"/>
      <c r="AJ312" s="659"/>
      <c r="AK312" s="659"/>
      <c r="AL312" s="659"/>
      <c r="AM312" s="659"/>
      <c r="AN312" s="659"/>
      <c r="AO312" s="659"/>
      <c r="AP312" s="659"/>
      <c r="AQ312" s="746"/>
    </row>
    <row r="313">
      <c r="A313" s="654"/>
      <c r="B313" s="686" t="s">
        <v>687</v>
      </c>
      <c r="C313" s="687">
        <v>4.0</v>
      </c>
      <c r="D313" s="702">
        <v>5.0</v>
      </c>
      <c r="E313" s="703"/>
      <c r="F313" s="951"/>
      <c r="G313" s="951"/>
      <c r="H313" s="951"/>
      <c r="I313" s="951"/>
      <c r="J313" s="951"/>
      <c r="K313" s="951"/>
      <c r="L313" s="951"/>
      <c r="M313" s="951"/>
      <c r="N313" s="659"/>
      <c r="O313" s="951"/>
      <c r="P313" s="951"/>
      <c r="Q313" s="659"/>
      <c r="R313" s="659"/>
      <c r="S313" s="659"/>
      <c r="T313" s="659"/>
      <c r="U313" s="659"/>
      <c r="V313" s="659"/>
      <c r="W313" s="659"/>
      <c r="X313" s="659"/>
      <c r="Y313" s="659"/>
      <c r="Z313" s="659"/>
      <c r="AA313" s="659"/>
      <c r="AB313" s="659"/>
      <c r="AC313" s="659"/>
      <c r="AD313" s="659"/>
      <c r="AE313" s="659"/>
      <c r="AF313" s="659"/>
      <c r="AG313" s="659"/>
      <c r="AH313" s="659"/>
      <c r="AI313" s="659"/>
      <c r="AJ313" s="659"/>
      <c r="AK313" s="659"/>
      <c r="AL313" s="659"/>
      <c r="AM313" s="659"/>
      <c r="AN313" s="659"/>
      <c r="AO313" s="659"/>
      <c r="AP313" s="659"/>
      <c r="AQ313" s="746"/>
    </row>
    <row r="314">
      <c r="A314" s="654"/>
      <c r="B314" s="719" t="s">
        <v>688</v>
      </c>
      <c r="C314" s="720">
        <v>4.0</v>
      </c>
      <c r="D314" s="721">
        <v>5.0</v>
      </c>
      <c r="E314" s="703"/>
      <c r="F314" s="951"/>
      <c r="G314" s="951"/>
      <c r="H314" s="951"/>
      <c r="I314" s="951"/>
      <c r="J314" s="951"/>
      <c r="K314" s="951"/>
      <c r="L314" s="951"/>
      <c r="M314" s="951"/>
      <c r="N314" s="659"/>
      <c r="O314" s="951"/>
      <c r="P314" s="951"/>
      <c r="Q314" s="659"/>
      <c r="R314" s="659"/>
      <c r="S314" s="659"/>
      <c r="T314" s="659"/>
      <c r="U314" s="659"/>
      <c r="V314" s="659"/>
      <c r="W314" s="659"/>
      <c r="X314" s="659"/>
      <c r="Y314" s="659"/>
      <c r="Z314" s="659"/>
      <c r="AA314" s="659"/>
      <c r="AB314" s="659"/>
      <c r="AC314" s="659"/>
      <c r="AD314" s="659"/>
      <c r="AE314" s="659"/>
      <c r="AF314" s="659"/>
      <c r="AG314" s="659"/>
      <c r="AH314" s="659"/>
      <c r="AI314" s="659"/>
      <c r="AJ314" s="659"/>
      <c r="AK314" s="659"/>
      <c r="AL314" s="659"/>
      <c r="AM314" s="659"/>
      <c r="AN314" s="659"/>
      <c r="AO314" s="659"/>
      <c r="AP314" s="659"/>
      <c r="AQ314" s="746"/>
    </row>
    <row r="315">
      <c r="A315" s="654"/>
      <c r="B315" s="704" t="s">
        <v>689</v>
      </c>
      <c r="C315" s="687">
        <v>4.0</v>
      </c>
      <c r="D315" s="702">
        <v>5.0</v>
      </c>
      <c r="E315" s="703"/>
      <c r="F315" s="951"/>
      <c r="G315" s="951"/>
      <c r="H315" s="951"/>
      <c r="I315" s="951"/>
      <c r="J315" s="951"/>
      <c r="K315" s="951"/>
      <c r="L315" s="951"/>
      <c r="M315" s="951"/>
      <c r="N315" s="659"/>
      <c r="O315" s="951"/>
      <c r="P315" s="951"/>
      <c r="Q315" s="659"/>
      <c r="R315" s="659"/>
      <c r="S315" s="659"/>
      <c r="T315" s="659"/>
      <c r="U315" s="659"/>
      <c r="V315" s="659"/>
      <c r="W315" s="659"/>
      <c r="X315" s="659"/>
      <c r="Y315" s="659"/>
      <c r="Z315" s="659"/>
      <c r="AA315" s="659"/>
      <c r="AB315" s="659"/>
      <c r="AC315" s="659"/>
      <c r="AD315" s="659"/>
      <c r="AE315" s="659"/>
      <c r="AF315" s="659"/>
      <c r="AG315" s="659"/>
      <c r="AH315" s="659"/>
      <c r="AI315" s="659"/>
      <c r="AJ315" s="659"/>
      <c r="AK315" s="659"/>
      <c r="AL315" s="659"/>
      <c r="AM315" s="659"/>
      <c r="AN315" s="659"/>
      <c r="AO315" s="659"/>
      <c r="AP315" s="659"/>
      <c r="AQ315" s="746"/>
    </row>
    <row r="316">
      <c r="A316" s="654"/>
      <c r="B316" s="704" t="s">
        <v>690</v>
      </c>
      <c r="C316" s="687">
        <v>4.0</v>
      </c>
      <c r="D316" s="702">
        <v>5.0</v>
      </c>
      <c r="E316" s="703"/>
      <c r="F316" s="951"/>
      <c r="G316" s="951"/>
      <c r="H316" s="951"/>
      <c r="I316" s="951"/>
      <c r="J316" s="951"/>
      <c r="K316" s="951"/>
      <c r="L316" s="951"/>
      <c r="M316" s="951"/>
      <c r="N316" s="659"/>
      <c r="O316" s="951"/>
      <c r="P316" s="951"/>
      <c r="Q316" s="659"/>
      <c r="R316" s="659"/>
      <c r="S316" s="659"/>
      <c r="T316" s="659"/>
      <c r="U316" s="659"/>
      <c r="V316" s="659"/>
      <c r="W316" s="659"/>
      <c r="X316" s="659"/>
      <c r="Y316" s="659"/>
      <c r="Z316" s="659"/>
      <c r="AA316" s="659"/>
      <c r="AB316" s="659"/>
      <c r="AC316" s="659"/>
      <c r="AD316" s="659"/>
      <c r="AE316" s="659"/>
      <c r="AF316" s="659"/>
      <c r="AG316" s="659"/>
      <c r="AH316" s="659"/>
      <c r="AI316" s="659"/>
      <c r="AJ316" s="659"/>
      <c r="AK316" s="659"/>
      <c r="AL316" s="659"/>
      <c r="AM316" s="659"/>
      <c r="AN316" s="659"/>
      <c r="AO316" s="659"/>
      <c r="AP316" s="659"/>
      <c r="AQ316" s="746"/>
    </row>
    <row r="317">
      <c r="A317" s="654"/>
      <c r="B317" s="704" t="s">
        <v>691</v>
      </c>
      <c r="C317" s="687">
        <v>4.0</v>
      </c>
      <c r="D317" s="702">
        <v>5.0</v>
      </c>
      <c r="E317" s="703"/>
      <c r="F317" s="951"/>
      <c r="G317" s="951"/>
      <c r="H317" s="951"/>
      <c r="I317" s="951"/>
      <c r="J317" s="951"/>
      <c r="K317" s="951"/>
      <c r="L317" s="951"/>
      <c r="M317" s="951"/>
      <c r="N317" s="659"/>
      <c r="O317" s="951"/>
      <c r="P317" s="951"/>
      <c r="Q317" s="659"/>
      <c r="R317" s="659"/>
      <c r="S317" s="659"/>
      <c r="T317" s="659"/>
      <c r="U317" s="659"/>
      <c r="V317" s="659"/>
      <c r="W317" s="659"/>
      <c r="X317" s="659"/>
      <c r="Y317" s="659"/>
      <c r="Z317" s="659"/>
      <c r="AA317" s="659"/>
      <c r="AB317" s="659"/>
      <c r="AC317" s="659"/>
      <c r="AD317" s="659"/>
      <c r="AE317" s="659"/>
      <c r="AF317" s="659"/>
      <c r="AG317" s="659"/>
      <c r="AH317" s="659"/>
      <c r="AI317" s="659"/>
      <c r="AJ317" s="659"/>
      <c r="AK317" s="659"/>
      <c r="AL317" s="659"/>
      <c r="AM317" s="659"/>
      <c r="AN317" s="659"/>
      <c r="AO317" s="659"/>
      <c r="AP317" s="659"/>
      <c r="AQ317" s="746"/>
    </row>
    <row r="318">
      <c r="A318" s="654"/>
      <c r="B318" s="686" t="s">
        <v>692</v>
      </c>
      <c r="C318" s="687">
        <v>4.0</v>
      </c>
      <c r="D318" s="702">
        <v>5.0</v>
      </c>
      <c r="E318" s="703"/>
      <c r="F318" s="951"/>
      <c r="G318" s="951"/>
      <c r="H318" s="951"/>
      <c r="I318" s="951"/>
      <c r="J318" s="951"/>
      <c r="K318" s="951"/>
      <c r="L318" s="951"/>
      <c r="M318" s="951"/>
      <c r="N318" s="659"/>
      <c r="O318" s="951"/>
      <c r="P318" s="951"/>
      <c r="Q318" s="659"/>
      <c r="R318" s="659"/>
      <c r="S318" s="659"/>
      <c r="T318" s="659"/>
      <c r="U318" s="659"/>
      <c r="V318" s="659"/>
      <c r="W318" s="659"/>
      <c r="X318" s="659"/>
      <c r="Y318" s="659"/>
      <c r="Z318" s="659"/>
      <c r="AA318" s="659"/>
      <c r="AB318" s="659"/>
      <c r="AC318" s="659"/>
      <c r="AD318" s="659"/>
      <c r="AE318" s="659"/>
      <c r="AF318" s="659"/>
      <c r="AG318" s="659"/>
      <c r="AH318" s="659"/>
      <c r="AI318" s="659"/>
      <c r="AJ318" s="659"/>
      <c r="AK318" s="659"/>
      <c r="AL318" s="659"/>
      <c r="AM318" s="659"/>
      <c r="AN318" s="659"/>
      <c r="AO318" s="659"/>
      <c r="AP318" s="659"/>
      <c r="AQ318" s="746"/>
    </row>
    <row r="319">
      <c r="A319" s="654"/>
      <c r="B319" s="719" t="s">
        <v>693</v>
      </c>
      <c r="C319" s="720">
        <v>4.0</v>
      </c>
      <c r="D319" s="721">
        <v>6.0</v>
      </c>
      <c r="E319" s="703"/>
      <c r="F319" s="951"/>
      <c r="G319" s="951"/>
      <c r="H319" s="951"/>
      <c r="I319" s="951"/>
      <c r="J319" s="951"/>
      <c r="K319" s="951"/>
      <c r="L319" s="951"/>
      <c r="M319" s="951"/>
      <c r="N319" s="659"/>
      <c r="O319" s="951"/>
      <c r="P319" s="951"/>
      <c r="Q319" s="659"/>
      <c r="R319" s="659"/>
      <c r="S319" s="659"/>
      <c r="T319" s="659"/>
      <c r="U319" s="659"/>
      <c r="V319" s="659"/>
      <c r="W319" s="659"/>
      <c r="X319" s="659"/>
      <c r="Y319" s="659"/>
      <c r="Z319" s="659"/>
      <c r="AA319" s="659"/>
      <c r="AB319" s="659"/>
      <c r="AC319" s="659"/>
      <c r="AD319" s="659"/>
      <c r="AE319" s="659"/>
      <c r="AF319" s="659"/>
      <c r="AG319" s="659"/>
      <c r="AH319" s="659"/>
      <c r="AI319" s="659"/>
      <c r="AJ319" s="659"/>
      <c r="AK319" s="659"/>
      <c r="AL319" s="659"/>
      <c r="AM319" s="659"/>
      <c r="AN319" s="659"/>
      <c r="AO319" s="659"/>
      <c r="AP319" s="659"/>
      <c r="AQ319" s="746"/>
    </row>
    <row r="320">
      <c r="A320" s="654"/>
      <c r="B320" s="686" t="s">
        <v>694</v>
      </c>
      <c r="C320" s="687">
        <v>4.0</v>
      </c>
      <c r="D320" s="702">
        <v>5.0</v>
      </c>
      <c r="E320" s="703"/>
      <c r="F320" s="951"/>
      <c r="G320" s="951"/>
      <c r="H320" s="951"/>
      <c r="I320" s="951"/>
      <c r="J320" s="951"/>
      <c r="K320" s="951"/>
      <c r="L320" s="951"/>
      <c r="M320" s="951"/>
      <c r="N320" s="659"/>
      <c r="O320" s="951"/>
      <c r="P320" s="951"/>
      <c r="Q320" s="659"/>
      <c r="R320" s="659"/>
      <c r="S320" s="659"/>
      <c r="T320" s="659"/>
      <c r="U320" s="659"/>
      <c r="V320" s="659"/>
      <c r="W320" s="659"/>
      <c r="X320" s="659"/>
      <c r="Y320" s="659"/>
      <c r="Z320" s="659"/>
      <c r="AA320" s="659"/>
      <c r="AB320" s="659"/>
      <c r="AC320" s="659"/>
      <c r="AD320" s="659"/>
      <c r="AE320" s="659"/>
      <c r="AF320" s="659"/>
      <c r="AG320" s="659"/>
      <c r="AH320" s="659"/>
      <c r="AI320" s="659"/>
      <c r="AJ320" s="659"/>
      <c r="AK320" s="659"/>
      <c r="AL320" s="659"/>
      <c r="AM320" s="659"/>
      <c r="AN320" s="659"/>
      <c r="AO320" s="659"/>
      <c r="AP320" s="659"/>
      <c r="AQ320" s="746"/>
    </row>
    <row r="321">
      <c r="A321" s="654"/>
      <c r="B321" s="738" t="s">
        <v>695</v>
      </c>
      <c r="C321" s="720">
        <v>4.0</v>
      </c>
      <c r="D321" s="721">
        <v>5.0</v>
      </c>
      <c r="E321" s="703"/>
      <c r="F321" s="951"/>
      <c r="G321" s="951"/>
      <c r="H321" s="951"/>
      <c r="I321" s="951"/>
      <c r="J321" s="951"/>
      <c r="K321" s="951"/>
      <c r="L321" s="951"/>
      <c r="M321" s="951"/>
      <c r="N321" s="659"/>
      <c r="O321" s="951"/>
      <c r="P321" s="951"/>
      <c r="Q321" s="659"/>
      <c r="R321" s="659"/>
      <c r="S321" s="659"/>
      <c r="T321" s="659"/>
      <c r="U321" s="659"/>
      <c r="V321" s="659"/>
      <c r="W321" s="659"/>
      <c r="X321" s="659"/>
      <c r="Y321" s="659"/>
      <c r="Z321" s="659"/>
      <c r="AA321" s="659"/>
      <c r="AB321" s="659"/>
      <c r="AC321" s="659"/>
      <c r="AD321" s="659"/>
      <c r="AE321" s="659"/>
      <c r="AF321" s="659"/>
      <c r="AG321" s="659"/>
      <c r="AH321" s="659"/>
      <c r="AI321" s="659"/>
      <c r="AJ321" s="659"/>
      <c r="AK321" s="659"/>
      <c r="AL321" s="659"/>
      <c r="AM321" s="659"/>
      <c r="AN321" s="659"/>
      <c r="AO321" s="659"/>
      <c r="AP321" s="659"/>
      <c r="AQ321" s="746"/>
    </row>
    <row r="322">
      <c r="A322" s="654"/>
      <c r="B322" s="719" t="s">
        <v>696</v>
      </c>
      <c r="C322" s="720">
        <v>4.0</v>
      </c>
      <c r="D322" s="721">
        <v>5.0</v>
      </c>
      <c r="E322" s="703"/>
      <c r="F322" s="951"/>
      <c r="G322" s="951"/>
      <c r="H322" s="951"/>
      <c r="I322" s="951"/>
      <c r="J322" s="951"/>
      <c r="K322" s="951"/>
      <c r="L322" s="951"/>
      <c r="M322" s="951"/>
      <c r="N322" s="659"/>
      <c r="O322" s="951"/>
      <c r="P322" s="951"/>
      <c r="Q322" s="659"/>
      <c r="R322" s="659"/>
      <c r="S322" s="659"/>
      <c r="T322" s="659"/>
      <c r="U322" s="659"/>
      <c r="V322" s="659"/>
      <c r="W322" s="659"/>
      <c r="X322" s="649"/>
      <c r="Y322" s="659"/>
      <c r="Z322" s="659"/>
      <c r="AA322" s="659"/>
      <c r="AB322" s="659"/>
      <c r="AC322" s="659"/>
      <c r="AD322" s="659"/>
      <c r="AE322" s="659"/>
      <c r="AF322" s="659"/>
      <c r="AG322" s="659"/>
      <c r="AH322" s="659"/>
      <c r="AI322" s="659"/>
      <c r="AJ322" s="659"/>
      <c r="AK322" s="659"/>
      <c r="AL322" s="659"/>
      <c r="AM322" s="659"/>
      <c r="AN322" s="659"/>
      <c r="AO322" s="659"/>
      <c r="AP322" s="659"/>
      <c r="AQ322" s="746"/>
    </row>
    <row r="323">
      <c r="A323" s="654"/>
      <c r="B323" s="719" t="s">
        <v>697</v>
      </c>
      <c r="C323" s="720">
        <v>4.0</v>
      </c>
      <c r="D323" s="721">
        <v>5.0</v>
      </c>
      <c r="E323" s="703"/>
      <c r="F323" s="951"/>
      <c r="G323" s="951"/>
      <c r="H323" s="951"/>
      <c r="I323" s="951"/>
      <c r="J323" s="951"/>
      <c r="K323" s="951"/>
      <c r="L323" s="951"/>
      <c r="M323" s="951"/>
      <c r="N323" s="659"/>
      <c r="O323" s="951"/>
      <c r="P323" s="951"/>
      <c r="Q323" s="659"/>
      <c r="R323" s="659"/>
      <c r="S323" s="659"/>
      <c r="T323" s="659"/>
      <c r="U323" s="659"/>
      <c r="V323" s="659"/>
      <c r="W323" s="659"/>
      <c r="X323" s="659"/>
      <c r="Y323" s="659"/>
      <c r="Z323" s="659"/>
      <c r="AA323" s="659"/>
      <c r="AB323" s="659"/>
      <c r="AC323" s="659"/>
      <c r="AD323" s="659"/>
      <c r="AE323" s="659"/>
      <c r="AF323" s="659"/>
      <c r="AG323" s="659"/>
      <c r="AH323" s="659"/>
      <c r="AI323" s="659"/>
      <c r="AJ323" s="659"/>
      <c r="AK323" s="659"/>
      <c r="AL323" s="659"/>
      <c r="AM323" s="659"/>
      <c r="AN323" s="659"/>
      <c r="AO323" s="659"/>
      <c r="AP323" s="659"/>
      <c r="AQ323" s="746"/>
    </row>
    <row r="324">
      <c r="A324" s="654"/>
      <c r="B324" s="719" t="s">
        <v>698</v>
      </c>
      <c r="C324" s="720">
        <v>4.0</v>
      </c>
      <c r="D324" s="721">
        <v>5.0</v>
      </c>
      <c r="E324" s="703"/>
      <c r="F324" s="951"/>
      <c r="G324" s="951"/>
      <c r="H324" s="951"/>
      <c r="I324" s="951"/>
      <c r="J324" s="951"/>
      <c r="K324" s="951"/>
      <c r="L324" s="951"/>
      <c r="M324" s="951"/>
      <c r="N324" s="659"/>
      <c r="O324" s="951"/>
      <c r="P324" s="951"/>
      <c r="Q324" s="659"/>
      <c r="R324" s="659"/>
      <c r="S324" s="659"/>
      <c r="T324" s="659"/>
      <c r="U324" s="659"/>
      <c r="V324" s="659"/>
      <c r="W324" s="659"/>
      <c r="X324" s="659"/>
      <c r="Y324" s="659"/>
      <c r="Z324" s="659"/>
      <c r="AA324" s="659"/>
      <c r="AB324" s="659"/>
      <c r="AC324" s="659"/>
      <c r="AD324" s="659"/>
      <c r="AE324" s="659"/>
      <c r="AF324" s="659"/>
      <c r="AG324" s="659"/>
      <c r="AH324" s="659"/>
      <c r="AI324" s="659"/>
      <c r="AJ324" s="659"/>
      <c r="AK324" s="659"/>
      <c r="AL324" s="659"/>
      <c r="AM324" s="659"/>
      <c r="AN324" s="659"/>
      <c r="AO324" s="659"/>
      <c r="AP324" s="659"/>
      <c r="AQ324" s="746"/>
    </row>
    <row r="325">
      <c r="A325" s="654"/>
      <c r="B325" s="738" t="s">
        <v>699</v>
      </c>
      <c r="C325" s="720">
        <v>4.0</v>
      </c>
      <c r="D325" s="721">
        <v>5.0</v>
      </c>
      <c r="E325" s="703"/>
      <c r="F325" s="951"/>
      <c r="G325" s="951"/>
      <c r="H325" s="951"/>
      <c r="I325" s="951"/>
      <c r="J325" s="951"/>
      <c r="K325" s="951"/>
      <c r="L325" s="951"/>
      <c r="M325" s="951"/>
      <c r="N325" s="659"/>
      <c r="O325" s="951"/>
      <c r="P325" s="951"/>
      <c r="Q325" s="659"/>
      <c r="R325" s="659"/>
      <c r="S325" s="659"/>
      <c r="T325" s="659"/>
      <c r="U325" s="659"/>
      <c r="V325" s="659"/>
      <c r="W325" s="659"/>
      <c r="X325" s="659"/>
      <c r="Y325" s="659"/>
      <c r="Z325" s="659"/>
      <c r="AA325" s="659"/>
      <c r="AB325" s="659"/>
      <c r="AC325" s="659"/>
      <c r="AD325" s="659"/>
      <c r="AE325" s="659"/>
      <c r="AF325" s="659"/>
      <c r="AG325" s="659"/>
      <c r="AH325" s="659"/>
      <c r="AI325" s="659"/>
      <c r="AJ325" s="659"/>
      <c r="AK325" s="659"/>
      <c r="AL325" s="659"/>
      <c r="AM325" s="659"/>
      <c r="AN325" s="659"/>
      <c r="AO325" s="659"/>
      <c r="AP325" s="659"/>
      <c r="AQ325" s="746"/>
    </row>
    <row r="326">
      <c r="A326" s="654"/>
      <c r="B326" s="738" t="s">
        <v>700</v>
      </c>
      <c r="C326" s="720">
        <v>4.0</v>
      </c>
      <c r="D326" s="721">
        <v>5.0</v>
      </c>
      <c r="E326" s="703"/>
      <c r="F326" s="951"/>
      <c r="G326" s="951"/>
      <c r="H326" s="951"/>
      <c r="I326" s="951"/>
      <c r="J326" s="951"/>
      <c r="K326" s="951"/>
      <c r="L326" s="951"/>
      <c r="M326" s="951"/>
      <c r="N326" s="659"/>
      <c r="O326" s="951"/>
      <c r="P326" s="951"/>
      <c r="Q326" s="659"/>
      <c r="R326" s="659"/>
      <c r="S326" s="659"/>
      <c r="T326" s="659"/>
      <c r="U326" s="659"/>
      <c r="V326" s="659"/>
      <c r="W326" s="659"/>
      <c r="X326" s="659"/>
      <c r="Y326" s="659"/>
      <c r="Z326" s="659"/>
      <c r="AA326" s="659"/>
      <c r="AB326" s="659"/>
      <c r="AC326" s="659"/>
      <c r="AD326" s="659"/>
      <c r="AE326" s="659"/>
      <c r="AF326" s="659"/>
      <c r="AG326" s="659"/>
      <c r="AH326" s="659"/>
      <c r="AI326" s="659"/>
      <c r="AJ326" s="659"/>
      <c r="AK326" s="659"/>
      <c r="AL326" s="659"/>
      <c r="AM326" s="659"/>
      <c r="AN326" s="659"/>
      <c r="AO326" s="659"/>
      <c r="AP326" s="659"/>
      <c r="AQ326" s="746"/>
    </row>
    <row r="327">
      <c r="A327" s="654"/>
      <c r="B327" s="738" t="s">
        <v>701</v>
      </c>
      <c r="C327" s="720">
        <v>4.0</v>
      </c>
      <c r="D327" s="721">
        <v>5.0</v>
      </c>
      <c r="E327" s="703"/>
      <c r="F327" s="951"/>
      <c r="G327" s="951"/>
      <c r="H327" s="951"/>
      <c r="I327" s="951"/>
      <c r="J327" s="951"/>
      <c r="K327" s="951"/>
      <c r="L327" s="951"/>
      <c r="M327" s="951"/>
      <c r="N327" s="659"/>
      <c r="O327" s="951"/>
      <c r="P327" s="951"/>
      <c r="Q327" s="659"/>
      <c r="R327" s="659"/>
      <c r="S327" s="659"/>
      <c r="T327" s="659"/>
      <c r="U327" s="659"/>
      <c r="V327" s="659"/>
      <c r="W327" s="659"/>
      <c r="X327" s="659"/>
      <c r="Y327" s="659"/>
      <c r="Z327" s="659"/>
      <c r="AA327" s="659"/>
      <c r="AB327" s="659"/>
      <c r="AC327" s="659"/>
      <c r="AD327" s="659"/>
      <c r="AE327" s="659"/>
      <c r="AF327" s="659"/>
      <c r="AG327" s="659"/>
      <c r="AH327" s="659"/>
      <c r="AI327" s="659"/>
      <c r="AJ327" s="659"/>
      <c r="AK327" s="659"/>
      <c r="AL327" s="659"/>
      <c r="AM327" s="659"/>
      <c r="AN327" s="659"/>
      <c r="AO327" s="659"/>
      <c r="AP327" s="659"/>
      <c r="AQ327" s="746"/>
    </row>
    <row r="328">
      <c r="A328" s="654"/>
      <c r="B328" s="738" t="s">
        <v>702</v>
      </c>
      <c r="C328" s="720">
        <v>4.0</v>
      </c>
      <c r="D328" s="721">
        <v>5.0</v>
      </c>
      <c r="E328" s="703"/>
      <c r="F328" s="951"/>
      <c r="G328" s="951"/>
      <c r="H328" s="951"/>
      <c r="I328" s="951"/>
      <c r="J328" s="951"/>
      <c r="K328" s="951"/>
      <c r="L328" s="951"/>
      <c r="M328" s="951"/>
      <c r="N328" s="659"/>
      <c r="O328" s="951"/>
      <c r="P328" s="951"/>
      <c r="Q328" s="659"/>
      <c r="R328" s="659"/>
      <c r="S328" s="659"/>
      <c r="T328" s="659"/>
      <c r="U328" s="659"/>
      <c r="V328" s="659"/>
      <c r="W328" s="659"/>
      <c r="X328" s="659"/>
      <c r="Y328" s="659"/>
      <c r="Z328" s="659"/>
      <c r="AA328" s="659"/>
      <c r="AB328" s="659"/>
      <c r="AC328" s="659"/>
      <c r="AD328" s="659"/>
      <c r="AE328" s="659"/>
      <c r="AF328" s="659"/>
      <c r="AG328" s="659"/>
      <c r="AH328" s="659"/>
      <c r="AI328" s="659"/>
      <c r="AJ328" s="659"/>
      <c r="AK328" s="659"/>
      <c r="AL328" s="659"/>
      <c r="AM328" s="659"/>
      <c r="AN328" s="659"/>
      <c r="AO328" s="659"/>
      <c r="AP328" s="659"/>
      <c r="AQ328" s="746"/>
    </row>
    <row r="329">
      <c r="A329" s="654"/>
      <c r="B329" s="719" t="s">
        <v>703</v>
      </c>
      <c r="C329" s="720">
        <v>4.0</v>
      </c>
      <c r="D329" s="721">
        <v>5.0</v>
      </c>
      <c r="E329" s="703"/>
      <c r="F329" s="951"/>
      <c r="G329" s="951"/>
      <c r="H329" s="951"/>
      <c r="I329" s="951"/>
      <c r="J329" s="951"/>
      <c r="K329" s="951"/>
      <c r="L329" s="951"/>
      <c r="M329" s="951"/>
      <c r="N329" s="659"/>
      <c r="O329" s="951"/>
      <c r="P329" s="951"/>
      <c r="Q329" s="659"/>
      <c r="R329" s="659"/>
      <c r="S329" s="659"/>
      <c r="T329" s="659"/>
      <c r="U329" s="659"/>
      <c r="V329" s="659"/>
      <c r="W329" s="659"/>
      <c r="X329" s="659"/>
      <c r="Y329" s="659"/>
      <c r="Z329" s="659"/>
      <c r="AA329" s="659"/>
      <c r="AB329" s="659"/>
      <c r="AC329" s="659"/>
      <c r="AD329" s="659"/>
      <c r="AE329" s="659"/>
      <c r="AF329" s="659"/>
      <c r="AG329" s="659"/>
      <c r="AH329" s="659"/>
      <c r="AI329" s="659"/>
      <c r="AJ329" s="659"/>
      <c r="AK329" s="659"/>
      <c r="AL329" s="659"/>
      <c r="AM329" s="659"/>
      <c r="AN329" s="659"/>
      <c r="AO329" s="659"/>
      <c r="AP329" s="659"/>
      <c r="AQ329" s="746"/>
    </row>
    <row r="330">
      <c r="A330" s="654"/>
      <c r="B330" s="704" t="s">
        <v>704</v>
      </c>
      <c r="C330" s="687">
        <v>3.0</v>
      </c>
      <c r="D330" s="702">
        <v>4.0</v>
      </c>
      <c r="E330" s="703"/>
      <c r="F330" s="951"/>
      <c r="G330" s="951"/>
      <c r="H330" s="951"/>
      <c r="I330" s="951"/>
      <c r="J330" s="951"/>
      <c r="K330" s="951"/>
      <c r="L330" s="951"/>
      <c r="M330" s="951"/>
      <c r="N330" s="659"/>
      <c r="O330" s="951"/>
      <c r="P330" s="951"/>
      <c r="Q330" s="659"/>
      <c r="R330" s="659"/>
      <c r="S330" s="659"/>
      <c r="T330" s="659"/>
      <c r="U330" s="659"/>
      <c r="V330" s="659"/>
      <c r="W330" s="659"/>
      <c r="X330" s="659"/>
      <c r="Y330" s="659"/>
      <c r="Z330" s="659"/>
      <c r="AA330" s="659"/>
      <c r="AB330" s="659"/>
      <c r="AC330" s="659"/>
      <c r="AD330" s="659"/>
      <c r="AE330" s="659"/>
      <c r="AF330" s="659"/>
      <c r="AG330" s="659"/>
      <c r="AH330" s="659"/>
      <c r="AI330" s="659"/>
      <c r="AJ330" s="659"/>
      <c r="AK330" s="659"/>
      <c r="AL330" s="659"/>
      <c r="AM330" s="659"/>
      <c r="AN330" s="659"/>
      <c r="AO330" s="659"/>
      <c r="AP330" s="659"/>
      <c r="AQ330" s="746"/>
    </row>
    <row r="331">
      <c r="A331" s="654"/>
      <c r="B331" s="686" t="s">
        <v>705</v>
      </c>
      <c r="C331" s="687">
        <v>3.0</v>
      </c>
      <c r="D331" s="702">
        <v>4.0</v>
      </c>
      <c r="E331" s="703"/>
      <c r="F331" s="951"/>
      <c r="G331" s="951"/>
      <c r="H331" s="951"/>
      <c r="I331" s="951"/>
      <c r="J331" s="951"/>
      <c r="K331" s="951"/>
      <c r="L331" s="951"/>
      <c r="M331" s="951"/>
      <c r="N331" s="659"/>
      <c r="O331" s="951"/>
      <c r="P331" s="951"/>
      <c r="Q331" s="659"/>
      <c r="R331" s="659"/>
      <c r="S331" s="659"/>
      <c r="T331" s="659"/>
      <c r="U331" s="659"/>
      <c r="V331" s="659"/>
      <c r="W331" s="659"/>
      <c r="X331" s="659"/>
      <c r="Y331" s="659"/>
      <c r="Z331" s="659"/>
      <c r="AA331" s="659"/>
      <c r="AB331" s="659"/>
      <c r="AC331" s="659"/>
      <c r="AD331" s="659"/>
      <c r="AE331" s="659"/>
      <c r="AF331" s="659"/>
      <c r="AG331" s="659"/>
      <c r="AH331" s="659"/>
      <c r="AI331" s="659"/>
      <c r="AJ331" s="659"/>
      <c r="AK331" s="659"/>
      <c r="AL331" s="659"/>
      <c r="AM331" s="659"/>
      <c r="AN331" s="659"/>
      <c r="AO331" s="659"/>
      <c r="AP331" s="659"/>
      <c r="AQ331" s="746"/>
    </row>
    <row r="332">
      <c r="A332" s="654"/>
      <c r="B332" s="686" t="s">
        <v>706</v>
      </c>
      <c r="C332" s="687">
        <v>3.0</v>
      </c>
      <c r="D332" s="702">
        <v>4.0</v>
      </c>
      <c r="E332" s="703"/>
      <c r="F332" s="951"/>
      <c r="G332" s="951"/>
      <c r="H332" s="951"/>
      <c r="I332" s="951"/>
      <c r="J332" s="951"/>
      <c r="K332" s="951"/>
      <c r="L332" s="951"/>
      <c r="M332" s="951"/>
      <c r="N332" s="659"/>
      <c r="O332" s="951"/>
      <c r="P332" s="951"/>
      <c r="Q332" s="659"/>
      <c r="R332" s="659"/>
      <c r="S332" s="659"/>
      <c r="T332" s="659"/>
      <c r="U332" s="659"/>
      <c r="V332" s="659"/>
      <c r="W332" s="659"/>
      <c r="X332" s="659"/>
      <c r="Y332" s="659"/>
      <c r="Z332" s="659"/>
      <c r="AA332" s="659"/>
      <c r="AB332" s="659"/>
      <c r="AC332" s="659"/>
      <c r="AD332" s="659"/>
      <c r="AE332" s="659"/>
      <c r="AF332" s="659"/>
      <c r="AG332" s="659"/>
      <c r="AH332" s="659"/>
      <c r="AI332" s="659"/>
      <c r="AJ332" s="659"/>
      <c r="AK332" s="659"/>
      <c r="AL332" s="659"/>
      <c r="AM332" s="659"/>
      <c r="AN332" s="659"/>
      <c r="AO332" s="659"/>
      <c r="AP332" s="659"/>
      <c r="AQ332" s="746"/>
    </row>
    <row r="333">
      <c r="A333" s="654"/>
      <c r="B333" s="686" t="s">
        <v>707</v>
      </c>
      <c r="C333" s="687">
        <v>3.0</v>
      </c>
      <c r="D333" s="702">
        <v>4.0</v>
      </c>
      <c r="E333" s="703"/>
      <c r="F333" s="951"/>
      <c r="G333" s="951"/>
      <c r="H333" s="951"/>
      <c r="I333" s="951"/>
      <c r="J333" s="951"/>
      <c r="K333" s="951"/>
      <c r="L333" s="951"/>
      <c r="M333" s="951"/>
      <c r="N333" s="659"/>
      <c r="O333" s="951"/>
      <c r="P333" s="951"/>
      <c r="Q333" s="659"/>
      <c r="R333" s="659"/>
      <c r="S333" s="659"/>
      <c r="T333" s="659"/>
      <c r="U333" s="659"/>
      <c r="V333" s="659"/>
      <c r="W333" s="659"/>
      <c r="X333" s="649"/>
      <c r="Y333" s="659"/>
      <c r="Z333" s="659"/>
      <c r="AA333" s="659"/>
      <c r="AB333" s="659"/>
      <c r="AC333" s="659"/>
      <c r="AD333" s="659"/>
      <c r="AE333" s="659"/>
      <c r="AF333" s="659"/>
      <c r="AG333" s="659"/>
      <c r="AH333" s="659"/>
      <c r="AI333" s="659"/>
      <c r="AJ333" s="659"/>
      <c r="AK333" s="659"/>
      <c r="AL333" s="659"/>
      <c r="AM333" s="659"/>
      <c r="AN333" s="659"/>
      <c r="AO333" s="659"/>
      <c r="AP333" s="659"/>
      <c r="AQ333" s="746"/>
    </row>
    <row r="334">
      <c r="A334" s="654"/>
      <c r="B334" s="704" t="s">
        <v>708</v>
      </c>
      <c r="C334" s="687">
        <v>3.0</v>
      </c>
      <c r="D334" s="702">
        <v>4.0</v>
      </c>
      <c r="E334" s="703"/>
      <c r="F334" s="951"/>
      <c r="G334" s="951"/>
      <c r="H334" s="951"/>
      <c r="I334" s="951"/>
      <c r="J334" s="951"/>
      <c r="K334" s="951"/>
      <c r="L334" s="951"/>
      <c r="M334" s="951"/>
      <c r="N334" s="659"/>
      <c r="O334" s="951"/>
      <c r="P334" s="951"/>
      <c r="Q334" s="659"/>
      <c r="R334" s="659"/>
      <c r="S334" s="659"/>
      <c r="T334" s="659"/>
      <c r="U334" s="659"/>
      <c r="V334" s="659"/>
      <c r="W334" s="659"/>
      <c r="X334" s="659"/>
      <c r="Y334" s="659"/>
      <c r="Z334" s="659"/>
      <c r="AA334" s="659"/>
      <c r="AB334" s="659"/>
      <c r="AC334" s="659"/>
      <c r="AD334" s="659"/>
      <c r="AE334" s="659"/>
      <c r="AF334" s="659"/>
      <c r="AG334" s="659"/>
      <c r="AH334" s="659"/>
      <c r="AI334" s="659"/>
      <c r="AJ334" s="659"/>
      <c r="AK334" s="659"/>
      <c r="AL334" s="659"/>
      <c r="AM334" s="659"/>
      <c r="AN334" s="659"/>
      <c r="AO334" s="659"/>
      <c r="AP334" s="659"/>
      <c r="AQ334" s="746"/>
    </row>
    <row r="335">
      <c r="A335" s="654"/>
      <c r="B335" s="686" t="s">
        <v>709</v>
      </c>
      <c r="C335" s="687">
        <v>3.0</v>
      </c>
      <c r="D335" s="702">
        <v>4.0</v>
      </c>
      <c r="E335" s="703"/>
      <c r="F335" s="951"/>
      <c r="G335" s="951"/>
      <c r="H335" s="951"/>
      <c r="I335" s="951"/>
      <c r="J335" s="951"/>
      <c r="K335" s="951"/>
      <c r="L335" s="951"/>
      <c r="M335" s="951"/>
      <c r="N335" s="659"/>
      <c r="O335" s="951"/>
      <c r="P335" s="951"/>
      <c r="Q335" s="659"/>
      <c r="R335" s="659"/>
      <c r="S335" s="659"/>
      <c r="T335" s="659"/>
      <c r="U335" s="659"/>
      <c r="V335" s="659"/>
      <c r="W335" s="659"/>
      <c r="X335" s="659"/>
      <c r="Y335" s="659"/>
      <c r="Z335" s="659"/>
      <c r="AA335" s="659"/>
      <c r="AB335" s="659"/>
      <c r="AC335" s="659"/>
      <c r="AD335" s="659"/>
      <c r="AE335" s="659"/>
      <c r="AF335" s="659"/>
      <c r="AG335" s="659"/>
      <c r="AH335" s="659"/>
      <c r="AI335" s="659"/>
      <c r="AJ335" s="659"/>
      <c r="AK335" s="659"/>
      <c r="AL335" s="659"/>
      <c r="AM335" s="659"/>
      <c r="AN335" s="659"/>
      <c r="AO335" s="659"/>
      <c r="AP335" s="659"/>
      <c r="AQ335" s="746"/>
    </row>
    <row r="336">
      <c r="A336" s="654"/>
      <c r="B336" s="704" t="s">
        <v>710</v>
      </c>
      <c r="C336" s="687">
        <v>3.0</v>
      </c>
      <c r="D336" s="702">
        <v>5.0</v>
      </c>
      <c r="E336" s="703"/>
      <c r="F336" s="951"/>
      <c r="G336" s="951"/>
      <c r="H336" s="951"/>
      <c r="I336" s="951"/>
      <c r="J336" s="951"/>
      <c r="K336" s="951"/>
      <c r="L336" s="951"/>
      <c r="M336" s="951"/>
      <c r="N336" s="659"/>
      <c r="O336" s="951"/>
      <c r="P336" s="951"/>
      <c r="Q336" s="659"/>
      <c r="R336" s="659"/>
      <c r="S336" s="659"/>
      <c r="T336" s="659"/>
      <c r="U336" s="659"/>
      <c r="V336" s="659"/>
      <c r="W336" s="659"/>
      <c r="X336" s="659"/>
      <c r="Y336" s="659"/>
      <c r="Z336" s="659"/>
      <c r="AA336" s="659"/>
      <c r="AB336" s="659"/>
      <c r="AC336" s="659"/>
      <c r="AD336" s="659"/>
      <c r="AE336" s="659"/>
      <c r="AF336" s="659"/>
      <c r="AG336" s="659"/>
      <c r="AH336" s="659"/>
      <c r="AI336" s="659"/>
      <c r="AJ336" s="659"/>
      <c r="AK336" s="659"/>
      <c r="AL336" s="659"/>
      <c r="AM336" s="659"/>
      <c r="AN336" s="659"/>
      <c r="AO336" s="659"/>
      <c r="AP336" s="659"/>
      <c r="AQ336" s="746"/>
    </row>
    <row r="337">
      <c r="A337" s="654"/>
      <c r="B337" s="686" t="s">
        <v>711</v>
      </c>
      <c r="C337" s="687">
        <v>3.0</v>
      </c>
      <c r="D337" s="702">
        <v>4.0</v>
      </c>
      <c r="E337" s="703"/>
      <c r="F337" s="951"/>
      <c r="G337" s="951"/>
      <c r="H337" s="951"/>
      <c r="I337" s="951"/>
      <c r="J337" s="951"/>
      <c r="K337" s="951"/>
      <c r="L337" s="951"/>
      <c r="M337" s="951"/>
      <c r="N337" s="659"/>
      <c r="O337" s="951"/>
      <c r="P337" s="951"/>
      <c r="Q337" s="659"/>
      <c r="R337" s="659"/>
      <c r="S337" s="659"/>
      <c r="T337" s="659"/>
      <c r="U337" s="659"/>
      <c r="V337" s="659"/>
      <c r="W337" s="659"/>
      <c r="X337" s="659"/>
      <c r="Y337" s="659"/>
      <c r="Z337" s="659"/>
      <c r="AA337" s="659"/>
      <c r="AB337" s="659"/>
      <c r="AC337" s="659"/>
      <c r="AD337" s="659"/>
      <c r="AE337" s="659"/>
      <c r="AF337" s="659"/>
      <c r="AG337" s="659"/>
      <c r="AH337" s="659"/>
      <c r="AI337" s="659"/>
      <c r="AJ337" s="659"/>
      <c r="AK337" s="659"/>
      <c r="AL337" s="659"/>
      <c r="AM337" s="659"/>
      <c r="AN337" s="659"/>
      <c r="AO337" s="659"/>
      <c r="AP337" s="659"/>
      <c r="AQ337" s="746"/>
    </row>
    <row r="338">
      <c r="A338" s="654"/>
      <c r="B338" s="686" t="s">
        <v>712</v>
      </c>
      <c r="C338" s="687">
        <v>3.0</v>
      </c>
      <c r="D338" s="702">
        <v>5.0</v>
      </c>
      <c r="E338" s="703"/>
      <c r="F338" s="951"/>
      <c r="G338" s="951"/>
      <c r="H338" s="951"/>
      <c r="I338" s="951"/>
      <c r="J338" s="951"/>
      <c r="K338" s="951"/>
      <c r="L338" s="951"/>
      <c r="M338" s="951"/>
      <c r="N338" s="659"/>
      <c r="O338" s="951"/>
      <c r="P338" s="951"/>
      <c r="Q338" s="659"/>
      <c r="R338" s="659"/>
      <c r="S338" s="659"/>
      <c r="T338" s="659"/>
      <c r="U338" s="659"/>
      <c r="V338" s="659"/>
      <c r="W338" s="659"/>
      <c r="X338" s="659"/>
      <c r="Y338" s="659"/>
      <c r="Z338" s="659"/>
      <c r="AA338" s="659"/>
      <c r="AB338" s="659"/>
      <c r="AC338" s="659"/>
      <c r="AD338" s="659"/>
      <c r="AE338" s="659"/>
      <c r="AF338" s="659"/>
      <c r="AG338" s="659"/>
      <c r="AH338" s="659"/>
      <c r="AI338" s="659"/>
      <c r="AJ338" s="659"/>
      <c r="AK338" s="659"/>
      <c r="AL338" s="659"/>
      <c r="AM338" s="659"/>
      <c r="AN338" s="659"/>
      <c r="AO338" s="659"/>
      <c r="AP338" s="659"/>
      <c r="AQ338" s="746"/>
    </row>
    <row r="339">
      <c r="A339" s="654"/>
      <c r="B339" s="686" t="s">
        <v>713</v>
      </c>
      <c r="C339" s="687">
        <v>3.0</v>
      </c>
      <c r="D339" s="702">
        <v>4.0</v>
      </c>
      <c r="E339" s="703"/>
      <c r="F339" s="951"/>
      <c r="G339" s="951"/>
      <c r="H339" s="951"/>
      <c r="I339" s="951"/>
      <c r="J339" s="951"/>
      <c r="K339" s="951"/>
      <c r="L339" s="951"/>
      <c r="M339" s="951"/>
      <c r="N339" s="659"/>
      <c r="O339" s="951"/>
      <c r="P339" s="951"/>
      <c r="Q339" s="659"/>
      <c r="R339" s="659"/>
      <c r="S339" s="659"/>
      <c r="T339" s="659"/>
      <c r="U339" s="659"/>
      <c r="V339" s="659"/>
      <c r="W339" s="659"/>
      <c r="X339" s="659"/>
      <c r="Y339" s="659"/>
      <c r="Z339" s="659"/>
      <c r="AA339" s="659"/>
      <c r="AB339" s="659"/>
      <c r="AC339" s="659"/>
      <c r="AD339" s="659"/>
      <c r="AE339" s="659"/>
      <c r="AF339" s="659"/>
      <c r="AG339" s="659"/>
      <c r="AH339" s="659"/>
      <c r="AI339" s="659"/>
      <c r="AJ339" s="659"/>
      <c r="AK339" s="659"/>
      <c r="AL339" s="659"/>
      <c r="AM339" s="659"/>
      <c r="AN339" s="659"/>
      <c r="AO339" s="659"/>
      <c r="AP339" s="659"/>
      <c r="AQ339" s="746"/>
    </row>
    <row r="340">
      <c r="A340" s="654"/>
      <c r="B340" s="686" t="s">
        <v>714</v>
      </c>
      <c r="C340" s="687">
        <v>3.0</v>
      </c>
      <c r="D340" s="702">
        <v>4.0</v>
      </c>
      <c r="E340" s="703"/>
      <c r="F340" s="951"/>
      <c r="G340" s="951"/>
      <c r="H340" s="951"/>
      <c r="I340" s="951"/>
      <c r="J340" s="951"/>
      <c r="K340" s="951"/>
      <c r="L340" s="951"/>
      <c r="M340" s="951"/>
      <c r="N340" s="659"/>
      <c r="O340" s="951"/>
      <c r="P340" s="951"/>
      <c r="Q340" s="659"/>
      <c r="R340" s="659"/>
      <c r="S340" s="659"/>
      <c r="T340" s="659"/>
      <c r="U340" s="659"/>
      <c r="V340" s="659"/>
      <c r="W340" s="659"/>
      <c r="X340" s="659"/>
      <c r="Y340" s="659"/>
      <c r="Z340" s="659"/>
      <c r="AA340" s="659"/>
      <c r="AB340" s="659"/>
      <c r="AC340" s="659"/>
      <c r="AD340" s="659"/>
      <c r="AE340" s="659"/>
      <c r="AF340" s="659"/>
      <c r="AG340" s="659"/>
      <c r="AH340" s="659"/>
      <c r="AI340" s="659"/>
      <c r="AJ340" s="659"/>
      <c r="AK340" s="659"/>
      <c r="AL340" s="659"/>
      <c r="AM340" s="659"/>
      <c r="AN340" s="659"/>
      <c r="AO340" s="659"/>
      <c r="AP340" s="659"/>
      <c r="AQ340" s="746"/>
    </row>
    <row r="341">
      <c r="A341" s="654"/>
      <c r="B341" s="686" t="s">
        <v>715</v>
      </c>
      <c r="C341" s="687">
        <v>3.0</v>
      </c>
      <c r="D341" s="702">
        <v>4.0</v>
      </c>
      <c r="E341" s="703"/>
      <c r="F341" s="951"/>
      <c r="G341" s="951"/>
      <c r="H341" s="951"/>
      <c r="I341" s="951"/>
      <c r="J341" s="951"/>
      <c r="K341" s="951"/>
      <c r="L341" s="951"/>
      <c r="M341" s="951"/>
      <c r="N341" s="659"/>
      <c r="O341" s="951"/>
      <c r="P341" s="951"/>
      <c r="Q341" s="659"/>
      <c r="R341" s="659"/>
      <c r="S341" s="659"/>
      <c r="T341" s="659"/>
      <c r="U341" s="659"/>
      <c r="V341" s="659"/>
      <c r="W341" s="659"/>
      <c r="X341" s="659"/>
      <c r="Y341" s="659"/>
      <c r="Z341" s="659"/>
      <c r="AA341" s="659"/>
      <c r="AB341" s="659"/>
      <c r="AC341" s="659"/>
      <c r="AD341" s="659"/>
      <c r="AE341" s="659"/>
      <c r="AF341" s="659"/>
      <c r="AG341" s="659"/>
      <c r="AH341" s="659"/>
      <c r="AI341" s="659"/>
      <c r="AJ341" s="659"/>
      <c r="AK341" s="659"/>
      <c r="AL341" s="659"/>
      <c r="AM341" s="659"/>
      <c r="AN341" s="659"/>
      <c r="AO341" s="659"/>
      <c r="AP341" s="659"/>
      <c r="AQ341" s="746"/>
    </row>
    <row r="342">
      <c r="A342" s="654"/>
      <c r="B342" s="686" t="s">
        <v>716</v>
      </c>
      <c r="C342" s="687">
        <v>3.0</v>
      </c>
      <c r="D342" s="702">
        <v>4.0</v>
      </c>
      <c r="E342" s="703"/>
      <c r="F342" s="951"/>
      <c r="G342" s="951"/>
      <c r="H342" s="951"/>
      <c r="I342" s="951"/>
      <c r="J342" s="951"/>
      <c r="K342" s="951"/>
      <c r="L342" s="951"/>
      <c r="M342" s="951"/>
      <c r="N342" s="659"/>
      <c r="O342" s="951"/>
      <c r="P342" s="951"/>
      <c r="Q342" s="659"/>
      <c r="R342" s="659"/>
      <c r="S342" s="659"/>
      <c r="T342" s="659"/>
      <c r="U342" s="659"/>
      <c r="V342" s="659"/>
      <c r="W342" s="659"/>
      <c r="X342" s="659"/>
      <c r="Y342" s="659"/>
      <c r="Z342" s="659"/>
      <c r="AA342" s="659"/>
      <c r="AB342" s="659"/>
      <c r="AC342" s="659"/>
      <c r="AD342" s="659"/>
      <c r="AE342" s="659"/>
      <c r="AF342" s="659"/>
      <c r="AG342" s="659"/>
      <c r="AH342" s="659"/>
      <c r="AI342" s="659"/>
      <c r="AJ342" s="659"/>
      <c r="AK342" s="659"/>
      <c r="AL342" s="659"/>
      <c r="AM342" s="659"/>
      <c r="AN342" s="659"/>
      <c r="AO342" s="659"/>
      <c r="AP342" s="659"/>
      <c r="AQ342" s="746"/>
    </row>
    <row r="343">
      <c r="A343" s="654"/>
      <c r="B343" s="719" t="s">
        <v>717</v>
      </c>
      <c r="C343" s="720">
        <v>3.0</v>
      </c>
      <c r="D343" s="721">
        <v>4.0</v>
      </c>
      <c r="E343" s="703"/>
      <c r="F343" s="951"/>
      <c r="G343" s="951"/>
      <c r="H343" s="951"/>
      <c r="I343" s="951"/>
      <c r="J343" s="951"/>
      <c r="K343" s="951"/>
      <c r="L343" s="951"/>
      <c r="M343" s="951"/>
      <c r="N343" s="659"/>
      <c r="O343" s="951"/>
      <c r="P343" s="951"/>
      <c r="Q343" s="659"/>
      <c r="R343" s="659"/>
      <c r="S343" s="659"/>
      <c r="T343" s="659"/>
      <c r="U343" s="659"/>
      <c r="V343" s="659"/>
      <c r="W343" s="659"/>
      <c r="X343" s="659"/>
      <c r="Y343" s="659"/>
      <c r="Z343" s="659"/>
      <c r="AA343" s="659"/>
      <c r="AB343" s="659"/>
      <c r="AC343" s="659"/>
      <c r="AD343" s="659"/>
      <c r="AE343" s="659"/>
      <c r="AF343" s="659"/>
      <c r="AG343" s="659"/>
      <c r="AH343" s="659"/>
      <c r="AI343" s="659"/>
      <c r="AJ343" s="659"/>
      <c r="AK343" s="659"/>
      <c r="AL343" s="659"/>
      <c r="AM343" s="659"/>
      <c r="AN343" s="659"/>
      <c r="AO343" s="659"/>
      <c r="AP343" s="659"/>
      <c r="AQ343" s="746"/>
    </row>
    <row r="344">
      <c r="A344" s="654"/>
      <c r="B344" s="686" t="s">
        <v>718</v>
      </c>
      <c r="C344" s="687">
        <v>3.0</v>
      </c>
      <c r="D344" s="702">
        <v>4.0</v>
      </c>
      <c r="E344" s="703"/>
      <c r="F344" s="951"/>
      <c r="G344" s="951"/>
      <c r="H344" s="951"/>
      <c r="I344" s="951"/>
      <c r="J344" s="951"/>
      <c r="K344" s="951"/>
      <c r="L344" s="951"/>
      <c r="M344" s="951"/>
      <c r="N344" s="659"/>
      <c r="O344" s="951"/>
      <c r="P344" s="951"/>
      <c r="Q344" s="659"/>
      <c r="R344" s="659"/>
      <c r="S344" s="659"/>
      <c r="T344" s="659"/>
      <c r="U344" s="659"/>
      <c r="V344" s="659"/>
      <c r="W344" s="659"/>
      <c r="X344" s="649"/>
      <c r="Y344" s="659"/>
      <c r="Z344" s="659"/>
      <c r="AA344" s="659"/>
      <c r="AB344" s="659"/>
      <c r="AC344" s="659"/>
      <c r="AD344" s="659"/>
      <c r="AE344" s="659"/>
      <c r="AF344" s="659"/>
      <c r="AG344" s="659"/>
      <c r="AH344" s="659"/>
      <c r="AI344" s="659"/>
      <c r="AJ344" s="659"/>
      <c r="AK344" s="659"/>
      <c r="AL344" s="659"/>
      <c r="AM344" s="659"/>
      <c r="AN344" s="659"/>
      <c r="AO344" s="659"/>
      <c r="AP344" s="659"/>
      <c r="AQ344" s="746"/>
    </row>
    <row r="345">
      <c r="A345" s="654"/>
      <c r="B345" s="686" t="s">
        <v>719</v>
      </c>
      <c r="C345" s="687">
        <v>3.0</v>
      </c>
      <c r="D345" s="702">
        <v>4.0</v>
      </c>
      <c r="E345" s="703"/>
      <c r="F345" s="951"/>
      <c r="G345" s="951"/>
      <c r="H345" s="951"/>
      <c r="I345" s="951"/>
      <c r="J345" s="951"/>
      <c r="K345" s="951"/>
      <c r="L345" s="951"/>
      <c r="M345" s="951"/>
      <c r="N345" s="659"/>
      <c r="O345" s="951"/>
      <c r="P345" s="951"/>
      <c r="Q345" s="659"/>
      <c r="R345" s="659"/>
      <c r="S345" s="659"/>
      <c r="T345" s="659"/>
      <c r="U345" s="659"/>
      <c r="V345" s="659"/>
      <c r="W345" s="659"/>
      <c r="X345" s="659"/>
      <c r="Y345" s="659"/>
      <c r="Z345" s="659"/>
      <c r="AA345" s="659"/>
      <c r="AB345" s="659"/>
      <c r="AC345" s="659"/>
      <c r="AD345" s="659"/>
      <c r="AE345" s="659"/>
      <c r="AF345" s="659"/>
      <c r="AG345" s="659"/>
      <c r="AH345" s="659"/>
      <c r="AI345" s="659"/>
      <c r="AJ345" s="659"/>
      <c r="AK345" s="659"/>
      <c r="AL345" s="659"/>
      <c r="AM345" s="659"/>
      <c r="AN345" s="659"/>
      <c r="AO345" s="659"/>
      <c r="AP345" s="659"/>
      <c r="AQ345" s="746"/>
    </row>
    <row r="346">
      <c r="A346" s="654"/>
      <c r="B346" s="686" t="s">
        <v>720</v>
      </c>
      <c r="C346" s="687">
        <v>3.0</v>
      </c>
      <c r="D346" s="702">
        <v>4.0</v>
      </c>
      <c r="E346" s="703"/>
      <c r="F346" s="951"/>
      <c r="G346" s="951"/>
      <c r="H346" s="951"/>
      <c r="I346" s="951"/>
      <c r="J346" s="951"/>
      <c r="K346" s="951"/>
      <c r="L346" s="951"/>
      <c r="M346" s="951"/>
      <c r="N346" s="659"/>
      <c r="O346" s="951"/>
      <c r="P346" s="951"/>
      <c r="Q346" s="659"/>
      <c r="R346" s="659"/>
      <c r="S346" s="659"/>
      <c r="T346" s="659"/>
      <c r="U346" s="659"/>
      <c r="V346" s="659"/>
      <c r="W346" s="659"/>
      <c r="X346" s="659"/>
      <c r="Y346" s="659"/>
      <c r="Z346" s="659"/>
      <c r="AA346" s="659"/>
      <c r="AB346" s="659"/>
      <c r="AC346" s="659"/>
      <c r="AD346" s="659"/>
      <c r="AE346" s="659"/>
      <c r="AF346" s="659"/>
      <c r="AG346" s="659"/>
      <c r="AH346" s="659"/>
      <c r="AI346" s="659"/>
      <c r="AJ346" s="659"/>
      <c r="AK346" s="659"/>
      <c r="AL346" s="659"/>
      <c r="AM346" s="659"/>
      <c r="AN346" s="659"/>
      <c r="AO346" s="659"/>
      <c r="AP346" s="659"/>
      <c r="AQ346" s="746"/>
    </row>
    <row r="347">
      <c r="A347" s="654"/>
      <c r="B347" s="719" t="s">
        <v>721</v>
      </c>
      <c r="C347" s="720">
        <v>3.0</v>
      </c>
      <c r="D347" s="721">
        <v>4.0</v>
      </c>
      <c r="E347" s="703"/>
      <c r="F347" s="951"/>
      <c r="G347" s="951"/>
      <c r="H347" s="951"/>
      <c r="I347" s="951"/>
      <c r="J347" s="951"/>
      <c r="K347" s="951"/>
      <c r="L347" s="951"/>
      <c r="M347" s="951"/>
      <c r="N347" s="659"/>
      <c r="O347" s="951"/>
      <c r="P347" s="951"/>
      <c r="Q347" s="659"/>
      <c r="R347" s="659"/>
      <c r="S347" s="659"/>
      <c r="T347" s="659"/>
      <c r="U347" s="659"/>
      <c r="V347" s="659"/>
      <c r="W347" s="659"/>
      <c r="X347" s="659"/>
      <c r="Y347" s="659"/>
      <c r="Z347" s="659"/>
      <c r="AA347" s="659"/>
      <c r="AB347" s="659"/>
      <c r="AC347" s="659"/>
      <c r="AD347" s="659"/>
      <c r="AE347" s="659"/>
      <c r="AF347" s="659"/>
      <c r="AG347" s="659"/>
      <c r="AH347" s="659"/>
      <c r="AI347" s="659"/>
      <c r="AJ347" s="659"/>
      <c r="AK347" s="659"/>
      <c r="AL347" s="659"/>
      <c r="AM347" s="659"/>
      <c r="AN347" s="659"/>
      <c r="AO347" s="659"/>
      <c r="AP347" s="659"/>
      <c r="AQ347" s="746"/>
    </row>
    <row r="348">
      <c r="A348" s="654"/>
      <c r="B348" s="719" t="s">
        <v>722</v>
      </c>
      <c r="C348" s="720">
        <v>3.0</v>
      </c>
      <c r="D348" s="721">
        <v>4.0</v>
      </c>
      <c r="E348" s="703"/>
      <c r="F348" s="951"/>
      <c r="G348" s="951"/>
      <c r="H348" s="951"/>
      <c r="I348" s="951"/>
      <c r="J348" s="951"/>
      <c r="K348" s="951"/>
      <c r="L348" s="951"/>
      <c r="M348" s="951"/>
      <c r="N348" s="659"/>
      <c r="O348" s="951"/>
      <c r="P348" s="951"/>
      <c r="Q348" s="659"/>
      <c r="R348" s="659"/>
      <c r="S348" s="659"/>
      <c r="T348" s="659"/>
      <c r="U348" s="659"/>
      <c r="V348" s="659"/>
      <c r="W348" s="659"/>
      <c r="X348" s="659"/>
      <c r="Y348" s="659"/>
      <c r="Z348" s="659"/>
      <c r="AA348" s="659"/>
      <c r="AB348" s="659"/>
      <c r="AC348" s="659"/>
      <c r="AD348" s="659"/>
      <c r="AE348" s="659"/>
      <c r="AF348" s="659"/>
      <c r="AG348" s="659"/>
      <c r="AH348" s="659"/>
      <c r="AI348" s="659"/>
      <c r="AJ348" s="659"/>
      <c r="AK348" s="659"/>
      <c r="AL348" s="659"/>
      <c r="AM348" s="659"/>
      <c r="AN348" s="659"/>
      <c r="AO348" s="659"/>
      <c r="AP348" s="659"/>
      <c r="AQ348" s="746"/>
    </row>
    <row r="349">
      <c r="A349" s="654"/>
      <c r="B349" s="719" t="s">
        <v>723</v>
      </c>
      <c r="C349" s="720">
        <v>3.0</v>
      </c>
      <c r="D349" s="721">
        <v>4.0</v>
      </c>
      <c r="E349" s="703"/>
      <c r="F349" s="951"/>
      <c r="G349" s="951"/>
      <c r="H349" s="951"/>
      <c r="I349" s="951"/>
      <c r="J349" s="951"/>
      <c r="K349" s="951"/>
      <c r="L349" s="951"/>
      <c r="M349" s="951"/>
      <c r="N349" s="659"/>
      <c r="O349" s="951"/>
      <c r="P349" s="951"/>
      <c r="Q349" s="659"/>
      <c r="R349" s="659"/>
      <c r="S349" s="659"/>
      <c r="T349" s="659"/>
      <c r="U349" s="659"/>
      <c r="V349" s="659"/>
      <c r="W349" s="659"/>
      <c r="X349" s="659"/>
      <c r="Y349" s="659"/>
      <c r="Z349" s="659"/>
      <c r="AA349" s="659"/>
      <c r="AB349" s="659"/>
      <c r="AC349" s="659"/>
      <c r="AD349" s="659"/>
      <c r="AE349" s="659"/>
      <c r="AF349" s="659"/>
      <c r="AG349" s="659"/>
      <c r="AH349" s="659"/>
      <c r="AI349" s="659"/>
      <c r="AJ349" s="659"/>
      <c r="AK349" s="659"/>
      <c r="AL349" s="659"/>
      <c r="AM349" s="659"/>
      <c r="AN349" s="659"/>
      <c r="AO349" s="659"/>
      <c r="AP349" s="659"/>
      <c r="AQ349" s="746"/>
    </row>
    <row r="350">
      <c r="A350" s="654"/>
      <c r="B350" s="686" t="s">
        <v>724</v>
      </c>
      <c r="C350" s="687">
        <v>3.0</v>
      </c>
      <c r="D350" s="702">
        <v>4.0</v>
      </c>
      <c r="E350" s="703"/>
      <c r="F350" s="951"/>
      <c r="G350" s="951"/>
      <c r="H350" s="951"/>
      <c r="I350" s="951"/>
      <c r="J350" s="951"/>
      <c r="K350" s="951"/>
      <c r="L350" s="951"/>
      <c r="M350" s="951"/>
      <c r="N350" s="659"/>
      <c r="O350" s="951"/>
      <c r="P350" s="951"/>
      <c r="Q350" s="659"/>
      <c r="R350" s="659"/>
      <c r="S350" s="659"/>
      <c r="T350" s="659"/>
      <c r="U350" s="659"/>
      <c r="V350" s="659"/>
      <c r="W350" s="659"/>
      <c r="X350" s="659"/>
      <c r="Y350" s="659"/>
      <c r="Z350" s="659"/>
      <c r="AA350" s="659"/>
      <c r="AB350" s="659"/>
      <c r="AC350" s="659"/>
      <c r="AD350" s="659"/>
      <c r="AE350" s="659"/>
      <c r="AF350" s="659"/>
      <c r="AG350" s="659"/>
      <c r="AH350" s="659"/>
      <c r="AI350" s="659"/>
      <c r="AJ350" s="659"/>
      <c r="AK350" s="659"/>
      <c r="AL350" s="659"/>
      <c r="AM350" s="659"/>
      <c r="AN350" s="659"/>
      <c r="AO350" s="659"/>
      <c r="AP350" s="659"/>
      <c r="AQ350" s="746"/>
    </row>
    <row r="351">
      <c r="A351" s="654"/>
      <c r="B351" s="686" t="s">
        <v>725</v>
      </c>
      <c r="C351" s="687">
        <v>3.0</v>
      </c>
      <c r="D351" s="702">
        <v>4.0</v>
      </c>
      <c r="E351" s="703"/>
      <c r="F351" s="951"/>
      <c r="G351" s="951"/>
      <c r="H351" s="951"/>
      <c r="I351" s="951"/>
      <c r="J351" s="951"/>
      <c r="K351" s="951"/>
      <c r="L351" s="951"/>
      <c r="M351" s="951"/>
      <c r="N351" s="659"/>
      <c r="O351" s="951"/>
      <c r="P351" s="951"/>
      <c r="Q351" s="659"/>
      <c r="R351" s="659"/>
      <c r="S351" s="659"/>
      <c r="T351" s="659"/>
      <c r="U351" s="659"/>
      <c r="V351" s="659"/>
      <c r="W351" s="659"/>
      <c r="X351" s="659"/>
      <c r="Y351" s="659"/>
      <c r="Z351" s="659"/>
      <c r="AA351" s="659"/>
      <c r="AB351" s="659"/>
      <c r="AC351" s="659"/>
      <c r="AD351" s="659"/>
      <c r="AE351" s="659"/>
      <c r="AF351" s="659"/>
      <c r="AG351" s="659"/>
      <c r="AH351" s="659"/>
      <c r="AI351" s="659"/>
      <c r="AJ351" s="659"/>
      <c r="AK351" s="659"/>
      <c r="AL351" s="659"/>
      <c r="AM351" s="659"/>
      <c r="AN351" s="659"/>
      <c r="AO351" s="659"/>
      <c r="AP351" s="659"/>
      <c r="AQ351" s="746"/>
    </row>
    <row r="352">
      <c r="A352" s="654"/>
      <c r="B352" s="686" t="s">
        <v>726</v>
      </c>
      <c r="C352" s="687">
        <v>3.0</v>
      </c>
      <c r="D352" s="702">
        <v>4.0</v>
      </c>
      <c r="E352" s="703"/>
      <c r="F352" s="951"/>
      <c r="G352" s="951"/>
      <c r="H352" s="951"/>
      <c r="I352" s="951"/>
      <c r="J352" s="951"/>
      <c r="K352" s="951"/>
      <c r="L352" s="951"/>
      <c r="M352" s="951"/>
      <c r="N352" s="659"/>
      <c r="O352" s="951"/>
      <c r="P352" s="951"/>
      <c r="Q352" s="659"/>
      <c r="R352" s="659"/>
      <c r="S352" s="659"/>
      <c r="T352" s="659"/>
      <c r="U352" s="659"/>
      <c r="V352" s="659"/>
      <c r="W352" s="659"/>
      <c r="X352" s="659"/>
      <c r="Y352" s="659"/>
      <c r="Z352" s="659"/>
      <c r="AA352" s="659"/>
      <c r="AB352" s="659"/>
      <c r="AC352" s="659"/>
      <c r="AD352" s="659"/>
      <c r="AE352" s="659"/>
      <c r="AF352" s="659"/>
      <c r="AG352" s="659"/>
      <c r="AH352" s="659"/>
      <c r="AI352" s="659"/>
      <c r="AJ352" s="659"/>
      <c r="AK352" s="659"/>
      <c r="AL352" s="659"/>
      <c r="AM352" s="659"/>
      <c r="AN352" s="659"/>
      <c r="AO352" s="659"/>
      <c r="AP352" s="659"/>
      <c r="AQ352" s="746"/>
    </row>
    <row r="353">
      <c r="A353" s="654"/>
      <c r="B353" s="686" t="s">
        <v>727</v>
      </c>
      <c r="C353" s="687">
        <v>3.0</v>
      </c>
      <c r="D353" s="702">
        <v>4.0</v>
      </c>
      <c r="E353" s="703"/>
      <c r="F353" s="951"/>
      <c r="G353" s="951"/>
      <c r="H353" s="951"/>
      <c r="I353" s="951"/>
      <c r="J353" s="951"/>
      <c r="K353" s="951"/>
      <c r="L353" s="951"/>
      <c r="M353" s="951"/>
      <c r="N353" s="659"/>
      <c r="O353" s="951"/>
      <c r="P353" s="951"/>
      <c r="Q353" s="659"/>
      <c r="R353" s="659"/>
      <c r="S353" s="659"/>
      <c r="T353" s="659"/>
      <c r="U353" s="659"/>
      <c r="V353" s="659"/>
      <c r="W353" s="659"/>
      <c r="X353" s="659"/>
      <c r="Y353" s="659"/>
      <c r="Z353" s="659"/>
      <c r="AA353" s="659"/>
      <c r="AB353" s="659"/>
      <c r="AC353" s="659"/>
      <c r="AD353" s="659"/>
      <c r="AE353" s="659"/>
      <c r="AF353" s="659"/>
      <c r="AG353" s="659"/>
      <c r="AH353" s="659"/>
      <c r="AI353" s="659"/>
      <c r="AJ353" s="659"/>
      <c r="AK353" s="659"/>
      <c r="AL353" s="659"/>
      <c r="AM353" s="659"/>
      <c r="AN353" s="659"/>
      <c r="AO353" s="659"/>
      <c r="AP353" s="659"/>
      <c r="AQ353" s="746"/>
    </row>
    <row r="354">
      <c r="A354" s="654"/>
      <c r="B354" s="686" t="s">
        <v>728</v>
      </c>
      <c r="C354" s="687">
        <v>3.0</v>
      </c>
      <c r="D354" s="702">
        <v>4.0</v>
      </c>
      <c r="E354" s="703"/>
      <c r="F354" s="951"/>
      <c r="G354" s="951"/>
      <c r="H354" s="951"/>
      <c r="I354" s="951"/>
      <c r="J354" s="951"/>
      <c r="K354" s="951"/>
      <c r="L354" s="951"/>
      <c r="M354" s="951"/>
      <c r="N354" s="659"/>
      <c r="O354" s="951"/>
      <c r="P354" s="951"/>
      <c r="Q354" s="659"/>
      <c r="R354" s="659"/>
      <c r="S354" s="659"/>
      <c r="T354" s="659"/>
      <c r="U354" s="659"/>
      <c r="V354" s="659"/>
      <c r="W354" s="659"/>
      <c r="X354" s="659"/>
      <c r="Y354" s="659"/>
      <c r="Z354" s="659"/>
      <c r="AA354" s="659"/>
      <c r="AB354" s="659"/>
      <c r="AC354" s="659"/>
      <c r="AD354" s="659"/>
      <c r="AE354" s="659"/>
      <c r="AF354" s="659"/>
      <c r="AG354" s="659"/>
      <c r="AH354" s="659"/>
      <c r="AI354" s="659"/>
      <c r="AJ354" s="659"/>
      <c r="AK354" s="659"/>
      <c r="AL354" s="659"/>
      <c r="AM354" s="659"/>
      <c r="AN354" s="659"/>
      <c r="AO354" s="659"/>
      <c r="AP354" s="659"/>
      <c r="AQ354" s="746"/>
    </row>
    <row r="355">
      <c r="A355" s="654"/>
      <c r="B355" s="719" t="s">
        <v>729</v>
      </c>
      <c r="C355" s="720">
        <v>3.0</v>
      </c>
      <c r="D355" s="721">
        <v>4.0</v>
      </c>
      <c r="E355" s="703"/>
      <c r="F355" s="951"/>
      <c r="G355" s="951"/>
      <c r="H355" s="951"/>
      <c r="I355" s="951"/>
      <c r="J355" s="951"/>
      <c r="K355" s="951"/>
      <c r="L355" s="951"/>
      <c r="M355" s="951"/>
      <c r="N355" s="659"/>
      <c r="O355" s="951"/>
      <c r="P355" s="951"/>
      <c r="Q355" s="659"/>
      <c r="R355" s="659"/>
      <c r="S355" s="659"/>
      <c r="T355" s="659"/>
      <c r="U355" s="659"/>
      <c r="V355" s="659"/>
      <c r="W355" s="659"/>
      <c r="X355" s="659"/>
      <c r="Y355" s="659"/>
      <c r="Z355" s="659"/>
      <c r="AA355" s="659"/>
      <c r="AB355" s="659"/>
      <c r="AC355" s="659"/>
      <c r="AD355" s="659"/>
      <c r="AE355" s="659"/>
      <c r="AF355" s="659"/>
      <c r="AG355" s="659"/>
      <c r="AH355" s="659"/>
      <c r="AI355" s="659"/>
      <c r="AJ355" s="659"/>
      <c r="AK355" s="659"/>
      <c r="AL355" s="659"/>
      <c r="AM355" s="659"/>
      <c r="AN355" s="659"/>
      <c r="AO355" s="659"/>
      <c r="AP355" s="659"/>
      <c r="AQ355" s="746"/>
    </row>
    <row r="356">
      <c r="A356" s="654"/>
      <c r="B356" s="686" t="s">
        <v>229</v>
      </c>
      <c r="C356" s="687">
        <v>3.0</v>
      </c>
      <c r="D356" s="702">
        <v>4.0</v>
      </c>
      <c r="E356" s="703"/>
      <c r="F356" s="951"/>
      <c r="G356" s="951"/>
      <c r="H356" s="951"/>
      <c r="I356" s="951"/>
      <c r="J356" s="951"/>
      <c r="K356" s="951"/>
      <c r="L356" s="951"/>
      <c r="M356" s="951"/>
      <c r="N356" s="659"/>
      <c r="O356" s="951"/>
      <c r="P356" s="951"/>
      <c r="Q356" s="659"/>
      <c r="R356" s="659"/>
      <c r="S356" s="659"/>
      <c r="T356" s="659"/>
      <c r="U356" s="659"/>
      <c r="V356" s="659"/>
      <c r="W356" s="659"/>
      <c r="X356" s="659"/>
      <c r="Y356" s="659"/>
      <c r="Z356" s="659"/>
      <c r="AA356" s="659"/>
      <c r="AB356" s="659"/>
      <c r="AC356" s="659"/>
      <c r="AD356" s="659"/>
      <c r="AE356" s="659"/>
      <c r="AF356" s="659"/>
      <c r="AG356" s="659"/>
      <c r="AH356" s="659"/>
      <c r="AI356" s="659"/>
      <c r="AJ356" s="659"/>
      <c r="AK356" s="659"/>
      <c r="AL356" s="659"/>
      <c r="AM356" s="659"/>
      <c r="AN356" s="659"/>
      <c r="AO356" s="659"/>
      <c r="AP356" s="659"/>
      <c r="AQ356" s="746"/>
    </row>
    <row r="357">
      <c r="A357" s="654"/>
      <c r="B357" s="686" t="s">
        <v>730</v>
      </c>
      <c r="C357" s="687">
        <v>3.0</v>
      </c>
      <c r="D357" s="702">
        <v>4.0</v>
      </c>
      <c r="E357" s="703"/>
      <c r="F357" s="951"/>
      <c r="G357" s="951"/>
      <c r="H357" s="951"/>
      <c r="I357" s="951"/>
      <c r="J357" s="951"/>
      <c r="K357" s="951"/>
      <c r="L357" s="951"/>
      <c r="M357" s="951"/>
      <c r="N357" s="659"/>
      <c r="O357" s="951"/>
      <c r="P357" s="951"/>
      <c r="Q357" s="659"/>
      <c r="R357" s="659"/>
      <c r="S357" s="659"/>
      <c r="T357" s="659"/>
      <c r="U357" s="659"/>
      <c r="V357" s="659"/>
      <c r="W357" s="659"/>
      <c r="X357" s="659"/>
      <c r="Y357" s="659"/>
      <c r="Z357" s="659"/>
      <c r="AA357" s="659"/>
      <c r="AB357" s="659"/>
      <c r="AC357" s="659"/>
      <c r="AD357" s="659"/>
      <c r="AE357" s="659"/>
      <c r="AF357" s="659"/>
      <c r="AG357" s="659"/>
      <c r="AH357" s="659"/>
      <c r="AI357" s="659"/>
      <c r="AJ357" s="659"/>
      <c r="AK357" s="659"/>
      <c r="AL357" s="659"/>
      <c r="AM357" s="659"/>
      <c r="AN357" s="659"/>
      <c r="AO357" s="659"/>
      <c r="AP357" s="659"/>
      <c r="AQ357" s="746"/>
    </row>
    <row r="358">
      <c r="A358" s="654"/>
      <c r="B358" s="686" t="s">
        <v>731</v>
      </c>
      <c r="C358" s="687">
        <v>3.0</v>
      </c>
      <c r="D358" s="702">
        <v>4.0</v>
      </c>
      <c r="E358" s="703"/>
      <c r="F358" s="951"/>
      <c r="G358" s="951"/>
      <c r="H358" s="951"/>
      <c r="I358" s="951"/>
      <c r="J358" s="951"/>
      <c r="K358" s="951"/>
      <c r="L358" s="951"/>
      <c r="M358" s="951"/>
      <c r="N358" s="659"/>
      <c r="O358" s="951"/>
      <c r="P358" s="951"/>
      <c r="Q358" s="659"/>
      <c r="R358" s="659"/>
      <c r="S358" s="659"/>
      <c r="T358" s="659"/>
      <c r="U358" s="659"/>
      <c r="V358" s="659"/>
      <c r="W358" s="659"/>
      <c r="X358" s="659"/>
      <c r="Y358" s="659"/>
      <c r="Z358" s="659"/>
      <c r="AA358" s="659"/>
      <c r="AB358" s="659"/>
      <c r="AC358" s="659"/>
      <c r="AD358" s="659"/>
      <c r="AE358" s="659"/>
      <c r="AF358" s="659"/>
      <c r="AG358" s="659"/>
      <c r="AH358" s="659"/>
      <c r="AI358" s="659"/>
      <c r="AJ358" s="659"/>
      <c r="AK358" s="659"/>
      <c r="AL358" s="659"/>
      <c r="AM358" s="659"/>
      <c r="AN358" s="659"/>
      <c r="AO358" s="659"/>
      <c r="AP358" s="659"/>
      <c r="AQ358" s="746"/>
    </row>
    <row r="359">
      <c r="A359" s="654"/>
      <c r="B359" s="719" t="s">
        <v>732</v>
      </c>
      <c r="C359" s="720">
        <v>3.0</v>
      </c>
      <c r="D359" s="721">
        <v>4.0</v>
      </c>
      <c r="E359" s="703"/>
      <c r="F359" s="951"/>
      <c r="G359" s="951"/>
      <c r="H359" s="951"/>
      <c r="I359" s="951"/>
      <c r="J359" s="951"/>
      <c r="K359" s="951"/>
      <c r="L359" s="951"/>
      <c r="M359" s="951"/>
      <c r="N359" s="659"/>
      <c r="O359" s="951"/>
      <c r="P359" s="951"/>
      <c r="Q359" s="659"/>
      <c r="R359" s="659"/>
      <c r="S359" s="659"/>
      <c r="T359" s="659"/>
      <c r="U359" s="659"/>
      <c r="V359" s="659"/>
      <c r="W359" s="659"/>
      <c r="X359" s="659"/>
      <c r="Y359" s="659"/>
      <c r="Z359" s="659"/>
      <c r="AA359" s="659"/>
      <c r="AB359" s="659"/>
      <c r="AC359" s="659"/>
      <c r="AD359" s="659"/>
      <c r="AE359" s="659"/>
      <c r="AF359" s="659"/>
      <c r="AG359" s="659"/>
      <c r="AH359" s="659"/>
      <c r="AI359" s="659"/>
      <c r="AJ359" s="659"/>
      <c r="AK359" s="659"/>
      <c r="AL359" s="659"/>
      <c r="AM359" s="659"/>
      <c r="AN359" s="659"/>
      <c r="AO359" s="659"/>
      <c r="AP359" s="659"/>
      <c r="AQ359" s="746"/>
    </row>
    <row r="360">
      <c r="A360" s="654"/>
      <c r="B360" s="719" t="s">
        <v>733</v>
      </c>
      <c r="C360" s="720">
        <v>3.0</v>
      </c>
      <c r="D360" s="721">
        <v>4.0</v>
      </c>
      <c r="E360" s="703"/>
      <c r="F360" s="951"/>
      <c r="G360" s="951"/>
      <c r="H360" s="951"/>
      <c r="I360" s="951"/>
      <c r="J360" s="951"/>
      <c r="K360" s="951"/>
      <c r="L360" s="951"/>
      <c r="M360" s="951"/>
      <c r="N360" s="659"/>
      <c r="O360" s="951"/>
      <c r="P360" s="951"/>
      <c r="Q360" s="659"/>
      <c r="R360" s="659"/>
      <c r="S360" s="659"/>
      <c r="T360" s="659"/>
      <c r="U360" s="659"/>
      <c r="V360" s="659"/>
      <c r="W360" s="659"/>
      <c r="X360" s="659"/>
      <c r="Y360" s="659"/>
      <c r="Z360" s="659"/>
      <c r="AA360" s="659"/>
      <c r="AB360" s="659"/>
      <c r="AC360" s="659"/>
      <c r="AD360" s="659"/>
      <c r="AE360" s="659"/>
      <c r="AF360" s="659"/>
      <c r="AG360" s="659"/>
      <c r="AH360" s="659"/>
      <c r="AI360" s="659"/>
      <c r="AJ360" s="659"/>
      <c r="AK360" s="659"/>
      <c r="AL360" s="659"/>
      <c r="AM360" s="659"/>
      <c r="AN360" s="659"/>
      <c r="AO360" s="659"/>
      <c r="AP360" s="659"/>
      <c r="AQ360" s="746"/>
    </row>
    <row r="361">
      <c r="A361" s="654"/>
      <c r="B361" s="719" t="s">
        <v>734</v>
      </c>
      <c r="C361" s="720">
        <v>3.0</v>
      </c>
      <c r="D361" s="721">
        <v>4.0</v>
      </c>
      <c r="E361" s="703"/>
      <c r="F361" s="951"/>
      <c r="G361" s="951"/>
      <c r="H361" s="951"/>
      <c r="I361" s="951"/>
      <c r="J361" s="951"/>
      <c r="K361" s="951"/>
      <c r="L361" s="951"/>
      <c r="M361" s="951"/>
      <c r="N361" s="659"/>
      <c r="O361" s="951"/>
      <c r="P361" s="951"/>
      <c r="Q361" s="659"/>
      <c r="R361" s="659"/>
      <c r="S361" s="659"/>
      <c r="T361" s="659"/>
      <c r="U361" s="659"/>
      <c r="V361" s="659"/>
      <c r="W361" s="659"/>
      <c r="X361" s="659"/>
      <c r="Y361" s="659"/>
      <c r="Z361" s="659"/>
      <c r="AA361" s="659"/>
      <c r="AB361" s="659"/>
      <c r="AC361" s="659"/>
      <c r="AD361" s="659"/>
      <c r="AE361" s="659"/>
      <c r="AF361" s="659"/>
      <c r="AG361" s="659"/>
      <c r="AH361" s="659"/>
      <c r="AI361" s="659"/>
      <c r="AJ361" s="659"/>
      <c r="AK361" s="659"/>
      <c r="AL361" s="659"/>
      <c r="AM361" s="659"/>
      <c r="AN361" s="659"/>
      <c r="AO361" s="659"/>
      <c r="AP361" s="659"/>
      <c r="AQ361" s="746"/>
    </row>
    <row r="362">
      <c r="A362" s="654"/>
      <c r="B362" s="719" t="s">
        <v>735</v>
      </c>
      <c r="C362" s="720">
        <v>3.0</v>
      </c>
      <c r="D362" s="721">
        <v>4.0</v>
      </c>
      <c r="E362" s="703"/>
      <c r="F362" s="951"/>
      <c r="G362" s="951"/>
      <c r="H362" s="951"/>
      <c r="I362" s="951"/>
      <c r="J362" s="951"/>
      <c r="K362" s="951"/>
      <c r="L362" s="951"/>
      <c r="M362" s="951"/>
      <c r="N362" s="659"/>
      <c r="O362" s="951"/>
      <c r="P362" s="951"/>
      <c r="Q362" s="659"/>
      <c r="R362" s="659"/>
      <c r="S362" s="659"/>
      <c r="T362" s="659"/>
      <c r="U362" s="659"/>
      <c r="V362" s="659"/>
      <c r="W362" s="659"/>
      <c r="X362" s="659"/>
      <c r="Y362" s="659"/>
      <c r="Z362" s="659"/>
      <c r="AA362" s="659"/>
      <c r="AB362" s="659"/>
      <c r="AC362" s="659"/>
      <c r="AD362" s="659"/>
      <c r="AE362" s="659"/>
      <c r="AF362" s="659"/>
      <c r="AG362" s="659"/>
      <c r="AH362" s="659"/>
      <c r="AI362" s="659"/>
      <c r="AJ362" s="659"/>
      <c r="AK362" s="659"/>
      <c r="AL362" s="659"/>
      <c r="AM362" s="659"/>
      <c r="AN362" s="659"/>
      <c r="AO362" s="659"/>
      <c r="AP362" s="659"/>
      <c r="AQ362" s="746"/>
    </row>
    <row r="363">
      <c r="A363" s="654"/>
      <c r="B363" s="719" t="s">
        <v>736</v>
      </c>
      <c r="C363" s="720">
        <v>3.0</v>
      </c>
      <c r="D363" s="721">
        <v>4.0</v>
      </c>
      <c r="E363" s="703"/>
      <c r="F363" s="951"/>
      <c r="G363" s="951"/>
      <c r="H363" s="951"/>
      <c r="I363" s="951"/>
      <c r="J363" s="951"/>
      <c r="K363" s="951"/>
      <c r="L363" s="951"/>
      <c r="M363" s="951"/>
      <c r="N363" s="659"/>
      <c r="O363" s="951"/>
      <c r="P363" s="951"/>
      <c r="Q363" s="659"/>
      <c r="R363" s="659"/>
      <c r="S363" s="659"/>
      <c r="T363" s="659"/>
      <c r="U363" s="659"/>
      <c r="V363" s="659"/>
      <c r="W363" s="659"/>
      <c r="X363" s="659"/>
      <c r="Y363" s="659"/>
      <c r="Z363" s="659"/>
      <c r="AA363" s="659"/>
      <c r="AB363" s="659"/>
      <c r="AC363" s="659"/>
      <c r="AD363" s="659"/>
      <c r="AE363" s="659"/>
      <c r="AF363" s="659"/>
      <c r="AG363" s="659"/>
      <c r="AH363" s="659"/>
      <c r="AI363" s="659"/>
      <c r="AJ363" s="659"/>
      <c r="AK363" s="659"/>
      <c r="AL363" s="659"/>
      <c r="AM363" s="659"/>
      <c r="AN363" s="659"/>
      <c r="AO363" s="659"/>
      <c r="AP363" s="659"/>
      <c r="AQ363" s="746"/>
    </row>
    <row r="364">
      <c r="A364" s="654"/>
      <c r="B364" s="719" t="s">
        <v>737</v>
      </c>
      <c r="C364" s="720">
        <v>3.0</v>
      </c>
      <c r="D364" s="721">
        <v>4.0</v>
      </c>
      <c r="E364" s="703"/>
      <c r="F364" s="951"/>
      <c r="G364" s="951"/>
      <c r="H364" s="951"/>
      <c r="I364" s="951"/>
      <c r="J364" s="951"/>
      <c r="K364" s="951"/>
      <c r="L364" s="951"/>
      <c r="M364" s="951"/>
      <c r="N364" s="659"/>
      <c r="O364" s="951"/>
      <c r="P364" s="951"/>
      <c r="Q364" s="659"/>
      <c r="R364" s="659"/>
      <c r="S364" s="659"/>
      <c r="T364" s="659"/>
      <c r="U364" s="659"/>
      <c r="V364" s="659"/>
      <c r="W364" s="659"/>
      <c r="X364" s="659"/>
      <c r="Y364" s="659"/>
      <c r="Z364" s="659"/>
      <c r="AA364" s="659"/>
      <c r="AB364" s="659"/>
      <c r="AC364" s="659"/>
      <c r="AD364" s="659"/>
      <c r="AE364" s="659"/>
      <c r="AF364" s="659"/>
      <c r="AG364" s="659"/>
      <c r="AH364" s="659"/>
      <c r="AI364" s="659"/>
      <c r="AJ364" s="659"/>
      <c r="AK364" s="659"/>
      <c r="AL364" s="659"/>
      <c r="AM364" s="659"/>
      <c r="AN364" s="659"/>
      <c r="AO364" s="659"/>
      <c r="AP364" s="659"/>
      <c r="AQ364" s="746"/>
    </row>
    <row r="365">
      <c r="A365" s="654"/>
      <c r="B365" s="976" t="s">
        <v>738</v>
      </c>
      <c r="C365" s="973">
        <v>2.0</v>
      </c>
      <c r="D365" s="974">
        <v>3.0</v>
      </c>
      <c r="E365" s="703"/>
      <c r="F365" s="951"/>
      <c r="G365" s="951"/>
      <c r="H365" s="951"/>
      <c r="I365" s="951"/>
      <c r="J365" s="951"/>
      <c r="K365" s="951"/>
      <c r="L365" s="951"/>
      <c r="M365" s="951"/>
      <c r="N365" s="659"/>
      <c r="O365" s="951"/>
      <c r="P365" s="951"/>
      <c r="Q365" s="659"/>
      <c r="R365" s="659"/>
      <c r="S365" s="659"/>
      <c r="T365" s="659"/>
      <c r="U365" s="659"/>
      <c r="V365" s="659"/>
      <c r="W365" s="659"/>
      <c r="X365" s="659"/>
      <c r="Y365" s="659"/>
      <c r="Z365" s="659"/>
      <c r="AA365" s="659"/>
      <c r="AB365" s="659"/>
      <c r="AC365" s="659"/>
      <c r="AD365" s="659"/>
      <c r="AE365" s="659"/>
      <c r="AF365" s="659"/>
      <c r="AG365" s="659"/>
      <c r="AH365" s="659"/>
      <c r="AI365" s="659"/>
      <c r="AJ365" s="659"/>
      <c r="AK365" s="659"/>
      <c r="AL365" s="659"/>
      <c r="AM365" s="659"/>
      <c r="AN365" s="659"/>
      <c r="AO365" s="659"/>
      <c r="AP365" s="659"/>
      <c r="AQ365" s="746"/>
    </row>
    <row r="366">
      <c r="A366" s="654"/>
      <c r="B366" s="686" t="s">
        <v>739</v>
      </c>
      <c r="C366" s="687">
        <v>2.0</v>
      </c>
      <c r="D366" s="702">
        <v>3.0</v>
      </c>
      <c r="E366" s="703"/>
      <c r="F366" s="951"/>
      <c r="G366" s="951"/>
      <c r="H366" s="951"/>
      <c r="I366" s="951"/>
      <c r="J366" s="951"/>
      <c r="K366" s="951"/>
      <c r="L366" s="951"/>
      <c r="M366" s="951"/>
      <c r="N366" s="659"/>
      <c r="O366" s="951"/>
      <c r="P366" s="951"/>
      <c r="Q366" s="659"/>
      <c r="R366" s="659"/>
      <c r="S366" s="659"/>
      <c r="T366" s="659"/>
      <c r="U366" s="659"/>
      <c r="V366" s="659"/>
      <c r="W366" s="659"/>
      <c r="X366" s="659"/>
      <c r="Y366" s="659"/>
      <c r="Z366" s="659"/>
      <c r="AA366" s="659"/>
      <c r="AB366" s="659"/>
      <c r="AC366" s="659"/>
      <c r="AD366" s="659"/>
      <c r="AE366" s="659"/>
      <c r="AF366" s="659"/>
      <c r="AG366" s="659"/>
      <c r="AH366" s="659"/>
      <c r="AI366" s="659"/>
      <c r="AJ366" s="659"/>
      <c r="AK366" s="659"/>
      <c r="AL366" s="659"/>
      <c r="AM366" s="659"/>
      <c r="AN366" s="659"/>
      <c r="AO366" s="659"/>
      <c r="AP366" s="659"/>
      <c r="AQ366" s="746"/>
    </row>
    <row r="367">
      <c r="A367" s="654"/>
      <c r="B367" s="686" t="s">
        <v>740</v>
      </c>
      <c r="C367" s="687">
        <v>2.0</v>
      </c>
      <c r="D367" s="702">
        <v>3.0</v>
      </c>
      <c r="E367" s="703"/>
      <c r="F367" s="951"/>
      <c r="G367" s="951"/>
      <c r="H367" s="951"/>
      <c r="I367" s="951"/>
      <c r="J367" s="951"/>
      <c r="K367" s="951"/>
      <c r="L367" s="951"/>
      <c r="M367" s="951"/>
      <c r="N367" s="659"/>
      <c r="O367" s="951"/>
      <c r="P367" s="951"/>
      <c r="Q367" s="659"/>
      <c r="R367" s="659"/>
      <c r="S367" s="659"/>
      <c r="T367" s="659"/>
      <c r="U367" s="659"/>
      <c r="V367" s="659"/>
      <c r="W367" s="659"/>
      <c r="X367" s="659"/>
      <c r="Y367" s="659"/>
      <c r="Z367" s="659"/>
      <c r="AA367" s="659"/>
      <c r="AB367" s="659"/>
      <c r="AC367" s="659"/>
      <c r="AD367" s="659"/>
      <c r="AE367" s="659"/>
      <c r="AF367" s="659"/>
      <c r="AG367" s="659"/>
      <c r="AH367" s="659"/>
      <c r="AI367" s="659"/>
      <c r="AJ367" s="659"/>
      <c r="AK367" s="659"/>
      <c r="AL367" s="659"/>
      <c r="AM367" s="659"/>
      <c r="AN367" s="659"/>
      <c r="AO367" s="659"/>
      <c r="AP367" s="659"/>
      <c r="AQ367" s="746"/>
    </row>
    <row r="368">
      <c r="A368" s="654"/>
      <c r="B368" s="686" t="s">
        <v>741</v>
      </c>
      <c r="C368" s="687">
        <v>2.0</v>
      </c>
      <c r="D368" s="702">
        <v>3.0</v>
      </c>
      <c r="E368" s="703"/>
      <c r="F368" s="951"/>
      <c r="G368" s="951"/>
      <c r="H368" s="951"/>
      <c r="I368" s="951"/>
      <c r="J368" s="951"/>
      <c r="K368" s="951"/>
      <c r="L368" s="951"/>
      <c r="M368" s="951"/>
      <c r="N368" s="659"/>
      <c r="O368" s="951"/>
      <c r="P368" s="951"/>
      <c r="Q368" s="659"/>
      <c r="R368" s="659"/>
      <c r="S368" s="659"/>
      <c r="T368" s="659"/>
      <c r="U368" s="659"/>
      <c r="V368" s="659"/>
      <c r="W368" s="659"/>
      <c r="X368" s="659"/>
      <c r="Y368" s="659"/>
      <c r="Z368" s="659"/>
      <c r="AA368" s="659"/>
      <c r="AB368" s="659"/>
      <c r="AC368" s="659"/>
      <c r="AD368" s="659"/>
      <c r="AE368" s="659"/>
      <c r="AF368" s="659"/>
      <c r="AG368" s="659"/>
      <c r="AH368" s="659"/>
      <c r="AI368" s="659"/>
      <c r="AJ368" s="659"/>
      <c r="AK368" s="659"/>
      <c r="AL368" s="659"/>
      <c r="AM368" s="659"/>
      <c r="AN368" s="659"/>
      <c r="AO368" s="659"/>
      <c r="AP368" s="659"/>
      <c r="AQ368" s="746"/>
    </row>
    <row r="369">
      <c r="A369" s="654"/>
      <c r="B369" s="686" t="s">
        <v>742</v>
      </c>
      <c r="C369" s="687">
        <v>2.0</v>
      </c>
      <c r="D369" s="702">
        <v>4.0</v>
      </c>
      <c r="E369" s="703"/>
      <c r="F369" s="951"/>
      <c r="G369" s="951"/>
      <c r="H369" s="951"/>
      <c r="I369" s="951"/>
      <c r="J369" s="951"/>
      <c r="K369" s="951"/>
      <c r="L369" s="951"/>
      <c r="M369" s="951"/>
      <c r="N369" s="659"/>
      <c r="O369" s="951"/>
      <c r="P369" s="951"/>
      <c r="Q369" s="659"/>
      <c r="R369" s="659"/>
      <c r="S369" s="659"/>
      <c r="T369" s="659"/>
      <c r="U369" s="659"/>
      <c r="V369" s="659"/>
      <c r="W369" s="659"/>
      <c r="X369" s="659"/>
      <c r="Y369" s="659"/>
      <c r="Z369" s="659"/>
      <c r="AA369" s="659"/>
      <c r="AB369" s="659"/>
      <c r="AC369" s="659"/>
      <c r="AD369" s="659"/>
      <c r="AE369" s="659"/>
      <c r="AF369" s="659"/>
      <c r="AG369" s="659"/>
      <c r="AH369" s="659"/>
      <c r="AI369" s="659"/>
      <c r="AJ369" s="659"/>
      <c r="AK369" s="659"/>
      <c r="AL369" s="659"/>
      <c r="AM369" s="659"/>
      <c r="AN369" s="659"/>
      <c r="AO369" s="659"/>
      <c r="AP369" s="659"/>
      <c r="AQ369" s="746"/>
    </row>
    <row r="370">
      <c r="A370" s="654"/>
      <c r="B370" s="686" t="s">
        <v>743</v>
      </c>
      <c r="C370" s="687">
        <v>2.0</v>
      </c>
      <c r="D370" s="702">
        <v>3.0</v>
      </c>
      <c r="E370" s="703"/>
      <c r="F370" s="951"/>
      <c r="G370" s="951"/>
      <c r="H370" s="951"/>
      <c r="I370" s="951"/>
      <c r="J370" s="951"/>
      <c r="K370" s="951"/>
      <c r="L370" s="951"/>
      <c r="M370" s="951"/>
      <c r="N370" s="659"/>
      <c r="O370" s="951"/>
      <c r="P370" s="951"/>
      <c r="Q370" s="659"/>
      <c r="R370" s="659"/>
      <c r="S370" s="659"/>
      <c r="T370" s="659"/>
      <c r="U370" s="659"/>
      <c r="V370" s="659"/>
      <c r="W370" s="659"/>
      <c r="X370" s="659"/>
      <c r="Y370" s="659"/>
      <c r="Z370" s="659"/>
      <c r="AA370" s="659"/>
      <c r="AB370" s="659"/>
      <c r="AC370" s="659"/>
      <c r="AD370" s="659"/>
      <c r="AE370" s="659"/>
      <c r="AF370" s="659"/>
      <c r="AG370" s="659"/>
      <c r="AH370" s="659"/>
      <c r="AI370" s="659"/>
      <c r="AJ370" s="659"/>
      <c r="AK370" s="659"/>
      <c r="AL370" s="659"/>
      <c r="AM370" s="659"/>
      <c r="AN370" s="659"/>
      <c r="AO370" s="659"/>
      <c r="AP370" s="659"/>
      <c r="AQ370" s="746"/>
    </row>
    <row r="371">
      <c r="A371" s="654"/>
      <c r="B371" s="686" t="s">
        <v>744</v>
      </c>
      <c r="C371" s="687">
        <v>2.0</v>
      </c>
      <c r="D371" s="702">
        <v>3.0</v>
      </c>
      <c r="E371" s="703"/>
      <c r="F371" s="951"/>
      <c r="G371" s="951"/>
      <c r="H371" s="951"/>
      <c r="I371" s="951"/>
      <c r="J371" s="951"/>
      <c r="K371" s="951"/>
      <c r="L371" s="951"/>
      <c r="M371" s="951"/>
      <c r="N371" s="659"/>
      <c r="O371" s="951"/>
      <c r="P371" s="951"/>
      <c r="Q371" s="659"/>
      <c r="R371" s="659"/>
      <c r="S371" s="659"/>
      <c r="T371" s="659"/>
      <c r="U371" s="659"/>
      <c r="V371" s="659"/>
      <c r="W371" s="659"/>
      <c r="X371" s="659"/>
      <c r="Y371" s="659"/>
      <c r="Z371" s="659"/>
      <c r="AA371" s="659"/>
      <c r="AB371" s="659"/>
      <c r="AC371" s="659"/>
      <c r="AD371" s="659"/>
      <c r="AE371" s="659"/>
      <c r="AF371" s="659"/>
      <c r="AG371" s="659"/>
      <c r="AH371" s="659"/>
      <c r="AI371" s="659"/>
      <c r="AJ371" s="659"/>
      <c r="AK371" s="659"/>
      <c r="AL371" s="659"/>
      <c r="AM371" s="659"/>
      <c r="AN371" s="659"/>
      <c r="AO371" s="659"/>
      <c r="AP371" s="659"/>
      <c r="AQ371" s="746"/>
    </row>
    <row r="372">
      <c r="A372" s="654"/>
      <c r="B372" s="719" t="s">
        <v>745</v>
      </c>
      <c r="C372" s="720">
        <v>2.0</v>
      </c>
      <c r="D372" s="721">
        <v>3.0</v>
      </c>
      <c r="E372" s="703"/>
      <c r="F372" s="951"/>
      <c r="G372" s="951"/>
      <c r="H372" s="951"/>
      <c r="I372" s="951"/>
      <c r="J372" s="951"/>
      <c r="K372" s="951"/>
      <c r="L372" s="951"/>
      <c r="M372" s="951"/>
      <c r="N372" s="659"/>
      <c r="O372" s="951"/>
      <c r="P372" s="951"/>
      <c r="Q372" s="659"/>
      <c r="R372" s="659"/>
      <c r="S372" s="659"/>
      <c r="T372" s="659"/>
      <c r="U372" s="659"/>
      <c r="V372" s="659"/>
      <c r="W372" s="659"/>
      <c r="X372" s="659"/>
      <c r="Y372" s="659"/>
      <c r="Z372" s="659"/>
      <c r="AA372" s="659"/>
      <c r="AB372" s="659"/>
      <c r="AC372" s="659"/>
      <c r="AD372" s="659"/>
      <c r="AE372" s="659"/>
      <c r="AF372" s="659"/>
      <c r="AG372" s="659"/>
      <c r="AH372" s="659"/>
      <c r="AI372" s="659"/>
      <c r="AJ372" s="659"/>
      <c r="AK372" s="659"/>
      <c r="AL372" s="659"/>
      <c r="AM372" s="659"/>
      <c r="AN372" s="659"/>
      <c r="AO372" s="659"/>
      <c r="AP372" s="659"/>
      <c r="AQ372" s="746"/>
    </row>
    <row r="373">
      <c r="A373" s="654"/>
      <c r="B373" s="719" t="s">
        <v>746</v>
      </c>
      <c r="C373" s="720">
        <v>2.0</v>
      </c>
      <c r="D373" s="721">
        <v>3.0</v>
      </c>
      <c r="E373" s="703"/>
      <c r="F373" s="951"/>
      <c r="G373" s="951"/>
      <c r="H373" s="951"/>
      <c r="I373" s="951"/>
      <c r="J373" s="951"/>
      <c r="K373" s="951"/>
      <c r="L373" s="951"/>
      <c r="M373" s="951"/>
      <c r="N373" s="659"/>
      <c r="O373" s="951"/>
      <c r="P373" s="951"/>
      <c r="Q373" s="659"/>
      <c r="R373" s="659"/>
      <c r="S373" s="659"/>
      <c r="T373" s="659"/>
      <c r="U373" s="659"/>
      <c r="V373" s="659"/>
      <c r="W373" s="659"/>
      <c r="X373" s="659"/>
      <c r="Y373" s="659"/>
      <c r="Z373" s="659"/>
      <c r="AA373" s="659"/>
      <c r="AB373" s="659"/>
      <c r="AC373" s="659"/>
      <c r="AD373" s="659"/>
      <c r="AE373" s="659"/>
      <c r="AF373" s="659"/>
      <c r="AG373" s="659"/>
      <c r="AH373" s="659"/>
      <c r="AI373" s="659"/>
      <c r="AJ373" s="659"/>
      <c r="AK373" s="659"/>
      <c r="AL373" s="659"/>
      <c r="AM373" s="659"/>
      <c r="AN373" s="659"/>
      <c r="AO373" s="659"/>
      <c r="AP373" s="659"/>
      <c r="AQ373" s="746"/>
    </row>
    <row r="374">
      <c r="A374" s="654"/>
      <c r="B374" s="686" t="s">
        <v>747</v>
      </c>
      <c r="C374" s="687">
        <v>2.0</v>
      </c>
      <c r="D374" s="702">
        <v>3.0</v>
      </c>
      <c r="E374" s="703"/>
      <c r="F374" s="951"/>
      <c r="G374" s="951"/>
      <c r="H374" s="951"/>
      <c r="I374" s="951"/>
      <c r="J374" s="951"/>
      <c r="K374" s="951"/>
      <c r="L374" s="951"/>
      <c r="M374" s="951"/>
      <c r="N374" s="659"/>
      <c r="O374" s="951"/>
      <c r="P374" s="951"/>
      <c r="Q374" s="659"/>
      <c r="R374" s="659"/>
      <c r="S374" s="659"/>
      <c r="T374" s="659"/>
      <c r="U374" s="659"/>
      <c r="V374" s="659"/>
      <c r="W374" s="659"/>
      <c r="X374" s="659"/>
      <c r="Y374" s="659"/>
      <c r="Z374" s="659"/>
      <c r="AA374" s="659"/>
      <c r="AB374" s="659"/>
      <c r="AC374" s="659"/>
      <c r="AD374" s="659"/>
      <c r="AE374" s="659"/>
      <c r="AF374" s="659"/>
      <c r="AG374" s="659"/>
      <c r="AH374" s="659"/>
      <c r="AI374" s="659"/>
      <c r="AJ374" s="659"/>
      <c r="AK374" s="659"/>
      <c r="AL374" s="659"/>
      <c r="AM374" s="659"/>
      <c r="AN374" s="659"/>
      <c r="AO374" s="659"/>
      <c r="AP374" s="659"/>
      <c r="AQ374" s="746"/>
    </row>
    <row r="375">
      <c r="A375" s="654"/>
      <c r="B375" s="686" t="s">
        <v>748</v>
      </c>
      <c r="C375" s="687">
        <v>2.0</v>
      </c>
      <c r="D375" s="702">
        <v>3.0</v>
      </c>
      <c r="E375" s="703"/>
      <c r="F375" s="951"/>
      <c r="G375" s="951"/>
      <c r="H375" s="951"/>
      <c r="I375" s="951"/>
      <c r="J375" s="951"/>
      <c r="K375" s="951"/>
      <c r="L375" s="951"/>
      <c r="M375" s="951"/>
      <c r="N375" s="659"/>
      <c r="O375" s="951"/>
      <c r="P375" s="951"/>
      <c r="Q375" s="659"/>
      <c r="R375" s="659"/>
      <c r="S375" s="659"/>
      <c r="T375" s="659"/>
      <c r="U375" s="659"/>
      <c r="V375" s="659"/>
      <c r="W375" s="659"/>
      <c r="X375" s="659"/>
      <c r="Y375" s="659"/>
      <c r="Z375" s="659"/>
      <c r="AA375" s="659"/>
      <c r="AB375" s="659"/>
      <c r="AC375" s="659"/>
      <c r="AD375" s="659"/>
      <c r="AE375" s="659"/>
      <c r="AF375" s="659"/>
      <c r="AG375" s="659"/>
      <c r="AH375" s="659"/>
      <c r="AI375" s="659"/>
      <c r="AJ375" s="659"/>
      <c r="AK375" s="659"/>
      <c r="AL375" s="659"/>
      <c r="AM375" s="659"/>
      <c r="AN375" s="659"/>
      <c r="AO375" s="659"/>
      <c r="AP375" s="659"/>
      <c r="AQ375" s="746"/>
    </row>
    <row r="376">
      <c r="A376" s="654"/>
      <c r="B376" s="719" t="s">
        <v>749</v>
      </c>
      <c r="C376" s="720">
        <v>2.0</v>
      </c>
      <c r="D376" s="721">
        <v>3.0</v>
      </c>
      <c r="E376" s="703"/>
      <c r="F376" s="951"/>
      <c r="G376" s="951"/>
      <c r="H376" s="951"/>
      <c r="I376" s="951"/>
      <c r="J376" s="951"/>
      <c r="K376" s="951"/>
      <c r="L376" s="951"/>
      <c r="M376" s="951"/>
      <c r="N376" s="659"/>
      <c r="O376" s="951"/>
      <c r="P376" s="951"/>
      <c r="Q376" s="659"/>
      <c r="R376" s="659"/>
      <c r="S376" s="659"/>
      <c r="T376" s="659"/>
      <c r="U376" s="659"/>
      <c r="V376" s="659"/>
      <c r="W376" s="659"/>
      <c r="X376" s="659"/>
      <c r="Y376" s="659"/>
      <c r="Z376" s="659"/>
      <c r="AA376" s="659"/>
      <c r="AB376" s="659"/>
      <c r="AC376" s="659"/>
      <c r="AD376" s="659"/>
      <c r="AE376" s="659"/>
      <c r="AF376" s="659"/>
      <c r="AG376" s="659"/>
      <c r="AH376" s="659"/>
      <c r="AI376" s="659"/>
      <c r="AJ376" s="659"/>
      <c r="AK376" s="659"/>
      <c r="AL376" s="659"/>
      <c r="AM376" s="659"/>
      <c r="AN376" s="659"/>
      <c r="AO376" s="659"/>
      <c r="AP376" s="659"/>
      <c r="AQ376" s="746"/>
    </row>
    <row r="377">
      <c r="A377" s="654"/>
      <c r="B377" s="719" t="s">
        <v>750</v>
      </c>
      <c r="C377" s="720">
        <v>2.0</v>
      </c>
      <c r="D377" s="721">
        <v>3.0</v>
      </c>
      <c r="E377" s="703"/>
      <c r="F377" s="951"/>
      <c r="G377" s="951"/>
      <c r="H377" s="951"/>
      <c r="I377" s="951"/>
      <c r="J377" s="951"/>
      <c r="K377" s="951"/>
      <c r="L377" s="951"/>
      <c r="M377" s="951"/>
      <c r="N377" s="659"/>
      <c r="O377" s="951"/>
      <c r="P377" s="951"/>
      <c r="Q377" s="659"/>
      <c r="R377" s="659"/>
      <c r="S377" s="659"/>
      <c r="T377" s="659"/>
      <c r="U377" s="659"/>
      <c r="V377" s="659"/>
      <c r="W377" s="659"/>
      <c r="X377" s="659"/>
      <c r="Y377" s="659"/>
      <c r="Z377" s="659"/>
      <c r="AA377" s="659"/>
      <c r="AB377" s="659"/>
      <c r="AC377" s="659"/>
      <c r="AD377" s="659"/>
      <c r="AE377" s="659"/>
      <c r="AF377" s="659"/>
      <c r="AG377" s="659"/>
      <c r="AH377" s="659"/>
      <c r="AI377" s="659"/>
      <c r="AJ377" s="659"/>
      <c r="AK377" s="659"/>
      <c r="AL377" s="659"/>
      <c r="AM377" s="659"/>
      <c r="AN377" s="659"/>
      <c r="AO377" s="659"/>
      <c r="AP377" s="659"/>
      <c r="AQ377" s="746"/>
    </row>
    <row r="378">
      <c r="A378" s="654"/>
      <c r="B378" s="686" t="s">
        <v>751</v>
      </c>
      <c r="C378" s="687">
        <v>2.0</v>
      </c>
      <c r="D378" s="702">
        <v>3.0</v>
      </c>
      <c r="E378" s="703"/>
      <c r="F378" s="951"/>
      <c r="G378" s="951"/>
      <c r="H378" s="951"/>
      <c r="I378" s="951"/>
      <c r="J378" s="951"/>
      <c r="K378" s="951"/>
      <c r="L378" s="951"/>
      <c r="M378" s="951"/>
      <c r="N378" s="659"/>
      <c r="O378" s="951"/>
      <c r="P378" s="951"/>
      <c r="Q378" s="659"/>
      <c r="R378" s="659"/>
      <c r="S378" s="659"/>
      <c r="T378" s="659"/>
      <c r="U378" s="659"/>
      <c r="V378" s="659"/>
      <c r="W378" s="659"/>
      <c r="X378" s="659"/>
      <c r="Y378" s="659"/>
      <c r="Z378" s="659"/>
      <c r="AA378" s="659"/>
      <c r="AB378" s="659"/>
      <c r="AC378" s="659"/>
      <c r="AD378" s="659"/>
      <c r="AE378" s="659"/>
      <c r="AF378" s="659"/>
      <c r="AG378" s="659"/>
      <c r="AH378" s="659"/>
      <c r="AI378" s="659"/>
      <c r="AJ378" s="659"/>
      <c r="AK378" s="659"/>
      <c r="AL378" s="659"/>
      <c r="AM378" s="659"/>
      <c r="AN378" s="659"/>
      <c r="AO378" s="659"/>
      <c r="AP378" s="659"/>
      <c r="AQ378" s="746"/>
    </row>
    <row r="379">
      <c r="A379" s="654"/>
      <c r="B379" s="686" t="s">
        <v>752</v>
      </c>
      <c r="C379" s="687">
        <v>2.0</v>
      </c>
      <c r="D379" s="702">
        <v>2.0</v>
      </c>
      <c r="E379" s="703"/>
      <c r="F379" s="951"/>
      <c r="G379" s="951"/>
      <c r="H379" s="951"/>
      <c r="I379" s="951"/>
      <c r="J379" s="951"/>
      <c r="K379" s="951"/>
      <c r="L379" s="951"/>
      <c r="M379" s="951"/>
      <c r="N379" s="659"/>
      <c r="O379" s="951"/>
      <c r="P379" s="951"/>
      <c r="Q379" s="659"/>
      <c r="R379" s="659"/>
      <c r="S379" s="659"/>
      <c r="T379" s="659"/>
      <c r="U379" s="659"/>
      <c r="V379" s="659"/>
      <c r="W379" s="659"/>
      <c r="X379" s="659"/>
      <c r="Y379" s="659"/>
      <c r="Z379" s="659"/>
      <c r="AA379" s="659"/>
      <c r="AB379" s="659"/>
      <c r="AC379" s="659"/>
      <c r="AD379" s="659"/>
      <c r="AE379" s="659"/>
      <c r="AF379" s="659"/>
      <c r="AG379" s="659"/>
      <c r="AH379" s="659"/>
      <c r="AI379" s="659"/>
      <c r="AJ379" s="659"/>
      <c r="AK379" s="659"/>
      <c r="AL379" s="659"/>
      <c r="AM379" s="659"/>
      <c r="AN379" s="659"/>
      <c r="AO379" s="659"/>
      <c r="AP379" s="659"/>
      <c r="AQ379" s="746"/>
    </row>
    <row r="380">
      <c r="A380" s="654"/>
      <c r="B380" s="686" t="s">
        <v>753</v>
      </c>
      <c r="C380" s="687">
        <v>2.0</v>
      </c>
      <c r="D380" s="702">
        <v>3.0</v>
      </c>
      <c r="E380" s="703"/>
      <c r="F380" s="951"/>
      <c r="G380" s="951"/>
      <c r="H380" s="951"/>
      <c r="I380" s="951"/>
      <c r="J380" s="951"/>
      <c r="K380" s="951"/>
      <c r="L380" s="951"/>
      <c r="M380" s="951"/>
      <c r="N380" s="659"/>
      <c r="O380" s="951"/>
      <c r="P380" s="951"/>
      <c r="Q380" s="659"/>
      <c r="R380" s="659"/>
      <c r="S380" s="659"/>
      <c r="T380" s="659"/>
      <c r="U380" s="659"/>
      <c r="V380" s="659"/>
      <c r="W380" s="659"/>
      <c r="X380" s="659"/>
      <c r="Y380" s="659"/>
      <c r="Z380" s="659"/>
      <c r="AA380" s="659"/>
      <c r="AB380" s="659"/>
      <c r="AC380" s="659"/>
      <c r="AD380" s="659"/>
      <c r="AE380" s="659"/>
      <c r="AF380" s="659"/>
      <c r="AG380" s="659"/>
      <c r="AH380" s="659"/>
      <c r="AI380" s="659"/>
      <c r="AJ380" s="659"/>
      <c r="AK380" s="659"/>
      <c r="AL380" s="659"/>
      <c r="AM380" s="659"/>
      <c r="AN380" s="659"/>
      <c r="AO380" s="659"/>
      <c r="AP380" s="659"/>
      <c r="AQ380" s="746"/>
    </row>
    <row r="381">
      <c r="A381" s="654"/>
      <c r="B381" s="686" t="s">
        <v>754</v>
      </c>
      <c r="C381" s="687">
        <v>2.0</v>
      </c>
      <c r="D381" s="702">
        <v>3.0</v>
      </c>
      <c r="E381" s="703"/>
      <c r="F381" s="951"/>
      <c r="G381" s="951"/>
      <c r="H381" s="951"/>
      <c r="I381" s="951"/>
      <c r="J381" s="951"/>
      <c r="K381" s="951"/>
      <c r="L381" s="951"/>
      <c r="M381" s="951"/>
      <c r="N381" s="659"/>
      <c r="O381" s="951"/>
      <c r="P381" s="951"/>
      <c r="Q381" s="659"/>
      <c r="R381" s="659"/>
      <c r="S381" s="659"/>
      <c r="T381" s="659"/>
      <c r="U381" s="659"/>
      <c r="V381" s="659"/>
      <c r="W381" s="659"/>
      <c r="X381" s="659"/>
      <c r="Y381" s="659"/>
      <c r="Z381" s="659"/>
      <c r="AA381" s="659"/>
      <c r="AB381" s="659"/>
      <c r="AC381" s="659"/>
      <c r="AD381" s="659"/>
      <c r="AE381" s="659"/>
      <c r="AF381" s="659"/>
      <c r="AG381" s="659"/>
      <c r="AH381" s="659"/>
      <c r="AI381" s="659"/>
      <c r="AJ381" s="659"/>
      <c r="AK381" s="659"/>
      <c r="AL381" s="659"/>
      <c r="AM381" s="659"/>
      <c r="AN381" s="659"/>
      <c r="AO381" s="659"/>
      <c r="AP381" s="659"/>
      <c r="AQ381" s="746"/>
    </row>
    <row r="382">
      <c r="A382" s="654"/>
      <c r="B382" s="686" t="s">
        <v>755</v>
      </c>
      <c r="C382" s="687">
        <v>2.0</v>
      </c>
      <c r="D382" s="702">
        <v>3.0</v>
      </c>
      <c r="E382" s="703"/>
      <c r="F382" s="951"/>
      <c r="G382" s="951"/>
      <c r="H382" s="951"/>
      <c r="I382" s="951"/>
      <c r="J382" s="951"/>
      <c r="K382" s="951"/>
      <c r="L382" s="951"/>
      <c r="M382" s="951"/>
      <c r="N382" s="659"/>
      <c r="O382" s="951"/>
      <c r="P382" s="951"/>
      <c r="Q382" s="659"/>
      <c r="R382" s="659"/>
      <c r="S382" s="659"/>
      <c r="T382" s="659"/>
      <c r="U382" s="659"/>
      <c r="V382" s="659"/>
      <c r="W382" s="659"/>
      <c r="X382" s="659"/>
      <c r="Y382" s="659"/>
      <c r="Z382" s="659"/>
      <c r="AA382" s="659"/>
      <c r="AB382" s="659"/>
      <c r="AC382" s="659"/>
      <c r="AD382" s="659"/>
      <c r="AE382" s="659"/>
      <c r="AF382" s="659"/>
      <c r="AG382" s="659"/>
      <c r="AH382" s="659"/>
      <c r="AI382" s="659"/>
      <c r="AJ382" s="659"/>
      <c r="AK382" s="659"/>
      <c r="AL382" s="659"/>
      <c r="AM382" s="659"/>
      <c r="AN382" s="659"/>
      <c r="AO382" s="659"/>
      <c r="AP382" s="659"/>
      <c r="AQ382" s="746"/>
    </row>
    <row r="383">
      <c r="A383" s="654"/>
      <c r="B383" s="686" t="s">
        <v>756</v>
      </c>
      <c r="C383" s="687">
        <v>2.0</v>
      </c>
      <c r="D383" s="702">
        <v>3.0</v>
      </c>
      <c r="E383" s="703"/>
      <c r="F383" s="951"/>
      <c r="G383" s="951"/>
      <c r="H383" s="951"/>
      <c r="I383" s="951"/>
      <c r="J383" s="951"/>
      <c r="K383" s="951"/>
      <c r="L383" s="951"/>
      <c r="M383" s="951"/>
      <c r="N383" s="659"/>
      <c r="O383" s="951"/>
      <c r="P383" s="951"/>
      <c r="Q383" s="659"/>
      <c r="R383" s="659"/>
      <c r="S383" s="659"/>
      <c r="T383" s="659"/>
      <c r="U383" s="659"/>
      <c r="V383" s="659"/>
      <c r="W383" s="659"/>
      <c r="X383" s="659"/>
      <c r="Y383" s="659"/>
      <c r="Z383" s="659"/>
      <c r="AA383" s="659"/>
      <c r="AB383" s="659"/>
      <c r="AC383" s="659"/>
      <c r="AD383" s="659"/>
      <c r="AE383" s="659"/>
      <c r="AF383" s="659"/>
      <c r="AG383" s="659"/>
      <c r="AH383" s="659"/>
      <c r="AI383" s="659"/>
      <c r="AJ383" s="659"/>
      <c r="AK383" s="659"/>
      <c r="AL383" s="659"/>
      <c r="AM383" s="659"/>
      <c r="AN383" s="659"/>
      <c r="AO383" s="659"/>
      <c r="AP383" s="659"/>
      <c r="AQ383" s="746"/>
    </row>
    <row r="384">
      <c r="A384" s="654"/>
      <c r="B384" s="686" t="s">
        <v>757</v>
      </c>
      <c r="C384" s="687">
        <v>2.0</v>
      </c>
      <c r="D384" s="702">
        <v>3.0</v>
      </c>
      <c r="E384" s="703"/>
      <c r="F384" s="951"/>
      <c r="G384" s="951"/>
      <c r="H384" s="951"/>
      <c r="I384" s="951"/>
      <c r="J384" s="951"/>
      <c r="K384" s="951"/>
      <c r="L384" s="951"/>
      <c r="M384" s="951"/>
      <c r="N384" s="659"/>
      <c r="O384" s="951"/>
      <c r="P384" s="951"/>
      <c r="Q384" s="659"/>
      <c r="R384" s="659"/>
      <c r="S384" s="659"/>
      <c r="T384" s="659"/>
      <c r="U384" s="659"/>
      <c r="V384" s="659"/>
      <c r="W384" s="659"/>
      <c r="X384" s="659"/>
      <c r="Y384" s="659"/>
      <c r="Z384" s="659"/>
      <c r="AA384" s="659"/>
      <c r="AB384" s="659"/>
      <c r="AC384" s="659"/>
      <c r="AD384" s="659"/>
      <c r="AE384" s="659"/>
      <c r="AF384" s="659"/>
      <c r="AG384" s="659"/>
      <c r="AH384" s="659"/>
      <c r="AI384" s="659"/>
      <c r="AJ384" s="659"/>
      <c r="AK384" s="659"/>
      <c r="AL384" s="659"/>
      <c r="AM384" s="659"/>
      <c r="AN384" s="659"/>
      <c r="AO384" s="659"/>
      <c r="AP384" s="659"/>
      <c r="AQ384" s="746"/>
    </row>
    <row r="385">
      <c r="A385" s="654"/>
      <c r="B385" s="719" t="s">
        <v>758</v>
      </c>
      <c r="C385" s="720">
        <v>2.0</v>
      </c>
      <c r="D385" s="721">
        <v>3.0</v>
      </c>
      <c r="E385" s="703"/>
      <c r="F385" s="951"/>
      <c r="G385" s="951"/>
      <c r="H385" s="951"/>
      <c r="I385" s="951"/>
      <c r="J385" s="951"/>
      <c r="K385" s="951"/>
      <c r="L385" s="951"/>
      <c r="M385" s="951"/>
      <c r="N385" s="659"/>
      <c r="O385" s="951"/>
      <c r="P385" s="951"/>
      <c r="Q385" s="659"/>
      <c r="R385" s="659"/>
      <c r="S385" s="659"/>
      <c r="T385" s="659"/>
      <c r="U385" s="659"/>
      <c r="V385" s="659"/>
      <c r="W385" s="659"/>
      <c r="X385" s="659"/>
      <c r="Y385" s="659"/>
      <c r="Z385" s="659"/>
      <c r="AA385" s="659"/>
      <c r="AB385" s="659"/>
      <c r="AC385" s="659"/>
      <c r="AD385" s="659"/>
      <c r="AE385" s="659"/>
      <c r="AF385" s="659"/>
      <c r="AG385" s="659"/>
      <c r="AH385" s="659"/>
      <c r="AI385" s="659"/>
      <c r="AJ385" s="659"/>
      <c r="AK385" s="659"/>
      <c r="AL385" s="659"/>
      <c r="AM385" s="659"/>
      <c r="AN385" s="659"/>
      <c r="AO385" s="659"/>
      <c r="AP385" s="659"/>
      <c r="AQ385" s="746"/>
    </row>
    <row r="386">
      <c r="A386" s="654"/>
      <c r="B386" s="686" t="s">
        <v>759</v>
      </c>
      <c r="C386" s="687">
        <v>2.0</v>
      </c>
      <c r="D386" s="702">
        <v>5.0</v>
      </c>
      <c r="E386" s="703"/>
      <c r="F386" s="951"/>
      <c r="G386" s="951"/>
      <c r="H386" s="951"/>
      <c r="I386" s="951"/>
      <c r="J386" s="951"/>
      <c r="K386" s="951"/>
      <c r="L386" s="951"/>
      <c r="M386" s="951"/>
      <c r="N386" s="659"/>
      <c r="O386" s="951"/>
      <c r="P386" s="951"/>
      <c r="Q386" s="659"/>
      <c r="R386" s="659"/>
      <c r="S386" s="659"/>
      <c r="T386" s="659"/>
      <c r="U386" s="659"/>
      <c r="V386" s="659"/>
      <c r="W386" s="659"/>
      <c r="X386" s="659"/>
      <c r="Y386" s="659"/>
      <c r="Z386" s="659"/>
      <c r="AA386" s="659"/>
      <c r="AB386" s="659"/>
      <c r="AC386" s="659"/>
      <c r="AD386" s="659"/>
      <c r="AE386" s="659"/>
      <c r="AF386" s="659"/>
      <c r="AG386" s="659"/>
      <c r="AH386" s="659"/>
      <c r="AI386" s="659"/>
      <c r="AJ386" s="659"/>
      <c r="AK386" s="659"/>
      <c r="AL386" s="659"/>
      <c r="AM386" s="659"/>
      <c r="AN386" s="659"/>
      <c r="AO386" s="659"/>
      <c r="AP386" s="659"/>
      <c r="AQ386" s="746"/>
    </row>
    <row r="387">
      <c r="A387" s="654"/>
      <c r="B387" s="704" t="s">
        <v>761</v>
      </c>
      <c r="C387" s="687">
        <v>2.0</v>
      </c>
      <c r="D387" s="702">
        <v>3.0</v>
      </c>
      <c r="E387" s="703"/>
      <c r="F387" s="951"/>
      <c r="G387" s="951"/>
      <c r="H387" s="951"/>
      <c r="I387" s="951"/>
      <c r="J387" s="951"/>
      <c r="K387" s="951"/>
      <c r="L387" s="951"/>
      <c r="M387" s="951"/>
      <c r="N387" s="659"/>
      <c r="O387" s="951"/>
      <c r="P387" s="951"/>
      <c r="Q387" s="659"/>
      <c r="R387" s="659"/>
      <c r="S387" s="659"/>
      <c r="T387" s="659"/>
      <c r="U387" s="659"/>
      <c r="V387" s="659"/>
      <c r="W387" s="659"/>
      <c r="X387" s="659"/>
      <c r="Y387" s="659"/>
      <c r="Z387" s="659"/>
      <c r="AA387" s="659"/>
      <c r="AB387" s="659"/>
      <c r="AC387" s="659"/>
      <c r="AD387" s="659"/>
      <c r="AE387" s="659"/>
      <c r="AF387" s="659"/>
      <c r="AG387" s="659"/>
      <c r="AH387" s="659"/>
      <c r="AI387" s="659"/>
      <c r="AJ387" s="659"/>
      <c r="AK387" s="659"/>
      <c r="AL387" s="659"/>
      <c r="AM387" s="659"/>
      <c r="AN387" s="659"/>
      <c r="AO387" s="659"/>
      <c r="AP387" s="659"/>
      <c r="AQ387" s="746"/>
    </row>
    <row r="388">
      <c r="A388" s="654"/>
      <c r="B388" s="704" t="s">
        <v>765</v>
      </c>
      <c r="C388" s="687">
        <v>2.0</v>
      </c>
      <c r="D388" s="702">
        <v>3.0</v>
      </c>
      <c r="E388" s="703"/>
      <c r="F388" s="951"/>
      <c r="G388" s="951"/>
      <c r="H388" s="951"/>
      <c r="I388" s="951"/>
      <c r="J388" s="951"/>
      <c r="K388" s="951"/>
      <c r="L388" s="951"/>
      <c r="M388" s="951"/>
      <c r="N388" s="659"/>
      <c r="O388" s="951"/>
      <c r="P388" s="951"/>
      <c r="Q388" s="659"/>
      <c r="R388" s="659"/>
      <c r="S388" s="659"/>
      <c r="T388" s="659"/>
      <c r="U388" s="659"/>
      <c r="V388" s="659"/>
      <c r="W388" s="659"/>
      <c r="X388" s="659"/>
      <c r="Y388" s="659"/>
      <c r="Z388" s="659"/>
      <c r="AA388" s="659"/>
      <c r="AB388" s="659"/>
      <c r="AC388" s="659"/>
      <c r="AD388" s="659"/>
      <c r="AE388" s="659"/>
      <c r="AF388" s="659"/>
      <c r="AG388" s="659"/>
      <c r="AH388" s="659"/>
      <c r="AI388" s="659"/>
      <c r="AJ388" s="659"/>
      <c r="AK388" s="659"/>
      <c r="AL388" s="659"/>
      <c r="AM388" s="659"/>
      <c r="AN388" s="659"/>
      <c r="AO388" s="659"/>
      <c r="AP388" s="659"/>
      <c r="AQ388" s="746"/>
    </row>
    <row r="389">
      <c r="A389" s="654"/>
      <c r="B389" s="704" t="s">
        <v>766</v>
      </c>
      <c r="C389" s="687">
        <v>2.0</v>
      </c>
      <c r="D389" s="702">
        <v>3.0</v>
      </c>
      <c r="E389" s="703"/>
      <c r="F389" s="951"/>
      <c r="G389" s="951"/>
      <c r="H389" s="951"/>
      <c r="I389" s="951"/>
      <c r="J389" s="951"/>
      <c r="K389" s="951"/>
      <c r="L389" s="951"/>
      <c r="M389" s="951"/>
      <c r="N389" s="659"/>
      <c r="O389" s="951"/>
      <c r="P389" s="951"/>
      <c r="Q389" s="659"/>
      <c r="R389" s="659"/>
      <c r="S389" s="659"/>
      <c r="T389" s="659"/>
      <c r="U389" s="659"/>
      <c r="V389" s="659"/>
      <c r="W389" s="659"/>
      <c r="X389" s="659"/>
      <c r="Y389" s="659"/>
      <c r="Z389" s="659"/>
      <c r="AA389" s="659"/>
      <c r="AB389" s="659"/>
      <c r="AC389" s="659"/>
      <c r="AD389" s="659"/>
      <c r="AE389" s="659"/>
      <c r="AF389" s="659"/>
      <c r="AG389" s="659"/>
      <c r="AH389" s="659"/>
      <c r="AI389" s="659"/>
      <c r="AJ389" s="659"/>
      <c r="AK389" s="659"/>
      <c r="AL389" s="659"/>
      <c r="AM389" s="659"/>
      <c r="AN389" s="659"/>
      <c r="AO389" s="659"/>
      <c r="AP389" s="659"/>
      <c r="AQ389" s="746"/>
    </row>
    <row r="390">
      <c r="A390" s="654"/>
      <c r="B390" s="738" t="s">
        <v>767</v>
      </c>
      <c r="C390" s="720">
        <v>2.0</v>
      </c>
      <c r="D390" s="721">
        <v>2.0</v>
      </c>
      <c r="E390" s="703"/>
      <c r="F390" s="951"/>
      <c r="G390" s="951"/>
      <c r="H390" s="951"/>
      <c r="I390" s="951"/>
      <c r="J390" s="951"/>
      <c r="K390" s="951"/>
      <c r="L390" s="951"/>
      <c r="M390" s="951"/>
      <c r="N390" s="659"/>
      <c r="O390" s="951"/>
      <c r="P390" s="951"/>
      <c r="Q390" s="659"/>
      <c r="R390" s="659"/>
      <c r="S390" s="659"/>
      <c r="T390" s="659"/>
      <c r="U390" s="659"/>
      <c r="V390" s="659"/>
      <c r="W390" s="659"/>
      <c r="X390" s="659"/>
      <c r="Y390" s="659"/>
      <c r="Z390" s="659"/>
      <c r="AA390" s="659"/>
      <c r="AB390" s="659"/>
      <c r="AC390" s="659"/>
      <c r="AD390" s="659"/>
      <c r="AE390" s="659"/>
      <c r="AF390" s="659"/>
      <c r="AG390" s="659"/>
      <c r="AH390" s="659"/>
      <c r="AI390" s="659"/>
      <c r="AJ390" s="659"/>
      <c r="AK390" s="659"/>
      <c r="AL390" s="659"/>
      <c r="AM390" s="659"/>
      <c r="AN390" s="659"/>
      <c r="AO390" s="659"/>
      <c r="AP390" s="659"/>
      <c r="AQ390" s="746"/>
    </row>
    <row r="391">
      <c r="A391" s="654"/>
      <c r="B391" s="704" t="s">
        <v>768</v>
      </c>
      <c r="C391" s="687">
        <v>2.0</v>
      </c>
      <c r="D391" s="702">
        <v>4.0</v>
      </c>
      <c r="E391" s="703"/>
      <c r="F391" s="951"/>
      <c r="G391" s="951"/>
      <c r="H391" s="951"/>
      <c r="I391" s="951"/>
      <c r="J391" s="951"/>
      <c r="K391" s="951"/>
      <c r="L391" s="951"/>
      <c r="M391" s="951"/>
      <c r="N391" s="659"/>
      <c r="O391" s="951"/>
      <c r="P391" s="951"/>
      <c r="Q391" s="659"/>
      <c r="R391" s="659"/>
      <c r="S391" s="659"/>
      <c r="T391" s="659"/>
      <c r="U391" s="659"/>
      <c r="V391" s="659"/>
      <c r="W391" s="659"/>
      <c r="X391" s="659"/>
      <c r="Y391" s="659"/>
      <c r="Z391" s="659"/>
      <c r="AA391" s="659"/>
      <c r="AB391" s="659"/>
      <c r="AC391" s="659"/>
      <c r="AD391" s="659"/>
      <c r="AE391" s="659"/>
      <c r="AF391" s="659"/>
      <c r="AG391" s="659"/>
      <c r="AH391" s="659"/>
      <c r="AI391" s="659"/>
      <c r="AJ391" s="659"/>
      <c r="AK391" s="659"/>
      <c r="AL391" s="659"/>
      <c r="AM391" s="659"/>
      <c r="AN391" s="659"/>
      <c r="AO391" s="659"/>
      <c r="AP391" s="659"/>
      <c r="AQ391" s="746"/>
    </row>
    <row r="392">
      <c r="A392" s="654"/>
      <c r="B392" s="704" t="s">
        <v>769</v>
      </c>
      <c r="C392" s="687">
        <v>2.0</v>
      </c>
      <c r="D392" s="702">
        <v>3.0</v>
      </c>
      <c r="E392" s="703"/>
      <c r="F392" s="951"/>
      <c r="G392" s="951"/>
      <c r="H392" s="951"/>
      <c r="I392" s="951"/>
      <c r="J392" s="951"/>
      <c r="K392" s="951"/>
      <c r="L392" s="951"/>
      <c r="M392" s="951"/>
      <c r="N392" s="659"/>
      <c r="O392" s="951"/>
      <c r="P392" s="951"/>
      <c r="Q392" s="659"/>
      <c r="R392" s="659"/>
      <c r="S392" s="659"/>
      <c r="T392" s="659"/>
      <c r="U392" s="659"/>
      <c r="V392" s="659"/>
      <c r="W392" s="659"/>
      <c r="X392" s="659"/>
      <c r="Y392" s="659"/>
      <c r="Z392" s="659"/>
      <c r="AA392" s="659"/>
      <c r="AB392" s="659"/>
      <c r="AC392" s="659"/>
      <c r="AD392" s="659"/>
      <c r="AE392" s="659"/>
      <c r="AF392" s="659"/>
      <c r="AG392" s="659"/>
      <c r="AH392" s="659"/>
      <c r="AI392" s="659"/>
      <c r="AJ392" s="659"/>
      <c r="AK392" s="659"/>
      <c r="AL392" s="659"/>
      <c r="AM392" s="659"/>
      <c r="AN392" s="659"/>
      <c r="AO392" s="659"/>
      <c r="AP392" s="659"/>
      <c r="AQ392" s="746"/>
    </row>
    <row r="393">
      <c r="A393" s="654"/>
      <c r="B393" s="704" t="s">
        <v>770</v>
      </c>
      <c r="C393" s="687">
        <v>2.0</v>
      </c>
      <c r="D393" s="702">
        <v>3.0</v>
      </c>
      <c r="E393" s="703"/>
      <c r="F393" s="951"/>
      <c r="G393" s="951"/>
      <c r="H393" s="951"/>
      <c r="I393" s="951"/>
      <c r="J393" s="951"/>
      <c r="K393" s="951"/>
      <c r="L393" s="951"/>
      <c r="M393" s="951"/>
      <c r="N393" s="659"/>
      <c r="O393" s="951"/>
      <c r="P393" s="951"/>
      <c r="Q393" s="659"/>
      <c r="R393" s="659"/>
      <c r="S393" s="659"/>
      <c r="T393" s="659"/>
      <c r="U393" s="659"/>
      <c r="V393" s="659"/>
      <c r="W393" s="659"/>
      <c r="X393" s="659"/>
      <c r="Y393" s="659"/>
      <c r="Z393" s="659"/>
      <c r="AA393" s="659"/>
      <c r="AB393" s="659"/>
      <c r="AC393" s="659"/>
      <c r="AD393" s="659"/>
      <c r="AE393" s="659"/>
      <c r="AF393" s="659"/>
      <c r="AG393" s="659"/>
      <c r="AH393" s="659"/>
      <c r="AI393" s="659"/>
      <c r="AJ393" s="659"/>
      <c r="AK393" s="659"/>
      <c r="AL393" s="659"/>
      <c r="AM393" s="659"/>
      <c r="AN393" s="659"/>
      <c r="AO393" s="659"/>
      <c r="AP393" s="659"/>
      <c r="AQ393" s="746"/>
    </row>
    <row r="394">
      <c r="A394" s="654"/>
      <c r="B394" s="704" t="s">
        <v>771</v>
      </c>
      <c r="C394" s="687">
        <v>2.0</v>
      </c>
      <c r="D394" s="702">
        <v>2.0</v>
      </c>
      <c r="E394" s="703"/>
      <c r="F394" s="951"/>
      <c r="G394" s="951"/>
      <c r="H394" s="951"/>
      <c r="I394" s="951"/>
      <c r="J394" s="951"/>
      <c r="K394" s="951"/>
      <c r="L394" s="951"/>
      <c r="M394" s="951"/>
      <c r="N394" s="659"/>
      <c r="O394" s="951"/>
      <c r="P394" s="951"/>
      <c r="Q394" s="659"/>
      <c r="R394" s="659"/>
      <c r="S394" s="659"/>
      <c r="T394" s="659"/>
      <c r="U394" s="659"/>
      <c r="V394" s="659"/>
      <c r="W394" s="659"/>
      <c r="X394" s="659"/>
      <c r="Y394" s="659"/>
      <c r="Z394" s="659"/>
      <c r="AA394" s="659"/>
      <c r="AB394" s="659"/>
      <c r="AC394" s="659"/>
      <c r="AD394" s="659"/>
      <c r="AE394" s="659"/>
      <c r="AF394" s="659"/>
      <c r="AG394" s="659"/>
      <c r="AH394" s="659"/>
      <c r="AI394" s="659"/>
      <c r="AJ394" s="659"/>
      <c r="AK394" s="659"/>
      <c r="AL394" s="659"/>
      <c r="AM394" s="659"/>
      <c r="AN394" s="659"/>
      <c r="AO394" s="659"/>
      <c r="AP394" s="659"/>
      <c r="AQ394" s="746"/>
    </row>
    <row r="395">
      <c r="A395" s="654"/>
      <c r="B395" s="738" t="s">
        <v>772</v>
      </c>
      <c r="C395" s="720">
        <v>2.0</v>
      </c>
      <c r="D395" s="721">
        <v>3.0</v>
      </c>
      <c r="E395" s="703"/>
      <c r="F395" s="951"/>
      <c r="G395" s="951"/>
      <c r="H395" s="951"/>
      <c r="I395" s="951"/>
      <c r="J395" s="951"/>
      <c r="K395" s="951"/>
      <c r="L395" s="951"/>
      <c r="M395" s="951"/>
      <c r="N395" s="659"/>
      <c r="O395" s="951"/>
      <c r="P395" s="951"/>
      <c r="Q395" s="659"/>
      <c r="R395" s="659"/>
      <c r="S395" s="659"/>
      <c r="T395" s="659"/>
      <c r="U395" s="659"/>
      <c r="V395" s="659"/>
      <c r="W395" s="659"/>
      <c r="X395" s="659"/>
      <c r="Y395" s="659"/>
      <c r="Z395" s="659"/>
      <c r="AA395" s="659"/>
      <c r="AB395" s="659"/>
      <c r="AC395" s="659"/>
      <c r="AD395" s="659"/>
      <c r="AE395" s="659"/>
      <c r="AF395" s="659"/>
      <c r="AG395" s="659"/>
      <c r="AH395" s="659"/>
      <c r="AI395" s="659"/>
      <c r="AJ395" s="659"/>
      <c r="AK395" s="659"/>
      <c r="AL395" s="659"/>
      <c r="AM395" s="659"/>
      <c r="AN395" s="659"/>
      <c r="AO395" s="659"/>
      <c r="AP395" s="659"/>
      <c r="AQ395" s="746"/>
    </row>
    <row r="396">
      <c r="A396" s="654"/>
      <c r="B396" s="704" t="s">
        <v>773</v>
      </c>
      <c r="C396" s="687">
        <v>2.0</v>
      </c>
      <c r="D396" s="702">
        <v>3.0</v>
      </c>
      <c r="E396" s="703"/>
      <c r="F396" s="951"/>
      <c r="G396" s="951"/>
      <c r="H396" s="951"/>
      <c r="I396" s="951"/>
      <c r="J396" s="951"/>
      <c r="K396" s="951"/>
      <c r="L396" s="951"/>
      <c r="M396" s="951"/>
      <c r="N396" s="659"/>
      <c r="O396" s="951"/>
      <c r="P396" s="951"/>
      <c r="Q396" s="659"/>
      <c r="R396" s="659"/>
      <c r="S396" s="659"/>
      <c r="T396" s="659"/>
      <c r="U396" s="659"/>
      <c r="V396" s="659"/>
      <c r="W396" s="659"/>
      <c r="X396" s="659"/>
      <c r="Y396" s="659"/>
      <c r="Z396" s="659"/>
      <c r="AA396" s="659"/>
      <c r="AB396" s="659"/>
      <c r="AC396" s="659"/>
      <c r="AD396" s="659"/>
      <c r="AE396" s="659"/>
      <c r="AF396" s="659"/>
      <c r="AG396" s="659"/>
      <c r="AH396" s="659"/>
      <c r="AI396" s="659"/>
      <c r="AJ396" s="659"/>
      <c r="AK396" s="659"/>
      <c r="AL396" s="659"/>
      <c r="AM396" s="659"/>
      <c r="AN396" s="659"/>
      <c r="AO396" s="659"/>
      <c r="AP396" s="659"/>
      <c r="AQ396" s="746"/>
    </row>
    <row r="397">
      <c r="A397" s="654"/>
      <c r="B397" s="704" t="s">
        <v>774</v>
      </c>
      <c r="C397" s="687">
        <v>2.0</v>
      </c>
      <c r="D397" s="702">
        <v>3.0</v>
      </c>
      <c r="E397" s="703"/>
      <c r="F397" s="951"/>
      <c r="G397" s="951"/>
      <c r="H397" s="951"/>
      <c r="I397" s="951"/>
      <c r="J397" s="951"/>
      <c r="K397" s="951"/>
      <c r="L397" s="951"/>
      <c r="M397" s="951"/>
      <c r="N397" s="659"/>
      <c r="O397" s="951"/>
      <c r="P397" s="951"/>
      <c r="Q397" s="659"/>
      <c r="R397" s="659"/>
      <c r="S397" s="659"/>
      <c r="T397" s="659"/>
      <c r="U397" s="659"/>
      <c r="V397" s="659"/>
      <c r="W397" s="659"/>
      <c r="X397" s="659"/>
      <c r="Y397" s="659"/>
      <c r="Z397" s="659"/>
      <c r="AA397" s="659"/>
      <c r="AB397" s="659"/>
      <c r="AC397" s="659"/>
      <c r="AD397" s="659"/>
      <c r="AE397" s="659"/>
      <c r="AF397" s="659"/>
      <c r="AG397" s="659"/>
      <c r="AH397" s="659"/>
      <c r="AI397" s="659"/>
      <c r="AJ397" s="659"/>
      <c r="AK397" s="659"/>
      <c r="AL397" s="659"/>
      <c r="AM397" s="659"/>
      <c r="AN397" s="659"/>
      <c r="AO397" s="659"/>
      <c r="AP397" s="659"/>
      <c r="AQ397" s="746"/>
    </row>
    <row r="398">
      <c r="A398" s="654"/>
      <c r="B398" s="704" t="s">
        <v>775</v>
      </c>
      <c r="C398" s="687">
        <v>2.0</v>
      </c>
      <c r="D398" s="702">
        <v>3.0</v>
      </c>
      <c r="E398" s="703"/>
      <c r="F398" s="951"/>
      <c r="G398" s="951"/>
      <c r="H398" s="951"/>
      <c r="I398" s="951"/>
      <c r="J398" s="951"/>
      <c r="K398" s="951"/>
      <c r="L398" s="951"/>
      <c r="M398" s="951"/>
      <c r="N398" s="659"/>
      <c r="O398" s="951"/>
      <c r="P398" s="951"/>
      <c r="Q398" s="659"/>
      <c r="R398" s="659"/>
      <c r="S398" s="659"/>
      <c r="T398" s="659"/>
      <c r="U398" s="659"/>
      <c r="V398" s="659"/>
      <c r="W398" s="659"/>
      <c r="X398" s="659"/>
      <c r="Y398" s="659"/>
      <c r="Z398" s="659"/>
      <c r="AA398" s="659"/>
      <c r="AB398" s="659"/>
      <c r="AC398" s="659"/>
      <c r="AD398" s="659"/>
      <c r="AE398" s="659"/>
      <c r="AF398" s="659"/>
      <c r="AG398" s="659"/>
      <c r="AH398" s="659"/>
      <c r="AI398" s="659"/>
      <c r="AJ398" s="659"/>
      <c r="AK398" s="659"/>
      <c r="AL398" s="659"/>
      <c r="AM398" s="659"/>
      <c r="AN398" s="659"/>
      <c r="AO398" s="659"/>
      <c r="AP398" s="659"/>
      <c r="AQ398" s="746"/>
    </row>
    <row r="399">
      <c r="A399" s="654"/>
      <c r="B399" s="738" t="s">
        <v>776</v>
      </c>
      <c r="C399" s="720">
        <v>2.0</v>
      </c>
      <c r="D399" s="721">
        <v>3.0</v>
      </c>
      <c r="E399" s="703"/>
      <c r="F399" s="951"/>
      <c r="G399" s="951"/>
      <c r="H399" s="951"/>
      <c r="I399" s="951"/>
      <c r="J399" s="951"/>
      <c r="K399" s="951"/>
      <c r="L399" s="951"/>
      <c r="M399" s="951"/>
      <c r="N399" s="659"/>
      <c r="O399" s="951"/>
      <c r="P399" s="951"/>
      <c r="Q399" s="659"/>
      <c r="R399" s="659"/>
      <c r="S399" s="659"/>
      <c r="T399" s="659"/>
      <c r="U399" s="659"/>
      <c r="V399" s="659"/>
      <c r="W399" s="659"/>
      <c r="X399" s="659"/>
      <c r="Y399" s="659"/>
      <c r="Z399" s="659"/>
      <c r="AA399" s="659"/>
      <c r="AB399" s="659"/>
      <c r="AC399" s="659"/>
      <c r="AD399" s="659"/>
      <c r="AE399" s="659"/>
      <c r="AF399" s="659"/>
      <c r="AG399" s="659"/>
      <c r="AH399" s="659"/>
      <c r="AI399" s="659"/>
      <c r="AJ399" s="659"/>
      <c r="AK399" s="659"/>
      <c r="AL399" s="659"/>
      <c r="AM399" s="659"/>
      <c r="AN399" s="659"/>
      <c r="AO399" s="659"/>
      <c r="AP399" s="659"/>
      <c r="AQ399" s="746"/>
    </row>
    <row r="400">
      <c r="A400" s="654"/>
      <c r="B400" s="704" t="s">
        <v>777</v>
      </c>
      <c r="C400" s="687">
        <v>2.0</v>
      </c>
      <c r="D400" s="702">
        <v>3.0</v>
      </c>
      <c r="E400" s="703"/>
      <c r="F400" s="951"/>
      <c r="G400" s="951"/>
      <c r="H400" s="951"/>
      <c r="I400" s="951"/>
      <c r="J400" s="951"/>
      <c r="K400" s="951"/>
      <c r="L400" s="951"/>
      <c r="M400" s="951"/>
      <c r="N400" s="659"/>
      <c r="O400" s="951"/>
      <c r="P400" s="951"/>
      <c r="Q400" s="659"/>
      <c r="R400" s="659"/>
      <c r="S400" s="659"/>
      <c r="T400" s="659"/>
      <c r="U400" s="659"/>
      <c r="V400" s="659"/>
      <c r="W400" s="659"/>
      <c r="X400" s="659"/>
      <c r="Y400" s="659"/>
      <c r="Z400" s="659"/>
      <c r="AA400" s="659"/>
      <c r="AB400" s="659"/>
      <c r="AC400" s="659"/>
      <c r="AD400" s="659"/>
      <c r="AE400" s="659"/>
      <c r="AF400" s="659"/>
      <c r="AG400" s="659"/>
      <c r="AH400" s="659"/>
      <c r="AI400" s="659"/>
      <c r="AJ400" s="659"/>
      <c r="AK400" s="659"/>
      <c r="AL400" s="659"/>
      <c r="AM400" s="659"/>
      <c r="AN400" s="659"/>
      <c r="AO400" s="659"/>
      <c r="AP400" s="659"/>
      <c r="AQ400" s="746"/>
    </row>
    <row r="401">
      <c r="A401" s="654"/>
      <c r="B401" s="704" t="s">
        <v>778</v>
      </c>
      <c r="C401" s="687">
        <v>2.0</v>
      </c>
      <c r="D401" s="702">
        <v>3.0</v>
      </c>
      <c r="E401" s="703"/>
      <c r="F401" s="951"/>
      <c r="G401" s="951"/>
      <c r="H401" s="951"/>
      <c r="I401" s="951"/>
      <c r="J401" s="951"/>
      <c r="K401" s="951"/>
      <c r="L401" s="951"/>
      <c r="M401" s="951"/>
      <c r="N401" s="659"/>
      <c r="O401" s="951"/>
      <c r="P401" s="951"/>
      <c r="Q401" s="659"/>
      <c r="R401" s="659"/>
      <c r="S401" s="659"/>
      <c r="T401" s="659"/>
      <c r="U401" s="659"/>
      <c r="V401" s="659"/>
      <c r="W401" s="659"/>
      <c r="X401" s="659"/>
      <c r="Y401" s="659"/>
      <c r="Z401" s="659"/>
      <c r="AA401" s="659"/>
      <c r="AB401" s="659"/>
      <c r="AC401" s="659"/>
      <c r="AD401" s="659"/>
      <c r="AE401" s="659"/>
      <c r="AF401" s="659"/>
      <c r="AG401" s="659"/>
      <c r="AH401" s="659"/>
      <c r="AI401" s="659"/>
      <c r="AJ401" s="659"/>
      <c r="AK401" s="659"/>
      <c r="AL401" s="659"/>
      <c r="AM401" s="659"/>
      <c r="AN401" s="659"/>
      <c r="AO401" s="659"/>
      <c r="AP401" s="659"/>
      <c r="AQ401" s="746"/>
    </row>
    <row r="402">
      <c r="A402" s="654"/>
      <c r="B402" s="704" t="s">
        <v>779</v>
      </c>
      <c r="C402" s="687">
        <v>2.0</v>
      </c>
      <c r="D402" s="702">
        <v>3.0</v>
      </c>
      <c r="E402" s="703"/>
      <c r="F402" s="951"/>
      <c r="G402" s="951"/>
      <c r="H402" s="951"/>
      <c r="I402" s="951"/>
      <c r="J402" s="951"/>
      <c r="K402" s="951"/>
      <c r="L402" s="951"/>
      <c r="M402" s="951"/>
      <c r="N402" s="659"/>
      <c r="O402" s="951"/>
      <c r="P402" s="951"/>
      <c r="Q402" s="659"/>
      <c r="R402" s="659"/>
      <c r="S402" s="659"/>
      <c r="T402" s="659"/>
      <c r="U402" s="659"/>
      <c r="V402" s="659"/>
      <c r="W402" s="659"/>
      <c r="X402" s="659"/>
      <c r="Y402" s="659"/>
      <c r="Z402" s="659"/>
      <c r="AA402" s="659"/>
      <c r="AB402" s="659"/>
      <c r="AC402" s="659"/>
      <c r="AD402" s="659"/>
      <c r="AE402" s="659"/>
      <c r="AF402" s="659"/>
      <c r="AG402" s="659"/>
      <c r="AH402" s="659"/>
      <c r="AI402" s="659"/>
      <c r="AJ402" s="659"/>
      <c r="AK402" s="659"/>
      <c r="AL402" s="659"/>
      <c r="AM402" s="659"/>
      <c r="AN402" s="659"/>
      <c r="AO402" s="659"/>
      <c r="AP402" s="659"/>
      <c r="AQ402" s="746"/>
    </row>
    <row r="403">
      <c r="A403" s="654"/>
      <c r="B403" s="704" t="s">
        <v>780</v>
      </c>
      <c r="C403" s="687">
        <v>2.0</v>
      </c>
      <c r="D403" s="702">
        <v>3.0</v>
      </c>
      <c r="E403" s="703"/>
      <c r="F403" s="951"/>
      <c r="G403" s="951"/>
      <c r="H403" s="951"/>
      <c r="I403" s="951"/>
      <c r="J403" s="951"/>
      <c r="K403" s="951"/>
      <c r="L403" s="951"/>
      <c r="M403" s="951"/>
      <c r="N403" s="659"/>
      <c r="O403" s="951"/>
      <c r="P403" s="951"/>
      <c r="Q403" s="659"/>
      <c r="R403" s="659"/>
      <c r="S403" s="659"/>
      <c r="T403" s="659"/>
      <c r="U403" s="659"/>
      <c r="V403" s="659"/>
      <c r="W403" s="659"/>
      <c r="X403" s="659"/>
      <c r="Y403" s="659"/>
      <c r="Z403" s="659"/>
      <c r="AA403" s="659"/>
      <c r="AB403" s="659"/>
      <c r="AC403" s="659"/>
      <c r="AD403" s="659"/>
      <c r="AE403" s="659"/>
      <c r="AF403" s="659"/>
      <c r="AG403" s="659"/>
      <c r="AH403" s="659"/>
      <c r="AI403" s="659"/>
      <c r="AJ403" s="659"/>
      <c r="AK403" s="659"/>
      <c r="AL403" s="659"/>
      <c r="AM403" s="659"/>
      <c r="AN403" s="659"/>
      <c r="AO403" s="659"/>
      <c r="AP403" s="659"/>
      <c r="AQ403" s="746"/>
    </row>
    <row r="404">
      <c r="A404" s="654"/>
      <c r="B404" s="704" t="s">
        <v>781</v>
      </c>
      <c r="C404" s="687">
        <v>2.0</v>
      </c>
      <c r="D404" s="702">
        <v>3.0</v>
      </c>
      <c r="E404" s="703"/>
      <c r="F404" s="951"/>
      <c r="G404" s="951"/>
      <c r="H404" s="951"/>
      <c r="I404" s="951"/>
      <c r="J404" s="951"/>
      <c r="K404" s="951"/>
      <c r="L404" s="951"/>
      <c r="M404" s="951"/>
      <c r="N404" s="659"/>
      <c r="O404" s="951"/>
      <c r="P404" s="951"/>
      <c r="Q404" s="659"/>
      <c r="R404" s="659"/>
      <c r="S404" s="659"/>
      <c r="T404" s="659"/>
      <c r="U404" s="659"/>
      <c r="V404" s="659"/>
      <c r="W404" s="659"/>
      <c r="X404" s="659"/>
      <c r="Y404" s="659"/>
      <c r="Z404" s="659"/>
      <c r="AA404" s="659"/>
      <c r="AB404" s="659"/>
      <c r="AC404" s="659"/>
      <c r="AD404" s="659"/>
      <c r="AE404" s="659"/>
      <c r="AF404" s="659"/>
      <c r="AG404" s="659"/>
      <c r="AH404" s="659"/>
      <c r="AI404" s="659"/>
      <c r="AJ404" s="659"/>
      <c r="AK404" s="659"/>
      <c r="AL404" s="659"/>
      <c r="AM404" s="659"/>
      <c r="AN404" s="659"/>
      <c r="AO404" s="659"/>
      <c r="AP404" s="659"/>
      <c r="AQ404" s="746"/>
    </row>
    <row r="405">
      <c r="A405" s="654"/>
      <c r="B405" s="704" t="s">
        <v>782</v>
      </c>
      <c r="C405" s="687">
        <v>2.0</v>
      </c>
      <c r="D405" s="702">
        <v>3.0</v>
      </c>
      <c r="E405" s="703"/>
      <c r="F405" s="951"/>
      <c r="G405" s="951"/>
      <c r="H405" s="951"/>
      <c r="I405" s="951"/>
      <c r="J405" s="951"/>
      <c r="K405" s="951"/>
      <c r="L405" s="951"/>
      <c r="M405" s="951"/>
      <c r="N405" s="659"/>
      <c r="O405" s="951"/>
      <c r="P405" s="951"/>
      <c r="Q405" s="659"/>
      <c r="R405" s="659"/>
      <c r="S405" s="659"/>
      <c r="T405" s="659"/>
      <c r="U405" s="659"/>
      <c r="V405" s="659"/>
      <c r="W405" s="659"/>
      <c r="X405" s="659"/>
      <c r="Y405" s="659"/>
      <c r="Z405" s="659"/>
      <c r="AA405" s="659"/>
      <c r="AB405" s="659"/>
      <c r="AC405" s="659"/>
      <c r="AD405" s="659"/>
      <c r="AE405" s="659"/>
      <c r="AF405" s="659"/>
      <c r="AG405" s="659"/>
      <c r="AH405" s="659"/>
      <c r="AI405" s="659"/>
      <c r="AJ405" s="659"/>
      <c r="AK405" s="659"/>
      <c r="AL405" s="659"/>
      <c r="AM405" s="659"/>
      <c r="AN405" s="659"/>
      <c r="AO405" s="659"/>
      <c r="AP405" s="659"/>
      <c r="AQ405" s="746"/>
    </row>
    <row r="406">
      <c r="A406" s="654"/>
      <c r="B406" s="704" t="s">
        <v>783</v>
      </c>
      <c r="C406" s="687">
        <v>2.0</v>
      </c>
      <c r="D406" s="702">
        <v>3.0</v>
      </c>
      <c r="E406" s="703"/>
      <c r="F406" s="951"/>
      <c r="G406" s="951"/>
      <c r="H406" s="951"/>
      <c r="I406" s="951"/>
      <c r="J406" s="951"/>
      <c r="K406" s="951"/>
      <c r="L406" s="951"/>
      <c r="M406" s="951"/>
      <c r="N406" s="659"/>
      <c r="O406" s="951"/>
      <c r="P406" s="951"/>
      <c r="Q406" s="659"/>
      <c r="R406" s="659"/>
      <c r="S406" s="659"/>
      <c r="T406" s="659"/>
      <c r="U406" s="659"/>
      <c r="V406" s="659"/>
      <c r="W406" s="659"/>
      <c r="X406" s="659"/>
      <c r="Y406" s="659"/>
      <c r="Z406" s="659"/>
      <c r="AA406" s="659"/>
      <c r="AB406" s="659"/>
      <c r="AC406" s="659"/>
      <c r="AD406" s="659"/>
      <c r="AE406" s="659"/>
      <c r="AF406" s="659"/>
      <c r="AG406" s="659"/>
      <c r="AH406" s="659"/>
      <c r="AI406" s="659"/>
      <c r="AJ406" s="659"/>
      <c r="AK406" s="659"/>
      <c r="AL406" s="659"/>
      <c r="AM406" s="659"/>
      <c r="AN406" s="659"/>
      <c r="AO406" s="659"/>
      <c r="AP406" s="659"/>
      <c r="AQ406" s="746"/>
    </row>
    <row r="407">
      <c r="A407" s="654"/>
      <c r="B407" s="738" t="s">
        <v>784</v>
      </c>
      <c r="C407" s="720">
        <v>2.0</v>
      </c>
      <c r="D407" s="721">
        <v>3.0</v>
      </c>
      <c r="E407" s="703"/>
      <c r="F407" s="951"/>
      <c r="G407" s="951"/>
      <c r="H407" s="951"/>
      <c r="I407" s="951"/>
      <c r="J407" s="951"/>
      <c r="K407" s="951"/>
      <c r="L407" s="951"/>
      <c r="M407" s="951"/>
      <c r="N407" s="659"/>
      <c r="O407" s="951"/>
      <c r="P407" s="951"/>
      <c r="Q407" s="659"/>
      <c r="R407" s="659"/>
      <c r="S407" s="659"/>
      <c r="T407" s="659"/>
      <c r="U407" s="659"/>
      <c r="V407" s="659"/>
      <c r="W407" s="659"/>
      <c r="X407" s="659"/>
      <c r="Y407" s="659"/>
      <c r="Z407" s="659"/>
      <c r="AA407" s="659"/>
      <c r="AB407" s="659"/>
      <c r="AC407" s="659"/>
      <c r="AD407" s="659"/>
      <c r="AE407" s="659"/>
      <c r="AF407" s="659"/>
      <c r="AG407" s="659"/>
      <c r="AH407" s="659"/>
      <c r="AI407" s="659"/>
      <c r="AJ407" s="659"/>
      <c r="AK407" s="659"/>
      <c r="AL407" s="659"/>
      <c r="AM407" s="659"/>
      <c r="AN407" s="659"/>
      <c r="AO407" s="659"/>
      <c r="AP407" s="659"/>
      <c r="AQ407" s="746"/>
    </row>
    <row r="408">
      <c r="A408" s="654"/>
      <c r="B408" s="738" t="s">
        <v>785</v>
      </c>
      <c r="C408" s="720">
        <v>2.0</v>
      </c>
      <c r="D408" s="721">
        <v>3.0</v>
      </c>
      <c r="E408" s="703"/>
      <c r="F408" s="951"/>
      <c r="G408" s="951"/>
      <c r="H408" s="951"/>
      <c r="I408" s="951"/>
      <c r="J408" s="951"/>
      <c r="K408" s="951"/>
      <c r="L408" s="951"/>
      <c r="M408" s="951"/>
      <c r="N408" s="659"/>
      <c r="O408" s="951"/>
      <c r="P408" s="951"/>
      <c r="Q408" s="659"/>
      <c r="R408" s="659"/>
      <c r="S408" s="659"/>
      <c r="T408" s="659"/>
      <c r="U408" s="659"/>
      <c r="V408" s="659"/>
      <c r="W408" s="659"/>
      <c r="X408" s="659"/>
      <c r="Y408" s="659"/>
      <c r="Z408" s="659"/>
      <c r="AA408" s="659"/>
      <c r="AB408" s="659"/>
      <c r="AC408" s="659"/>
      <c r="AD408" s="659"/>
      <c r="AE408" s="659"/>
      <c r="AF408" s="659"/>
      <c r="AG408" s="659"/>
      <c r="AH408" s="659"/>
      <c r="AI408" s="659"/>
      <c r="AJ408" s="659"/>
      <c r="AK408" s="659"/>
      <c r="AL408" s="659"/>
      <c r="AM408" s="659"/>
      <c r="AN408" s="659"/>
      <c r="AO408" s="659"/>
      <c r="AP408" s="659"/>
      <c r="AQ408" s="746"/>
    </row>
    <row r="409">
      <c r="A409" s="654"/>
      <c r="B409" s="738" t="s">
        <v>786</v>
      </c>
      <c r="C409" s="720">
        <v>2.0</v>
      </c>
      <c r="D409" s="721">
        <v>3.0</v>
      </c>
      <c r="E409" s="703"/>
      <c r="F409" s="951"/>
      <c r="G409" s="951"/>
      <c r="H409" s="951"/>
      <c r="I409" s="951"/>
      <c r="J409" s="951"/>
      <c r="K409" s="951"/>
      <c r="L409" s="951"/>
      <c r="M409" s="951"/>
      <c r="N409" s="659"/>
      <c r="O409" s="951"/>
      <c r="P409" s="951"/>
      <c r="Q409" s="659"/>
      <c r="R409" s="659"/>
      <c r="S409" s="659"/>
      <c r="T409" s="659"/>
      <c r="U409" s="659"/>
      <c r="V409" s="659"/>
      <c r="W409" s="659"/>
      <c r="X409" s="659"/>
      <c r="Y409" s="659"/>
      <c r="Z409" s="659"/>
      <c r="AA409" s="659"/>
      <c r="AB409" s="659"/>
      <c r="AC409" s="659"/>
      <c r="AD409" s="659"/>
      <c r="AE409" s="659"/>
      <c r="AF409" s="659"/>
      <c r="AG409" s="659"/>
      <c r="AH409" s="659"/>
      <c r="AI409" s="659"/>
      <c r="AJ409" s="659"/>
      <c r="AK409" s="659"/>
      <c r="AL409" s="659"/>
      <c r="AM409" s="659"/>
      <c r="AN409" s="659"/>
      <c r="AO409" s="659"/>
      <c r="AP409" s="659"/>
      <c r="AQ409" s="746"/>
    </row>
    <row r="410">
      <c r="A410" s="654"/>
      <c r="B410" s="704" t="s">
        <v>787</v>
      </c>
      <c r="C410" s="687">
        <v>2.0</v>
      </c>
      <c r="D410" s="702">
        <v>3.0</v>
      </c>
      <c r="E410" s="703"/>
      <c r="F410" s="951"/>
      <c r="G410" s="951"/>
      <c r="H410" s="951"/>
      <c r="I410" s="951"/>
      <c r="J410" s="951"/>
      <c r="K410" s="951"/>
      <c r="L410" s="951"/>
      <c r="M410" s="951"/>
      <c r="N410" s="659"/>
      <c r="O410" s="951"/>
      <c r="P410" s="951"/>
      <c r="Q410" s="659"/>
      <c r="R410" s="659"/>
      <c r="S410" s="659"/>
      <c r="T410" s="659"/>
      <c r="U410" s="659"/>
      <c r="V410" s="659"/>
      <c r="W410" s="659"/>
      <c r="X410" s="659"/>
      <c r="Y410" s="659"/>
      <c r="Z410" s="659"/>
      <c r="AA410" s="659"/>
      <c r="AB410" s="659"/>
      <c r="AC410" s="659"/>
      <c r="AD410" s="659"/>
      <c r="AE410" s="659"/>
      <c r="AF410" s="659"/>
      <c r="AG410" s="659"/>
      <c r="AH410" s="659"/>
      <c r="AI410" s="659"/>
      <c r="AJ410" s="659"/>
      <c r="AK410" s="659"/>
      <c r="AL410" s="659"/>
      <c r="AM410" s="659"/>
      <c r="AN410" s="659"/>
      <c r="AO410" s="659"/>
      <c r="AP410" s="659"/>
      <c r="AQ410" s="746"/>
    </row>
    <row r="411">
      <c r="A411" s="654"/>
      <c r="B411" s="704" t="s">
        <v>788</v>
      </c>
      <c r="C411" s="687">
        <v>2.0</v>
      </c>
      <c r="D411" s="702">
        <v>3.0</v>
      </c>
      <c r="E411" s="703"/>
      <c r="F411" s="951"/>
      <c r="G411" s="951"/>
      <c r="H411" s="951"/>
      <c r="I411" s="951"/>
      <c r="J411" s="951"/>
      <c r="K411" s="951"/>
      <c r="L411" s="951"/>
      <c r="M411" s="951"/>
      <c r="N411" s="659"/>
      <c r="O411" s="951"/>
      <c r="P411" s="951"/>
      <c r="Q411" s="659"/>
      <c r="R411" s="659"/>
      <c r="S411" s="659"/>
      <c r="T411" s="659"/>
      <c r="U411" s="659"/>
      <c r="V411" s="659"/>
      <c r="W411" s="659"/>
      <c r="X411" s="659"/>
      <c r="Y411" s="659"/>
      <c r="Z411" s="659"/>
      <c r="AA411" s="659"/>
      <c r="AB411" s="659"/>
      <c r="AC411" s="659"/>
      <c r="AD411" s="659"/>
      <c r="AE411" s="659"/>
      <c r="AF411" s="659"/>
      <c r="AG411" s="659"/>
      <c r="AH411" s="659"/>
      <c r="AI411" s="659"/>
      <c r="AJ411" s="659"/>
      <c r="AK411" s="659"/>
      <c r="AL411" s="659"/>
      <c r="AM411" s="659"/>
      <c r="AN411" s="659"/>
      <c r="AO411" s="659"/>
      <c r="AP411" s="659"/>
      <c r="AQ411" s="746"/>
    </row>
    <row r="412">
      <c r="A412" s="654"/>
      <c r="B412" s="704" t="s">
        <v>789</v>
      </c>
      <c r="C412" s="687">
        <v>2.0</v>
      </c>
      <c r="D412" s="702">
        <v>3.0</v>
      </c>
      <c r="E412" s="703"/>
      <c r="F412" s="951"/>
      <c r="G412" s="951"/>
      <c r="H412" s="951"/>
      <c r="I412" s="951"/>
      <c r="J412" s="951"/>
      <c r="K412" s="951"/>
      <c r="L412" s="951"/>
      <c r="M412" s="951"/>
      <c r="N412" s="659"/>
      <c r="O412" s="951"/>
      <c r="P412" s="951"/>
      <c r="Q412" s="659"/>
      <c r="R412" s="659"/>
      <c r="S412" s="659"/>
      <c r="T412" s="659"/>
      <c r="U412" s="659"/>
      <c r="V412" s="659"/>
      <c r="W412" s="659"/>
      <c r="X412" s="659"/>
      <c r="Y412" s="659"/>
      <c r="Z412" s="659"/>
      <c r="AA412" s="659"/>
      <c r="AB412" s="659"/>
      <c r="AC412" s="659"/>
      <c r="AD412" s="659"/>
      <c r="AE412" s="659"/>
      <c r="AF412" s="659"/>
      <c r="AG412" s="659"/>
      <c r="AH412" s="659"/>
      <c r="AI412" s="659"/>
      <c r="AJ412" s="659"/>
      <c r="AK412" s="659"/>
      <c r="AL412" s="659"/>
      <c r="AM412" s="659"/>
      <c r="AN412" s="659"/>
      <c r="AO412" s="659"/>
      <c r="AP412" s="659"/>
      <c r="AQ412" s="746"/>
    </row>
    <row r="413">
      <c r="A413" s="654"/>
      <c r="B413" s="704" t="s">
        <v>790</v>
      </c>
      <c r="C413" s="687">
        <v>3.0</v>
      </c>
      <c r="D413" s="702">
        <v>4.0</v>
      </c>
      <c r="E413" s="703"/>
      <c r="F413" s="951"/>
      <c r="G413" s="951"/>
      <c r="H413" s="951"/>
      <c r="I413" s="951"/>
      <c r="J413" s="951"/>
      <c r="K413" s="951"/>
      <c r="L413" s="951"/>
      <c r="M413" s="951"/>
      <c r="N413" s="659"/>
      <c r="O413" s="951"/>
      <c r="P413" s="951"/>
      <c r="Q413" s="659"/>
      <c r="R413" s="659"/>
      <c r="S413" s="659"/>
      <c r="T413" s="659"/>
      <c r="U413" s="659"/>
      <c r="V413" s="659"/>
      <c r="W413" s="659"/>
      <c r="X413" s="659"/>
      <c r="Y413" s="659"/>
      <c r="Z413" s="659"/>
      <c r="AA413" s="659"/>
      <c r="AB413" s="659"/>
      <c r="AC413" s="659"/>
      <c r="AD413" s="659"/>
      <c r="AE413" s="659"/>
      <c r="AF413" s="659"/>
      <c r="AG413" s="659"/>
      <c r="AH413" s="659"/>
      <c r="AI413" s="659"/>
      <c r="AJ413" s="659"/>
      <c r="AK413" s="659"/>
      <c r="AL413" s="659"/>
      <c r="AM413" s="659"/>
      <c r="AN413" s="659"/>
      <c r="AO413" s="659"/>
      <c r="AP413" s="659"/>
      <c r="AQ413" s="746"/>
    </row>
    <row r="414">
      <c r="A414" s="654"/>
      <c r="B414" s="704" t="s">
        <v>791</v>
      </c>
      <c r="C414" s="687">
        <v>2.0</v>
      </c>
      <c r="D414" s="702">
        <v>3.0</v>
      </c>
      <c r="E414" s="703"/>
      <c r="F414" s="951"/>
      <c r="G414" s="951"/>
      <c r="H414" s="951"/>
      <c r="I414" s="951"/>
      <c r="J414" s="951"/>
      <c r="K414" s="951"/>
      <c r="L414" s="951"/>
      <c r="M414" s="951"/>
      <c r="N414" s="659"/>
      <c r="O414" s="951"/>
      <c r="P414" s="951"/>
      <c r="Q414" s="659"/>
      <c r="R414" s="659"/>
      <c r="S414" s="659"/>
      <c r="T414" s="659"/>
      <c r="U414" s="659"/>
      <c r="V414" s="659"/>
      <c r="W414" s="659"/>
      <c r="X414" s="659"/>
      <c r="Y414" s="659"/>
      <c r="Z414" s="659"/>
      <c r="AA414" s="659"/>
      <c r="AB414" s="659"/>
      <c r="AC414" s="659"/>
      <c r="AD414" s="659"/>
      <c r="AE414" s="659"/>
      <c r="AF414" s="659"/>
      <c r="AG414" s="659"/>
      <c r="AH414" s="659"/>
      <c r="AI414" s="659"/>
      <c r="AJ414" s="659"/>
      <c r="AK414" s="659"/>
      <c r="AL414" s="659"/>
      <c r="AM414" s="659"/>
      <c r="AN414" s="659"/>
      <c r="AO414" s="659"/>
      <c r="AP414" s="659"/>
      <c r="AQ414" s="746"/>
    </row>
    <row r="415">
      <c r="A415" s="654"/>
      <c r="B415" s="704" t="s">
        <v>792</v>
      </c>
      <c r="C415" s="687">
        <v>2.0</v>
      </c>
      <c r="D415" s="702">
        <v>3.0</v>
      </c>
      <c r="E415" s="703"/>
      <c r="F415" s="951"/>
      <c r="G415" s="951"/>
      <c r="H415" s="951"/>
      <c r="I415" s="951"/>
      <c r="J415" s="951"/>
      <c r="K415" s="951"/>
      <c r="L415" s="951"/>
      <c r="M415" s="951"/>
      <c r="N415" s="659"/>
      <c r="O415" s="951"/>
      <c r="P415" s="951"/>
      <c r="Q415" s="659"/>
      <c r="R415" s="659"/>
      <c r="S415" s="659"/>
      <c r="T415" s="659"/>
      <c r="U415" s="659"/>
      <c r="V415" s="659"/>
      <c r="W415" s="659"/>
      <c r="X415" s="659"/>
      <c r="Y415" s="659"/>
      <c r="Z415" s="659"/>
      <c r="AA415" s="659"/>
      <c r="AB415" s="659"/>
      <c r="AC415" s="659"/>
      <c r="AD415" s="659"/>
      <c r="AE415" s="659"/>
      <c r="AF415" s="659"/>
      <c r="AG415" s="659"/>
      <c r="AH415" s="659"/>
      <c r="AI415" s="659"/>
      <c r="AJ415" s="659"/>
      <c r="AK415" s="659"/>
      <c r="AL415" s="659"/>
      <c r="AM415" s="659"/>
      <c r="AN415" s="659"/>
      <c r="AO415" s="659"/>
      <c r="AP415" s="659"/>
      <c r="AQ415" s="746"/>
    </row>
    <row r="416">
      <c r="A416" s="654"/>
      <c r="B416" s="704" t="s">
        <v>793</v>
      </c>
      <c r="C416" s="687">
        <v>2.0</v>
      </c>
      <c r="D416" s="702">
        <v>3.0</v>
      </c>
      <c r="E416" s="703"/>
      <c r="F416" s="951"/>
      <c r="G416" s="951"/>
      <c r="H416" s="951"/>
      <c r="I416" s="951"/>
      <c r="J416" s="951"/>
      <c r="K416" s="951"/>
      <c r="L416" s="951"/>
      <c r="M416" s="951"/>
      <c r="N416" s="659"/>
      <c r="O416" s="951"/>
      <c r="P416" s="951"/>
      <c r="Q416" s="659"/>
      <c r="R416" s="659"/>
      <c r="S416" s="659"/>
      <c r="T416" s="659"/>
      <c r="U416" s="659"/>
      <c r="V416" s="659"/>
      <c r="W416" s="659"/>
      <c r="X416" s="659"/>
      <c r="Y416" s="659"/>
      <c r="Z416" s="659"/>
      <c r="AA416" s="659"/>
      <c r="AB416" s="659"/>
      <c r="AC416" s="659"/>
      <c r="AD416" s="659"/>
      <c r="AE416" s="659"/>
      <c r="AF416" s="659"/>
      <c r="AG416" s="659"/>
      <c r="AH416" s="659"/>
      <c r="AI416" s="659"/>
      <c r="AJ416" s="659"/>
      <c r="AK416" s="659"/>
      <c r="AL416" s="659"/>
      <c r="AM416" s="659"/>
      <c r="AN416" s="659"/>
      <c r="AO416" s="659"/>
      <c r="AP416" s="659"/>
      <c r="AQ416" s="746"/>
    </row>
    <row r="417">
      <c r="A417" s="654"/>
      <c r="B417" s="738" t="s">
        <v>794</v>
      </c>
      <c r="C417" s="720">
        <v>2.0</v>
      </c>
      <c r="D417" s="721">
        <v>3.0</v>
      </c>
      <c r="E417" s="703"/>
      <c r="F417" s="951"/>
      <c r="G417" s="951"/>
      <c r="H417" s="951"/>
      <c r="I417" s="951"/>
      <c r="J417" s="951"/>
      <c r="K417" s="951"/>
      <c r="L417" s="951"/>
      <c r="M417" s="951"/>
      <c r="N417" s="659"/>
      <c r="O417" s="951"/>
      <c r="P417" s="951"/>
      <c r="Q417" s="659"/>
      <c r="R417" s="659"/>
      <c r="S417" s="659"/>
      <c r="T417" s="659"/>
      <c r="U417" s="659"/>
      <c r="V417" s="659"/>
      <c r="W417" s="659"/>
      <c r="X417" s="659"/>
      <c r="Y417" s="659"/>
      <c r="Z417" s="659"/>
      <c r="AA417" s="659"/>
      <c r="AB417" s="659"/>
      <c r="AC417" s="659"/>
      <c r="AD417" s="659"/>
      <c r="AE417" s="659"/>
      <c r="AF417" s="659"/>
      <c r="AG417" s="659"/>
      <c r="AH417" s="659"/>
      <c r="AI417" s="659"/>
      <c r="AJ417" s="659"/>
      <c r="AK417" s="659"/>
      <c r="AL417" s="659"/>
      <c r="AM417" s="659"/>
      <c r="AN417" s="659"/>
      <c r="AO417" s="659"/>
      <c r="AP417" s="659"/>
      <c r="AQ417" s="746"/>
    </row>
    <row r="418">
      <c r="A418" s="654"/>
      <c r="B418" s="738" t="s">
        <v>795</v>
      </c>
      <c r="C418" s="720">
        <v>2.0</v>
      </c>
      <c r="D418" s="721">
        <v>3.0</v>
      </c>
      <c r="E418" s="703"/>
      <c r="F418" s="951"/>
      <c r="G418" s="951"/>
      <c r="H418" s="951"/>
      <c r="I418" s="951"/>
      <c r="J418" s="951"/>
      <c r="K418" s="951"/>
      <c r="L418" s="951"/>
      <c r="M418" s="951"/>
      <c r="N418" s="659"/>
      <c r="O418" s="951"/>
      <c r="P418" s="951"/>
      <c r="Q418" s="659"/>
      <c r="R418" s="659"/>
      <c r="S418" s="659"/>
      <c r="T418" s="659"/>
      <c r="U418" s="659"/>
      <c r="V418" s="659"/>
      <c r="W418" s="659"/>
      <c r="X418" s="659"/>
      <c r="Y418" s="659"/>
      <c r="Z418" s="659"/>
      <c r="AA418" s="659"/>
      <c r="AB418" s="659"/>
      <c r="AC418" s="659"/>
      <c r="AD418" s="659"/>
      <c r="AE418" s="659"/>
      <c r="AF418" s="659"/>
      <c r="AG418" s="659"/>
      <c r="AH418" s="659"/>
      <c r="AI418" s="659"/>
      <c r="AJ418" s="659"/>
      <c r="AK418" s="659"/>
      <c r="AL418" s="659"/>
      <c r="AM418" s="659"/>
      <c r="AN418" s="659"/>
      <c r="AO418" s="659"/>
      <c r="AP418" s="659"/>
      <c r="AQ418" s="746"/>
    </row>
    <row r="419">
      <c r="A419" s="654"/>
      <c r="B419" s="738" t="s">
        <v>796</v>
      </c>
      <c r="C419" s="720">
        <v>2.0</v>
      </c>
      <c r="D419" s="721">
        <v>3.0</v>
      </c>
      <c r="E419" s="703"/>
      <c r="F419" s="951"/>
      <c r="G419" s="951"/>
      <c r="H419" s="951"/>
      <c r="I419" s="951"/>
      <c r="J419" s="951"/>
      <c r="K419" s="951"/>
      <c r="L419" s="951"/>
      <c r="M419" s="951"/>
      <c r="N419" s="659"/>
      <c r="O419" s="951"/>
      <c r="P419" s="951"/>
      <c r="Q419" s="659"/>
      <c r="R419" s="659"/>
      <c r="S419" s="659"/>
      <c r="T419" s="659"/>
      <c r="U419" s="659"/>
      <c r="V419" s="659"/>
      <c r="W419" s="659"/>
      <c r="X419" s="659"/>
      <c r="Y419" s="659"/>
      <c r="Z419" s="659"/>
      <c r="AA419" s="659"/>
      <c r="AB419" s="659"/>
      <c r="AC419" s="659"/>
      <c r="AD419" s="659"/>
      <c r="AE419" s="659"/>
      <c r="AF419" s="659"/>
      <c r="AG419" s="659"/>
      <c r="AH419" s="659"/>
      <c r="AI419" s="659"/>
      <c r="AJ419" s="659"/>
      <c r="AK419" s="659"/>
      <c r="AL419" s="659"/>
      <c r="AM419" s="659"/>
      <c r="AN419" s="659"/>
      <c r="AO419" s="659"/>
      <c r="AP419" s="659"/>
      <c r="AQ419" s="746"/>
    </row>
    <row r="420">
      <c r="A420" s="654"/>
      <c r="B420" s="738" t="s">
        <v>797</v>
      </c>
      <c r="C420" s="720">
        <v>2.0</v>
      </c>
      <c r="D420" s="721">
        <v>3.0</v>
      </c>
      <c r="E420" s="703"/>
      <c r="F420" s="951"/>
      <c r="G420" s="951"/>
      <c r="H420" s="951"/>
      <c r="I420" s="951"/>
      <c r="J420" s="951"/>
      <c r="K420" s="951"/>
      <c r="L420" s="951"/>
      <c r="M420" s="951"/>
      <c r="N420" s="659"/>
      <c r="O420" s="951"/>
      <c r="P420" s="951"/>
      <c r="Q420" s="659"/>
      <c r="R420" s="659"/>
      <c r="S420" s="659"/>
      <c r="T420" s="659"/>
      <c r="U420" s="659"/>
      <c r="V420" s="659"/>
      <c r="W420" s="659"/>
      <c r="X420" s="659"/>
      <c r="Y420" s="659"/>
      <c r="Z420" s="659"/>
      <c r="AA420" s="659"/>
      <c r="AB420" s="659"/>
      <c r="AC420" s="659"/>
      <c r="AD420" s="659"/>
      <c r="AE420" s="659"/>
      <c r="AF420" s="659"/>
      <c r="AG420" s="659"/>
      <c r="AH420" s="659"/>
      <c r="AI420" s="659"/>
      <c r="AJ420" s="659"/>
      <c r="AK420" s="659"/>
      <c r="AL420" s="659"/>
      <c r="AM420" s="659"/>
      <c r="AN420" s="659"/>
      <c r="AO420" s="659"/>
      <c r="AP420" s="659"/>
      <c r="AQ420" s="746"/>
    </row>
    <row r="421">
      <c r="A421" s="654"/>
      <c r="B421" s="738" t="s">
        <v>798</v>
      </c>
      <c r="C421" s="720">
        <v>2.0</v>
      </c>
      <c r="D421" s="721">
        <v>3.0</v>
      </c>
      <c r="E421" s="703"/>
      <c r="F421" s="951"/>
      <c r="G421" s="951"/>
      <c r="H421" s="951"/>
      <c r="I421" s="951"/>
      <c r="J421" s="951"/>
      <c r="K421" s="951"/>
      <c r="L421" s="951"/>
      <c r="M421" s="951"/>
      <c r="N421" s="659"/>
      <c r="O421" s="951"/>
      <c r="P421" s="951"/>
      <c r="Q421" s="659"/>
      <c r="R421" s="659"/>
      <c r="S421" s="659"/>
      <c r="T421" s="659"/>
      <c r="U421" s="659"/>
      <c r="V421" s="659"/>
      <c r="W421" s="659"/>
      <c r="X421" s="659"/>
      <c r="Y421" s="659"/>
      <c r="Z421" s="659"/>
      <c r="AA421" s="659"/>
      <c r="AB421" s="659"/>
      <c r="AC421" s="659"/>
      <c r="AD421" s="659"/>
      <c r="AE421" s="659"/>
      <c r="AF421" s="659"/>
      <c r="AG421" s="659"/>
      <c r="AH421" s="659"/>
      <c r="AI421" s="659"/>
      <c r="AJ421" s="659"/>
      <c r="AK421" s="659"/>
      <c r="AL421" s="659"/>
      <c r="AM421" s="659"/>
      <c r="AN421" s="659"/>
      <c r="AO421" s="659"/>
      <c r="AP421" s="659"/>
      <c r="AQ421" s="746"/>
    </row>
    <row r="422">
      <c r="A422" s="654"/>
      <c r="B422" s="738" t="s">
        <v>799</v>
      </c>
      <c r="C422" s="720">
        <v>2.0</v>
      </c>
      <c r="D422" s="721">
        <v>3.0</v>
      </c>
      <c r="E422" s="703"/>
      <c r="F422" s="951"/>
      <c r="G422" s="951"/>
      <c r="H422" s="951"/>
      <c r="I422" s="951"/>
      <c r="J422" s="951"/>
      <c r="K422" s="951"/>
      <c r="L422" s="951"/>
      <c r="M422" s="951"/>
      <c r="N422" s="659"/>
      <c r="O422" s="951"/>
      <c r="P422" s="951"/>
      <c r="Q422" s="659"/>
      <c r="R422" s="659"/>
      <c r="S422" s="659"/>
      <c r="T422" s="659"/>
      <c r="U422" s="659"/>
      <c r="V422" s="659"/>
      <c r="W422" s="659"/>
      <c r="X422" s="659"/>
      <c r="Y422" s="659"/>
      <c r="Z422" s="659"/>
      <c r="AA422" s="659"/>
      <c r="AB422" s="659"/>
      <c r="AC422" s="659"/>
      <c r="AD422" s="659"/>
      <c r="AE422" s="659"/>
      <c r="AF422" s="659"/>
      <c r="AG422" s="659"/>
      <c r="AH422" s="659"/>
      <c r="AI422" s="659"/>
      <c r="AJ422" s="659"/>
      <c r="AK422" s="659"/>
      <c r="AL422" s="659"/>
      <c r="AM422" s="659"/>
      <c r="AN422" s="659"/>
      <c r="AO422" s="659"/>
      <c r="AP422" s="659"/>
      <c r="AQ422" s="746"/>
    </row>
    <row r="423">
      <c r="A423" s="654"/>
      <c r="B423" s="738" t="s">
        <v>800</v>
      </c>
      <c r="C423" s="720">
        <v>2.0</v>
      </c>
      <c r="D423" s="721">
        <v>3.0</v>
      </c>
      <c r="E423" s="703"/>
      <c r="F423" s="951"/>
      <c r="G423" s="951"/>
      <c r="H423" s="951"/>
      <c r="I423" s="951"/>
      <c r="J423" s="951"/>
      <c r="K423" s="951"/>
      <c r="L423" s="951"/>
      <c r="M423" s="951"/>
      <c r="N423" s="659"/>
      <c r="O423" s="951"/>
      <c r="P423" s="951"/>
      <c r="Q423" s="659"/>
      <c r="R423" s="659"/>
      <c r="S423" s="659"/>
      <c r="T423" s="659"/>
      <c r="U423" s="659"/>
      <c r="V423" s="659"/>
      <c r="W423" s="659"/>
      <c r="X423" s="659"/>
      <c r="Y423" s="659"/>
      <c r="Z423" s="659"/>
      <c r="AA423" s="659"/>
      <c r="AB423" s="659"/>
      <c r="AC423" s="659"/>
      <c r="AD423" s="659"/>
      <c r="AE423" s="659"/>
      <c r="AF423" s="659"/>
      <c r="AG423" s="659"/>
      <c r="AH423" s="659"/>
      <c r="AI423" s="659"/>
      <c r="AJ423" s="659"/>
      <c r="AK423" s="659"/>
      <c r="AL423" s="659"/>
      <c r="AM423" s="659"/>
      <c r="AN423" s="659"/>
      <c r="AO423" s="659"/>
      <c r="AP423" s="659"/>
      <c r="AQ423" s="746"/>
    </row>
    <row r="424">
      <c r="A424" s="654"/>
      <c r="B424" s="738" t="s">
        <v>801</v>
      </c>
      <c r="C424" s="720">
        <v>2.0</v>
      </c>
      <c r="D424" s="721">
        <v>3.0</v>
      </c>
      <c r="E424" s="703"/>
      <c r="F424" s="951"/>
      <c r="G424" s="951"/>
      <c r="H424" s="951"/>
      <c r="I424" s="951"/>
      <c r="J424" s="951"/>
      <c r="K424" s="951"/>
      <c r="L424" s="951"/>
      <c r="M424" s="951"/>
      <c r="N424" s="659"/>
      <c r="O424" s="951"/>
      <c r="P424" s="951"/>
      <c r="Q424" s="659"/>
      <c r="R424" s="659"/>
      <c r="S424" s="659"/>
      <c r="T424" s="659"/>
      <c r="U424" s="659"/>
      <c r="V424" s="659"/>
      <c r="W424" s="659"/>
      <c r="X424" s="659"/>
      <c r="Y424" s="659"/>
      <c r="Z424" s="659"/>
      <c r="AA424" s="659"/>
      <c r="AB424" s="659"/>
      <c r="AC424" s="659"/>
      <c r="AD424" s="659"/>
      <c r="AE424" s="659"/>
      <c r="AF424" s="659"/>
      <c r="AG424" s="659"/>
      <c r="AH424" s="659"/>
      <c r="AI424" s="659"/>
      <c r="AJ424" s="659"/>
      <c r="AK424" s="659"/>
      <c r="AL424" s="659"/>
      <c r="AM424" s="659"/>
      <c r="AN424" s="659"/>
      <c r="AO424" s="659"/>
      <c r="AP424" s="659"/>
      <c r="AQ424" s="746"/>
    </row>
    <row r="425">
      <c r="A425" s="654"/>
      <c r="B425" s="738" t="s">
        <v>802</v>
      </c>
      <c r="C425" s="720">
        <v>2.0</v>
      </c>
      <c r="D425" s="721">
        <v>3.0</v>
      </c>
      <c r="E425" s="703"/>
      <c r="F425" s="951"/>
      <c r="G425" s="951"/>
      <c r="H425" s="951"/>
      <c r="I425" s="951"/>
      <c r="J425" s="951"/>
      <c r="K425" s="951"/>
      <c r="L425" s="951"/>
      <c r="M425" s="951"/>
      <c r="N425" s="659"/>
      <c r="O425" s="951"/>
      <c r="P425" s="951"/>
      <c r="Q425" s="659"/>
      <c r="R425" s="659"/>
      <c r="S425" s="659"/>
      <c r="T425" s="659"/>
      <c r="U425" s="659"/>
      <c r="V425" s="659"/>
      <c r="W425" s="659"/>
      <c r="X425" s="659"/>
      <c r="Y425" s="659"/>
      <c r="Z425" s="659"/>
      <c r="AA425" s="659"/>
      <c r="AB425" s="659"/>
      <c r="AC425" s="659"/>
      <c r="AD425" s="659"/>
      <c r="AE425" s="659"/>
      <c r="AF425" s="659"/>
      <c r="AG425" s="659"/>
      <c r="AH425" s="659"/>
      <c r="AI425" s="659"/>
      <c r="AJ425" s="659"/>
      <c r="AK425" s="659"/>
      <c r="AL425" s="659"/>
      <c r="AM425" s="659"/>
      <c r="AN425" s="659"/>
      <c r="AO425" s="659"/>
      <c r="AP425" s="659"/>
      <c r="AQ425" s="746"/>
    </row>
    <row r="426">
      <c r="A426" s="654"/>
      <c r="B426" s="738" t="s">
        <v>803</v>
      </c>
      <c r="C426" s="720">
        <v>2.0</v>
      </c>
      <c r="D426" s="721">
        <v>3.0</v>
      </c>
      <c r="E426" s="703"/>
      <c r="F426" s="951"/>
      <c r="G426" s="951"/>
      <c r="H426" s="951"/>
      <c r="I426" s="951"/>
      <c r="J426" s="951"/>
      <c r="K426" s="951"/>
      <c r="L426" s="951"/>
      <c r="M426" s="951"/>
      <c r="N426" s="659"/>
      <c r="O426" s="951"/>
      <c r="P426" s="951"/>
      <c r="Q426" s="659"/>
      <c r="R426" s="659"/>
      <c r="S426" s="659"/>
      <c r="T426" s="659"/>
      <c r="U426" s="659"/>
      <c r="V426" s="659"/>
      <c r="W426" s="659"/>
      <c r="X426" s="659"/>
      <c r="Y426" s="659"/>
      <c r="Z426" s="659"/>
      <c r="AA426" s="659"/>
      <c r="AB426" s="659"/>
      <c r="AC426" s="659"/>
      <c r="AD426" s="659"/>
      <c r="AE426" s="659"/>
      <c r="AF426" s="659"/>
      <c r="AG426" s="659"/>
      <c r="AH426" s="659"/>
      <c r="AI426" s="659"/>
      <c r="AJ426" s="659"/>
      <c r="AK426" s="659"/>
      <c r="AL426" s="659"/>
      <c r="AM426" s="659"/>
      <c r="AN426" s="659"/>
      <c r="AO426" s="659"/>
      <c r="AP426" s="659"/>
      <c r="AQ426" s="746"/>
    </row>
    <row r="427">
      <c r="A427" s="654"/>
      <c r="B427" s="738" t="s">
        <v>804</v>
      </c>
      <c r="C427" s="720">
        <v>2.0</v>
      </c>
      <c r="D427" s="721">
        <v>3.0</v>
      </c>
      <c r="E427" s="703"/>
      <c r="F427" s="951"/>
      <c r="G427" s="951"/>
      <c r="H427" s="951"/>
      <c r="I427" s="951"/>
      <c r="J427" s="951"/>
      <c r="K427" s="951"/>
      <c r="L427" s="951"/>
      <c r="M427" s="951"/>
      <c r="N427" s="659"/>
      <c r="O427" s="951"/>
      <c r="P427" s="951"/>
      <c r="Q427" s="659"/>
      <c r="R427" s="659"/>
      <c r="S427" s="659"/>
      <c r="T427" s="659"/>
      <c r="U427" s="659"/>
      <c r="V427" s="659"/>
      <c r="W427" s="659"/>
      <c r="X427" s="659"/>
      <c r="Y427" s="659"/>
      <c r="Z427" s="659"/>
      <c r="AA427" s="659"/>
      <c r="AB427" s="659"/>
      <c r="AC427" s="659"/>
      <c r="AD427" s="659"/>
      <c r="AE427" s="659"/>
      <c r="AF427" s="659"/>
      <c r="AG427" s="659"/>
      <c r="AH427" s="659"/>
      <c r="AI427" s="659"/>
      <c r="AJ427" s="659"/>
      <c r="AK427" s="659"/>
      <c r="AL427" s="659"/>
      <c r="AM427" s="659"/>
      <c r="AN427" s="659"/>
      <c r="AO427" s="659"/>
      <c r="AP427" s="659"/>
      <c r="AQ427" s="746"/>
    </row>
    <row r="428">
      <c r="A428" s="654"/>
      <c r="B428" s="991" t="s">
        <v>805</v>
      </c>
      <c r="C428" s="720">
        <v>2.0</v>
      </c>
      <c r="D428" s="721">
        <v>3.0</v>
      </c>
      <c r="E428" s="703"/>
      <c r="F428" s="951"/>
      <c r="G428" s="951"/>
      <c r="H428" s="951"/>
      <c r="I428" s="951"/>
      <c r="J428" s="951"/>
      <c r="K428" s="951"/>
      <c r="L428" s="951"/>
      <c r="M428" s="951"/>
      <c r="N428" s="659"/>
      <c r="O428" s="951"/>
      <c r="P428" s="951"/>
      <c r="Q428" s="659"/>
      <c r="R428" s="659"/>
      <c r="S428" s="659"/>
      <c r="T428" s="659"/>
      <c r="U428" s="659"/>
      <c r="V428" s="659"/>
      <c r="W428" s="659"/>
      <c r="X428" s="659"/>
      <c r="Y428" s="659"/>
      <c r="Z428" s="659"/>
      <c r="AA428" s="659"/>
      <c r="AB428" s="659"/>
      <c r="AC428" s="659"/>
      <c r="AD428" s="659"/>
      <c r="AE428" s="659"/>
      <c r="AF428" s="659"/>
      <c r="AG428" s="659"/>
      <c r="AH428" s="659"/>
      <c r="AI428" s="659"/>
      <c r="AJ428" s="659"/>
      <c r="AK428" s="659"/>
      <c r="AL428" s="659"/>
      <c r="AM428" s="659"/>
      <c r="AN428" s="659"/>
      <c r="AO428" s="659"/>
      <c r="AP428" s="659"/>
      <c r="AQ428" s="746"/>
    </row>
    <row r="429">
      <c r="A429" s="654"/>
      <c r="B429" s="738" t="s">
        <v>806</v>
      </c>
      <c r="C429" s="720">
        <v>2.0</v>
      </c>
      <c r="D429" s="721">
        <v>3.0</v>
      </c>
      <c r="E429" s="703"/>
      <c r="F429" s="951"/>
      <c r="G429" s="951"/>
      <c r="H429" s="951"/>
      <c r="I429" s="951"/>
      <c r="J429" s="951"/>
      <c r="K429" s="951"/>
      <c r="L429" s="951"/>
      <c r="M429" s="951"/>
      <c r="N429" s="659"/>
      <c r="O429" s="951"/>
      <c r="P429" s="951"/>
      <c r="Q429" s="659"/>
      <c r="R429" s="659"/>
      <c r="S429" s="659"/>
      <c r="T429" s="659"/>
      <c r="U429" s="659"/>
      <c r="V429" s="659"/>
      <c r="W429" s="659"/>
      <c r="X429" s="659"/>
      <c r="Y429" s="659"/>
      <c r="Z429" s="659"/>
      <c r="AA429" s="659"/>
      <c r="AB429" s="659"/>
      <c r="AC429" s="659"/>
      <c r="AD429" s="659"/>
      <c r="AE429" s="659"/>
      <c r="AF429" s="659"/>
      <c r="AG429" s="659"/>
      <c r="AH429" s="659"/>
      <c r="AI429" s="659"/>
      <c r="AJ429" s="659"/>
      <c r="AK429" s="659"/>
      <c r="AL429" s="659"/>
      <c r="AM429" s="659"/>
      <c r="AN429" s="659"/>
      <c r="AO429" s="659"/>
      <c r="AP429" s="659"/>
      <c r="AQ429" s="746"/>
    </row>
    <row r="430">
      <c r="A430" s="654"/>
      <c r="B430" s="738" t="s">
        <v>807</v>
      </c>
      <c r="C430" s="720">
        <v>2.0</v>
      </c>
      <c r="D430" s="721">
        <v>3.0</v>
      </c>
      <c r="E430" s="703"/>
      <c r="F430" s="951"/>
      <c r="G430" s="951"/>
      <c r="H430" s="951"/>
      <c r="I430" s="951"/>
      <c r="J430" s="951"/>
      <c r="K430" s="951"/>
      <c r="L430" s="951"/>
      <c r="M430" s="951"/>
      <c r="N430" s="659"/>
      <c r="O430" s="951"/>
      <c r="P430" s="951"/>
      <c r="Q430" s="659"/>
      <c r="R430" s="659"/>
      <c r="S430" s="659"/>
      <c r="T430" s="659"/>
      <c r="U430" s="659"/>
      <c r="V430" s="659"/>
      <c r="W430" s="659"/>
      <c r="X430" s="659"/>
      <c r="Y430" s="659"/>
      <c r="Z430" s="659"/>
      <c r="AA430" s="659"/>
      <c r="AB430" s="659"/>
      <c r="AC430" s="659"/>
      <c r="AD430" s="659"/>
      <c r="AE430" s="659"/>
      <c r="AF430" s="659"/>
      <c r="AG430" s="659"/>
      <c r="AH430" s="659"/>
      <c r="AI430" s="659"/>
      <c r="AJ430" s="659"/>
      <c r="AK430" s="659"/>
      <c r="AL430" s="659"/>
      <c r="AM430" s="659"/>
      <c r="AN430" s="659"/>
      <c r="AO430" s="659"/>
      <c r="AP430" s="659"/>
      <c r="AQ430" s="746"/>
    </row>
    <row r="431">
      <c r="A431" s="654"/>
      <c r="B431" s="738" t="s">
        <v>808</v>
      </c>
      <c r="C431" s="720">
        <v>2.0</v>
      </c>
      <c r="D431" s="721">
        <v>3.0</v>
      </c>
      <c r="E431" s="703"/>
      <c r="F431" s="951"/>
      <c r="G431" s="951"/>
      <c r="H431" s="951"/>
      <c r="I431" s="951"/>
      <c r="J431" s="951"/>
      <c r="K431" s="951"/>
      <c r="L431" s="951"/>
      <c r="M431" s="951"/>
      <c r="N431" s="659"/>
      <c r="O431" s="951"/>
      <c r="P431" s="951"/>
      <c r="Q431" s="659"/>
      <c r="R431" s="659"/>
      <c r="S431" s="659"/>
      <c r="T431" s="659"/>
      <c r="U431" s="659"/>
      <c r="V431" s="659"/>
      <c r="W431" s="659"/>
      <c r="X431" s="659"/>
      <c r="Y431" s="659"/>
      <c r="Z431" s="659"/>
      <c r="AA431" s="659"/>
      <c r="AB431" s="659"/>
      <c r="AC431" s="659"/>
      <c r="AD431" s="659"/>
      <c r="AE431" s="659"/>
      <c r="AF431" s="659"/>
      <c r="AG431" s="659"/>
      <c r="AH431" s="659"/>
      <c r="AI431" s="659"/>
      <c r="AJ431" s="659"/>
      <c r="AK431" s="659"/>
      <c r="AL431" s="659"/>
      <c r="AM431" s="659"/>
      <c r="AN431" s="659"/>
      <c r="AO431" s="659"/>
      <c r="AP431" s="659"/>
      <c r="AQ431" s="746"/>
    </row>
    <row r="432">
      <c r="A432" s="654"/>
      <c r="B432" s="738" t="s">
        <v>809</v>
      </c>
      <c r="C432" s="720">
        <v>2.0</v>
      </c>
      <c r="D432" s="721">
        <v>3.0</v>
      </c>
      <c r="E432" s="703"/>
      <c r="F432" s="951"/>
      <c r="G432" s="951"/>
      <c r="H432" s="951"/>
      <c r="I432" s="951"/>
      <c r="J432" s="951"/>
      <c r="K432" s="951"/>
      <c r="L432" s="951"/>
      <c r="M432" s="951"/>
      <c r="N432" s="659"/>
      <c r="O432" s="951"/>
      <c r="P432" s="951"/>
      <c r="Q432" s="659"/>
      <c r="R432" s="659"/>
      <c r="S432" s="659"/>
      <c r="T432" s="659"/>
      <c r="U432" s="659"/>
      <c r="V432" s="659"/>
      <c r="W432" s="659"/>
      <c r="X432" s="659"/>
      <c r="Y432" s="659"/>
      <c r="Z432" s="659"/>
      <c r="AA432" s="659"/>
      <c r="AB432" s="659"/>
      <c r="AC432" s="659"/>
      <c r="AD432" s="659"/>
      <c r="AE432" s="659"/>
      <c r="AF432" s="659"/>
      <c r="AG432" s="659"/>
      <c r="AH432" s="659"/>
      <c r="AI432" s="659"/>
      <c r="AJ432" s="659"/>
      <c r="AK432" s="659"/>
      <c r="AL432" s="659"/>
      <c r="AM432" s="659"/>
      <c r="AN432" s="659"/>
      <c r="AO432" s="659"/>
      <c r="AP432" s="659"/>
      <c r="AQ432" s="746"/>
    </row>
    <row r="433">
      <c r="A433" s="654"/>
      <c r="B433" s="738" t="s">
        <v>810</v>
      </c>
      <c r="C433" s="720">
        <v>2.0</v>
      </c>
      <c r="D433" s="721">
        <v>3.0</v>
      </c>
      <c r="E433" s="703"/>
      <c r="F433" s="951"/>
      <c r="G433" s="951"/>
      <c r="H433" s="951"/>
      <c r="I433" s="951"/>
      <c r="J433" s="951"/>
      <c r="K433" s="951"/>
      <c r="L433" s="951"/>
      <c r="M433" s="951"/>
      <c r="N433" s="659"/>
      <c r="O433" s="951"/>
      <c r="P433" s="951"/>
      <c r="Q433" s="659"/>
      <c r="R433" s="659"/>
      <c r="S433" s="659"/>
      <c r="T433" s="659"/>
      <c r="U433" s="659"/>
      <c r="V433" s="659"/>
      <c r="W433" s="659"/>
      <c r="X433" s="659"/>
      <c r="Y433" s="659"/>
      <c r="Z433" s="659"/>
      <c r="AA433" s="659"/>
      <c r="AB433" s="659"/>
      <c r="AC433" s="659"/>
      <c r="AD433" s="659"/>
      <c r="AE433" s="659"/>
      <c r="AF433" s="659"/>
      <c r="AG433" s="659"/>
      <c r="AH433" s="659"/>
      <c r="AI433" s="659"/>
      <c r="AJ433" s="659"/>
      <c r="AK433" s="659"/>
      <c r="AL433" s="659"/>
      <c r="AM433" s="659"/>
      <c r="AN433" s="659"/>
      <c r="AO433" s="659"/>
      <c r="AP433" s="659"/>
      <c r="AQ433" s="746"/>
    </row>
    <row r="434">
      <c r="A434" s="654"/>
      <c r="B434" s="738" t="s">
        <v>811</v>
      </c>
      <c r="C434" s="720">
        <v>2.0</v>
      </c>
      <c r="D434" s="721">
        <v>3.0</v>
      </c>
      <c r="E434" s="703"/>
      <c r="F434" s="951"/>
      <c r="G434" s="951"/>
      <c r="H434" s="951"/>
      <c r="I434" s="951"/>
      <c r="J434" s="951"/>
      <c r="K434" s="951"/>
      <c r="L434" s="951"/>
      <c r="M434" s="951"/>
      <c r="N434" s="659"/>
      <c r="O434" s="951"/>
      <c r="P434" s="951"/>
      <c r="Q434" s="659"/>
      <c r="R434" s="659"/>
      <c r="S434" s="659"/>
      <c r="T434" s="659"/>
      <c r="U434" s="659"/>
      <c r="V434" s="659"/>
      <c r="W434" s="659"/>
      <c r="X434" s="659"/>
      <c r="Y434" s="659"/>
      <c r="Z434" s="659"/>
      <c r="AA434" s="659"/>
      <c r="AB434" s="659"/>
      <c r="AC434" s="659"/>
      <c r="AD434" s="659"/>
      <c r="AE434" s="659"/>
      <c r="AF434" s="659"/>
      <c r="AG434" s="659"/>
      <c r="AH434" s="659"/>
      <c r="AI434" s="659"/>
      <c r="AJ434" s="659"/>
      <c r="AK434" s="659"/>
      <c r="AL434" s="659"/>
      <c r="AM434" s="659"/>
      <c r="AN434" s="659"/>
      <c r="AO434" s="659"/>
      <c r="AP434" s="659"/>
      <c r="AQ434" s="746"/>
    </row>
    <row r="435">
      <c r="A435" s="654"/>
      <c r="B435" s="738" t="s">
        <v>812</v>
      </c>
      <c r="C435" s="720">
        <v>1.0</v>
      </c>
      <c r="D435" s="721">
        <v>1.0</v>
      </c>
      <c r="E435" s="703"/>
      <c r="F435" s="951"/>
      <c r="G435" s="951"/>
      <c r="H435" s="951"/>
      <c r="I435" s="951"/>
      <c r="J435" s="951"/>
      <c r="K435" s="951"/>
      <c r="L435" s="951"/>
      <c r="M435" s="951"/>
      <c r="N435" s="659"/>
      <c r="O435" s="951"/>
      <c r="P435" s="951"/>
      <c r="Q435" s="659"/>
      <c r="R435" s="659"/>
      <c r="S435" s="659"/>
      <c r="T435" s="659"/>
      <c r="U435" s="659"/>
      <c r="V435" s="659"/>
      <c r="W435" s="659"/>
      <c r="X435" s="659"/>
      <c r="Y435" s="659"/>
      <c r="Z435" s="659"/>
      <c r="AA435" s="659"/>
      <c r="AB435" s="659"/>
      <c r="AC435" s="659"/>
      <c r="AD435" s="659"/>
      <c r="AE435" s="659"/>
      <c r="AF435" s="659"/>
      <c r="AG435" s="659"/>
      <c r="AH435" s="659"/>
      <c r="AI435" s="659"/>
      <c r="AJ435" s="659"/>
      <c r="AK435" s="659"/>
      <c r="AL435" s="659"/>
      <c r="AM435" s="659"/>
      <c r="AN435" s="659"/>
      <c r="AO435" s="659"/>
      <c r="AP435" s="659"/>
      <c r="AQ435" s="746"/>
    </row>
    <row r="436">
      <c r="A436" s="654"/>
      <c r="B436" s="704" t="s">
        <v>813</v>
      </c>
      <c r="C436" s="687">
        <v>1.0</v>
      </c>
      <c r="D436" s="702">
        <v>1.0</v>
      </c>
      <c r="E436" s="703"/>
      <c r="F436" s="951"/>
      <c r="G436" s="951"/>
      <c r="H436" s="951"/>
      <c r="I436" s="951"/>
      <c r="J436" s="951"/>
      <c r="K436" s="951"/>
      <c r="L436" s="951"/>
      <c r="M436" s="951"/>
      <c r="N436" s="659"/>
      <c r="O436" s="951"/>
      <c r="P436" s="951"/>
      <c r="Q436" s="659"/>
      <c r="R436" s="659"/>
      <c r="S436" s="659"/>
      <c r="T436" s="659"/>
      <c r="U436" s="659"/>
      <c r="V436" s="659"/>
      <c r="W436" s="659"/>
      <c r="X436" s="659"/>
      <c r="Y436" s="659"/>
      <c r="Z436" s="659"/>
      <c r="AA436" s="659"/>
      <c r="AB436" s="659"/>
      <c r="AC436" s="659"/>
      <c r="AD436" s="659"/>
      <c r="AE436" s="659"/>
      <c r="AF436" s="659"/>
      <c r="AG436" s="659"/>
      <c r="AH436" s="659"/>
      <c r="AI436" s="659"/>
      <c r="AJ436" s="659"/>
      <c r="AK436" s="659"/>
      <c r="AL436" s="659"/>
      <c r="AM436" s="659"/>
      <c r="AN436" s="659"/>
      <c r="AO436" s="659"/>
      <c r="AP436" s="659"/>
      <c r="AQ436" s="746"/>
    </row>
    <row r="437">
      <c r="A437" s="654"/>
      <c r="B437" s="738" t="s">
        <v>814</v>
      </c>
      <c r="C437" s="720">
        <v>1.0</v>
      </c>
      <c r="D437" s="721">
        <v>1.0</v>
      </c>
      <c r="E437" s="703"/>
      <c r="F437" s="951"/>
      <c r="G437" s="951"/>
      <c r="H437" s="951"/>
      <c r="I437" s="951"/>
      <c r="J437" s="951"/>
      <c r="K437" s="951"/>
      <c r="L437" s="951"/>
      <c r="M437" s="951"/>
      <c r="N437" s="659"/>
      <c r="O437" s="951"/>
      <c r="P437" s="951"/>
      <c r="Q437" s="659"/>
      <c r="R437" s="659"/>
      <c r="S437" s="659"/>
      <c r="T437" s="659"/>
      <c r="U437" s="659"/>
      <c r="V437" s="659"/>
      <c r="W437" s="659"/>
      <c r="X437" s="659"/>
      <c r="Y437" s="659"/>
      <c r="Z437" s="659"/>
      <c r="AA437" s="659"/>
      <c r="AB437" s="659"/>
      <c r="AC437" s="659"/>
      <c r="AD437" s="659"/>
      <c r="AE437" s="659"/>
      <c r="AF437" s="659"/>
      <c r="AG437" s="659"/>
      <c r="AH437" s="659"/>
      <c r="AI437" s="659"/>
      <c r="AJ437" s="659"/>
      <c r="AK437" s="659"/>
      <c r="AL437" s="659"/>
      <c r="AM437" s="659"/>
      <c r="AN437" s="659"/>
      <c r="AO437" s="659"/>
      <c r="AP437" s="659"/>
      <c r="AQ437" s="746"/>
    </row>
    <row r="438">
      <c r="A438" s="654"/>
      <c r="B438" s="738" t="s">
        <v>815</v>
      </c>
      <c r="C438" s="720">
        <v>1.0</v>
      </c>
      <c r="D438" s="721">
        <v>2.0</v>
      </c>
      <c r="E438" s="703"/>
      <c r="F438" s="951"/>
      <c r="G438" s="951"/>
      <c r="H438" s="951"/>
      <c r="I438" s="951"/>
      <c r="J438" s="951"/>
      <c r="K438" s="951"/>
      <c r="L438" s="951"/>
      <c r="M438" s="951"/>
      <c r="N438" s="659"/>
      <c r="O438" s="951"/>
      <c r="P438" s="951"/>
      <c r="Q438" s="659"/>
      <c r="R438" s="659"/>
      <c r="S438" s="659"/>
      <c r="T438" s="659"/>
      <c r="U438" s="659"/>
      <c r="V438" s="659"/>
      <c r="W438" s="659"/>
      <c r="X438" s="659"/>
      <c r="Y438" s="659"/>
      <c r="Z438" s="659"/>
      <c r="AA438" s="659"/>
      <c r="AB438" s="659"/>
      <c r="AC438" s="659"/>
      <c r="AD438" s="659"/>
      <c r="AE438" s="659"/>
      <c r="AF438" s="659"/>
      <c r="AG438" s="659"/>
      <c r="AH438" s="659"/>
      <c r="AI438" s="659"/>
      <c r="AJ438" s="659"/>
      <c r="AK438" s="659"/>
      <c r="AL438" s="659"/>
      <c r="AM438" s="659"/>
      <c r="AN438" s="659"/>
      <c r="AO438" s="659"/>
      <c r="AP438" s="659"/>
      <c r="AQ438" s="746"/>
    </row>
    <row r="439">
      <c r="A439" s="654"/>
      <c r="B439" s="704" t="s">
        <v>816</v>
      </c>
      <c r="C439" s="687">
        <v>1.0</v>
      </c>
      <c r="D439" s="702">
        <v>2.0</v>
      </c>
      <c r="E439" s="703"/>
      <c r="F439" s="951"/>
      <c r="G439" s="951"/>
      <c r="H439" s="951"/>
      <c r="I439" s="951"/>
      <c r="J439" s="951"/>
      <c r="K439" s="951"/>
      <c r="L439" s="951"/>
      <c r="M439" s="951"/>
      <c r="N439" s="659"/>
      <c r="O439" s="951"/>
      <c r="P439" s="951"/>
      <c r="Q439" s="659"/>
      <c r="R439" s="659"/>
      <c r="S439" s="659"/>
      <c r="T439" s="659"/>
      <c r="U439" s="659"/>
      <c r="V439" s="659"/>
      <c r="W439" s="659"/>
      <c r="X439" s="659"/>
      <c r="Y439" s="659"/>
      <c r="Z439" s="659"/>
      <c r="AA439" s="659"/>
      <c r="AB439" s="659"/>
      <c r="AC439" s="659"/>
      <c r="AD439" s="659"/>
      <c r="AE439" s="659"/>
      <c r="AF439" s="659"/>
      <c r="AG439" s="659"/>
      <c r="AH439" s="659"/>
      <c r="AI439" s="659"/>
      <c r="AJ439" s="659"/>
      <c r="AK439" s="659"/>
      <c r="AL439" s="659"/>
      <c r="AM439" s="659"/>
      <c r="AN439" s="659"/>
      <c r="AO439" s="659"/>
      <c r="AP439" s="659"/>
      <c r="AQ439" s="746"/>
    </row>
    <row r="440">
      <c r="A440" s="654"/>
      <c r="B440" s="704" t="s">
        <v>817</v>
      </c>
      <c r="C440" s="687">
        <v>1.0</v>
      </c>
      <c r="D440" s="702">
        <v>1.0</v>
      </c>
      <c r="E440" s="703"/>
      <c r="F440" s="951"/>
      <c r="G440" s="951"/>
      <c r="H440" s="951"/>
      <c r="I440" s="951"/>
      <c r="J440" s="951"/>
      <c r="K440" s="951"/>
      <c r="L440" s="951"/>
      <c r="M440" s="951"/>
      <c r="N440" s="659"/>
      <c r="O440" s="951"/>
      <c r="P440" s="951"/>
      <c r="Q440" s="659"/>
      <c r="R440" s="659"/>
      <c r="S440" s="659"/>
      <c r="T440" s="659"/>
      <c r="U440" s="659"/>
      <c r="V440" s="659"/>
      <c r="W440" s="659"/>
      <c r="X440" s="659"/>
      <c r="Y440" s="659"/>
      <c r="Z440" s="659"/>
      <c r="AA440" s="659"/>
      <c r="AB440" s="659"/>
      <c r="AC440" s="659"/>
      <c r="AD440" s="659"/>
      <c r="AE440" s="659"/>
      <c r="AF440" s="659"/>
      <c r="AG440" s="659"/>
      <c r="AH440" s="659"/>
      <c r="AI440" s="659"/>
      <c r="AJ440" s="659"/>
      <c r="AK440" s="659"/>
      <c r="AL440" s="659"/>
      <c r="AM440" s="659"/>
      <c r="AN440" s="659"/>
      <c r="AO440" s="659"/>
      <c r="AP440" s="659"/>
      <c r="AQ440" s="746"/>
    </row>
    <row r="441">
      <c r="A441" s="654"/>
      <c r="B441" s="704" t="s">
        <v>818</v>
      </c>
      <c r="C441" s="687">
        <v>1.0</v>
      </c>
      <c r="D441" s="702">
        <v>1.0</v>
      </c>
      <c r="E441" s="703"/>
      <c r="F441" s="951"/>
      <c r="G441" s="951"/>
      <c r="H441" s="951"/>
      <c r="I441" s="951"/>
      <c r="J441" s="951"/>
      <c r="K441" s="951"/>
      <c r="L441" s="951"/>
      <c r="M441" s="951"/>
      <c r="N441" s="659"/>
      <c r="O441" s="951"/>
      <c r="P441" s="951"/>
      <c r="Q441" s="659"/>
      <c r="R441" s="659"/>
      <c r="S441" s="659"/>
      <c r="T441" s="659"/>
      <c r="U441" s="659"/>
      <c r="V441" s="659"/>
      <c r="W441" s="659"/>
      <c r="X441" s="659"/>
      <c r="Y441" s="659"/>
      <c r="Z441" s="659"/>
      <c r="AA441" s="659"/>
      <c r="AB441" s="659"/>
      <c r="AC441" s="659"/>
      <c r="AD441" s="659"/>
      <c r="AE441" s="659"/>
      <c r="AF441" s="659"/>
      <c r="AG441" s="659"/>
      <c r="AH441" s="659"/>
      <c r="AI441" s="659"/>
      <c r="AJ441" s="659"/>
      <c r="AK441" s="659"/>
      <c r="AL441" s="659"/>
      <c r="AM441" s="659"/>
      <c r="AN441" s="659"/>
      <c r="AO441" s="659"/>
      <c r="AP441" s="659"/>
      <c r="AQ441" s="746"/>
    </row>
    <row r="442">
      <c r="A442" s="654"/>
      <c r="B442" s="704" t="s">
        <v>819</v>
      </c>
      <c r="C442" s="687">
        <v>1.0</v>
      </c>
      <c r="D442" s="702">
        <v>1.0</v>
      </c>
      <c r="E442" s="703"/>
      <c r="F442" s="951"/>
      <c r="G442" s="951"/>
      <c r="H442" s="951"/>
      <c r="I442" s="951"/>
      <c r="J442" s="951"/>
      <c r="K442" s="951"/>
      <c r="L442" s="951"/>
      <c r="M442" s="951"/>
      <c r="N442" s="659"/>
      <c r="O442" s="951"/>
      <c r="P442" s="951"/>
      <c r="Q442" s="659"/>
      <c r="R442" s="659"/>
      <c r="S442" s="659"/>
      <c r="T442" s="659"/>
      <c r="U442" s="659"/>
      <c r="V442" s="659"/>
      <c r="W442" s="659"/>
      <c r="X442" s="659"/>
      <c r="Y442" s="659"/>
      <c r="Z442" s="659"/>
      <c r="AA442" s="659"/>
      <c r="AB442" s="659"/>
      <c r="AC442" s="659"/>
      <c r="AD442" s="659"/>
      <c r="AE442" s="659"/>
      <c r="AF442" s="659"/>
      <c r="AG442" s="659"/>
      <c r="AH442" s="659"/>
      <c r="AI442" s="659"/>
      <c r="AJ442" s="659"/>
      <c r="AK442" s="659"/>
      <c r="AL442" s="659"/>
      <c r="AM442" s="659"/>
      <c r="AN442" s="659"/>
      <c r="AO442" s="659"/>
      <c r="AP442" s="659"/>
      <c r="AQ442" s="746"/>
    </row>
    <row r="443">
      <c r="A443" s="654"/>
      <c r="B443" s="704" t="s">
        <v>820</v>
      </c>
      <c r="C443" s="687">
        <v>1.0</v>
      </c>
      <c r="D443" s="702">
        <v>2.0</v>
      </c>
      <c r="E443" s="703"/>
      <c r="F443" s="951"/>
      <c r="G443" s="951"/>
      <c r="H443" s="951"/>
      <c r="I443" s="951"/>
      <c r="J443" s="951"/>
      <c r="K443" s="951"/>
      <c r="L443" s="951"/>
      <c r="M443" s="951"/>
      <c r="N443" s="659"/>
      <c r="O443" s="951"/>
      <c r="P443" s="951"/>
      <c r="Q443" s="659"/>
      <c r="R443" s="659"/>
      <c r="S443" s="659"/>
      <c r="T443" s="659"/>
      <c r="U443" s="659"/>
      <c r="V443" s="659"/>
      <c r="W443" s="659"/>
      <c r="X443" s="659"/>
      <c r="Y443" s="659"/>
      <c r="Z443" s="659"/>
      <c r="AA443" s="659"/>
      <c r="AB443" s="659"/>
      <c r="AC443" s="659"/>
      <c r="AD443" s="659"/>
      <c r="AE443" s="659"/>
      <c r="AF443" s="659"/>
      <c r="AG443" s="659"/>
      <c r="AH443" s="659"/>
      <c r="AI443" s="659"/>
      <c r="AJ443" s="659"/>
      <c r="AK443" s="659"/>
      <c r="AL443" s="659"/>
      <c r="AM443" s="659"/>
      <c r="AN443" s="659"/>
      <c r="AO443" s="659"/>
      <c r="AP443" s="659"/>
      <c r="AQ443" s="746"/>
    </row>
    <row r="444">
      <c r="A444" s="654"/>
      <c r="B444" s="704" t="s">
        <v>821</v>
      </c>
      <c r="C444" s="687">
        <v>1.0</v>
      </c>
      <c r="D444" s="702">
        <v>1.0</v>
      </c>
      <c r="E444" s="703"/>
      <c r="F444" s="951"/>
      <c r="G444" s="951"/>
      <c r="H444" s="951"/>
      <c r="I444" s="951"/>
      <c r="J444" s="951"/>
      <c r="K444" s="951"/>
      <c r="L444" s="951"/>
      <c r="M444" s="951"/>
      <c r="N444" s="659"/>
      <c r="O444" s="951"/>
      <c r="P444" s="951"/>
      <c r="Q444" s="659"/>
      <c r="R444" s="659"/>
      <c r="S444" s="659"/>
      <c r="T444" s="659"/>
      <c r="U444" s="659"/>
      <c r="V444" s="659"/>
      <c r="W444" s="659"/>
      <c r="X444" s="659"/>
      <c r="Y444" s="659"/>
      <c r="Z444" s="659"/>
      <c r="AA444" s="659"/>
      <c r="AB444" s="659"/>
      <c r="AC444" s="659"/>
      <c r="AD444" s="659"/>
      <c r="AE444" s="659"/>
      <c r="AF444" s="659"/>
      <c r="AG444" s="659"/>
      <c r="AH444" s="659"/>
      <c r="AI444" s="659"/>
      <c r="AJ444" s="659"/>
      <c r="AK444" s="659"/>
      <c r="AL444" s="659"/>
      <c r="AM444" s="659"/>
      <c r="AN444" s="659"/>
      <c r="AO444" s="659"/>
      <c r="AP444" s="659"/>
      <c r="AQ444" s="746"/>
    </row>
    <row r="445">
      <c r="A445" s="654"/>
      <c r="B445" s="704" t="s">
        <v>822</v>
      </c>
      <c r="C445" s="687">
        <v>1.0</v>
      </c>
      <c r="D445" s="702">
        <v>1.0</v>
      </c>
      <c r="E445" s="703"/>
      <c r="F445" s="951"/>
      <c r="G445" s="951"/>
      <c r="H445" s="951"/>
      <c r="I445" s="951"/>
      <c r="J445" s="951"/>
      <c r="K445" s="951"/>
      <c r="L445" s="951"/>
      <c r="M445" s="951"/>
      <c r="N445" s="659"/>
      <c r="O445" s="951"/>
      <c r="P445" s="951"/>
      <c r="Q445" s="659"/>
      <c r="R445" s="659"/>
      <c r="S445" s="659"/>
      <c r="T445" s="659"/>
      <c r="U445" s="659"/>
      <c r="V445" s="659"/>
      <c r="W445" s="659"/>
      <c r="X445" s="659"/>
      <c r="Y445" s="659"/>
      <c r="Z445" s="659"/>
      <c r="AA445" s="659"/>
      <c r="AB445" s="659"/>
      <c r="AC445" s="659"/>
      <c r="AD445" s="659"/>
      <c r="AE445" s="659"/>
      <c r="AF445" s="659"/>
      <c r="AG445" s="659"/>
      <c r="AH445" s="659"/>
      <c r="AI445" s="659"/>
      <c r="AJ445" s="659"/>
      <c r="AK445" s="659"/>
      <c r="AL445" s="659"/>
      <c r="AM445" s="659"/>
      <c r="AN445" s="659"/>
      <c r="AO445" s="659"/>
      <c r="AP445" s="659"/>
      <c r="AQ445" s="746"/>
    </row>
    <row r="446">
      <c r="A446" s="654"/>
      <c r="B446" s="738" t="s">
        <v>823</v>
      </c>
      <c r="C446" s="720">
        <v>1.0</v>
      </c>
      <c r="D446" s="721">
        <v>1.0</v>
      </c>
      <c r="E446" s="703"/>
      <c r="F446" s="951"/>
      <c r="G446" s="951"/>
      <c r="H446" s="951"/>
      <c r="I446" s="951"/>
      <c r="J446" s="951"/>
      <c r="K446" s="951"/>
      <c r="L446" s="951"/>
      <c r="M446" s="951"/>
      <c r="N446" s="659"/>
      <c r="O446" s="951"/>
      <c r="P446" s="951"/>
      <c r="Q446" s="659"/>
      <c r="R446" s="659"/>
      <c r="S446" s="659"/>
      <c r="T446" s="659"/>
      <c r="U446" s="659"/>
      <c r="V446" s="659"/>
      <c r="W446" s="659"/>
      <c r="X446" s="659"/>
      <c r="Y446" s="659"/>
      <c r="Z446" s="659"/>
      <c r="AA446" s="659"/>
      <c r="AB446" s="659"/>
      <c r="AC446" s="659"/>
      <c r="AD446" s="659"/>
      <c r="AE446" s="659"/>
      <c r="AF446" s="659"/>
      <c r="AG446" s="659"/>
      <c r="AH446" s="659"/>
      <c r="AI446" s="659"/>
      <c r="AJ446" s="659"/>
      <c r="AK446" s="659"/>
      <c r="AL446" s="659"/>
      <c r="AM446" s="659"/>
      <c r="AN446" s="659"/>
      <c r="AO446" s="659"/>
      <c r="AP446" s="659"/>
      <c r="AQ446" s="746"/>
    </row>
    <row r="447">
      <c r="A447" s="654"/>
      <c r="B447" s="704" t="s">
        <v>824</v>
      </c>
      <c r="C447" s="687">
        <v>1.0</v>
      </c>
      <c r="D447" s="702">
        <v>1.0</v>
      </c>
      <c r="E447" s="703"/>
      <c r="F447" s="951"/>
      <c r="G447" s="951"/>
      <c r="H447" s="951"/>
      <c r="I447" s="951"/>
      <c r="J447" s="951"/>
      <c r="K447" s="951"/>
      <c r="L447" s="951"/>
      <c r="M447" s="951"/>
      <c r="N447" s="659"/>
      <c r="O447" s="951"/>
      <c r="P447" s="951"/>
      <c r="Q447" s="659"/>
      <c r="R447" s="659"/>
      <c r="S447" s="659"/>
      <c r="T447" s="659"/>
      <c r="U447" s="659"/>
      <c r="V447" s="659"/>
      <c r="W447" s="659"/>
      <c r="X447" s="659"/>
      <c r="Y447" s="659"/>
      <c r="Z447" s="659"/>
      <c r="AA447" s="659"/>
      <c r="AB447" s="659"/>
      <c r="AC447" s="659"/>
      <c r="AD447" s="659"/>
      <c r="AE447" s="659"/>
      <c r="AF447" s="659"/>
      <c r="AG447" s="659"/>
      <c r="AH447" s="659"/>
      <c r="AI447" s="659"/>
      <c r="AJ447" s="659"/>
      <c r="AK447" s="659"/>
      <c r="AL447" s="659"/>
      <c r="AM447" s="659"/>
      <c r="AN447" s="659"/>
      <c r="AO447" s="659"/>
      <c r="AP447" s="659"/>
      <c r="AQ447" s="746"/>
    </row>
    <row r="448">
      <c r="A448" s="654"/>
      <c r="B448" s="704" t="s">
        <v>825</v>
      </c>
      <c r="C448" s="687">
        <v>1.0</v>
      </c>
      <c r="D448" s="702">
        <v>1.0</v>
      </c>
      <c r="E448" s="703"/>
      <c r="F448" s="951"/>
      <c r="G448" s="951"/>
      <c r="H448" s="951"/>
      <c r="I448" s="951"/>
      <c r="J448" s="951"/>
      <c r="K448" s="951"/>
      <c r="L448" s="951"/>
      <c r="M448" s="951"/>
      <c r="N448" s="659"/>
      <c r="O448" s="951"/>
      <c r="P448" s="951"/>
      <c r="Q448" s="659"/>
      <c r="R448" s="659"/>
      <c r="S448" s="659"/>
      <c r="T448" s="659"/>
      <c r="U448" s="659"/>
      <c r="V448" s="659"/>
      <c r="W448" s="659"/>
      <c r="X448" s="659"/>
      <c r="Y448" s="659"/>
      <c r="Z448" s="659"/>
      <c r="AA448" s="659"/>
      <c r="AB448" s="659"/>
      <c r="AC448" s="659"/>
      <c r="AD448" s="659"/>
      <c r="AE448" s="659"/>
      <c r="AF448" s="659"/>
      <c r="AG448" s="659"/>
      <c r="AH448" s="659"/>
      <c r="AI448" s="659"/>
      <c r="AJ448" s="659"/>
      <c r="AK448" s="659"/>
      <c r="AL448" s="659"/>
      <c r="AM448" s="659"/>
      <c r="AN448" s="659"/>
      <c r="AO448" s="659"/>
      <c r="AP448" s="659"/>
      <c r="AQ448" s="746"/>
    </row>
    <row r="449">
      <c r="A449" s="654"/>
      <c r="B449" s="704" t="s">
        <v>826</v>
      </c>
      <c r="C449" s="687">
        <v>1.0</v>
      </c>
      <c r="D449" s="702">
        <v>2.0</v>
      </c>
      <c r="E449" s="703"/>
      <c r="F449" s="951"/>
      <c r="G449" s="951"/>
      <c r="H449" s="951"/>
      <c r="I449" s="951"/>
      <c r="J449" s="951"/>
      <c r="K449" s="951"/>
      <c r="L449" s="951"/>
      <c r="M449" s="951"/>
      <c r="N449" s="659"/>
      <c r="O449" s="951"/>
      <c r="P449" s="951"/>
      <c r="Q449" s="659"/>
      <c r="R449" s="659"/>
      <c r="S449" s="659"/>
      <c r="T449" s="659"/>
      <c r="U449" s="659"/>
      <c r="V449" s="659"/>
      <c r="W449" s="659"/>
      <c r="X449" s="659"/>
      <c r="Y449" s="659"/>
      <c r="Z449" s="659"/>
      <c r="AA449" s="659"/>
      <c r="AB449" s="659"/>
      <c r="AC449" s="659"/>
      <c r="AD449" s="659"/>
      <c r="AE449" s="659"/>
      <c r="AF449" s="659"/>
      <c r="AG449" s="659"/>
      <c r="AH449" s="659"/>
      <c r="AI449" s="659"/>
      <c r="AJ449" s="659"/>
      <c r="AK449" s="659"/>
      <c r="AL449" s="659"/>
      <c r="AM449" s="659"/>
      <c r="AN449" s="659"/>
      <c r="AO449" s="659"/>
      <c r="AP449" s="659"/>
      <c r="AQ449" s="746"/>
    </row>
    <row r="450">
      <c r="A450" s="654"/>
      <c r="B450" s="704" t="s">
        <v>827</v>
      </c>
      <c r="C450" s="687">
        <v>1.0</v>
      </c>
      <c r="D450" s="702">
        <v>2.0</v>
      </c>
      <c r="E450" s="703"/>
      <c r="F450" s="951"/>
      <c r="G450" s="951"/>
      <c r="H450" s="951"/>
      <c r="I450" s="951"/>
      <c r="J450" s="951"/>
      <c r="K450" s="951"/>
      <c r="L450" s="951"/>
      <c r="M450" s="951"/>
      <c r="N450" s="659"/>
      <c r="O450" s="951"/>
      <c r="P450" s="951"/>
      <c r="Q450" s="659"/>
      <c r="R450" s="659"/>
      <c r="S450" s="659"/>
      <c r="T450" s="659"/>
      <c r="U450" s="659"/>
      <c r="V450" s="659"/>
      <c r="W450" s="659"/>
      <c r="X450" s="659"/>
      <c r="Y450" s="659"/>
      <c r="Z450" s="659"/>
      <c r="AA450" s="659"/>
      <c r="AB450" s="659"/>
      <c r="AC450" s="659"/>
      <c r="AD450" s="659"/>
      <c r="AE450" s="659"/>
      <c r="AF450" s="659"/>
      <c r="AG450" s="659"/>
      <c r="AH450" s="659"/>
      <c r="AI450" s="659"/>
      <c r="AJ450" s="659"/>
      <c r="AK450" s="659"/>
      <c r="AL450" s="659"/>
      <c r="AM450" s="659"/>
      <c r="AN450" s="659"/>
      <c r="AO450" s="659"/>
      <c r="AP450" s="659"/>
      <c r="AQ450" s="746"/>
    </row>
    <row r="451">
      <c r="A451" s="654"/>
      <c r="B451" s="704" t="s">
        <v>828</v>
      </c>
      <c r="C451" s="687">
        <v>1.0</v>
      </c>
      <c r="D451" s="702">
        <v>2.0</v>
      </c>
      <c r="E451" s="703"/>
      <c r="F451" s="951"/>
      <c r="G451" s="951"/>
      <c r="H451" s="951"/>
      <c r="I451" s="951"/>
      <c r="J451" s="951"/>
      <c r="K451" s="951"/>
      <c r="L451" s="951"/>
      <c r="M451" s="951"/>
      <c r="N451" s="659"/>
      <c r="O451" s="951"/>
      <c r="P451" s="951"/>
      <c r="Q451" s="659"/>
      <c r="R451" s="659"/>
      <c r="S451" s="659"/>
      <c r="T451" s="659"/>
      <c r="U451" s="659"/>
      <c r="V451" s="659"/>
      <c r="W451" s="659"/>
      <c r="X451" s="659"/>
      <c r="Y451" s="659"/>
      <c r="Z451" s="659"/>
      <c r="AA451" s="659"/>
      <c r="AB451" s="659"/>
      <c r="AC451" s="659"/>
      <c r="AD451" s="659"/>
      <c r="AE451" s="659"/>
      <c r="AF451" s="659"/>
      <c r="AG451" s="659"/>
      <c r="AH451" s="659"/>
      <c r="AI451" s="659"/>
      <c r="AJ451" s="659"/>
      <c r="AK451" s="659"/>
      <c r="AL451" s="659"/>
      <c r="AM451" s="659"/>
      <c r="AN451" s="659"/>
      <c r="AO451" s="659"/>
      <c r="AP451" s="659"/>
      <c r="AQ451" s="746"/>
    </row>
    <row r="452">
      <c r="A452" s="654"/>
      <c r="B452" s="704" t="s">
        <v>829</v>
      </c>
      <c r="C452" s="687">
        <v>1.0</v>
      </c>
      <c r="D452" s="702">
        <v>2.0</v>
      </c>
      <c r="E452" s="703"/>
      <c r="F452" s="951"/>
      <c r="G452" s="951"/>
      <c r="H452" s="951"/>
      <c r="I452" s="951"/>
      <c r="J452" s="951"/>
      <c r="K452" s="951"/>
      <c r="L452" s="951"/>
      <c r="M452" s="951"/>
      <c r="N452" s="659"/>
      <c r="O452" s="951"/>
      <c r="P452" s="951"/>
      <c r="Q452" s="659"/>
      <c r="R452" s="659"/>
      <c r="S452" s="659"/>
      <c r="T452" s="659"/>
      <c r="U452" s="659"/>
      <c r="V452" s="659"/>
      <c r="W452" s="659"/>
      <c r="X452" s="659"/>
      <c r="Y452" s="659"/>
      <c r="Z452" s="659"/>
      <c r="AA452" s="659"/>
      <c r="AB452" s="659"/>
      <c r="AC452" s="659"/>
      <c r="AD452" s="659"/>
      <c r="AE452" s="659"/>
      <c r="AF452" s="659"/>
      <c r="AG452" s="659"/>
      <c r="AH452" s="659"/>
      <c r="AI452" s="659"/>
      <c r="AJ452" s="659"/>
      <c r="AK452" s="659"/>
      <c r="AL452" s="659"/>
      <c r="AM452" s="659"/>
      <c r="AN452" s="659"/>
      <c r="AO452" s="659"/>
      <c r="AP452" s="659"/>
      <c r="AQ452" s="746"/>
    </row>
    <row r="453">
      <c r="A453" s="654"/>
      <c r="B453" s="704" t="s">
        <v>832</v>
      </c>
      <c r="C453" s="687">
        <v>1.0</v>
      </c>
      <c r="D453" s="702">
        <v>1.0</v>
      </c>
      <c r="E453" s="703"/>
      <c r="F453" s="951"/>
      <c r="G453" s="951"/>
      <c r="H453" s="951"/>
      <c r="I453" s="951"/>
      <c r="J453" s="951"/>
      <c r="K453" s="951"/>
      <c r="L453" s="951"/>
      <c r="M453" s="951"/>
      <c r="N453" s="659"/>
      <c r="O453" s="951"/>
      <c r="P453" s="951"/>
      <c r="Q453" s="659"/>
      <c r="R453" s="659"/>
      <c r="S453" s="659"/>
      <c r="T453" s="659"/>
      <c r="U453" s="659"/>
      <c r="V453" s="659"/>
      <c r="W453" s="659"/>
      <c r="X453" s="659"/>
      <c r="Y453" s="659"/>
      <c r="Z453" s="659"/>
      <c r="AA453" s="659"/>
      <c r="AB453" s="659"/>
      <c r="AC453" s="659"/>
      <c r="AD453" s="659"/>
      <c r="AE453" s="659"/>
      <c r="AF453" s="659"/>
      <c r="AG453" s="659"/>
      <c r="AH453" s="659"/>
      <c r="AI453" s="659"/>
      <c r="AJ453" s="659"/>
      <c r="AK453" s="659"/>
      <c r="AL453" s="659"/>
      <c r="AM453" s="659"/>
      <c r="AN453" s="659"/>
      <c r="AO453" s="659"/>
      <c r="AP453" s="659"/>
      <c r="AQ453" s="746"/>
    </row>
    <row r="454">
      <c r="A454" s="654"/>
      <c r="B454" s="704" t="s">
        <v>836</v>
      </c>
      <c r="C454" s="687">
        <v>1.0</v>
      </c>
      <c r="D454" s="702">
        <v>1.0</v>
      </c>
      <c r="E454" s="703"/>
      <c r="F454" s="951"/>
      <c r="G454" s="951"/>
      <c r="H454" s="951"/>
      <c r="I454" s="951"/>
      <c r="J454" s="951"/>
      <c r="K454" s="951"/>
      <c r="L454" s="951"/>
      <c r="M454" s="951"/>
      <c r="N454" s="659"/>
      <c r="O454" s="951"/>
      <c r="P454" s="951"/>
      <c r="Q454" s="659"/>
      <c r="R454" s="659"/>
      <c r="S454" s="659"/>
      <c r="T454" s="659"/>
      <c r="U454" s="659"/>
      <c r="V454" s="659"/>
      <c r="W454" s="659"/>
      <c r="X454" s="659"/>
      <c r="Y454" s="659"/>
      <c r="Z454" s="659"/>
      <c r="AA454" s="659"/>
      <c r="AB454" s="659"/>
      <c r="AC454" s="659"/>
      <c r="AD454" s="659"/>
      <c r="AE454" s="659"/>
      <c r="AF454" s="659"/>
      <c r="AG454" s="659"/>
      <c r="AH454" s="659"/>
      <c r="AI454" s="659"/>
      <c r="AJ454" s="659"/>
      <c r="AK454" s="659"/>
      <c r="AL454" s="659"/>
      <c r="AM454" s="659"/>
      <c r="AN454" s="659"/>
      <c r="AO454" s="659"/>
      <c r="AP454" s="659"/>
      <c r="AQ454" s="746"/>
    </row>
    <row r="455">
      <c r="A455" s="654"/>
      <c r="B455" s="704" t="s">
        <v>837</v>
      </c>
      <c r="C455" s="687">
        <v>1.0</v>
      </c>
      <c r="D455" s="702">
        <v>2.0</v>
      </c>
      <c r="E455" s="703"/>
      <c r="F455" s="951"/>
      <c r="G455" s="951"/>
      <c r="H455" s="951"/>
      <c r="I455" s="951"/>
      <c r="J455" s="951"/>
      <c r="K455" s="951"/>
      <c r="L455" s="951"/>
      <c r="M455" s="951"/>
      <c r="N455" s="659"/>
      <c r="O455" s="951"/>
      <c r="P455" s="951"/>
      <c r="Q455" s="659"/>
      <c r="R455" s="659"/>
      <c r="S455" s="659"/>
      <c r="T455" s="659"/>
      <c r="U455" s="659"/>
      <c r="V455" s="659"/>
      <c r="W455" s="659"/>
      <c r="X455" s="659"/>
      <c r="Y455" s="659"/>
      <c r="Z455" s="659"/>
      <c r="AA455" s="659"/>
      <c r="AB455" s="659"/>
      <c r="AC455" s="659"/>
      <c r="AD455" s="659"/>
      <c r="AE455" s="659"/>
      <c r="AF455" s="659"/>
      <c r="AG455" s="659"/>
      <c r="AH455" s="659"/>
      <c r="AI455" s="659"/>
      <c r="AJ455" s="659"/>
      <c r="AK455" s="659"/>
      <c r="AL455" s="659"/>
      <c r="AM455" s="659"/>
      <c r="AN455" s="659"/>
      <c r="AO455" s="659"/>
      <c r="AP455" s="659"/>
      <c r="AQ455" s="746"/>
    </row>
    <row r="456">
      <c r="A456" s="654"/>
      <c r="B456" s="738" t="s">
        <v>838</v>
      </c>
      <c r="C456" s="720">
        <v>1.0</v>
      </c>
      <c r="D456" s="721">
        <v>2.0</v>
      </c>
      <c r="E456" s="703"/>
      <c r="F456" s="951"/>
      <c r="G456" s="951"/>
      <c r="H456" s="951"/>
      <c r="I456" s="951"/>
      <c r="J456" s="951"/>
      <c r="K456" s="951"/>
      <c r="L456" s="951"/>
      <c r="M456" s="951"/>
      <c r="N456" s="659"/>
      <c r="O456" s="951"/>
      <c r="P456" s="951"/>
      <c r="Q456" s="659"/>
      <c r="R456" s="659"/>
      <c r="S456" s="659"/>
      <c r="T456" s="659"/>
      <c r="U456" s="659"/>
      <c r="V456" s="659"/>
      <c r="W456" s="659"/>
      <c r="X456" s="659"/>
      <c r="Y456" s="659"/>
      <c r="Z456" s="659"/>
      <c r="AA456" s="659"/>
      <c r="AB456" s="659"/>
      <c r="AC456" s="659"/>
      <c r="AD456" s="659"/>
      <c r="AE456" s="659"/>
      <c r="AF456" s="659"/>
      <c r="AG456" s="659"/>
      <c r="AH456" s="659"/>
      <c r="AI456" s="659"/>
      <c r="AJ456" s="659"/>
      <c r="AK456" s="659"/>
      <c r="AL456" s="659"/>
      <c r="AM456" s="659"/>
      <c r="AN456" s="659"/>
      <c r="AO456" s="659"/>
      <c r="AP456" s="659"/>
      <c r="AQ456" s="746"/>
    </row>
    <row r="457">
      <c r="A457" s="654"/>
      <c r="B457" s="704" t="s">
        <v>839</v>
      </c>
      <c r="C457" s="687">
        <v>1.0</v>
      </c>
      <c r="D457" s="702">
        <v>1.0</v>
      </c>
      <c r="E457" s="703"/>
      <c r="F457" s="951"/>
      <c r="G457" s="951"/>
      <c r="H457" s="951"/>
      <c r="I457" s="951"/>
      <c r="J457" s="951"/>
      <c r="K457" s="951"/>
      <c r="L457" s="951"/>
      <c r="M457" s="951"/>
      <c r="N457" s="659"/>
      <c r="O457" s="951"/>
      <c r="P457" s="951"/>
      <c r="Q457" s="659"/>
      <c r="R457" s="659"/>
      <c r="S457" s="659"/>
      <c r="T457" s="659"/>
      <c r="U457" s="659"/>
      <c r="V457" s="659"/>
      <c r="W457" s="659"/>
      <c r="X457" s="659"/>
      <c r="Y457" s="659"/>
      <c r="Z457" s="659"/>
      <c r="AA457" s="659"/>
      <c r="AB457" s="659"/>
      <c r="AC457" s="659"/>
      <c r="AD457" s="659"/>
      <c r="AE457" s="659"/>
      <c r="AF457" s="659"/>
      <c r="AG457" s="659"/>
      <c r="AH457" s="659"/>
      <c r="AI457" s="659"/>
      <c r="AJ457" s="659"/>
      <c r="AK457" s="659"/>
      <c r="AL457" s="659"/>
      <c r="AM457" s="659"/>
      <c r="AN457" s="659"/>
      <c r="AO457" s="659"/>
      <c r="AP457" s="659"/>
      <c r="AQ457" s="746"/>
    </row>
    <row r="458">
      <c r="A458" s="654"/>
      <c r="B458" s="704" t="s">
        <v>840</v>
      </c>
      <c r="C458" s="687">
        <v>1.0</v>
      </c>
      <c r="D458" s="702">
        <v>2.0</v>
      </c>
      <c r="E458" s="703"/>
      <c r="F458" s="951"/>
      <c r="G458" s="951"/>
      <c r="H458" s="951"/>
      <c r="I458" s="951"/>
      <c r="J458" s="951"/>
      <c r="K458" s="951"/>
      <c r="L458" s="951"/>
      <c r="M458" s="951"/>
      <c r="N458" s="659"/>
      <c r="O458" s="951"/>
      <c r="P458" s="951"/>
      <c r="Q458" s="659"/>
      <c r="R458" s="659"/>
      <c r="S458" s="659"/>
      <c r="T458" s="659"/>
      <c r="U458" s="659"/>
      <c r="V458" s="659"/>
      <c r="W458" s="659"/>
      <c r="X458" s="659"/>
      <c r="Y458" s="659"/>
      <c r="Z458" s="659"/>
      <c r="AA458" s="659"/>
      <c r="AB458" s="659"/>
      <c r="AC458" s="659"/>
      <c r="AD458" s="659"/>
      <c r="AE458" s="659"/>
      <c r="AF458" s="659"/>
      <c r="AG458" s="659"/>
      <c r="AH458" s="659"/>
      <c r="AI458" s="659"/>
      <c r="AJ458" s="659"/>
      <c r="AK458" s="659"/>
      <c r="AL458" s="659"/>
      <c r="AM458" s="659"/>
      <c r="AN458" s="659"/>
      <c r="AO458" s="659"/>
      <c r="AP458" s="659"/>
      <c r="AQ458" s="746"/>
    </row>
    <row r="459">
      <c r="A459" s="654"/>
      <c r="B459" s="704" t="s">
        <v>841</v>
      </c>
      <c r="C459" s="687">
        <v>1.0</v>
      </c>
      <c r="D459" s="702">
        <v>1.0</v>
      </c>
      <c r="E459" s="703"/>
      <c r="F459" s="951"/>
      <c r="G459" s="951"/>
      <c r="H459" s="951"/>
      <c r="I459" s="951"/>
      <c r="J459" s="951"/>
      <c r="K459" s="951"/>
      <c r="L459" s="951"/>
      <c r="M459" s="951"/>
      <c r="N459" s="659"/>
      <c r="O459" s="951"/>
      <c r="P459" s="951"/>
      <c r="Q459" s="659"/>
      <c r="R459" s="659"/>
      <c r="S459" s="659"/>
      <c r="T459" s="659"/>
      <c r="U459" s="659"/>
      <c r="V459" s="659"/>
      <c r="W459" s="659"/>
      <c r="X459" s="659"/>
      <c r="Y459" s="659"/>
      <c r="Z459" s="659"/>
      <c r="AA459" s="659"/>
      <c r="AB459" s="659"/>
      <c r="AC459" s="659"/>
      <c r="AD459" s="659"/>
      <c r="AE459" s="659"/>
      <c r="AF459" s="659"/>
      <c r="AG459" s="659"/>
      <c r="AH459" s="659"/>
      <c r="AI459" s="659"/>
      <c r="AJ459" s="659"/>
      <c r="AK459" s="659"/>
      <c r="AL459" s="659"/>
      <c r="AM459" s="659"/>
      <c r="AN459" s="659"/>
      <c r="AO459" s="659"/>
      <c r="AP459" s="659"/>
      <c r="AQ459" s="746"/>
    </row>
    <row r="460">
      <c r="A460" s="654"/>
      <c r="B460" s="704" t="s">
        <v>842</v>
      </c>
      <c r="C460" s="687">
        <v>1.0</v>
      </c>
      <c r="D460" s="702">
        <v>2.0</v>
      </c>
      <c r="E460" s="703"/>
      <c r="F460" s="951"/>
      <c r="G460" s="951"/>
      <c r="H460" s="951"/>
      <c r="I460" s="951"/>
      <c r="J460" s="951"/>
      <c r="K460" s="951"/>
      <c r="L460" s="951"/>
      <c r="M460" s="951"/>
      <c r="N460" s="659"/>
      <c r="O460" s="951"/>
      <c r="P460" s="951"/>
      <c r="Q460" s="659"/>
      <c r="R460" s="659"/>
      <c r="S460" s="659"/>
      <c r="T460" s="659"/>
      <c r="U460" s="659"/>
      <c r="V460" s="659"/>
      <c r="W460" s="659"/>
      <c r="X460" s="659"/>
      <c r="Y460" s="659"/>
      <c r="Z460" s="659"/>
      <c r="AA460" s="659"/>
      <c r="AB460" s="659"/>
      <c r="AC460" s="659"/>
      <c r="AD460" s="659"/>
      <c r="AE460" s="659"/>
      <c r="AF460" s="659"/>
      <c r="AG460" s="659"/>
      <c r="AH460" s="659"/>
      <c r="AI460" s="659"/>
      <c r="AJ460" s="659"/>
      <c r="AK460" s="659"/>
      <c r="AL460" s="659"/>
      <c r="AM460" s="659"/>
      <c r="AN460" s="659"/>
      <c r="AO460" s="659"/>
      <c r="AP460" s="659"/>
      <c r="AQ460" s="746"/>
    </row>
    <row r="461">
      <c r="A461" s="654"/>
      <c r="B461" s="738" t="s">
        <v>843</v>
      </c>
      <c r="C461" s="720">
        <v>1.0</v>
      </c>
      <c r="D461" s="721">
        <v>1.0</v>
      </c>
      <c r="E461" s="703"/>
      <c r="F461" s="951"/>
      <c r="G461" s="951"/>
      <c r="H461" s="951"/>
      <c r="I461" s="951"/>
      <c r="J461" s="951"/>
      <c r="K461" s="951"/>
      <c r="L461" s="951"/>
      <c r="M461" s="951"/>
      <c r="N461" s="659"/>
      <c r="O461" s="951"/>
      <c r="P461" s="951"/>
      <c r="Q461" s="659"/>
      <c r="R461" s="659"/>
      <c r="S461" s="659"/>
      <c r="T461" s="659"/>
      <c r="U461" s="659"/>
      <c r="V461" s="659"/>
      <c r="W461" s="659"/>
      <c r="X461" s="659"/>
      <c r="Y461" s="659"/>
      <c r="Z461" s="659"/>
      <c r="AA461" s="659"/>
      <c r="AB461" s="659"/>
      <c r="AC461" s="659"/>
      <c r="AD461" s="659"/>
      <c r="AE461" s="659"/>
      <c r="AF461" s="659"/>
      <c r="AG461" s="659"/>
      <c r="AH461" s="659"/>
      <c r="AI461" s="659"/>
      <c r="AJ461" s="659"/>
      <c r="AK461" s="659"/>
      <c r="AL461" s="659"/>
      <c r="AM461" s="659"/>
      <c r="AN461" s="659"/>
      <c r="AO461" s="659"/>
      <c r="AP461" s="659"/>
      <c r="AQ461" s="746"/>
    </row>
    <row r="462">
      <c r="A462" s="654"/>
      <c r="B462" s="704" t="s">
        <v>844</v>
      </c>
      <c r="C462" s="687">
        <v>1.0</v>
      </c>
      <c r="D462" s="702">
        <v>1.0</v>
      </c>
      <c r="E462" s="703"/>
      <c r="F462" s="951"/>
      <c r="G462" s="951"/>
      <c r="H462" s="951"/>
      <c r="I462" s="951"/>
      <c r="J462" s="951"/>
      <c r="K462" s="951"/>
      <c r="L462" s="951"/>
      <c r="M462" s="951"/>
      <c r="N462" s="659"/>
      <c r="O462" s="951"/>
      <c r="P462" s="951"/>
      <c r="Q462" s="659"/>
      <c r="R462" s="659"/>
      <c r="S462" s="659"/>
      <c r="T462" s="659"/>
      <c r="U462" s="659"/>
      <c r="V462" s="659"/>
      <c r="W462" s="659"/>
      <c r="X462" s="659"/>
      <c r="Y462" s="659"/>
      <c r="Z462" s="659"/>
      <c r="AA462" s="659"/>
      <c r="AB462" s="659"/>
      <c r="AC462" s="659"/>
      <c r="AD462" s="659"/>
      <c r="AE462" s="659"/>
      <c r="AF462" s="659"/>
      <c r="AG462" s="659"/>
      <c r="AH462" s="659"/>
      <c r="AI462" s="659"/>
      <c r="AJ462" s="659"/>
      <c r="AK462" s="659"/>
      <c r="AL462" s="659"/>
      <c r="AM462" s="659"/>
      <c r="AN462" s="659"/>
      <c r="AO462" s="659"/>
      <c r="AP462" s="659"/>
      <c r="AQ462" s="746"/>
    </row>
    <row r="463">
      <c r="A463" s="654"/>
      <c r="B463" s="704" t="s">
        <v>845</v>
      </c>
      <c r="C463" s="687">
        <v>1.0</v>
      </c>
      <c r="D463" s="702">
        <v>2.0</v>
      </c>
      <c r="E463" s="703"/>
      <c r="F463" s="951"/>
      <c r="G463" s="951"/>
      <c r="H463" s="951"/>
      <c r="I463" s="951"/>
      <c r="J463" s="951"/>
      <c r="K463" s="951"/>
      <c r="L463" s="951"/>
      <c r="M463" s="951"/>
      <c r="N463" s="659"/>
      <c r="O463" s="951"/>
      <c r="P463" s="951"/>
      <c r="Q463" s="659"/>
      <c r="R463" s="659"/>
      <c r="S463" s="659"/>
      <c r="T463" s="659"/>
      <c r="U463" s="659"/>
      <c r="V463" s="659"/>
      <c r="W463" s="659"/>
      <c r="X463" s="659"/>
      <c r="Y463" s="659"/>
      <c r="Z463" s="659"/>
      <c r="AA463" s="659"/>
      <c r="AB463" s="659"/>
      <c r="AC463" s="659"/>
      <c r="AD463" s="659"/>
      <c r="AE463" s="659"/>
      <c r="AF463" s="659"/>
      <c r="AG463" s="659"/>
      <c r="AH463" s="659"/>
      <c r="AI463" s="659"/>
      <c r="AJ463" s="659"/>
      <c r="AK463" s="659"/>
      <c r="AL463" s="659"/>
      <c r="AM463" s="659"/>
      <c r="AN463" s="659"/>
      <c r="AO463" s="659"/>
      <c r="AP463" s="659"/>
      <c r="AQ463" s="746"/>
    </row>
    <row r="464">
      <c r="A464" s="654"/>
      <c r="B464" s="704" t="s">
        <v>846</v>
      </c>
      <c r="C464" s="687">
        <v>1.0</v>
      </c>
      <c r="D464" s="702">
        <v>1.0</v>
      </c>
      <c r="E464" s="703"/>
      <c r="F464" s="951"/>
      <c r="G464" s="951"/>
      <c r="H464" s="951"/>
      <c r="I464" s="951"/>
      <c r="J464" s="951"/>
      <c r="K464" s="951"/>
      <c r="L464" s="951"/>
      <c r="M464" s="951"/>
      <c r="N464" s="659"/>
      <c r="O464" s="951"/>
      <c r="P464" s="951"/>
      <c r="Q464" s="659"/>
      <c r="R464" s="659"/>
      <c r="S464" s="659"/>
      <c r="T464" s="659"/>
      <c r="U464" s="659"/>
      <c r="V464" s="659"/>
      <c r="W464" s="659"/>
      <c r="X464" s="659"/>
      <c r="Y464" s="659"/>
      <c r="Z464" s="659"/>
      <c r="AA464" s="659"/>
      <c r="AB464" s="659"/>
      <c r="AC464" s="659"/>
      <c r="AD464" s="659"/>
      <c r="AE464" s="659"/>
      <c r="AF464" s="659"/>
      <c r="AG464" s="659"/>
      <c r="AH464" s="659"/>
      <c r="AI464" s="659"/>
      <c r="AJ464" s="659"/>
      <c r="AK464" s="659"/>
      <c r="AL464" s="659"/>
      <c r="AM464" s="659"/>
      <c r="AN464" s="659"/>
      <c r="AO464" s="659"/>
      <c r="AP464" s="659"/>
      <c r="AQ464" s="746"/>
    </row>
    <row r="465">
      <c r="A465" s="654"/>
      <c r="B465" s="704" t="s">
        <v>847</v>
      </c>
      <c r="C465" s="687">
        <v>1.0</v>
      </c>
      <c r="D465" s="702">
        <v>1.0</v>
      </c>
      <c r="E465" s="703"/>
      <c r="F465" s="951"/>
      <c r="G465" s="951"/>
      <c r="H465" s="951"/>
      <c r="I465" s="951"/>
      <c r="J465" s="951"/>
      <c r="K465" s="951"/>
      <c r="L465" s="951"/>
      <c r="M465" s="951"/>
      <c r="N465" s="659"/>
      <c r="O465" s="951"/>
      <c r="P465" s="951"/>
      <c r="Q465" s="659"/>
      <c r="R465" s="659"/>
      <c r="S465" s="659"/>
      <c r="T465" s="659"/>
      <c r="U465" s="659"/>
      <c r="V465" s="659"/>
      <c r="W465" s="659"/>
      <c r="X465" s="659"/>
      <c r="Y465" s="659"/>
      <c r="Z465" s="659"/>
      <c r="AA465" s="659"/>
      <c r="AB465" s="659"/>
      <c r="AC465" s="659"/>
      <c r="AD465" s="659"/>
      <c r="AE465" s="659"/>
      <c r="AF465" s="659"/>
      <c r="AG465" s="659"/>
      <c r="AH465" s="659"/>
      <c r="AI465" s="659"/>
      <c r="AJ465" s="659"/>
      <c r="AK465" s="659"/>
      <c r="AL465" s="659"/>
      <c r="AM465" s="659"/>
      <c r="AN465" s="659"/>
      <c r="AO465" s="659"/>
      <c r="AP465" s="659"/>
      <c r="AQ465" s="746"/>
    </row>
    <row r="466">
      <c r="A466" s="654"/>
      <c r="B466" s="704" t="s">
        <v>848</v>
      </c>
      <c r="C466" s="687">
        <v>1.0</v>
      </c>
      <c r="D466" s="702">
        <v>1.0</v>
      </c>
      <c r="E466" s="703"/>
      <c r="F466" s="951"/>
      <c r="G466" s="951"/>
      <c r="H466" s="951"/>
      <c r="I466" s="951"/>
      <c r="J466" s="951"/>
      <c r="K466" s="951"/>
      <c r="L466" s="951"/>
      <c r="M466" s="951"/>
      <c r="N466" s="659"/>
      <c r="O466" s="951"/>
      <c r="P466" s="951"/>
      <c r="Q466" s="659"/>
      <c r="R466" s="659"/>
      <c r="S466" s="659"/>
      <c r="T466" s="659"/>
      <c r="U466" s="659"/>
      <c r="V466" s="659"/>
      <c r="W466" s="659"/>
      <c r="X466" s="659"/>
      <c r="Y466" s="659"/>
      <c r="Z466" s="659"/>
      <c r="AA466" s="659"/>
      <c r="AB466" s="659"/>
      <c r="AC466" s="659"/>
      <c r="AD466" s="659"/>
      <c r="AE466" s="659"/>
      <c r="AF466" s="659"/>
      <c r="AG466" s="659"/>
      <c r="AH466" s="659"/>
      <c r="AI466" s="659"/>
      <c r="AJ466" s="659"/>
      <c r="AK466" s="659"/>
      <c r="AL466" s="659"/>
      <c r="AM466" s="659"/>
      <c r="AN466" s="659"/>
      <c r="AO466" s="659"/>
      <c r="AP466" s="659"/>
      <c r="AQ466" s="746"/>
    </row>
    <row r="467">
      <c r="A467" s="654"/>
      <c r="B467" s="738" t="s">
        <v>849</v>
      </c>
      <c r="C467" s="720">
        <v>1.0</v>
      </c>
      <c r="D467" s="721">
        <v>1.0</v>
      </c>
      <c r="E467" s="703"/>
      <c r="F467" s="951"/>
      <c r="G467" s="951"/>
      <c r="H467" s="951"/>
      <c r="I467" s="951"/>
      <c r="J467" s="951"/>
      <c r="K467" s="951"/>
      <c r="L467" s="951"/>
      <c r="M467" s="951"/>
      <c r="N467" s="659"/>
      <c r="O467" s="951"/>
      <c r="P467" s="951"/>
      <c r="Q467" s="659"/>
      <c r="R467" s="659"/>
      <c r="S467" s="659"/>
      <c r="T467" s="659"/>
      <c r="U467" s="659"/>
      <c r="V467" s="659"/>
      <c r="W467" s="659"/>
      <c r="X467" s="659"/>
      <c r="Y467" s="659"/>
      <c r="Z467" s="659"/>
      <c r="AA467" s="659"/>
      <c r="AB467" s="659"/>
      <c r="AC467" s="659"/>
      <c r="AD467" s="659"/>
      <c r="AE467" s="659"/>
      <c r="AF467" s="659"/>
      <c r="AG467" s="659"/>
      <c r="AH467" s="659"/>
      <c r="AI467" s="659"/>
      <c r="AJ467" s="659"/>
      <c r="AK467" s="659"/>
      <c r="AL467" s="659"/>
      <c r="AM467" s="659"/>
      <c r="AN467" s="659"/>
      <c r="AO467" s="659"/>
      <c r="AP467" s="659"/>
      <c r="AQ467" s="746"/>
    </row>
    <row r="468">
      <c r="A468" s="654"/>
      <c r="B468" s="704" t="s">
        <v>850</v>
      </c>
      <c r="C468" s="687">
        <v>1.0</v>
      </c>
      <c r="D468" s="702">
        <v>1.0</v>
      </c>
      <c r="E468" s="703"/>
      <c r="F468" s="951"/>
      <c r="G468" s="951"/>
      <c r="H468" s="951"/>
      <c r="I468" s="951"/>
      <c r="J468" s="951"/>
      <c r="K468" s="951"/>
      <c r="L468" s="951"/>
      <c r="M468" s="951"/>
      <c r="N468" s="659"/>
      <c r="O468" s="951"/>
      <c r="P468" s="951"/>
      <c r="Q468" s="659"/>
      <c r="R468" s="659"/>
      <c r="S468" s="659"/>
      <c r="T468" s="659"/>
      <c r="U468" s="659"/>
      <c r="V468" s="659"/>
      <c r="W468" s="659"/>
      <c r="X468" s="659"/>
      <c r="Y468" s="659"/>
      <c r="Z468" s="659"/>
      <c r="AA468" s="659"/>
      <c r="AB468" s="659"/>
      <c r="AC468" s="659"/>
      <c r="AD468" s="659"/>
      <c r="AE468" s="659"/>
      <c r="AF468" s="659"/>
      <c r="AG468" s="659"/>
      <c r="AH468" s="659"/>
      <c r="AI468" s="659"/>
      <c r="AJ468" s="659"/>
      <c r="AK468" s="659"/>
      <c r="AL468" s="659"/>
      <c r="AM468" s="659"/>
      <c r="AN468" s="659"/>
      <c r="AO468" s="659"/>
      <c r="AP468" s="659"/>
      <c r="AQ468" s="746"/>
    </row>
    <row r="469">
      <c r="A469" s="654"/>
      <c r="B469" s="704" t="s">
        <v>851</v>
      </c>
      <c r="C469" s="687">
        <v>1.0</v>
      </c>
      <c r="D469" s="702">
        <v>1.0</v>
      </c>
      <c r="E469" s="703"/>
      <c r="F469" s="951"/>
      <c r="G469" s="951"/>
      <c r="H469" s="951"/>
      <c r="I469" s="951"/>
      <c r="J469" s="951"/>
      <c r="K469" s="951"/>
      <c r="L469" s="951"/>
      <c r="M469" s="951"/>
      <c r="N469" s="659"/>
      <c r="O469" s="951"/>
      <c r="P469" s="951"/>
      <c r="Q469" s="659"/>
      <c r="R469" s="659"/>
      <c r="S469" s="659"/>
      <c r="T469" s="659"/>
      <c r="U469" s="659"/>
      <c r="V469" s="659"/>
      <c r="W469" s="659"/>
      <c r="X469" s="659"/>
      <c r="Y469" s="659"/>
      <c r="Z469" s="659"/>
      <c r="AA469" s="659"/>
      <c r="AB469" s="659"/>
      <c r="AC469" s="659"/>
      <c r="AD469" s="659"/>
      <c r="AE469" s="659"/>
      <c r="AF469" s="659"/>
      <c r="AG469" s="659"/>
      <c r="AH469" s="659"/>
      <c r="AI469" s="659"/>
      <c r="AJ469" s="659"/>
      <c r="AK469" s="659"/>
      <c r="AL469" s="659"/>
      <c r="AM469" s="659"/>
      <c r="AN469" s="659"/>
      <c r="AO469" s="659"/>
      <c r="AP469" s="659"/>
      <c r="AQ469" s="746"/>
    </row>
    <row r="470">
      <c r="A470" s="654"/>
      <c r="B470" s="704" t="s">
        <v>852</v>
      </c>
      <c r="C470" s="687">
        <v>1.0</v>
      </c>
      <c r="D470" s="702">
        <v>1.0</v>
      </c>
      <c r="E470" s="703"/>
      <c r="F470" s="951"/>
      <c r="G470" s="951"/>
      <c r="H470" s="951"/>
      <c r="I470" s="951"/>
      <c r="J470" s="951"/>
      <c r="K470" s="951"/>
      <c r="L470" s="951"/>
      <c r="M470" s="951"/>
      <c r="N470" s="659"/>
      <c r="O470" s="951"/>
      <c r="P470" s="951"/>
      <c r="Q470" s="659"/>
      <c r="R470" s="659"/>
      <c r="S470" s="659"/>
      <c r="T470" s="659"/>
      <c r="U470" s="659"/>
      <c r="V470" s="659"/>
      <c r="W470" s="659"/>
      <c r="X470" s="659"/>
      <c r="Y470" s="659"/>
      <c r="Z470" s="659"/>
      <c r="AA470" s="659"/>
      <c r="AB470" s="659"/>
      <c r="AC470" s="659"/>
      <c r="AD470" s="659"/>
      <c r="AE470" s="659"/>
      <c r="AF470" s="659"/>
      <c r="AG470" s="659"/>
      <c r="AH470" s="659"/>
      <c r="AI470" s="659"/>
      <c r="AJ470" s="659"/>
      <c r="AK470" s="659"/>
      <c r="AL470" s="659"/>
      <c r="AM470" s="659"/>
      <c r="AN470" s="659"/>
      <c r="AO470" s="659"/>
      <c r="AP470" s="659"/>
      <c r="AQ470" s="746"/>
    </row>
    <row r="471">
      <c r="A471" s="654"/>
      <c r="B471" s="704" t="s">
        <v>853</v>
      </c>
      <c r="C471" s="687">
        <v>1.0</v>
      </c>
      <c r="D471" s="702">
        <v>1.0</v>
      </c>
      <c r="E471" s="703"/>
      <c r="F471" s="951"/>
      <c r="G471" s="951"/>
      <c r="H471" s="951"/>
      <c r="I471" s="951"/>
      <c r="J471" s="951"/>
      <c r="K471" s="951"/>
      <c r="L471" s="951"/>
      <c r="M471" s="951"/>
      <c r="N471" s="659"/>
      <c r="O471" s="951"/>
      <c r="P471" s="951"/>
      <c r="Q471" s="659"/>
      <c r="R471" s="659"/>
      <c r="S471" s="659"/>
      <c r="T471" s="659"/>
      <c r="U471" s="659"/>
      <c r="V471" s="659"/>
      <c r="W471" s="659"/>
      <c r="X471" s="659"/>
      <c r="Y471" s="659"/>
      <c r="Z471" s="659"/>
      <c r="AA471" s="659"/>
      <c r="AB471" s="659"/>
      <c r="AC471" s="659"/>
      <c r="AD471" s="659"/>
      <c r="AE471" s="659"/>
      <c r="AF471" s="659"/>
      <c r="AG471" s="659"/>
      <c r="AH471" s="659"/>
      <c r="AI471" s="659"/>
      <c r="AJ471" s="659"/>
      <c r="AK471" s="659"/>
      <c r="AL471" s="659"/>
      <c r="AM471" s="659"/>
      <c r="AN471" s="659"/>
      <c r="AO471" s="659"/>
      <c r="AP471" s="659"/>
      <c r="AQ471" s="746"/>
    </row>
    <row r="472">
      <c r="A472" s="654"/>
      <c r="B472" s="704" t="s">
        <v>854</v>
      </c>
      <c r="C472" s="687">
        <v>1.0</v>
      </c>
      <c r="D472" s="702">
        <v>1.0</v>
      </c>
      <c r="E472" s="703"/>
      <c r="F472" s="951"/>
      <c r="G472" s="951"/>
      <c r="H472" s="951"/>
      <c r="I472" s="951"/>
      <c r="J472" s="951"/>
      <c r="K472" s="951"/>
      <c r="L472" s="951"/>
      <c r="M472" s="951"/>
      <c r="N472" s="659"/>
      <c r="O472" s="951"/>
      <c r="P472" s="951"/>
      <c r="Q472" s="659"/>
      <c r="R472" s="659"/>
      <c r="S472" s="659"/>
      <c r="T472" s="659"/>
      <c r="U472" s="659"/>
      <c r="V472" s="659"/>
      <c r="W472" s="659"/>
      <c r="X472" s="659"/>
      <c r="Y472" s="659"/>
      <c r="Z472" s="659"/>
      <c r="AA472" s="659"/>
      <c r="AB472" s="659"/>
      <c r="AC472" s="659"/>
      <c r="AD472" s="659"/>
      <c r="AE472" s="659"/>
      <c r="AF472" s="659"/>
      <c r="AG472" s="659"/>
      <c r="AH472" s="659"/>
      <c r="AI472" s="659"/>
      <c r="AJ472" s="659"/>
      <c r="AK472" s="659"/>
      <c r="AL472" s="659"/>
      <c r="AM472" s="659"/>
      <c r="AN472" s="659"/>
      <c r="AO472" s="659"/>
      <c r="AP472" s="659"/>
      <c r="AQ472" s="746"/>
    </row>
    <row r="473">
      <c r="A473" s="654"/>
      <c r="B473" s="704" t="s">
        <v>855</v>
      </c>
      <c r="C473" s="687">
        <v>1.0</v>
      </c>
      <c r="D473" s="702">
        <v>1.0</v>
      </c>
      <c r="E473" s="703"/>
      <c r="F473" s="951"/>
      <c r="G473" s="951"/>
      <c r="H473" s="951"/>
      <c r="I473" s="951"/>
      <c r="J473" s="951"/>
      <c r="K473" s="951"/>
      <c r="L473" s="951"/>
      <c r="M473" s="951"/>
      <c r="N473" s="659"/>
      <c r="O473" s="951"/>
      <c r="P473" s="951"/>
      <c r="Q473" s="659"/>
      <c r="R473" s="659"/>
      <c r="S473" s="659"/>
      <c r="T473" s="659"/>
      <c r="U473" s="659"/>
      <c r="V473" s="659"/>
      <c r="W473" s="659"/>
      <c r="X473" s="659"/>
      <c r="Y473" s="659"/>
      <c r="Z473" s="659"/>
      <c r="AA473" s="659"/>
      <c r="AB473" s="659"/>
      <c r="AC473" s="659"/>
      <c r="AD473" s="659"/>
      <c r="AE473" s="659"/>
      <c r="AF473" s="659"/>
      <c r="AG473" s="659"/>
      <c r="AH473" s="659"/>
      <c r="AI473" s="659"/>
      <c r="AJ473" s="659"/>
      <c r="AK473" s="659"/>
      <c r="AL473" s="659"/>
      <c r="AM473" s="659"/>
      <c r="AN473" s="659"/>
      <c r="AO473" s="659"/>
      <c r="AP473" s="659"/>
      <c r="AQ473" s="746"/>
    </row>
    <row r="474">
      <c r="A474" s="654"/>
      <c r="B474" s="738" t="s">
        <v>856</v>
      </c>
      <c r="C474" s="720">
        <v>1.0</v>
      </c>
      <c r="D474" s="721">
        <v>1.0</v>
      </c>
      <c r="E474" s="703"/>
      <c r="F474" s="951"/>
      <c r="G474" s="951"/>
      <c r="H474" s="951"/>
      <c r="I474" s="951"/>
      <c r="J474" s="951"/>
      <c r="K474" s="951"/>
      <c r="L474" s="951"/>
      <c r="M474" s="951"/>
      <c r="N474" s="659"/>
      <c r="O474" s="951"/>
      <c r="P474" s="951"/>
      <c r="Q474" s="659"/>
      <c r="R474" s="659"/>
      <c r="S474" s="659"/>
      <c r="T474" s="659"/>
      <c r="U474" s="659"/>
      <c r="V474" s="659"/>
      <c r="W474" s="659"/>
      <c r="X474" s="659"/>
      <c r="Y474" s="659"/>
      <c r="Z474" s="659"/>
      <c r="AA474" s="659"/>
      <c r="AB474" s="659"/>
      <c r="AC474" s="659"/>
      <c r="AD474" s="659"/>
      <c r="AE474" s="659"/>
      <c r="AF474" s="659"/>
      <c r="AG474" s="659"/>
      <c r="AH474" s="659"/>
      <c r="AI474" s="659"/>
      <c r="AJ474" s="659"/>
      <c r="AK474" s="659"/>
      <c r="AL474" s="659"/>
      <c r="AM474" s="659"/>
      <c r="AN474" s="659"/>
      <c r="AO474" s="659"/>
      <c r="AP474" s="659"/>
      <c r="AQ474" s="746"/>
    </row>
    <row r="475">
      <c r="A475" s="654"/>
      <c r="B475" s="704" t="s">
        <v>857</v>
      </c>
      <c r="C475" s="687">
        <v>1.0</v>
      </c>
      <c r="D475" s="702">
        <v>1.0</v>
      </c>
      <c r="E475" s="703"/>
      <c r="F475" s="951"/>
      <c r="G475" s="951"/>
      <c r="H475" s="951"/>
      <c r="I475" s="951"/>
      <c r="J475" s="951"/>
      <c r="K475" s="951"/>
      <c r="L475" s="951"/>
      <c r="M475" s="951"/>
      <c r="N475" s="659"/>
      <c r="O475" s="951"/>
      <c r="P475" s="951"/>
      <c r="Q475" s="659"/>
      <c r="R475" s="659"/>
      <c r="S475" s="659"/>
      <c r="T475" s="659"/>
      <c r="U475" s="659"/>
      <c r="V475" s="659"/>
      <c r="W475" s="659"/>
      <c r="X475" s="659"/>
      <c r="Y475" s="659"/>
      <c r="Z475" s="659"/>
      <c r="AA475" s="659"/>
      <c r="AB475" s="659"/>
      <c r="AC475" s="659"/>
      <c r="AD475" s="659"/>
      <c r="AE475" s="659"/>
      <c r="AF475" s="659"/>
      <c r="AG475" s="659"/>
      <c r="AH475" s="659"/>
      <c r="AI475" s="659"/>
      <c r="AJ475" s="659"/>
      <c r="AK475" s="659"/>
      <c r="AL475" s="659"/>
      <c r="AM475" s="659"/>
      <c r="AN475" s="659"/>
      <c r="AO475" s="659"/>
      <c r="AP475" s="659"/>
      <c r="AQ475" s="746"/>
    </row>
    <row r="476">
      <c r="A476" s="654"/>
      <c r="B476" s="704" t="s">
        <v>858</v>
      </c>
      <c r="C476" s="687">
        <v>1.0</v>
      </c>
      <c r="D476" s="702">
        <v>1.0</v>
      </c>
      <c r="E476" s="703"/>
      <c r="F476" s="951"/>
      <c r="G476" s="951"/>
      <c r="H476" s="951"/>
      <c r="I476" s="951"/>
      <c r="J476" s="951"/>
      <c r="K476" s="951"/>
      <c r="L476" s="951"/>
      <c r="M476" s="951"/>
      <c r="N476" s="659"/>
      <c r="O476" s="951"/>
      <c r="P476" s="951"/>
      <c r="Q476" s="659"/>
      <c r="R476" s="659"/>
      <c r="S476" s="659"/>
      <c r="T476" s="659"/>
      <c r="U476" s="659"/>
      <c r="V476" s="659"/>
      <c r="W476" s="659"/>
      <c r="X476" s="659"/>
      <c r="Y476" s="659"/>
      <c r="Z476" s="659"/>
      <c r="AA476" s="659"/>
      <c r="AB476" s="659"/>
      <c r="AC476" s="659"/>
      <c r="AD476" s="659"/>
      <c r="AE476" s="659"/>
      <c r="AF476" s="659"/>
      <c r="AG476" s="659"/>
      <c r="AH476" s="659"/>
      <c r="AI476" s="659"/>
      <c r="AJ476" s="659"/>
      <c r="AK476" s="659"/>
      <c r="AL476" s="659"/>
      <c r="AM476" s="659"/>
      <c r="AN476" s="659"/>
      <c r="AO476" s="659"/>
      <c r="AP476" s="659"/>
      <c r="AQ476" s="746"/>
    </row>
    <row r="477">
      <c r="A477" s="654"/>
      <c r="B477" s="704" t="s">
        <v>859</v>
      </c>
      <c r="C477" s="687">
        <v>1.0</v>
      </c>
      <c r="D477" s="702">
        <v>2.0</v>
      </c>
      <c r="E477" s="703"/>
      <c r="F477" s="951"/>
      <c r="G477" s="951"/>
      <c r="H477" s="951"/>
      <c r="I477" s="951"/>
      <c r="J477" s="951"/>
      <c r="K477" s="951"/>
      <c r="L477" s="951"/>
      <c r="M477" s="951"/>
      <c r="N477" s="659"/>
      <c r="O477" s="951"/>
      <c r="P477" s="951"/>
      <c r="Q477" s="659"/>
      <c r="R477" s="659"/>
      <c r="S477" s="659"/>
      <c r="T477" s="659"/>
      <c r="U477" s="659"/>
      <c r="V477" s="659"/>
      <c r="W477" s="659"/>
      <c r="X477" s="659"/>
      <c r="Y477" s="659"/>
      <c r="Z477" s="659"/>
      <c r="AA477" s="659"/>
      <c r="AB477" s="659"/>
      <c r="AC477" s="659"/>
      <c r="AD477" s="659"/>
      <c r="AE477" s="659"/>
      <c r="AF477" s="659"/>
      <c r="AG477" s="659"/>
      <c r="AH477" s="659"/>
      <c r="AI477" s="659"/>
      <c r="AJ477" s="659"/>
      <c r="AK477" s="659"/>
      <c r="AL477" s="659"/>
      <c r="AM477" s="659"/>
      <c r="AN477" s="659"/>
      <c r="AO477" s="659"/>
      <c r="AP477" s="659"/>
      <c r="AQ477" s="746"/>
    </row>
    <row r="478">
      <c r="A478" s="654"/>
      <c r="B478" s="704" t="s">
        <v>860</v>
      </c>
      <c r="C478" s="687">
        <v>1.0</v>
      </c>
      <c r="D478" s="702">
        <v>1.0</v>
      </c>
      <c r="E478" s="703"/>
      <c r="F478" s="951"/>
      <c r="G478" s="951"/>
      <c r="H478" s="951"/>
      <c r="I478" s="951"/>
      <c r="J478" s="951"/>
      <c r="K478" s="951"/>
      <c r="L478" s="951"/>
      <c r="M478" s="951"/>
      <c r="N478" s="659"/>
      <c r="O478" s="951"/>
      <c r="P478" s="951"/>
      <c r="Q478" s="659"/>
      <c r="R478" s="659"/>
      <c r="S478" s="659"/>
      <c r="T478" s="659"/>
      <c r="U478" s="659"/>
      <c r="V478" s="659"/>
      <c r="W478" s="659"/>
      <c r="X478" s="659"/>
      <c r="Y478" s="659"/>
      <c r="Z478" s="659"/>
      <c r="AA478" s="659"/>
      <c r="AB478" s="659"/>
      <c r="AC478" s="659"/>
      <c r="AD478" s="659"/>
      <c r="AE478" s="659"/>
      <c r="AF478" s="659"/>
      <c r="AG478" s="659"/>
      <c r="AH478" s="659"/>
      <c r="AI478" s="659"/>
      <c r="AJ478" s="659"/>
      <c r="AK478" s="659"/>
      <c r="AL478" s="659"/>
      <c r="AM478" s="659"/>
      <c r="AN478" s="659"/>
      <c r="AO478" s="659"/>
      <c r="AP478" s="659"/>
      <c r="AQ478" s="746"/>
    </row>
    <row r="479">
      <c r="A479" s="654"/>
      <c r="B479" s="704" t="s">
        <v>861</v>
      </c>
      <c r="C479" s="687">
        <v>1.0</v>
      </c>
      <c r="D479" s="702">
        <v>1.0</v>
      </c>
      <c r="E479" s="703"/>
      <c r="F479" s="951"/>
      <c r="G479" s="951"/>
      <c r="H479" s="951"/>
      <c r="I479" s="951"/>
      <c r="J479" s="951"/>
      <c r="K479" s="951"/>
      <c r="L479" s="951"/>
      <c r="M479" s="951"/>
      <c r="N479" s="659"/>
      <c r="O479" s="951"/>
      <c r="P479" s="951"/>
      <c r="Q479" s="659"/>
      <c r="R479" s="659"/>
      <c r="S479" s="659"/>
      <c r="T479" s="659"/>
      <c r="U479" s="659"/>
      <c r="V479" s="659"/>
      <c r="W479" s="659"/>
      <c r="X479" s="659"/>
      <c r="Y479" s="659"/>
      <c r="Z479" s="659"/>
      <c r="AA479" s="659"/>
      <c r="AB479" s="659"/>
      <c r="AC479" s="659"/>
      <c r="AD479" s="659"/>
      <c r="AE479" s="659"/>
      <c r="AF479" s="659"/>
      <c r="AG479" s="659"/>
      <c r="AH479" s="659"/>
      <c r="AI479" s="659"/>
      <c r="AJ479" s="659"/>
      <c r="AK479" s="659"/>
      <c r="AL479" s="659"/>
      <c r="AM479" s="659"/>
      <c r="AN479" s="659"/>
      <c r="AO479" s="659"/>
      <c r="AP479" s="659"/>
      <c r="AQ479" s="746"/>
    </row>
    <row r="480">
      <c r="A480" s="654"/>
      <c r="B480" s="704" t="s">
        <v>862</v>
      </c>
      <c r="C480" s="687">
        <v>1.0</v>
      </c>
      <c r="D480" s="702">
        <v>1.0</v>
      </c>
      <c r="E480" s="703"/>
      <c r="F480" s="951"/>
      <c r="G480" s="951"/>
      <c r="H480" s="951"/>
      <c r="I480" s="951"/>
      <c r="J480" s="951"/>
      <c r="K480" s="951"/>
      <c r="L480" s="951"/>
      <c r="M480" s="951"/>
      <c r="N480" s="659"/>
      <c r="O480" s="951"/>
      <c r="P480" s="951"/>
      <c r="Q480" s="659"/>
      <c r="R480" s="659"/>
      <c r="S480" s="659"/>
      <c r="T480" s="659"/>
      <c r="U480" s="659"/>
      <c r="V480" s="659"/>
      <c r="W480" s="659"/>
      <c r="X480" s="659"/>
      <c r="Y480" s="659"/>
      <c r="Z480" s="659"/>
      <c r="AA480" s="659"/>
      <c r="AB480" s="659"/>
      <c r="AC480" s="659"/>
      <c r="AD480" s="659"/>
      <c r="AE480" s="659"/>
      <c r="AF480" s="659"/>
      <c r="AG480" s="659"/>
      <c r="AH480" s="659"/>
      <c r="AI480" s="659"/>
      <c r="AJ480" s="659"/>
      <c r="AK480" s="659"/>
      <c r="AL480" s="659"/>
      <c r="AM480" s="659"/>
      <c r="AN480" s="659"/>
      <c r="AO480" s="659"/>
      <c r="AP480" s="659"/>
      <c r="AQ480" s="746"/>
    </row>
    <row r="481">
      <c r="A481" s="654"/>
      <c r="B481" s="704" t="s">
        <v>863</v>
      </c>
      <c r="C481" s="687">
        <v>1.0</v>
      </c>
      <c r="D481" s="702">
        <v>1.0</v>
      </c>
      <c r="E481" s="703"/>
      <c r="F481" s="951"/>
      <c r="G481" s="951"/>
      <c r="H481" s="951"/>
      <c r="I481" s="951"/>
      <c r="J481" s="951"/>
      <c r="K481" s="951"/>
      <c r="L481" s="951"/>
      <c r="M481" s="951"/>
      <c r="N481" s="659"/>
      <c r="O481" s="951"/>
      <c r="P481" s="951"/>
      <c r="Q481" s="659"/>
      <c r="R481" s="659"/>
      <c r="S481" s="659"/>
      <c r="T481" s="659"/>
      <c r="U481" s="659"/>
      <c r="V481" s="659"/>
      <c r="W481" s="659"/>
      <c r="X481" s="659"/>
      <c r="Y481" s="659"/>
      <c r="Z481" s="659"/>
      <c r="AA481" s="659"/>
      <c r="AB481" s="659"/>
      <c r="AC481" s="659"/>
      <c r="AD481" s="659"/>
      <c r="AE481" s="659"/>
      <c r="AF481" s="659"/>
      <c r="AG481" s="659"/>
      <c r="AH481" s="659"/>
      <c r="AI481" s="659"/>
      <c r="AJ481" s="659"/>
      <c r="AK481" s="659"/>
      <c r="AL481" s="659"/>
      <c r="AM481" s="659"/>
      <c r="AN481" s="659"/>
      <c r="AO481" s="659"/>
      <c r="AP481" s="659"/>
      <c r="AQ481" s="746"/>
    </row>
    <row r="482">
      <c r="A482" s="654"/>
      <c r="B482" s="704" t="s">
        <v>864</v>
      </c>
      <c r="C482" s="687">
        <v>1.0</v>
      </c>
      <c r="D482" s="702">
        <v>2.0</v>
      </c>
      <c r="E482" s="703"/>
      <c r="F482" s="951"/>
      <c r="G482" s="951"/>
      <c r="H482" s="951"/>
      <c r="I482" s="951"/>
      <c r="J482" s="951"/>
      <c r="K482" s="951"/>
      <c r="L482" s="951"/>
      <c r="M482" s="951"/>
      <c r="N482" s="659"/>
      <c r="O482" s="951"/>
      <c r="P482" s="951"/>
      <c r="Q482" s="659"/>
      <c r="R482" s="659"/>
      <c r="S482" s="659"/>
      <c r="T482" s="659"/>
      <c r="U482" s="659"/>
      <c r="V482" s="659"/>
      <c r="W482" s="659"/>
      <c r="X482" s="659"/>
      <c r="Y482" s="659"/>
      <c r="Z482" s="659"/>
      <c r="AA482" s="659"/>
      <c r="AB482" s="659"/>
      <c r="AC482" s="659"/>
      <c r="AD482" s="659"/>
      <c r="AE482" s="659"/>
      <c r="AF482" s="659"/>
      <c r="AG482" s="659"/>
      <c r="AH482" s="659"/>
      <c r="AI482" s="659"/>
      <c r="AJ482" s="659"/>
      <c r="AK482" s="659"/>
      <c r="AL482" s="659"/>
      <c r="AM482" s="659"/>
      <c r="AN482" s="659"/>
      <c r="AO482" s="659"/>
      <c r="AP482" s="659"/>
      <c r="AQ482" s="746"/>
    </row>
    <row r="483">
      <c r="A483" s="654"/>
      <c r="B483" s="704" t="s">
        <v>865</v>
      </c>
      <c r="C483" s="687">
        <v>1.0</v>
      </c>
      <c r="D483" s="702">
        <v>1.0</v>
      </c>
      <c r="E483" s="703"/>
      <c r="F483" s="951"/>
      <c r="G483" s="951"/>
      <c r="H483" s="951"/>
      <c r="I483" s="951"/>
      <c r="J483" s="951"/>
      <c r="K483" s="951"/>
      <c r="L483" s="951"/>
      <c r="M483" s="951"/>
      <c r="N483" s="659"/>
      <c r="O483" s="951"/>
      <c r="P483" s="951"/>
      <c r="Q483" s="659"/>
      <c r="R483" s="659"/>
      <c r="S483" s="659"/>
      <c r="T483" s="659"/>
      <c r="U483" s="659"/>
      <c r="V483" s="659"/>
      <c r="W483" s="659"/>
      <c r="X483" s="659"/>
      <c r="Y483" s="659"/>
      <c r="Z483" s="659"/>
      <c r="AA483" s="659"/>
      <c r="AB483" s="659"/>
      <c r="AC483" s="659"/>
      <c r="AD483" s="659"/>
      <c r="AE483" s="659"/>
      <c r="AF483" s="659"/>
      <c r="AG483" s="659"/>
      <c r="AH483" s="659"/>
      <c r="AI483" s="659"/>
      <c r="AJ483" s="659"/>
      <c r="AK483" s="659"/>
      <c r="AL483" s="659"/>
      <c r="AM483" s="659"/>
      <c r="AN483" s="659"/>
      <c r="AO483" s="659"/>
      <c r="AP483" s="659"/>
      <c r="AQ483" s="746"/>
    </row>
    <row r="484">
      <c r="A484" s="654"/>
      <c r="B484" s="704" t="s">
        <v>866</v>
      </c>
      <c r="C484" s="687">
        <v>1.0</v>
      </c>
      <c r="D484" s="702">
        <v>2.0</v>
      </c>
      <c r="E484" s="703"/>
      <c r="F484" s="951"/>
      <c r="G484" s="951"/>
      <c r="H484" s="951"/>
      <c r="I484" s="951"/>
      <c r="J484" s="951"/>
      <c r="K484" s="951"/>
      <c r="L484" s="951"/>
      <c r="M484" s="951"/>
      <c r="N484" s="659"/>
      <c r="O484" s="951"/>
      <c r="P484" s="951"/>
      <c r="Q484" s="659"/>
      <c r="R484" s="659"/>
      <c r="S484" s="659"/>
      <c r="T484" s="659"/>
      <c r="U484" s="659"/>
      <c r="V484" s="659"/>
      <c r="W484" s="659"/>
      <c r="X484" s="659"/>
      <c r="Y484" s="659"/>
      <c r="Z484" s="659"/>
      <c r="AA484" s="659"/>
      <c r="AB484" s="659"/>
      <c r="AC484" s="659"/>
      <c r="AD484" s="659"/>
      <c r="AE484" s="659"/>
      <c r="AF484" s="659"/>
      <c r="AG484" s="659"/>
      <c r="AH484" s="659"/>
      <c r="AI484" s="659"/>
      <c r="AJ484" s="659"/>
      <c r="AK484" s="659"/>
      <c r="AL484" s="659"/>
      <c r="AM484" s="659"/>
      <c r="AN484" s="659"/>
      <c r="AO484" s="659"/>
      <c r="AP484" s="659"/>
      <c r="AQ484" s="746"/>
    </row>
    <row r="485">
      <c r="A485" s="654"/>
      <c r="B485" s="704" t="s">
        <v>867</v>
      </c>
      <c r="C485" s="687">
        <v>1.0</v>
      </c>
      <c r="D485" s="702">
        <v>1.0</v>
      </c>
      <c r="E485" s="703"/>
      <c r="F485" s="951"/>
      <c r="G485" s="951"/>
      <c r="H485" s="951"/>
      <c r="I485" s="951"/>
      <c r="J485" s="951"/>
      <c r="K485" s="951"/>
      <c r="L485" s="951"/>
      <c r="M485" s="951"/>
      <c r="N485" s="659"/>
      <c r="O485" s="951"/>
      <c r="P485" s="951"/>
      <c r="Q485" s="659"/>
      <c r="R485" s="659"/>
      <c r="S485" s="659"/>
      <c r="T485" s="659"/>
      <c r="U485" s="659"/>
      <c r="V485" s="659"/>
      <c r="W485" s="659"/>
      <c r="X485" s="659"/>
      <c r="Y485" s="659"/>
      <c r="Z485" s="659"/>
      <c r="AA485" s="659"/>
      <c r="AB485" s="659"/>
      <c r="AC485" s="659"/>
      <c r="AD485" s="659"/>
      <c r="AE485" s="659"/>
      <c r="AF485" s="659"/>
      <c r="AG485" s="659"/>
      <c r="AH485" s="659"/>
      <c r="AI485" s="659"/>
      <c r="AJ485" s="659"/>
      <c r="AK485" s="659"/>
      <c r="AL485" s="659"/>
      <c r="AM485" s="659"/>
      <c r="AN485" s="659"/>
      <c r="AO485" s="659"/>
      <c r="AP485" s="659"/>
      <c r="AQ485" s="746"/>
    </row>
    <row r="486">
      <c r="A486" s="654"/>
      <c r="B486" s="704" t="s">
        <v>868</v>
      </c>
      <c r="C486" s="687">
        <v>1.0</v>
      </c>
      <c r="D486" s="702">
        <v>2.0</v>
      </c>
      <c r="E486" s="703"/>
      <c r="F486" s="951"/>
      <c r="G486" s="951"/>
      <c r="H486" s="951"/>
      <c r="I486" s="951"/>
      <c r="J486" s="951"/>
      <c r="K486" s="951"/>
      <c r="L486" s="951"/>
      <c r="M486" s="951"/>
      <c r="N486" s="659"/>
      <c r="O486" s="951"/>
      <c r="P486" s="951"/>
      <c r="Q486" s="659"/>
      <c r="R486" s="659"/>
      <c r="S486" s="659"/>
      <c r="T486" s="659"/>
      <c r="U486" s="659"/>
      <c r="V486" s="659"/>
      <c r="W486" s="659"/>
      <c r="X486" s="659"/>
      <c r="Y486" s="659"/>
      <c r="Z486" s="659"/>
      <c r="AA486" s="659"/>
      <c r="AB486" s="659"/>
      <c r="AC486" s="659"/>
      <c r="AD486" s="659"/>
      <c r="AE486" s="659"/>
      <c r="AF486" s="659"/>
      <c r="AG486" s="659"/>
      <c r="AH486" s="659"/>
      <c r="AI486" s="659"/>
      <c r="AJ486" s="659"/>
      <c r="AK486" s="659"/>
      <c r="AL486" s="659"/>
      <c r="AM486" s="659"/>
      <c r="AN486" s="659"/>
      <c r="AO486" s="659"/>
      <c r="AP486" s="659"/>
      <c r="AQ486" s="746"/>
    </row>
    <row r="487">
      <c r="A487" s="654"/>
      <c r="B487" s="738" t="s">
        <v>869</v>
      </c>
      <c r="C487" s="720">
        <v>1.0</v>
      </c>
      <c r="D487" s="721">
        <v>1.0</v>
      </c>
      <c r="E487" s="703"/>
      <c r="F487" s="951"/>
      <c r="G487" s="951"/>
      <c r="H487" s="951"/>
      <c r="I487" s="951"/>
      <c r="J487" s="951"/>
      <c r="K487" s="951"/>
      <c r="L487" s="951"/>
      <c r="M487" s="951"/>
      <c r="N487" s="659"/>
      <c r="O487" s="951"/>
      <c r="P487" s="951"/>
      <c r="Q487" s="659"/>
      <c r="R487" s="659"/>
      <c r="S487" s="659"/>
      <c r="T487" s="659"/>
      <c r="U487" s="659"/>
      <c r="V487" s="659"/>
      <c r="W487" s="659"/>
      <c r="X487" s="659"/>
      <c r="Y487" s="659"/>
      <c r="Z487" s="659"/>
      <c r="AA487" s="659"/>
      <c r="AB487" s="659"/>
      <c r="AC487" s="659"/>
      <c r="AD487" s="659"/>
      <c r="AE487" s="659"/>
      <c r="AF487" s="659"/>
      <c r="AG487" s="659"/>
      <c r="AH487" s="659"/>
      <c r="AI487" s="659"/>
      <c r="AJ487" s="659"/>
      <c r="AK487" s="659"/>
      <c r="AL487" s="659"/>
      <c r="AM487" s="659"/>
      <c r="AN487" s="659"/>
      <c r="AO487" s="659"/>
      <c r="AP487" s="659"/>
      <c r="AQ487" s="746"/>
    </row>
    <row r="488">
      <c r="A488" s="654"/>
      <c r="B488" s="704" t="s">
        <v>870</v>
      </c>
      <c r="C488" s="687">
        <v>1.0</v>
      </c>
      <c r="D488" s="702">
        <v>1.0</v>
      </c>
      <c r="E488" s="703"/>
      <c r="F488" s="951"/>
      <c r="G488" s="951"/>
      <c r="H488" s="951"/>
      <c r="I488" s="951"/>
      <c r="J488" s="951"/>
      <c r="K488" s="951"/>
      <c r="L488" s="951"/>
      <c r="M488" s="951"/>
      <c r="N488" s="659"/>
      <c r="O488" s="951"/>
      <c r="P488" s="951"/>
      <c r="Q488" s="659"/>
      <c r="R488" s="659"/>
      <c r="S488" s="659"/>
      <c r="T488" s="659"/>
      <c r="U488" s="659"/>
      <c r="V488" s="659"/>
      <c r="W488" s="659"/>
      <c r="X488" s="659"/>
      <c r="Y488" s="659"/>
      <c r="Z488" s="659"/>
      <c r="AA488" s="659"/>
      <c r="AB488" s="659"/>
      <c r="AC488" s="659"/>
      <c r="AD488" s="659"/>
      <c r="AE488" s="659"/>
      <c r="AF488" s="659"/>
      <c r="AG488" s="659"/>
      <c r="AH488" s="659"/>
      <c r="AI488" s="659"/>
      <c r="AJ488" s="659"/>
      <c r="AK488" s="659"/>
      <c r="AL488" s="659"/>
      <c r="AM488" s="659"/>
      <c r="AN488" s="659"/>
      <c r="AO488" s="659"/>
      <c r="AP488" s="659"/>
      <c r="AQ488" s="746"/>
    </row>
    <row r="489">
      <c r="A489" s="654"/>
      <c r="B489" s="704" t="s">
        <v>871</v>
      </c>
      <c r="C489" s="687">
        <v>1.0</v>
      </c>
      <c r="D489" s="702">
        <v>2.0</v>
      </c>
      <c r="E489" s="703"/>
      <c r="F489" s="951"/>
      <c r="G489" s="951"/>
      <c r="H489" s="951"/>
      <c r="I489" s="951"/>
      <c r="J489" s="951"/>
      <c r="K489" s="951"/>
      <c r="L489" s="951"/>
      <c r="M489" s="951"/>
      <c r="N489" s="659"/>
      <c r="O489" s="951"/>
      <c r="P489" s="951"/>
      <c r="Q489" s="659"/>
      <c r="R489" s="659"/>
      <c r="S489" s="659"/>
      <c r="T489" s="659"/>
      <c r="U489" s="659"/>
      <c r="V489" s="659"/>
      <c r="W489" s="659"/>
      <c r="X489" s="659"/>
      <c r="Y489" s="659"/>
      <c r="Z489" s="659"/>
      <c r="AA489" s="659"/>
      <c r="AB489" s="659"/>
      <c r="AC489" s="659"/>
      <c r="AD489" s="659"/>
      <c r="AE489" s="659"/>
      <c r="AF489" s="659"/>
      <c r="AG489" s="659"/>
      <c r="AH489" s="659"/>
      <c r="AI489" s="659"/>
      <c r="AJ489" s="659"/>
      <c r="AK489" s="659"/>
      <c r="AL489" s="659"/>
      <c r="AM489" s="659"/>
      <c r="AN489" s="659"/>
      <c r="AO489" s="659"/>
      <c r="AP489" s="659"/>
      <c r="AQ489" s="746"/>
    </row>
    <row r="490">
      <c r="A490" s="654"/>
      <c r="B490" s="704" t="s">
        <v>872</v>
      </c>
      <c r="C490" s="687">
        <v>1.0</v>
      </c>
      <c r="D490" s="702">
        <v>2.0</v>
      </c>
      <c r="E490" s="703"/>
      <c r="F490" s="951"/>
      <c r="G490" s="951"/>
      <c r="H490" s="951"/>
      <c r="I490" s="951"/>
      <c r="J490" s="951"/>
      <c r="K490" s="951"/>
      <c r="L490" s="951"/>
      <c r="M490" s="951"/>
      <c r="N490" s="659"/>
      <c r="O490" s="951"/>
      <c r="P490" s="951"/>
      <c r="Q490" s="659"/>
      <c r="R490" s="659"/>
      <c r="S490" s="659"/>
      <c r="T490" s="659"/>
      <c r="U490" s="659"/>
      <c r="V490" s="659"/>
      <c r="W490" s="659"/>
      <c r="X490" s="659"/>
      <c r="Y490" s="659"/>
      <c r="Z490" s="659"/>
      <c r="AA490" s="659"/>
      <c r="AB490" s="659"/>
      <c r="AC490" s="659"/>
      <c r="AD490" s="659"/>
      <c r="AE490" s="659"/>
      <c r="AF490" s="659"/>
      <c r="AG490" s="659"/>
      <c r="AH490" s="659"/>
      <c r="AI490" s="659"/>
      <c r="AJ490" s="659"/>
      <c r="AK490" s="659"/>
      <c r="AL490" s="659"/>
      <c r="AM490" s="659"/>
      <c r="AN490" s="659"/>
      <c r="AO490" s="659"/>
      <c r="AP490" s="659"/>
      <c r="AQ490" s="746"/>
    </row>
    <row r="491">
      <c r="A491" s="654"/>
      <c r="B491" s="704" t="s">
        <v>873</v>
      </c>
      <c r="C491" s="687">
        <v>1.0</v>
      </c>
      <c r="D491" s="702">
        <v>2.0</v>
      </c>
      <c r="E491" s="703"/>
      <c r="F491" s="951"/>
      <c r="G491" s="951"/>
      <c r="H491" s="951"/>
      <c r="I491" s="951"/>
      <c r="J491" s="951"/>
      <c r="K491" s="951"/>
      <c r="L491" s="951"/>
      <c r="M491" s="951"/>
      <c r="N491" s="659"/>
      <c r="O491" s="951"/>
      <c r="P491" s="951"/>
      <c r="Q491" s="659"/>
      <c r="R491" s="659"/>
      <c r="S491" s="659"/>
      <c r="T491" s="659"/>
      <c r="U491" s="659"/>
      <c r="V491" s="659"/>
      <c r="W491" s="659"/>
      <c r="X491" s="659"/>
      <c r="Y491" s="659"/>
      <c r="Z491" s="659"/>
      <c r="AA491" s="659"/>
      <c r="AB491" s="659"/>
      <c r="AC491" s="659"/>
      <c r="AD491" s="659"/>
      <c r="AE491" s="659"/>
      <c r="AF491" s="659"/>
      <c r="AG491" s="659"/>
      <c r="AH491" s="659"/>
      <c r="AI491" s="659"/>
      <c r="AJ491" s="659"/>
      <c r="AK491" s="659"/>
      <c r="AL491" s="659"/>
      <c r="AM491" s="659"/>
      <c r="AN491" s="659"/>
      <c r="AO491" s="659"/>
      <c r="AP491" s="659"/>
      <c r="AQ491" s="746"/>
    </row>
    <row r="492">
      <c r="A492" s="654"/>
      <c r="B492" s="704" t="s">
        <v>874</v>
      </c>
      <c r="C492" s="687">
        <v>1.0</v>
      </c>
      <c r="D492" s="702">
        <v>2.0</v>
      </c>
      <c r="E492" s="703"/>
      <c r="F492" s="951"/>
      <c r="G492" s="951"/>
      <c r="H492" s="951"/>
      <c r="I492" s="951"/>
      <c r="J492" s="951"/>
      <c r="K492" s="951"/>
      <c r="L492" s="951"/>
      <c r="M492" s="951"/>
      <c r="N492" s="659"/>
      <c r="O492" s="951"/>
      <c r="P492" s="951"/>
      <c r="Q492" s="659"/>
      <c r="R492" s="659"/>
      <c r="S492" s="659"/>
      <c r="T492" s="659"/>
      <c r="U492" s="659"/>
      <c r="V492" s="659"/>
      <c r="W492" s="659"/>
      <c r="X492" s="659"/>
      <c r="Y492" s="659"/>
      <c r="Z492" s="659"/>
      <c r="AA492" s="659"/>
      <c r="AB492" s="659"/>
      <c r="AC492" s="659"/>
      <c r="AD492" s="659"/>
      <c r="AE492" s="659"/>
      <c r="AF492" s="659"/>
      <c r="AG492" s="659"/>
      <c r="AH492" s="659"/>
      <c r="AI492" s="659"/>
      <c r="AJ492" s="659"/>
      <c r="AK492" s="659"/>
      <c r="AL492" s="659"/>
      <c r="AM492" s="659"/>
      <c r="AN492" s="659"/>
      <c r="AO492" s="659"/>
      <c r="AP492" s="659"/>
      <c r="AQ492" s="746"/>
    </row>
    <row r="493">
      <c r="A493" s="654"/>
      <c r="B493" s="704" t="s">
        <v>199</v>
      </c>
      <c r="C493" s="687">
        <v>1.0</v>
      </c>
      <c r="D493" s="702">
        <v>1.0</v>
      </c>
      <c r="E493" s="703"/>
      <c r="F493" s="951"/>
      <c r="G493" s="951"/>
      <c r="H493" s="951"/>
      <c r="I493" s="951"/>
      <c r="J493" s="951"/>
      <c r="K493" s="951"/>
      <c r="L493" s="951"/>
      <c r="M493" s="951"/>
      <c r="N493" s="659"/>
      <c r="O493" s="951"/>
      <c r="P493" s="951"/>
      <c r="Q493" s="659"/>
      <c r="R493" s="659"/>
      <c r="S493" s="659"/>
      <c r="T493" s="659"/>
      <c r="U493" s="659"/>
      <c r="V493" s="659"/>
      <c r="W493" s="659"/>
      <c r="X493" s="659"/>
      <c r="Y493" s="659"/>
      <c r="Z493" s="659"/>
      <c r="AA493" s="659"/>
      <c r="AB493" s="659"/>
      <c r="AC493" s="659"/>
      <c r="AD493" s="659"/>
      <c r="AE493" s="659"/>
      <c r="AF493" s="659"/>
      <c r="AG493" s="659"/>
      <c r="AH493" s="659"/>
      <c r="AI493" s="659"/>
      <c r="AJ493" s="659"/>
      <c r="AK493" s="659"/>
      <c r="AL493" s="659"/>
      <c r="AM493" s="659"/>
      <c r="AN493" s="659"/>
      <c r="AO493" s="659"/>
      <c r="AP493" s="659"/>
      <c r="AQ493" s="746"/>
    </row>
    <row r="494">
      <c r="A494" s="654"/>
      <c r="B494" s="704" t="s">
        <v>875</v>
      </c>
      <c r="C494" s="687">
        <v>1.0</v>
      </c>
      <c r="D494" s="702">
        <v>1.0</v>
      </c>
      <c r="E494" s="703"/>
      <c r="F494" s="951"/>
      <c r="G494" s="951"/>
      <c r="H494" s="951"/>
      <c r="I494" s="951"/>
      <c r="J494" s="951"/>
      <c r="K494" s="951"/>
      <c r="L494" s="951"/>
      <c r="M494" s="951"/>
      <c r="N494" s="659"/>
      <c r="O494" s="951"/>
      <c r="P494" s="951"/>
      <c r="Q494" s="659"/>
      <c r="R494" s="659"/>
      <c r="S494" s="659"/>
      <c r="T494" s="659"/>
      <c r="U494" s="659"/>
      <c r="V494" s="659"/>
      <c r="W494" s="659"/>
      <c r="X494" s="659"/>
      <c r="Y494" s="659"/>
      <c r="Z494" s="659"/>
      <c r="AA494" s="659"/>
      <c r="AB494" s="659"/>
      <c r="AC494" s="659"/>
      <c r="AD494" s="659"/>
      <c r="AE494" s="659"/>
      <c r="AF494" s="659"/>
      <c r="AG494" s="659"/>
      <c r="AH494" s="659"/>
      <c r="AI494" s="659"/>
      <c r="AJ494" s="659"/>
      <c r="AK494" s="659"/>
      <c r="AL494" s="659"/>
      <c r="AM494" s="659"/>
      <c r="AN494" s="659"/>
      <c r="AO494" s="659"/>
      <c r="AP494" s="659"/>
      <c r="AQ494" s="746"/>
    </row>
    <row r="495">
      <c r="A495" s="654"/>
      <c r="B495" s="704" t="s">
        <v>876</v>
      </c>
      <c r="C495" s="687">
        <v>1.0</v>
      </c>
      <c r="D495" s="702">
        <v>1.0</v>
      </c>
      <c r="E495" s="703"/>
      <c r="F495" s="951"/>
      <c r="G495" s="951"/>
      <c r="H495" s="951"/>
      <c r="I495" s="951"/>
      <c r="J495" s="951"/>
      <c r="K495" s="951"/>
      <c r="L495" s="951"/>
      <c r="M495" s="951"/>
      <c r="N495" s="659"/>
      <c r="O495" s="951"/>
      <c r="P495" s="951"/>
      <c r="Q495" s="659"/>
      <c r="R495" s="659"/>
      <c r="S495" s="659"/>
      <c r="T495" s="659"/>
      <c r="U495" s="659"/>
      <c r="V495" s="659"/>
      <c r="W495" s="659"/>
      <c r="X495" s="659"/>
      <c r="Y495" s="659"/>
      <c r="Z495" s="659"/>
      <c r="AA495" s="659"/>
      <c r="AB495" s="659"/>
      <c r="AC495" s="659"/>
      <c r="AD495" s="659"/>
      <c r="AE495" s="659"/>
      <c r="AF495" s="659"/>
      <c r="AG495" s="659"/>
      <c r="AH495" s="659"/>
      <c r="AI495" s="659"/>
      <c r="AJ495" s="659"/>
      <c r="AK495" s="659"/>
      <c r="AL495" s="659"/>
      <c r="AM495" s="659"/>
      <c r="AN495" s="659"/>
      <c r="AO495" s="659"/>
      <c r="AP495" s="659"/>
      <c r="AQ495" s="746"/>
    </row>
    <row r="496">
      <c r="A496" s="654"/>
      <c r="B496" s="704" t="s">
        <v>877</v>
      </c>
      <c r="C496" s="687">
        <v>1.0</v>
      </c>
      <c r="D496" s="702">
        <v>1.0</v>
      </c>
      <c r="E496" s="703"/>
      <c r="F496" s="951"/>
      <c r="G496" s="951"/>
      <c r="H496" s="951"/>
      <c r="I496" s="951"/>
      <c r="J496" s="951"/>
      <c r="K496" s="951"/>
      <c r="L496" s="951"/>
      <c r="M496" s="951"/>
      <c r="N496" s="659"/>
      <c r="O496" s="951"/>
      <c r="P496" s="951"/>
      <c r="Q496" s="659"/>
      <c r="R496" s="659"/>
      <c r="S496" s="659"/>
      <c r="T496" s="659"/>
      <c r="U496" s="659"/>
      <c r="V496" s="659"/>
      <c r="W496" s="659"/>
      <c r="X496" s="659"/>
      <c r="Y496" s="659"/>
      <c r="Z496" s="659"/>
      <c r="AA496" s="659"/>
      <c r="AB496" s="659"/>
      <c r="AC496" s="659"/>
      <c r="AD496" s="659"/>
      <c r="AE496" s="659"/>
      <c r="AF496" s="659"/>
      <c r="AG496" s="659"/>
      <c r="AH496" s="659"/>
      <c r="AI496" s="659"/>
      <c r="AJ496" s="659"/>
      <c r="AK496" s="659"/>
      <c r="AL496" s="659"/>
      <c r="AM496" s="659"/>
      <c r="AN496" s="659"/>
      <c r="AO496" s="659"/>
      <c r="AP496" s="659"/>
      <c r="AQ496" s="746"/>
    </row>
    <row r="497">
      <c r="A497" s="654"/>
      <c r="B497" s="704" t="s">
        <v>878</v>
      </c>
      <c r="C497" s="687">
        <v>1.0</v>
      </c>
      <c r="D497" s="702">
        <v>2.0</v>
      </c>
      <c r="E497" s="703"/>
      <c r="F497" s="951"/>
      <c r="G497" s="951"/>
      <c r="H497" s="951"/>
      <c r="I497" s="951"/>
      <c r="J497" s="951"/>
      <c r="K497" s="951"/>
      <c r="L497" s="951"/>
      <c r="M497" s="951"/>
      <c r="N497" s="659"/>
      <c r="O497" s="951"/>
      <c r="P497" s="951"/>
      <c r="Q497" s="659"/>
      <c r="R497" s="659"/>
      <c r="S497" s="659"/>
      <c r="T497" s="659"/>
      <c r="U497" s="659"/>
      <c r="V497" s="659"/>
      <c r="W497" s="659"/>
      <c r="X497" s="659"/>
      <c r="Y497" s="659"/>
      <c r="Z497" s="659"/>
      <c r="AA497" s="659"/>
      <c r="AB497" s="659"/>
      <c r="AC497" s="659"/>
      <c r="AD497" s="659"/>
      <c r="AE497" s="659"/>
      <c r="AF497" s="659"/>
      <c r="AG497" s="659"/>
      <c r="AH497" s="659"/>
      <c r="AI497" s="659"/>
      <c r="AJ497" s="659"/>
      <c r="AK497" s="659"/>
      <c r="AL497" s="659"/>
      <c r="AM497" s="659"/>
      <c r="AN497" s="659"/>
      <c r="AO497" s="659"/>
      <c r="AP497" s="659"/>
      <c r="AQ497" s="746"/>
    </row>
    <row r="498">
      <c r="A498" s="654"/>
      <c r="B498" s="738" t="s">
        <v>879</v>
      </c>
      <c r="C498" s="720">
        <v>1.0</v>
      </c>
      <c r="D498" s="721">
        <v>2.0</v>
      </c>
      <c r="E498" s="703"/>
      <c r="F498" s="951"/>
      <c r="G498" s="951"/>
      <c r="H498" s="951"/>
      <c r="I498" s="951"/>
      <c r="J498" s="951"/>
      <c r="K498" s="951"/>
      <c r="L498" s="951"/>
      <c r="M498" s="951"/>
      <c r="N498" s="659"/>
      <c r="O498" s="951"/>
      <c r="P498" s="951"/>
      <c r="Q498" s="659"/>
      <c r="R498" s="659"/>
      <c r="S498" s="659"/>
      <c r="T498" s="659"/>
      <c r="U498" s="659"/>
      <c r="V498" s="659"/>
      <c r="W498" s="659"/>
      <c r="X498" s="659"/>
      <c r="Y498" s="659"/>
      <c r="Z498" s="659"/>
      <c r="AA498" s="659"/>
      <c r="AB498" s="659"/>
      <c r="AC498" s="659"/>
      <c r="AD498" s="659"/>
      <c r="AE498" s="659"/>
      <c r="AF498" s="659"/>
      <c r="AG498" s="659"/>
      <c r="AH498" s="659"/>
      <c r="AI498" s="659"/>
      <c r="AJ498" s="659"/>
      <c r="AK498" s="659"/>
      <c r="AL498" s="659"/>
      <c r="AM498" s="659"/>
      <c r="AN498" s="659"/>
      <c r="AO498" s="659"/>
      <c r="AP498" s="659"/>
      <c r="AQ498" s="746"/>
    </row>
    <row r="499">
      <c r="A499" s="654"/>
      <c r="B499" s="738" t="s">
        <v>880</v>
      </c>
      <c r="C499" s="720">
        <v>1.0</v>
      </c>
      <c r="D499" s="721">
        <v>2.0</v>
      </c>
      <c r="E499" s="703"/>
      <c r="F499" s="951"/>
      <c r="G499" s="951"/>
      <c r="H499" s="951"/>
      <c r="I499" s="951"/>
      <c r="J499" s="951"/>
      <c r="K499" s="951"/>
      <c r="L499" s="951"/>
      <c r="M499" s="951"/>
      <c r="N499" s="659"/>
      <c r="O499" s="951"/>
      <c r="P499" s="951"/>
      <c r="Q499" s="659"/>
      <c r="R499" s="659"/>
      <c r="S499" s="659"/>
      <c r="T499" s="659"/>
      <c r="U499" s="659"/>
      <c r="V499" s="659"/>
      <c r="W499" s="659"/>
      <c r="X499" s="659"/>
      <c r="Y499" s="659"/>
      <c r="Z499" s="659"/>
      <c r="AA499" s="659"/>
      <c r="AB499" s="659"/>
      <c r="AC499" s="659"/>
      <c r="AD499" s="659"/>
      <c r="AE499" s="659"/>
      <c r="AF499" s="659"/>
      <c r="AG499" s="659"/>
      <c r="AH499" s="659"/>
      <c r="AI499" s="659"/>
      <c r="AJ499" s="659"/>
      <c r="AK499" s="659"/>
      <c r="AL499" s="659"/>
      <c r="AM499" s="659"/>
      <c r="AN499" s="659"/>
      <c r="AO499" s="659"/>
      <c r="AP499" s="659"/>
      <c r="AQ499" s="746"/>
    </row>
    <row r="500">
      <c r="A500" s="654"/>
      <c r="B500" s="738" t="s">
        <v>881</v>
      </c>
      <c r="C500" s="720">
        <v>1.0</v>
      </c>
      <c r="D500" s="721">
        <v>2.0</v>
      </c>
      <c r="E500" s="703"/>
      <c r="F500" s="951"/>
      <c r="G500" s="951"/>
      <c r="H500" s="951"/>
      <c r="I500" s="951"/>
      <c r="J500" s="951"/>
      <c r="K500" s="951"/>
      <c r="L500" s="951"/>
      <c r="M500" s="951"/>
      <c r="N500" s="659"/>
      <c r="O500" s="951"/>
      <c r="P500" s="951"/>
      <c r="Q500" s="659"/>
      <c r="R500" s="659"/>
      <c r="S500" s="659"/>
      <c r="T500" s="659"/>
      <c r="U500" s="659"/>
      <c r="V500" s="659"/>
      <c r="W500" s="659"/>
      <c r="X500" s="659"/>
      <c r="Y500" s="659"/>
      <c r="Z500" s="659"/>
      <c r="AA500" s="659"/>
      <c r="AB500" s="659"/>
      <c r="AC500" s="659"/>
      <c r="AD500" s="659"/>
      <c r="AE500" s="659"/>
      <c r="AF500" s="659"/>
      <c r="AG500" s="659"/>
      <c r="AH500" s="659"/>
      <c r="AI500" s="659"/>
      <c r="AJ500" s="659"/>
      <c r="AK500" s="659"/>
      <c r="AL500" s="659"/>
      <c r="AM500" s="659"/>
      <c r="AN500" s="659"/>
      <c r="AO500" s="659"/>
      <c r="AP500" s="659"/>
      <c r="AQ500" s="746"/>
    </row>
    <row r="501">
      <c r="A501" s="654"/>
      <c r="B501" s="738" t="s">
        <v>882</v>
      </c>
      <c r="C501" s="720">
        <v>1.0</v>
      </c>
      <c r="D501" s="721">
        <v>2.0</v>
      </c>
      <c r="E501" s="703"/>
      <c r="F501" s="951"/>
      <c r="G501" s="951"/>
      <c r="H501" s="951"/>
      <c r="I501" s="951"/>
      <c r="J501" s="951"/>
      <c r="K501" s="951"/>
      <c r="L501" s="951"/>
      <c r="M501" s="951"/>
      <c r="N501" s="659"/>
      <c r="O501" s="951"/>
      <c r="P501" s="951"/>
      <c r="Q501" s="659"/>
      <c r="R501" s="659"/>
      <c r="S501" s="659"/>
      <c r="T501" s="659"/>
      <c r="U501" s="659"/>
      <c r="V501" s="659"/>
      <c r="W501" s="659"/>
      <c r="X501" s="659"/>
      <c r="Y501" s="659"/>
      <c r="Z501" s="659"/>
      <c r="AA501" s="659"/>
      <c r="AB501" s="659"/>
      <c r="AC501" s="659"/>
      <c r="AD501" s="659"/>
      <c r="AE501" s="659"/>
      <c r="AF501" s="659"/>
      <c r="AG501" s="659"/>
      <c r="AH501" s="659"/>
      <c r="AI501" s="659"/>
      <c r="AJ501" s="659"/>
      <c r="AK501" s="659"/>
      <c r="AL501" s="659"/>
      <c r="AM501" s="659"/>
      <c r="AN501" s="659"/>
      <c r="AO501" s="659"/>
      <c r="AP501" s="659"/>
      <c r="AQ501" s="746"/>
    </row>
    <row r="502">
      <c r="A502" s="654"/>
      <c r="B502" s="704" t="s">
        <v>883</v>
      </c>
      <c r="C502" s="687">
        <v>1.0</v>
      </c>
      <c r="D502" s="702">
        <v>2.0</v>
      </c>
      <c r="E502" s="703"/>
      <c r="F502" s="951"/>
      <c r="G502" s="951"/>
      <c r="H502" s="951"/>
      <c r="I502" s="951"/>
      <c r="J502" s="951"/>
      <c r="K502" s="951"/>
      <c r="L502" s="951"/>
      <c r="M502" s="951"/>
      <c r="N502" s="659"/>
      <c r="O502" s="951"/>
      <c r="P502" s="951"/>
      <c r="Q502" s="659"/>
      <c r="R502" s="659"/>
      <c r="S502" s="659"/>
      <c r="T502" s="659"/>
      <c r="U502" s="659"/>
      <c r="V502" s="659"/>
      <c r="W502" s="659"/>
      <c r="X502" s="659"/>
      <c r="Y502" s="659"/>
      <c r="Z502" s="659"/>
      <c r="AA502" s="659"/>
      <c r="AB502" s="659"/>
      <c r="AC502" s="659"/>
      <c r="AD502" s="659"/>
      <c r="AE502" s="659"/>
      <c r="AF502" s="659"/>
      <c r="AG502" s="659"/>
      <c r="AH502" s="659"/>
      <c r="AI502" s="659"/>
      <c r="AJ502" s="659"/>
      <c r="AK502" s="659"/>
      <c r="AL502" s="659"/>
      <c r="AM502" s="659"/>
      <c r="AN502" s="659"/>
      <c r="AO502" s="659"/>
      <c r="AP502" s="659"/>
      <c r="AQ502" s="746"/>
    </row>
    <row r="503">
      <c r="A503" s="654"/>
      <c r="B503" s="704" t="s">
        <v>884</v>
      </c>
      <c r="C503" s="687">
        <v>1.0</v>
      </c>
      <c r="D503" s="702">
        <v>2.0</v>
      </c>
      <c r="E503" s="645"/>
      <c r="F503" s="951"/>
      <c r="G503" s="951"/>
      <c r="H503" s="951"/>
      <c r="I503" s="951"/>
      <c r="J503" s="951"/>
      <c r="K503" s="951"/>
      <c r="L503" s="951"/>
      <c r="M503" s="951"/>
      <c r="N503" s="659"/>
      <c r="O503" s="951"/>
      <c r="P503" s="951"/>
      <c r="Q503" s="659"/>
      <c r="R503" s="659"/>
      <c r="S503" s="659"/>
      <c r="T503" s="659"/>
      <c r="U503" s="659"/>
      <c r="V503" s="659"/>
      <c r="W503" s="659"/>
      <c r="X503" s="659"/>
      <c r="Y503" s="659"/>
      <c r="Z503" s="659"/>
      <c r="AA503" s="659"/>
      <c r="AB503" s="659"/>
      <c r="AC503" s="659"/>
      <c r="AD503" s="659"/>
      <c r="AE503" s="659"/>
      <c r="AF503" s="659"/>
      <c r="AG503" s="659"/>
      <c r="AH503" s="659"/>
      <c r="AI503" s="659"/>
      <c r="AJ503" s="659"/>
      <c r="AK503" s="659"/>
      <c r="AL503" s="659"/>
      <c r="AM503" s="659"/>
      <c r="AN503" s="659"/>
      <c r="AO503" s="659"/>
      <c r="AP503" s="659"/>
      <c r="AQ503" s="746"/>
    </row>
    <row r="504">
      <c r="A504" s="654"/>
      <c r="B504" s="704" t="s">
        <v>885</v>
      </c>
      <c r="C504" s="687">
        <v>1.0</v>
      </c>
      <c r="D504" s="702">
        <v>2.0</v>
      </c>
      <c r="E504" s="645"/>
      <c r="F504" s="951"/>
      <c r="G504" s="951"/>
      <c r="H504" s="951"/>
      <c r="I504" s="951"/>
      <c r="J504" s="951"/>
      <c r="K504" s="951"/>
      <c r="L504" s="951"/>
      <c r="M504" s="951"/>
      <c r="N504" s="659"/>
      <c r="O504" s="951"/>
      <c r="P504" s="951"/>
      <c r="Q504" s="659"/>
      <c r="R504" s="659"/>
      <c r="S504" s="659"/>
      <c r="T504" s="659"/>
      <c r="U504" s="659"/>
      <c r="V504" s="659"/>
      <c r="W504" s="659"/>
      <c r="X504" s="659"/>
      <c r="Y504" s="659"/>
      <c r="Z504" s="659"/>
      <c r="AA504" s="659"/>
      <c r="AB504" s="659"/>
      <c r="AC504" s="659"/>
      <c r="AD504" s="659"/>
      <c r="AE504" s="659"/>
      <c r="AF504" s="659"/>
      <c r="AG504" s="659"/>
      <c r="AH504" s="659"/>
      <c r="AI504" s="659"/>
      <c r="AJ504" s="659"/>
      <c r="AK504" s="659"/>
      <c r="AL504" s="659"/>
      <c r="AM504" s="659"/>
      <c r="AN504" s="659"/>
      <c r="AO504" s="659"/>
      <c r="AP504" s="659"/>
      <c r="AQ504" s="746"/>
    </row>
    <row r="505">
      <c r="A505" s="654"/>
      <c r="B505" s="704" t="s">
        <v>886</v>
      </c>
      <c r="C505" s="687">
        <v>1.0</v>
      </c>
      <c r="D505" s="702">
        <v>2.0</v>
      </c>
      <c r="E505" s="645"/>
      <c r="F505" s="951"/>
      <c r="G505" s="951"/>
      <c r="H505" s="951"/>
      <c r="I505" s="951"/>
      <c r="J505" s="951"/>
      <c r="K505" s="951"/>
      <c r="L505" s="951"/>
      <c r="M505" s="951"/>
      <c r="N505" s="659"/>
      <c r="O505" s="951"/>
      <c r="P505" s="951"/>
      <c r="Q505" s="659"/>
      <c r="R505" s="659"/>
      <c r="S505" s="659"/>
      <c r="T505" s="659"/>
      <c r="U505" s="659"/>
      <c r="V505" s="659"/>
      <c r="W505" s="659"/>
      <c r="X505" s="659"/>
      <c r="Y505" s="659"/>
      <c r="Z505" s="659"/>
      <c r="AA505" s="659"/>
      <c r="AB505" s="659"/>
      <c r="AC505" s="659"/>
      <c r="AD505" s="659"/>
      <c r="AE505" s="659"/>
      <c r="AF505" s="659"/>
      <c r="AG505" s="659"/>
      <c r="AH505" s="659"/>
      <c r="AI505" s="659"/>
      <c r="AJ505" s="659"/>
      <c r="AK505" s="659"/>
      <c r="AL505" s="659"/>
      <c r="AM505" s="659"/>
      <c r="AN505" s="659"/>
      <c r="AO505" s="659"/>
      <c r="AP505" s="659"/>
      <c r="AQ505" s="746"/>
    </row>
    <row r="506">
      <c r="A506" s="654"/>
      <c r="B506" s="704" t="s">
        <v>887</v>
      </c>
      <c r="C506" s="687">
        <v>1.0</v>
      </c>
      <c r="D506" s="702">
        <v>2.0</v>
      </c>
      <c r="E506" s="645"/>
      <c r="F506" s="951"/>
      <c r="G506" s="951"/>
      <c r="H506" s="951"/>
      <c r="I506" s="951"/>
      <c r="J506" s="951"/>
      <c r="K506" s="951"/>
      <c r="L506" s="951"/>
      <c r="M506" s="951"/>
      <c r="N506" s="659"/>
      <c r="O506" s="951"/>
      <c r="P506" s="951"/>
      <c r="Q506" s="659"/>
      <c r="R506" s="659"/>
      <c r="S506" s="659"/>
      <c r="T506" s="659"/>
      <c r="U506" s="659"/>
      <c r="V506" s="659"/>
      <c r="W506" s="659"/>
      <c r="X506" s="659"/>
      <c r="Y506" s="659"/>
      <c r="Z506" s="659"/>
      <c r="AA506" s="659"/>
      <c r="AB506" s="659"/>
      <c r="AC506" s="659"/>
      <c r="AD506" s="659"/>
      <c r="AE506" s="659"/>
      <c r="AF506" s="659"/>
      <c r="AG506" s="659"/>
      <c r="AH506" s="659"/>
      <c r="AI506" s="659"/>
      <c r="AJ506" s="659"/>
      <c r="AK506" s="659"/>
      <c r="AL506" s="659"/>
      <c r="AM506" s="659"/>
      <c r="AN506" s="659"/>
      <c r="AO506" s="659"/>
      <c r="AP506" s="659"/>
      <c r="AQ506" s="746"/>
    </row>
    <row r="507">
      <c r="A507" s="654"/>
      <c r="B507" s="738" t="s">
        <v>888</v>
      </c>
      <c r="C507" s="720">
        <v>1.0</v>
      </c>
      <c r="D507" s="721">
        <v>2.0</v>
      </c>
      <c r="E507" s="645"/>
      <c r="F507" s="951"/>
      <c r="G507" s="951"/>
      <c r="H507" s="951"/>
      <c r="I507" s="951"/>
      <c r="J507" s="951"/>
      <c r="K507" s="951"/>
      <c r="L507" s="951"/>
      <c r="M507" s="951"/>
      <c r="N507" s="659"/>
      <c r="O507" s="951"/>
      <c r="P507" s="951"/>
      <c r="Q507" s="659"/>
      <c r="R507" s="659"/>
      <c r="S507" s="659"/>
      <c r="T507" s="659"/>
      <c r="U507" s="659"/>
      <c r="V507" s="659"/>
      <c r="W507" s="659"/>
      <c r="X507" s="659"/>
      <c r="Y507" s="659"/>
      <c r="Z507" s="659"/>
      <c r="AA507" s="659"/>
      <c r="AB507" s="659"/>
      <c r="AC507" s="659"/>
      <c r="AD507" s="659"/>
      <c r="AE507" s="659"/>
      <c r="AF507" s="659"/>
      <c r="AG507" s="659"/>
      <c r="AH507" s="659"/>
      <c r="AI507" s="659"/>
      <c r="AJ507" s="659"/>
      <c r="AK507" s="659"/>
      <c r="AL507" s="659"/>
      <c r="AM507" s="659"/>
      <c r="AN507" s="659"/>
      <c r="AO507" s="659"/>
      <c r="AP507" s="659"/>
      <c r="AQ507" s="746"/>
    </row>
    <row r="508">
      <c r="A508" s="654"/>
      <c r="B508" s="738" t="s">
        <v>889</v>
      </c>
      <c r="C508" s="720">
        <v>1.0</v>
      </c>
      <c r="D508" s="721">
        <v>2.0</v>
      </c>
      <c r="E508" s="645"/>
      <c r="F508" s="951"/>
      <c r="G508" s="951"/>
      <c r="H508" s="951"/>
      <c r="I508" s="951"/>
      <c r="J508" s="951"/>
      <c r="K508" s="951"/>
      <c r="L508" s="951"/>
      <c r="M508" s="951"/>
      <c r="N508" s="659"/>
      <c r="O508" s="951"/>
      <c r="P508" s="951"/>
      <c r="Q508" s="659"/>
      <c r="R508" s="659"/>
      <c r="S508" s="659"/>
      <c r="T508" s="659"/>
      <c r="U508" s="659"/>
      <c r="V508" s="659"/>
      <c r="W508" s="659"/>
      <c r="X508" s="659"/>
      <c r="Y508" s="659"/>
      <c r="Z508" s="659"/>
      <c r="AA508" s="659"/>
      <c r="AB508" s="659"/>
      <c r="AC508" s="659"/>
      <c r="AD508" s="659"/>
      <c r="AE508" s="659"/>
      <c r="AF508" s="659"/>
      <c r="AG508" s="659"/>
      <c r="AH508" s="659"/>
      <c r="AI508" s="659"/>
      <c r="AJ508" s="659"/>
      <c r="AK508" s="659"/>
      <c r="AL508" s="659"/>
      <c r="AM508" s="659"/>
      <c r="AN508" s="659"/>
      <c r="AO508" s="659"/>
      <c r="AP508" s="659"/>
      <c r="AQ508" s="746"/>
    </row>
    <row r="509">
      <c r="A509" s="654"/>
      <c r="B509" s="738" t="s">
        <v>890</v>
      </c>
      <c r="C509" s="720">
        <v>1.0</v>
      </c>
      <c r="D509" s="721">
        <v>1.0</v>
      </c>
      <c r="E509" s="645"/>
      <c r="F509" s="951"/>
      <c r="G509" s="951"/>
      <c r="H509" s="951"/>
      <c r="I509" s="951"/>
      <c r="J509" s="951"/>
      <c r="K509" s="951"/>
      <c r="L509" s="951"/>
      <c r="M509" s="951"/>
      <c r="N509" s="659"/>
      <c r="O509" s="951"/>
      <c r="P509" s="951"/>
      <c r="Q509" s="659"/>
      <c r="R509" s="659"/>
      <c r="S509" s="659"/>
      <c r="T509" s="659"/>
      <c r="U509" s="659"/>
      <c r="V509" s="659"/>
      <c r="W509" s="659"/>
      <c r="X509" s="659"/>
      <c r="Y509" s="659"/>
      <c r="Z509" s="659"/>
      <c r="AA509" s="659"/>
      <c r="AB509" s="659"/>
      <c r="AC509" s="659"/>
      <c r="AD509" s="659"/>
      <c r="AE509" s="659"/>
      <c r="AF509" s="659"/>
      <c r="AG509" s="659"/>
      <c r="AH509" s="659"/>
      <c r="AI509" s="659"/>
      <c r="AJ509" s="659"/>
      <c r="AK509" s="659"/>
      <c r="AL509" s="659"/>
      <c r="AM509" s="659"/>
      <c r="AN509" s="659"/>
      <c r="AO509" s="659"/>
      <c r="AP509" s="659"/>
      <c r="AQ509" s="746"/>
    </row>
    <row r="510">
      <c r="A510" s="654"/>
      <c r="B510" s="738" t="s">
        <v>891</v>
      </c>
      <c r="C510" s="720">
        <v>1.0</v>
      </c>
      <c r="D510" s="721">
        <v>1.0</v>
      </c>
      <c r="E510" s="645"/>
      <c r="F510" s="951"/>
      <c r="G510" s="951"/>
      <c r="H510" s="951"/>
      <c r="I510" s="951"/>
      <c r="J510" s="951"/>
      <c r="K510" s="951"/>
      <c r="L510" s="951"/>
      <c r="M510" s="951"/>
      <c r="N510" s="659"/>
      <c r="O510" s="951"/>
      <c r="P510" s="951"/>
      <c r="Q510" s="659"/>
      <c r="R510" s="659"/>
      <c r="S510" s="659"/>
      <c r="T510" s="659"/>
      <c r="U510" s="659"/>
      <c r="V510" s="659"/>
      <c r="W510" s="659"/>
      <c r="X510" s="659"/>
      <c r="Y510" s="659"/>
      <c r="Z510" s="659"/>
      <c r="AA510" s="659"/>
      <c r="AB510" s="659"/>
      <c r="AC510" s="659"/>
      <c r="AD510" s="659"/>
      <c r="AE510" s="659"/>
      <c r="AF510" s="659"/>
      <c r="AG510" s="659"/>
      <c r="AH510" s="659"/>
      <c r="AI510" s="659"/>
      <c r="AJ510" s="659"/>
      <c r="AK510" s="659"/>
      <c r="AL510" s="659"/>
      <c r="AM510" s="659"/>
      <c r="AN510" s="659"/>
      <c r="AO510" s="659"/>
      <c r="AP510" s="659"/>
      <c r="AQ510" s="746"/>
    </row>
    <row r="511">
      <c r="A511" s="654"/>
      <c r="B511" s="738" t="s">
        <v>894</v>
      </c>
      <c r="C511" s="720">
        <v>1.0</v>
      </c>
      <c r="D511" s="721">
        <v>1.0</v>
      </c>
      <c r="E511" s="645"/>
      <c r="F511" s="951"/>
      <c r="G511" s="951"/>
      <c r="H511" s="951"/>
      <c r="I511" s="951"/>
      <c r="J511" s="951"/>
      <c r="K511" s="951"/>
      <c r="L511" s="951"/>
      <c r="M511" s="951"/>
      <c r="N511" s="659"/>
      <c r="O511" s="951"/>
      <c r="P511" s="951"/>
      <c r="Q511" s="659"/>
      <c r="R511" s="659"/>
      <c r="S511" s="659"/>
      <c r="T511" s="659"/>
      <c r="U511" s="659"/>
      <c r="V511" s="659"/>
      <c r="W511" s="659"/>
      <c r="X511" s="659"/>
      <c r="Y511" s="659"/>
      <c r="Z511" s="659"/>
      <c r="AA511" s="659"/>
      <c r="AB511" s="659"/>
      <c r="AC511" s="659"/>
      <c r="AD511" s="659"/>
      <c r="AE511" s="659"/>
      <c r="AF511" s="659"/>
      <c r="AG511" s="659"/>
      <c r="AH511" s="659"/>
      <c r="AI511" s="659"/>
      <c r="AJ511" s="659"/>
      <c r="AK511" s="659"/>
      <c r="AL511" s="659"/>
      <c r="AM511" s="659"/>
      <c r="AN511" s="659"/>
      <c r="AO511" s="659"/>
      <c r="AP511" s="659"/>
      <c r="AQ511" s="746"/>
    </row>
    <row r="512">
      <c r="A512" s="654"/>
      <c r="B512" s="738" t="s">
        <v>895</v>
      </c>
      <c r="C512" s="720">
        <v>1.0</v>
      </c>
      <c r="D512" s="721">
        <v>1.0</v>
      </c>
      <c r="E512" s="645"/>
      <c r="F512" s="951"/>
      <c r="G512" s="951"/>
      <c r="H512" s="951"/>
      <c r="I512" s="951"/>
      <c r="J512" s="951"/>
      <c r="K512" s="951"/>
      <c r="L512" s="951"/>
      <c r="M512" s="951"/>
      <c r="N512" s="659"/>
      <c r="O512" s="951"/>
      <c r="P512" s="951"/>
      <c r="Q512" s="659"/>
      <c r="R512" s="659"/>
      <c r="S512" s="659"/>
      <c r="T512" s="659"/>
      <c r="U512" s="659"/>
      <c r="V512" s="659"/>
      <c r="W512" s="659"/>
      <c r="X512" s="659"/>
      <c r="Y512" s="659"/>
      <c r="Z512" s="659"/>
      <c r="AA512" s="659"/>
      <c r="AB512" s="659"/>
      <c r="AC512" s="659"/>
      <c r="AD512" s="659"/>
      <c r="AE512" s="659"/>
      <c r="AF512" s="659"/>
      <c r="AG512" s="659"/>
      <c r="AH512" s="659"/>
      <c r="AI512" s="659"/>
      <c r="AJ512" s="659"/>
      <c r="AK512" s="659"/>
      <c r="AL512" s="659"/>
      <c r="AM512" s="659"/>
      <c r="AN512" s="659"/>
      <c r="AO512" s="659"/>
      <c r="AP512" s="659"/>
      <c r="AQ512" s="746"/>
    </row>
    <row r="513">
      <c r="A513" s="654"/>
      <c r="B513" s="738" t="s">
        <v>896</v>
      </c>
      <c r="C513" s="720">
        <v>1.0</v>
      </c>
      <c r="D513" s="721">
        <v>2.0</v>
      </c>
      <c r="E513" s="645"/>
      <c r="F513" s="951"/>
      <c r="G513" s="951"/>
      <c r="H513" s="951"/>
      <c r="I513" s="951"/>
      <c r="J513" s="951"/>
      <c r="K513" s="951"/>
      <c r="L513" s="951"/>
      <c r="M513" s="951"/>
      <c r="N513" s="659"/>
      <c r="O513" s="951"/>
      <c r="P513" s="951"/>
      <c r="Q513" s="659"/>
      <c r="R513" s="659"/>
      <c r="S513" s="659"/>
      <c r="T513" s="659"/>
      <c r="U513" s="659"/>
      <c r="V513" s="659"/>
      <c r="W513" s="659"/>
      <c r="X513" s="659"/>
      <c r="Y513" s="659"/>
      <c r="Z513" s="659"/>
      <c r="AA513" s="659"/>
      <c r="AB513" s="659"/>
      <c r="AC513" s="659"/>
      <c r="AD513" s="659"/>
      <c r="AE513" s="659"/>
      <c r="AF513" s="659"/>
      <c r="AG513" s="659"/>
      <c r="AH513" s="659"/>
      <c r="AI513" s="659"/>
      <c r="AJ513" s="659"/>
      <c r="AK513" s="659"/>
      <c r="AL513" s="659"/>
      <c r="AM513" s="659"/>
      <c r="AN513" s="659"/>
      <c r="AO513" s="659"/>
      <c r="AP513" s="659"/>
      <c r="AQ513" s="746"/>
    </row>
    <row r="514">
      <c r="A514" s="654"/>
      <c r="B514" s="738" t="s">
        <v>897</v>
      </c>
      <c r="C514" s="720">
        <v>1.0</v>
      </c>
      <c r="D514" s="721">
        <v>1.0</v>
      </c>
      <c r="E514" s="645"/>
      <c r="F514" s="951"/>
      <c r="G514" s="951"/>
      <c r="H514" s="951"/>
      <c r="I514" s="951"/>
      <c r="J514" s="951"/>
      <c r="K514" s="951"/>
      <c r="L514" s="951"/>
      <c r="M514" s="951"/>
      <c r="N514" s="659"/>
      <c r="O514" s="951"/>
      <c r="P514" s="951"/>
      <c r="Q514" s="659"/>
      <c r="R514" s="659"/>
      <c r="S514" s="659"/>
      <c r="T514" s="659"/>
      <c r="U514" s="659"/>
      <c r="V514" s="659"/>
      <c r="W514" s="659"/>
      <c r="X514" s="659"/>
      <c r="Y514" s="659"/>
      <c r="Z514" s="659"/>
      <c r="AA514" s="659"/>
      <c r="AB514" s="659"/>
      <c r="AC514" s="659"/>
      <c r="AD514" s="659"/>
      <c r="AE514" s="659"/>
      <c r="AF514" s="659"/>
      <c r="AG514" s="659"/>
      <c r="AH514" s="659"/>
      <c r="AI514" s="659"/>
      <c r="AJ514" s="659"/>
      <c r="AK514" s="659"/>
      <c r="AL514" s="659"/>
      <c r="AM514" s="659"/>
      <c r="AN514" s="659"/>
      <c r="AO514" s="659"/>
      <c r="AP514" s="659"/>
      <c r="AQ514" s="746"/>
    </row>
    <row r="515">
      <c r="A515" s="654"/>
      <c r="B515" s="738" t="s">
        <v>898</v>
      </c>
      <c r="C515" s="720">
        <v>1.0</v>
      </c>
      <c r="D515" s="721">
        <v>3.0</v>
      </c>
      <c r="E515" s="645"/>
      <c r="F515" s="951"/>
      <c r="G515" s="951"/>
      <c r="H515" s="951"/>
      <c r="I515" s="951"/>
      <c r="J515" s="951"/>
      <c r="K515" s="951"/>
      <c r="L515" s="951"/>
      <c r="M515" s="951"/>
      <c r="N515" s="659"/>
      <c r="O515" s="951"/>
      <c r="P515" s="951"/>
      <c r="Q515" s="659"/>
      <c r="R515" s="659"/>
      <c r="S515" s="659"/>
      <c r="T515" s="659"/>
      <c r="U515" s="659"/>
      <c r="V515" s="659"/>
      <c r="W515" s="659"/>
      <c r="X515" s="659"/>
      <c r="Y515" s="659"/>
      <c r="Z515" s="659"/>
      <c r="AA515" s="659"/>
      <c r="AB515" s="659"/>
      <c r="AC515" s="659"/>
      <c r="AD515" s="659"/>
      <c r="AE515" s="659"/>
      <c r="AF515" s="659"/>
      <c r="AG515" s="659"/>
      <c r="AH515" s="659"/>
      <c r="AI515" s="659"/>
      <c r="AJ515" s="659"/>
      <c r="AK515" s="659"/>
      <c r="AL515" s="659"/>
      <c r="AM515" s="659"/>
      <c r="AN515" s="659"/>
      <c r="AO515" s="659"/>
      <c r="AP515" s="659"/>
      <c r="AQ515" s="746"/>
    </row>
    <row r="516">
      <c r="A516" s="654"/>
      <c r="B516" s="738" t="s">
        <v>899</v>
      </c>
      <c r="C516" s="720">
        <v>1.0</v>
      </c>
      <c r="D516" s="721">
        <v>1.0</v>
      </c>
      <c r="E516" s="645"/>
      <c r="F516" s="951"/>
      <c r="G516" s="951"/>
      <c r="H516" s="951"/>
      <c r="I516" s="951"/>
      <c r="J516" s="951"/>
      <c r="K516" s="951"/>
      <c r="L516" s="951"/>
      <c r="M516" s="951"/>
      <c r="N516" s="659"/>
      <c r="O516" s="951"/>
      <c r="P516" s="951"/>
      <c r="Q516" s="659"/>
      <c r="R516" s="659"/>
      <c r="S516" s="659"/>
      <c r="T516" s="659"/>
      <c r="U516" s="659"/>
      <c r="V516" s="659"/>
      <c r="W516" s="659"/>
      <c r="X516" s="659"/>
      <c r="Y516" s="659"/>
      <c r="Z516" s="659"/>
      <c r="AA516" s="659"/>
      <c r="AB516" s="659"/>
      <c r="AC516" s="659"/>
      <c r="AD516" s="659"/>
      <c r="AE516" s="659"/>
      <c r="AF516" s="659"/>
      <c r="AG516" s="659"/>
      <c r="AH516" s="659"/>
      <c r="AI516" s="659"/>
      <c r="AJ516" s="659"/>
      <c r="AK516" s="659"/>
      <c r="AL516" s="659"/>
      <c r="AM516" s="659"/>
      <c r="AN516" s="659"/>
      <c r="AO516" s="659"/>
      <c r="AP516" s="659"/>
      <c r="AQ516" s="746"/>
    </row>
    <row r="517">
      <c r="A517" s="654"/>
      <c r="B517" s="738" t="s">
        <v>900</v>
      </c>
      <c r="C517" s="720">
        <v>1.0</v>
      </c>
      <c r="D517" s="721">
        <v>1.0</v>
      </c>
      <c r="E517" s="645"/>
      <c r="F517" s="951"/>
      <c r="G517" s="951"/>
      <c r="H517" s="951"/>
      <c r="I517" s="951"/>
      <c r="J517" s="951"/>
      <c r="K517" s="951"/>
      <c r="L517" s="951"/>
      <c r="M517" s="951"/>
      <c r="N517" s="659"/>
      <c r="O517" s="951"/>
      <c r="P517" s="951"/>
      <c r="Q517" s="659"/>
      <c r="R517" s="659"/>
      <c r="S517" s="659"/>
      <c r="T517" s="659"/>
      <c r="U517" s="659"/>
      <c r="V517" s="659"/>
      <c r="W517" s="659"/>
      <c r="X517" s="659"/>
      <c r="Y517" s="659"/>
      <c r="Z517" s="659"/>
      <c r="AA517" s="659"/>
      <c r="AB517" s="659"/>
      <c r="AC517" s="659"/>
      <c r="AD517" s="659"/>
      <c r="AE517" s="659"/>
      <c r="AF517" s="659"/>
      <c r="AG517" s="659"/>
      <c r="AH517" s="659"/>
      <c r="AI517" s="659"/>
      <c r="AJ517" s="659"/>
      <c r="AK517" s="659"/>
      <c r="AL517" s="659"/>
      <c r="AM517" s="659"/>
      <c r="AN517" s="659"/>
      <c r="AO517" s="659"/>
      <c r="AP517" s="659"/>
      <c r="AQ517" s="746"/>
    </row>
    <row r="518">
      <c r="A518" s="654"/>
      <c r="B518" s="738" t="s">
        <v>901</v>
      </c>
      <c r="C518" s="720">
        <v>1.0</v>
      </c>
      <c r="D518" s="721">
        <v>1.0</v>
      </c>
      <c r="E518" s="645"/>
      <c r="F518" s="951"/>
      <c r="G518" s="951"/>
      <c r="H518" s="951"/>
      <c r="I518" s="951"/>
      <c r="J518" s="951"/>
      <c r="K518" s="951"/>
      <c r="L518" s="951"/>
      <c r="M518" s="951"/>
      <c r="N518" s="659"/>
      <c r="O518" s="951"/>
      <c r="P518" s="951"/>
      <c r="Q518" s="659"/>
      <c r="R518" s="659"/>
      <c r="S518" s="659"/>
      <c r="T518" s="659"/>
      <c r="U518" s="659"/>
      <c r="V518" s="659"/>
      <c r="W518" s="659"/>
      <c r="X518" s="659"/>
      <c r="Y518" s="659"/>
      <c r="Z518" s="659"/>
      <c r="AA518" s="659"/>
      <c r="AB518" s="659"/>
      <c r="AC518" s="659"/>
      <c r="AD518" s="659"/>
      <c r="AE518" s="659"/>
      <c r="AF518" s="659"/>
      <c r="AG518" s="659"/>
      <c r="AH518" s="659"/>
      <c r="AI518" s="659"/>
      <c r="AJ518" s="659"/>
      <c r="AK518" s="659"/>
      <c r="AL518" s="659"/>
      <c r="AM518" s="659"/>
      <c r="AN518" s="659"/>
      <c r="AO518" s="659"/>
      <c r="AP518" s="659"/>
      <c r="AQ518" s="746"/>
    </row>
    <row r="519">
      <c r="A519" s="654"/>
      <c r="B519" s="738" t="s">
        <v>902</v>
      </c>
      <c r="C519" s="720">
        <v>1.0</v>
      </c>
      <c r="D519" s="721">
        <v>1.0</v>
      </c>
      <c r="E519" s="645"/>
      <c r="F519" s="951"/>
      <c r="G519" s="951"/>
      <c r="H519" s="951"/>
      <c r="I519" s="951"/>
      <c r="J519" s="951"/>
      <c r="K519" s="951"/>
      <c r="L519" s="951"/>
      <c r="M519" s="951"/>
      <c r="N519" s="659"/>
      <c r="O519" s="951"/>
      <c r="P519" s="951"/>
      <c r="Q519" s="659"/>
      <c r="R519" s="659"/>
      <c r="S519" s="659"/>
      <c r="T519" s="659"/>
      <c r="U519" s="659"/>
      <c r="V519" s="659"/>
      <c r="W519" s="659"/>
      <c r="X519" s="659"/>
      <c r="Y519" s="659"/>
      <c r="Z519" s="659"/>
      <c r="AA519" s="659"/>
      <c r="AB519" s="659"/>
      <c r="AC519" s="659"/>
      <c r="AD519" s="659"/>
      <c r="AE519" s="659"/>
      <c r="AF519" s="659"/>
      <c r="AG519" s="659"/>
      <c r="AH519" s="659"/>
      <c r="AI519" s="659"/>
      <c r="AJ519" s="659"/>
      <c r="AK519" s="659"/>
      <c r="AL519" s="659"/>
      <c r="AM519" s="659"/>
      <c r="AN519" s="659"/>
      <c r="AO519" s="659"/>
      <c r="AP519" s="659"/>
      <c r="AQ519" s="746"/>
    </row>
    <row r="520">
      <c r="A520" s="654"/>
      <c r="B520" s="738" t="s">
        <v>903</v>
      </c>
      <c r="C520" s="720">
        <v>1.0</v>
      </c>
      <c r="D520" s="721">
        <v>2.0</v>
      </c>
      <c r="E520" s="645"/>
      <c r="F520" s="951"/>
      <c r="G520" s="951"/>
      <c r="H520" s="951"/>
      <c r="I520" s="951"/>
      <c r="J520" s="951"/>
      <c r="K520" s="951"/>
      <c r="L520" s="951"/>
      <c r="M520" s="951"/>
      <c r="N520" s="659"/>
      <c r="O520" s="951"/>
      <c r="P520" s="951"/>
      <c r="Q520" s="659"/>
      <c r="R520" s="659"/>
      <c r="S520" s="659"/>
      <c r="T520" s="659"/>
      <c r="U520" s="659"/>
      <c r="V520" s="659"/>
      <c r="W520" s="659"/>
      <c r="X520" s="659"/>
      <c r="Y520" s="659"/>
      <c r="Z520" s="659"/>
      <c r="AA520" s="659"/>
      <c r="AB520" s="659"/>
      <c r="AC520" s="659"/>
      <c r="AD520" s="659"/>
      <c r="AE520" s="659"/>
      <c r="AF520" s="659"/>
      <c r="AG520" s="659"/>
      <c r="AH520" s="659"/>
      <c r="AI520" s="659"/>
      <c r="AJ520" s="659"/>
      <c r="AK520" s="659"/>
      <c r="AL520" s="659"/>
      <c r="AM520" s="659"/>
      <c r="AN520" s="659"/>
      <c r="AO520" s="659"/>
      <c r="AP520" s="659"/>
      <c r="AQ520" s="746"/>
    </row>
    <row r="521">
      <c r="A521" s="1002"/>
      <c r="B521" s="704" t="s">
        <v>147</v>
      </c>
      <c r="C521" s="687">
        <v>19.0</v>
      </c>
      <c r="D521" s="702" t="s">
        <v>216</v>
      </c>
      <c r="E521" s="645"/>
      <c r="F521" s="951"/>
      <c r="G521" s="951"/>
      <c r="H521" s="951"/>
      <c r="I521" s="951"/>
      <c r="J521" s="951"/>
      <c r="K521" s="951"/>
      <c r="L521" s="951"/>
      <c r="M521" s="951"/>
      <c r="N521" s="659"/>
      <c r="O521" s="951"/>
      <c r="P521" s="951"/>
      <c r="Q521" s="659"/>
      <c r="R521" s="659"/>
      <c r="S521" s="659"/>
      <c r="T521" s="659"/>
      <c r="U521" s="659"/>
      <c r="V521" s="659"/>
      <c r="W521" s="659"/>
      <c r="X521" s="659"/>
      <c r="Y521" s="659"/>
      <c r="Z521" s="659"/>
      <c r="AA521" s="659"/>
      <c r="AB521" s="659"/>
      <c r="AC521" s="659"/>
      <c r="AD521" s="659"/>
      <c r="AE521" s="659"/>
      <c r="AF521" s="659"/>
      <c r="AG521" s="659"/>
      <c r="AH521" s="659"/>
      <c r="AI521" s="659"/>
      <c r="AJ521" s="659"/>
      <c r="AK521" s="659"/>
      <c r="AL521" s="659"/>
      <c r="AM521" s="659"/>
      <c r="AN521" s="659"/>
      <c r="AO521" s="659"/>
      <c r="AP521" s="659"/>
      <c r="AQ521" s="746"/>
    </row>
    <row r="522">
      <c r="A522" s="654"/>
      <c r="B522" s="738" t="s">
        <v>904</v>
      </c>
      <c r="C522" s="720">
        <v>1.0</v>
      </c>
      <c r="D522" s="721">
        <v>1.0</v>
      </c>
      <c r="E522" s="645"/>
      <c r="F522" s="951"/>
      <c r="G522" s="951"/>
      <c r="H522" s="951"/>
      <c r="I522" s="951"/>
      <c r="J522" s="951"/>
      <c r="K522" s="951"/>
      <c r="L522" s="951"/>
      <c r="M522" s="951"/>
      <c r="N522" s="659"/>
      <c r="O522" s="951"/>
      <c r="P522" s="951"/>
      <c r="Q522" s="659"/>
      <c r="R522" s="659"/>
      <c r="S522" s="659"/>
      <c r="T522" s="659"/>
      <c r="U522" s="659"/>
      <c r="V522" s="659"/>
      <c r="W522" s="659"/>
      <c r="X522" s="659"/>
      <c r="Y522" s="659"/>
      <c r="Z522" s="659"/>
      <c r="AA522" s="659"/>
      <c r="AB522" s="659"/>
      <c r="AC522" s="659"/>
      <c r="AD522" s="659"/>
      <c r="AE522" s="659"/>
      <c r="AF522" s="659"/>
      <c r="AG522" s="659"/>
      <c r="AH522" s="659"/>
      <c r="AI522" s="659"/>
      <c r="AJ522" s="659"/>
      <c r="AK522" s="659"/>
      <c r="AL522" s="659"/>
      <c r="AM522" s="659"/>
      <c r="AN522" s="659"/>
      <c r="AO522" s="659"/>
      <c r="AP522" s="659"/>
      <c r="AQ522" s="746"/>
    </row>
    <row r="523">
      <c r="A523" s="654"/>
      <c r="B523" s="738" t="s">
        <v>905</v>
      </c>
      <c r="C523" s="720">
        <v>1.0</v>
      </c>
      <c r="D523" s="721">
        <v>1.0</v>
      </c>
      <c r="E523" s="645"/>
      <c r="F523" s="951"/>
      <c r="G523" s="951"/>
      <c r="H523" s="951"/>
      <c r="I523" s="951"/>
      <c r="J523" s="951"/>
      <c r="K523" s="951"/>
      <c r="L523" s="951"/>
      <c r="M523" s="951"/>
      <c r="N523" s="659"/>
      <c r="O523" s="951"/>
      <c r="P523" s="951"/>
      <c r="Q523" s="659"/>
      <c r="R523" s="659"/>
      <c r="S523" s="659"/>
      <c r="T523" s="659"/>
      <c r="U523" s="659"/>
      <c r="V523" s="659"/>
      <c r="W523" s="659"/>
      <c r="X523" s="659"/>
      <c r="Y523" s="659"/>
      <c r="Z523" s="659"/>
      <c r="AA523" s="659"/>
      <c r="AB523" s="659"/>
      <c r="AC523" s="659"/>
      <c r="AD523" s="659"/>
      <c r="AE523" s="659"/>
      <c r="AF523" s="659"/>
      <c r="AG523" s="659"/>
      <c r="AH523" s="659"/>
      <c r="AI523" s="659"/>
      <c r="AJ523" s="659"/>
      <c r="AK523" s="659"/>
      <c r="AL523" s="659"/>
      <c r="AM523" s="659"/>
      <c r="AN523" s="659"/>
      <c r="AO523" s="659"/>
      <c r="AP523" s="659"/>
      <c r="AQ523" s="746"/>
    </row>
    <row r="524">
      <c r="A524" s="654"/>
      <c r="B524" s="738" t="s">
        <v>201</v>
      </c>
      <c r="C524" s="720">
        <v>1.0</v>
      </c>
      <c r="D524" s="721">
        <v>2.0</v>
      </c>
      <c r="E524" s="645"/>
      <c r="F524" s="951"/>
      <c r="G524" s="951"/>
      <c r="H524" s="951"/>
      <c r="I524" s="951"/>
      <c r="J524" s="951"/>
      <c r="K524" s="951"/>
      <c r="L524" s="951"/>
      <c r="M524" s="951"/>
      <c r="N524" s="659"/>
      <c r="O524" s="951"/>
      <c r="P524" s="951"/>
      <c r="Q524" s="659"/>
      <c r="R524" s="659"/>
      <c r="S524" s="659"/>
      <c r="T524" s="659"/>
      <c r="U524" s="659"/>
      <c r="V524" s="659"/>
      <c r="W524" s="659"/>
      <c r="X524" s="659"/>
      <c r="Y524" s="659"/>
      <c r="Z524" s="659"/>
      <c r="AA524" s="659"/>
      <c r="AB524" s="659"/>
      <c r="AC524" s="659"/>
      <c r="AD524" s="659"/>
      <c r="AE524" s="659"/>
      <c r="AF524" s="659"/>
      <c r="AG524" s="659"/>
      <c r="AH524" s="659"/>
      <c r="AI524" s="659"/>
      <c r="AJ524" s="659"/>
      <c r="AK524" s="659"/>
      <c r="AL524" s="659"/>
      <c r="AM524" s="659"/>
      <c r="AN524" s="659"/>
      <c r="AO524" s="659"/>
      <c r="AP524" s="659"/>
      <c r="AQ524" s="746"/>
    </row>
    <row r="525">
      <c r="A525" s="654"/>
      <c r="B525" s="738" t="s">
        <v>221</v>
      </c>
      <c r="C525" s="1003">
        <v>0.0</v>
      </c>
      <c r="D525" s="1003">
        <v>0.0</v>
      </c>
      <c r="E525" s="645"/>
      <c r="F525" s="951"/>
      <c r="G525" s="951"/>
      <c r="H525" s="951"/>
      <c r="I525" s="951"/>
      <c r="J525" s="951"/>
      <c r="K525" s="951"/>
      <c r="L525" s="951"/>
      <c r="M525" s="951"/>
      <c r="N525" s="659"/>
      <c r="O525" s="951"/>
      <c r="P525" s="951"/>
      <c r="Q525" s="659"/>
      <c r="R525" s="659"/>
      <c r="S525" s="659"/>
      <c r="T525" s="659"/>
      <c r="U525" s="659"/>
      <c r="V525" s="659"/>
      <c r="W525" s="659"/>
      <c r="X525" s="659"/>
      <c r="Y525" s="659"/>
      <c r="Z525" s="659"/>
      <c r="AA525" s="659"/>
      <c r="AB525" s="659"/>
      <c r="AC525" s="659"/>
      <c r="AD525" s="659"/>
      <c r="AE525" s="659"/>
      <c r="AF525" s="659"/>
      <c r="AG525" s="659"/>
      <c r="AH525" s="659"/>
      <c r="AI525" s="659"/>
      <c r="AJ525" s="659"/>
      <c r="AK525" s="659"/>
      <c r="AL525" s="659"/>
      <c r="AM525" s="659"/>
      <c r="AN525" s="659"/>
      <c r="AO525" s="659"/>
      <c r="AP525" s="659"/>
      <c r="AQ525" s="746"/>
    </row>
    <row r="526">
      <c r="A526" s="654"/>
      <c r="B526" s="738" t="s">
        <v>906</v>
      </c>
      <c r="C526" s="720">
        <v>1.0</v>
      </c>
      <c r="D526" s="721">
        <v>1.0</v>
      </c>
      <c r="E526" s="645"/>
      <c r="F526" s="951"/>
      <c r="G526" s="951"/>
      <c r="H526" s="951"/>
      <c r="I526" s="951"/>
      <c r="J526" s="951"/>
      <c r="K526" s="951"/>
      <c r="L526" s="951"/>
      <c r="M526" s="951"/>
      <c r="N526" s="659"/>
      <c r="O526" s="951"/>
      <c r="P526" s="951"/>
      <c r="Q526" s="659"/>
      <c r="R526" s="659"/>
      <c r="S526" s="659"/>
      <c r="T526" s="659"/>
      <c r="U526" s="659"/>
      <c r="V526" s="659"/>
      <c r="W526" s="659"/>
      <c r="X526" s="659"/>
      <c r="Y526" s="659"/>
      <c r="Z526" s="659"/>
      <c r="AA526" s="659"/>
      <c r="AB526" s="659"/>
      <c r="AC526" s="659"/>
      <c r="AD526" s="659"/>
      <c r="AE526" s="659"/>
      <c r="AF526" s="659"/>
      <c r="AG526" s="659"/>
      <c r="AH526" s="659"/>
      <c r="AI526" s="659"/>
      <c r="AJ526" s="659"/>
      <c r="AK526" s="659"/>
      <c r="AL526" s="659"/>
      <c r="AM526" s="659"/>
      <c r="AN526" s="659"/>
      <c r="AO526" s="659"/>
      <c r="AP526" s="659"/>
      <c r="AQ526" s="746"/>
    </row>
    <row r="527">
      <c r="A527" s="654"/>
      <c r="B527" s="738" t="s">
        <v>907</v>
      </c>
      <c r="C527" s="720">
        <v>1.0</v>
      </c>
      <c r="D527" s="721">
        <v>1.0</v>
      </c>
      <c r="E527" s="645"/>
      <c r="F527" s="951"/>
      <c r="G527" s="951"/>
      <c r="H527" s="951"/>
      <c r="I527" s="951"/>
      <c r="J527" s="951"/>
      <c r="K527" s="951"/>
      <c r="L527" s="951"/>
      <c r="M527" s="951"/>
      <c r="N527" s="659"/>
      <c r="O527" s="951"/>
      <c r="P527" s="951"/>
      <c r="Q527" s="659"/>
      <c r="R527" s="659"/>
      <c r="S527" s="659"/>
      <c r="T527" s="659"/>
      <c r="U527" s="659"/>
      <c r="V527" s="659"/>
      <c r="W527" s="659"/>
      <c r="X527" s="659"/>
      <c r="Y527" s="659"/>
      <c r="Z527" s="659"/>
      <c r="AA527" s="659"/>
      <c r="AB527" s="659"/>
      <c r="AC527" s="659"/>
      <c r="AD527" s="659"/>
      <c r="AE527" s="659"/>
      <c r="AF527" s="659"/>
      <c r="AG527" s="659"/>
      <c r="AH527" s="659"/>
      <c r="AI527" s="659"/>
      <c r="AJ527" s="659"/>
      <c r="AK527" s="659"/>
      <c r="AL527" s="659"/>
      <c r="AM527" s="659"/>
      <c r="AN527" s="659"/>
      <c r="AO527" s="659"/>
      <c r="AP527" s="659"/>
      <c r="AQ527" s="746"/>
    </row>
    <row r="528">
      <c r="A528" s="654"/>
      <c r="B528" s="1004"/>
      <c r="C528" s="1005"/>
      <c r="D528" s="645"/>
      <c r="E528" s="645"/>
      <c r="F528" s="951"/>
      <c r="G528" s="951"/>
      <c r="H528" s="951"/>
      <c r="I528" s="951"/>
      <c r="J528" s="951"/>
      <c r="K528" s="951"/>
      <c r="L528" s="951"/>
      <c r="M528" s="951"/>
      <c r="N528" s="659"/>
      <c r="O528" s="951"/>
      <c r="P528" s="951"/>
      <c r="Q528" s="659"/>
      <c r="R528" s="659"/>
      <c r="S528" s="659"/>
      <c r="T528" s="659"/>
      <c r="U528" s="659"/>
      <c r="V528" s="659"/>
      <c r="W528" s="659"/>
      <c r="X528" s="659"/>
      <c r="Y528" s="659"/>
      <c r="Z528" s="659"/>
      <c r="AA528" s="659"/>
      <c r="AB528" s="659"/>
      <c r="AC528" s="659"/>
      <c r="AD528" s="659"/>
      <c r="AE528" s="659"/>
      <c r="AF528" s="659"/>
      <c r="AG528" s="659"/>
      <c r="AH528" s="659"/>
      <c r="AI528" s="659"/>
      <c r="AJ528" s="659"/>
      <c r="AK528" s="659"/>
      <c r="AL528" s="659"/>
      <c r="AM528" s="659"/>
      <c r="AN528" s="659"/>
      <c r="AO528" s="659"/>
      <c r="AP528" s="659"/>
      <c r="AQ528" s="746"/>
    </row>
    <row r="529">
      <c r="A529" s="654"/>
      <c r="B529" s="1004"/>
      <c r="C529" s="1005"/>
      <c r="D529" s="645"/>
      <c r="E529" s="645"/>
      <c r="F529" s="951"/>
      <c r="G529" s="951"/>
      <c r="H529" s="951"/>
      <c r="I529" s="951"/>
      <c r="J529" s="951"/>
      <c r="K529" s="951"/>
      <c r="L529" s="951"/>
      <c r="M529" s="951"/>
      <c r="N529" s="659"/>
      <c r="O529" s="951"/>
      <c r="P529" s="951"/>
      <c r="Q529" s="659"/>
      <c r="R529" s="659"/>
      <c r="S529" s="659"/>
      <c r="T529" s="659"/>
      <c r="U529" s="659"/>
      <c r="V529" s="659"/>
      <c r="W529" s="659"/>
      <c r="X529" s="659"/>
      <c r="Y529" s="659"/>
      <c r="Z529" s="659"/>
      <c r="AA529" s="659"/>
      <c r="AB529" s="659"/>
      <c r="AC529" s="659"/>
      <c r="AD529" s="659"/>
      <c r="AE529" s="659"/>
      <c r="AF529" s="659"/>
      <c r="AG529" s="659"/>
      <c r="AH529" s="659"/>
      <c r="AI529" s="659"/>
      <c r="AJ529" s="659"/>
      <c r="AK529" s="659"/>
      <c r="AL529" s="659"/>
      <c r="AM529" s="659"/>
      <c r="AN529" s="659"/>
      <c r="AO529" s="659"/>
      <c r="AP529" s="659"/>
      <c r="AQ529" s="746"/>
    </row>
    <row r="530">
      <c r="A530" s="654"/>
      <c r="B530" s="1004"/>
      <c r="C530" s="1005"/>
      <c r="D530" s="645"/>
      <c r="E530" s="645"/>
      <c r="F530" s="951"/>
      <c r="G530" s="951"/>
      <c r="H530" s="951"/>
      <c r="I530" s="951"/>
      <c r="J530" s="951"/>
      <c r="K530" s="951"/>
      <c r="L530" s="951"/>
      <c r="M530" s="951"/>
      <c r="N530" s="659"/>
      <c r="O530" s="951"/>
      <c r="P530" s="951"/>
      <c r="Q530" s="659"/>
      <c r="R530" s="659"/>
      <c r="S530" s="659"/>
      <c r="T530" s="659"/>
      <c r="U530" s="659"/>
      <c r="V530" s="659"/>
      <c r="W530" s="659"/>
      <c r="X530" s="659"/>
      <c r="Y530" s="659"/>
      <c r="Z530" s="659"/>
      <c r="AA530" s="659"/>
      <c r="AB530" s="659"/>
      <c r="AC530" s="659"/>
      <c r="AD530" s="659"/>
      <c r="AE530" s="659"/>
      <c r="AF530" s="659"/>
      <c r="AG530" s="659"/>
      <c r="AH530" s="659"/>
      <c r="AI530" s="659"/>
      <c r="AJ530" s="659"/>
      <c r="AK530" s="659"/>
      <c r="AL530" s="659"/>
      <c r="AM530" s="659"/>
      <c r="AN530" s="659"/>
      <c r="AO530" s="659"/>
      <c r="AP530" s="659"/>
      <c r="AQ530" s="746"/>
    </row>
    <row r="531">
      <c r="A531" s="654"/>
      <c r="B531" s="1004"/>
      <c r="C531" s="1005"/>
      <c r="D531" s="645"/>
      <c r="E531" s="645"/>
      <c r="F531" s="951"/>
      <c r="G531" s="951"/>
      <c r="H531" s="951"/>
      <c r="I531" s="951"/>
      <c r="J531" s="951"/>
      <c r="K531" s="951"/>
      <c r="L531" s="951"/>
      <c r="M531" s="951"/>
      <c r="N531" s="659"/>
      <c r="O531" s="951"/>
      <c r="P531" s="951"/>
      <c r="Q531" s="659"/>
      <c r="R531" s="659"/>
      <c r="S531" s="659"/>
      <c r="T531" s="659"/>
      <c r="U531" s="659"/>
      <c r="V531" s="659"/>
      <c r="W531" s="659"/>
      <c r="X531" s="659"/>
      <c r="Y531" s="659"/>
      <c r="Z531" s="659"/>
      <c r="AA531" s="659"/>
      <c r="AB531" s="659"/>
      <c r="AC531" s="659"/>
      <c r="AD531" s="659"/>
      <c r="AE531" s="659"/>
      <c r="AF531" s="659"/>
      <c r="AG531" s="659"/>
      <c r="AH531" s="659"/>
      <c r="AI531" s="659"/>
      <c r="AJ531" s="659"/>
      <c r="AK531" s="659"/>
      <c r="AL531" s="659"/>
      <c r="AM531" s="659"/>
      <c r="AN531" s="659"/>
      <c r="AO531" s="659"/>
      <c r="AP531" s="659"/>
      <c r="AQ531" s="746"/>
    </row>
    <row r="532">
      <c r="A532" s="654"/>
      <c r="B532" s="1004"/>
      <c r="C532" s="1005"/>
      <c r="D532" s="645"/>
      <c r="E532" s="645"/>
      <c r="F532" s="951"/>
      <c r="G532" s="951"/>
      <c r="H532" s="951"/>
      <c r="I532" s="951"/>
      <c r="J532" s="951"/>
      <c r="K532" s="951"/>
      <c r="L532" s="951"/>
      <c r="M532" s="951"/>
      <c r="N532" s="659"/>
      <c r="O532" s="951"/>
      <c r="P532" s="951"/>
      <c r="Q532" s="659"/>
      <c r="R532" s="659"/>
      <c r="S532" s="659"/>
      <c r="T532" s="659"/>
      <c r="U532" s="659"/>
      <c r="V532" s="659"/>
      <c r="W532" s="659"/>
      <c r="X532" s="659"/>
      <c r="Y532" s="659"/>
      <c r="Z532" s="659"/>
      <c r="AA532" s="659"/>
      <c r="AB532" s="659"/>
      <c r="AC532" s="659"/>
      <c r="AD532" s="659"/>
      <c r="AE532" s="659"/>
      <c r="AF532" s="659"/>
      <c r="AG532" s="659"/>
      <c r="AH532" s="659"/>
      <c r="AI532" s="659"/>
      <c r="AJ532" s="659"/>
      <c r="AK532" s="659"/>
      <c r="AL532" s="659"/>
      <c r="AM532" s="659"/>
      <c r="AN532" s="659"/>
      <c r="AO532" s="659"/>
      <c r="AP532" s="659"/>
      <c r="AQ532" s="746"/>
    </row>
    <row r="533">
      <c r="A533" s="654"/>
      <c r="B533" s="1004"/>
      <c r="C533" s="1005"/>
      <c r="D533" s="645"/>
      <c r="E533" s="645"/>
      <c r="F533" s="951"/>
      <c r="G533" s="951"/>
      <c r="H533" s="951"/>
      <c r="I533" s="951"/>
      <c r="J533" s="951"/>
      <c r="K533" s="951"/>
      <c r="L533" s="951"/>
      <c r="M533" s="951"/>
      <c r="N533" s="659"/>
      <c r="O533" s="951"/>
      <c r="P533" s="951"/>
      <c r="Q533" s="659"/>
      <c r="R533" s="659"/>
      <c r="S533" s="659"/>
      <c r="T533" s="659"/>
      <c r="U533" s="659"/>
      <c r="V533" s="659"/>
      <c r="W533" s="659"/>
      <c r="X533" s="659"/>
      <c r="Y533" s="659"/>
      <c r="Z533" s="659"/>
      <c r="AA533" s="659"/>
      <c r="AB533" s="659"/>
      <c r="AC533" s="659"/>
      <c r="AD533" s="659"/>
      <c r="AE533" s="659"/>
      <c r="AF533" s="659"/>
      <c r="AG533" s="659"/>
      <c r="AH533" s="659"/>
      <c r="AI533" s="659"/>
      <c r="AJ533" s="659"/>
      <c r="AK533" s="659"/>
      <c r="AL533" s="659"/>
      <c r="AM533" s="659"/>
      <c r="AN533" s="659"/>
      <c r="AO533" s="659"/>
      <c r="AP533" s="659"/>
      <c r="AQ533" s="746"/>
    </row>
    <row r="534">
      <c r="A534" s="654"/>
      <c r="B534" s="1004"/>
      <c r="C534" s="1005"/>
      <c r="D534" s="645"/>
      <c r="E534" s="645"/>
      <c r="F534" s="951"/>
      <c r="G534" s="951"/>
      <c r="H534" s="951"/>
      <c r="I534" s="951"/>
      <c r="J534" s="951"/>
      <c r="K534" s="951"/>
      <c r="L534" s="951"/>
      <c r="M534" s="951"/>
      <c r="N534" s="659"/>
      <c r="O534" s="951"/>
      <c r="P534" s="951"/>
      <c r="Q534" s="659"/>
      <c r="R534" s="659"/>
      <c r="S534" s="659"/>
      <c r="T534" s="659"/>
      <c r="U534" s="659"/>
      <c r="V534" s="659"/>
      <c r="W534" s="659"/>
      <c r="X534" s="659"/>
      <c r="Y534" s="659"/>
      <c r="Z534" s="659"/>
      <c r="AA534" s="659"/>
      <c r="AB534" s="659"/>
      <c r="AC534" s="659"/>
      <c r="AD534" s="659"/>
      <c r="AE534" s="659"/>
      <c r="AF534" s="659"/>
      <c r="AG534" s="659"/>
      <c r="AH534" s="659"/>
      <c r="AI534" s="659"/>
      <c r="AJ534" s="659"/>
      <c r="AK534" s="659"/>
      <c r="AL534" s="659"/>
      <c r="AM534" s="659"/>
      <c r="AN534" s="659"/>
      <c r="AO534" s="659"/>
      <c r="AP534" s="659"/>
      <c r="AQ534" s="746"/>
    </row>
    <row r="535">
      <c r="A535" s="654"/>
      <c r="B535" s="1004"/>
      <c r="C535" s="1005"/>
      <c r="D535" s="645"/>
      <c r="E535" s="645"/>
      <c r="F535" s="951"/>
      <c r="G535" s="951"/>
      <c r="H535" s="951"/>
      <c r="I535" s="951"/>
      <c r="J535" s="951"/>
      <c r="K535" s="951"/>
      <c r="L535" s="951"/>
      <c r="M535" s="951"/>
      <c r="N535" s="659"/>
      <c r="O535" s="951"/>
      <c r="P535" s="951"/>
      <c r="Q535" s="659"/>
      <c r="R535" s="659"/>
      <c r="S535" s="659"/>
      <c r="T535" s="659"/>
      <c r="U535" s="659"/>
      <c r="V535" s="659"/>
      <c r="W535" s="659"/>
      <c r="X535" s="659"/>
      <c r="Y535" s="659"/>
      <c r="Z535" s="659"/>
      <c r="AA535" s="659"/>
      <c r="AB535" s="659"/>
      <c r="AC535" s="659"/>
      <c r="AD535" s="659"/>
      <c r="AE535" s="659"/>
      <c r="AF535" s="659"/>
      <c r="AG535" s="659"/>
      <c r="AH535" s="659"/>
      <c r="AI535" s="659"/>
      <c r="AJ535" s="659"/>
      <c r="AK535" s="659"/>
      <c r="AL535" s="659"/>
      <c r="AM535" s="659"/>
      <c r="AN535" s="659"/>
      <c r="AO535" s="659"/>
      <c r="AP535" s="659"/>
      <c r="AQ535" s="746"/>
    </row>
    <row r="536">
      <c r="A536" s="654"/>
      <c r="B536" s="1004"/>
      <c r="C536" s="1005"/>
      <c r="D536" s="645"/>
      <c r="E536" s="645"/>
      <c r="F536" s="951"/>
      <c r="G536" s="951"/>
      <c r="H536" s="951"/>
      <c r="I536" s="951"/>
      <c r="J536" s="951"/>
      <c r="K536" s="951"/>
      <c r="L536" s="951"/>
      <c r="M536" s="951"/>
      <c r="N536" s="659"/>
      <c r="O536" s="951"/>
      <c r="P536" s="951"/>
      <c r="Q536" s="659"/>
      <c r="R536" s="659"/>
      <c r="S536" s="659"/>
      <c r="T536" s="659"/>
      <c r="U536" s="659"/>
      <c r="V536" s="659"/>
      <c r="W536" s="659"/>
      <c r="X536" s="659"/>
      <c r="Y536" s="659"/>
      <c r="Z536" s="659"/>
      <c r="AA536" s="659"/>
      <c r="AB536" s="659"/>
      <c r="AC536" s="659"/>
      <c r="AD536" s="659"/>
      <c r="AE536" s="659"/>
      <c r="AF536" s="659"/>
      <c r="AG536" s="659"/>
      <c r="AH536" s="659"/>
      <c r="AI536" s="659"/>
      <c r="AJ536" s="659"/>
      <c r="AK536" s="659"/>
      <c r="AL536" s="659"/>
      <c r="AM536" s="659"/>
      <c r="AN536" s="659"/>
      <c r="AO536" s="659"/>
      <c r="AP536" s="659"/>
      <c r="AQ536" s="746"/>
    </row>
    <row r="537">
      <c r="A537" s="654"/>
      <c r="B537" s="1004"/>
      <c r="C537" s="1005"/>
      <c r="D537" s="645"/>
      <c r="E537" s="645"/>
      <c r="F537" s="951"/>
      <c r="G537" s="951"/>
      <c r="H537" s="951"/>
      <c r="I537" s="951"/>
      <c r="J537" s="951"/>
      <c r="K537" s="951"/>
      <c r="L537" s="951"/>
      <c r="M537" s="951"/>
      <c r="N537" s="659"/>
      <c r="O537" s="951"/>
      <c r="P537" s="951"/>
      <c r="Q537" s="659"/>
      <c r="R537" s="659"/>
      <c r="S537" s="659"/>
      <c r="T537" s="659"/>
      <c r="U537" s="659"/>
      <c r="V537" s="659"/>
      <c r="W537" s="659"/>
      <c r="X537" s="659"/>
      <c r="Y537" s="659"/>
      <c r="Z537" s="659"/>
      <c r="AA537" s="659"/>
      <c r="AB537" s="659"/>
      <c r="AC537" s="659"/>
      <c r="AD537" s="659"/>
      <c r="AE537" s="659"/>
      <c r="AF537" s="659"/>
      <c r="AG537" s="659"/>
      <c r="AH537" s="659"/>
      <c r="AI537" s="659"/>
      <c r="AJ537" s="659"/>
      <c r="AK537" s="659"/>
      <c r="AL537" s="659"/>
      <c r="AM537" s="659"/>
      <c r="AN537" s="659"/>
      <c r="AO537" s="659"/>
      <c r="AP537" s="659"/>
      <c r="AQ537" s="746"/>
    </row>
    <row r="538">
      <c r="A538" s="1002"/>
      <c r="B538" s="1004"/>
      <c r="C538" s="1005"/>
      <c r="D538" s="645"/>
      <c r="E538" s="645"/>
      <c r="F538" s="951"/>
      <c r="G538" s="951"/>
      <c r="H538" s="951"/>
      <c r="I538" s="951"/>
      <c r="J538" s="951"/>
      <c r="K538" s="951"/>
      <c r="L538" s="951"/>
      <c r="M538" s="951"/>
      <c r="N538" s="659"/>
      <c r="O538" s="951"/>
      <c r="P538" s="951"/>
      <c r="Q538" s="659"/>
      <c r="R538" s="659"/>
      <c r="S538" s="659"/>
      <c r="T538" s="659"/>
      <c r="U538" s="659"/>
      <c r="V538" s="659"/>
      <c r="W538" s="659"/>
      <c r="X538" s="659"/>
      <c r="Y538" s="659"/>
      <c r="Z538" s="659"/>
      <c r="AA538" s="659"/>
      <c r="AB538" s="659"/>
      <c r="AC538" s="659"/>
      <c r="AD538" s="659"/>
      <c r="AE538" s="659"/>
      <c r="AF538" s="659"/>
      <c r="AG538" s="659"/>
      <c r="AH538" s="659"/>
      <c r="AI538" s="659"/>
      <c r="AJ538" s="659"/>
      <c r="AK538" s="659"/>
      <c r="AL538" s="659"/>
      <c r="AM538" s="659"/>
      <c r="AN538" s="659"/>
      <c r="AO538" s="659"/>
      <c r="AP538" s="659"/>
      <c r="AQ538" s="746"/>
    </row>
    <row r="539">
      <c r="A539" s="654"/>
      <c r="B539" s="1004"/>
      <c r="C539" s="1005"/>
      <c r="D539" s="645"/>
      <c r="E539" s="645"/>
      <c r="F539" s="951"/>
      <c r="G539" s="951"/>
      <c r="H539" s="951"/>
      <c r="I539" s="951"/>
      <c r="J539" s="951"/>
      <c r="K539" s="951"/>
      <c r="L539" s="951"/>
      <c r="M539" s="951"/>
      <c r="N539" s="659"/>
      <c r="O539" s="951"/>
      <c r="P539" s="951"/>
      <c r="Q539" s="659"/>
      <c r="R539" s="659"/>
      <c r="S539" s="659"/>
      <c r="T539" s="659"/>
      <c r="U539" s="659"/>
      <c r="V539" s="659"/>
      <c r="W539" s="659"/>
      <c r="X539" s="659"/>
      <c r="Y539" s="659"/>
      <c r="Z539" s="659"/>
      <c r="AA539" s="659"/>
      <c r="AB539" s="659"/>
      <c r="AC539" s="659"/>
      <c r="AD539" s="659"/>
      <c r="AE539" s="659"/>
      <c r="AF539" s="659"/>
      <c r="AG539" s="659"/>
      <c r="AH539" s="659"/>
      <c r="AI539" s="659"/>
      <c r="AJ539" s="659"/>
      <c r="AK539" s="659"/>
      <c r="AL539" s="659"/>
      <c r="AM539" s="659"/>
      <c r="AN539" s="659"/>
      <c r="AO539" s="659"/>
      <c r="AP539" s="659"/>
      <c r="AQ539" s="746"/>
    </row>
    <row r="540">
      <c r="A540" s="654"/>
      <c r="B540" s="1004"/>
      <c r="C540" s="1005"/>
      <c r="D540" s="645"/>
      <c r="E540" s="645"/>
      <c r="F540" s="951"/>
      <c r="G540" s="951"/>
      <c r="H540" s="951"/>
      <c r="I540" s="951"/>
      <c r="J540" s="951"/>
      <c r="K540" s="951"/>
      <c r="L540" s="951"/>
      <c r="M540" s="951"/>
      <c r="N540" s="659"/>
      <c r="O540" s="951"/>
      <c r="P540" s="951"/>
      <c r="Q540" s="659"/>
      <c r="R540" s="659"/>
      <c r="S540" s="659"/>
      <c r="T540" s="659"/>
      <c r="U540" s="659"/>
      <c r="V540" s="659"/>
      <c r="W540" s="659"/>
      <c r="X540" s="659"/>
      <c r="Y540" s="659"/>
      <c r="Z540" s="659"/>
      <c r="AA540" s="659"/>
      <c r="AB540" s="659"/>
      <c r="AC540" s="659"/>
      <c r="AD540" s="659"/>
      <c r="AE540" s="659"/>
      <c r="AF540" s="659"/>
      <c r="AG540" s="659"/>
      <c r="AH540" s="659"/>
      <c r="AI540" s="659"/>
      <c r="AJ540" s="659"/>
      <c r="AK540" s="659"/>
      <c r="AL540" s="659"/>
      <c r="AM540" s="659"/>
      <c r="AN540" s="659"/>
      <c r="AO540" s="659"/>
      <c r="AP540" s="659"/>
      <c r="AQ540" s="746"/>
    </row>
    <row r="541">
      <c r="A541" s="654"/>
      <c r="B541" s="1004"/>
      <c r="C541" s="1005"/>
      <c r="D541" s="645"/>
      <c r="E541" s="645"/>
      <c r="F541" s="951"/>
      <c r="G541" s="951"/>
      <c r="H541" s="951"/>
      <c r="I541" s="951"/>
      <c r="J541" s="951"/>
      <c r="K541" s="951"/>
      <c r="L541" s="951"/>
      <c r="M541" s="951"/>
      <c r="N541" s="659"/>
      <c r="O541" s="951"/>
      <c r="P541" s="951"/>
      <c r="Q541" s="659"/>
      <c r="R541" s="659"/>
      <c r="S541" s="659"/>
      <c r="T541" s="659"/>
      <c r="U541" s="659"/>
      <c r="V541" s="659"/>
      <c r="W541" s="659"/>
      <c r="X541" s="659"/>
      <c r="Y541" s="659"/>
      <c r="Z541" s="659"/>
      <c r="AA541" s="659"/>
      <c r="AB541" s="659"/>
      <c r="AC541" s="659"/>
      <c r="AD541" s="659"/>
      <c r="AE541" s="659"/>
      <c r="AF541" s="659"/>
      <c r="AG541" s="659"/>
      <c r="AH541" s="659"/>
      <c r="AI541" s="659"/>
      <c r="AJ541" s="659"/>
      <c r="AK541" s="659"/>
      <c r="AL541" s="659"/>
      <c r="AM541" s="659"/>
      <c r="AN541" s="659"/>
      <c r="AO541" s="659"/>
      <c r="AP541" s="659"/>
      <c r="AQ541" s="746"/>
    </row>
    <row r="542">
      <c r="A542" s="654"/>
      <c r="B542" s="1004"/>
      <c r="C542" s="1005"/>
      <c r="D542" s="645"/>
      <c r="E542" s="645"/>
      <c r="F542" s="951"/>
      <c r="G542" s="951"/>
      <c r="H542" s="951"/>
      <c r="I542" s="951"/>
      <c r="J542" s="951"/>
      <c r="K542" s="951"/>
      <c r="L542" s="951"/>
      <c r="M542" s="951"/>
      <c r="N542" s="659"/>
      <c r="O542" s="951"/>
      <c r="P542" s="951"/>
      <c r="Q542" s="659"/>
      <c r="R542" s="659"/>
      <c r="S542" s="659"/>
      <c r="T542" s="659"/>
      <c r="U542" s="659"/>
      <c r="V542" s="659"/>
      <c r="W542" s="659"/>
      <c r="X542" s="659"/>
      <c r="Y542" s="659"/>
      <c r="Z542" s="659"/>
      <c r="AA542" s="659"/>
      <c r="AB542" s="659"/>
      <c r="AC542" s="659"/>
      <c r="AD542" s="659"/>
      <c r="AE542" s="659"/>
      <c r="AF542" s="659"/>
      <c r="AG542" s="659"/>
      <c r="AH542" s="659"/>
      <c r="AI542" s="659"/>
      <c r="AJ542" s="659"/>
      <c r="AK542" s="659"/>
      <c r="AL542" s="659"/>
      <c r="AM542" s="659"/>
      <c r="AN542" s="659"/>
      <c r="AO542" s="659"/>
      <c r="AP542" s="659"/>
      <c r="AQ542" s="746"/>
    </row>
    <row r="543">
      <c r="A543" s="654"/>
      <c r="B543" s="1004"/>
      <c r="C543" s="1005"/>
      <c r="D543" s="645"/>
      <c r="E543" s="645"/>
      <c r="F543" s="951"/>
      <c r="G543" s="951"/>
      <c r="H543" s="951"/>
      <c r="I543" s="951"/>
      <c r="J543" s="951"/>
      <c r="K543" s="951"/>
      <c r="L543" s="951"/>
      <c r="M543" s="951"/>
      <c r="N543" s="659"/>
      <c r="O543" s="951"/>
      <c r="P543" s="951"/>
      <c r="Q543" s="659"/>
      <c r="R543" s="659"/>
      <c r="S543" s="659"/>
      <c r="T543" s="659"/>
      <c r="U543" s="659"/>
      <c r="V543" s="659"/>
      <c r="W543" s="659"/>
      <c r="X543" s="659"/>
      <c r="Y543" s="659"/>
      <c r="Z543" s="659"/>
      <c r="AA543" s="659"/>
      <c r="AB543" s="659"/>
      <c r="AC543" s="659"/>
      <c r="AD543" s="659"/>
      <c r="AE543" s="659"/>
      <c r="AF543" s="659"/>
      <c r="AG543" s="659"/>
      <c r="AH543" s="659"/>
      <c r="AI543" s="659"/>
      <c r="AJ543" s="659"/>
      <c r="AK543" s="659"/>
      <c r="AL543" s="659"/>
      <c r="AM543" s="659"/>
      <c r="AN543" s="659"/>
      <c r="AO543" s="659"/>
      <c r="AP543" s="659"/>
      <c r="AQ543" s="746"/>
    </row>
    <row r="544">
      <c r="A544" s="654"/>
      <c r="B544" s="1004"/>
      <c r="C544" s="1005"/>
      <c r="D544" s="645"/>
      <c r="E544" s="645"/>
      <c r="F544" s="951"/>
      <c r="G544" s="951"/>
      <c r="H544" s="951"/>
      <c r="I544" s="951"/>
      <c r="J544" s="951"/>
      <c r="K544" s="951"/>
      <c r="L544" s="951"/>
      <c r="M544" s="951"/>
      <c r="N544" s="659"/>
      <c r="O544" s="951"/>
      <c r="P544" s="951"/>
      <c r="Q544" s="659"/>
      <c r="R544" s="659"/>
      <c r="S544" s="659"/>
      <c r="T544" s="659"/>
      <c r="U544" s="659"/>
      <c r="V544" s="659"/>
      <c r="W544" s="659"/>
      <c r="X544" s="659"/>
      <c r="Y544" s="659"/>
      <c r="Z544" s="659"/>
      <c r="AA544" s="659"/>
      <c r="AB544" s="659"/>
      <c r="AC544" s="659"/>
      <c r="AD544" s="659"/>
      <c r="AE544" s="659"/>
      <c r="AF544" s="659"/>
      <c r="AG544" s="659"/>
      <c r="AH544" s="659"/>
      <c r="AI544" s="659"/>
      <c r="AJ544" s="659"/>
      <c r="AK544" s="659"/>
      <c r="AL544" s="659"/>
      <c r="AM544" s="659"/>
      <c r="AN544" s="659"/>
      <c r="AO544" s="659"/>
      <c r="AP544" s="659"/>
      <c r="AQ544" s="746"/>
    </row>
    <row r="545">
      <c r="A545" s="654"/>
      <c r="B545" s="1004"/>
      <c r="C545" s="1005"/>
      <c r="D545" s="645"/>
      <c r="E545" s="645"/>
      <c r="F545" s="951"/>
      <c r="G545" s="951"/>
      <c r="H545" s="951"/>
      <c r="I545" s="951"/>
      <c r="J545" s="951"/>
      <c r="K545" s="951"/>
      <c r="L545" s="951"/>
      <c r="M545" s="951"/>
      <c r="N545" s="659"/>
      <c r="O545" s="951"/>
      <c r="P545" s="951"/>
      <c r="Q545" s="659"/>
      <c r="R545" s="659"/>
      <c r="S545" s="659"/>
      <c r="T545" s="659"/>
      <c r="U545" s="659"/>
      <c r="V545" s="659"/>
      <c r="W545" s="659"/>
      <c r="X545" s="659"/>
      <c r="Y545" s="659"/>
      <c r="Z545" s="659"/>
      <c r="AA545" s="659"/>
      <c r="AB545" s="659"/>
      <c r="AC545" s="659"/>
      <c r="AD545" s="659"/>
      <c r="AE545" s="659"/>
      <c r="AF545" s="659"/>
      <c r="AG545" s="659"/>
      <c r="AH545" s="659"/>
      <c r="AI545" s="659"/>
      <c r="AJ545" s="659"/>
      <c r="AK545" s="659"/>
      <c r="AL545" s="659"/>
      <c r="AM545" s="659"/>
      <c r="AN545" s="659"/>
      <c r="AO545" s="659"/>
      <c r="AP545" s="659"/>
      <c r="AQ545" s="746"/>
    </row>
    <row r="546">
      <c r="A546" s="654"/>
      <c r="B546" s="1004"/>
      <c r="C546" s="1005"/>
      <c r="D546" s="645"/>
      <c r="E546" s="645"/>
      <c r="F546" s="951"/>
      <c r="G546" s="951"/>
      <c r="H546" s="951"/>
      <c r="I546" s="951"/>
      <c r="J546" s="951"/>
      <c r="K546" s="951"/>
      <c r="L546" s="951"/>
      <c r="M546" s="951"/>
      <c r="N546" s="659"/>
      <c r="O546" s="951"/>
      <c r="P546" s="951"/>
      <c r="Q546" s="659"/>
      <c r="R546" s="659"/>
      <c r="S546" s="659"/>
      <c r="T546" s="659"/>
      <c r="U546" s="659"/>
      <c r="V546" s="659"/>
      <c r="W546" s="659"/>
      <c r="X546" s="659"/>
      <c r="Y546" s="659"/>
      <c r="Z546" s="659"/>
      <c r="AA546" s="659"/>
      <c r="AB546" s="659"/>
      <c r="AC546" s="659"/>
      <c r="AD546" s="659"/>
      <c r="AE546" s="659"/>
      <c r="AF546" s="659"/>
      <c r="AG546" s="659"/>
      <c r="AH546" s="659"/>
      <c r="AI546" s="659"/>
      <c r="AJ546" s="659"/>
      <c r="AK546" s="659"/>
      <c r="AL546" s="659"/>
      <c r="AM546" s="659"/>
      <c r="AN546" s="659"/>
      <c r="AO546" s="659"/>
      <c r="AP546" s="659"/>
      <c r="AQ546" s="746"/>
    </row>
    <row r="547">
      <c r="A547" s="654"/>
      <c r="B547" s="1004"/>
      <c r="C547" s="1005"/>
      <c r="D547" s="645"/>
      <c r="E547" s="645"/>
      <c r="F547" s="951"/>
      <c r="G547" s="951"/>
      <c r="H547" s="951"/>
      <c r="I547" s="951"/>
      <c r="J547" s="951"/>
      <c r="K547" s="951"/>
      <c r="L547" s="951"/>
      <c r="M547" s="951"/>
      <c r="N547" s="659"/>
      <c r="O547" s="951"/>
      <c r="P547" s="951"/>
      <c r="Q547" s="659"/>
      <c r="R547" s="659"/>
      <c r="S547" s="659"/>
      <c r="T547" s="659"/>
      <c r="U547" s="659"/>
      <c r="V547" s="659"/>
      <c r="W547" s="659"/>
      <c r="X547" s="659"/>
      <c r="Y547" s="659"/>
      <c r="Z547" s="659"/>
      <c r="AA547" s="659"/>
      <c r="AB547" s="659"/>
      <c r="AC547" s="659"/>
      <c r="AD547" s="659"/>
      <c r="AE547" s="659"/>
      <c r="AF547" s="659"/>
      <c r="AG547" s="659"/>
      <c r="AH547" s="659"/>
      <c r="AI547" s="659"/>
      <c r="AJ547" s="659"/>
      <c r="AK547" s="659"/>
      <c r="AL547" s="659"/>
      <c r="AM547" s="659"/>
      <c r="AN547" s="659"/>
      <c r="AO547" s="659"/>
      <c r="AP547" s="659"/>
      <c r="AQ547" s="746"/>
    </row>
    <row r="548">
      <c r="A548" s="1002"/>
      <c r="B548" s="1004"/>
      <c r="C548" s="1005"/>
      <c r="D548" s="645"/>
      <c r="E548" s="645"/>
      <c r="F548" s="951"/>
      <c r="G548" s="951"/>
      <c r="H548" s="951"/>
      <c r="I548" s="951"/>
      <c r="J548" s="951"/>
      <c r="K548" s="951"/>
      <c r="L548" s="951"/>
      <c r="M548" s="951"/>
      <c r="N548" s="659"/>
      <c r="O548" s="951"/>
      <c r="P548" s="951"/>
      <c r="Q548" s="659"/>
      <c r="R548" s="659"/>
      <c r="S548" s="659"/>
      <c r="T548" s="659"/>
      <c r="U548" s="659"/>
      <c r="V548" s="659"/>
      <c r="W548" s="659"/>
      <c r="X548" s="659"/>
      <c r="Y548" s="659"/>
      <c r="Z548" s="659"/>
      <c r="AA548" s="659"/>
      <c r="AB548" s="659"/>
      <c r="AC548" s="659"/>
      <c r="AD548" s="659"/>
      <c r="AE548" s="659"/>
      <c r="AF548" s="659"/>
      <c r="AG548" s="659"/>
      <c r="AH548" s="659"/>
      <c r="AI548" s="659"/>
      <c r="AJ548" s="659"/>
      <c r="AK548" s="659"/>
      <c r="AL548" s="659"/>
      <c r="AM548" s="659"/>
      <c r="AN548" s="659"/>
      <c r="AO548" s="659"/>
      <c r="AP548" s="659"/>
      <c r="AQ548" s="746"/>
    </row>
    <row r="549">
      <c r="A549" s="654"/>
      <c r="B549" s="1004"/>
      <c r="C549" s="1005"/>
      <c r="D549" s="645"/>
      <c r="E549" s="645"/>
      <c r="F549" s="951"/>
      <c r="G549" s="951"/>
      <c r="H549" s="951"/>
      <c r="I549" s="951"/>
      <c r="J549" s="951"/>
      <c r="K549" s="951"/>
      <c r="L549" s="951"/>
      <c r="M549" s="951"/>
      <c r="N549" s="659"/>
      <c r="O549" s="951"/>
      <c r="P549" s="951"/>
      <c r="Q549" s="659"/>
      <c r="R549" s="659"/>
      <c r="S549" s="659"/>
      <c r="T549" s="659"/>
      <c r="U549" s="659"/>
      <c r="V549" s="659"/>
      <c r="W549" s="659"/>
      <c r="X549" s="659"/>
      <c r="Y549" s="659"/>
      <c r="Z549" s="659"/>
      <c r="AA549" s="659"/>
      <c r="AB549" s="659"/>
      <c r="AC549" s="659"/>
      <c r="AD549" s="659"/>
      <c r="AE549" s="659"/>
      <c r="AF549" s="659"/>
      <c r="AG549" s="659"/>
      <c r="AH549" s="659"/>
      <c r="AI549" s="659"/>
      <c r="AJ549" s="659"/>
      <c r="AK549" s="659"/>
      <c r="AL549" s="659"/>
      <c r="AM549" s="659"/>
      <c r="AN549" s="659"/>
      <c r="AO549" s="659"/>
      <c r="AP549" s="659"/>
      <c r="AQ549" s="746"/>
    </row>
    <row r="550">
      <c r="A550" s="654"/>
      <c r="B550" s="1004"/>
      <c r="C550" s="1005"/>
      <c r="D550" s="645"/>
      <c r="E550" s="645"/>
      <c r="F550" s="951"/>
      <c r="G550" s="951"/>
      <c r="H550" s="951"/>
      <c r="I550" s="951"/>
      <c r="J550" s="951"/>
      <c r="K550" s="951"/>
      <c r="L550" s="951"/>
      <c r="M550" s="951"/>
      <c r="N550" s="659"/>
      <c r="O550" s="951"/>
      <c r="P550" s="951"/>
      <c r="Q550" s="659"/>
      <c r="R550" s="659"/>
      <c r="S550" s="659"/>
      <c r="T550" s="659"/>
      <c r="U550" s="659"/>
      <c r="V550" s="659"/>
      <c r="W550" s="659"/>
      <c r="X550" s="659"/>
      <c r="Y550" s="659"/>
      <c r="Z550" s="659"/>
      <c r="AA550" s="659"/>
      <c r="AB550" s="659"/>
      <c r="AC550" s="659"/>
      <c r="AD550" s="659"/>
      <c r="AE550" s="659"/>
      <c r="AF550" s="659"/>
      <c r="AG550" s="659"/>
      <c r="AH550" s="659"/>
      <c r="AI550" s="659"/>
      <c r="AJ550" s="659"/>
      <c r="AK550" s="659"/>
      <c r="AL550" s="659"/>
      <c r="AM550" s="659"/>
      <c r="AN550" s="659"/>
      <c r="AO550" s="659"/>
      <c r="AP550" s="659"/>
      <c r="AQ550" s="746"/>
    </row>
    <row r="551">
      <c r="A551" s="654"/>
      <c r="B551" s="1004"/>
      <c r="C551" s="1005"/>
      <c r="D551" s="645"/>
      <c r="E551" s="645"/>
      <c r="F551" s="951"/>
      <c r="G551" s="951"/>
      <c r="H551" s="951"/>
      <c r="I551" s="951"/>
      <c r="J551" s="951"/>
      <c r="K551" s="951"/>
      <c r="L551" s="951"/>
      <c r="M551" s="951"/>
      <c r="N551" s="659"/>
      <c r="O551" s="951"/>
      <c r="P551" s="951"/>
      <c r="Q551" s="659"/>
      <c r="R551" s="659"/>
      <c r="S551" s="659"/>
      <c r="T551" s="659"/>
      <c r="U551" s="659"/>
      <c r="V551" s="659"/>
      <c r="W551" s="659"/>
      <c r="X551" s="659"/>
      <c r="Y551" s="659"/>
      <c r="Z551" s="659"/>
      <c r="AA551" s="659"/>
      <c r="AB551" s="659"/>
      <c r="AC551" s="659"/>
      <c r="AD551" s="659"/>
      <c r="AE551" s="659"/>
      <c r="AF551" s="659"/>
      <c r="AG551" s="659"/>
      <c r="AH551" s="659"/>
      <c r="AI551" s="659"/>
      <c r="AJ551" s="659"/>
      <c r="AK551" s="659"/>
      <c r="AL551" s="659"/>
      <c r="AM551" s="659"/>
      <c r="AN551" s="659"/>
      <c r="AO551" s="659"/>
      <c r="AP551" s="659"/>
      <c r="AQ551" s="746"/>
    </row>
    <row r="552">
      <c r="A552" s="654"/>
      <c r="B552" s="1004"/>
      <c r="C552" s="1005"/>
      <c r="D552" s="645"/>
      <c r="E552" s="645"/>
      <c r="F552" s="951"/>
      <c r="G552" s="951"/>
      <c r="H552" s="951"/>
      <c r="I552" s="951"/>
      <c r="J552" s="951"/>
      <c r="K552" s="951"/>
      <c r="L552" s="951"/>
      <c r="M552" s="951"/>
      <c r="N552" s="659"/>
      <c r="O552" s="951"/>
      <c r="P552" s="951"/>
      <c r="Q552" s="659"/>
      <c r="R552" s="659"/>
      <c r="S552" s="659"/>
      <c r="T552" s="659"/>
      <c r="U552" s="659"/>
      <c r="V552" s="659"/>
      <c r="W552" s="659"/>
      <c r="X552" s="659"/>
      <c r="Y552" s="659"/>
      <c r="Z552" s="659"/>
      <c r="AA552" s="659"/>
      <c r="AB552" s="659"/>
      <c r="AC552" s="659"/>
      <c r="AD552" s="659"/>
      <c r="AE552" s="659"/>
      <c r="AF552" s="659"/>
      <c r="AG552" s="659"/>
      <c r="AH552" s="659"/>
      <c r="AI552" s="659"/>
      <c r="AJ552" s="659"/>
      <c r="AK552" s="659"/>
      <c r="AL552" s="659"/>
      <c r="AM552" s="659"/>
      <c r="AN552" s="659"/>
      <c r="AO552" s="659"/>
      <c r="AP552" s="659"/>
      <c r="AQ552" s="746"/>
    </row>
    <row r="553">
      <c r="A553" s="654"/>
      <c r="B553" s="1004"/>
      <c r="C553" s="1005"/>
      <c r="D553" s="645"/>
      <c r="E553" s="645"/>
      <c r="F553" s="951"/>
      <c r="G553" s="951"/>
      <c r="H553" s="951"/>
      <c r="I553" s="951"/>
      <c r="J553" s="951"/>
      <c r="K553" s="951"/>
      <c r="L553" s="951"/>
      <c r="M553" s="951"/>
      <c r="N553" s="659"/>
      <c r="O553" s="951"/>
      <c r="P553" s="951"/>
      <c r="Q553" s="659"/>
      <c r="R553" s="659"/>
      <c r="S553" s="659"/>
      <c r="T553" s="659"/>
      <c r="U553" s="659"/>
      <c r="V553" s="659"/>
      <c r="W553" s="659"/>
      <c r="X553" s="659"/>
      <c r="Y553" s="659"/>
      <c r="Z553" s="659"/>
      <c r="AA553" s="659"/>
      <c r="AB553" s="659"/>
      <c r="AC553" s="659"/>
      <c r="AD553" s="659"/>
      <c r="AE553" s="659"/>
      <c r="AF553" s="659"/>
      <c r="AG553" s="659"/>
      <c r="AH553" s="659"/>
      <c r="AI553" s="659"/>
      <c r="AJ553" s="659"/>
      <c r="AK553" s="659"/>
      <c r="AL553" s="659"/>
      <c r="AM553" s="659"/>
      <c r="AN553" s="659"/>
      <c r="AO553" s="659"/>
      <c r="AP553" s="659"/>
      <c r="AQ553" s="746"/>
    </row>
    <row r="554">
      <c r="A554" s="654"/>
      <c r="B554" s="1004"/>
      <c r="C554" s="1005"/>
      <c r="D554" s="645"/>
      <c r="E554" s="645"/>
      <c r="F554" s="951"/>
      <c r="G554" s="951"/>
      <c r="H554" s="951"/>
      <c r="I554" s="951"/>
      <c r="J554" s="951"/>
      <c r="K554" s="951"/>
      <c r="L554" s="951"/>
      <c r="M554" s="951"/>
      <c r="N554" s="659"/>
      <c r="O554" s="951"/>
      <c r="P554" s="951"/>
      <c r="Q554" s="659"/>
      <c r="R554" s="659"/>
      <c r="S554" s="659"/>
      <c r="T554" s="659"/>
      <c r="U554" s="659"/>
      <c r="V554" s="659"/>
      <c r="W554" s="659"/>
      <c r="X554" s="659"/>
      <c r="Y554" s="659"/>
      <c r="Z554" s="659"/>
      <c r="AA554" s="659"/>
      <c r="AB554" s="659"/>
      <c r="AC554" s="659"/>
      <c r="AD554" s="659"/>
      <c r="AE554" s="659"/>
      <c r="AF554" s="659"/>
      <c r="AG554" s="659"/>
      <c r="AH554" s="659"/>
      <c r="AI554" s="659"/>
      <c r="AJ554" s="659"/>
      <c r="AK554" s="659"/>
      <c r="AL554" s="659"/>
      <c r="AM554" s="659"/>
      <c r="AN554" s="659"/>
      <c r="AO554" s="659"/>
      <c r="AP554" s="659"/>
      <c r="AQ554" s="746"/>
    </row>
    <row r="555">
      <c r="A555" s="1002"/>
      <c r="B555" s="1004"/>
      <c r="C555" s="1005"/>
      <c r="D555" s="645"/>
      <c r="E555" s="645"/>
      <c r="F555" s="951"/>
      <c r="G555" s="951"/>
      <c r="H555" s="951"/>
      <c r="I555" s="951"/>
      <c r="J555" s="951"/>
      <c r="K555" s="951"/>
      <c r="L555" s="951"/>
      <c r="M555" s="951"/>
      <c r="N555" s="659"/>
      <c r="O555" s="951"/>
      <c r="P555" s="951"/>
      <c r="Q555" s="659"/>
      <c r="R555" s="659"/>
      <c r="S555" s="659"/>
      <c r="T555" s="659"/>
      <c r="U555" s="659"/>
      <c r="V555" s="659"/>
      <c r="W555" s="659"/>
      <c r="X555" s="659"/>
      <c r="Y555" s="659"/>
      <c r="Z555" s="659"/>
      <c r="AA555" s="659"/>
      <c r="AB555" s="659"/>
      <c r="AC555" s="659"/>
      <c r="AD555" s="659"/>
      <c r="AE555" s="659"/>
      <c r="AF555" s="659"/>
      <c r="AG555" s="659"/>
      <c r="AH555" s="659"/>
      <c r="AI555" s="659"/>
      <c r="AJ555" s="659"/>
      <c r="AK555" s="659"/>
      <c r="AL555" s="659"/>
      <c r="AM555" s="659"/>
      <c r="AN555" s="659"/>
      <c r="AO555" s="659"/>
      <c r="AP555" s="659"/>
      <c r="AQ555" s="746"/>
    </row>
    <row r="556">
      <c r="A556" s="654"/>
      <c r="B556" s="1004"/>
      <c r="C556" s="1005"/>
      <c r="D556" s="645"/>
      <c r="E556" s="645"/>
      <c r="F556" s="951"/>
      <c r="G556" s="951"/>
      <c r="H556" s="951"/>
      <c r="I556" s="951"/>
      <c r="J556" s="951"/>
      <c r="K556" s="951"/>
      <c r="L556" s="951"/>
      <c r="M556" s="951"/>
      <c r="N556" s="659"/>
      <c r="O556" s="951"/>
      <c r="P556" s="951"/>
      <c r="Q556" s="659"/>
      <c r="R556" s="659"/>
      <c r="S556" s="659"/>
      <c r="T556" s="659"/>
      <c r="U556" s="659"/>
      <c r="V556" s="659"/>
      <c r="W556" s="659"/>
      <c r="X556" s="659"/>
      <c r="Y556" s="659"/>
      <c r="Z556" s="659"/>
      <c r="AA556" s="659"/>
      <c r="AB556" s="659"/>
      <c r="AC556" s="659"/>
      <c r="AD556" s="659"/>
      <c r="AE556" s="659"/>
      <c r="AF556" s="659"/>
      <c r="AG556" s="659"/>
      <c r="AH556" s="659"/>
      <c r="AI556" s="659"/>
      <c r="AJ556" s="659"/>
      <c r="AK556" s="659"/>
      <c r="AL556" s="659"/>
      <c r="AM556" s="659"/>
      <c r="AN556" s="659"/>
      <c r="AO556" s="659"/>
      <c r="AP556" s="659"/>
      <c r="AQ556" s="746"/>
    </row>
    <row r="557">
      <c r="A557" s="654"/>
      <c r="B557" s="1004"/>
      <c r="C557" s="1005"/>
      <c r="D557" s="645"/>
      <c r="E557" s="645"/>
      <c r="F557" s="951"/>
      <c r="G557" s="951"/>
      <c r="H557" s="951"/>
      <c r="I557" s="951"/>
      <c r="J557" s="951"/>
      <c r="K557" s="951"/>
      <c r="L557" s="951"/>
      <c r="M557" s="951"/>
      <c r="N557" s="659"/>
      <c r="O557" s="951"/>
      <c r="P557" s="951"/>
      <c r="Q557" s="659"/>
      <c r="R557" s="659"/>
      <c r="S557" s="659"/>
      <c r="T557" s="659"/>
      <c r="U557" s="659"/>
      <c r="V557" s="659"/>
      <c r="W557" s="659"/>
      <c r="X557" s="659"/>
      <c r="Y557" s="659"/>
      <c r="Z557" s="659"/>
      <c r="AA557" s="659"/>
      <c r="AB557" s="659"/>
      <c r="AC557" s="659"/>
      <c r="AD557" s="659"/>
      <c r="AE557" s="659"/>
      <c r="AF557" s="659"/>
      <c r="AG557" s="659"/>
      <c r="AH557" s="659"/>
      <c r="AI557" s="659"/>
      <c r="AJ557" s="659"/>
      <c r="AK557" s="659"/>
      <c r="AL557" s="659"/>
      <c r="AM557" s="659"/>
      <c r="AN557" s="659"/>
      <c r="AO557" s="659"/>
      <c r="AP557" s="659"/>
      <c r="AQ557" s="746"/>
    </row>
    <row r="558">
      <c r="A558" s="654"/>
      <c r="B558" s="1004"/>
      <c r="C558" s="1005"/>
      <c r="D558" s="645"/>
      <c r="E558" s="645"/>
      <c r="F558" s="951"/>
      <c r="G558" s="951"/>
      <c r="H558" s="951"/>
      <c r="I558" s="951"/>
      <c r="J558" s="951"/>
      <c r="K558" s="951"/>
      <c r="L558" s="951"/>
      <c r="M558" s="951"/>
      <c r="N558" s="659"/>
      <c r="O558" s="951"/>
      <c r="P558" s="951"/>
      <c r="Q558" s="659"/>
      <c r="R558" s="659"/>
      <c r="S558" s="659"/>
      <c r="T558" s="659"/>
      <c r="U558" s="659"/>
      <c r="V558" s="659"/>
      <c r="W558" s="659"/>
      <c r="X558" s="659"/>
      <c r="Y558" s="659"/>
      <c r="Z558" s="659"/>
      <c r="AA558" s="659"/>
      <c r="AB558" s="659"/>
      <c r="AC558" s="659"/>
      <c r="AD558" s="659"/>
      <c r="AE558" s="659"/>
      <c r="AF558" s="659"/>
      <c r="AG558" s="659"/>
      <c r="AH558" s="659"/>
      <c r="AI558" s="659"/>
      <c r="AJ558" s="659"/>
      <c r="AK558" s="659"/>
      <c r="AL558" s="659"/>
      <c r="AM558" s="659"/>
      <c r="AN558" s="659"/>
      <c r="AO558" s="659"/>
      <c r="AP558" s="659"/>
      <c r="AQ558" s="746"/>
    </row>
    <row r="559">
      <c r="A559" s="654"/>
      <c r="B559" s="1004"/>
      <c r="C559" s="1005"/>
      <c r="D559" s="645"/>
      <c r="E559" s="645"/>
      <c r="F559" s="951"/>
      <c r="G559" s="951"/>
      <c r="H559" s="951"/>
      <c r="I559" s="951"/>
      <c r="J559" s="951"/>
      <c r="K559" s="951"/>
      <c r="L559" s="951"/>
      <c r="M559" s="951"/>
      <c r="N559" s="659"/>
      <c r="O559" s="951"/>
      <c r="P559" s="951"/>
      <c r="Q559" s="659"/>
      <c r="R559" s="659"/>
      <c r="S559" s="659"/>
      <c r="T559" s="659"/>
      <c r="U559" s="659"/>
      <c r="V559" s="659"/>
      <c r="W559" s="659"/>
      <c r="X559" s="659"/>
      <c r="Y559" s="659"/>
      <c r="Z559" s="659"/>
      <c r="AA559" s="659"/>
      <c r="AB559" s="659"/>
      <c r="AC559" s="659"/>
      <c r="AD559" s="659"/>
      <c r="AE559" s="659"/>
      <c r="AF559" s="659"/>
      <c r="AG559" s="659"/>
      <c r="AH559" s="659"/>
      <c r="AI559" s="659"/>
      <c r="AJ559" s="659"/>
      <c r="AK559" s="659"/>
      <c r="AL559" s="659"/>
      <c r="AM559" s="659"/>
      <c r="AN559" s="659"/>
      <c r="AO559" s="659"/>
      <c r="AP559" s="659"/>
      <c r="AQ559" s="746"/>
    </row>
    <row r="560">
      <c r="A560" s="654"/>
      <c r="B560" s="1004"/>
      <c r="C560" s="1005"/>
      <c r="D560" s="645"/>
      <c r="E560" s="645"/>
      <c r="F560" s="951"/>
      <c r="G560" s="951"/>
      <c r="H560" s="951"/>
      <c r="I560" s="951"/>
      <c r="J560" s="951"/>
      <c r="K560" s="951"/>
      <c r="L560" s="951"/>
      <c r="M560" s="951"/>
      <c r="N560" s="659"/>
      <c r="O560" s="951"/>
      <c r="P560" s="951"/>
      <c r="Q560" s="659"/>
      <c r="R560" s="659"/>
      <c r="S560" s="659"/>
      <c r="T560" s="659"/>
      <c r="U560" s="659"/>
      <c r="V560" s="659"/>
      <c r="W560" s="659"/>
      <c r="X560" s="659"/>
      <c r="Y560" s="659"/>
      <c r="Z560" s="659"/>
      <c r="AA560" s="659"/>
      <c r="AB560" s="659"/>
      <c r="AC560" s="659"/>
      <c r="AD560" s="659"/>
      <c r="AE560" s="659"/>
      <c r="AF560" s="659"/>
      <c r="AG560" s="659"/>
      <c r="AH560" s="659"/>
      <c r="AI560" s="659"/>
      <c r="AJ560" s="659"/>
      <c r="AK560" s="659"/>
      <c r="AL560" s="659"/>
      <c r="AM560" s="659"/>
      <c r="AN560" s="659"/>
      <c r="AO560" s="659"/>
      <c r="AP560" s="659"/>
      <c r="AQ560" s="746"/>
    </row>
    <row r="561">
      <c r="A561" s="654"/>
      <c r="B561" s="1004"/>
      <c r="C561" s="1005"/>
      <c r="D561" s="645"/>
      <c r="E561" s="645"/>
      <c r="F561" s="951"/>
      <c r="G561" s="951"/>
      <c r="H561" s="951"/>
      <c r="I561" s="951"/>
      <c r="J561" s="951"/>
      <c r="K561" s="951"/>
      <c r="L561" s="951"/>
      <c r="M561" s="951"/>
      <c r="N561" s="659"/>
      <c r="O561" s="951"/>
      <c r="P561" s="951"/>
      <c r="Q561" s="659"/>
      <c r="R561" s="659"/>
      <c r="S561" s="659"/>
      <c r="T561" s="659"/>
      <c r="U561" s="659"/>
      <c r="V561" s="659"/>
      <c r="W561" s="659"/>
      <c r="X561" s="659"/>
      <c r="Y561" s="659"/>
      <c r="Z561" s="659"/>
      <c r="AA561" s="659"/>
      <c r="AB561" s="659"/>
      <c r="AC561" s="659"/>
      <c r="AD561" s="659"/>
      <c r="AE561" s="659"/>
      <c r="AF561" s="659"/>
      <c r="AG561" s="659"/>
      <c r="AH561" s="659"/>
      <c r="AI561" s="659"/>
      <c r="AJ561" s="659"/>
      <c r="AK561" s="659"/>
      <c r="AL561" s="659"/>
      <c r="AM561" s="659"/>
      <c r="AN561" s="659"/>
      <c r="AO561" s="659"/>
      <c r="AP561" s="659"/>
      <c r="AQ561" s="746"/>
    </row>
    <row r="562">
      <c r="A562" s="1002"/>
      <c r="B562" s="1004"/>
      <c r="C562" s="1005"/>
      <c r="D562" s="645"/>
      <c r="E562" s="645"/>
      <c r="F562" s="951"/>
      <c r="G562" s="951"/>
      <c r="H562" s="951"/>
      <c r="I562" s="951"/>
      <c r="J562" s="951"/>
      <c r="K562" s="951"/>
      <c r="L562" s="951"/>
      <c r="M562" s="951"/>
      <c r="N562" s="659"/>
      <c r="O562" s="951"/>
      <c r="P562" s="951"/>
      <c r="Q562" s="659"/>
      <c r="R562" s="659"/>
      <c r="S562" s="659"/>
      <c r="T562" s="659"/>
      <c r="U562" s="659"/>
      <c r="V562" s="659"/>
      <c r="W562" s="659"/>
      <c r="X562" s="659"/>
      <c r="Y562" s="659"/>
      <c r="Z562" s="659"/>
      <c r="AA562" s="659"/>
      <c r="AB562" s="659"/>
      <c r="AC562" s="659"/>
      <c r="AD562" s="659"/>
      <c r="AE562" s="659"/>
      <c r="AF562" s="659"/>
      <c r="AG562" s="659"/>
      <c r="AH562" s="659"/>
      <c r="AI562" s="659"/>
      <c r="AJ562" s="659"/>
      <c r="AK562" s="659"/>
      <c r="AL562" s="659"/>
      <c r="AM562" s="659"/>
      <c r="AN562" s="659"/>
      <c r="AO562" s="659"/>
      <c r="AP562" s="659"/>
      <c r="AQ562" s="746"/>
    </row>
    <row r="563">
      <c r="A563" s="654"/>
      <c r="B563" s="1004"/>
      <c r="C563" s="1005"/>
      <c r="D563" s="645"/>
      <c r="E563" s="645"/>
      <c r="F563" s="951"/>
      <c r="G563" s="951"/>
      <c r="H563" s="951"/>
      <c r="I563" s="951"/>
      <c r="J563" s="951"/>
      <c r="K563" s="951"/>
      <c r="L563" s="951"/>
      <c r="M563" s="951"/>
      <c r="N563" s="659"/>
      <c r="O563" s="951"/>
      <c r="P563" s="951"/>
      <c r="Q563" s="659"/>
      <c r="R563" s="659"/>
      <c r="S563" s="659"/>
      <c r="T563" s="659"/>
      <c r="U563" s="659"/>
      <c r="V563" s="659"/>
      <c r="W563" s="659"/>
      <c r="X563" s="659"/>
      <c r="Y563" s="659"/>
      <c r="Z563" s="659"/>
      <c r="AA563" s="659"/>
      <c r="AB563" s="659"/>
      <c r="AC563" s="659"/>
      <c r="AD563" s="659"/>
      <c r="AE563" s="659"/>
      <c r="AF563" s="659"/>
      <c r="AG563" s="659"/>
      <c r="AH563" s="659"/>
      <c r="AI563" s="659"/>
      <c r="AJ563" s="659"/>
      <c r="AK563" s="659"/>
      <c r="AL563" s="659"/>
      <c r="AM563" s="659"/>
      <c r="AN563" s="659"/>
      <c r="AO563" s="659"/>
      <c r="AP563" s="659"/>
      <c r="AQ563" s="746"/>
    </row>
    <row r="564">
      <c r="A564" s="654"/>
      <c r="B564" s="1004"/>
      <c r="C564" s="1005"/>
      <c r="D564" s="645"/>
      <c r="E564" s="645"/>
      <c r="F564" s="951"/>
      <c r="G564" s="951"/>
      <c r="H564" s="951"/>
      <c r="I564" s="951"/>
      <c r="J564" s="951"/>
      <c r="K564" s="951"/>
      <c r="L564" s="951"/>
      <c r="M564" s="951"/>
      <c r="N564" s="659"/>
      <c r="O564" s="951"/>
      <c r="P564" s="951"/>
      <c r="Q564" s="659"/>
      <c r="R564" s="659"/>
      <c r="S564" s="659"/>
      <c r="T564" s="659"/>
      <c r="U564" s="659"/>
      <c r="V564" s="659"/>
      <c r="W564" s="659"/>
      <c r="X564" s="659"/>
      <c r="Y564" s="659"/>
      <c r="Z564" s="659"/>
      <c r="AA564" s="659"/>
      <c r="AB564" s="659"/>
      <c r="AC564" s="659"/>
      <c r="AD564" s="659"/>
      <c r="AE564" s="659"/>
      <c r="AF564" s="659"/>
      <c r="AG564" s="659"/>
      <c r="AH564" s="659"/>
      <c r="AI564" s="659"/>
      <c r="AJ564" s="659"/>
      <c r="AK564" s="659"/>
      <c r="AL564" s="659"/>
      <c r="AM564" s="659"/>
      <c r="AN564" s="659"/>
      <c r="AO564" s="659"/>
      <c r="AP564" s="659"/>
      <c r="AQ564" s="746"/>
    </row>
    <row r="565">
      <c r="A565" s="654"/>
      <c r="B565" s="1004"/>
      <c r="C565" s="1005"/>
      <c r="D565" s="645"/>
      <c r="E565" s="645"/>
      <c r="F565" s="951"/>
      <c r="G565" s="951"/>
      <c r="H565" s="951"/>
      <c r="I565" s="951"/>
      <c r="J565" s="951"/>
      <c r="K565" s="951"/>
      <c r="L565" s="951"/>
      <c r="M565" s="951"/>
      <c r="N565" s="659"/>
      <c r="O565" s="951"/>
      <c r="P565" s="951"/>
      <c r="Q565" s="659"/>
      <c r="R565" s="659"/>
      <c r="S565" s="659"/>
      <c r="T565" s="659"/>
      <c r="U565" s="659"/>
      <c r="V565" s="659"/>
      <c r="W565" s="659"/>
      <c r="X565" s="659"/>
      <c r="Y565" s="659"/>
      <c r="Z565" s="659"/>
      <c r="AA565" s="659"/>
      <c r="AB565" s="659"/>
      <c r="AC565" s="659"/>
      <c r="AD565" s="659"/>
      <c r="AE565" s="659"/>
      <c r="AF565" s="659"/>
      <c r="AG565" s="659"/>
      <c r="AH565" s="659"/>
      <c r="AI565" s="659"/>
      <c r="AJ565" s="659"/>
      <c r="AK565" s="659"/>
      <c r="AL565" s="659"/>
      <c r="AM565" s="659"/>
      <c r="AN565" s="659"/>
      <c r="AO565" s="659"/>
      <c r="AP565" s="659"/>
      <c r="AQ565" s="746"/>
    </row>
    <row r="566">
      <c r="A566" s="654"/>
      <c r="B566" s="1004"/>
      <c r="C566" s="1005"/>
      <c r="D566" s="645"/>
      <c r="E566" s="645"/>
      <c r="F566" s="951"/>
      <c r="G566" s="951"/>
      <c r="H566" s="951"/>
      <c r="I566" s="951"/>
      <c r="J566" s="951"/>
      <c r="K566" s="951"/>
      <c r="L566" s="951"/>
      <c r="M566" s="951"/>
      <c r="N566" s="659"/>
      <c r="O566" s="951"/>
      <c r="P566" s="951"/>
      <c r="Q566" s="659"/>
      <c r="R566" s="659"/>
      <c r="S566" s="659"/>
      <c r="T566" s="659"/>
      <c r="U566" s="659"/>
      <c r="V566" s="659"/>
      <c r="W566" s="659"/>
      <c r="X566" s="659"/>
      <c r="Y566" s="659"/>
      <c r="Z566" s="659"/>
      <c r="AA566" s="659"/>
      <c r="AB566" s="659"/>
      <c r="AC566" s="659"/>
      <c r="AD566" s="659"/>
      <c r="AE566" s="659"/>
      <c r="AF566" s="659"/>
      <c r="AG566" s="659"/>
      <c r="AH566" s="659"/>
      <c r="AI566" s="659"/>
      <c r="AJ566" s="659"/>
      <c r="AK566" s="659"/>
      <c r="AL566" s="659"/>
      <c r="AM566" s="659"/>
      <c r="AN566" s="659"/>
      <c r="AO566" s="659"/>
      <c r="AP566" s="659"/>
      <c r="AQ566" s="746"/>
    </row>
    <row r="567">
      <c r="A567" s="654"/>
      <c r="B567" s="1004"/>
      <c r="C567" s="1005"/>
      <c r="D567" s="645"/>
      <c r="E567" s="645"/>
      <c r="F567" s="951"/>
      <c r="G567" s="951"/>
      <c r="H567" s="951"/>
      <c r="I567" s="951"/>
      <c r="J567" s="951"/>
      <c r="K567" s="951"/>
      <c r="L567" s="951"/>
      <c r="M567" s="951"/>
      <c r="N567" s="659"/>
      <c r="O567" s="951"/>
      <c r="P567" s="951"/>
      <c r="Q567" s="659"/>
      <c r="R567" s="659"/>
      <c r="S567" s="659"/>
      <c r="T567" s="659"/>
      <c r="U567" s="659"/>
      <c r="V567" s="659"/>
      <c r="W567" s="659"/>
      <c r="X567" s="659"/>
      <c r="Y567" s="659"/>
      <c r="Z567" s="659"/>
      <c r="AA567" s="659"/>
      <c r="AB567" s="659"/>
      <c r="AC567" s="659"/>
      <c r="AD567" s="659"/>
      <c r="AE567" s="659"/>
      <c r="AF567" s="659"/>
      <c r="AG567" s="659"/>
      <c r="AH567" s="659"/>
      <c r="AI567" s="659"/>
      <c r="AJ567" s="659"/>
      <c r="AK567" s="659"/>
      <c r="AL567" s="659"/>
      <c r="AM567" s="659"/>
      <c r="AN567" s="659"/>
      <c r="AO567" s="659"/>
      <c r="AP567" s="659"/>
      <c r="AQ567" s="746"/>
    </row>
    <row r="568">
      <c r="A568" s="654"/>
      <c r="B568" s="1004"/>
      <c r="C568" s="1005"/>
      <c r="D568" s="645"/>
      <c r="E568" s="645"/>
      <c r="F568" s="951"/>
      <c r="G568" s="951"/>
      <c r="H568" s="951"/>
      <c r="I568" s="951"/>
      <c r="J568" s="951"/>
      <c r="K568" s="951"/>
      <c r="L568" s="951"/>
      <c r="M568" s="951"/>
      <c r="N568" s="659"/>
      <c r="O568" s="951"/>
      <c r="P568" s="951"/>
      <c r="Q568" s="659"/>
      <c r="R568" s="659"/>
      <c r="S568" s="659"/>
      <c r="T568" s="659"/>
      <c r="U568" s="659"/>
      <c r="V568" s="659"/>
      <c r="W568" s="659"/>
      <c r="X568" s="659"/>
      <c r="Y568" s="659"/>
      <c r="Z568" s="659"/>
      <c r="AA568" s="659"/>
      <c r="AB568" s="659"/>
      <c r="AC568" s="659"/>
      <c r="AD568" s="659"/>
      <c r="AE568" s="659"/>
      <c r="AF568" s="659"/>
      <c r="AG568" s="659"/>
      <c r="AH568" s="659"/>
      <c r="AI568" s="659"/>
      <c r="AJ568" s="659"/>
      <c r="AK568" s="659"/>
      <c r="AL568" s="659"/>
      <c r="AM568" s="659"/>
      <c r="AN568" s="659"/>
      <c r="AO568" s="659"/>
      <c r="AP568" s="659"/>
      <c r="AQ568" s="746"/>
    </row>
    <row r="569">
      <c r="A569" s="654"/>
      <c r="B569" s="1004"/>
      <c r="C569" s="1005"/>
      <c r="D569" s="645"/>
      <c r="E569" s="645"/>
      <c r="F569" s="951"/>
      <c r="G569" s="951"/>
      <c r="H569" s="951"/>
      <c r="I569" s="951"/>
      <c r="J569" s="951"/>
      <c r="K569" s="951"/>
      <c r="L569" s="951"/>
      <c r="M569" s="951"/>
      <c r="N569" s="659"/>
      <c r="O569" s="951"/>
      <c r="P569" s="951"/>
      <c r="Q569" s="659"/>
      <c r="R569" s="659"/>
      <c r="S569" s="659"/>
      <c r="T569" s="659"/>
      <c r="U569" s="659"/>
      <c r="V569" s="659"/>
      <c r="W569" s="659"/>
      <c r="X569" s="659"/>
      <c r="Y569" s="659"/>
      <c r="Z569" s="659"/>
      <c r="AA569" s="659"/>
      <c r="AB569" s="659"/>
      <c r="AC569" s="659"/>
      <c r="AD569" s="659"/>
      <c r="AE569" s="659"/>
      <c r="AF569" s="659"/>
      <c r="AG569" s="659"/>
      <c r="AH569" s="659"/>
      <c r="AI569" s="659"/>
      <c r="AJ569" s="659"/>
      <c r="AK569" s="659"/>
      <c r="AL569" s="659"/>
      <c r="AM569" s="659"/>
      <c r="AN569" s="659"/>
      <c r="AO569" s="659"/>
      <c r="AP569" s="659"/>
      <c r="AQ569" s="746"/>
    </row>
    <row r="570">
      <c r="A570" s="654"/>
      <c r="B570" s="1004"/>
      <c r="C570" s="1005"/>
      <c r="D570" s="645"/>
      <c r="E570" s="645"/>
      <c r="F570" s="951"/>
      <c r="G570" s="951"/>
      <c r="H570" s="951"/>
      <c r="I570" s="951"/>
      <c r="J570" s="951"/>
      <c r="K570" s="951"/>
      <c r="L570" s="951"/>
      <c r="M570" s="951"/>
      <c r="N570" s="659"/>
      <c r="O570" s="951"/>
      <c r="P570" s="951"/>
      <c r="Q570" s="659"/>
      <c r="R570" s="659"/>
      <c r="S570" s="659"/>
      <c r="T570" s="659"/>
      <c r="U570" s="659"/>
      <c r="V570" s="659"/>
      <c r="W570" s="659"/>
      <c r="X570" s="659"/>
      <c r="Y570" s="659"/>
      <c r="Z570" s="659"/>
      <c r="AA570" s="659"/>
      <c r="AB570" s="659"/>
      <c r="AC570" s="659"/>
      <c r="AD570" s="659"/>
      <c r="AE570" s="659"/>
      <c r="AF570" s="659"/>
      <c r="AG570" s="659"/>
      <c r="AH570" s="659"/>
      <c r="AI570" s="659"/>
      <c r="AJ570" s="659"/>
      <c r="AK570" s="659"/>
      <c r="AL570" s="659"/>
      <c r="AM570" s="659"/>
      <c r="AN570" s="659"/>
      <c r="AO570" s="659"/>
      <c r="AP570" s="659"/>
      <c r="AQ570" s="746"/>
    </row>
    <row r="571">
      <c r="A571" s="654"/>
      <c r="B571" s="1004"/>
      <c r="C571" s="1005"/>
      <c r="D571" s="645"/>
      <c r="E571" s="645"/>
      <c r="F571" s="951"/>
      <c r="G571" s="951"/>
      <c r="H571" s="951"/>
      <c r="I571" s="951"/>
      <c r="J571" s="951"/>
      <c r="K571" s="951"/>
      <c r="L571" s="951"/>
      <c r="M571" s="951"/>
      <c r="N571" s="659"/>
      <c r="O571" s="951"/>
      <c r="P571" s="951"/>
      <c r="Q571" s="659"/>
      <c r="R571" s="659"/>
      <c r="S571" s="659"/>
      <c r="T571" s="659"/>
      <c r="U571" s="659"/>
      <c r="V571" s="659"/>
      <c r="W571" s="659"/>
      <c r="X571" s="659"/>
      <c r="Y571" s="659"/>
      <c r="Z571" s="659"/>
      <c r="AA571" s="659"/>
      <c r="AB571" s="659"/>
      <c r="AC571" s="659"/>
      <c r="AD571" s="659"/>
      <c r="AE571" s="659"/>
      <c r="AF571" s="659"/>
      <c r="AG571" s="659"/>
      <c r="AH571" s="659"/>
      <c r="AI571" s="659"/>
      <c r="AJ571" s="659"/>
      <c r="AK571" s="659"/>
      <c r="AL571" s="659"/>
      <c r="AM571" s="659"/>
      <c r="AN571" s="659"/>
      <c r="AO571" s="659"/>
      <c r="AP571" s="659"/>
      <c r="AQ571" s="746"/>
    </row>
    <row r="572">
      <c r="A572" s="654"/>
      <c r="B572" s="1004"/>
      <c r="C572" s="1005"/>
      <c r="D572" s="645"/>
      <c r="E572" s="645"/>
      <c r="F572" s="951"/>
      <c r="G572" s="951"/>
      <c r="H572" s="951"/>
      <c r="I572" s="951"/>
      <c r="J572" s="951"/>
      <c r="K572" s="951"/>
      <c r="L572" s="951"/>
      <c r="M572" s="951"/>
      <c r="N572" s="659"/>
      <c r="O572" s="951"/>
      <c r="P572" s="951"/>
      <c r="Q572" s="659"/>
      <c r="R572" s="659"/>
      <c r="S572" s="659"/>
      <c r="T572" s="659"/>
      <c r="U572" s="659"/>
      <c r="V572" s="659"/>
      <c r="W572" s="659"/>
      <c r="X572" s="659"/>
      <c r="Y572" s="659"/>
      <c r="Z572" s="659"/>
      <c r="AA572" s="659"/>
      <c r="AB572" s="659"/>
      <c r="AC572" s="659"/>
      <c r="AD572" s="659"/>
      <c r="AE572" s="659"/>
      <c r="AF572" s="659"/>
      <c r="AG572" s="659"/>
      <c r="AH572" s="659"/>
      <c r="AI572" s="659"/>
      <c r="AJ572" s="659"/>
      <c r="AK572" s="659"/>
      <c r="AL572" s="659"/>
      <c r="AM572" s="659"/>
      <c r="AN572" s="659"/>
      <c r="AO572" s="659"/>
      <c r="AP572" s="659"/>
      <c r="AQ572" s="746"/>
    </row>
    <row r="573">
      <c r="A573" s="654"/>
      <c r="B573" s="1004"/>
      <c r="C573" s="1005"/>
      <c r="D573" s="645"/>
      <c r="E573" s="645"/>
      <c r="F573" s="951"/>
      <c r="G573" s="951"/>
      <c r="H573" s="951"/>
      <c r="I573" s="951"/>
      <c r="J573" s="951"/>
      <c r="K573" s="951"/>
      <c r="L573" s="951"/>
      <c r="M573" s="951"/>
      <c r="N573" s="659"/>
      <c r="O573" s="951"/>
      <c r="P573" s="951"/>
      <c r="Q573" s="659"/>
      <c r="R573" s="659"/>
      <c r="S573" s="659"/>
      <c r="T573" s="659"/>
      <c r="U573" s="659"/>
      <c r="V573" s="659"/>
      <c r="W573" s="659"/>
      <c r="X573" s="659"/>
      <c r="Y573" s="659"/>
      <c r="Z573" s="659"/>
      <c r="AA573" s="659"/>
      <c r="AB573" s="659"/>
      <c r="AC573" s="659"/>
      <c r="AD573" s="659"/>
      <c r="AE573" s="659"/>
      <c r="AF573" s="659"/>
      <c r="AG573" s="659"/>
      <c r="AH573" s="659"/>
      <c r="AI573" s="659"/>
      <c r="AJ573" s="659"/>
      <c r="AK573" s="659"/>
      <c r="AL573" s="659"/>
      <c r="AM573" s="659"/>
      <c r="AN573" s="659"/>
      <c r="AO573" s="659"/>
      <c r="AP573" s="659"/>
      <c r="AQ573" s="746"/>
    </row>
    <row r="574">
      <c r="A574" s="654"/>
      <c r="B574" s="1004"/>
      <c r="C574" s="1005"/>
      <c r="D574" s="645"/>
      <c r="E574" s="645"/>
      <c r="F574" s="951"/>
      <c r="G574" s="951"/>
      <c r="H574" s="951"/>
      <c r="I574" s="951"/>
      <c r="J574" s="951"/>
      <c r="K574" s="951"/>
      <c r="L574" s="951"/>
      <c r="M574" s="951"/>
      <c r="N574" s="659"/>
      <c r="O574" s="951"/>
      <c r="P574" s="951"/>
      <c r="Q574" s="659"/>
      <c r="R574" s="659"/>
      <c r="S574" s="659"/>
      <c r="T574" s="659"/>
      <c r="U574" s="659"/>
      <c r="V574" s="659"/>
      <c r="W574" s="659"/>
      <c r="X574" s="659"/>
      <c r="Y574" s="659"/>
      <c r="Z574" s="659"/>
      <c r="AA574" s="659"/>
      <c r="AB574" s="659"/>
      <c r="AC574" s="659"/>
      <c r="AD574" s="659"/>
      <c r="AE574" s="659"/>
      <c r="AF574" s="659"/>
      <c r="AG574" s="659"/>
      <c r="AH574" s="659"/>
      <c r="AI574" s="659"/>
      <c r="AJ574" s="659"/>
      <c r="AK574" s="659"/>
      <c r="AL574" s="659"/>
      <c r="AM574" s="659"/>
      <c r="AN574" s="659"/>
      <c r="AO574" s="659"/>
      <c r="AP574" s="659"/>
      <c r="AQ574" s="746"/>
    </row>
    <row r="575">
      <c r="A575" s="654"/>
      <c r="B575" s="1004"/>
      <c r="C575" s="1005"/>
      <c r="D575" s="645"/>
      <c r="E575" s="645"/>
      <c r="F575" s="951"/>
      <c r="G575" s="951"/>
      <c r="H575" s="951"/>
      <c r="I575" s="951"/>
      <c r="J575" s="951"/>
      <c r="K575" s="951"/>
      <c r="L575" s="951"/>
      <c r="M575" s="951"/>
      <c r="N575" s="659"/>
      <c r="O575" s="951"/>
      <c r="P575" s="951"/>
      <c r="Q575" s="659"/>
      <c r="R575" s="659"/>
      <c r="S575" s="659"/>
      <c r="T575" s="659"/>
      <c r="U575" s="659"/>
      <c r="V575" s="659"/>
      <c r="W575" s="659"/>
      <c r="X575" s="659"/>
      <c r="Y575" s="659"/>
      <c r="Z575" s="659"/>
      <c r="AA575" s="659"/>
      <c r="AB575" s="659"/>
      <c r="AC575" s="659"/>
      <c r="AD575" s="659"/>
      <c r="AE575" s="659"/>
      <c r="AF575" s="659"/>
      <c r="AG575" s="659"/>
      <c r="AH575" s="659"/>
      <c r="AI575" s="659"/>
      <c r="AJ575" s="659"/>
      <c r="AK575" s="659"/>
      <c r="AL575" s="659"/>
      <c r="AM575" s="659"/>
      <c r="AN575" s="659"/>
      <c r="AO575" s="659"/>
      <c r="AP575" s="659"/>
      <c r="AQ575" s="746"/>
    </row>
    <row r="576">
      <c r="A576" s="654"/>
      <c r="B576" s="1004"/>
      <c r="C576" s="1005"/>
      <c r="D576" s="645"/>
      <c r="E576" s="645"/>
      <c r="F576" s="951"/>
      <c r="G576" s="951"/>
      <c r="H576" s="951"/>
      <c r="I576" s="951"/>
      <c r="J576" s="951"/>
      <c r="K576" s="951"/>
      <c r="L576" s="951"/>
      <c r="M576" s="951"/>
      <c r="N576" s="659"/>
      <c r="O576" s="951"/>
      <c r="P576" s="951"/>
      <c r="Q576" s="659"/>
      <c r="R576" s="659"/>
      <c r="S576" s="659"/>
      <c r="T576" s="659"/>
      <c r="U576" s="659"/>
      <c r="V576" s="659"/>
      <c r="W576" s="659"/>
      <c r="X576" s="659"/>
      <c r="Y576" s="659"/>
      <c r="Z576" s="659"/>
      <c r="AA576" s="659"/>
      <c r="AB576" s="659"/>
      <c r="AC576" s="659"/>
      <c r="AD576" s="659"/>
      <c r="AE576" s="659"/>
      <c r="AF576" s="659"/>
      <c r="AG576" s="659"/>
      <c r="AH576" s="659"/>
      <c r="AI576" s="659"/>
      <c r="AJ576" s="659"/>
      <c r="AK576" s="659"/>
      <c r="AL576" s="659"/>
      <c r="AM576" s="659"/>
      <c r="AN576" s="659"/>
      <c r="AO576" s="659"/>
      <c r="AP576" s="659"/>
      <c r="AQ576" s="746"/>
    </row>
    <row r="577">
      <c r="A577" s="654"/>
      <c r="B577" s="1004"/>
      <c r="C577" s="1005"/>
      <c r="D577" s="645"/>
      <c r="E577" s="645"/>
      <c r="F577" s="951"/>
      <c r="G577" s="951"/>
      <c r="H577" s="951"/>
      <c r="I577" s="951"/>
      <c r="J577" s="951"/>
      <c r="K577" s="951"/>
      <c r="L577" s="951"/>
      <c r="M577" s="951"/>
      <c r="N577" s="659"/>
      <c r="O577" s="951"/>
      <c r="P577" s="951"/>
      <c r="Q577" s="659"/>
      <c r="R577" s="659"/>
      <c r="S577" s="659"/>
      <c r="T577" s="659"/>
      <c r="U577" s="659"/>
      <c r="V577" s="659"/>
      <c r="W577" s="659"/>
      <c r="X577" s="659"/>
      <c r="Y577" s="659"/>
      <c r="Z577" s="659"/>
      <c r="AA577" s="659"/>
      <c r="AB577" s="659"/>
      <c r="AC577" s="659"/>
      <c r="AD577" s="659"/>
      <c r="AE577" s="659"/>
      <c r="AF577" s="659"/>
      <c r="AG577" s="659"/>
      <c r="AH577" s="659"/>
      <c r="AI577" s="659"/>
      <c r="AJ577" s="659"/>
      <c r="AK577" s="659"/>
      <c r="AL577" s="659"/>
      <c r="AM577" s="659"/>
      <c r="AN577" s="659"/>
      <c r="AO577" s="659"/>
      <c r="AP577" s="659"/>
      <c r="AQ577" s="746"/>
    </row>
    <row r="578">
      <c r="A578" s="1002"/>
      <c r="B578" s="1004"/>
      <c r="C578" s="1005"/>
      <c r="D578" s="645"/>
      <c r="E578" s="645"/>
      <c r="F578" s="951"/>
      <c r="G578" s="951"/>
      <c r="H578" s="951"/>
      <c r="I578" s="951"/>
      <c r="J578" s="951"/>
      <c r="K578" s="951"/>
      <c r="L578" s="951"/>
      <c r="M578" s="951"/>
      <c r="N578" s="659"/>
      <c r="O578" s="951"/>
      <c r="P578" s="951"/>
      <c r="Q578" s="659"/>
      <c r="R578" s="659"/>
      <c r="S578" s="659"/>
      <c r="T578" s="659"/>
      <c r="U578" s="659"/>
      <c r="V578" s="659"/>
      <c r="W578" s="659"/>
      <c r="X578" s="659"/>
      <c r="Y578" s="659"/>
      <c r="Z578" s="659"/>
      <c r="AA578" s="659"/>
      <c r="AB578" s="659"/>
      <c r="AC578" s="659"/>
      <c r="AD578" s="659"/>
      <c r="AE578" s="659"/>
      <c r="AF578" s="659"/>
      <c r="AG578" s="659"/>
      <c r="AH578" s="659"/>
      <c r="AI578" s="659"/>
      <c r="AJ578" s="659"/>
      <c r="AK578" s="659"/>
      <c r="AL578" s="659"/>
      <c r="AM578" s="659"/>
      <c r="AN578" s="659"/>
      <c r="AO578" s="659"/>
      <c r="AP578" s="659"/>
      <c r="AQ578" s="746"/>
    </row>
    <row r="579">
      <c r="A579" s="1002"/>
      <c r="B579" s="1004"/>
      <c r="C579" s="1005"/>
      <c r="D579" s="645"/>
      <c r="E579" s="645"/>
      <c r="F579" s="951"/>
      <c r="G579" s="951"/>
      <c r="H579" s="951"/>
      <c r="I579" s="951"/>
      <c r="J579" s="951"/>
      <c r="K579" s="951"/>
      <c r="L579" s="951"/>
      <c r="M579" s="951"/>
      <c r="N579" s="659"/>
      <c r="O579" s="951"/>
      <c r="P579" s="951"/>
      <c r="Q579" s="659"/>
      <c r="R579" s="659"/>
      <c r="S579" s="659"/>
      <c r="T579" s="659"/>
      <c r="U579" s="659"/>
      <c r="V579" s="659"/>
      <c r="W579" s="659"/>
      <c r="X579" s="659"/>
      <c r="Y579" s="659"/>
      <c r="Z579" s="659"/>
      <c r="AA579" s="659"/>
      <c r="AB579" s="659"/>
      <c r="AC579" s="659"/>
      <c r="AD579" s="659"/>
      <c r="AE579" s="659"/>
      <c r="AF579" s="659"/>
      <c r="AG579" s="659"/>
      <c r="AH579" s="659"/>
      <c r="AI579" s="659"/>
      <c r="AJ579" s="659"/>
      <c r="AK579" s="659"/>
      <c r="AL579" s="659"/>
      <c r="AM579" s="659"/>
      <c r="AN579" s="659"/>
      <c r="AO579" s="659"/>
      <c r="AP579" s="659"/>
      <c r="AQ579" s="746"/>
    </row>
    <row r="580">
      <c r="A580" s="1002"/>
      <c r="B580" s="1004"/>
      <c r="C580" s="1005"/>
      <c r="D580" s="645"/>
      <c r="E580" s="645"/>
      <c r="F580" s="951"/>
      <c r="G580" s="951"/>
      <c r="H580" s="951"/>
      <c r="I580" s="951"/>
      <c r="J580" s="951"/>
      <c r="K580" s="951"/>
      <c r="L580" s="951"/>
      <c r="M580" s="951"/>
      <c r="N580" s="659"/>
      <c r="O580" s="951"/>
      <c r="P580" s="951"/>
      <c r="Q580" s="659"/>
      <c r="R580" s="659"/>
      <c r="S580" s="659"/>
      <c r="T580" s="659"/>
      <c r="U580" s="659"/>
      <c r="V580" s="659"/>
      <c r="W580" s="659"/>
      <c r="X580" s="659"/>
      <c r="Y580" s="659"/>
      <c r="Z580" s="659"/>
      <c r="AA580" s="659"/>
      <c r="AB580" s="659"/>
      <c r="AC580" s="659"/>
      <c r="AD580" s="659"/>
      <c r="AE580" s="659"/>
      <c r="AF580" s="659"/>
      <c r="AG580" s="659"/>
      <c r="AH580" s="659"/>
      <c r="AI580" s="659"/>
      <c r="AJ580" s="659"/>
      <c r="AK580" s="659"/>
      <c r="AL580" s="659"/>
      <c r="AM580" s="659"/>
      <c r="AN580" s="659"/>
      <c r="AO580" s="659"/>
      <c r="AP580" s="659"/>
      <c r="AQ580" s="746"/>
    </row>
    <row r="581">
      <c r="A581" s="1002"/>
      <c r="B581" s="1004"/>
      <c r="C581" s="1005"/>
      <c r="D581" s="645"/>
      <c r="E581" s="645"/>
      <c r="F581" s="951"/>
      <c r="G581" s="951"/>
      <c r="H581" s="951"/>
      <c r="I581" s="951"/>
      <c r="J581" s="951"/>
      <c r="K581" s="951"/>
      <c r="L581" s="951"/>
      <c r="M581" s="951"/>
      <c r="N581" s="659"/>
      <c r="O581" s="951"/>
      <c r="P581" s="951"/>
      <c r="Q581" s="659"/>
      <c r="R581" s="659"/>
      <c r="S581" s="659"/>
      <c r="T581" s="659"/>
      <c r="U581" s="659"/>
      <c r="V581" s="659"/>
      <c r="W581" s="659"/>
      <c r="X581" s="659"/>
      <c r="Y581" s="659"/>
      <c r="Z581" s="659"/>
      <c r="AA581" s="659"/>
      <c r="AB581" s="659"/>
      <c r="AC581" s="659"/>
      <c r="AD581" s="659"/>
      <c r="AE581" s="659"/>
      <c r="AF581" s="659"/>
      <c r="AG581" s="659"/>
      <c r="AH581" s="659"/>
      <c r="AI581" s="659"/>
      <c r="AJ581" s="659"/>
      <c r="AK581" s="659"/>
      <c r="AL581" s="659"/>
      <c r="AM581" s="659"/>
      <c r="AN581" s="659"/>
      <c r="AO581" s="659"/>
      <c r="AP581" s="659"/>
      <c r="AQ581" s="746"/>
    </row>
    <row r="582">
      <c r="A582" s="1002"/>
      <c r="B582" s="1004"/>
      <c r="C582" s="1005"/>
      <c r="D582" s="645"/>
      <c r="E582" s="645"/>
      <c r="F582" s="951"/>
      <c r="G582" s="951"/>
      <c r="H582" s="951"/>
      <c r="I582" s="951"/>
      <c r="J582" s="951"/>
      <c r="K582" s="951"/>
      <c r="L582" s="951"/>
      <c r="M582" s="951"/>
      <c r="N582" s="659"/>
      <c r="O582" s="951"/>
      <c r="P582" s="951"/>
      <c r="Q582" s="659"/>
      <c r="R582" s="659"/>
      <c r="S582" s="659"/>
      <c r="T582" s="659"/>
      <c r="U582" s="659"/>
      <c r="V582" s="659"/>
      <c r="W582" s="659"/>
      <c r="X582" s="659"/>
      <c r="Y582" s="659"/>
      <c r="Z582" s="659"/>
      <c r="AA582" s="659"/>
      <c r="AB582" s="659"/>
      <c r="AC582" s="659"/>
      <c r="AD582" s="659"/>
      <c r="AE582" s="659"/>
      <c r="AF582" s="659"/>
      <c r="AG582" s="659"/>
      <c r="AH582" s="659"/>
      <c r="AI582" s="659"/>
      <c r="AJ582" s="659"/>
      <c r="AK582" s="659"/>
      <c r="AL582" s="659"/>
      <c r="AM582" s="659"/>
      <c r="AN582" s="659"/>
      <c r="AO582" s="659"/>
      <c r="AP582" s="659"/>
      <c r="AQ582" s="746"/>
    </row>
    <row r="583">
      <c r="A583" s="1002"/>
      <c r="B583" s="1004"/>
      <c r="C583" s="1005"/>
      <c r="D583" s="645"/>
      <c r="E583" s="645"/>
      <c r="F583" s="951"/>
      <c r="G583" s="951"/>
      <c r="H583" s="951"/>
      <c r="I583" s="951"/>
      <c r="J583" s="951"/>
      <c r="K583" s="951"/>
      <c r="L583" s="951"/>
      <c r="M583" s="951"/>
      <c r="N583" s="659"/>
      <c r="O583" s="951"/>
      <c r="P583" s="951"/>
      <c r="Q583" s="659"/>
      <c r="R583" s="659"/>
      <c r="S583" s="659"/>
      <c r="T583" s="659"/>
      <c r="U583" s="659"/>
      <c r="V583" s="659"/>
      <c r="W583" s="659"/>
      <c r="X583" s="659"/>
      <c r="Y583" s="659"/>
      <c r="Z583" s="659"/>
      <c r="AA583" s="659"/>
      <c r="AB583" s="659"/>
      <c r="AC583" s="659"/>
      <c r="AD583" s="659"/>
      <c r="AE583" s="659"/>
      <c r="AF583" s="659"/>
      <c r="AG583" s="659"/>
      <c r="AH583" s="659"/>
      <c r="AI583" s="659"/>
      <c r="AJ583" s="659"/>
      <c r="AK583" s="659"/>
      <c r="AL583" s="659"/>
      <c r="AM583" s="659"/>
      <c r="AN583" s="659"/>
      <c r="AO583" s="659"/>
      <c r="AP583" s="659"/>
      <c r="AQ583" s="746"/>
    </row>
    <row r="584">
      <c r="A584" s="1002"/>
      <c r="B584" s="1004"/>
      <c r="C584" s="1005"/>
      <c r="D584" s="645"/>
      <c r="E584" s="645"/>
      <c r="F584" s="951"/>
      <c r="G584" s="951"/>
      <c r="H584" s="951"/>
      <c r="I584" s="951"/>
      <c r="J584" s="951"/>
      <c r="K584" s="951"/>
      <c r="L584" s="951"/>
      <c r="M584" s="951"/>
      <c r="N584" s="659"/>
      <c r="O584" s="951"/>
      <c r="P584" s="951"/>
      <c r="Q584" s="659"/>
      <c r="R584" s="659"/>
      <c r="S584" s="659"/>
      <c r="T584" s="659"/>
      <c r="U584" s="659"/>
      <c r="V584" s="659"/>
      <c r="W584" s="659"/>
      <c r="X584" s="659"/>
      <c r="Y584" s="659"/>
      <c r="Z584" s="659"/>
      <c r="AA584" s="659"/>
      <c r="AB584" s="659"/>
      <c r="AC584" s="659"/>
      <c r="AD584" s="659"/>
      <c r="AE584" s="659"/>
      <c r="AF584" s="659"/>
      <c r="AG584" s="659"/>
      <c r="AH584" s="659"/>
      <c r="AI584" s="659"/>
      <c r="AJ584" s="659"/>
      <c r="AK584" s="659"/>
      <c r="AL584" s="659"/>
      <c r="AM584" s="659"/>
      <c r="AN584" s="659"/>
      <c r="AO584" s="659"/>
      <c r="AP584" s="659"/>
      <c r="AQ584" s="746"/>
    </row>
    <row r="585">
      <c r="A585" s="1002"/>
      <c r="B585" s="1004"/>
      <c r="C585" s="1005"/>
      <c r="D585" s="645"/>
      <c r="E585" s="645"/>
      <c r="F585" s="951"/>
      <c r="G585" s="951"/>
      <c r="H585" s="951"/>
      <c r="I585" s="951"/>
      <c r="J585" s="951"/>
      <c r="K585" s="951"/>
      <c r="L585" s="951"/>
      <c r="M585" s="951"/>
      <c r="N585" s="659"/>
      <c r="O585" s="951"/>
      <c r="P585" s="951"/>
      <c r="Q585" s="659"/>
      <c r="R585" s="659"/>
      <c r="S585" s="659"/>
      <c r="T585" s="659"/>
      <c r="U585" s="659"/>
      <c r="V585" s="659"/>
      <c r="W585" s="659"/>
      <c r="X585" s="659"/>
      <c r="Y585" s="659"/>
      <c r="Z585" s="659"/>
      <c r="AA585" s="659"/>
      <c r="AB585" s="659"/>
      <c r="AC585" s="659"/>
      <c r="AD585" s="659"/>
      <c r="AE585" s="659"/>
      <c r="AF585" s="659"/>
      <c r="AG585" s="659"/>
      <c r="AH585" s="659"/>
      <c r="AI585" s="659"/>
      <c r="AJ585" s="659"/>
      <c r="AK585" s="659"/>
      <c r="AL585" s="659"/>
      <c r="AM585" s="659"/>
      <c r="AN585" s="659"/>
      <c r="AO585" s="659"/>
      <c r="AP585" s="659"/>
      <c r="AQ585" s="746"/>
    </row>
    <row r="586">
      <c r="A586" s="1002"/>
      <c r="B586" s="1004"/>
      <c r="C586" s="1005"/>
      <c r="D586" s="645"/>
      <c r="E586" s="645"/>
      <c r="F586" s="951"/>
      <c r="G586" s="951"/>
      <c r="H586" s="951"/>
      <c r="I586" s="951"/>
      <c r="J586" s="951"/>
      <c r="K586" s="951"/>
      <c r="L586" s="951"/>
      <c r="M586" s="951"/>
      <c r="N586" s="659"/>
      <c r="O586" s="951"/>
      <c r="P586" s="951"/>
      <c r="Q586" s="659"/>
      <c r="R586" s="659"/>
      <c r="S586" s="659"/>
      <c r="T586" s="659"/>
      <c r="U586" s="659"/>
      <c r="V586" s="659"/>
      <c r="W586" s="659"/>
      <c r="X586" s="659"/>
      <c r="Y586" s="659"/>
      <c r="Z586" s="659"/>
      <c r="AA586" s="659"/>
      <c r="AB586" s="659"/>
      <c r="AC586" s="659"/>
      <c r="AD586" s="659"/>
      <c r="AE586" s="659"/>
      <c r="AF586" s="659"/>
      <c r="AG586" s="659"/>
      <c r="AH586" s="659"/>
      <c r="AI586" s="659"/>
      <c r="AJ586" s="659"/>
      <c r="AK586" s="659"/>
      <c r="AL586" s="659"/>
      <c r="AM586" s="659"/>
      <c r="AN586" s="659"/>
      <c r="AO586" s="659"/>
      <c r="AP586" s="659"/>
      <c r="AQ586" s="746"/>
    </row>
    <row r="587">
      <c r="A587" s="1002"/>
      <c r="B587" s="1004"/>
      <c r="C587" s="1005"/>
      <c r="D587" s="645"/>
      <c r="E587" s="645"/>
      <c r="F587" s="951"/>
      <c r="G587" s="951"/>
      <c r="H587" s="951"/>
      <c r="I587" s="951"/>
      <c r="J587" s="951"/>
      <c r="K587" s="951"/>
      <c r="L587" s="951"/>
      <c r="M587" s="951"/>
      <c r="N587" s="659"/>
      <c r="O587" s="951"/>
      <c r="P587" s="951"/>
      <c r="Q587" s="659"/>
      <c r="R587" s="659"/>
      <c r="S587" s="659"/>
      <c r="T587" s="659"/>
      <c r="U587" s="659"/>
      <c r="V587" s="659"/>
      <c r="W587" s="659"/>
      <c r="X587" s="659"/>
      <c r="Y587" s="659"/>
      <c r="Z587" s="659"/>
      <c r="AA587" s="659"/>
      <c r="AB587" s="659"/>
      <c r="AC587" s="659"/>
      <c r="AD587" s="659"/>
      <c r="AE587" s="659"/>
      <c r="AF587" s="659"/>
      <c r="AG587" s="659"/>
      <c r="AH587" s="659"/>
      <c r="AI587" s="659"/>
      <c r="AJ587" s="659"/>
      <c r="AK587" s="659"/>
      <c r="AL587" s="659"/>
      <c r="AM587" s="659"/>
      <c r="AN587" s="659"/>
      <c r="AO587" s="659"/>
      <c r="AP587" s="659"/>
      <c r="AQ587" s="746"/>
    </row>
    <row r="588">
      <c r="A588" s="1002"/>
      <c r="B588" s="1004"/>
      <c r="C588" s="1005"/>
      <c r="D588" s="645"/>
      <c r="E588" s="645"/>
      <c r="F588" s="951"/>
      <c r="G588" s="951"/>
      <c r="H588" s="951"/>
      <c r="I588" s="951"/>
      <c r="J588" s="951"/>
      <c r="K588" s="951"/>
      <c r="L588" s="951"/>
      <c r="M588" s="951"/>
      <c r="N588" s="659"/>
      <c r="O588" s="951"/>
      <c r="P588" s="951"/>
      <c r="Q588" s="659"/>
      <c r="R588" s="659"/>
      <c r="S588" s="659"/>
      <c r="T588" s="659"/>
      <c r="U588" s="659"/>
      <c r="V588" s="659"/>
      <c r="W588" s="659"/>
      <c r="X588" s="659"/>
      <c r="Y588" s="659"/>
      <c r="Z588" s="659"/>
      <c r="AA588" s="659"/>
      <c r="AB588" s="659"/>
      <c r="AC588" s="659"/>
      <c r="AD588" s="659"/>
      <c r="AE588" s="659"/>
      <c r="AF588" s="659"/>
      <c r="AG588" s="659"/>
      <c r="AH588" s="659"/>
      <c r="AI588" s="659"/>
      <c r="AJ588" s="659"/>
      <c r="AK588" s="659"/>
      <c r="AL588" s="659"/>
      <c r="AM588" s="659"/>
      <c r="AN588" s="659"/>
      <c r="AO588" s="659"/>
      <c r="AP588" s="659"/>
      <c r="AQ588" s="746"/>
    </row>
    <row r="589">
      <c r="A589" s="1002"/>
      <c r="B589" s="1004"/>
      <c r="C589" s="1005"/>
      <c r="D589" s="645"/>
      <c r="E589" s="645"/>
      <c r="F589" s="951"/>
      <c r="G589" s="951"/>
      <c r="H589" s="951"/>
      <c r="I589" s="951"/>
      <c r="J589" s="951"/>
      <c r="K589" s="951"/>
      <c r="L589" s="951"/>
      <c r="M589" s="951"/>
      <c r="N589" s="659"/>
      <c r="O589" s="951"/>
      <c r="P589" s="951"/>
      <c r="Q589" s="659"/>
      <c r="R589" s="659"/>
      <c r="S589" s="659"/>
      <c r="T589" s="659"/>
      <c r="U589" s="659"/>
      <c r="V589" s="659"/>
      <c r="W589" s="659"/>
      <c r="X589" s="659"/>
      <c r="Y589" s="659"/>
      <c r="Z589" s="659"/>
      <c r="AA589" s="659"/>
      <c r="AB589" s="659"/>
      <c r="AC589" s="659"/>
      <c r="AD589" s="659"/>
      <c r="AE589" s="659"/>
      <c r="AF589" s="659"/>
      <c r="AG589" s="659"/>
      <c r="AH589" s="659"/>
      <c r="AI589" s="659"/>
      <c r="AJ589" s="659"/>
      <c r="AK589" s="659"/>
      <c r="AL589" s="659"/>
      <c r="AM589" s="659"/>
      <c r="AN589" s="659"/>
      <c r="AO589" s="659"/>
      <c r="AP589" s="659"/>
      <c r="AQ589" s="746"/>
    </row>
    <row r="590">
      <c r="A590" s="1002"/>
      <c r="B590" s="1004"/>
      <c r="C590" s="1005"/>
      <c r="D590" s="645"/>
      <c r="E590" s="645"/>
      <c r="F590" s="951"/>
      <c r="G590" s="951"/>
      <c r="H590" s="951"/>
      <c r="I590" s="951"/>
      <c r="J590" s="951"/>
      <c r="K590" s="951"/>
      <c r="L590" s="951"/>
      <c r="M590" s="951"/>
      <c r="N590" s="659"/>
      <c r="O590" s="951"/>
      <c r="P590" s="951"/>
      <c r="Q590" s="659"/>
      <c r="R590" s="659"/>
      <c r="S590" s="659"/>
      <c r="T590" s="659"/>
      <c r="U590" s="659"/>
      <c r="V590" s="659"/>
      <c r="W590" s="659"/>
      <c r="X590" s="659"/>
      <c r="Y590" s="659"/>
      <c r="Z590" s="659"/>
      <c r="AA590" s="659"/>
      <c r="AB590" s="659"/>
      <c r="AC590" s="659"/>
      <c r="AD590" s="659"/>
      <c r="AE590" s="659"/>
      <c r="AF590" s="659"/>
      <c r="AG590" s="659"/>
      <c r="AH590" s="659"/>
      <c r="AI590" s="659"/>
      <c r="AJ590" s="659"/>
      <c r="AK590" s="659"/>
      <c r="AL590" s="659"/>
      <c r="AM590" s="659"/>
      <c r="AN590" s="659"/>
      <c r="AO590" s="659"/>
      <c r="AP590" s="659"/>
      <c r="AQ590" s="746"/>
    </row>
    <row r="591">
      <c r="A591" s="1002"/>
      <c r="B591" s="1004"/>
      <c r="C591" s="1005"/>
      <c r="D591" s="645"/>
      <c r="E591" s="645"/>
      <c r="F591" s="951"/>
      <c r="G591" s="951"/>
      <c r="H591" s="951"/>
      <c r="I591" s="951"/>
      <c r="J591" s="951"/>
      <c r="K591" s="951"/>
      <c r="L591" s="951"/>
      <c r="M591" s="951"/>
      <c r="N591" s="659"/>
      <c r="O591" s="951"/>
      <c r="P591" s="951"/>
      <c r="Q591" s="659"/>
      <c r="R591" s="659"/>
      <c r="S591" s="659"/>
      <c r="T591" s="659"/>
      <c r="U591" s="659"/>
      <c r="V591" s="659"/>
      <c r="W591" s="659"/>
      <c r="X591" s="659"/>
      <c r="Y591" s="659"/>
      <c r="Z591" s="659"/>
      <c r="AA591" s="659"/>
      <c r="AB591" s="659"/>
      <c r="AC591" s="659"/>
      <c r="AD591" s="659"/>
      <c r="AE591" s="659"/>
      <c r="AF591" s="659"/>
      <c r="AG591" s="659"/>
      <c r="AH591" s="659"/>
      <c r="AI591" s="659"/>
      <c r="AJ591" s="659"/>
      <c r="AK591" s="659"/>
      <c r="AL591" s="659"/>
      <c r="AM591" s="659"/>
      <c r="AN591" s="659"/>
      <c r="AO591" s="659"/>
      <c r="AP591" s="659"/>
      <c r="AQ591" s="746"/>
    </row>
    <row r="592">
      <c r="A592" s="1002"/>
      <c r="B592" s="1004"/>
      <c r="C592" s="1005"/>
      <c r="D592" s="645"/>
      <c r="E592" s="645"/>
      <c r="F592" s="951"/>
      <c r="G592" s="951"/>
      <c r="H592" s="951"/>
      <c r="I592" s="951"/>
      <c r="J592" s="951"/>
      <c r="K592" s="951"/>
      <c r="L592" s="951"/>
      <c r="M592" s="951"/>
      <c r="N592" s="659"/>
      <c r="O592" s="951"/>
      <c r="P592" s="951"/>
      <c r="Q592" s="659"/>
      <c r="R592" s="659"/>
      <c r="S592" s="659"/>
      <c r="T592" s="659"/>
      <c r="U592" s="659"/>
      <c r="V592" s="659"/>
      <c r="W592" s="659"/>
      <c r="X592" s="659"/>
      <c r="Y592" s="659"/>
      <c r="Z592" s="659"/>
      <c r="AA592" s="659"/>
      <c r="AB592" s="659"/>
      <c r="AC592" s="659"/>
      <c r="AD592" s="659"/>
      <c r="AE592" s="659"/>
      <c r="AF592" s="659"/>
      <c r="AG592" s="659"/>
      <c r="AH592" s="659"/>
      <c r="AI592" s="659"/>
      <c r="AJ592" s="659"/>
      <c r="AK592" s="659"/>
      <c r="AL592" s="659"/>
      <c r="AM592" s="659"/>
      <c r="AN592" s="659"/>
      <c r="AO592" s="659"/>
      <c r="AP592" s="659"/>
      <c r="AQ592" s="746"/>
    </row>
    <row r="593">
      <c r="A593" s="1002"/>
      <c r="B593" s="1004"/>
      <c r="C593" s="1005"/>
      <c r="D593" s="645"/>
      <c r="E593" s="645"/>
      <c r="F593" s="951"/>
      <c r="G593" s="951"/>
      <c r="H593" s="951"/>
      <c r="I593" s="951"/>
      <c r="J593" s="951"/>
      <c r="K593" s="951"/>
      <c r="L593" s="951"/>
      <c r="M593" s="951"/>
      <c r="N593" s="659"/>
      <c r="O593" s="951"/>
      <c r="P593" s="951"/>
      <c r="Q593" s="659"/>
      <c r="R593" s="659"/>
      <c r="S593" s="659"/>
      <c r="T593" s="659"/>
      <c r="U593" s="659"/>
      <c r="V593" s="659"/>
      <c r="W593" s="659"/>
      <c r="X593" s="659"/>
      <c r="Y593" s="659"/>
      <c r="Z593" s="659"/>
      <c r="AA593" s="659"/>
      <c r="AB593" s="659"/>
      <c r="AC593" s="659"/>
      <c r="AD593" s="659"/>
      <c r="AE593" s="659"/>
      <c r="AF593" s="659"/>
      <c r="AG593" s="659"/>
      <c r="AH593" s="659"/>
      <c r="AI593" s="659"/>
      <c r="AJ593" s="659"/>
      <c r="AK593" s="659"/>
      <c r="AL593" s="659"/>
      <c r="AM593" s="659"/>
      <c r="AN593" s="659"/>
      <c r="AO593" s="659"/>
      <c r="AP593" s="659"/>
      <c r="AQ593" s="746"/>
    </row>
    <row r="594">
      <c r="A594" s="1002"/>
      <c r="B594" s="1004"/>
      <c r="C594" s="1005"/>
      <c r="D594" s="645"/>
      <c r="E594" s="645"/>
      <c r="F594" s="951"/>
      <c r="G594" s="951"/>
      <c r="H594" s="951"/>
      <c r="I594" s="951"/>
      <c r="J594" s="951"/>
      <c r="K594" s="951"/>
      <c r="L594" s="951"/>
      <c r="M594" s="951"/>
      <c r="N594" s="659"/>
      <c r="O594" s="951"/>
      <c r="P594" s="951"/>
      <c r="Q594" s="659"/>
      <c r="R594" s="659"/>
      <c r="S594" s="659"/>
      <c r="T594" s="659"/>
      <c r="U594" s="659"/>
      <c r="V594" s="659"/>
      <c r="W594" s="659"/>
      <c r="X594" s="659"/>
      <c r="Y594" s="659"/>
      <c r="Z594" s="659"/>
      <c r="AA594" s="659"/>
      <c r="AB594" s="659"/>
      <c r="AC594" s="659"/>
      <c r="AD594" s="659"/>
      <c r="AE594" s="659"/>
      <c r="AF594" s="659"/>
      <c r="AG594" s="659"/>
      <c r="AH594" s="659"/>
      <c r="AI594" s="659"/>
      <c r="AJ594" s="659"/>
      <c r="AK594" s="659"/>
      <c r="AL594" s="659"/>
      <c r="AM594" s="659"/>
      <c r="AN594" s="659"/>
      <c r="AO594" s="659"/>
      <c r="AP594" s="659"/>
      <c r="AQ594" s="746"/>
    </row>
    <row r="595">
      <c r="A595" s="1002"/>
      <c r="B595" s="1004"/>
      <c r="C595" s="1005"/>
      <c r="D595" s="645"/>
      <c r="E595" s="645"/>
      <c r="F595" s="951"/>
      <c r="G595" s="951"/>
      <c r="H595" s="951"/>
      <c r="I595" s="951"/>
      <c r="J595" s="951"/>
      <c r="K595" s="951"/>
      <c r="L595" s="951"/>
      <c r="M595" s="951"/>
      <c r="N595" s="659"/>
      <c r="O595" s="951"/>
      <c r="P595" s="951"/>
      <c r="Q595" s="659"/>
      <c r="R595" s="659"/>
      <c r="S595" s="659"/>
      <c r="T595" s="659"/>
      <c r="U595" s="659"/>
      <c r="V595" s="659"/>
      <c r="W595" s="659"/>
      <c r="X595" s="659"/>
      <c r="Y595" s="659"/>
      <c r="Z595" s="659"/>
      <c r="AA595" s="659"/>
      <c r="AB595" s="659"/>
      <c r="AC595" s="659"/>
      <c r="AD595" s="659"/>
      <c r="AE595" s="659"/>
      <c r="AF595" s="659"/>
      <c r="AG595" s="659"/>
      <c r="AH595" s="659"/>
      <c r="AI595" s="659"/>
      <c r="AJ595" s="659"/>
      <c r="AK595" s="659"/>
      <c r="AL595" s="659"/>
      <c r="AM595" s="659"/>
      <c r="AN595" s="659"/>
      <c r="AO595" s="659"/>
      <c r="AP595" s="659"/>
      <c r="AQ595" s="746"/>
    </row>
    <row r="596">
      <c r="A596" s="1002"/>
      <c r="B596" s="1004"/>
      <c r="C596" s="1005"/>
      <c r="D596" s="645"/>
      <c r="E596" s="645"/>
      <c r="F596" s="951"/>
      <c r="G596" s="951"/>
      <c r="H596" s="951"/>
      <c r="I596" s="951"/>
      <c r="J596" s="951"/>
      <c r="K596" s="951"/>
      <c r="L596" s="951"/>
      <c r="M596" s="951"/>
      <c r="N596" s="659"/>
      <c r="O596" s="951"/>
      <c r="P596" s="951"/>
      <c r="Q596" s="659"/>
      <c r="R596" s="659"/>
      <c r="S596" s="659"/>
      <c r="T596" s="659"/>
      <c r="U596" s="659"/>
      <c r="V596" s="659"/>
      <c r="W596" s="659"/>
      <c r="X596" s="659"/>
      <c r="Y596" s="659"/>
      <c r="Z596" s="659"/>
      <c r="AA596" s="659"/>
      <c r="AB596" s="659"/>
      <c r="AC596" s="659"/>
      <c r="AD596" s="659"/>
      <c r="AE596" s="659"/>
      <c r="AF596" s="659"/>
      <c r="AG596" s="659"/>
      <c r="AH596" s="659"/>
      <c r="AI596" s="659"/>
      <c r="AJ596" s="659"/>
      <c r="AK596" s="659"/>
      <c r="AL596" s="659"/>
      <c r="AM596" s="659"/>
      <c r="AN596" s="659"/>
      <c r="AO596" s="659"/>
      <c r="AP596" s="659"/>
      <c r="AQ596" s="746"/>
    </row>
    <row r="597">
      <c r="A597" s="1002"/>
      <c r="B597" s="1004"/>
      <c r="C597" s="1005"/>
      <c r="D597" s="645"/>
      <c r="E597" s="645"/>
      <c r="F597" s="951"/>
      <c r="G597" s="951"/>
      <c r="H597" s="951"/>
      <c r="I597" s="951"/>
      <c r="J597" s="951"/>
      <c r="K597" s="951"/>
      <c r="L597" s="951"/>
      <c r="M597" s="951"/>
      <c r="N597" s="659"/>
      <c r="O597" s="951"/>
      <c r="P597" s="951"/>
      <c r="Q597" s="659"/>
      <c r="R597" s="659"/>
      <c r="S597" s="659"/>
      <c r="T597" s="659"/>
      <c r="U597" s="659"/>
      <c r="V597" s="659"/>
      <c r="W597" s="659"/>
      <c r="X597" s="659"/>
      <c r="Y597" s="659"/>
      <c r="Z597" s="659"/>
      <c r="AA597" s="659"/>
      <c r="AB597" s="659"/>
      <c r="AC597" s="659"/>
      <c r="AD597" s="659"/>
      <c r="AE597" s="659"/>
      <c r="AF597" s="659"/>
      <c r="AG597" s="659"/>
      <c r="AH597" s="659"/>
      <c r="AI597" s="659"/>
      <c r="AJ597" s="659"/>
      <c r="AK597" s="659"/>
      <c r="AL597" s="659"/>
      <c r="AM597" s="659"/>
      <c r="AN597" s="659"/>
      <c r="AO597" s="659"/>
      <c r="AP597" s="659"/>
      <c r="AQ597" s="746"/>
    </row>
    <row r="598">
      <c r="A598" s="1002"/>
      <c r="B598" s="1004"/>
      <c r="C598" s="1005"/>
      <c r="D598" s="645"/>
      <c r="E598" s="645"/>
      <c r="F598" s="951"/>
      <c r="G598" s="951"/>
      <c r="H598" s="951"/>
      <c r="I598" s="951"/>
      <c r="J598" s="951"/>
      <c r="K598" s="951"/>
      <c r="L598" s="951"/>
      <c r="M598" s="951"/>
      <c r="N598" s="659"/>
      <c r="O598" s="951"/>
      <c r="P598" s="951"/>
      <c r="Q598" s="659"/>
      <c r="R598" s="659"/>
      <c r="S598" s="659"/>
      <c r="T598" s="659"/>
      <c r="U598" s="659"/>
      <c r="V598" s="659"/>
      <c r="W598" s="659"/>
      <c r="X598" s="659"/>
      <c r="Y598" s="659"/>
      <c r="Z598" s="659"/>
      <c r="AA598" s="659"/>
      <c r="AB598" s="659"/>
      <c r="AC598" s="659"/>
      <c r="AD598" s="659"/>
      <c r="AE598" s="659"/>
      <c r="AF598" s="659"/>
      <c r="AG598" s="659"/>
      <c r="AH598" s="659"/>
      <c r="AI598" s="659"/>
      <c r="AJ598" s="659"/>
      <c r="AK598" s="659"/>
      <c r="AL598" s="659"/>
      <c r="AM598" s="659"/>
      <c r="AN598" s="659"/>
      <c r="AO598" s="659"/>
      <c r="AP598" s="659"/>
      <c r="AQ598" s="746"/>
    </row>
    <row r="599">
      <c r="A599" s="1002"/>
      <c r="B599" s="1004"/>
      <c r="C599" s="1005"/>
      <c r="D599" s="645"/>
      <c r="E599" s="645"/>
      <c r="F599" s="951"/>
      <c r="G599" s="951"/>
      <c r="H599" s="951"/>
      <c r="I599" s="951"/>
      <c r="J599" s="951"/>
      <c r="K599" s="951"/>
      <c r="L599" s="951"/>
      <c r="M599" s="951"/>
      <c r="N599" s="659"/>
      <c r="O599" s="951"/>
      <c r="P599" s="951"/>
      <c r="Q599" s="659"/>
      <c r="R599" s="659"/>
      <c r="S599" s="659"/>
      <c r="T599" s="659"/>
      <c r="U599" s="659"/>
      <c r="V599" s="659"/>
      <c r="W599" s="659"/>
      <c r="X599" s="659"/>
      <c r="Y599" s="659"/>
      <c r="Z599" s="659"/>
      <c r="AA599" s="659"/>
      <c r="AB599" s="659"/>
      <c r="AC599" s="659"/>
      <c r="AD599" s="659"/>
      <c r="AE599" s="659"/>
      <c r="AF599" s="659"/>
      <c r="AG599" s="659"/>
      <c r="AH599" s="659"/>
      <c r="AI599" s="659"/>
      <c r="AJ599" s="659"/>
      <c r="AK599" s="659"/>
      <c r="AL599" s="659"/>
      <c r="AM599" s="659"/>
      <c r="AN599" s="659"/>
      <c r="AO599" s="659"/>
      <c r="AP599" s="659"/>
      <c r="AQ599" s="746"/>
    </row>
    <row r="600">
      <c r="A600" s="1002"/>
      <c r="B600" s="1004"/>
      <c r="C600" s="1005"/>
      <c r="D600" s="645"/>
      <c r="E600" s="645"/>
      <c r="F600" s="951"/>
      <c r="G600" s="951"/>
      <c r="H600" s="951"/>
      <c r="I600" s="951"/>
      <c r="J600" s="951"/>
      <c r="K600" s="951"/>
      <c r="L600" s="951"/>
      <c r="M600" s="951"/>
      <c r="N600" s="659"/>
      <c r="O600" s="951"/>
      <c r="P600" s="951"/>
      <c r="Q600" s="659"/>
      <c r="R600" s="659"/>
      <c r="S600" s="659"/>
      <c r="T600" s="659"/>
      <c r="U600" s="659"/>
      <c r="V600" s="659"/>
      <c r="W600" s="659"/>
      <c r="X600" s="659"/>
      <c r="Y600" s="659"/>
      <c r="Z600" s="659"/>
      <c r="AA600" s="659"/>
      <c r="AB600" s="659"/>
      <c r="AC600" s="659"/>
      <c r="AD600" s="659"/>
      <c r="AE600" s="659"/>
      <c r="AF600" s="659"/>
      <c r="AG600" s="659"/>
      <c r="AH600" s="659"/>
      <c r="AI600" s="659"/>
      <c r="AJ600" s="659"/>
      <c r="AK600" s="659"/>
      <c r="AL600" s="659"/>
      <c r="AM600" s="659"/>
      <c r="AN600" s="659"/>
      <c r="AO600" s="659"/>
      <c r="AP600" s="659"/>
      <c r="AQ600" s="746"/>
    </row>
    <row r="601">
      <c r="A601" s="1002"/>
      <c r="B601" s="1004"/>
      <c r="C601" s="1005"/>
      <c r="D601" s="645"/>
      <c r="E601" s="645"/>
      <c r="F601" s="951"/>
      <c r="G601" s="951"/>
      <c r="H601" s="951"/>
      <c r="I601" s="951"/>
      <c r="J601" s="951"/>
      <c r="K601" s="951"/>
      <c r="L601" s="951"/>
      <c r="M601" s="951"/>
      <c r="N601" s="659"/>
      <c r="O601" s="951"/>
      <c r="P601" s="951"/>
      <c r="Q601" s="659"/>
      <c r="R601" s="659"/>
      <c r="S601" s="659"/>
      <c r="T601" s="659"/>
      <c r="U601" s="659"/>
      <c r="V601" s="659"/>
      <c r="W601" s="659"/>
      <c r="X601" s="659"/>
      <c r="Y601" s="659"/>
      <c r="Z601" s="659"/>
      <c r="AA601" s="659"/>
      <c r="AB601" s="659"/>
      <c r="AC601" s="659"/>
      <c r="AD601" s="659"/>
      <c r="AE601" s="659"/>
      <c r="AF601" s="659"/>
      <c r="AG601" s="659"/>
      <c r="AH601" s="659"/>
      <c r="AI601" s="659"/>
      <c r="AJ601" s="659"/>
      <c r="AK601" s="659"/>
      <c r="AL601" s="659"/>
      <c r="AM601" s="659"/>
      <c r="AN601" s="659"/>
      <c r="AO601" s="659"/>
      <c r="AP601" s="659"/>
      <c r="AQ601" s="746"/>
    </row>
    <row r="602">
      <c r="A602" s="1002"/>
      <c r="B602" s="1004"/>
      <c r="C602" s="1005"/>
      <c r="D602" s="645"/>
      <c r="E602" s="645"/>
      <c r="F602" s="951"/>
      <c r="G602" s="951"/>
      <c r="H602" s="951"/>
      <c r="I602" s="951"/>
      <c r="J602" s="951"/>
      <c r="K602" s="951"/>
      <c r="L602" s="951"/>
      <c r="M602" s="951"/>
      <c r="N602" s="659"/>
      <c r="O602" s="951"/>
      <c r="P602" s="951"/>
      <c r="Q602" s="659"/>
      <c r="R602" s="659"/>
      <c r="S602" s="659"/>
      <c r="T602" s="659"/>
      <c r="U602" s="659"/>
      <c r="V602" s="659"/>
      <c r="W602" s="659"/>
      <c r="X602" s="659"/>
      <c r="Y602" s="659"/>
      <c r="Z602" s="659"/>
      <c r="AA602" s="659"/>
      <c r="AB602" s="659"/>
      <c r="AC602" s="659"/>
      <c r="AD602" s="659"/>
      <c r="AE602" s="659"/>
      <c r="AF602" s="659"/>
      <c r="AG602" s="659"/>
      <c r="AH602" s="659"/>
      <c r="AI602" s="659"/>
      <c r="AJ602" s="659"/>
      <c r="AK602" s="659"/>
      <c r="AL602" s="659"/>
      <c r="AM602" s="659"/>
      <c r="AN602" s="659"/>
      <c r="AO602" s="659"/>
      <c r="AP602" s="659"/>
      <c r="AQ602" s="746"/>
    </row>
    <row r="603">
      <c r="A603" s="1002"/>
      <c r="B603" s="1004"/>
      <c r="C603" s="1005"/>
      <c r="D603" s="645"/>
      <c r="E603" s="645"/>
      <c r="F603" s="951"/>
      <c r="G603" s="951"/>
      <c r="H603" s="951"/>
      <c r="I603" s="951"/>
      <c r="J603" s="951"/>
      <c r="K603" s="951"/>
      <c r="L603" s="951"/>
      <c r="M603" s="951"/>
      <c r="N603" s="659"/>
      <c r="O603" s="951"/>
      <c r="P603" s="951"/>
      <c r="Q603" s="659"/>
      <c r="R603" s="659"/>
      <c r="S603" s="659"/>
      <c r="T603" s="659"/>
      <c r="U603" s="659"/>
      <c r="V603" s="659"/>
      <c r="W603" s="659"/>
      <c r="X603" s="659"/>
      <c r="Y603" s="659"/>
      <c r="Z603" s="659"/>
      <c r="AA603" s="659"/>
      <c r="AB603" s="659"/>
      <c r="AC603" s="659"/>
      <c r="AD603" s="659"/>
      <c r="AE603" s="659"/>
      <c r="AF603" s="659"/>
      <c r="AG603" s="659"/>
      <c r="AH603" s="659"/>
      <c r="AI603" s="659"/>
      <c r="AJ603" s="659"/>
      <c r="AK603" s="659"/>
      <c r="AL603" s="659"/>
      <c r="AM603" s="659"/>
      <c r="AN603" s="659"/>
      <c r="AO603" s="659"/>
      <c r="AP603" s="659"/>
      <c r="AQ603" s="746"/>
    </row>
    <row r="604">
      <c r="A604" s="1002"/>
      <c r="B604" s="1004"/>
      <c r="C604" s="1005"/>
      <c r="D604" s="645"/>
      <c r="E604" s="645"/>
      <c r="F604" s="951"/>
      <c r="G604" s="951"/>
      <c r="H604" s="951"/>
      <c r="I604" s="951"/>
      <c r="J604" s="951"/>
      <c r="K604" s="951"/>
      <c r="L604" s="951"/>
      <c r="M604" s="951"/>
      <c r="N604" s="659"/>
      <c r="O604" s="951"/>
      <c r="P604" s="951"/>
      <c r="Q604" s="659"/>
      <c r="R604" s="659"/>
      <c r="S604" s="659"/>
      <c r="T604" s="659"/>
      <c r="U604" s="659"/>
      <c r="V604" s="659"/>
      <c r="W604" s="659"/>
      <c r="X604" s="659"/>
      <c r="Y604" s="659"/>
      <c r="Z604" s="659"/>
      <c r="AA604" s="659"/>
      <c r="AB604" s="659"/>
      <c r="AC604" s="659"/>
      <c r="AD604" s="659"/>
      <c r="AE604" s="659"/>
      <c r="AF604" s="659"/>
      <c r="AG604" s="659"/>
      <c r="AH604" s="659"/>
      <c r="AI604" s="659"/>
      <c r="AJ604" s="659"/>
      <c r="AK604" s="659"/>
      <c r="AL604" s="659"/>
      <c r="AM604" s="659"/>
      <c r="AN604" s="659"/>
      <c r="AO604" s="659"/>
      <c r="AP604" s="659"/>
      <c r="AQ604" s="746"/>
    </row>
    <row r="605">
      <c r="A605" s="1002"/>
      <c r="B605" s="1004"/>
      <c r="C605" s="1005"/>
      <c r="D605" s="645"/>
      <c r="E605" s="645"/>
      <c r="F605" s="951"/>
      <c r="G605" s="951"/>
      <c r="H605" s="951"/>
      <c r="I605" s="951"/>
      <c r="J605" s="951"/>
      <c r="K605" s="951"/>
      <c r="L605" s="951"/>
      <c r="M605" s="951"/>
      <c r="N605" s="659"/>
      <c r="O605" s="951"/>
      <c r="P605" s="951"/>
      <c r="Q605" s="659"/>
      <c r="R605" s="659"/>
      <c r="S605" s="659"/>
      <c r="T605" s="659"/>
      <c r="U605" s="659"/>
      <c r="V605" s="659"/>
      <c r="W605" s="659"/>
      <c r="X605" s="659"/>
      <c r="Y605" s="659"/>
      <c r="Z605" s="659"/>
      <c r="AA605" s="659"/>
      <c r="AB605" s="659"/>
      <c r="AC605" s="659"/>
      <c r="AD605" s="659"/>
      <c r="AE605" s="659"/>
      <c r="AF605" s="659"/>
      <c r="AG605" s="659"/>
      <c r="AH605" s="659"/>
      <c r="AI605" s="659"/>
      <c r="AJ605" s="659"/>
      <c r="AK605" s="659"/>
      <c r="AL605" s="659"/>
      <c r="AM605" s="659"/>
      <c r="AN605" s="659"/>
      <c r="AO605" s="659"/>
      <c r="AP605" s="659"/>
      <c r="AQ605" s="746"/>
    </row>
    <row r="606">
      <c r="A606" s="1002"/>
      <c r="B606" s="1004"/>
      <c r="C606" s="1005"/>
      <c r="D606" s="645"/>
      <c r="E606" s="645"/>
      <c r="F606" s="951"/>
      <c r="G606" s="951"/>
      <c r="H606" s="951"/>
      <c r="I606" s="951"/>
      <c r="J606" s="951"/>
      <c r="K606" s="951"/>
      <c r="L606" s="951"/>
      <c r="M606" s="951"/>
      <c r="N606" s="659"/>
      <c r="O606" s="951"/>
      <c r="P606" s="951"/>
      <c r="Q606" s="659"/>
      <c r="R606" s="659"/>
      <c r="S606" s="659"/>
      <c r="T606" s="659"/>
      <c r="U606" s="659"/>
      <c r="V606" s="659"/>
      <c r="W606" s="659"/>
      <c r="X606" s="659"/>
      <c r="Y606" s="659"/>
      <c r="Z606" s="659"/>
      <c r="AA606" s="659"/>
      <c r="AB606" s="659"/>
      <c r="AC606" s="659"/>
      <c r="AD606" s="659"/>
      <c r="AE606" s="659"/>
      <c r="AF606" s="659"/>
      <c r="AG606" s="659"/>
      <c r="AH606" s="659"/>
      <c r="AI606" s="659"/>
      <c r="AJ606" s="659"/>
      <c r="AK606" s="659"/>
      <c r="AL606" s="659"/>
      <c r="AM606" s="659"/>
      <c r="AN606" s="659"/>
      <c r="AO606" s="659"/>
      <c r="AP606" s="659"/>
      <c r="AQ606" s="746"/>
    </row>
    <row r="607">
      <c r="A607" s="1002"/>
      <c r="B607" s="1004"/>
      <c r="C607" s="1005"/>
      <c r="D607" s="645"/>
      <c r="E607" s="645"/>
      <c r="F607" s="951"/>
      <c r="G607" s="951"/>
      <c r="H607" s="951"/>
      <c r="I607" s="951"/>
      <c r="J607" s="951"/>
      <c r="K607" s="951"/>
      <c r="L607" s="951"/>
      <c r="M607" s="951"/>
      <c r="N607" s="659"/>
      <c r="O607" s="951"/>
      <c r="P607" s="951"/>
      <c r="Q607" s="659"/>
      <c r="R607" s="659"/>
      <c r="S607" s="659"/>
      <c r="T607" s="659"/>
      <c r="U607" s="659"/>
      <c r="V607" s="659"/>
      <c r="W607" s="659"/>
      <c r="X607" s="659"/>
      <c r="Y607" s="659"/>
      <c r="Z607" s="659"/>
      <c r="AA607" s="659"/>
      <c r="AB607" s="659"/>
      <c r="AC607" s="659"/>
      <c r="AD607" s="659"/>
      <c r="AE607" s="659"/>
      <c r="AF607" s="659"/>
      <c r="AG607" s="659"/>
      <c r="AH607" s="659"/>
      <c r="AI607" s="659"/>
      <c r="AJ607" s="659"/>
      <c r="AK607" s="659"/>
      <c r="AL607" s="659"/>
      <c r="AM607" s="659"/>
      <c r="AN607" s="659"/>
      <c r="AO607" s="659"/>
      <c r="AP607" s="659"/>
      <c r="AQ607" s="746"/>
    </row>
    <row r="608">
      <c r="A608" s="1002"/>
      <c r="B608" s="1004"/>
      <c r="C608" s="1005"/>
      <c r="D608" s="645"/>
      <c r="E608" s="645"/>
      <c r="F608" s="951"/>
      <c r="G608" s="951"/>
      <c r="H608" s="951"/>
      <c r="I608" s="951"/>
      <c r="J608" s="951"/>
      <c r="K608" s="951"/>
      <c r="L608" s="951"/>
      <c r="M608" s="951"/>
      <c r="N608" s="659"/>
      <c r="O608" s="951"/>
      <c r="P608" s="951"/>
      <c r="Q608" s="659"/>
      <c r="R608" s="659"/>
      <c r="S608" s="659"/>
      <c r="T608" s="659"/>
      <c r="U608" s="659"/>
      <c r="V608" s="659"/>
      <c r="W608" s="659"/>
      <c r="X608" s="659"/>
      <c r="Y608" s="659"/>
      <c r="Z608" s="659"/>
      <c r="AA608" s="659"/>
      <c r="AB608" s="659"/>
      <c r="AC608" s="659"/>
      <c r="AD608" s="659"/>
      <c r="AE608" s="659"/>
      <c r="AF608" s="659"/>
      <c r="AG608" s="659"/>
      <c r="AH608" s="659"/>
      <c r="AI608" s="659"/>
      <c r="AJ608" s="659"/>
      <c r="AK608" s="659"/>
      <c r="AL608" s="659"/>
      <c r="AM608" s="659"/>
      <c r="AN608" s="659"/>
      <c r="AO608" s="659"/>
      <c r="AP608" s="659"/>
      <c r="AQ608" s="746"/>
    </row>
    <row r="609">
      <c r="A609" s="1002"/>
      <c r="B609" s="1004"/>
      <c r="C609" s="1005"/>
      <c r="D609" s="645"/>
      <c r="E609" s="645"/>
      <c r="F609" s="951"/>
      <c r="G609" s="951"/>
      <c r="H609" s="951"/>
      <c r="I609" s="951"/>
      <c r="J609" s="951"/>
      <c r="K609" s="951"/>
      <c r="L609" s="951"/>
      <c r="M609" s="951"/>
      <c r="N609" s="659"/>
      <c r="O609" s="951"/>
      <c r="P609" s="951"/>
      <c r="Q609" s="659"/>
      <c r="R609" s="659"/>
      <c r="S609" s="659"/>
      <c r="T609" s="659"/>
      <c r="U609" s="659"/>
      <c r="V609" s="659"/>
      <c r="W609" s="659"/>
      <c r="X609" s="659"/>
      <c r="Y609" s="659"/>
      <c r="Z609" s="659"/>
      <c r="AA609" s="659"/>
      <c r="AB609" s="659"/>
      <c r="AC609" s="659"/>
      <c r="AD609" s="659"/>
      <c r="AE609" s="659"/>
      <c r="AF609" s="659"/>
      <c r="AG609" s="659"/>
      <c r="AH609" s="659"/>
      <c r="AI609" s="659"/>
      <c r="AJ609" s="659"/>
      <c r="AK609" s="659"/>
      <c r="AL609" s="659"/>
      <c r="AM609" s="659"/>
      <c r="AN609" s="659"/>
      <c r="AO609" s="659"/>
      <c r="AP609" s="659"/>
      <c r="AQ609" s="746"/>
    </row>
    <row r="610">
      <c r="A610" s="1002"/>
      <c r="B610" s="1004"/>
      <c r="C610" s="1005"/>
      <c r="D610" s="645"/>
      <c r="E610" s="645"/>
      <c r="F610" s="951"/>
      <c r="G610" s="951"/>
      <c r="H610" s="951"/>
      <c r="I610" s="951"/>
      <c r="J610" s="951"/>
      <c r="K610" s="951"/>
      <c r="L610" s="951"/>
      <c r="M610" s="951"/>
      <c r="N610" s="659"/>
      <c r="O610" s="951"/>
      <c r="P610" s="951"/>
      <c r="Q610" s="659"/>
      <c r="R610" s="659"/>
      <c r="S610" s="659"/>
      <c r="T610" s="659"/>
      <c r="U610" s="659"/>
      <c r="V610" s="659"/>
      <c r="W610" s="659"/>
      <c r="X610" s="659"/>
      <c r="Y610" s="659"/>
      <c r="Z610" s="659"/>
      <c r="AA610" s="659"/>
      <c r="AB610" s="659"/>
      <c r="AC610" s="659"/>
      <c r="AD610" s="659"/>
      <c r="AE610" s="659"/>
      <c r="AF610" s="659"/>
      <c r="AG610" s="659"/>
      <c r="AH610" s="659"/>
      <c r="AI610" s="659"/>
      <c r="AJ610" s="659"/>
      <c r="AK610" s="659"/>
      <c r="AL610" s="659"/>
      <c r="AM610" s="659"/>
      <c r="AN610" s="659"/>
      <c r="AO610" s="659"/>
      <c r="AP610" s="659"/>
      <c r="AQ610" s="746"/>
    </row>
    <row r="611">
      <c r="A611" s="1002"/>
      <c r="B611" s="1004"/>
      <c r="C611" s="1005"/>
      <c r="D611" s="645"/>
      <c r="E611" s="645"/>
      <c r="F611" s="951"/>
      <c r="G611" s="951"/>
      <c r="H611" s="951"/>
      <c r="I611" s="951"/>
      <c r="J611" s="951"/>
      <c r="K611" s="951"/>
      <c r="L611" s="951"/>
      <c r="M611" s="951"/>
      <c r="N611" s="659"/>
      <c r="O611" s="951"/>
      <c r="P611" s="951"/>
      <c r="Q611" s="659"/>
      <c r="R611" s="659"/>
      <c r="S611" s="659"/>
      <c r="T611" s="659"/>
      <c r="U611" s="659"/>
      <c r="V611" s="659"/>
      <c r="W611" s="659"/>
      <c r="X611" s="659"/>
      <c r="Y611" s="659"/>
      <c r="Z611" s="659"/>
      <c r="AA611" s="659"/>
      <c r="AB611" s="659"/>
      <c r="AC611" s="659"/>
      <c r="AD611" s="659"/>
      <c r="AE611" s="659"/>
      <c r="AF611" s="659"/>
      <c r="AG611" s="659"/>
      <c r="AH611" s="659"/>
      <c r="AI611" s="659"/>
      <c r="AJ611" s="659"/>
      <c r="AK611" s="659"/>
      <c r="AL611" s="659"/>
      <c r="AM611" s="659"/>
      <c r="AN611" s="659"/>
      <c r="AO611" s="659"/>
      <c r="AP611" s="659"/>
      <c r="AQ611" s="746"/>
    </row>
    <row r="612">
      <c r="A612" s="1002"/>
      <c r="B612" s="1004"/>
      <c r="C612" s="1005"/>
      <c r="D612" s="645"/>
      <c r="E612" s="645"/>
      <c r="F612" s="951"/>
      <c r="G612" s="951"/>
      <c r="H612" s="951"/>
      <c r="I612" s="951"/>
      <c r="J612" s="951"/>
      <c r="K612" s="951"/>
      <c r="L612" s="951"/>
      <c r="M612" s="951"/>
      <c r="N612" s="659"/>
      <c r="O612" s="951"/>
      <c r="P612" s="951"/>
      <c r="Q612" s="659"/>
      <c r="R612" s="659"/>
      <c r="S612" s="659"/>
      <c r="T612" s="659"/>
      <c r="U612" s="659"/>
      <c r="V612" s="659"/>
      <c r="W612" s="659"/>
      <c r="X612" s="659"/>
      <c r="Y612" s="659"/>
      <c r="Z612" s="659"/>
      <c r="AA612" s="659"/>
      <c r="AB612" s="659"/>
      <c r="AC612" s="659"/>
      <c r="AD612" s="659"/>
      <c r="AE612" s="659"/>
      <c r="AF612" s="659"/>
      <c r="AG612" s="659"/>
      <c r="AH612" s="659"/>
      <c r="AI612" s="659"/>
      <c r="AJ612" s="659"/>
      <c r="AK612" s="659"/>
      <c r="AL612" s="659"/>
      <c r="AM612" s="659"/>
      <c r="AN612" s="659"/>
      <c r="AO612" s="659"/>
      <c r="AP612" s="659"/>
      <c r="AQ612" s="746"/>
    </row>
    <row r="613">
      <c r="A613" s="1002"/>
      <c r="B613" s="1004"/>
      <c r="C613" s="1005"/>
      <c r="D613" s="645"/>
      <c r="E613" s="645"/>
      <c r="F613" s="951"/>
      <c r="G613" s="951"/>
      <c r="H613" s="951"/>
      <c r="I613" s="951"/>
      <c r="J613" s="951"/>
      <c r="K613" s="951"/>
      <c r="L613" s="951"/>
      <c r="M613" s="951"/>
      <c r="N613" s="659"/>
      <c r="O613" s="951"/>
      <c r="P613" s="951"/>
      <c r="Q613" s="659"/>
      <c r="R613" s="659"/>
      <c r="S613" s="659"/>
      <c r="T613" s="659"/>
      <c r="U613" s="659"/>
      <c r="V613" s="659"/>
      <c r="W613" s="659"/>
      <c r="X613" s="659"/>
      <c r="Y613" s="659"/>
      <c r="Z613" s="659"/>
      <c r="AA613" s="659"/>
      <c r="AB613" s="659"/>
      <c r="AC613" s="659"/>
      <c r="AD613" s="659"/>
      <c r="AE613" s="659"/>
      <c r="AF613" s="659"/>
      <c r="AG613" s="659"/>
      <c r="AH613" s="659"/>
      <c r="AI613" s="659"/>
      <c r="AJ613" s="659"/>
      <c r="AK613" s="659"/>
      <c r="AL613" s="659"/>
      <c r="AM613" s="659"/>
      <c r="AN613" s="659"/>
      <c r="AO613" s="659"/>
      <c r="AP613" s="659"/>
      <c r="AQ613" s="746"/>
    </row>
    <row r="614">
      <c r="A614" s="1002"/>
      <c r="B614" s="1004"/>
      <c r="C614" s="1005"/>
      <c r="D614" s="645"/>
      <c r="E614" s="645"/>
      <c r="F614" s="951"/>
      <c r="G614" s="951"/>
      <c r="H614" s="951"/>
      <c r="I614" s="951"/>
      <c r="J614" s="951"/>
      <c r="K614" s="951"/>
      <c r="L614" s="951"/>
      <c r="M614" s="951"/>
      <c r="N614" s="659"/>
      <c r="O614" s="951"/>
      <c r="P614" s="951"/>
      <c r="Q614" s="659"/>
      <c r="R614" s="659"/>
      <c r="S614" s="659"/>
      <c r="T614" s="659"/>
      <c r="U614" s="659"/>
      <c r="V614" s="659"/>
      <c r="W614" s="659"/>
      <c r="X614" s="659"/>
      <c r="Y614" s="659"/>
      <c r="Z614" s="659"/>
      <c r="AA614" s="659"/>
      <c r="AB614" s="659"/>
      <c r="AC614" s="659"/>
      <c r="AD614" s="659"/>
      <c r="AE614" s="659"/>
      <c r="AF614" s="659"/>
      <c r="AG614" s="659"/>
      <c r="AH614" s="659"/>
      <c r="AI614" s="659"/>
      <c r="AJ614" s="659"/>
      <c r="AK614" s="659"/>
      <c r="AL614" s="659"/>
      <c r="AM614" s="659"/>
      <c r="AN614" s="659"/>
      <c r="AO614" s="659"/>
      <c r="AP614" s="659"/>
      <c r="AQ614" s="746"/>
    </row>
    <row r="615">
      <c r="A615" s="1002"/>
      <c r="B615" s="1004"/>
      <c r="C615" s="1005"/>
      <c r="D615" s="645"/>
      <c r="E615" s="645"/>
      <c r="F615" s="951"/>
      <c r="G615" s="951"/>
      <c r="H615" s="951"/>
      <c r="I615" s="951"/>
      <c r="J615" s="951"/>
      <c r="K615" s="951"/>
      <c r="L615" s="951"/>
      <c r="M615" s="951"/>
      <c r="N615" s="659"/>
      <c r="O615" s="951"/>
      <c r="P615" s="951"/>
      <c r="Q615" s="659"/>
      <c r="R615" s="659"/>
      <c r="S615" s="659"/>
      <c r="T615" s="659"/>
      <c r="U615" s="659"/>
      <c r="V615" s="659"/>
      <c r="W615" s="659"/>
      <c r="X615" s="659"/>
      <c r="Y615" s="659"/>
      <c r="Z615" s="659"/>
      <c r="AA615" s="659"/>
      <c r="AB615" s="659"/>
      <c r="AC615" s="659"/>
      <c r="AD615" s="659"/>
      <c r="AE615" s="659"/>
      <c r="AF615" s="659"/>
      <c r="AG615" s="659"/>
      <c r="AH615" s="659"/>
      <c r="AI615" s="659"/>
      <c r="AJ615" s="659"/>
      <c r="AK615" s="659"/>
      <c r="AL615" s="659"/>
      <c r="AM615" s="659"/>
      <c r="AN615" s="659"/>
      <c r="AO615" s="659"/>
      <c r="AP615" s="659"/>
      <c r="AQ615" s="746"/>
    </row>
    <row r="616">
      <c r="A616" s="1002"/>
      <c r="B616" s="1004"/>
      <c r="C616" s="1005"/>
      <c r="D616" s="645"/>
      <c r="E616" s="645"/>
      <c r="F616" s="951"/>
      <c r="G616" s="951"/>
      <c r="H616" s="951"/>
      <c r="I616" s="951"/>
      <c r="J616" s="951"/>
      <c r="K616" s="951"/>
      <c r="L616" s="951"/>
      <c r="M616" s="951"/>
      <c r="N616" s="659"/>
      <c r="O616" s="951"/>
      <c r="P616" s="951"/>
      <c r="Q616" s="659"/>
      <c r="R616" s="659"/>
      <c r="S616" s="659"/>
      <c r="T616" s="659"/>
      <c r="U616" s="659"/>
      <c r="V616" s="659"/>
      <c r="W616" s="659"/>
      <c r="X616" s="659"/>
      <c r="Y616" s="659"/>
      <c r="Z616" s="659"/>
      <c r="AA616" s="659"/>
      <c r="AB616" s="659"/>
      <c r="AC616" s="659"/>
      <c r="AD616" s="659"/>
      <c r="AE616" s="659"/>
      <c r="AF616" s="659"/>
      <c r="AG616" s="659"/>
      <c r="AH616" s="659"/>
      <c r="AI616" s="659"/>
      <c r="AJ616" s="659"/>
      <c r="AK616" s="659"/>
      <c r="AL616" s="659"/>
      <c r="AM616" s="659"/>
      <c r="AN616" s="659"/>
      <c r="AO616" s="659"/>
      <c r="AP616" s="659"/>
      <c r="AQ616" s="746"/>
    </row>
    <row r="617">
      <c r="A617" s="1002"/>
      <c r="B617" s="1004"/>
      <c r="C617" s="1005"/>
      <c r="D617" s="645"/>
      <c r="E617" s="645"/>
      <c r="F617" s="951"/>
      <c r="G617" s="951"/>
      <c r="H617" s="951"/>
      <c r="I617" s="951"/>
      <c r="J617" s="951"/>
      <c r="K617" s="951"/>
      <c r="L617" s="951"/>
      <c r="M617" s="951"/>
      <c r="N617" s="659"/>
      <c r="O617" s="951"/>
      <c r="P617" s="951"/>
      <c r="Q617" s="659"/>
      <c r="R617" s="659"/>
      <c r="S617" s="659"/>
      <c r="T617" s="659"/>
      <c r="U617" s="659"/>
      <c r="V617" s="659"/>
      <c r="W617" s="659"/>
      <c r="X617" s="659"/>
      <c r="Y617" s="659"/>
      <c r="Z617" s="659"/>
      <c r="AA617" s="659"/>
      <c r="AB617" s="659"/>
      <c r="AC617" s="659"/>
      <c r="AD617" s="659"/>
      <c r="AE617" s="659"/>
      <c r="AF617" s="659"/>
      <c r="AG617" s="659"/>
      <c r="AH617" s="659"/>
      <c r="AI617" s="659"/>
      <c r="AJ617" s="659"/>
      <c r="AK617" s="659"/>
      <c r="AL617" s="659"/>
      <c r="AM617" s="659"/>
      <c r="AN617" s="659"/>
      <c r="AO617" s="659"/>
      <c r="AP617" s="659"/>
      <c r="AQ617" s="746"/>
    </row>
    <row r="618">
      <c r="A618" s="1002"/>
      <c r="B618" s="1004"/>
      <c r="C618" s="1005"/>
      <c r="D618" s="645"/>
      <c r="E618" s="645"/>
      <c r="F618" s="951"/>
      <c r="G618" s="951"/>
      <c r="H618" s="951"/>
      <c r="I618" s="951"/>
      <c r="J618" s="951"/>
      <c r="K618" s="951"/>
      <c r="L618" s="951"/>
      <c r="M618" s="951"/>
      <c r="N618" s="659"/>
      <c r="O618" s="951"/>
      <c r="P618" s="951"/>
      <c r="Q618" s="659"/>
      <c r="R618" s="659"/>
      <c r="S618" s="659"/>
      <c r="T618" s="659"/>
      <c r="U618" s="659"/>
      <c r="V618" s="659"/>
      <c r="W618" s="659"/>
      <c r="X618" s="659"/>
      <c r="Y618" s="659"/>
      <c r="Z618" s="659"/>
      <c r="AA618" s="659"/>
      <c r="AB618" s="659"/>
      <c r="AC618" s="659"/>
      <c r="AD618" s="659"/>
      <c r="AE618" s="659"/>
      <c r="AF618" s="659"/>
      <c r="AG618" s="659"/>
      <c r="AH618" s="659"/>
      <c r="AI618" s="659"/>
      <c r="AJ618" s="659"/>
      <c r="AK618" s="659"/>
      <c r="AL618" s="659"/>
      <c r="AM618" s="659"/>
      <c r="AN618" s="659"/>
      <c r="AO618" s="659"/>
      <c r="AP618" s="659"/>
      <c r="AQ618" s="746"/>
    </row>
    <row r="619">
      <c r="A619" s="1002"/>
      <c r="B619" s="1004"/>
      <c r="C619" s="1005"/>
      <c r="D619" s="645"/>
      <c r="E619" s="645"/>
      <c r="F619" s="951"/>
      <c r="G619" s="951"/>
      <c r="H619" s="951"/>
      <c r="I619" s="951"/>
      <c r="J619" s="951"/>
      <c r="K619" s="951"/>
      <c r="L619" s="951"/>
      <c r="M619" s="951"/>
      <c r="N619" s="659"/>
      <c r="O619" s="951"/>
      <c r="P619" s="951"/>
      <c r="Q619" s="659"/>
      <c r="R619" s="659"/>
      <c r="S619" s="659"/>
      <c r="T619" s="659"/>
      <c r="U619" s="659"/>
      <c r="V619" s="659"/>
      <c r="W619" s="659"/>
      <c r="X619" s="659"/>
      <c r="Y619" s="659"/>
      <c r="Z619" s="659"/>
      <c r="AA619" s="659"/>
      <c r="AB619" s="659"/>
      <c r="AC619" s="659"/>
      <c r="AD619" s="659"/>
      <c r="AE619" s="659"/>
      <c r="AF619" s="659"/>
      <c r="AG619" s="659"/>
      <c r="AH619" s="659"/>
      <c r="AI619" s="659"/>
      <c r="AJ619" s="659"/>
      <c r="AK619" s="659"/>
      <c r="AL619" s="659"/>
      <c r="AM619" s="659"/>
      <c r="AN619" s="659"/>
      <c r="AO619" s="659"/>
      <c r="AP619" s="659"/>
      <c r="AQ619" s="746"/>
    </row>
    <row r="620">
      <c r="A620" s="1002"/>
      <c r="B620" s="1004"/>
      <c r="C620" s="1005"/>
      <c r="D620" s="645"/>
      <c r="E620" s="645"/>
      <c r="F620" s="951"/>
      <c r="G620" s="951"/>
      <c r="H620" s="951"/>
      <c r="I620" s="951"/>
      <c r="J620" s="951"/>
      <c r="K620" s="951"/>
      <c r="L620" s="951"/>
      <c r="M620" s="951"/>
      <c r="N620" s="659"/>
      <c r="O620" s="951"/>
      <c r="P620" s="951"/>
      <c r="Q620" s="659"/>
      <c r="R620" s="659"/>
      <c r="S620" s="659"/>
      <c r="T620" s="659"/>
      <c r="U620" s="659"/>
      <c r="V620" s="659"/>
      <c r="W620" s="659"/>
      <c r="X620" s="659"/>
      <c r="Y620" s="659"/>
      <c r="Z620" s="659"/>
      <c r="AA620" s="659"/>
      <c r="AB620" s="659"/>
      <c r="AC620" s="659"/>
      <c r="AD620" s="659"/>
      <c r="AE620" s="659"/>
      <c r="AF620" s="659"/>
      <c r="AG620" s="659"/>
      <c r="AH620" s="659"/>
      <c r="AI620" s="659"/>
      <c r="AJ620" s="659"/>
      <c r="AK620" s="659"/>
      <c r="AL620" s="659"/>
      <c r="AM620" s="659"/>
      <c r="AN620" s="659"/>
      <c r="AO620" s="659"/>
      <c r="AP620" s="659"/>
      <c r="AQ620" s="746"/>
    </row>
    <row r="621">
      <c r="A621" s="1002"/>
      <c r="B621" s="1004"/>
      <c r="C621" s="1005"/>
      <c r="D621" s="645"/>
      <c r="E621" s="645"/>
      <c r="F621" s="951"/>
      <c r="G621" s="951"/>
      <c r="H621" s="951"/>
      <c r="I621" s="951"/>
      <c r="J621" s="951"/>
      <c r="K621" s="951"/>
      <c r="L621" s="951"/>
      <c r="M621" s="951"/>
      <c r="N621" s="659"/>
      <c r="O621" s="951"/>
      <c r="P621" s="951"/>
      <c r="Q621" s="659"/>
      <c r="R621" s="659"/>
      <c r="S621" s="659"/>
      <c r="T621" s="659"/>
      <c r="U621" s="659"/>
      <c r="V621" s="659"/>
      <c r="W621" s="659"/>
      <c r="X621" s="659"/>
      <c r="Y621" s="659"/>
      <c r="Z621" s="659"/>
      <c r="AA621" s="659"/>
      <c r="AB621" s="659"/>
      <c r="AC621" s="659"/>
      <c r="AD621" s="659"/>
      <c r="AE621" s="659"/>
      <c r="AF621" s="659"/>
      <c r="AG621" s="659"/>
      <c r="AH621" s="659"/>
      <c r="AI621" s="659"/>
      <c r="AJ621" s="659"/>
      <c r="AK621" s="659"/>
      <c r="AL621" s="659"/>
      <c r="AM621" s="659"/>
      <c r="AN621" s="659"/>
      <c r="AO621" s="659"/>
      <c r="AP621" s="659"/>
      <c r="AQ621" s="746"/>
    </row>
    <row r="622">
      <c r="A622" s="1002"/>
      <c r="B622" s="1004"/>
      <c r="C622" s="1005"/>
      <c r="D622" s="645"/>
      <c r="E622" s="645"/>
      <c r="F622" s="951"/>
      <c r="G622" s="951"/>
      <c r="H622" s="951"/>
      <c r="I622" s="951"/>
      <c r="J622" s="951"/>
      <c r="K622" s="951"/>
      <c r="L622" s="951"/>
      <c r="M622" s="951"/>
      <c r="N622" s="659"/>
      <c r="O622" s="951"/>
      <c r="P622" s="951"/>
      <c r="Q622" s="659"/>
      <c r="R622" s="659"/>
      <c r="S622" s="659"/>
      <c r="T622" s="659"/>
      <c r="U622" s="659"/>
      <c r="V622" s="659"/>
      <c r="W622" s="659"/>
      <c r="X622" s="659"/>
      <c r="Y622" s="659"/>
      <c r="Z622" s="659"/>
      <c r="AA622" s="659"/>
      <c r="AB622" s="659"/>
      <c r="AC622" s="659"/>
      <c r="AD622" s="659"/>
      <c r="AE622" s="659"/>
      <c r="AF622" s="659"/>
      <c r="AG622" s="659"/>
      <c r="AH622" s="659"/>
      <c r="AI622" s="659"/>
      <c r="AJ622" s="659"/>
      <c r="AK622" s="659"/>
      <c r="AL622" s="659"/>
      <c r="AM622" s="659"/>
      <c r="AN622" s="659"/>
      <c r="AO622" s="659"/>
      <c r="AP622" s="659"/>
      <c r="AQ622" s="746"/>
    </row>
    <row r="623">
      <c r="A623" s="1002"/>
      <c r="B623" s="1004"/>
      <c r="C623" s="1005"/>
      <c r="D623" s="645"/>
      <c r="E623" s="645"/>
      <c r="F623" s="951"/>
      <c r="G623" s="951"/>
      <c r="H623" s="951"/>
      <c r="I623" s="951"/>
      <c r="J623" s="951"/>
      <c r="K623" s="951"/>
      <c r="L623" s="951"/>
      <c r="M623" s="951"/>
      <c r="N623" s="659"/>
      <c r="O623" s="951"/>
      <c r="P623" s="951"/>
      <c r="Q623" s="659"/>
      <c r="R623" s="659"/>
      <c r="S623" s="659"/>
      <c r="T623" s="659"/>
      <c r="U623" s="659"/>
      <c r="V623" s="659"/>
      <c r="W623" s="659"/>
      <c r="X623" s="659"/>
      <c r="Y623" s="659"/>
      <c r="Z623" s="659"/>
      <c r="AA623" s="659"/>
      <c r="AB623" s="659"/>
      <c r="AC623" s="659"/>
      <c r="AD623" s="659"/>
      <c r="AE623" s="659"/>
      <c r="AF623" s="659"/>
      <c r="AG623" s="659"/>
      <c r="AH623" s="659"/>
      <c r="AI623" s="659"/>
      <c r="AJ623" s="659"/>
      <c r="AK623" s="659"/>
      <c r="AL623" s="659"/>
      <c r="AM623" s="659"/>
      <c r="AN623" s="659"/>
      <c r="AO623" s="659"/>
      <c r="AP623" s="659"/>
      <c r="AQ623" s="746"/>
    </row>
    <row r="624">
      <c r="A624" s="1002"/>
      <c r="B624" s="1004"/>
      <c r="C624" s="1005"/>
      <c r="D624" s="645"/>
      <c r="E624" s="645"/>
      <c r="F624" s="951"/>
      <c r="G624" s="951"/>
      <c r="H624" s="951"/>
      <c r="I624" s="951"/>
      <c r="J624" s="951"/>
      <c r="K624" s="951"/>
      <c r="L624" s="951"/>
      <c r="M624" s="951"/>
      <c r="N624" s="659"/>
      <c r="O624" s="951"/>
      <c r="P624" s="951"/>
      <c r="Q624" s="659"/>
      <c r="R624" s="659"/>
      <c r="S624" s="659"/>
      <c r="T624" s="659"/>
      <c r="U624" s="659"/>
      <c r="V624" s="659"/>
      <c r="W624" s="659"/>
      <c r="X624" s="659"/>
      <c r="Y624" s="659"/>
      <c r="Z624" s="659"/>
      <c r="AA624" s="659"/>
      <c r="AB624" s="659"/>
      <c r="AC624" s="659"/>
      <c r="AD624" s="659"/>
      <c r="AE624" s="659"/>
      <c r="AF624" s="659"/>
      <c r="AG624" s="659"/>
      <c r="AH624" s="659"/>
      <c r="AI624" s="659"/>
      <c r="AJ624" s="659"/>
      <c r="AK624" s="659"/>
      <c r="AL624" s="659"/>
      <c r="AM624" s="659"/>
      <c r="AN624" s="659"/>
      <c r="AO624" s="659"/>
      <c r="AP624" s="659"/>
      <c r="AQ624" s="746"/>
    </row>
    <row r="625">
      <c r="A625" s="1002"/>
      <c r="B625" s="1004"/>
      <c r="C625" s="1005"/>
      <c r="D625" s="645"/>
      <c r="E625" s="645"/>
      <c r="F625" s="951"/>
      <c r="G625" s="951"/>
      <c r="H625" s="951"/>
      <c r="I625" s="951"/>
      <c r="J625" s="951"/>
      <c r="K625" s="951"/>
      <c r="L625" s="951"/>
      <c r="M625" s="951"/>
      <c r="N625" s="659"/>
      <c r="O625" s="951"/>
      <c r="P625" s="951"/>
      <c r="Q625" s="659"/>
      <c r="R625" s="659"/>
      <c r="S625" s="659"/>
      <c r="T625" s="659"/>
      <c r="U625" s="659"/>
      <c r="V625" s="659"/>
      <c r="W625" s="659"/>
      <c r="X625" s="659"/>
      <c r="Y625" s="659"/>
      <c r="Z625" s="659"/>
      <c r="AA625" s="659"/>
      <c r="AB625" s="659"/>
      <c r="AC625" s="659"/>
      <c r="AD625" s="659"/>
      <c r="AE625" s="659"/>
      <c r="AF625" s="659"/>
      <c r="AG625" s="659"/>
      <c r="AH625" s="659"/>
      <c r="AI625" s="659"/>
      <c r="AJ625" s="659"/>
      <c r="AK625" s="659"/>
      <c r="AL625" s="659"/>
      <c r="AM625" s="659"/>
      <c r="AN625" s="659"/>
      <c r="AO625" s="659"/>
      <c r="AP625" s="659"/>
      <c r="AQ625" s="746"/>
    </row>
    <row r="626">
      <c r="A626" s="1002"/>
      <c r="B626" s="1004"/>
      <c r="C626" s="1005"/>
      <c r="D626" s="645"/>
      <c r="E626" s="645"/>
      <c r="F626" s="951"/>
      <c r="G626" s="951"/>
      <c r="H626" s="951"/>
      <c r="I626" s="951"/>
      <c r="J626" s="951"/>
      <c r="K626" s="951"/>
      <c r="L626" s="951"/>
      <c r="M626" s="951"/>
      <c r="N626" s="659"/>
      <c r="O626" s="951"/>
      <c r="P626" s="951"/>
      <c r="Q626" s="659"/>
      <c r="R626" s="659"/>
      <c r="S626" s="659"/>
      <c r="T626" s="659"/>
      <c r="U626" s="659"/>
      <c r="V626" s="659"/>
      <c r="W626" s="659"/>
      <c r="X626" s="659"/>
      <c r="Y626" s="659"/>
      <c r="Z626" s="659"/>
      <c r="AA626" s="659"/>
      <c r="AB626" s="659"/>
      <c r="AC626" s="659"/>
      <c r="AD626" s="659"/>
      <c r="AE626" s="659"/>
      <c r="AF626" s="659"/>
      <c r="AG626" s="659"/>
      <c r="AH626" s="659"/>
      <c r="AI626" s="659"/>
      <c r="AJ626" s="659"/>
      <c r="AK626" s="659"/>
      <c r="AL626" s="659"/>
      <c r="AM626" s="659"/>
      <c r="AN626" s="659"/>
      <c r="AO626" s="659"/>
      <c r="AP626" s="659"/>
      <c r="AQ626" s="746"/>
    </row>
    <row r="627">
      <c r="A627" s="1002"/>
      <c r="B627" s="1004"/>
      <c r="C627" s="1005"/>
      <c r="D627" s="645"/>
      <c r="E627" s="645"/>
      <c r="F627" s="951"/>
      <c r="G627" s="951"/>
      <c r="H627" s="951"/>
      <c r="I627" s="951"/>
      <c r="J627" s="951"/>
      <c r="K627" s="951"/>
      <c r="L627" s="951"/>
      <c r="M627" s="951"/>
      <c r="N627" s="659"/>
      <c r="O627" s="951"/>
      <c r="P627" s="951"/>
      <c r="Q627" s="659"/>
      <c r="R627" s="659"/>
      <c r="S627" s="659"/>
      <c r="T627" s="659"/>
      <c r="U627" s="659"/>
      <c r="V627" s="659"/>
      <c r="W627" s="659"/>
      <c r="X627" s="659"/>
      <c r="Y627" s="659"/>
      <c r="Z627" s="659"/>
      <c r="AA627" s="659"/>
      <c r="AB627" s="659"/>
      <c r="AC627" s="659"/>
      <c r="AD627" s="659"/>
      <c r="AE627" s="659"/>
      <c r="AF627" s="659"/>
      <c r="AG627" s="659"/>
      <c r="AH627" s="659"/>
      <c r="AI627" s="659"/>
      <c r="AJ627" s="659"/>
      <c r="AK627" s="659"/>
      <c r="AL627" s="659"/>
      <c r="AM627" s="659"/>
      <c r="AN627" s="659"/>
      <c r="AO627" s="659"/>
      <c r="AP627" s="659"/>
      <c r="AQ627" s="746"/>
    </row>
    <row r="628">
      <c r="A628" s="1002"/>
      <c r="B628" s="1004"/>
      <c r="C628" s="1005"/>
      <c r="D628" s="645"/>
      <c r="E628" s="645"/>
      <c r="F628" s="951"/>
      <c r="G628" s="951"/>
      <c r="H628" s="951"/>
      <c r="I628" s="951"/>
      <c r="J628" s="951"/>
      <c r="K628" s="951"/>
      <c r="L628" s="951"/>
      <c r="M628" s="951"/>
      <c r="N628" s="659"/>
      <c r="O628" s="951"/>
      <c r="P628" s="951"/>
      <c r="Q628" s="659"/>
      <c r="R628" s="659"/>
      <c r="S628" s="659"/>
      <c r="T628" s="659"/>
      <c r="U628" s="659"/>
      <c r="V628" s="659"/>
      <c r="W628" s="659"/>
      <c r="X628" s="659"/>
      <c r="Y628" s="659"/>
      <c r="Z628" s="659"/>
      <c r="AA628" s="659"/>
      <c r="AB628" s="659"/>
      <c r="AC628" s="659"/>
      <c r="AD628" s="659"/>
      <c r="AE628" s="659"/>
      <c r="AF628" s="659"/>
      <c r="AG628" s="659"/>
      <c r="AH628" s="659"/>
      <c r="AI628" s="659"/>
      <c r="AJ628" s="659"/>
      <c r="AK628" s="659"/>
      <c r="AL628" s="659"/>
      <c r="AM628" s="659"/>
      <c r="AN628" s="659"/>
      <c r="AO628" s="659"/>
      <c r="AP628" s="659"/>
      <c r="AQ628" s="746"/>
    </row>
    <row r="629">
      <c r="A629" s="1002"/>
      <c r="B629" s="1004"/>
      <c r="C629" s="1005"/>
      <c r="D629" s="645"/>
      <c r="E629" s="645"/>
      <c r="F629" s="951"/>
      <c r="G629" s="951"/>
      <c r="H629" s="951"/>
      <c r="I629" s="951"/>
      <c r="J629" s="951"/>
      <c r="K629" s="951"/>
      <c r="L629" s="951"/>
      <c r="M629" s="951"/>
      <c r="N629" s="659"/>
      <c r="O629" s="951"/>
      <c r="P629" s="951"/>
      <c r="Q629" s="659"/>
      <c r="R629" s="659"/>
      <c r="S629" s="659"/>
      <c r="T629" s="659"/>
      <c r="U629" s="659"/>
      <c r="V629" s="659"/>
      <c r="W629" s="659"/>
      <c r="X629" s="659"/>
      <c r="Y629" s="659"/>
      <c r="Z629" s="659"/>
      <c r="AA629" s="659"/>
      <c r="AB629" s="659"/>
      <c r="AC629" s="659"/>
      <c r="AD629" s="659"/>
      <c r="AE629" s="659"/>
      <c r="AF629" s="659"/>
      <c r="AG629" s="659"/>
      <c r="AH629" s="659"/>
      <c r="AI629" s="659"/>
      <c r="AJ629" s="659"/>
      <c r="AK629" s="659"/>
      <c r="AL629" s="659"/>
      <c r="AM629" s="659"/>
      <c r="AN629" s="659"/>
      <c r="AO629" s="659"/>
      <c r="AP629" s="659"/>
      <c r="AQ629" s="746"/>
    </row>
    <row r="630">
      <c r="A630" s="1002"/>
      <c r="B630" s="1004"/>
      <c r="C630" s="1005"/>
      <c r="D630" s="645"/>
      <c r="E630" s="645"/>
      <c r="F630" s="951"/>
      <c r="G630" s="951"/>
      <c r="H630" s="951"/>
      <c r="I630" s="951"/>
      <c r="J630" s="951"/>
      <c r="K630" s="951"/>
      <c r="L630" s="951"/>
      <c r="M630" s="951"/>
      <c r="N630" s="659"/>
      <c r="O630" s="951"/>
      <c r="P630" s="951"/>
      <c r="Q630" s="659"/>
      <c r="R630" s="659"/>
      <c r="S630" s="659"/>
      <c r="T630" s="659"/>
      <c r="U630" s="659"/>
      <c r="V630" s="659"/>
      <c r="W630" s="659"/>
      <c r="X630" s="659"/>
      <c r="Y630" s="659"/>
      <c r="Z630" s="659"/>
      <c r="AA630" s="659"/>
      <c r="AB630" s="659"/>
      <c r="AC630" s="659"/>
      <c r="AD630" s="659"/>
      <c r="AE630" s="659"/>
      <c r="AF630" s="659"/>
      <c r="AG630" s="659"/>
      <c r="AH630" s="659"/>
      <c r="AI630" s="659"/>
      <c r="AJ630" s="659"/>
      <c r="AK630" s="659"/>
      <c r="AL630" s="659"/>
      <c r="AM630" s="659"/>
      <c r="AN630" s="659"/>
      <c r="AO630" s="659"/>
      <c r="AP630" s="659"/>
      <c r="AQ630" s="746"/>
    </row>
    <row r="631">
      <c r="A631" s="1002"/>
      <c r="B631" s="1004"/>
      <c r="C631" s="1005"/>
      <c r="D631" s="645"/>
      <c r="E631" s="645"/>
      <c r="F631" s="951"/>
      <c r="G631" s="951"/>
      <c r="H631" s="951"/>
      <c r="I631" s="951"/>
      <c r="J631" s="951"/>
      <c r="K631" s="951"/>
      <c r="L631" s="951"/>
      <c r="M631" s="951"/>
      <c r="N631" s="659"/>
      <c r="O631" s="951"/>
      <c r="P631" s="951"/>
      <c r="Q631" s="659"/>
      <c r="R631" s="659"/>
      <c r="S631" s="659"/>
      <c r="T631" s="659"/>
      <c r="U631" s="659"/>
      <c r="V631" s="659"/>
      <c r="W631" s="659"/>
      <c r="X631" s="659"/>
      <c r="Y631" s="659"/>
      <c r="Z631" s="659"/>
      <c r="AA631" s="659"/>
      <c r="AB631" s="659"/>
      <c r="AC631" s="659"/>
      <c r="AD631" s="659"/>
      <c r="AE631" s="659"/>
      <c r="AF631" s="659"/>
      <c r="AG631" s="659"/>
      <c r="AH631" s="659"/>
      <c r="AI631" s="659"/>
      <c r="AJ631" s="659"/>
      <c r="AK631" s="659"/>
      <c r="AL631" s="659"/>
      <c r="AM631" s="659"/>
      <c r="AN631" s="659"/>
      <c r="AO631" s="659"/>
      <c r="AP631" s="659"/>
      <c r="AQ631" s="746"/>
    </row>
    <row r="632">
      <c r="A632" s="1002"/>
      <c r="B632" s="1004"/>
      <c r="C632" s="1005"/>
      <c r="D632" s="645"/>
      <c r="E632" s="645"/>
      <c r="F632" s="951"/>
      <c r="G632" s="951"/>
      <c r="H632" s="951"/>
      <c r="I632" s="951"/>
      <c r="J632" s="951"/>
      <c r="K632" s="951"/>
      <c r="L632" s="951"/>
      <c r="M632" s="951"/>
      <c r="N632" s="659"/>
      <c r="O632" s="951"/>
      <c r="P632" s="951"/>
      <c r="Q632" s="659"/>
      <c r="R632" s="659"/>
      <c r="S632" s="659"/>
      <c r="T632" s="659"/>
      <c r="U632" s="659"/>
      <c r="V632" s="659"/>
      <c r="W632" s="659"/>
      <c r="X632" s="659"/>
      <c r="Y632" s="659"/>
      <c r="Z632" s="659"/>
      <c r="AA632" s="659"/>
      <c r="AB632" s="659"/>
      <c r="AC632" s="659"/>
      <c r="AD632" s="659"/>
      <c r="AE632" s="659"/>
      <c r="AF632" s="659"/>
      <c r="AG632" s="659"/>
      <c r="AH632" s="659"/>
      <c r="AI632" s="659"/>
      <c r="AJ632" s="659"/>
      <c r="AK632" s="659"/>
      <c r="AL632" s="659"/>
      <c r="AM632" s="659"/>
      <c r="AN632" s="659"/>
      <c r="AO632" s="659"/>
      <c r="AP632" s="659"/>
      <c r="AQ632" s="746"/>
    </row>
    <row r="633">
      <c r="A633" s="1002"/>
      <c r="B633" s="1004"/>
      <c r="C633" s="1005"/>
      <c r="D633" s="645"/>
      <c r="E633" s="645"/>
      <c r="F633" s="951"/>
      <c r="G633" s="951"/>
      <c r="H633" s="951"/>
      <c r="I633" s="951"/>
      <c r="J633" s="951"/>
      <c r="K633" s="951"/>
      <c r="L633" s="951"/>
      <c r="M633" s="951"/>
      <c r="N633" s="659"/>
      <c r="O633" s="951"/>
      <c r="P633" s="951"/>
      <c r="Q633" s="659"/>
      <c r="R633" s="659"/>
      <c r="S633" s="659"/>
      <c r="T633" s="659"/>
      <c r="U633" s="659"/>
      <c r="V633" s="659"/>
      <c r="W633" s="659"/>
      <c r="X633" s="659"/>
      <c r="Y633" s="659"/>
      <c r="Z633" s="659"/>
      <c r="AA633" s="659"/>
      <c r="AB633" s="659"/>
      <c r="AC633" s="659"/>
      <c r="AD633" s="659"/>
      <c r="AE633" s="659"/>
      <c r="AF633" s="659"/>
      <c r="AG633" s="659"/>
      <c r="AH633" s="659"/>
      <c r="AI633" s="659"/>
      <c r="AJ633" s="659"/>
      <c r="AK633" s="659"/>
      <c r="AL633" s="659"/>
      <c r="AM633" s="659"/>
      <c r="AN633" s="659"/>
      <c r="AO633" s="659"/>
      <c r="AP633" s="659"/>
      <c r="AQ633" s="746"/>
    </row>
    <row r="634">
      <c r="A634" s="1002"/>
      <c r="B634" s="1004"/>
      <c r="C634" s="1005"/>
      <c r="D634" s="645"/>
      <c r="E634" s="645"/>
      <c r="F634" s="951"/>
      <c r="G634" s="951"/>
      <c r="H634" s="951"/>
      <c r="I634" s="951"/>
      <c r="J634" s="951"/>
      <c r="K634" s="951"/>
      <c r="L634" s="951"/>
      <c r="M634" s="951"/>
      <c r="N634" s="659"/>
      <c r="O634" s="951"/>
      <c r="P634" s="951"/>
      <c r="Q634" s="659"/>
      <c r="R634" s="659"/>
      <c r="S634" s="659"/>
      <c r="T634" s="659"/>
      <c r="U634" s="659"/>
      <c r="V634" s="659"/>
      <c r="W634" s="659"/>
      <c r="X634" s="659"/>
      <c r="Y634" s="659"/>
      <c r="Z634" s="659"/>
      <c r="AA634" s="659"/>
      <c r="AB634" s="659"/>
      <c r="AC634" s="659"/>
      <c r="AD634" s="659"/>
      <c r="AE634" s="659"/>
      <c r="AF634" s="659"/>
      <c r="AG634" s="659"/>
      <c r="AH634" s="659"/>
      <c r="AI634" s="659"/>
      <c r="AJ634" s="659"/>
      <c r="AK634" s="659"/>
      <c r="AL634" s="659"/>
      <c r="AM634" s="659"/>
      <c r="AN634" s="659"/>
      <c r="AO634" s="659"/>
      <c r="AP634" s="659"/>
      <c r="AQ634" s="746"/>
    </row>
    <row r="635">
      <c r="A635" s="1002"/>
      <c r="B635" s="1004"/>
      <c r="C635" s="1005"/>
      <c r="D635" s="645"/>
      <c r="E635" s="645"/>
      <c r="F635" s="951"/>
      <c r="G635" s="951"/>
      <c r="H635" s="951"/>
      <c r="I635" s="951"/>
      <c r="J635" s="951"/>
      <c r="K635" s="951"/>
      <c r="L635" s="951"/>
      <c r="M635" s="951"/>
      <c r="N635" s="659"/>
      <c r="O635" s="951"/>
      <c r="P635" s="951"/>
      <c r="Q635" s="659"/>
      <c r="R635" s="659"/>
      <c r="S635" s="659"/>
      <c r="T635" s="659"/>
      <c r="U635" s="659"/>
      <c r="V635" s="659"/>
      <c r="W635" s="659"/>
      <c r="X635" s="659"/>
      <c r="Y635" s="659"/>
      <c r="Z635" s="659"/>
      <c r="AA635" s="659"/>
      <c r="AB635" s="659"/>
      <c r="AC635" s="659"/>
      <c r="AD635" s="659"/>
      <c r="AE635" s="659"/>
      <c r="AF635" s="659"/>
      <c r="AG635" s="659"/>
      <c r="AH635" s="659"/>
      <c r="AI635" s="659"/>
      <c r="AJ635" s="659"/>
      <c r="AK635" s="659"/>
      <c r="AL635" s="659"/>
      <c r="AM635" s="659"/>
      <c r="AN635" s="659"/>
      <c r="AO635" s="659"/>
      <c r="AP635" s="659"/>
      <c r="AQ635" s="746"/>
    </row>
    <row r="636">
      <c r="A636" s="1002"/>
      <c r="B636" s="1004"/>
      <c r="C636" s="1005"/>
      <c r="D636" s="645"/>
      <c r="E636" s="645"/>
      <c r="F636" s="951"/>
      <c r="G636" s="951"/>
      <c r="H636" s="951"/>
      <c r="I636" s="951"/>
      <c r="J636" s="951"/>
      <c r="K636" s="951"/>
      <c r="L636" s="951"/>
      <c r="M636" s="951"/>
      <c r="N636" s="659"/>
      <c r="O636" s="951"/>
      <c r="P636" s="951"/>
      <c r="Q636" s="659"/>
      <c r="R636" s="659"/>
      <c r="S636" s="659"/>
      <c r="T636" s="659"/>
      <c r="U636" s="659"/>
      <c r="V636" s="659"/>
      <c r="W636" s="659"/>
      <c r="X636" s="659"/>
      <c r="Y636" s="659"/>
      <c r="Z636" s="659"/>
      <c r="AA636" s="659"/>
      <c r="AB636" s="659"/>
      <c r="AC636" s="659"/>
      <c r="AD636" s="659"/>
      <c r="AE636" s="659"/>
      <c r="AF636" s="659"/>
      <c r="AG636" s="659"/>
      <c r="AH636" s="659"/>
      <c r="AI636" s="659"/>
      <c r="AJ636" s="659"/>
      <c r="AK636" s="659"/>
      <c r="AL636" s="659"/>
      <c r="AM636" s="659"/>
      <c r="AN636" s="659"/>
      <c r="AO636" s="659"/>
      <c r="AP636" s="659"/>
      <c r="AQ636" s="746"/>
    </row>
    <row r="637">
      <c r="A637" s="1002"/>
      <c r="B637" s="1004"/>
      <c r="C637" s="1005"/>
      <c r="D637" s="645"/>
      <c r="E637" s="645"/>
      <c r="F637" s="951"/>
      <c r="G637" s="951"/>
      <c r="H637" s="951"/>
      <c r="I637" s="951"/>
      <c r="J637" s="951"/>
      <c r="K637" s="951"/>
      <c r="L637" s="951"/>
      <c r="M637" s="951"/>
      <c r="N637" s="659"/>
      <c r="O637" s="951"/>
      <c r="P637" s="951"/>
      <c r="Q637" s="659"/>
      <c r="R637" s="659"/>
      <c r="S637" s="659"/>
      <c r="T637" s="659"/>
      <c r="U637" s="659"/>
      <c r="V637" s="659"/>
      <c r="W637" s="659"/>
      <c r="X637" s="659"/>
      <c r="Y637" s="659"/>
      <c r="Z637" s="659"/>
      <c r="AA637" s="659"/>
      <c r="AB637" s="659"/>
      <c r="AC637" s="659"/>
      <c r="AD637" s="659"/>
      <c r="AE637" s="659"/>
      <c r="AF637" s="659"/>
      <c r="AG637" s="659"/>
      <c r="AH637" s="659"/>
      <c r="AI637" s="659"/>
      <c r="AJ637" s="659"/>
      <c r="AK637" s="659"/>
      <c r="AL637" s="659"/>
      <c r="AM637" s="659"/>
      <c r="AN637" s="659"/>
      <c r="AO637" s="659"/>
      <c r="AP637" s="659"/>
      <c r="AQ637" s="746"/>
    </row>
    <row r="638">
      <c r="A638" s="1002"/>
      <c r="B638" s="1004"/>
      <c r="C638" s="1005"/>
      <c r="D638" s="645"/>
      <c r="E638" s="645"/>
      <c r="F638" s="951"/>
      <c r="G638" s="951"/>
      <c r="H638" s="951"/>
      <c r="I638" s="951"/>
      <c r="J638" s="951"/>
      <c r="K638" s="951"/>
      <c r="L638" s="951"/>
      <c r="M638" s="951"/>
      <c r="N638" s="659"/>
      <c r="O638" s="951"/>
      <c r="P638" s="951"/>
      <c r="Q638" s="659"/>
      <c r="R638" s="659"/>
      <c r="S638" s="659"/>
      <c r="T638" s="659"/>
      <c r="U638" s="659"/>
      <c r="V638" s="659"/>
      <c r="W638" s="659"/>
      <c r="X638" s="659"/>
      <c r="Y638" s="659"/>
      <c r="Z638" s="659"/>
      <c r="AA638" s="659"/>
      <c r="AB638" s="659"/>
      <c r="AC638" s="659"/>
      <c r="AD638" s="659"/>
      <c r="AE638" s="659"/>
      <c r="AF638" s="659"/>
      <c r="AG638" s="659"/>
      <c r="AH638" s="659"/>
      <c r="AI638" s="659"/>
      <c r="AJ638" s="659"/>
      <c r="AK638" s="659"/>
      <c r="AL638" s="659"/>
      <c r="AM638" s="659"/>
      <c r="AN638" s="659"/>
      <c r="AO638" s="659"/>
      <c r="AP638" s="659"/>
      <c r="AQ638" s="746"/>
    </row>
    <row r="639">
      <c r="A639" s="1002"/>
      <c r="B639" s="1004"/>
      <c r="C639" s="1005"/>
      <c r="D639" s="645"/>
      <c r="E639" s="645"/>
      <c r="F639" s="951"/>
      <c r="G639" s="951"/>
      <c r="H639" s="951"/>
      <c r="I639" s="951"/>
      <c r="J639" s="951"/>
      <c r="K639" s="951"/>
      <c r="L639" s="951"/>
      <c r="M639" s="951"/>
      <c r="N639" s="659"/>
      <c r="O639" s="951"/>
      <c r="P639" s="951"/>
      <c r="Q639" s="659"/>
      <c r="R639" s="659"/>
      <c r="S639" s="659"/>
      <c r="T639" s="659"/>
      <c r="U639" s="659"/>
      <c r="V639" s="659"/>
      <c r="W639" s="659"/>
      <c r="X639" s="659"/>
      <c r="Y639" s="659"/>
      <c r="Z639" s="659"/>
      <c r="AA639" s="659"/>
      <c r="AB639" s="659"/>
      <c r="AC639" s="659"/>
      <c r="AD639" s="659"/>
      <c r="AE639" s="659"/>
      <c r="AF639" s="659"/>
      <c r="AG639" s="659"/>
      <c r="AH639" s="659"/>
      <c r="AI639" s="659"/>
      <c r="AJ639" s="659"/>
      <c r="AK639" s="659"/>
      <c r="AL639" s="659"/>
      <c r="AM639" s="659"/>
      <c r="AN639" s="659"/>
      <c r="AO639" s="659"/>
      <c r="AP639" s="659"/>
      <c r="AQ639" s="746"/>
    </row>
    <row r="640">
      <c r="A640" s="1002"/>
      <c r="B640" s="1004"/>
      <c r="C640" s="1005"/>
      <c r="D640" s="645"/>
      <c r="E640" s="645"/>
      <c r="F640" s="951"/>
      <c r="G640" s="951"/>
      <c r="H640" s="951"/>
      <c r="I640" s="951"/>
      <c r="J640" s="951"/>
      <c r="K640" s="951"/>
      <c r="L640" s="951"/>
      <c r="M640" s="951"/>
      <c r="N640" s="659"/>
      <c r="O640" s="951"/>
      <c r="P640" s="951"/>
      <c r="Q640" s="659"/>
      <c r="R640" s="659"/>
      <c r="S640" s="659"/>
      <c r="T640" s="659"/>
      <c r="U640" s="659"/>
      <c r="V640" s="659"/>
      <c r="W640" s="659"/>
      <c r="X640" s="659"/>
      <c r="Y640" s="659"/>
      <c r="Z640" s="659"/>
      <c r="AA640" s="659"/>
      <c r="AB640" s="659"/>
      <c r="AC640" s="659"/>
      <c r="AD640" s="659"/>
      <c r="AE640" s="659"/>
      <c r="AF640" s="659"/>
      <c r="AG640" s="659"/>
      <c r="AH640" s="659"/>
      <c r="AI640" s="659"/>
      <c r="AJ640" s="659"/>
      <c r="AK640" s="659"/>
      <c r="AL640" s="659"/>
      <c r="AM640" s="659"/>
      <c r="AN640" s="659"/>
      <c r="AO640" s="659"/>
      <c r="AP640" s="659"/>
      <c r="AQ640" s="746"/>
    </row>
    <row r="641">
      <c r="A641" s="1002"/>
      <c r="B641" s="1004"/>
      <c r="C641" s="1005"/>
      <c r="D641" s="645"/>
      <c r="E641" s="645"/>
      <c r="F641" s="951"/>
      <c r="G641" s="951"/>
      <c r="H641" s="951"/>
      <c r="I641" s="951"/>
      <c r="J641" s="951"/>
      <c r="K641" s="951"/>
      <c r="L641" s="951"/>
      <c r="M641" s="951"/>
      <c r="N641" s="659"/>
      <c r="O641" s="951"/>
      <c r="P641" s="951"/>
      <c r="Q641" s="659"/>
      <c r="R641" s="659"/>
      <c r="S641" s="659"/>
      <c r="T641" s="659"/>
      <c r="U641" s="659"/>
      <c r="V641" s="659"/>
      <c r="W641" s="659"/>
      <c r="X641" s="659"/>
      <c r="Y641" s="659"/>
      <c r="Z641" s="659"/>
      <c r="AA641" s="659"/>
      <c r="AB641" s="659"/>
      <c r="AC641" s="659"/>
      <c r="AD641" s="659"/>
      <c r="AE641" s="659"/>
      <c r="AF641" s="659"/>
      <c r="AG641" s="659"/>
      <c r="AH641" s="659"/>
      <c r="AI641" s="659"/>
      <c r="AJ641" s="659"/>
      <c r="AK641" s="659"/>
      <c r="AL641" s="659"/>
      <c r="AM641" s="659"/>
      <c r="AN641" s="659"/>
      <c r="AO641" s="659"/>
      <c r="AP641" s="659"/>
      <c r="AQ641" s="746"/>
    </row>
    <row r="642">
      <c r="A642" s="1002"/>
      <c r="B642" s="1004"/>
      <c r="C642" s="1005"/>
      <c r="D642" s="645"/>
      <c r="E642" s="645"/>
      <c r="F642" s="951"/>
      <c r="G642" s="951"/>
      <c r="H642" s="951"/>
      <c r="I642" s="951"/>
      <c r="J642" s="951"/>
      <c r="K642" s="951"/>
      <c r="L642" s="951"/>
      <c r="M642" s="951"/>
      <c r="N642" s="659"/>
      <c r="O642" s="951"/>
      <c r="P642" s="951"/>
      <c r="Q642" s="659"/>
      <c r="R642" s="659"/>
      <c r="S642" s="659"/>
      <c r="T642" s="659"/>
      <c r="U642" s="659"/>
      <c r="V642" s="659"/>
      <c r="W642" s="659"/>
      <c r="X642" s="659"/>
      <c r="Y642" s="659"/>
      <c r="Z642" s="659"/>
      <c r="AA642" s="659"/>
      <c r="AB642" s="659"/>
      <c r="AC642" s="659"/>
      <c r="AD642" s="659"/>
      <c r="AE642" s="659"/>
      <c r="AF642" s="659"/>
      <c r="AG642" s="659"/>
      <c r="AH642" s="659"/>
      <c r="AI642" s="659"/>
      <c r="AJ642" s="659"/>
      <c r="AK642" s="659"/>
      <c r="AL642" s="659"/>
      <c r="AM642" s="659"/>
      <c r="AN642" s="659"/>
      <c r="AO642" s="659"/>
      <c r="AP642" s="659"/>
      <c r="AQ642" s="746"/>
    </row>
    <row r="643">
      <c r="A643" s="1002"/>
      <c r="B643" s="1004"/>
      <c r="C643" s="1005"/>
      <c r="D643" s="645"/>
      <c r="E643" s="645"/>
      <c r="F643" s="951"/>
      <c r="G643" s="951"/>
      <c r="H643" s="951"/>
      <c r="I643" s="951"/>
      <c r="J643" s="951"/>
      <c r="K643" s="951"/>
      <c r="L643" s="951"/>
      <c r="M643" s="951"/>
      <c r="N643" s="659"/>
      <c r="O643" s="951"/>
      <c r="P643" s="951"/>
      <c r="Q643" s="659"/>
      <c r="R643" s="659"/>
      <c r="S643" s="659"/>
      <c r="T643" s="659"/>
      <c r="U643" s="659"/>
      <c r="V643" s="659"/>
      <c r="W643" s="659"/>
      <c r="X643" s="659"/>
      <c r="Y643" s="659"/>
      <c r="Z643" s="659"/>
      <c r="AA643" s="659"/>
      <c r="AB643" s="659"/>
      <c r="AC643" s="659"/>
      <c r="AD643" s="659"/>
      <c r="AE643" s="659"/>
      <c r="AF643" s="659"/>
      <c r="AG643" s="659"/>
      <c r="AH643" s="659"/>
      <c r="AI643" s="659"/>
      <c r="AJ643" s="659"/>
      <c r="AK643" s="659"/>
      <c r="AL643" s="659"/>
      <c r="AM643" s="659"/>
      <c r="AN643" s="659"/>
      <c r="AO643" s="659"/>
      <c r="AP643" s="659"/>
      <c r="AQ643" s="746"/>
    </row>
    <row r="644">
      <c r="A644" s="1002"/>
      <c r="B644" s="1004"/>
      <c r="C644" s="1005"/>
      <c r="D644" s="645"/>
      <c r="E644" s="645"/>
      <c r="F644" s="951"/>
      <c r="G644" s="951"/>
      <c r="H644" s="951"/>
      <c r="I644" s="951"/>
      <c r="J644" s="951"/>
      <c r="K644" s="951"/>
      <c r="L644" s="951"/>
      <c r="M644" s="951"/>
      <c r="N644" s="659"/>
      <c r="O644" s="951"/>
      <c r="P644" s="951"/>
      <c r="Q644" s="659"/>
      <c r="R644" s="659"/>
      <c r="S644" s="659"/>
      <c r="T644" s="659"/>
      <c r="U644" s="659"/>
      <c r="V644" s="659"/>
      <c r="W644" s="659"/>
      <c r="X644" s="659"/>
      <c r="Y644" s="659"/>
      <c r="Z644" s="659"/>
      <c r="AA644" s="659"/>
      <c r="AB644" s="659"/>
      <c r="AC644" s="659"/>
      <c r="AD644" s="659"/>
      <c r="AE644" s="659"/>
      <c r="AF644" s="659"/>
      <c r="AG644" s="659"/>
      <c r="AH644" s="659"/>
      <c r="AI644" s="659"/>
      <c r="AJ644" s="659"/>
      <c r="AK644" s="659"/>
      <c r="AL644" s="659"/>
      <c r="AM644" s="659"/>
      <c r="AN644" s="659"/>
      <c r="AO644" s="659"/>
      <c r="AP644" s="659"/>
      <c r="AQ644" s="746"/>
    </row>
    <row r="645">
      <c r="A645" s="1002"/>
      <c r="B645" s="1004"/>
      <c r="C645" s="1005"/>
      <c r="D645" s="645"/>
      <c r="E645" s="645"/>
      <c r="F645" s="951"/>
      <c r="G645" s="951"/>
      <c r="H645" s="951"/>
      <c r="I645" s="951"/>
      <c r="J645" s="951"/>
      <c r="K645" s="951"/>
      <c r="L645" s="951"/>
      <c r="M645" s="951"/>
      <c r="N645" s="659"/>
      <c r="O645" s="951"/>
      <c r="P645" s="951"/>
      <c r="Q645" s="659"/>
      <c r="R645" s="659"/>
      <c r="S645" s="659"/>
      <c r="T645" s="659"/>
      <c r="U645" s="659"/>
      <c r="V645" s="659"/>
      <c r="W645" s="659"/>
      <c r="X645" s="659"/>
      <c r="Y645" s="659"/>
      <c r="Z645" s="659"/>
      <c r="AA645" s="659"/>
      <c r="AB645" s="659"/>
      <c r="AC645" s="659"/>
      <c r="AD645" s="659"/>
      <c r="AE645" s="659"/>
      <c r="AF645" s="659"/>
      <c r="AG645" s="659"/>
      <c r="AH645" s="659"/>
      <c r="AI645" s="659"/>
      <c r="AJ645" s="659"/>
      <c r="AK645" s="659"/>
      <c r="AL645" s="659"/>
      <c r="AM645" s="659"/>
      <c r="AN645" s="659"/>
      <c r="AO645" s="659"/>
      <c r="AP645" s="659"/>
      <c r="AQ645" s="746"/>
    </row>
    <row r="646">
      <c r="A646" s="1002"/>
      <c r="B646" s="1004"/>
      <c r="C646" s="1005"/>
      <c r="D646" s="645"/>
      <c r="E646" s="645"/>
      <c r="F646" s="951"/>
      <c r="G646" s="951"/>
      <c r="H646" s="951"/>
      <c r="I646" s="951"/>
      <c r="J646" s="951"/>
      <c r="K646" s="951"/>
      <c r="L646" s="951"/>
      <c r="M646" s="951"/>
      <c r="N646" s="659"/>
      <c r="O646" s="951"/>
      <c r="P646" s="951"/>
      <c r="Q646" s="659"/>
      <c r="R646" s="659"/>
      <c r="S646" s="659"/>
      <c r="T646" s="659"/>
      <c r="U646" s="659"/>
      <c r="V646" s="659"/>
      <c r="W646" s="659"/>
      <c r="X646" s="659"/>
      <c r="Y646" s="659"/>
      <c r="Z646" s="659"/>
      <c r="AA646" s="659"/>
      <c r="AB646" s="659"/>
      <c r="AC646" s="659"/>
      <c r="AD646" s="659"/>
      <c r="AE646" s="659"/>
      <c r="AF646" s="659"/>
      <c r="AG646" s="659"/>
      <c r="AH646" s="659"/>
      <c r="AI646" s="659"/>
      <c r="AJ646" s="659"/>
      <c r="AK646" s="659"/>
      <c r="AL646" s="659"/>
      <c r="AM646" s="659"/>
      <c r="AN646" s="659"/>
      <c r="AO646" s="659"/>
      <c r="AP646" s="659"/>
      <c r="AQ646" s="746"/>
    </row>
    <row r="647">
      <c r="A647" s="1002"/>
      <c r="B647" s="1004"/>
      <c r="C647" s="1005"/>
      <c r="D647" s="645"/>
      <c r="E647" s="645"/>
      <c r="F647" s="951"/>
      <c r="G647" s="951"/>
      <c r="H647" s="951"/>
      <c r="I647" s="951"/>
      <c r="J647" s="951"/>
      <c r="K647" s="951"/>
      <c r="L647" s="951"/>
      <c r="M647" s="951"/>
      <c r="N647" s="659"/>
      <c r="O647" s="951"/>
      <c r="P647" s="951"/>
      <c r="Q647" s="659"/>
      <c r="R647" s="659"/>
      <c r="S647" s="659"/>
      <c r="T647" s="659"/>
      <c r="U647" s="659"/>
      <c r="V647" s="659"/>
      <c r="W647" s="659"/>
      <c r="X647" s="659"/>
      <c r="Y647" s="659"/>
      <c r="Z647" s="659"/>
      <c r="AA647" s="659"/>
      <c r="AB647" s="659"/>
      <c r="AC647" s="659"/>
      <c r="AD647" s="659"/>
      <c r="AE647" s="659"/>
      <c r="AF647" s="659"/>
      <c r="AG647" s="659"/>
      <c r="AH647" s="659"/>
      <c r="AI647" s="659"/>
      <c r="AJ647" s="659"/>
      <c r="AK647" s="659"/>
      <c r="AL647" s="659"/>
      <c r="AM647" s="659"/>
      <c r="AN647" s="659"/>
      <c r="AO647" s="659"/>
      <c r="AP647" s="659"/>
      <c r="AQ647" s="746"/>
    </row>
    <row r="648">
      <c r="A648" s="1002"/>
      <c r="B648" s="1004"/>
      <c r="C648" s="1005"/>
      <c r="D648" s="645"/>
      <c r="E648" s="645"/>
      <c r="F648" s="951"/>
      <c r="G648" s="951"/>
      <c r="H648" s="951"/>
      <c r="I648" s="951"/>
      <c r="J648" s="951"/>
      <c r="K648" s="951"/>
      <c r="L648" s="951"/>
      <c r="M648" s="951"/>
      <c r="N648" s="659"/>
      <c r="O648" s="951"/>
      <c r="P648" s="951"/>
      <c r="Q648" s="659"/>
      <c r="R648" s="659"/>
      <c r="S648" s="659"/>
      <c r="T648" s="659"/>
      <c r="U648" s="659"/>
      <c r="V648" s="659"/>
      <c r="W648" s="659"/>
      <c r="X648" s="659"/>
      <c r="Y648" s="659"/>
      <c r="Z648" s="659"/>
      <c r="AA648" s="659"/>
      <c r="AB648" s="659"/>
      <c r="AC648" s="659"/>
      <c r="AD648" s="659"/>
      <c r="AE648" s="659"/>
      <c r="AF648" s="659"/>
      <c r="AG648" s="659"/>
      <c r="AH648" s="659"/>
      <c r="AI648" s="659"/>
      <c r="AJ648" s="659"/>
      <c r="AK648" s="659"/>
      <c r="AL648" s="659"/>
      <c r="AM648" s="659"/>
      <c r="AN648" s="659"/>
      <c r="AO648" s="659"/>
      <c r="AP648" s="659"/>
      <c r="AQ648" s="746"/>
    </row>
    <row r="649">
      <c r="A649" s="1002"/>
      <c r="B649" s="1004"/>
      <c r="C649" s="1005"/>
      <c r="D649" s="645"/>
      <c r="E649" s="645"/>
      <c r="F649" s="951"/>
      <c r="G649" s="951"/>
      <c r="H649" s="951"/>
      <c r="I649" s="951"/>
      <c r="J649" s="951"/>
      <c r="K649" s="951"/>
      <c r="L649" s="951"/>
      <c r="M649" s="951"/>
      <c r="N649" s="659"/>
      <c r="O649" s="951"/>
      <c r="P649" s="951"/>
      <c r="Q649" s="659"/>
      <c r="R649" s="659"/>
      <c r="S649" s="659"/>
      <c r="T649" s="659"/>
      <c r="U649" s="659"/>
      <c r="V649" s="659"/>
      <c r="W649" s="659"/>
      <c r="X649" s="659"/>
      <c r="Y649" s="659"/>
      <c r="Z649" s="659"/>
      <c r="AA649" s="659"/>
      <c r="AB649" s="659"/>
      <c r="AC649" s="659"/>
      <c r="AD649" s="659"/>
      <c r="AE649" s="659"/>
      <c r="AF649" s="659"/>
      <c r="AG649" s="659"/>
      <c r="AH649" s="659"/>
      <c r="AI649" s="659"/>
      <c r="AJ649" s="659"/>
      <c r="AK649" s="659"/>
      <c r="AL649" s="659"/>
      <c r="AM649" s="659"/>
      <c r="AN649" s="659"/>
      <c r="AO649" s="659"/>
      <c r="AP649" s="659"/>
      <c r="AQ649" s="746"/>
    </row>
    <row r="650">
      <c r="A650" s="1002"/>
      <c r="B650" s="1004"/>
      <c r="C650" s="1005"/>
      <c r="D650" s="645"/>
      <c r="E650" s="645"/>
      <c r="F650" s="951"/>
      <c r="G650" s="951"/>
      <c r="H650" s="951"/>
      <c r="I650" s="951"/>
      <c r="J650" s="951"/>
      <c r="K650" s="951"/>
      <c r="L650" s="951"/>
      <c r="M650" s="951"/>
      <c r="N650" s="659"/>
      <c r="O650" s="951"/>
      <c r="P650" s="951"/>
      <c r="Q650" s="659"/>
      <c r="R650" s="659"/>
      <c r="S650" s="659"/>
      <c r="T650" s="659"/>
      <c r="U650" s="659"/>
      <c r="V650" s="659"/>
      <c r="W650" s="659"/>
      <c r="X650" s="659"/>
      <c r="Y650" s="659"/>
      <c r="Z650" s="659"/>
      <c r="AA650" s="659"/>
      <c r="AB650" s="659"/>
      <c r="AC650" s="659"/>
      <c r="AD650" s="659"/>
      <c r="AE650" s="659"/>
      <c r="AF650" s="659"/>
      <c r="AG650" s="659"/>
      <c r="AH650" s="659"/>
      <c r="AI650" s="659"/>
      <c r="AJ650" s="659"/>
      <c r="AK650" s="659"/>
      <c r="AL650" s="659"/>
      <c r="AM650" s="659"/>
      <c r="AN650" s="659"/>
      <c r="AO650" s="659"/>
      <c r="AP650" s="659"/>
      <c r="AQ650" s="746"/>
    </row>
    <row r="651">
      <c r="A651" s="1002"/>
      <c r="B651" s="1004"/>
      <c r="C651" s="1005"/>
      <c r="D651" s="645"/>
      <c r="E651" s="645"/>
      <c r="F651" s="951"/>
      <c r="G651" s="951"/>
      <c r="H651" s="951"/>
      <c r="I651" s="951"/>
      <c r="J651" s="951"/>
      <c r="K651" s="951"/>
      <c r="L651" s="951"/>
      <c r="M651" s="951"/>
      <c r="N651" s="659"/>
      <c r="O651" s="951"/>
      <c r="P651" s="951"/>
      <c r="Q651" s="659"/>
      <c r="R651" s="659"/>
      <c r="S651" s="659"/>
      <c r="T651" s="659"/>
      <c r="U651" s="659"/>
      <c r="V651" s="659"/>
      <c r="W651" s="659"/>
      <c r="X651" s="659"/>
      <c r="Y651" s="659"/>
      <c r="Z651" s="659"/>
      <c r="AA651" s="659"/>
      <c r="AB651" s="659"/>
      <c r="AC651" s="659"/>
      <c r="AD651" s="659"/>
      <c r="AE651" s="659"/>
      <c r="AF651" s="659"/>
      <c r="AG651" s="659"/>
      <c r="AH651" s="659"/>
      <c r="AI651" s="659"/>
      <c r="AJ651" s="659"/>
      <c r="AK651" s="659"/>
      <c r="AL651" s="659"/>
      <c r="AM651" s="659"/>
      <c r="AN651" s="659"/>
      <c r="AO651" s="659"/>
      <c r="AP651" s="659"/>
      <c r="AQ651" s="746"/>
    </row>
    <row r="652">
      <c r="A652" s="1002"/>
      <c r="B652" s="1004"/>
      <c r="C652" s="1005"/>
      <c r="D652" s="645"/>
      <c r="E652" s="645"/>
      <c r="F652" s="951"/>
      <c r="G652" s="951"/>
      <c r="H652" s="951"/>
      <c r="I652" s="951"/>
      <c r="J652" s="951"/>
      <c r="K652" s="951"/>
      <c r="L652" s="951"/>
      <c r="M652" s="951"/>
      <c r="N652" s="659"/>
      <c r="O652" s="951"/>
      <c r="P652" s="951"/>
      <c r="Q652" s="659"/>
      <c r="R652" s="659"/>
      <c r="S652" s="659"/>
      <c r="T652" s="659"/>
      <c r="U652" s="659"/>
      <c r="V652" s="659"/>
      <c r="W652" s="659"/>
      <c r="X652" s="659"/>
      <c r="Y652" s="659"/>
      <c r="Z652" s="659"/>
      <c r="AA652" s="659"/>
      <c r="AB652" s="659"/>
      <c r="AC652" s="659"/>
      <c r="AD652" s="659"/>
      <c r="AE652" s="659"/>
      <c r="AF652" s="659"/>
      <c r="AG652" s="659"/>
      <c r="AH652" s="659"/>
      <c r="AI652" s="659"/>
      <c r="AJ652" s="659"/>
      <c r="AK652" s="659"/>
      <c r="AL652" s="659"/>
      <c r="AM652" s="659"/>
      <c r="AN652" s="659"/>
      <c r="AO652" s="659"/>
      <c r="AP652" s="659"/>
      <c r="AQ652" s="746"/>
    </row>
    <row r="653">
      <c r="A653" s="1002"/>
      <c r="B653" s="1004"/>
      <c r="C653" s="1005"/>
      <c r="D653" s="645"/>
      <c r="E653" s="645"/>
      <c r="F653" s="951"/>
      <c r="G653" s="951"/>
      <c r="H653" s="951"/>
      <c r="I653" s="951"/>
      <c r="J653" s="951"/>
      <c r="K653" s="951"/>
      <c r="L653" s="951"/>
      <c r="M653" s="951"/>
      <c r="N653" s="659"/>
      <c r="O653" s="951"/>
      <c r="P653" s="951"/>
      <c r="Q653" s="659"/>
      <c r="R653" s="659"/>
      <c r="S653" s="659"/>
      <c r="T653" s="659"/>
      <c r="U653" s="659"/>
      <c r="V653" s="659"/>
      <c r="W653" s="659"/>
      <c r="X653" s="659"/>
      <c r="Y653" s="659"/>
      <c r="Z653" s="659"/>
      <c r="AA653" s="659"/>
      <c r="AB653" s="659"/>
      <c r="AC653" s="659"/>
      <c r="AD653" s="659"/>
      <c r="AE653" s="659"/>
      <c r="AF653" s="659"/>
      <c r="AG653" s="659"/>
      <c r="AH653" s="659"/>
      <c r="AI653" s="659"/>
      <c r="AJ653" s="659"/>
      <c r="AK653" s="659"/>
      <c r="AL653" s="659"/>
      <c r="AM653" s="659"/>
      <c r="AN653" s="659"/>
      <c r="AO653" s="659"/>
      <c r="AP653" s="659"/>
      <c r="AQ653" s="746"/>
    </row>
    <row r="654">
      <c r="A654" s="1002"/>
      <c r="B654" s="1004"/>
      <c r="C654" s="1005"/>
      <c r="D654" s="645"/>
      <c r="E654" s="645"/>
      <c r="F654" s="951"/>
      <c r="G654" s="951"/>
      <c r="H654" s="951"/>
      <c r="I654" s="951"/>
      <c r="J654" s="951"/>
      <c r="K654" s="951"/>
      <c r="L654" s="951"/>
      <c r="M654" s="951"/>
      <c r="N654" s="659"/>
      <c r="O654" s="951"/>
      <c r="P654" s="951"/>
      <c r="Q654" s="659"/>
      <c r="R654" s="659"/>
      <c r="S654" s="659"/>
      <c r="T654" s="659"/>
      <c r="U654" s="659"/>
      <c r="V654" s="659"/>
      <c r="W654" s="659"/>
      <c r="X654" s="659"/>
      <c r="Y654" s="659"/>
      <c r="Z654" s="659"/>
      <c r="AA654" s="659"/>
      <c r="AB654" s="659"/>
      <c r="AC654" s="659"/>
      <c r="AD654" s="659"/>
      <c r="AE654" s="659"/>
      <c r="AF654" s="659"/>
      <c r="AG654" s="659"/>
      <c r="AH654" s="659"/>
      <c r="AI654" s="659"/>
      <c r="AJ654" s="659"/>
      <c r="AK654" s="659"/>
      <c r="AL654" s="659"/>
      <c r="AM654" s="659"/>
      <c r="AN654" s="659"/>
      <c r="AO654" s="659"/>
      <c r="AP654" s="659"/>
      <c r="AQ654" s="746"/>
    </row>
    <row r="655">
      <c r="A655" s="1002"/>
      <c r="B655" s="1004"/>
      <c r="C655" s="1005"/>
      <c r="D655" s="645"/>
      <c r="E655" s="645"/>
      <c r="F655" s="951"/>
      <c r="G655" s="951"/>
      <c r="H655" s="951"/>
      <c r="I655" s="951"/>
      <c r="J655" s="951"/>
      <c r="K655" s="951"/>
      <c r="L655" s="951"/>
      <c r="M655" s="951"/>
      <c r="N655" s="659"/>
      <c r="O655" s="951"/>
      <c r="P655" s="951"/>
      <c r="Q655" s="659"/>
      <c r="R655" s="659"/>
      <c r="S655" s="659"/>
      <c r="T655" s="659"/>
      <c r="U655" s="659"/>
      <c r="V655" s="659"/>
      <c r="W655" s="659"/>
      <c r="X655" s="659"/>
      <c r="Y655" s="659"/>
      <c r="Z655" s="659"/>
      <c r="AA655" s="659"/>
      <c r="AB655" s="659"/>
      <c r="AC655" s="659"/>
      <c r="AD655" s="659"/>
      <c r="AE655" s="659"/>
      <c r="AF655" s="659"/>
      <c r="AG655" s="659"/>
      <c r="AH655" s="659"/>
      <c r="AI655" s="659"/>
      <c r="AJ655" s="659"/>
      <c r="AK655" s="659"/>
      <c r="AL655" s="659"/>
      <c r="AM655" s="659"/>
      <c r="AN655" s="659"/>
      <c r="AO655" s="659"/>
      <c r="AP655" s="659"/>
      <c r="AQ655" s="746"/>
    </row>
    <row r="656">
      <c r="A656" s="1002"/>
      <c r="B656" s="1004"/>
      <c r="C656" s="1005"/>
      <c r="D656" s="645"/>
      <c r="E656" s="645"/>
      <c r="F656" s="951"/>
      <c r="G656" s="951"/>
      <c r="H656" s="951"/>
      <c r="I656" s="951"/>
      <c r="J656" s="951"/>
      <c r="K656" s="951"/>
      <c r="L656" s="951"/>
      <c r="M656" s="951"/>
      <c r="N656" s="659"/>
      <c r="O656" s="951"/>
      <c r="P656" s="951"/>
      <c r="Q656" s="659"/>
      <c r="R656" s="659"/>
      <c r="S656" s="659"/>
      <c r="T656" s="659"/>
      <c r="U656" s="659"/>
      <c r="V656" s="659"/>
      <c r="W656" s="659"/>
      <c r="X656" s="659"/>
      <c r="Y656" s="659"/>
      <c r="Z656" s="659"/>
      <c r="AA656" s="659"/>
      <c r="AB656" s="659"/>
      <c r="AC656" s="659"/>
      <c r="AD656" s="659"/>
      <c r="AE656" s="659"/>
      <c r="AF656" s="659"/>
      <c r="AG656" s="659"/>
      <c r="AH656" s="659"/>
      <c r="AI656" s="659"/>
      <c r="AJ656" s="659"/>
      <c r="AK656" s="659"/>
      <c r="AL656" s="659"/>
      <c r="AM656" s="659"/>
      <c r="AN656" s="659"/>
      <c r="AO656" s="659"/>
      <c r="AP656" s="659"/>
      <c r="AQ656" s="746"/>
    </row>
    <row r="657">
      <c r="A657" s="1002"/>
      <c r="B657" s="1004"/>
      <c r="C657" s="1005"/>
      <c r="D657" s="645"/>
      <c r="E657" s="645"/>
      <c r="F657" s="951"/>
      <c r="G657" s="951"/>
      <c r="H657" s="951"/>
      <c r="I657" s="951"/>
      <c r="J657" s="951"/>
      <c r="K657" s="951"/>
      <c r="L657" s="951"/>
      <c r="M657" s="951"/>
      <c r="N657" s="659"/>
      <c r="O657" s="951"/>
      <c r="P657" s="951"/>
      <c r="Q657" s="659"/>
      <c r="R657" s="659"/>
      <c r="S657" s="659"/>
      <c r="T657" s="659"/>
      <c r="U657" s="659"/>
      <c r="V657" s="659"/>
      <c r="W657" s="659"/>
      <c r="X657" s="659"/>
      <c r="Y657" s="659"/>
      <c r="Z657" s="659"/>
      <c r="AA657" s="659"/>
      <c r="AB657" s="659"/>
      <c r="AC657" s="659"/>
      <c r="AD657" s="659"/>
      <c r="AE657" s="659"/>
      <c r="AF657" s="659"/>
      <c r="AG657" s="659"/>
      <c r="AH657" s="659"/>
      <c r="AI657" s="659"/>
      <c r="AJ657" s="659"/>
      <c r="AK657" s="659"/>
      <c r="AL657" s="659"/>
      <c r="AM657" s="659"/>
      <c r="AN657" s="659"/>
      <c r="AO657" s="659"/>
      <c r="AP657" s="659"/>
      <c r="AQ657" s="746"/>
    </row>
    <row r="658">
      <c r="A658" s="1002"/>
      <c r="B658" s="1004"/>
      <c r="C658" s="1005"/>
      <c r="D658" s="645"/>
      <c r="E658" s="645"/>
      <c r="F658" s="951"/>
      <c r="G658" s="951"/>
      <c r="H658" s="951"/>
      <c r="I658" s="951"/>
      <c r="J658" s="951"/>
      <c r="K658" s="951"/>
      <c r="L658" s="951"/>
      <c r="M658" s="951"/>
      <c r="N658" s="659"/>
      <c r="O658" s="951"/>
      <c r="P658" s="951"/>
      <c r="Q658" s="659"/>
      <c r="R658" s="659"/>
      <c r="S658" s="659"/>
      <c r="T658" s="659"/>
      <c r="U658" s="659"/>
      <c r="V658" s="659"/>
      <c r="W658" s="659"/>
      <c r="X658" s="659"/>
      <c r="Y658" s="659"/>
      <c r="Z658" s="659"/>
      <c r="AA658" s="659"/>
      <c r="AB658" s="659"/>
      <c r="AC658" s="659"/>
      <c r="AD658" s="659"/>
      <c r="AE658" s="659"/>
      <c r="AF658" s="659"/>
      <c r="AG658" s="659"/>
      <c r="AH658" s="659"/>
      <c r="AI658" s="659"/>
      <c r="AJ658" s="659"/>
      <c r="AK658" s="659"/>
      <c r="AL658" s="659"/>
      <c r="AM658" s="659"/>
      <c r="AN658" s="659"/>
      <c r="AO658" s="659"/>
      <c r="AP658" s="659"/>
      <c r="AQ658" s="746"/>
    </row>
    <row r="659">
      <c r="A659" s="1002"/>
      <c r="B659" s="1004"/>
      <c r="C659" s="1005"/>
      <c r="D659" s="645"/>
      <c r="E659" s="645"/>
      <c r="F659" s="951"/>
      <c r="G659" s="951"/>
      <c r="H659" s="951"/>
      <c r="I659" s="951"/>
      <c r="J659" s="951"/>
      <c r="K659" s="951"/>
      <c r="L659" s="951"/>
      <c r="M659" s="951"/>
      <c r="N659" s="659"/>
      <c r="O659" s="951"/>
      <c r="P659" s="951"/>
      <c r="Q659" s="659"/>
      <c r="R659" s="659"/>
      <c r="S659" s="659"/>
      <c r="T659" s="659"/>
      <c r="U659" s="659"/>
      <c r="V659" s="659"/>
      <c r="W659" s="659"/>
      <c r="X659" s="659"/>
      <c r="Y659" s="659"/>
      <c r="Z659" s="659"/>
      <c r="AA659" s="659"/>
      <c r="AB659" s="659"/>
      <c r="AC659" s="659"/>
      <c r="AD659" s="659"/>
      <c r="AE659" s="659"/>
      <c r="AF659" s="659"/>
      <c r="AG659" s="659"/>
      <c r="AH659" s="659"/>
      <c r="AI659" s="659"/>
      <c r="AJ659" s="659"/>
      <c r="AK659" s="659"/>
      <c r="AL659" s="659"/>
      <c r="AM659" s="659"/>
      <c r="AN659" s="659"/>
      <c r="AO659" s="659"/>
      <c r="AP659" s="659"/>
      <c r="AQ659" s="746"/>
    </row>
    <row r="660">
      <c r="A660" s="1002"/>
      <c r="B660" s="1004"/>
      <c r="C660" s="1005"/>
      <c r="D660" s="645"/>
      <c r="E660" s="645"/>
      <c r="F660" s="951"/>
      <c r="G660" s="951"/>
      <c r="H660" s="951"/>
      <c r="I660" s="951"/>
      <c r="J660" s="951"/>
      <c r="K660" s="951"/>
      <c r="L660" s="951"/>
      <c r="M660" s="951"/>
      <c r="N660" s="659"/>
      <c r="O660" s="951"/>
      <c r="P660" s="951"/>
      <c r="Q660" s="659"/>
      <c r="R660" s="659"/>
      <c r="S660" s="659"/>
      <c r="T660" s="659"/>
      <c r="U660" s="659"/>
      <c r="V660" s="659"/>
      <c r="W660" s="659"/>
      <c r="X660" s="659"/>
      <c r="Y660" s="659"/>
      <c r="Z660" s="659"/>
      <c r="AA660" s="659"/>
      <c r="AB660" s="659"/>
      <c r="AC660" s="659"/>
      <c r="AD660" s="659"/>
      <c r="AE660" s="659"/>
      <c r="AF660" s="659"/>
      <c r="AG660" s="659"/>
      <c r="AH660" s="659"/>
      <c r="AI660" s="659"/>
      <c r="AJ660" s="659"/>
      <c r="AK660" s="659"/>
      <c r="AL660" s="659"/>
      <c r="AM660" s="659"/>
      <c r="AN660" s="659"/>
      <c r="AO660" s="659"/>
      <c r="AP660" s="659"/>
      <c r="AQ660" s="746"/>
    </row>
    <row r="661">
      <c r="A661" s="1002"/>
      <c r="B661" s="1004"/>
      <c r="C661" s="1005"/>
      <c r="D661" s="645"/>
      <c r="E661" s="645"/>
      <c r="F661" s="951"/>
      <c r="G661" s="951"/>
      <c r="H661" s="951"/>
      <c r="I661" s="951"/>
      <c r="J661" s="951"/>
      <c r="K661" s="951"/>
      <c r="L661" s="951"/>
      <c r="M661" s="951"/>
      <c r="N661" s="659"/>
      <c r="O661" s="951"/>
      <c r="P661" s="951"/>
      <c r="Q661" s="659"/>
      <c r="R661" s="659"/>
      <c r="S661" s="659"/>
      <c r="T661" s="659"/>
      <c r="U661" s="659"/>
      <c r="V661" s="659"/>
      <c r="W661" s="659"/>
      <c r="X661" s="659"/>
      <c r="Y661" s="659"/>
      <c r="Z661" s="659"/>
      <c r="AA661" s="659"/>
      <c r="AB661" s="659"/>
      <c r="AC661" s="659"/>
      <c r="AD661" s="659"/>
      <c r="AE661" s="659"/>
      <c r="AF661" s="659"/>
      <c r="AG661" s="659"/>
      <c r="AH661" s="659"/>
      <c r="AI661" s="659"/>
      <c r="AJ661" s="659"/>
      <c r="AK661" s="659"/>
      <c r="AL661" s="659"/>
      <c r="AM661" s="659"/>
      <c r="AN661" s="659"/>
      <c r="AO661" s="659"/>
      <c r="AP661" s="659"/>
      <c r="AQ661" s="746"/>
    </row>
    <row r="662">
      <c r="A662" s="1002"/>
      <c r="B662" s="1004"/>
      <c r="C662" s="1005"/>
      <c r="D662" s="645"/>
      <c r="E662" s="645"/>
      <c r="F662" s="951"/>
      <c r="G662" s="951"/>
      <c r="H662" s="951"/>
      <c r="I662" s="951"/>
      <c r="J662" s="951"/>
      <c r="K662" s="951"/>
      <c r="L662" s="951"/>
      <c r="M662" s="951"/>
      <c r="N662" s="659"/>
      <c r="O662" s="951"/>
      <c r="P662" s="951"/>
      <c r="Q662" s="659"/>
      <c r="R662" s="659"/>
      <c r="S662" s="659"/>
      <c r="T662" s="659"/>
      <c r="U662" s="659"/>
      <c r="V662" s="659"/>
      <c r="W662" s="659"/>
      <c r="X662" s="659"/>
      <c r="Y662" s="659"/>
      <c r="Z662" s="659"/>
      <c r="AA662" s="659"/>
      <c r="AB662" s="659"/>
      <c r="AC662" s="659"/>
      <c r="AD662" s="659"/>
      <c r="AE662" s="659"/>
      <c r="AF662" s="659"/>
      <c r="AG662" s="659"/>
      <c r="AH662" s="659"/>
      <c r="AI662" s="659"/>
      <c r="AJ662" s="659"/>
      <c r="AK662" s="659"/>
      <c r="AL662" s="659"/>
      <c r="AM662" s="659"/>
      <c r="AN662" s="659"/>
      <c r="AO662" s="659"/>
      <c r="AP662" s="659"/>
      <c r="AQ662" s="746"/>
    </row>
    <row r="663">
      <c r="A663" s="1002"/>
      <c r="B663" s="1004"/>
      <c r="C663" s="1005"/>
      <c r="D663" s="645"/>
      <c r="E663" s="645"/>
      <c r="F663" s="951"/>
      <c r="G663" s="951"/>
      <c r="H663" s="951"/>
      <c r="I663" s="951"/>
      <c r="J663" s="951"/>
      <c r="K663" s="951"/>
      <c r="L663" s="951"/>
      <c r="M663" s="951"/>
      <c r="N663" s="659"/>
      <c r="O663" s="951"/>
      <c r="P663" s="951"/>
      <c r="Q663" s="659"/>
      <c r="R663" s="659"/>
      <c r="S663" s="659"/>
      <c r="T663" s="659"/>
      <c r="U663" s="659"/>
      <c r="V663" s="659"/>
      <c r="W663" s="659"/>
      <c r="X663" s="659"/>
      <c r="Y663" s="659"/>
      <c r="Z663" s="659"/>
      <c r="AA663" s="659"/>
      <c r="AB663" s="659"/>
      <c r="AC663" s="659"/>
      <c r="AD663" s="659"/>
      <c r="AE663" s="659"/>
      <c r="AF663" s="659"/>
      <c r="AG663" s="659"/>
      <c r="AH663" s="659"/>
      <c r="AI663" s="659"/>
      <c r="AJ663" s="659"/>
      <c r="AK663" s="659"/>
      <c r="AL663" s="659"/>
      <c r="AM663" s="659"/>
      <c r="AN663" s="659"/>
      <c r="AO663" s="659"/>
      <c r="AP663" s="659"/>
      <c r="AQ663" s="746"/>
    </row>
    <row r="664">
      <c r="A664" s="1002"/>
      <c r="B664" s="1004"/>
      <c r="C664" s="1005"/>
      <c r="D664" s="645"/>
      <c r="E664" s="645"/>
      <c r="F664" s="951"/>
      <c r="G664" s="951"/>
      <c r="H664" s="951"/>
      <c r="I664" s="951"/>
      <c r="J664" s="951"/>
      <c r="K664" s="951"/>
      <c r="L664" s="951"/>
      <c r="M664" s="951"/>
      <c r="N664" s="659"/>
      <c r="O664" s="951"/>
      <c r="P664" s="951"/>
      <c r="Q664" s="659"/>
      <c r="R664" s="659"/>
      <c r="S664" s="659"/>
      <c r="T664" s="659"/>
      <c r="U664" s="659"/>
      <c r="V664" s="659"/>
      <c r="W664" s="659"/>
      <c r="X664" s="659"/>
      <c r="Y664" s="659"/>
      <c r="Z664" s="659"/>
      <c r="AA664" s="659"/>
      <c r="AB664" s="659"/>
      <c r="AC664" s="659"/>
      <c r="AD664" s="659"/>
      <c r="AE664" s="659"/>
      <c r="AF664" s="659"/>
      <c r="AG664" s="659"/>
      <c r="AH664" s="659"/>
      <c r="AI664" s="659"/>
      <c r="AJ664" s="659"/>
      <c r="AK664" s="659"/>
      <c r="AL664" s="659"/>
      <c r="AM664" s="659"/>
      <c r="AN664" s="659"/>
      <c r="AO664" s="659"/>
      <c r="AP664" s="659"/>
      <c r="AQ664" s="746"/>
    </row>
    <row r="665">
      <c r="A665" s="1002"/>
      <c r="B665" s="1004"/>
      <c r="C665" s="1005"/>
      <c r="D665" s="645"/>
      <c r="E665" s="645"/>
      <c r="F665" s="951"/>
      <c r="G665" s="951"/>
      <c r="H665" s="951"/>
      <c r="I665" s="951"/>
      <c r="J665" s="951"/>
      <c r="K665" s="951"/>
      <c r="L665" s="951"/>
      <c r="M665" s="951"/>
      <c r="N665" s="659"/>
      <c r="O665" s="951"/>
      <c r="P665" s="951"/>
      <c r="Q665" s="659"/>
      <c r="R665" s="659"/>
      <c r="S665" s="659"/>
      <c r="T665" s="659"/>
      <c r="U665" s="659"/>
      <c r="V665" s="659"/>
      <c r="W665" s="659"/>
      <c r="X665" s="659"/>
      <c r="Y665" s="659"/>
      <c r="Z665" s="659"/>
      <c r="AA665" s="659"/>
      <c r="AB665" s="659"/>
      <c r="AC665" s="659"/>
      <c r="AD665" s="659"/>
      <c r="AE665" s="659"/>
      <c r="AF665" s="659"/>
      <c r="AG665" s="659"/>
      <c r="AH665" s="659"/>
      <c r="AI665" s="659"/>
      <c r="AJ665" s="659"/>
      <c r="AK665" s="659"/>
      <c r="AL665" s="659"/>
      <c r="AM665" s="659"/>
      <c r="AN665" s="659"/>
      <c r="AO665" s="659"/>
      <c r="AP665" s="659"/>
      <c r="AQ665" s="746"/>
    </row>
    <row r="666">
      <c r="A666" s="1002"/>
      <c r="B666" s="1004"/>
      <c r="C666" s="1005"/>
      <c r="D666" s="645"/>
      <c r="E666" s="645"/>
      <c r="F666" s="951"/>
      <c r="G666" s="951"/>
      <c r="H666" s="951"/>
      <c r="I666" s="951"/>
      <c r="J666" s="951"/>
      <c r="K666" s="951"/>
      <c r="L666" s="951"/>
      <c r="M666" s="951"/>
      <c r="N666" s="659"/>
      <c r="O666" s="951"/>
      <c r="P666" s="951"/>
      <c r="Q666" s="659"/>
      <c r="R666" s="659"/>
      <c r="S666" s="659"/>
      <c r="T666" s="659"/>
      <c r="U666" s="659"/>
      <c r="V666" s="659"/>
      <c r="W666" s="659"/>
      <c r="X666" s="659"/>
      <c r="Y666" s="659"/>
      <c r="Z666" s="659"/>
      <c r="AA666" s="659"/>
      <c r="AB666" s="659"/>
      <c r="AC666" s="659"/>
      <c r="AD666" s="659"/>
      <c r="AE666" s="659"/>
      <c r="AF666" s="659"/>
      <c r="AG666" s="659"/>
      <c r="AH666" s="659"/>
      <c r="AI666" s="659"/>
      <c r="AJ666" s="659"/>
      <c r="AK666" s="659"/>
      <c r="AL666" s="659"/>
      <c r="AM666" s="659"/>
      <c r="AN666" s="659"/>
      <c r="AO666" s="659"/>
      <c r="AP666" s="659"/>
      <c r="AQ666" s="746"/>
    </row>
    <row r="667">
      <c r="A667" s="1002"/>
      <c r="B667" s="1004"/>
      <c r="C667" s="1005"/>
      <c r="D667" s="645"/>
      <c r="E667" s="645"/>
      <c r="F667" s="951"/>
      <c r="G667" s="951"/>
      <c r="H667" s="951"/>
      <c r="I667" s="951"/>
      <c r="J667" s="951"/>
      <c r="K667" s="951"/>
      <c r="L667" s="951"/>
      <c r="M667" s="951"/>
      <c r="N667" s="659"/>
      <c r="O667" s="951"/>
      <c r="P667" s="951"/>
      <c r="Q667" s="659"/>
      <c r="R667" s="659"/>
      <c r="S667" s="659"/>
      <c r="T667" s="659"/>
      <c r="U667" s="659"/>
      <c r="V667" s="659"/>
      <c r="W667" s="659"/>
      <c r="X667" s="659"/>
      <c r="Y667" s="659"/>
      <c r="Z667" s="659"/>
      <c r="AA667" s="659"/>
      <c r="AB667" s="659"/>
      <c r="AC667" s="659"/>
      <c r="AD667" s="659"/>
      <c r="AE667" s="659"/>
      <c r="AF667" s="659"/>
      <c r="AG667" s="659"/>
      <c r="AH667" s="659"/>
      <c r="AI667" s="659"/>
      <c r="AJ667" s="659"/>
      <c r="AK667" s="659"/>
      <c r="AL667" s="659"/>
      <c r="AM667" s="659"/>
      <c r="AN667" s="659"/>
      <c r="AO667" s="659"/>
      <c r="AP667" s="659"/>
      <c r="AQ667" s="746"/>
    </row>
    <row r="668">
      <c r="A668" s="1002"/>
      <c r="B668" s="1004"/>
      <c r="C668" s="1005"/>
      <c r="D668" s="645"/>
      <c r="E668" s="645"/>
      <c r="F668" s="951"/>
      <c r="G668" s="951"/>
      <c r="H668" s="951"/>
      <c r="I668" s="951"/>
      <c r="J668" s="951"/>
      <c r="K668" s="951"/>
      <c r="L668" s="951"/>
      <c r="M668" s="951"/>
      <c r="N668" s="659"/>
      <c r="O668" s="951"/>
      <c r="P668" s="951"/>
      <c r="Q668" s="659"/>
      <c r="R668" s="659"/>
      <c r="S668" s="659"/>
      <c r="T668" s="659"/>
      <c r="U668" s="659"/>
      <c r="V668" s="659"/>
      <c r="W668" s="659"/>
      <c r="X668" s="659"/>
      <c r="Y668" s="659"/>
      <c r="Z668" s="659"/>
      <c r="AA668" s="659"/>
      <c r="AB668" s="659"/>
      <c r="AC668" s="659"/>
      <c r="AD668" s="659"/>
      <c r="AE668" s="659"/>
      <c r="AF668" s="659"/>
      <c r="AG668" s="659"/>
      <c r="AH668" s="659"/>
      <c r="AI668" s="659"/>
      <c r="AJ668" s="659"/>
      <c r="AK668" s="659"/>
      <c r="AL668" s="659"/>
      <c r="AM668" s="659"/>
      <c r="AN668" s="659"/>
      <c r="AO668" s="659"/>
      <c r="AP668" s="659"/>
      <c r="AQ668" s="746"/>
    </row>
    <row r="669">
      <c r="A669" s="1002"/>
      <c r="B669" s="1004"/>
      <c r="C669" s="1005"/>
      <c r="D669" s="645"/>
      <c r="E669" s="645"/>
      <c r="F669" s="951"/>
      <c r="G669" s="951"/>
      <c r="H669" s="951"/>
      <c r="I669" s="951"/>
      <c r="J669" s="951"/>
      <c r="K669" s="951"/>
      <c r="L669" s="951"/>
      <c r="M669" s="951"/>
      <c r="N669" s="659"/>
      <c r="O669" s="951"/>
      <c r="P669" s="951"/>
      <c r="Q669" s="659"/>
      <c r="R669" s="659"/>
      <c r="S669" s="659"/>
      <c r="T669" s="659"/>
      <c r="U669" s="659"/>
      <c r="V669" s="659"/>
      <c r="W669" s="659"/>
      <c r="X669" s="659"/>
      <c r="Y669" s="659"/>
      <c r="Z669" s="659"/>
      <c r="AA669" s="659"/>
      <c r="AB669" s="659"/>
      <c r="AC669" s="659"/>
      <c r="AD669" s="659"/>
      <c r="AE669" s="659"/>
      <c r="AF669" s="659"/>
      <c r="AG669" s="659"/>
      <c r="AH669" s="659"/>
      <c r="AI669" s="659"/>
      <c r="AJ669" s="659"/>
      <c r="AK669" s="659"/>
      <c r="AL669" s="659"/>
      <c r="AM669" s="659"/>
      <c r="AN669" s="659"/>
      <c r="AO669" s="659"/>
      <c r="AP669" s="659"/>
      <c r="AQ669" s="746"/>
    </row>
    <row r="670">
      <c r="A670" s="1002"/>
      <c r="B670" s="1004"/>
      <c r="C670" s="1005"/>
      <c r="D670" s="645"/>
      <c r="E670" s="645"/>
      <c r="F670" s="951"/>
      <c r="G670" s="951"/>
      <c r="H670" s="951"/>
      <c r="I670" s="951"/>
      <c r="J670" s="951"/>
      <c r="K670" s="951"/>
      <c r="L670" s="951"/>
      <c r="M670" s="951"/>
      <c r="N670" s="659"/>
      <c r="O670" s="951"/>
      <c r="P670" s="951"/>
      <c r="Q670" s="659"/>
      <c r="R670" s="659"/>
      <c r="S670" s="659"/>
      <c r="T670" s="659"/>
      <c r="U670" s="659"/>
      <c r="V670" s="659"/>
      <c r="W670" s="659"/>
      <c r="X670" s="659"/>
      <c r="Y670" s="659"/>
      <c r="Z670" s="659"/>
      <c r="AA670" s="659"/>
      <c r="AB670" s="659"/>
      <c r="AC670" s="659"/>
      <c r="AD670" s="659"/>
      <c r="AE670" s="659"/>
      <c r="AF670" s="659"/>
      <c r="AG670" s="659"/>
      <c r="AH670" s="659"/>
      <c r="AI670" s="659"/>
      <c r="AJ670" s="659"/>
      <c r="AK670" s="659"/>
      <c r="AL670" s="659"/>
      <c r="AM670" s="659"/>
      <c r="AN670" s="659"/>
      <c r="AO670" s="659"/>
      <c r="AP670" s="659"/>
      <c r="AQ670" s="746"/>
    </row>
    <row r="671">
      <c r="A671" s="1002"/>
      <c r="B671" s="1004"/>
      <c r="C671" s="1005"/>
      <c r="D671" s="645"/>
      <c r="E671" s="645"/>
      <c r="F671" s="951"/>
      <c r="G671" s="951"/>
      <c r="H671" s="951"/>
      <c r="I671" s="951"/>
      <c r="J671" s="951"/>
      <c r="K671" s="951"/>
      <c r="L671" s="951"/>
      <c r="M671" s="951"/>
      <c r="N671" s="659"/>
      <c r="O671" s="951"/>
      <c r="P671" s="951"/>
      <c r="Q671" s="659"/>
      <c r="R671" s="659"/>
      <c r="S671" s="659"/>
      <c r="T671" s="659"/>
      <c r="U671" s="659"/>
      <c r="V671" s="659"/>
      <c r="W671" s="659"/>
      <c r="X671" s="659"/>
      <c r="Y671" s="659"/>
      <c r="Z671" s="659"/>
      <c r="AA671" s="659"/>
      <c r="AB671" s="659"/>
      <c r="AC671" s="659"/>
      <c r="AD671" s="659"/>
      <c r="AE671" s="659"/>
      <c r="AF671" s="659"/>
      <c r="AG671" s="659"/>
      <c r="AH671" s="659"/>
      <c r="AI671" s="659"/>
      <c r="AJ671" s="659"/>
      <c r="AK671" s="659"/>
      <c r="AL671" s="659"/>
      <c r="AM671" s="659"/>
      <c r="AN671" s="659"/>
      <c r="AO671" s="659"/>
      <c r="AP671" s="659"/>
      <c r="AQ671" s="746"/>
    </row>
    <row r="672">
      <c r="A672" s="1002"/>
      <c r="B672" s="1004"/>
      <c r="C672" s="1005"/>
      <c r="D672" s="645"/>
      <c r="E672" s="645"/>
      <c r="F672" s="951"/>
      <c r="G672" s="951"/>
      <c r="H672" s="951"/>
      <c r="I672" s="951"/>
      <c r="J672" s="951"/>
      <c r="K672" s="951"/>
      <c r="L672" s="951"/>
      <c r="M672" s="951"/>
      <c r="N672" s="659"/>
      <c r="O672" s="951"/>
      <c r="P672" s="951"/>
      <c r="Q672" s="659"/>
      <c r="R672" s="659"/>
      <c r="S672" s="659"/>
      <c r="T672" s="659"/>
      <c r="U672" s="659"/>
      <c r="V672" s="659"/>
      <c r="W672" s="659"/>
      <c r="X672" s="659"/>
      <c r="Y672" s="659"/>
      <c r="Z672" s="659"/>
      <c r="AA672" s="659"/>
      <c r="AB672" s="659"/>
      <c r="AC672" s="659"/>
      <c r="AD672" s="659"/>
      <c r="AE672" s="659"/>
      <c r="AF672" s="659"/>
      <c r="AG672" s="659"/>
      <c r="AH672" s="659"/>
      <c r="AI672" s="659"/>
      <c r="AJ672" s="659"/>
      <c r="AK672" s="659"/>
      <c r="AL672" s="659"/>
      <c r="AM672" s="659"/>
      <c r="AN672" s="659"/>
      <c r="AO672" s="659"/>
      <c r="AP672" s="659"/>
      <c r="AQ672" s="746"/>
    </row>
    <row r="673">
      <c r="A673" s="1002"/>
      <c r="B673" s="1004"/>
      <c r="C673" s="1005"/>
      <c r="D673" s="645"/>
      <c r="E673" s="645"/>
      <c r="F673" s="951"/>
      <c r="G673" s="951"/>
      <c r="H673" s="951"/>
      <c r="I673" s="951"/>
      <c r="J673" s="951"/>
      <c r="K673" s="951"/>
      <c r="L673" s="951"/>
      <c r="M673" s="951"/>
      <c r="N673" s="659"/>
      <c r="O673" s="951"/>
      <c r="P673" s="951"/>
      <c r="Q673" s="659"/>
      <c r="R673" s="659"/>
      <c r="S673" s="659"/>
      <c r="T673" s="659"/>
      <c r="U673" s="659"/>
      <c r="V673" s="659"/>
      <c r="W673" s="659"/>
      <c r="X673" s="659"/>
      <c r="Y673" s="659"/>
      <c r="Z673" s="659"/>
      <c r="AA673" s="659"/>
      <c r="AB673" s="659"/>
      <c r="AC673" s="659"/>
      <c r="AD673" s="659"/>
      <c r="AE673" s="659"/>
      <c r="AF673" s="659"/>
      <c r="AG673" s="659"/>
      <c r="AH673" s="659"/>
      <c r="AI673" s="659"/>
      <c r="AJ673" s="659"/>
      <c r="AK673" s="659"/>
      <c r="AL673" s="659"/>
      <c r="AM673" s="659"/>
      <c r="AN673" s="659"/>
      <c r="AO673" s="659"/>
      <c r="AP673" s="659"/>
      <c r="AQ673" s="746"/>
    </row>
    <row r="674">
      <c r="A674" s="1002"/>
      <c r="B674" s="1004"/>
      <c r="C674" s="1005"/>
      <c r="D674" s="645"/>
      <c r="E674" s="645"/>
      <c r="F674" s="951"/>
      <c r="G674" s="951"/>
      <c r="H674" s="951"/>
      <c r="I674" s="951"/>
      <c r="J674" s="951"/>
      <c r="K674" s="951"/>
      <c r="L674" s="951"/>
      <c r="M674" s="951"/>
      <c r="N674" s="659"/>
      <c r="O674" s="951"/>
      <c r="P674" s="951"/>
      <c r="Q674" s="659"/>
      <c r="R674" s="659"/>
      <c r="S674" s="659"/>
      <c r="T674" s="659"/>
      <c r="U674" s="659"/>
      <c r="V674" s="659"/>
      <c r="W674" s="659"/>
      <c r="X674" s="659"/>
      <c r="Y674" s="659"/>
      <c r="Z674" s="659"/>
      <c r="AA674" s="659"/>
      <c r="AB674" s="659"/>
      <c r="AC674" s="659"/>
      <c r="AD674" s="659"/>
      <c r="AE674" s="659"/>
      <c r="AF674" s="659"/>
      <c r="AG674" s="659"/>
      <c r="AH674" s="659"/>
      <c r="AI674" s="659"/>
      <c r="AJ674" s="659"/>
      <c r="AK674" s="659"/>
      <c r="AL674" s="659"/>
      <c r="AM674" s="659"/>
      <c r="AN674" s="659"/>
      <c r="AO674" s="659"/>
      <c r="AP674" s="659"/>
      <c r="AQ674" s="746"/>
    </row>
    <row r="675">
      <c r="A675" s="1002"/>
      <c r="B675" s="1004"/>
      <c r="C675" s="1005"/>
      <c r="D675" s="645"/>
      <c r="E675" s="645"/>
      <c r="F675" s="951"/>
      <c r="G675" s="951"/>
      <c r="H675" s="951"/>
      <c r="I675" s="951"/>
      <c r="J675" s="951"/>
      <c r="K675" s="951"/>
      <c r="L675" s="951"/>
      <c r="M675" s="951"/>
      <c r="N675" s="659"/>
      <c r="O675" s="951"/>
      <c r="P675" s="951"/>
      <c r="Q675" s="659"/>
      <c r="R675" s="659"/>
      <c r="S675" s="659"/>
      <c r="T675" s="659"/>
      <c r="U675" s="659"/>
      <c r="V675" s="659"/>
      <c r="W675" s="659"/>
      <c r="X675" s="659"/>
      <c r="Y675" s="659"/>
      <c r="Z675" s="659"/>
      <c r="AA675" s="659"/>
      <c r="AB675" s="659"/>
      <c r="AC675" s="659"/>
      <c r="AD675" s="659"/>
      <c r="AE675" s="659"/>
      <c r="AF675" s="659"/>
      <c r="AG675" s="659"/>
      <c r="AH675" s="659"/>
      <c r="AI675" s="659"/>
      <c r="AJ675" s="659"/>
      <c r="AK675" s="659"/>
      <c r="AL675" s="659"/>
      <c r="AM675" s="659"/>
      <c r="AN675" s="659"/>
      <c r="AO675" s="659"/>
      <c r="AP675" s="659"/>
      <c r="AQ675" s="746"/>
    </row>
    <row r="676">
      <c r="A676" s="1002"/>
      <c r="B676" s="1004"/>
      <c r="C676" s="1005"/>
      <c r="D676" s="645"/>
      <c r="E676" s="645"/>
      <c r="F676" s="951"/>
      <c r="G676" s="951"/>
      <c r="H676" s="951"/>
      <c r="I676" s="951"/>
      <c r="J676" s="951"/>
      <c r="K676" s="951"/>
      <c r="L676" s="951"/>
      <c r="M676" s="951"/>
      <c r="N676" s="659"/>
      <c r="O676" s="951"/>
      <c r="P676" s="951"/>
      <c r="Q676" s="659"/>
      <c r="R676" s="659"/>
      <c r="S676" s="659"/>
      <c r="T676" s="659"/>
      <c r="U676" s="659"/>
      <c r="V676" s="659"/>
      <c r="W676" s="659"/>
      <c r="X676" s="659"/>
      <c r="Y676" s="659"/>
      <c r="Z676" s="659"/>
      <c r="AA676" s="659"/>
      <c r="AB676" s="659"/>
      <c r="AC676" s="659"/>
      <c r="AD676" s="659"/>
      <c r="AE676" s="659"/>
      <c r="AF676" s="659"/>
      <c r="AG676" s="659"/>
      <c r="AH676" s="659"/>
      <c r="AI676" s="659"/>
      <c r="AJ676" s="659"/>
      <c r="AK676" s="659"/>
      <c r="AL676" s="659"/>
      <c r="AM676" s="659"/>
      <c r="AN676" s="659"/>
      <c r="AO676" s="659"/>
      <c r="AP676" s="659"/>
      <c r="AQ676" s="746"/>
    </row>
    <row r="677">
      <c r="A677" s="1002"/>
      <c r="B677" s="1004"/>
      <c r="C677" s="1005"/>
      <c r="D677" s="645"/>
      <c r="E677" s="645"/>
      <c r="F677" s="951"/>
      <c r="G677" s="951"/>
      <c r="H677" s="951"/>
      <c r="I677" s="951"/>
      <c r="J677" s="951"/>
      <c r="K677" s="951"/>
      <c r="L677" s="951"/>
      <c r="M677" s="951"/>
      <c r="N677" s="659"/>
      <c r="O677" s="951"/>
      <c r="P677" s="951"/>
      <c r="Q677" s="659"/>
      <c r="R677" s="659"/>
      <c r="S677" s="659"/>
      <c r="T677" s="659"/>
      <c r="U677" s="659"/>
      <c r="V677" s="659"/>
      <c r="W677" s="659"/>
      <c r="X677" s="659"/>
      <c r="Y677" s="659"/>
      <c r="Z677" s="659"/>
      <c r="AA677" s="659"/>
      <c r="AB677" s="659"/>
      <c r="AC677" s="659"/>
      <c r="AD677" s="659"/>
      <c r="AE677" s="659"/>
      <c r="AF677" s="659"/>
      <c r="AG677" s="659"/>
      <c r="AH677" s="659"/>
      <c r="AI677" s="659"/>
      <c r="AJ677" s="659"/>
      <c r="AK677" s="659"/>
      <c r="AL677" s="659"/>
      <c r="AM677" s="659"/>
      <c r="AN677" s="659"/>
      <c r="AO677" s="659"/>
      <c r="AP677" s="659"/>
      <c r="AQ677" s="746"/>
    </row>
    <row r="678">
      <c r="A678" s="1002"/>
      <c r="B678" s="1004"/>
      <c r="C678" s="1005"/>
      <c r="D678" s="645"/>
      <c r="E678" s="645"/>
      <c r="F678" s="951"/>
      <c r="G678" s="951"/>
      <c r="H678" s="951"/>
      <c r="I678" s="951"/>
      <c r="J678" s="951"/>
      <c r="K678" s="951"/>
      <c r="L678" s="951"/>
      <c r="M678" s="951"/>
      <c r="N678" s="659"/>
      <c r="O678" s="951"/>
      <c r="P678" s="951"/>
      <c r="Q678" s="659"/>
      <c r="R678" s="659"/>
      <c r="S678" s="659"/>
      <c r="T678" s="659"/>
      <c r="U678" s="659"/>
      <c r="V678" s="659"/>
      <c r="W678" s="659"/>
      <c r="X678" s="659"/>
      <c r="Y678" s="659"/>
      <c r="Z678" s="659"/>
      <c r="AA678" s="659"/>
      <c r="AB678" s="659"/>
      <c r="AC678" s="659"/>
      <c r="AD678" s="659"/>
      <c r="AE678" s="659"/>
      <c r="AF678" s="659"/>
      <c r="AG678" s="659"/>
      <c r="AH678" s="659"/>
      <c r="AI678" s="659"/>
      <c r="AJ678" s="659"/>
      <c r="AK678" s="659"/>
      <c r="AL678" s="659"/>
      <c r="AM678" s="659"/>
      <c r="AN678" s="659"/>
      <c r="AO678" s="659"/>
      <c r="AP678" s="659"/>
      <c r="AQ678" s="746"/>
    </row>
    <row r="679">
      <c r="A679" s="1002"/>
      <c r="B679" s="1004"/>
      <c r="C679" s="1005"/>
      <c r="D679" s="645"/>
      <c r="E679" s="645"/>
      <c r="F679" s="951"/>
      <c r="G679" s="951"/>
      <c r="H679" s="951"/>
      <c r="I679" s="951"/>
      <c r="J679" s="951"/>
      <c r="K679" s="951"/>
      <c r="L679" s="951"/>
      <c r="M679" s="951"/>
      <c r="N679" s="659"/>
      <c r="O679" s="951"/>
      <c r="P679" s="951"/>
      <c r="Q679" s="659"/>
      <c r="R679" s="659"/>
      <c r="S679" s="659"/>
      <c r="T679" s="659"/>
      <c r="U679" s="659"/>
      <c r="V679" s="659"/>
      <c r="W679" s="659"/>
      <c r="X679" s="659"/>
      <c r="Y679" s="659"/>
      <c r="Z679" s="659"/>
      <c r="AA679" s="659"/>
      <c r="AB679" s="659"/>
      <c r="AC679" s="659"/>
      <c r="AD679" s="659"/>
      <c r="AE679" s="659"/>
      <c r="AF679" s="659"/>
      <c r="AG679" s="659"/>
      <c r="AH679" s="659"/>
      <c r="AI679" s="659"/>
      <c r="AJ679" s="659"/>
      <c r="AK679" s="659"/>
      <c r="AL679" s="659"/>
      <c r="AM679" s="659"/>
      <c r="AN679" s="659"/>
      <c r="AO679" s="659"/>
      <c r="AP679" s="659"/>
      <c r="AQ679" s="746"/>
    </row>
    <row r="680">
      <c r="A680" s="1002"/>
      <c r="B680" s="1004"/>
      <c r="C680" s="1005"/>
      <c r="D680" s="645"/>
      <c r="E680" s="645"/>
      <c r="F680" s="951"/>
      <c r="G680" s="951"/>
      <c r="H680" s="951"/>
      <c r="I680" s="951"/>
      <c r="J680" s="951"/>
      <c r="K680" s="951"/>
      <c r="L680" s="951"/>
      <c r="M680" s="951"/>
      <c r="N680" s="659"/>
      <c r="O680" s="951"/>
      <c r="P680" s="951"/>
      <c r="Q680" s="659"/>
      <c r="R680" s="659"/>
      <c r="S680" s="659"/>
      <c r="T680" s="659"/>
      <c r="U680" s="659"/>
      <c r="V680" s="659"/>
      <c r="W680" s="659"/>
      <c r="X680" s="659"/>
      <c r="Y680" s="659"/>
      <c r="Z680" s="659"/>
      <c r="AA680" s="659"/>
      <c r="AB680" s="659"/>
      <c r="AC680" s="659"/>
      <c r="AD680" s="659"/>
      <c r="AE680" s="659"/>
      <c r="AF680" s="659"/>
      <c r="AG680" s="659"/>
      <c r="AH680" s="659"/>
      <c r="AI680" s="659"/>
      <c r="AJ680" s="659"/>
      <c r="AK680" s="659"/>
      <c r="AL680" s="659"/>
      <c r="AM680" s="659"/>
      <c r="AN680" s="659"/>
      <c r="AO680" s="659"/>
      <c r="AP680" s="659"/>
      <c r="AQ680" s="746"/>
    </row>
    <row r="681">
      <c r="A681" s="1002"/>
      <c r="B681" s="1004"/>
      <c r="C681" s="1005"/>
      <c r="D681" s="645"/>
      <c r="E681" s="645"/>
      <c r="F681" s="951"/>
      <c r="G681" s="951"/>
      <c r="H681" s="951"/>
      <c r="I681" s="951"/>
      <c r="J681" s="951"/>
      <c r="K681" s="951"/>
      <c r="L681" s="951"/>
      <c r="M681" s="951"/>
      <c r="N681" s="659"/>
      <c r="O681" s="951"/>
      <c r="P681" s="951"/>
      <c r="Q681" s="659"/>
      <c r="R681" s="659"/>
      <c r="S681" s="659"/>
      <c r="T681" s="659"/>
      <c r="U681" s="659"/>
      <c r="V681" s="659"/>
      <c r="W681" s="659"/>
      <c r="X681" s="659"/>
      <c r="Y681" s="659"/>
      <c r="Z681" s="659"/>
      <c r="AA681" s="659"/>
      <c r="AB681" s="659"/>
      <c r="AC681" s="659"/>
      <c r="AD681" s="659"/>
      <c r="AE681" s="659"/>
      <c r="AF681" s="659"/>
      <c r="AG681" s="659"/>
      <c r="AH681" s="659"/>
      <c r="AI681" s="659"/>
      <c r="AJ681" s="659"/>
      <c r="AK681" s="659"/>
      <c r="AL681" s="659"/>
      <c r="AM681" s="659"/>
      <c r="AN681" s="659"/>
      <c r="AO681" s="659"/>
      <c r="AP681" s="659"/>
      <c r="AQ681" s="746"/>
    </row>
    <row r="682">
      <c r="A682" s="1002"/>
      <c r="B682" s="1004"/>
      <c r="C682" s="1005"/>
      <c r="D682" s="645"/>
      <c r="E682" s="645"/>
      <c r="F682" s="951"/>
      <c r="G682" s="951"/>
      <c r="H682" s="951"/>
      <c r="I682" s="951"/>
      <c r="J682" s="951"/>
      <c r="K682" s="951"/>
      <c r="L682" s="951"/>
      <c r="M682" s="951"/>
      <c r="N682" s="659"/>
      <c r="O682" s="951"/>
      <c r="P682" s="951"/>
      <c r="Q682" s="659"/>
      <c r="R682" s="659"/>
      <c r="S682" s="659"/>
      <c r="T682" s="659"/>
      <c r="U682" s="659"/>
      <c r="V682" s="659"/>
      <c r="W682" s="659"/>
      <c r="X682" s="659"/>
      <c r="Y682" s="659"/>
      <c r="Z682" s="659"/>
      <c r="AA682" s="659"/>
      <c r="AB682" s="659"/>
      <c r="AC682" s="659"/>
      <c r="AD682" s="659"/>
      <c r="AE682" s="659"/>
      <c r="AF682" s="659"/>
      <c r="AG682" s="659"/>
      <c r="AH682" s="659"/>
      <c r="AI682" s="659"/>
      <c r="AJ682" s="659"/>
      <c r="AK682" s="659"/>
      <c r="AL682" s="659"/>
      <c r="AM682" s="659"/>
      <c r="AN682" s="659"/>
      <c r="AO682" s="659"/>
      <c r="AP682" s="659"/>
      <c r="AQ682" s="746"/>
    </row>
    <row r="683">
      <c r="A683" s="1002"/>
      <c r="B683" s="1004"/>
      <c r="C683" s="1005"/>
      <c r="D683" s="645"/>
      <c r="E683" s="645"/>
      <c r="F683" s="951"/>
      <c r="G683" s="951"/>
      <c r="H683" s="951"/>
      <c r="I683" s="951"/>
      <c r="J683" s="951"/>
      <c r="K683" s="951"/>
      <c r="L683" s="951"/>
      <c r="M683" s="951"/>
      <c r="N683" s="659"/>
      <c r="O683" s="951"/>
      <c r="P683" s="951"/>
      <c r="Q683" s="659"/>
      <c r="R683" s="659"/>
      <c r="S683" s="659"/>
      <c r="T683" s="659"/>
      <c r="U683" s="659"/>
      <c r="V683" s="659"/>
      <c r="W683" s="659"/>
      <c r="X683" s="659"/>
      <c r="Y683" s="659"/>
      <c r="Z683" s="659"/>
      <c r="AA683" s="659"/>
      <c r="AB683" s="659"/>
      <c r="AC683" s="659"/>
      <c r="AD683" s="659"/>
      <c r="AE683" s="659"/>
      <c r="AF683" s="659"/>
      <c r="AG683" s="659"/>
      <c r="AH683" s="659"/>
      <c r="AI683" s="659"/>
      <c r="AJ683" s="659"/>
      <c r="AK683" s="659"/>
      <c r="AL683" s="659"/>
      <c r="AM683" s="659"/>
      <c r="AN683" s="659"/>
      <c r="AO683" s="659"/>
      <c r="AP683" s="659"/>
      <c r="AQ683" s="746"/>
    </row>
    <row r="684">
      <c r="A684" s="1002"/>
      <c r="B684" s="1004"/>
      <c r="C684" s="1005"/>
      <c r="D684" s="645"/>
      <c r="E684" s="645"/>
      <c r="F684" s="951"/>
      <c r="G684" s="951"/>
      <c r="H684" s="951"/>
      <c r="I684" s="951"/>
      <c r="J684" s="951"/>
      <c r="K684" s="951"/>
      <c r="L684" s="951"/>
      <c r="M684" s="951"/>
      <c r="N684" s="659"/>
      <c r="O684" s="951"/>
      <c r="P684" s="951"/>
      <c r="Q684" s="659"/>
      <c r="R684" s="659"/>
      <c r="S684" s="659"/>
      <c r="T684" s="659"/>
      <c r="U684" s="659"/>
      <c r="V684" s="659"/>
      <c r="W684" s="659"/>
      <c r="X684" s="659"/>
      <c r="Y684" s="659"/>
      <c r="Z684" s="659"/>
      <c r="AA684" s="659"/>
      <c r="AB684" s="659"/>
      <c r="AC684" s="659"/>
      <c r="AD684" s="659"/>
      <c r="AE684" s="659"/>
      <c r="AF684" s="659"/>
      <c r="AG684" s="659"/>
      <c r="AH684" s="659"/>
      <c r="AI684" s="659"/>
      <c r="AJ684" s="659"/>
      <c r="AK684" s="659"/>
      <c r="AL684" s="659"/>
      <c r="AM684" s="659"/>
      <c r="AN684" s="659"/>
      <c r="AO684" s="659"/>
      <c r="AP684" s="659"/>
      <c r="AQ684" s="746"/>
    </row>
    <row r="685">
      <c r="A685" s="1002"/>
      <c r="B685" s="1004"/>
      <c r="C685" s="1005"/>
      <c r="D685" s="645"/>
      <c r="E685" s="645"/>
      <c r="F685" s="951"/>
      <c r="G685" s="951"/>
      <c r="H685" s="951"/>
      <c r="I685" s="951"/>
      <c r="J685" s="951"/>
      <c r="K685" s="951"/>
      <c r="L685" s="951"/>
      <c r="M685" s="951"/>
      <c r="N685" s="659"/>
      <c r="O685" s="951"/>
      <c r="P685" s="951"/>
      <c r="Q685" s="659"/>
      <c r="R685" s="659"/>
      <c r="S685" s="659"/>
      <c r="T685" s="659"/>
      <c r="U685" s="659"/>
      <c r="V685" s="659"/>
      <c r="W685" s="659"/>
      <c r="X685" s="659"/>
      <c r="Y685" s="659"/>
      <c r="Z685" s="659"/>
      <c r="AA685" s="659"/>
      <c r="AB685" s="659"/>
      <c r="AC685" s="659"/>
      <c r="AD685" s="659"/>
      <c r="AE685" s="659"/>
      <c r="AF685" s="659"/>
      <c r="AG685" s="659"/>
      <c r="AH685" s="659"/>
      <c r="AI685" s="659"/>
      <c r="AJ685" s="659"/>
      <c r="AK685" s="659"/>
      <c r="AL685" s="659"/>
      <c r="AM685" s="659"/>
      <c r="AN685" s="659"/>
      <c r="AO685" s="659"/>
      <c r="AP685" s="659"/>
      <c r="AQ685" s="746"/>
    </row>
    <row r="686">
      <c r="A686" s="1002"/>
      <c r="B686" s="1004"/>
      <c r="C686" s="1005"/>
      <c r="D686" s="645"/>
      <c r="E686" s="645"/>
      <c r="F686" s="951"/>
      <c r="G686" s="951"/>
      <c r="H686" s="951"/>
      <c r="I686" s="951"/>
      <c r="J686" s="951"/>
      <c r="K686" s="951"/>
      <c r="L686" s="951"/>
      <c r="M686" s="951"/>
      <c r="N686" s="659"/>
      <c r="O686" s="951"/>
      <c r="P686" s="951"/>
      <c r="Q686" s="659"/>
      <c r="R686" s="659"/>
      <c r="S686" s="659"/>
      <c r="T686" s="659"/>
      <c r="U686" s="659"/>
      <c r="V686" s="659"/>
      <c r="W686" s="659"/>
      <c r="X686" s="659"/>
      <c r="Y686" s="659"/>
      <c r="Z686" s="659"/>
      <c r="AA686" s="659"/>
      <c r="AB686" s="659"/>
      <c r="AC686" s="659"/>
      <c r="AD686" s="659"/>
      <c r="AE686" s="659"/>
      <c r="AF686" s="659"/>
      <c r="AG686" s="659"/>
      <c r="AH686" s="659"/>
      <c r="AI686" s="659"/>
      <c r="AJ686" s="659"/>
      <c r="AK686" s="659"/>
      <c r="AL686" s="659"/>
      <c r="AM686" s="659"/>
      <c r="AN686" s="659"/>
      <c r="AO686" s="659"/>
      <c r="AP686" s="659"/>
      <c r="AQ686" s="746"/>
    </row>
    <row r="687">
      <c r="A687" s="1002"/>
      <c r="B687" s="1004"/>
      <c r="C687" s="1005"/>
      <c r="D687" s="645"/>
      <c r="E687" s="645"/>
      <c r="F687" s="951"/>
      <c r="G687" s="951"/>
      <c r="H687" s="951"/>
      <c r="I687" s="951"/>
      <c r="J687" s="951"/>
      <c r="K687" s="951"/>
      <c r="L687" s="951"/>
      <c r="M687" s="951"/>
      <c r="N687" s="659"/>
      <c r="O687" s="951"/>
      <c r="P687" s="951"/>
      <c r="Q687" s="659"/>
      <c r="R687" s="659"/>
      <c r="S687" s="659"/>
      <c r="T687" s="659"/>
      <c r="U687" s="659"/>
      <c r="V687" s="659"/>
      <c r="W687" s="659"/>
      <c r="X687" s="659"/>
      <c r="Y687" s="659"/>
      <c r="Z687" s="659"/>
      <c r="AA687" s="659"/>
      <c r="AB687" s="659"/>
      <c r="AC687" s="659"/>
      <c r="AD687" s="659"/>
      <c r="AE687" s="659"/>
      <c r="AF687" s="659"/>
      <c r="AG687" s="659"/>
      <c r="AH687" s="659"/>
      <c r="AI687" s="659"/>
      <c r="AJ687" s="659"/>
      <c r="AK687" s="659"/>
      <c r="AL687" s="659"/>
      <c r="AM687" s="659"/>
      <c r="AN687" s="659"/>
      <c r="AO687" s="659"/>
      <c r="AP687" s="659"/>
      <c r="AQ687" s="746"/>
    </row>
    <row r="688">
      <c r="A688" s="1002"/>
      <c r="B688" s="1004"/>
      <c r="C688" s="1005"/>
      <c r="D688" s="645"/>
      <c r="E688" s="645"/>
      <c r="F688" s="951"/>
      <c r="G688" s="951"/>
      <c r="H688" s="951"/>
      <c r="I688" s="951"/>
      <c r="J688" s="951"/>
      <c r="K688" s="951"/>
      <c r="L688" s="951"/>
      <c r="M688" s="951"/>
      <c r="N688" s="659"/>
      <c r="O688" s="951"/>
      <c r="P688" s="951"/>
      <c r="Q688" s="659"/>
      <c r="R688" s="659"/>
      <c r="S688" s="659"/>
      <c r="T688" s="659"/>
      <c r="U688" s="659"/>
      <c r="V688" s="659"/>
      <c r="W688" s="659"/>
      <c r="X688" s="659"/>
      <c r="Y688" s="659"/>
      <c r="Z688" s="659"/>
      <c r="AA688" s="659"/>
      <c r="AB688" s="659"/>
      <c r="AC688" s="659"/>
      <c r="AD688" s="659"/>
      <c r="AE688" s="659"/>
      <c r="AF688" s="659"/>
      <c r="AG688" s="659"/>
      <c r="AH688" s="659"/>
      <c r="AI688" s="659"/>
      <c r="AJ688" s="659"/>
      <c r="AK688" s="659"/>
      <c r="AL688" s="659"/>
      <c r="AM688" s="659"/>
      <c r="AN688" s="659"/>
      <c r="AO688" s="659"/>
      <c r="AP688" s="659"/>
      <c r="AQ688" s="746"/>
    </row>
    <row r="689">
      <c r="A689" s="1002"/>
      <c r="B689" s="1004"/>
      <c r="C689" s="1005"/>
      <c r="D689" s="645"/>
      <c r="E689" s="645"/>
      <c r="F689" s="951"/>
      <c r="G689" s="951"/>
      <c r="H689" s="951"/>
      <c r="I689" s="951"/>
      <c r="J689" s="951"/>
      <c r="K689" s="951"/>
      <c r="L689" s="951"/>
      <c r="M689" s="951"/>
      <c r="N689" s="659"/>
      <c r="O689" s="951"/>
      <c r="P689" s="951"/>
      <c r="Q689" s="659"/>
      <c r="R689" s="659"/>
      <c r="S689" s="659"/>
      <c r="T689" s="659"/>
      <c r="U689" s="659"/>
      <c r="V689" s="659"/>
      <c r="W689" s="659"/>
      <c r="X689" s="659"/>
      <c r="Y689" s="659"/>
      <c r="Z689" s="659"/>
      <c r="AA689" s="659"/>
      <c r="AB689" s="659"/>
      <c r="AC689" s="659"/>
      <c r="AD689" s="659"/>
      <c r="AE689" s="659"/>
      <c r="AF689" s="659"/>
      <c r="AG689" s="659"/>
      <c r="AH689" s="659"/>
      <c r="AI689" s="659"/>
      <c r="AJ689" s="659"/>
      <c r="AK689" s="659"/>
      <c r="AL689" s="659"/>
      <c r="AM689" s="659"/>
      <c r="AN689" s="659"/>
      <c r="AO689" s="659"/>
      <c r="AP689" s="659"/>
      <c r="AQ689" s="746"/>
    </row>
    <row r="690">
      <c r="A690" s="1002"/>
      <c r="B690" s="1004"/>
      <c r="C690" s="1005"/>
      <c r="D690" s="645"/>
      <c r="E690" s="645"/>
      <c r="F690" s="951"/>
      <c r="G690" s="951"/>
      <c r="H690" s="951"/>
      <c r="I690" s="951"/>
      <c r="J690" s="951"/>
      <c r="K690" s="951"/>
      <c r="L690" s="951"/>
      <c r="M690" s="951"/>
      <c r="N690" s="659"/>
      <c r="O690" s="951"/>
      <c r="P690" s="951"/>
      <c r="Q690" s="659"/>
      <c r="R690" s="659"/>
      <c r="S690" s="659"/>
      <c r="T690" s="659"/>
      <c r="U690" s="659"/>
      <c r="V690" s="659"/>
      <c r="W690" s="659"/>
      <c r="X690" s="659"/>
      <c r="Y690" s="659"/>
      <c r="Z690" s="659"/>
      <c r="AA690" s="659"/>
      <c r="AB690" s="659"/>
      <c r="AC690" s="659"/>
      <c r="AD690" s="659"/>
      <c r="AE690" s="659"/>
      <c r="AF690" s="659"/>
      <c r="AG690" s="659"/>
      <c r="AH690" s="659"/>
      <c r="AI690" s="659"/>
      <c r="AJ690" s="659"/>
      <c r="AK690" s="659"/>
      <c r="AL690" s="659"/>
      <c r="AM690" s="659"/>
      <c r="AN690" s="659"/>
      <c r="AO690" s="659"/>
      <c r="AP690" s="659"/>
      <c r="AQ690" s="746"/>
    </row>
    <row r="691">
      <c r="A691" s="1002"/>
      <c r="B691" s="1004"/>
      <c r="C691" s="1005"/>
      <c r="D691" s="645"/>
      <c r="E691" s="645"/>
      <c r="F691" s="951"/>
      <c r="G691" s="951"/>
      <c r="H691" s="951"/>
      <c r="I691" s="951"/>
      <c r="J691" s="951"/>
      <c r="K691" s="951"/>
      <c r="L691" s="951"/>
      <c r="M691" s="951"/>
      <c r="N691" s="659"/>
      <c r="O691" s="951"/>
      <c r="P691" s="951"/>
      <c r="Q691" s="659"/>
      <c r="R691" s="659"/>
      <c r="S691" s="659"/>
      <c r="T691" s="659"/>
      <c r="U691" s="659"/>
      <c r="V691" s="659"/>
      <c r="W691" s="659"/>
      <c r="X691" s="659"/>
      <c r="Y691" s="659"/>
      <c r="Z691" s="659"/>
      <c r="AA691" s="659"/>
      <c r="AB691" s="659"/>
      <c r="AC691" s="659"/>
      <c r="AD691" s="659"/>
      <c r="AE691" s="659"/>
      <c r="AF691" s="659"/>
      <c r="AG691" s="659"/>
      <c r="AH691" s="659"/>
      <c r="AI691" s="659"/>
      <c r="AJ691" s="659"/>
      <c r="AK691" s="659"/>
      <c r="AL691" s="659"/>
      <c r="AM691" s="659"/>
      <c r="AN691" s="659"/>
      <c r="AO691" s="659"/>
      <c r="AP691" s="659"/>
      <c r="AQ691" s="746"/>
    </row>
    <row r="692">
      <c r="A692" s="1002"/>
      <c r="B692" s="1004"/>
      <c r="C692" s="1005"/>
      <c r="D692" s="645"/>
      <c r="E692" s="645"/>
      <c r="F692" s="951"/>
      <c r="G692" s="951"/>
      <c r="H692" s="951"/>
      <c r="I692" s="951"/>
      <c r="J692" s="951"/>
      <c r="K692" s="951"/>
      <c r="L692" s="951"/>
      <c r="M692" s="951"/>
      <c r="N692" s="659"/>
      <c r="O692" s="951"/>
      <c r="P692" s="951"/>
      <c r="Q692" s="659"/>
      <c r="R692" s="659"/>
      <c r="S692" s="659"/>
      <c r="T692" s="659"/>
      <c r="U692" s="659"/>
      <c r="V692" s="659"/>
      <c r="W692" s="659"/>
      <c r="X692" s="659"/>
      <c r="Y692" s="659"/>
      <c r="Z692" s="659"/>
      <c r="AA692" s="659"/>
      <c r="AB692" s="659"/>
      <c r="AC692" s="659"/>
      <c r="AD692" s="659"/>
      <c r="AE692" s="659"/>
      <c r="AF692" s="659"/>
      <c r="AG692" s="659"/>
      <c r="AH692" s="659"/>
      <c r="AI692" s="659"/>
      <c r="AJ692" s="659"/>
      <c r="AK692" s="659"/>
      <c r="AL692" s="659"/>
      <c r="AM692" s="659"/>
      <c r="AN692" s="659"/>
      <c r="AO692" s="659"/>
      <c r="AP692" s="659"/>
      <c r="AQ692" s="746"/>
    </row>
    <row r="693">
      <c r="A693" s="1002"/>
      <c r="B693" s="1004"/>
      <c r="C693" s="1005"/>
      <c r="D693" s="645"/>
      <c r="E693" s="645"/>
      <c r="F693" s="951"/>
      <c r="G693" s="951"/>
      <c r="H693" s="951"/>
      <c r="I693" s="951"/>
      <c r="J693" s="951"/>
      <c r="K693" s="951"/>
      <c r="L693" s="951"/>
      <c r="M693" s="951"/>
      <c r="N693" s="659"/>
      <c r="O693" s="951"/>
      <c r="P693" s="951"/>
      <c r="Q693" s="659"/>
      <c r="R693" s="659"/>
      <c r="S693" s="659"/>
      <c r="T693" s="659"/>
      <c r="U693" s="659"/>
      <c r="V693" s="659"/>
      <c r="W693" s="659"/>
      <c r="X693" s="659"/>
      <c r="Y693" s="659"/>
      <c r="Z693" s="659"/>
      <c r="AA693" s="659"/>
      <c r="AB693" s="659"/>
      <c r="AC693" s="659"/>
      <c r="AD693" s="659"/>
      <c r="AE693" s="659"/>
      <c r="AF693" s="659"/>
      <c r="AG693" s="659"/>
      <c r="AH693" s="659"/>
      <c r="AI693" s="659"/>
      <c r="AJ693" s="659"/>
      <c r="AK693" s="659"/>
      <c r="AL693" s="659"/>
      <c r="AM693" s="659"/>
      <c r="AN693" s="659"/>
      <c r="AO693" s="659"/>
      <c r="AP693" s="659"/>
      <c r="AQ693" s="746"/>
    </row>
    <row r="694">
      <c r="A694" s="1021"/>
      <c r="B694" s="1004"/>
      <c r="C694" s="1005"/>
      <c r="D694" s="645"/>
      <c r="E694" s="645"/>
      <c r="F694" s="951"/>
      <c r="G694" s="951"/>
      <c r="H694" s="951"/>
      <c r="I694" s="951"/>
      <c r="J694" s="951"/>
      <c r="K694" s="951"/>
      <c r="L694" s="951"/>
      <c r="M694" s="951"/>
      <c r="N694" s="659"/>
      <c r="O694" s="951"/>
      <c r="P694" s="951"/>
      <c r="Q694" s="659"/>
      <c r="R694" s="659"/>
      <c r="S694" s="659"/>
      <c r="T694" s="659"/>
      <c r="U694" s="659"/>
      <c r="V694" s="659"/>
      <c r="W694" s="659"/>
      <c r="X694" s="659"/>
      <c r="Y694" s="659"/>
      <c r="Z694" s="659"/>
      <c r="AA694" s="659"/>
      <c r="AB694" s="659"/>
      <c r="AC694" s="659"/>
      <c r="AD694" s="659"/>
      <c r="AE694" s="659"/>
      <c r="AF694" s="659"/>
      <c r="AG694" s="659"/>
      <c r="AH694" s="659"/>
      <c r="AI694" s="659"/>
      <c r="AJ694" s="659"/>
      <c r="AK694" s="659"/>
      <c r="AL694" s="659"/>
      <c r="AM694" s="659"/>
      <c r="AN694" s="659"/>
      <c r="AO694" s="659"/>
      <c r="AP694" s="659"/>
      <c r="AQ694" s="746"/>
    </row>
    <row r="695">
      <c r="A695" s="1002"/>
      <c r="B695" s="1004"/>
      <c r="C695" s="1005"/>
      <c r="D695" s="645"/>
      <c r="E695" s="645"/>
      <c r="F695" s="951"/>
      <c r="G695" s="951"/>
      <c r="H695" s="951"/>
      <c r="I695" s="951"/>
      <c r="J695" s="951"/>
      <c r="K695" s="951"/>
      <c r="L695" s="951"/>
      <c r="M695" s="951"/>
      <c r="N695" s="659"/>
      <c r="O695" s="951"/>
      <c r="P695" s="951"/>
      <c r="Q695" s="659"/>
      <c r="R695" s="659"/>
      <c r="S695" s="659"/>
      <c r="T695" s="659"/>
      <c r="U695" s="659"/>
      <c r="V695" s="659"/>
      <c r="W695" s="659"/>
      <c r="X695" s="659"/>
      <c r="Y695" s="659"/>
      <c r="Z695" s="659"/>
      <c r="AA695" s="659"/>
      <c r="AB695" s="659"/>
      <c r="AC695" s="659"/>
      <c r="AD695" s="659"/>
      <c r="AE695" s="659"/>
      <c r="AF695" s="659"/>
      <c r="AG695" s="659"/>
      <c r="AH695" s="659"/>
      <c r="AI695" s="659"/>
      <c r="AJ695" s="659"/>
      <c r="AK695" s="659"/>
      <c r="AL695" s="659"/>
      <c r="AM695" s="659"/>
      <c r="AN695" s="659"/>
      <c r="AO695" s="659"/>
      <c r="AP695" s="659"/>
      <c r="AQ695" s="746"/>
    </row>
    <row r="696">
      <c r="A696" s="1002"/>
      <c r="B696" s="1004"/>
      <c r="C696" s="1005"/>
      <c r="D696" s="645"/>
      <c r="E696" s="645"/>
      <c r="F696" s="951"/>
      <c r="G696" s="951"/>
      <c r="H696" s="951"/>
      <c r="I696" s="951"/>
      <c r="J696" s="951"/>
      <c r="K696" s="951"/>
      <c r="L696" s="951"/>
      <c r="M696" s="951"/>
      <c r="N696" s="659"/>
      <c r="O696" s="951"/>
      <c r="P696" s="951"/>
      <c r="Q696" s="659"/>
      <c r="R696" s="659"/>
      <c r="S696" s="659"/>
      <c r="T696" s="659"/>
      <c r="U696" s="659"/>
      <c r="V696" s="659"/>
      <c r="W696" s="659"/>
      <c r="X696" s="659"/>
      <c r="Y696" s="659"/>
      <c r="Z696" s="659"/>
      <c r="AA696" s="659"/>
      <c r="AB696" s="659"/>
      <c r="AC696" s="659"/>
      <c r="AD696" s="659"/>
      <c r="AE696" s="659"/>
      <c r="AF696" s="659"/>
      <c r="AG696" s="659"/>
      <c r="AH696" s="659"/>
      <c r="AI696" s="659"/>
      <c r="AJ696" s="659"/>
      <c r="AK696" s="659"/>
      <c r="AL696" s="659"/>
      <c r="AM696" s="659"/>
      <c r="AN696" s="659"/>
      <c r="AO696" s="659"/>
      <c r="AP696" s="659"/>
      <c r="AQ696" s="746"/>
    </row>
    <row r="697">
      <c r="A697" s="1002"/>
      <c r="B697" s="1004"/>
      <c r="C697" s="1005"/>
      <c r="D697" s="645"/>
      <c r="E697" s="645"/>
      <c r="F697" s="951"/>
      <c r="G697" s="951"/>
      <c r="H697" s="951"/>
      <c r="I697" s="951"/>
      <c r="J697" s="951"/>
      <c r="K697" s="951"/>
      <c r="L697" s="951"/>
      <c r="M697" s="951"/>
      <c r="N697" s="659"/>
      <c r="O697" s="951"/>
      <c r="P697" s="951"/>
      <c r="Q697" s="659"/>
      <c r="R697" s="659"/>
      <c r="S697" s="659"/>
      <c r="T697" s="659"/>
      <c r="U697" s="659"/>
      <c r="V697" s="659"/>
      <c r="W697" s="659"/>
      <c r="X697" s="659"/>
      <c r="Y697" s="659"/>
      <c r="Z697" s="659"/>
      <c r="AA697" s="659"/>
      <c r="AB697" s="659"/>
      <c r="AC697" s="659"/>
      <c r="AD697" s="659"/>
      <c r="AE697" s="659"/>
      <c r="AF697" s="659"/>
      <c r="AG697" s="659"/>
      <c r="AH697" s="659"/>
      <c r="AI697" s="659"/>
      <c r="AJ697" s="659"/>
      <c r="AK697" s="659"/>
      <c r="AL697" s="659"/>
      <c r="AM697" s="659"/>
      <c r="AN697" s="659"/>
      <c r="AO697" s="659"/>
      <c r="AP697" s="659"/>
      <c r="AQ697" s="746"/>
    </row>
    <row r="698">
      <c r="A698" s="1002"/>
      <c r="B698" s="1004"/>
      <c r="C698" s="1005"/>
      <c r="D698" s="645"/>
      <c r="E698" s="645"/>
      <c r="F698" s="951"/>
      <c r="G698" s="951"/>
      <c r="H698" s="951"/>
      <c r="I698" s="951"/>
      <c r="J698" s="951"/>
      <c r="K698" s="951"/>
      <c r="L698" s="951"/>
      <c r="M698" s="951"/>
      <c r="N698" s="659"/>
      <c r="O698" s="951"/>
      <c r="P698" s="951"/>
      <c r="Q698" s="659"/>
      <c r="R698" s="659"/>
      <c r="S698" s="659"/>
      <c r="T698" s="659"/>
      <c r="U698" s="659"/>
      <c r="V698" s="659"/>
      <c r="W698" s="659"/>
      <c r="X698" s="659"/>
      <c r="Y698" s="659"/>
      <c r="Z698" s="659"/>
      <c r="AA698" s="659"/>
      <c r="AB698" s="659"/>
      <c r="AC698" s="659"/>
      <c r="AD698" s="659"/>
      <c r="AE698" s="659"/>
      <c r="AF698" s="659"/>
      <c r="AG698" s="659"/>
      <c r="AH698" s="659"/>
      <c r="AI698" s="659"/>
      <c r="AJ698" s="659"/>
      <c r="AK698" s="659"/>
      <c r="AL698" s="659"/>
      <c r="AM698" s="659"/>
      <c r="AN698" s="659"/>
      <c r="AO698" s="659"/>
      <c r="AP698" s="659"/>
      <c r="AQ698" s="746"/>
    </row>
    <row r="699">
      <c r="A699" s="1002"/>
      <c r="B699" s="1004"/>
      <c r="C699" s="1005"/>
      <c r="D699" s="645"/>
      <c r="E699" s="645"/>
      <c r="F699" s="951"/>
      <c r="G699" s="951"/>
      <c r="H699" s="951"/>
      <c r="I699" s="951"/>
      <c r="J699" s="951"/>
      <c r="K699" s="951"/>
      <c r="L699" s="951"/>
      <c r="M699" s="951"/>
      <c r="N699" s="659"/>
      <c r="O699" s="951"/>
      <c r="P699" s="951"/>
      <c r="Q699" s="659"/>
      <c r="R699" s="659"/>
      <c r="S699" s="659"/>
      <c r="T699" s="659"/>
      <c r="U699" s="659"/>
      <c r="V699" s="659"/>
      <c r="W699" s="659"/>
      <c r="X699" s="659"/>
      <c r="Y699" s="659"/>
      <c r="Z699" s="659"/>
      <c r="AA699" s="659"/>
      <c r="AB699" s="659"/>
      <c r="AC699" s="659"/>
      <c r="AD699" s="659"/>
      <c r="AE699" s="659"/>
      <c r="AF699" s="659"/>
      <c r="AG699" s="659"/>
      <c r="AH699" s="659"/>
      <c r="AI699" s="659"/>
      <c r="AJ699" s="659"/>
      <c r="AK699" s="659"/>
      <c r="AL699" s="659"/>
      <c r="AM699" s="659"/>
      <c r="AN699" s="659"/>
      <c r="AO699" s="659"/>
      <c r="AP699" s="659"/>
      <c r="AQ699" s="746"/>
    </row>
    <row r="700">
      <c r="A700" s="1002"/>
      <c r="B700" s="1004"/>
      <c r="C700" s="1005"/>
      <c r="D700" s="645"/>
      <c r="E700" s="645"/>
      <c r="F700" s="951"/>
      <c r="G700" s="951"/>
      <c r="H700" s="951"/>
      <c r="I700" s="951"/>
      <c r="J700" s="951"/>
      <c r="K700" s="951"/>
      <c r="L700" s="951"/>
      <c r="M700" s="951"/>
      <c r="N700" s="659"/>
      <c r="O700" s="951"/>
      <c r="P700" s="951"/>
      <c r="Q700" s="659"/>
      <c r="R700" s="659"/>
      <c r="S700" s="659"/>
      <c r="T700" s="659"/>
      <c r="U700" s="659"/>
      <c r="V700" s="659"/>
      <c r="W700" s="659"/>
      <c r="X700" s="659"/>
      <c r="Y700" s="659"/>
      <c r="Z700" s="659"/>
      <c r="AA700" s="659"/>
      <c r="AB700" s="659"/>
      <c r="AC700" s="659"/>
      <c r="AD700" s="659"/>
      <c r="AE700" s="659"/>
      <c r="AF700" s="659"/>
      <c r="AG700" s="659"/>
      <c r="AH700" s="659"/>
      <c r="AI700" s="659"/>
      <c r="AJ700" s="659"/>
      <c r="AK700" s="659"/>
      <c r="AL700" s="659"/>
      <c r="AM700" s="659"/>
      <c r="AN700" s="659"/>
      <c r="AO700" s="659"/>
      <c r="AP700" s="659"/>
      <c r="AQ700" s="746"/>
    </row>
    <row r="701">
      <c r="A701" s="1002"/>
      <c r="B701" s="1004"/>
      <c r="C701" s="1005"/>
      <c r="D701" s="645"/>
      <c r="E701" s="645"/>
      <c r="F701" s="951"/>
      <c r="G701" s="951"/>
      <c r="H701" s="951"/>
      <c r="I701" s="951"/>
      <c r="J701" s="951"/>
      <c r="K701" s="951"/>
      <c r="L701" s="951"/>
      <c r="M701" s="951"/>
      <c r="N701" s="659"/>
      <c r="O701" s="951"/>
      <c r="P701" s="951"/>
      <c r="Q701" s="659"/>
      <c r="R701" s="659"/>
      <c r="S701" s="659"/>
      <c r="T701" s="659"/>
      <c r="U701" s="659"/>
      <c r="V701" s="659"/>
      <c r="W701" s="659"/>
      <c r="X701" s="659"/>
      <c r="Y701" s="659"/>
      <c r="Z701" s="659"/>
      <c r="AA701" s="659"/>
      <c r="AB701" s="659"/>
      <c r="AC701" s="659"/>
      <c r="AD701" s="659"/>
      <c r="AE701" s="659"/>
      <c r="AF701" s="659"/>
      <c r="AG701" s="659"/>
      <c r="AH701" s="659"/>
      <c r="AI701" s="659"/>
      <c r="AJ701" s="659"/>
      <c r="AK701" s="659"/>
      <c r="AL701" s="659"/>
      <c r="AM701" s="659"/>
      <c r="AN701" s="659"/>
      <c r="AO701" s="659"/>
      <c r="AP701" s="659"/>
      <c r="AQ701" s="746"/>
    </row>
    <row r="702">
      <c r="A702" s="1002"/>
      <c r="B702" s="1004"/>
      <c r="C702" s="1005"/>
      <c r="D702" s="645"/>
      <c r="E702" s="645"/>
      <c r="F702" s="951"/>
      <c r="G702" s="951"/>
      <c r="H702" s="951"/>
      <c r="I702" s="951"/>
      <c r="J702" s="951"/>
      <c r="K702" s="951"/>
      <c r="L702" s="951"/>
      <c r="M702" s="951"/>
      <c r="N702" s="659"/>
      <c r="O702" s="951"/>
      <c r="P702" s="951"/>
      <c r="Q702" s="659"/>
      <c r="R702" s="659"/>
      <c r="S702" s="659"/>
      <c r="T702" s="659"/>
      <c r="U702" s="659"/>
      <c r="V702" s="659"/>
      <c r="W702" s="659"/>
      <c r="X702" s="659"/>
      <c r="Y702" s="659"/>
      <c r="Z702" s="659"/>
      <c r="AA702" s="659"/>
      <c r="AB702" s="659"/>
      <c r="AC702" s="659"/>
      <c r="AD702" s="659"/>
      <c r="AE702" s="659"/>
      <c r="AF702" s="659"/>
      <c r="AG702" s="659"/>
      <c r="AH702" s="659"/>
      <c r="AI702" s="659"/>
      <c r="AJ702" s="659"/>
      <c r="AK702" s="659"/>
      <c r="AL702" s="659"/>
      <c r="AM702" s="659"/>
      <c r="AN702" s="659"/>
      <c r="AO702" s="659"/>
      <c r="AP702" s="659"/>
      <c r="AQ702" s="746"/>
    </row>
    <row r="703">
      <c r="A703" s="1002"/>
      <c r="B703" s="1004"/>
      <c r="C703" s="1005"/>
      <c r="D703" s="645"/>
      <c r="E703" s="645"/>
      <c r="F703" s="951"/>
      <c r="G703" s="951"/>
      <c r="H703" s="951"/>
      <c r="I703" s="951"/>
      <c r="J703" s="951"/>
      <c r="K703" s="951"/>
      <c r="L703" s="951"/>
      <c r="M703" s="951"/>
      <c r="N703" s="659"/>
      <c r="O703" s="951"/>
      <c r="P703" s="951"/>
      <c r="Q703" s="659"/>
      <c r="R703" s="659"/>
      <c r="S703" s="659"/>
      <c r="T703" s="659"/>
      <c r="U703" s="659"/>
      <c r="V703" s="659"/>
      <c r="W703" s="659"/>
      <c r="X703" s="659"/>
      <c r="Y703" s="659"/>
      <c r="Z703" s="659"/>
      <c r="AA703" s="659"/>
      <c r="AB703" s="659"/>
      <c r="AC703" s="659"/>
      <c r="AD703" s="659"/>
      <c r="AE703" s="659"/>
      <c r="AF703" s="659"/>
      <c r="AG703" s="659"/>
      <c r="AH703" s="659"/>
      <c r="AI703" s="659"/>
      <c r="AJ703" s="659"/>
      <c r="AK703" s="659"/>
      <c r="AL703" s="659"/>
      <c r="AM703" s="659"/>
      <c r="AN703" s="659"/>
      <c r="AO703" s="659"/>
      <c r="AP703" s="659"/>
      <c r="AQ703" s="746"/>
    </row>
    <row r="704">
      <c r="A704" s="1002"/>
      <c r="B704" s="1004"/>
      <c r="C704" s="1005"/>
      <c r="D704" s="645"/>
      <c r="E704" s="645"/>
      <c r="F704" s="951"/>
      <c r="G704" s="951"/>
      <c r="H704" s="951"/>
      <c r="I704" s="951"/>
      <c r="J704" s="951"/>
      <c r="K704" s="951"/>
      <c r="L704" s="951"/>
      <c r="M704" s="951"/>
      <c r="N704" s="659"/>
      <c r="O704" s="951"/>
      <c r="P704" s="951"/>
      <c r="Q704" s="659"/>
      <c r="R704" s="659"/>
      <c r="S704" s="659"/>
      <c r="T704" s="659"/>
      <c r="U704" s="659"/>
      <c r="V704" s="659"/>
      <c r="W704" s="659"/>
      <c r="X704" s="659"/>
      <c r="Y704" s="659"/>
      <c r="Z704" s="659"/>
      <c r="AA704" s="659"/>
      <c r="AB704" s="659"/>
      <c r="AC704" s="659"/>
      <c r="AD704" s="659"/>
      <c r="AE704" s="659"/>
      <c r="AF704" s="659"/>
      <c r="AG704" s="659"/>
      <c r="AH704" s="659"/>
      <c r="AI704" s="659"/>
      <c r="AJ704" s="659"/>
      <c r="AK704" s="659"/>
      <c r="AL704" s="659"/>
      <c r="AM704" s="659"/>
      <c r="AN704" s="659"/>
      <c r="AO704" s="659"/>
      <c r="AP704" s="659"/>
      <c r="AQ704" s="746"/>
    </row>
    <row r="705">
      <c r="A705" s="1002"/>
      <c r="B705" s="1004"/>
      <c r="C705" s="1005"/>
      <c r="D705" s="645"/>
      <c r="E705" s="645"/>
      <c r="F705" s="951"/>
      <c r="G705" s="951"/>
      <c r="H705" s="951"/>
      <c r="I705" s="951"/>
      <c r="J705" s="951"/>
      <c r="K705" s="951"/>
      <c r="L705" s="951"/>
      <c r="M705" s="951"/>
      <c r="N705" s="659"/>
      <c r="O705" s="951"/>
      <c r="P705" s="951"/>
      <c r="Q705" s="659"/>
      <c r="R705" s="659"/>
      <c r="S705" s="659"/>
      <c r="T705" s="659"/>
      <c r="U705" s="659"/>
      <c r="V705" s="659"/>
      <c r="W705" s="659"/>
      <c r="X705" s="659"/>
      <c r="Y705" s="659"/>
      <c r="Z705" s="659"/>
      <c r="AA705" s="659"/>
      <c r="AB705" s="659"/>
      <c r="AC705" s="659"/>
      <c r="AD705" s="659"/>
      <c r="AE705" s="659"/>
      <c r="AF705" s="659"/>
      <c r="AG705" s="659"/>
      <c r="AH705" s="659"/>
      <c r="AI705" s="659"/>
      <c r="AJ705" s="659"/>
      <c r="AK705" s="659"/>
      <c r="AL705" s="659"/>
      <c r="AM705" s="659"/>
      <c r="AN705" s="659"/>
      <c r="AO705" s="659"/>
      <c r="AP705" s="659"/>
      <c r="AQ705" s="746"/>
    </row>
    <row r="706">
      <c r="A706" s="1002"/>
      <c r="B706" s="1004"/>
      <c r="C706" s="1005"/>
      <c r="D706" s="645"/>
      <c r="E706" s="645"/>
      <c r="F706" s="951"/>
      <c r="G706" s="951"/>
      <c r="H706" s="951"/>
      <c r="I706" s="951"/>
      <c r="J706" s="951"/>
      <c r="K706" s="951"/>
      <c r="L706" s="951"/>
      <c r="M706" s="951"/>
      <c r="N706" s="659"/>
      <c r="O706" s="951"/>
      <c r="P706" s="951"/>
      <c r="Q706" s="659"/>
      <c r="R706" s="659"/>
      <c r="S706" s="659"/>
      <c r="T706" s="659"/>
      <c r="U706" s="659"/>
      <c r="V706" s="659"/>
      <c r="W706" s="659"/>
      <c r="X706" s="659"/>
      <c r="Y706" s="659"/>
      <c r="Z706" s="659"/>
      <c r="AA706" s="659"/>
      <c r="AB706" s="659"/>
      <c r="AC706" s="659"/>
      <c r="AD706" s="659"/>
      <c r="AE706" s="659"/>
      <c r="AF706" s="659"/>
      <c r="AG706" s="659"/>
      <c r="AH706" s="659"/>
      <c r="AI706" s="659"/>
      <c r="AJ706" s="659"/>
      <c r="AK706" s="659"/>
      <c r="AL706" s="659"/>
      <c r="AM706" s="659"/>
      <c r="AN706" s="659"/>
      <c r="AO706" s="659"/>
      <c r="AP706" s="659"/>
      <c r="AQ706" s="746"/>
    </row>
    <row r="707">
      <c r="A707" s="1002"/>
      <c r="B707" s="1004"/>
      <c r="C707" s="1005"/>
      <c r="D707" s="645"/>
      <c r="E707" s="645"/>
      <c r="F707" s="951"/>
      <c r="G707" s="951"/>
      <c r="H707" s="951"/>
      <c r="I707" s="951"/>
      <c r="J707" s="951"/>
      <c r="K707" s="951"/>
      <c r="L707" s="951"/>
      <c r="M707" s="951"/>
      <c r="N707" s="659"/>
      <c r="O707" s="951"/>
      <c r="P707" s="951"/>
      <c r="Q707" s="659"/>
      <c r="R707" s="659"/>
      <c r="S707" s="659"/>
      <c r="T707" s="659"/>
      <c r="U707" s="659"/>
      <c r="V707" s="659"/>
      <c r="W707" s="659"/>
      <c r="X707" s="659"/>
      <c r="Y707" s="659"/>
      <c r="Z707" s="659"/>
      <c r="AA707" s="659"/>
      <c r="AB707" s="659"/>
      <c r="AC707" s="659"/>
      <c r="AD707" s="659"/>
      <c r="AE707" s="659"/>
      <c r="AF707" s="659"/>
      <c r="AG707" s="659"/>
      <c r="AH707" s="659"/>
      <c r="AI707" s="659"/>
      <c r="AJ707" s="659"/>
      <c r="AK707" s="659"/>
      <c r="AL707" s="659"/>
      <c r="AM707" s="659"/>
      <c r="AN707" s="659"/>
      <c r="AO707" s="659"/>
      <c r="AP707" s="659"/>
      <c r="AQ707" s="746"/>
    </row>
    <row r="708">
      <c r="A708" s="1002"/>
      <c r="B708" s="1004"/>
      <c r="C708" s="1005"/>
      <c r="D708" s="645"/>
      <c r="E708" s="645"/>
      <c r="F708" s="951"/>
      <c r="G708" s="951"/>
      <c r="H708" s="951"/>
      <c r="I708" s="951"/>
      <c r="J708" s="951"/>
      <c r="K708" s="951"/>
      <c r="L708" s="951"/>
      <c r="M708" s="951"/>
      <c r="N708" s="659"/>
      <c r="O708" s="951"/>
      <c r="P708" s="951"/>
      <c r="Q708" s="659"/>
      <c r="R708" s="659"/>
      <c r="S708" s="659"/>
      <c r="T708" s="659"/>
      <c r="U708" s="659"/>
      <c r="V708" s="659"/>
      <c r="W708" s="659"/>
      <c r="X708" s="659"/>
      <c r="Y708" s="659"/>
      <c r="Z708" s="659"/>
      <c r="AA708" s="659"/>
      <c r="AB708" s="659"/>
      <c r="AC708" s="659"/>
      <c r="AD708" s="659"/>
      <c r="AE708" s="659"/>
      <c r="AF708" s="659"/>
      <c r="AG708" s="659"/>
      <c r="AH708" s="659"/>
      <c r="AI708" s="659"/>
      <c r="AJ708" s="659"/>
      <c r="AK708" s="659"/>
      <c r="AL708" s="659"/>
      <c r="AM708" s="659"/>
      <c r="AN708" s="659"/>
      <c r="AO708" s="659"/>
      <c r="AP708" s="659"/>
      <c r="AQ708" s="746"/>
    </row>
    <row r="709">
      <c r="A709" s="1002"/>
      <c r="B709" s="1004"/>
      <c r="C709" s="1005"/>
      <c r="D709" s="645"/>
      <c r="E709" s="645"/>
      <c r="F709" s="951"/>
      <c r="G709" s="951"/>
      <c r="H709" s="951"/>
      <c r="I709" s="951"/>
      <c r="J709" s="951"/>
      <c r="K709" s="951"/>
      <c r="L709" s="951"/>
      <c r="M709" s="951"/>
      <c r="N709" s="659"/>
      <c r="O709" s="951"/>
      <c r="P709" s="951"/>
      <c r="Q709" s="659"/>
      <c r="R709" s="659"/>
      <c r="S709" s="659"/>
      <c r="T709" s="659"/>
      <c r="U709" s="659"/>
      <c r="V709" s="659"/>
      <c r="W709" s="659"/>
      <c r="X709" s="659"/>
      <c r="Y709" s="659"/>
      <c r="Z709" s="659"/>
      <c r="AA709" s="659"/>
      <c r="AB709" s="659"/>
      <c r="AC709" s="659"/>
      <c r="AD709" s="659"/>
      <c r="AE709" s="659"/>
      <c r="AF709" s="659"/>
      <c r="AG709" s="659"/>
      <c r="AH709" s="659"/>
      <c r="AI709" s="659"/>
      <c r="AJ709" s="659"/>
      <c r="AK709" s="659"/>
      <c r="AL709" s="659"/>
      <c r="AM709" s="659"/>
      <c r="AN709" s="659"/>
      <c r="AO709" s="659"/>
      <c r="AP709" s="659"/>
      <c r="AQ709" s="746"/>
    </row>
    <row r="710">
      <c r="A710" s="1002"/>
      <c r="B710" s="1004"/>
      <c r="C710" s="1005"/>
      <c r="D710" s="645"/>
      <c r="E710" s="645"/>
      <c r="F710" s="951"/>
      <c r="G710" s="951"/>
      <c r="H710" s="951"/>
      <c r="I710" s="951"/>
      <c r="J710" s="951"/>
      <c r="K710" s="951"/>
      <c r="L710" s="951"/>
      <c r="M710" s="951"/>
      <c r="N710" s="659"/>
      <c r="O710" s="951"/>
      <c r="P710" s="951"/>
      <c r="Q710" s="659"/>
      <c r="R710" s="659"/>
      <c r="S710" s="659"/>
      <c r="T710" s="659"/>
      <c r="U710" s="659"/>
      <c r="V710" s="659"/>
      <c r="W710" s="659"/>
      <c r="X710" s="659"/>
      <c r="Y710" s="659"/>
      <c r="Z710" s="659"/>
      <c r="AA710" s="659"/>
      <c r="AB710" s="659"/>
      <c r="AC710" s="659"/>
      <c r="AD710" s="659"/>
      <c r="AE710" s="659"/>
      <c r="AF710" s="659"/>
      <c r="AG710" s="659"/>
      <c r="AH710" s="659"/>
      <c r="AI710" s="659"/>
      <c r="AJ710" s="659"/>
      <c r="AK710" s="659"/>
      <c r="AL710" s="659"/>
      <c r="AM710" s="659"/>
      <c r="AN710" s="659"/>
      <c r="AO710" s="659"/>
      <c r="AP710" s="659"/>
      <c r="AQ710" s="746"/>
    </row>
    <row r="711">
      <c r="A711" s="1002"/>
      <c r="B711" s="1004"/>
      <c r="C711" s="1005"/>
      <c r="D711" s="645"/>
      <c r="E711" s="645"/>
      <c r="F711" s="951"/>
      <c r="G711" s="951"/>
      <c r="H711" s="951"/>
      <c r="I711" s="951"/>
      <c r="J711" s="951"/>
      <c r="K711" s="951"/>
      <c r="L711" s="951"/>
      <c r="M711" s="951"/>
      <c r="N711" s="659"/>
      <c r="O711" s="951"/>
      <c r="P711" s="951"/>
      <c r="Q711" s="659"/>
      <c r="R711" s="659"/>
      <c r="S711" s="659"/>
      <c r="T711" s="659"/>
      <c r="U711" s="659"/>
      <c r="V711" s="659"/>
      <c r="W711" s="659"/>
      <c r="X711" s="659"/>
      <c r="Y711" s="659"/>
      <c r="Z711" s="659"/>
      <c r="AA711" s="659"/>
      <c r="AB711" s="659"/>
      <c r="AC711" s="659"/>
      <c r="AD711" s="659"/>
      <c r="AE711" s="659"/>
      <c r="AF711" s="659"/>
      <c r="AG711" s="659"/>
      <c r="AH711" s="659"/>
      <c r="AI711" s="659"/>
      <c r="AJ711" s="659"/>
      <c r="AK711" s="659"/>
      <c r="AL711" s="659"/>
      <c r="AM711" s="659"/>
      <c r="AN711" s="659"/>
      <c r="AO711" s="659"/>
      <c r="AP711" s="659"/>
      <c r="AQ711" s="746"/>
    </row>
    <row r="712">
      <c r="A712" s="1002"/>
      <c r="B712" s="1004"/>
      <c r="C712" s="1005"/>
      <c r="D712" s="645"/>
      <c r="E712" s="645"/>
      <c r="F712" s="951"/>
      <c r="G712" s="951"/>
      <c r="H712" s="951"/>
      <c r="I712" s="951"/>
      <c r="J712" s="951"/>
      <c r="K712" s="951"/>
      <c r="L712" s="951"/>
      <c r="M712" s="951"/>
      <c r="N712" s="659"/>
      <c r="O712" s="951"/>
      <c r="P712" s="951"/>
      <c r="Q712" s="659"/>
      <c r="R712" s="659"/>
      <c r="S712" s="659"/>
      <c r="T712" s="659"/>
      <c r="U712" s="659"/>
      <c r="V712" s="659"/>
      <c r="W712" s="659"/>
      <c r="X712" s="659"/>
      <c r="Y712" s="659"/>
      <c r="Z712" s="659"/>
      <c r="AA712" s="659"/>
      <c r="AB712" s="659"/>
      <c r="AC712" s="659"/>
      <c r="AD712" s="659"/>
      <c r="AE712" s="659"/>
      <c r="AF712" s="659"/>
      <c r="AG712" s="659"/>
      <c r="AH712" s="659"/>
      <c r="AI712" s="659"/>
      <c r="AJ712" s="659"/>
      <c r="AK712" s="659"/>
      <c r="AL712" s="659"/>
      <c r="AM712" s="659"/>
      <c r="AN712" s="659"/>
      <c r="AO712" s="659"/>
      <c r="AP712" s="659"/>
      <c r="AQ712" s="746"/>
    </row>
    <row r="713">
      <c r="A713" s="1002"/>
      <c r="B713" s="1004"/>
      <c r="C713" s="1005"/>
      <c r="D713" s="645"/>
      <c r="E713" s="645"/>
      <c r="F713" s="951"/>
      <c r="G713" s="951"/>
      <c r="H713" s="951"/>
      <c r="I713" s="951"/>
      <c r="J713" s="951"/>
      <c r="K713" s="951"/>
      <c r="L713" s="951"/>
      <c r="M713" s="951"/>
      <c r="N713" s="659"/>
      <c r="O713" s="951"/>
      <c r="P713" s="951"/>
      <c r="Q713" s="659"/>
      <c r="R713" s="659"/>
      <c r="S713" s="659"/>
      <c r="T713" s="659"/>
      <c r="U713" s="659"/>
      <c r="V713" s="659"/>
      <c r="W713" s="659"/>
      <c r="X713" s="659"/>
      <c r="Y713" s="659"/>
      <c r="Z713" s="659"/>
      <c r="AA713" s="659"/>
      <c r="AB713" s="659"/>
      <c r="AC713" s="659"/>
      <c r="AD713" s="659"/>
      <c r="AE713" s="659"/>
      <c r="AF713" s="659"/>
      <c r="AG713" s="659"/>
      <c r="AH713" s="659"/>
      <c r="AI713" s="659"/>
      <c r="AJ713" s="659"/>
      <c r="AK713" s="659"/>
      <c r="AL713" s="659"/>
      <c r="AM713" s="659"/>
      <c r="AN713" s="659"/>
      <c r="AO713" s="659"/>
      <c r="AP713" s="659"/>
      <c r="AQ713" s="746"/>
    </row>
    <row r="714">
      <c r="A714" s="1002"/>
      <c r="B714" s="1004"/>
      <c r="C714" s="1005"/>
      <c r="D714" s="645"/>
      <c r="E714" s="645"/>
      <c r="F714" s="951"/>
      <c r="G714" s="951"/>
      <c r="H714" s="951"/>
      <c r="I714" s="951"/>
      <c r="J714" s="951"/>
      <c r="K714" s="951"/>
      <c r="L714" s="951"/>
      <c r="M714" s="951"/>
      <c r="N714" s="659"/>
      <c r="O714" s="951"/>
      <c r="P714" s="951"/>
      <c r="Q714" s="659"/>
      <c r="R714" s="659"/>
      <c r="S714" s="659"/>
      <c r="T714" s="659"/>
      <c r="U714" s="659"/>
      <c r="V714" s="659"/>
      <c r="W714" s="659"/>
      <c r="X714" s="659"/>
      <c r="Y714" s="659"/>
      <c r="Z714" s="659"/>
      <c r="AA714" s="659"/>
      <c r="AB714" s="659"/>
      <c r="AC714" s="659"/>
      <c r="AD714" s="659"/>
      <c r="AE714" s="659"/>
      <c r="AF714" s="659"/>
      <c r="AG714" s="659"/>
      <c r="AH714" s="659"/>
      <c r="AI714" s="659"/>
      <c r="AJ714" s="659"/>
      <c r="AK714" s="659"/>
      <c r="AL714" s="659"/>
      <c r="AM714" s="659"/>
      <c r="AN714" s="659"/>
      <c r="AO714" s="659"/>
      <c r="AP714" s="659"/>
      <c r="AQ714" s="746"/>
    </row>
    <row r="715">
      <c r="A715" s="1002"/>
      <c r="B715" s="1004"/>
      <c r="C715" s="1005"/>
      <c r="D715" s="645"/>
      <c r="E715" s="645"/>
      <c r="F715" s="951"/>
      <c r="G715" s="951"/>
      <c r="H715" s="951"/>
      <c r="I715" s="951"/>
      <c r="J715" s="951"/>
      <c r="K715" s="951"/>
      <c r="L715" s="951"/>
      <c r="M715" s="951"/>
      <c r="N715" s="659"/>
      <c r="O715" s="951"/>
      <c r="P715" s="951"/>
      <c r="Q715" s="659"/>
      <c r="R715" s="659"/>
      <c r="S715" s="659"/>
      <c r="T715" s="659"/>
      <c r="U715" s="659"/>
      <c r="V715" s="659"/>
      <c r="W715" s="659"/>
      <c r="X715" s="659"/>
      <c r="Y715" s="659"/>
      <c r="Z715" s="659"/>
      <c r="AA715" s="659"/>
      <c r="AB715" s="659"/>
      <c r="AC715" s="659"/>
      <c r="AD715" s="659"/>
      <c r="AE715" s="659"/>
      <c r="AF715" s="659"/>
      <c r="AG715" s="659"/>
      <c r="AH715" s="659"/>
      <c r="AI715" s="659"/>
      <c r="AJ715" s="659"/>
      <c r="AK715" s="659"/>
      <c r="AL715" s="659"/>
      <c r="AM715" s="659"/>
      <c r="AN715" s="659"/>
      <c r="AO715" s="659"/>
      <c r="AP715" s="659"/>
      <c r="AQ715" s="746"/>
    </row>
    <row r="716">
      <c r="A716" s="1002"/>
      <c r="B716" s="1004"/>
      <c r="C716" s="1005"/>
      <c r="D716" s="645"/>
      <c r="E716" s="645"/>
      <c r="F716" s="951"/>
      <c r="G716" s="951"/>
      <c r="H716" s="951"/>
      <c r="I716" s="951"/>
      <c r="J716" s="951"/>
      <c r="K716" s="951"/>
      <c r="L716" s="951"/>
      <c r="M716" s="951"/>
      <c r="N716" s="659"/>
      <c r="O716" s="951"/>
      <c r="P716" s="951"/>
      <c r="Q716" s="659"/>
      <c r="R716" s="659"/>
      <c r="S716" s="659"/>
      <c r="T716" s="659"/>
      <c r="U716" s="659"/>
      <c r="V716" s="659"/>
      <c r="W716" s="659"/>
      <c r="X716" s="659"/>
      <c r="Y716" s="659"/>
      <c r="Z716" s="659"/>
      <c r="AA716" s="659"/>
      <c r="AB716" s="659"/>
      <c r="AC716" s="659"/>
      <c r="AD716" s="659"/>
      <c r="AE716" s="659"/>
      <c r="AF716" s="659"/>
      <c r="AG716" s="659"/>
      <c r="AH716" s="659"/>
      <c r="AI716" s="659"/>
      <c r="AJ716" s="659"/>
      <c r="AK716" s="659"/>
      <c r="AL716" s="659"/>
      <c r="AM716" s="659"/>
      <c r="AN716" s="659"/>
      <c r="AO716" s="659"/>
      <c r="AP716" s="659"/>
      <c r="AQ716" s="746"/>
    </row>
    <row r="717">
      <c r="A717" s="1002"/>
      <c r="B717" s="1004"/>
      <c r="C717" s="1005"/>
      <c r="D717" s="645"/>
      <c r="E717" s="645"/>
      <c r="F717" s="951"/>
      <c r="G717" s="951"/>
      <c r="H717" s="951"/>
      <c r="I717" s="951"/>
      <c r="J717" s="951"/>
      <c r="K717" s="951"/>
      <c r="L717" s="951"/>
      <c r="M717" s="951"/>
      <c r="N717" s="659"/>
      <c r="O717" s="951"/>
      <c r="P717" s="951"/>
      <c r="Q717" s="659"/>
      <c r="R717" s="659"/>
      <c r="S717" s="659"/>
      <c r="T717" s="659"/>
      <c r="U717" s="659"/>
      <c r="V717" s="659"/>
      <c r="W717" s="659"/>
      <c r="X717" s="659"/>
      <c r="Y717" s="659"/>
      <c r="Z717" s="659"/>
      <c r="AA717" s="659"/>
      <c r="AB717" s="659"/>
      <c r="AC717" s="659"/>
      <c r="AD717" s="659"/>
      <c r="AE717" s="659"/>
      <c r="AF717" s="659"/>
      <c r="AG717" s="659"/>
      <c r="AH717" s="659"/>
      <c r="AI717" s="659"/>
      <c r="AJ717" s="659"/>
      <c r="AK717" s="659"/>
      <c r="AL717" s="659"/>
      <c r="AM717" s="659"/>
      <c r="AN717" s="659"/>
      <c r="AO717" s="659"/>
      <c r="AP717" s="659"/>
      <c r="AQ717" s="746"/>
    </row>
    <row r="718">
      <c r="A718" s="1002"/>
      <c r="B718" s="1004"/>
      <c r="C718" s="1005"/>
      <c r="D718" s="645"/>
      <c r="E718" s="645"/>
      <c r="F718" s="951"/>
      <c r="G718" s="951"/>
      <c r="H718" s="951"/>
      <c r="I718" s="951"/>
      <c r="J718" s="951"/>
      <c r="K718" s="951"/>
      <c r="L718" s="951"/>
      <c r="M718" s="951"/>
      <c r="N718" s="659"/>
      <c r="O718" s="951"/>
      <c r="P718" s="951"/>
      <c r="Q718" s="659"/>
      <c r="R718" s="659"/>
      <c r="S718" s="659"/>
      <c r="T718" s="659"/>
      <c r="U718" s="659"/>
      <c r="V718" s="659"/>
      <c r="W718" s="659"/>
      <c r="X718" s="659"/>
      <c r="Y718" s="659"/>
      <c r="Z718" s="659"/>
      <c r="AA718" s="659"/>
      <c r="AB718" s="659"/>
      <c r="AC718" s="659"/>
      <c r="AD718" s="659"/>
      <c r="AE718" s="659"/>
      <c r="AF718" s="659"/>
      <c r="AG718" s="659"/>
      <c r="AH718" s="659"/>
      <c r="AI718" s="659"/>
      <c r="AJ718" s="659"/>
      <c r="AK718" s="659"/>
      <c r="AL718" s="659"/>
      <c r="AM718" s="659"/>
      <c r="AN718" s="659"/>
      <c r="AO718" s="659"/>
      <c r="AP718" s="659"/>
      <c r="AQ718" s="746"/>
    </row>
    <row r="719">
      <c r="A719" s="1002"/>
      <c r="B719" s="1004"/>
      <c r="C719" s="1005"/>
      <c r="D719" s="645"/>
      <c r="E719" s="645"/>
      <c r="F719" s="951"/>
      <c r="G719" s="951"/>
      <c r="H719" s="951"/>
      <c r="I719" s="951"/>
      <c r="J719" s="951"/>
      <c r="K719" s="951"/>
      <c r="L719" s="951"/>
      <c r="M719" s="951"/>
      <c r="N719" s="659"/>
      <c r="O719" s="951"/>
      <c r="P719" s="951"/>
      <c r="Q719" s="659"/>
      <c r="R719" s="659"/>
      <c r="S719" s="659"/>
      <c r="T719" s="659"/>
      <c r="U719" s="659"/>
      <c r="V719" s="659"/>
      <c r="W719" s="659"/>
      <c r="X719" s="659"/>
      <c r="Y719" s="659"/>
      <c r="Z719" s="659"/>
      <c r="AA719" s="659"/>
      <c r="AB719" s="659"/>
      <c r="AC719" s="659"/>
      <c r="AD719" s="659"/>
      <c r="AE719" s="659"/>
      <c r="AF719" s="659"/>
      <c r="AG719" s="659"/>
      <c r="AH719" s="659"/>
      <c r="AI719" s="659"/>
      <c r="AJ719" s="659"/>
      <c r="AK719" s="659"/>
      <c r="AL719" s="659"/>
      <c r="AM719" s="659"/>
      <c r="AN719" s="659"/>
      <c r="AO719" s="659"/>
      <c r="AP719" s="659"/>
      <c r="AQ719" s="746"/>
    </row>
    <row r="720">
      <c r="A720" s="1002"/>
      <c r="B720" s="1004"/>
      <c r="C720" s="1005"/>
      <c r="D720" s="645"/>
      <c r="E720" s="645"/>
      <c r="F720" s="951"/>
      <c r="G720" s="951"/>
      <c r="H720" s="951"/>
      <c r="I720" s="951"/>
      <c r="J720" s="951"/>
      <c r="K720" s="951"/>
      <c r="L720" s="951"/>
      <c r="M720" s="951"/>
      <c r="N720" s="659"/>
      <c r="O720" s="951"/>
      <c r="P720" s="951"/>
      <c r="Q720" s="659"/>
      <c r="R720" s="659"/>
      <c r="S720" s="659"/>
      <c r="T720" s="659"/>
      <c r="U720" s="659"/>
      <c r="V720" s="659"/>
      <c r="W720" s="659"/>
      <c r="X720" s="659"/>
      <c r="Y720" s="659"/>
      <c r="Z720" s="659"/>
      <c r="AA720" s="659"/>
      <c r="AB720" s="659"/>
      <c r="AC720" s="659"/>
      <c r="AD720" s="659"/>
      <c r="AE720" s="659"/>
      <c r="AF720" s="659"/>
      <c r="AG720" s="659"/>
      <c r="AH720" s="659"/>
      <c r="AI720" s="659"/>
      <c r="AJ720" s="659"/>
      <c r="AK720" s="659"/>
      <c r="AL720" s="659"/>
      <c r="AM720" s="659"/>
      <c r="AN720" s="659"/>
      <c r="AO720" s="659"/>
      <c r="AP720" s="659"/>
      <c r="AQ720" s="746"/>
    </row>
    <row r="721">
      <c r="A721" s="1002"/>
      <c r="B721" s="1004"/>
      <c r="C721" s="1005"/>
      <c r="D721" s="645"/>
      <c r="E721" s="645"/>
      <c r="F721" s="951"/>
      <c r="G721" s="951"/>
      <c r="H721" s="951"/>
      <c r="I721" s="951"/>
      <c r="J721" s="951"/>
      <c r="K721" s="951"/>
      <c r="L721" s="951"/>
      <c r="M721" s="951"/>
      <c r="N721" s="659"/>
      <c r="O721" s="951"/>
      <c r="P721" s="951"/>
      <c r="Q721" s="659"/>
      <c r="R721" s="659"/>
      <c r="S721" s="659"/>
      <c r="T721" s="659"/>
      <c r="U721" s="659"/>
      <c r="V721" s="659"/>
      <c r="W721" s="659"/>
      <c r="X721" s="659"/>
      <c r="Y721" s="659"/>
      <c r="Z721" s="659"/>
      <c r="AA721" s="659"/>
      <c r="AB721" s="659"/>
      <c r="AC721" s="659"/>
      <c r="AD721" s="659"/>
      <c r="AE721" s="659"/>
      <c r="AF721" s="659"/>
      <c r="AG721" s="659"/>
      <c r="AH721" s="659"/>
      <c r="AI721" s="659"/>
      <c r="AJ721" s="659"/>
      <c r="AK721" s="659"/>
      <c r="AL721" s="659"/>
      <c r="AM721" s="659"/>
      <c r="AN721" s="659"/>
      <c r="AO721" s="659"/>
      <c r="AP721" s="659"/>
      <c r="AQ721" s="746"/>
    </row>
    <row r="722">
      <c r="A722" s="1002"/>
      <c r="B722" s="1004"/>
      <c r="C722" s="1005"/>
      <c r="D722" s="645"/>
      <c r="E722" s="645"/>
      <c r="F722" s="951"/>
      <c r="G722" s="951"/>
      <c r="H722" s="951"/>
      <c r="I722" s="951"/>
      <c r="J722" s="951"/>
      <c r="K722" s="951"/>
      <c r="L722" s="951"/>
      <c r="M722" s="951"/>
      <c r="N722" s="659"/>
      <c r="O722" s="951"/>
      <c r="P722" s="951"/>
      <c r="Q722" s="659"/>
      <c r="R722" s="659"/>
      <c r="S722" s="659"/>
      <c r="T722" s="659"/>
      <c r="U722" s="659"/>
      <c r="V722" s="659"/>
      <c r="W722" s="659"/>
      <c r="X722" s="659"/>
      <c r="Y722" s="659"/>
      <c r="Z722" s="659"/>
      <c r="AA722" s="659"/>
      <c r="AB722" s="659"/>
      <c r="AC722" s="659"/>
      <c r="AD722" s="659"/>
      <c r="AE722" s="659"/>
      <c r="AF722" s="659"/>
      <c r="AG722" s="659"/>
      <c r="AH722" s="659"/>
      <c r="AI722" s="659"/>
      <c r="AJ722" s="659"/>
      <c r="AK722" s="659"/>
      <c r="AL722" s="659"/>
      <c r="AM722" s="659"/>
      <c r="AN722" s="659"/>
      <c r="AO722" s="659"/>
      <c r="AP722" s="659"/>
      <c r="AQ722" s="746"/>
    </row>
    <row r="723">
      <c r="A723" s="1002"/>
      <c r="B723" s="1004"/>
      <c r="C723" s="1005"/>
      <c r="D723" s="645"/>
      <c r="E723" s="645"/>
      <c r="F723" s="951"/>
      <c r="G723" s="951"/>
      <c r="H723" s="951"/>
      <c r="I723" s="951"/>
      <c r="J723" s="951"/>
      <c r="K723" s="951"/>
      <c r="L723" s="951"/>
      <c r="M723" s="951"/>
      <c r="N723" s="659"/>
      <c r="O723" s="951"/>
      <c r="P723" s="951"/>
      <c r="Q723" s="659"/>
      <c r="R723" s="659"/>
      <c r="S723" s="659"/>
      <c r="T723" s="659"/>
      <c r="U723" s="659"/>
      <c r="V723" s="659"/>
      <c r="W723" s="659"/>
      <c r="X723" s="659"/>
      <c r="Y723" s="659"/>
      <c r="Z723" s="659"/>
      <c r="AA723" s="659"/>
      <c r="AB723" s="659"/>
      <c r="AC723" s="659"/>
      <c r="AD723" s="659"/>
      <c r="AE723" s="659"/>
      <c r="AF723" s="659"/>
      <c r="AG723" s="659"/>
      <c r="AH723" s="659"/>
      <c r="AI723" s="659"/>
      <c r="AJ723" s="659"/>
      <c r="AK723" s="659"/>
      <c r="AL723" s="659"/>
      <c r="AM723" s="659"/>
      <c r="AN723" s="659"/>
      <c r="AO723" s="659"/>
      <c r="AP723" s="659"/>
      <c r="AQ723" s="746"/>
    </row>
    <row r="724">
      <c r="A724" s="1002"/>
      <c r="B724" s="1004"/>
      <c r="C724" s="1005"/>
      <c r="D724" s="645"/>
      <c r="E724" s="645"/>
      <c r="F724" s="951"/>
      <c r="G724" s="951"/>
      <c r="H724" s="951"/>
      <c r="I724" s="951"/>
      <c r="J724" s="951"/>
      <c r="K724" s="951"/>
      <c r="L724" s="951"/>
      <c r="M724" s="951"/>
      <c r="N724" s="659"/>
      <c r="O724" s="951"/>
      <c r="P724" s="951"/>
      <c r="Q724" s="659"/>
      <c r="R724" s="659"/>
      <c r="S724" s="659"/>
      <c r="T724" s="659"/>
      <c r="U724" s="659"/>
      <c r="V724" s="659"/>
      <c r="W724" s="659"/>
      <c r="X724" s="659"/>
      <c r="Y724" s="659"/>
      <c r="Z724" s="659"/>
      <c r="AA724" s="659"/>
      <c r="AB724" s="659"/>
      <c r="AC724" s="659"/>
      <c r="AD724" s="659"/>
      <c r="AE724" s="659"/>
      <c r="AF724" s="659"/>
      <c r="AG724" s="659"/>
      <c r="AH724" s="659"/>
      <c r="AI724" s="659"/>
      <c r="AJ724" s="659"/>
      <c r="AK724" s="659"/>
      <c r="AL724" s="659"/>
      <c r="AM724" s="659"/>
      <c r="AN724" s="659"/>
      <c r="AO724" s="659"/>
      <c r="AP724" s="659"/>
      <c r="AQ724" s="746"/>
    </row>
    <row r="725">
      <c r="A725" s="1002"/>
      <c r="B725" s="1004"/>
      <c r="C725" s="1005"/>
      <c r="D725" s="645"/>
      <c r="E725" s="645"/>
      <c r="F725" s="951"/>
      <c r="G725" s="951"/>
      <c r="H725" s="951"/>
      <c r="I725" s="951"/>
      <c r="J725" s="951"/>
      <c r="K725" s="951"/>
      <c r="L725" s="951"/>
      <c r="M725" s="951"/>
      <c r="N725" s="659"/>
      <c r="O725" s="951"/>
      <c r="P725" s="951"/>
      <c r="Q725" s="659"/>
      <c r="R725" s="659"/>
      <c r="S725" s="659"/>
      <c r="T725" s="659"/>
      <c r="U725" s="659"/>
      <c r="V725" s="659"/>
      <c r="W725" s="659"/>
      <c r="X725" s="659"/>
      <c r="Y725" s="659"/>
      <c r="Z725" s="659"/>
      <c r="AA725" s="659"/>
      <c r="AB725" s="659"/>
      <c r="AC725" s="659"/>
      <c r="AD725" s="659"/>
      <c r="AE725" s="659"/>
      <c r="AF725" s="659"/>
      <c r="AG725" s="659"/>
      <c r="AH725" s="659"/>
      <c r="AI725" s="659"/>
      <c r="AJ725" s="659"/>
      <c r="AK725" s="659"/>
      <c r="AL725" s="659"/>
      <c r="AM725" s="659"/>
      <c r="AN725" s="659"/>
      <c r="AO725" s="659"/>
      <c r="AP725" s="659"/>
      <c r="AQ725" s="746"/>
    </row>
    <row r="726">
      <c r="A726" s="1002"/>
      <c r="B726" s="1004"/>
      <c r="C726" s="1005"/>
      <c r="D726" s="645"/>
      <c r="E726" s="645"/>
      <c r="F726" s="951"/>
      <c r="G726" s="951"/>
      <c r="H726" s="951"/>
      <c r="I726" s="951"/>
      <c r="J726" s="951"/>
      <c r="K726" s="951"/>
      <c r="L726" s="951"/>
      <c r="M726" s="951"/>
      <c r="N726" s="659"/>
      <c r="O726" s="951"/>
      <c r="P726" s="951"/>
      <c r="Q726" s="659"/>
      <c r="R726" s="659"/>
      <c r="S726" s="659"/>
      <c r="T726" s="659"/>
      <c r="U726" s="659"/>
      <c r="V726" s="659"/>
      <c r="W726" s="659"/>
      <c r="X726" s="659"/>
      <c r="Y726" s="659"/>
      <c r="Z726" s="659"/>
      <c r="AA726" s="659"/>
      <c r="AB726" s="659"/>
      <c r="AC726" s="659"/>
      <c r="AD726" s="659"/>
      <c r="AE726" s="659"/>
      <c r="AF726" s="659"/>
      <c r="AG726" s="659"/>
      <c r="AH726" s="659"/>
      <c r="AI726" s="659"/>
      <c r="AJ726" s="659"/>
      <c r="AK726" s="659"/>
      <c r="AL726" s="659"/>
      <c r="AM726" s="659"/>
      <c r="AN726" s="659"/>
      <c r="AO726" s="659"/>
      <c r="AP726" s="659"/>
      <c r="AQ726" s="746"/>
    </row>
    <row r="727">
      <c r="A727" s="1002"/>
      <c r="B727" s="1004"/>
      <c r="C727" s="1005"/>
      <c r="D727" s="645"/>
      <c r="E727" s="645"/>
      <c r="F727" s="951"/>
      <c r="G727" s="951"/>
      <c r="H727" s="951"/>
      <c r="I727" s="951"/>
      <c r="J727" s="951"/>
      <c r="K727" s="951"/>
      <c r="L727" s="951"/>
      <c r="M727" s="951"/>
      <c r="N727" s="659"/>
      <c r="O727" s="951"/>
      <c r="P727" s="951"/>
      <c r="Q727" s="659"/>
      <c r="R727" s="659"/>
      <c r="S727" s="659"/>
      <c r="T727" s="659"/>
      <c r="U727" s="659"/>
      <c r="V727" s="659"/>
      <c r="W727" s="659"/>
      <c r="X727" s="659"/>
      <c r="Y727" s="659"/>
      <c r="Z727" s="659"/>
      <c r="AA727" s="659"/>
      <c r="AB727" s="659"/>
      <c r="AC727" s="659"/>
      <c r="AD727" s="659"/>
      <c r="AE727" s="659"/>
      <c r="AF727" s="659"/>
      <c r="AG727" s="659"/>
      <c r="AH727" s="659"/>
      <c r="AI727" s="659"/>
      <c r="AJ727" s="659"/>
      <c r="AK727" s="659"/>
      <c r="AL727" s="659"/>
      <c r="AM727" s="659"/>
      <c r="AN727" s="659"/>
      <c r="AO727" s="659"/>
      <c r="AP727" s="659"/>
      <c r="AQ727" s="746"/>
    </row>
    <row r="728">
      <c r="A728" s="1002"/>
      <c r="B728" s="1004"/>
      <c r="C728" s="1005"/>
      <c r="D728" s="645"/>
      <c r="E728" s="645"/>
      <c r="F728" s="951"/>
      <c r="G728" s="951"/>
      <c r="H728" s="951"/>
      <c r="I728" s="951"/>
      <c r="J728" s="951"/>
      <c r="K728" s="951"/>
      <c r="L728" s="951"/>
      <c r="M728" s="951"/>
      <c r="N728" s="659"/>
      <c r="O728" s="951"/>
      <c r="P728" s="951"/>
      <c r="Q728" s="659"/>
      <c r="R728" s="659"/>
      <c r="S728" s="659"/>
      <c r="T728" s="659"/>
      <c r="U728" s="659"/>
      <c r="V728" s="659"/>
      <c r="W728" s="659"/>
      <c r="X728" s="659"/>
      <c r="Y728" s="659"/>
      <c r="Z728" s="659"/>
      <c r="AA728" s="659"/>
      <c r="AB728" s="659"/>
      <c r="AC728" s="659"/>
      <c r="AD728" s="659"/>
      <c r="AE728" s="659"/>
      <c r="AF728" s="659"/>
      <c r="AG728" s="659"/>
      <c r="AH728" s="659"/>
      <c r="AI728" s="659"/>
      <c r="AJ728" s="659"/>
      <c r="AK728" s="659"/>
      <c r="AL728" s="659"/>
      <c r="AM728" s="659"/>
      <c r="AN728" s="659"/>
      <c r="AO728" s="659"/>
      <c r="AP728" s="659"/>
      <c r="AQ728" s="746"/>
    </row>
    <row r="729">
      <c r="A729" s="1002"/>
      <c r="B729" s="1004"/>
      <c r="C729" s="1005"/>
      <c r="D729" s="645"/>
      <c r="E729" s="645"/>
      <c r="F729" s="951"/>
      <c r="G729" s="951"/>
      <c r="H729" s="951"/>
      <c r="I729" s="951"/>
      <c r="J729" s="951"/>
      <c r="K729" s="951"/>
      <c r="L729" s="951"/>
      <c r="M729" s="951"/>
      <c r="N729" s="659"/>
      <c r="O729" s="951"/>
      <c r="P729" s="951"/>
      <c r="Q729" s="659"/>
      <c r="R729" s="659"/>
      <c r="S729" s="659"/>
      <c r="T729" s="659"/>
      <c r="U729" s="659"/>
      <c r="V729" s="659"/>
      <c r="W729" s="659"/>
      <c r="X729" s="659"/>
      <c r="Y729" s="659"/>
      <c r="Z729" s="659"/>
      <c r="AA729" s="659"/>
      <c r="AB729" s="659"/>
      <c r="AC729" s="659"/>
      <c r="AD729" s="659"/>
      <c r="AE729" s="659"/>
      <c r="AF729" s="659"/>
      <c r="AG729" s="659"/>
      <c r="AH729" s="659"/>
      <c r="AI729" s="659"/>
      <c r="AJ729" s="659"/>
      <c r="AK729" s="659"/>
      <c r="AL729" s="659"/>
      <c r="AM729" s="659"/>
      <c r="AN729" s="659"/>
      <c r="AO729" s="659"/>
      <c r="AP729" s="659"/>
      <c r="AQ729" s="746"/>
    </row>
    <row r="730">
      <c r="A730" s="1002"/>
      <c r="B730" s="1004"/>
      <c r="C730" s="1005"/>
      <c r="D730" s="645"/>
      <c r="E730" s="645"/>
      <c r="F730" s="951"/>
      <c r="G730" s="951"/>
      <c r="H730" s="951"/>
      <c r="I730" s="951"/>
      <c r="J730" s="951"/>
      <c r="K730" s="951"/>
      <c r="L730" s="951"/>
      <c r="M730" s="951"/>
      <c r="N730" s="659"/>
      <c r="O730" s="951"/>
      <c r="P730" s="951"/>
      <c r="Q730" s="659"/>
      <c r="R730" s="659"/>
      <c r="S730" s="659"/>
      <c r="T730" s="659"/>
      <c r="U730" s="659"/>
      <c r="V730" s="659"/>
      <c r="W730" s="659"/>
      <c r="X730" s="659"/>
      <c r="Y730" s="659"/>
      <c r="Z730" s="659"/>
      <c r="AA730" s="659"/>
      <c r="AB730" s="659"/>
      <c r="AC730" s="659"/>
      <c r="AD730" s="659"/>
      <c r="AE730" s="659"/>
      <c r="AF730" s="659"/>
      <c r="AG730" s="659"/>
      <c r="AH730" s="659"/>
      <c r="AI730" s="659"/>
      <c r="AJ730" s="659"/>
      <c r="AK730" s="659"/>
      <c r="AL730" s="659"/>
      <c r="AM730" s="659"/>
      <c r="AN730" s="659"/>
      <c r="AO730" s="659"/>
      <c r="AP730" s="659"/>
      <c r="AQ730" s="746"/>
    </row>
    <row r="731">
      <c r="A731" s="1002"/>
      <c r="B731" s="1004"/>
      <c r="C731" s="1005"/>
      <c r="D731" s="645"/>
      <c r="E731" s="645"/>
      <c r="F731" s="951"/>
      <c r="G731" s="951"/>
      <c r="H731" s="951"/>
      <c r="I731" s="951"/>
      <c r="J731" s="951"/>
      <c r="K731" s="951"/>
      <c r="L731" s="951"/>
      <c r="M731" s="951"/>
      <c r="N731" s="659"/>
      <c r="O731" s="951"/>
      <c r="P731" s="951"/>
      <c r="Q731" s="659"/>
      <c r="R731" s="659"/>
      <c r="S731" s="659"/>
      <c r="T731" s="659"/>
      <c r="U731" s="659"/>
      <c r="V731" s="659"/>
      <c r="W731" s="659"/>
      <c r="X731" s="659"/>
      <c r="Y731" s="659"/>
      <c r="Z731" s="659"/>
      <c r="AA731" s="659"/>
      <c r="AB731" s="659"/>
      <c r="AC731" s="659"/>
      <c r="AD731" s="659"/>
      <c r="AE731" s="659"/>
      <c r="AF731" s="659"/>
      <c r="AG731" s="659"/>
      <c r="AH731" s="659"/>
      <c r="AI731" s="659"/>
      <c r="AJ731" s="659"/>
      <c r="AK731" s="659"/>
      <c r="AL731" s="659"/>
      <c r="AM731" s="659"/>
      <c r="AN731" s="659"/>
      <c r="AO731" s="659"/>
      <c r="AP731" s="659"/>
      <c r="AQ731" s="746"/>
    </row>
    <row r="732">
      <c r="A732" s="1002"/>
      <c r="B732" s="1004"/>
      <c r="C732" s="1005"/>
      <c r="D732" s="645"/>
      <c r="E732" s="645"/>
      <c r="F732" s="951"/>
      <c r="G732" s="951"/>
      <c r="H732" s="951"/>
      <c r="I732" s="951"/>
      <c r="J732" s="951"/>
      <c r="K732" s="951"/>
      <c r="L732" s="951"/>
      <c r="M732" s="951"/>
      <c r="N732" s="659"/>
      <c r="O732" s="951"/>
      <c r="P732" s="951"/>
      <c r="Q732" s="659"/>
      <c r="R732" s="659"/>
      <c r="S732" s="659"/>
      <c r="T732" s="659"/>
      <c r="U732" s="659"/>
      <c r="V732" s="659"/>
      <c r="W732" s="659"/>
      <c r="X732" s="659"/>
      <c r="Y732" s="659"/>
      <c r="Z732" s="659"/>
      <c r="AA732" s="659"/>
      <c r="AB732" s="659"/>
      <c r="AC732" s="659"/>
      <c r="AD732" s="659"/>
      <c r="AE732" s="659"/>
      <c r="AF732" s="659"/>
      <c r="AG732" s="659"/>
      <c r="AH732" s="659"/>
      <c r="AI732" s="659"/>
      <c r="AJ732" s="659"/>
      <c r="AK732" s="659"/>
      <c r="AL732" s="659"/>
      <c r="AM732" s="659"/>
      <c r="AN732" s="659"/>
      <c r="AO732" s="659"/>
      <c r="AP732" s="659"/>
      <c r="AQ732" s="746"/>
    </row>
    <row r="733">
      <c r="A733" s="1002"/>
      <c r="B733" s="1004"/>
      <c r="C733" s="1005"/>
      <c r="D733" s="645"/>
      <c r="E733" s="645"/>
      <c r="F733" s="951"/>
      <c r="G733" s="951"/>
      <c r="H733" s="951"/>
      <c r="I733" s="951"/>
      <c r="J733" s="951"/>
      <c r="K733" s="951"/>
      <c r="L733" s="951"/>
      <c r="M733" s="951"/>
      <c r="N733" s="659"/>
      <c r="O733" s="951"/>
      <c r="P733" s="951"/>
      <c r="Q733" s="659"/>
      <c r="R733" s="659"/>
      <c r="S733" s="659"/>
      <c r="T733" s="659"/>
      <c r="U733" s="659"/>
      <c r="V733" s="659"/>
      <c r="W733" s="659"/>
      <c r="X733" s="659"/>
      <c r="Y733" s="659"/>
      <c r="Z733" s="659"/>
      <c r="AA733" s="659"/>
      <c r="AB733" s="659"/>
      <c r="AC733" s="659"/>
      <c r="AD733" s="659"/>
      <c r="AE733" s="659"/>
      <c r="AF733" s="659"/>
      <c r="AG733" s="659"/>
      <c r="AH733" s="659"/>
      <c r="AI733" s="659"/>
      <c r="AJ733" s="659"/>
      <c r="AK733" s="659"/>
      <c r="AL733" s="659"/>
      <c r="AM733" s="659"/>
      <c r="AN733" s="659"/>
      <c r="AO733" s="659"/>
      <c r="AP733" s="659"/>
      <c r="AQ733" s="746"/>
    </row>
    <row r="734">
      <c r="A734" s="1002"/>
      <c r="B734" s="1034"/>
      <c r="C734" s="1005"/>
      <c r="D734" s="645"/>
      <c r="E734" s="645"/>
      <c r="F734" s="951"/>
      <c r="G734" s="951"/>
      <c r="H734" s="951"/>
      <c r="I734" s="951"/>
      <c r="J734" s="951"/>
      <c r="K734" s="951"/>
      <c r="L734" s="951"/>
      <c r="M734" s="951"/>
      <c r="N734" s="659"/>
      <c r="O734" s="951"/>
      <c r="P734" s="951"/>
      <c r="Q734" s="659"/>
      <c r="R734" s="659"/>
      <c r="S734" s="659"/>
      <c r="T734" s="659"/>
      <c r="U734" s="659"/>
      <c r="V734" s="659"/>
      <c r="W734" s="659"/>
      <c r="X734" s="659"/>
      <c r="Y734" s="659"/>
      <c r="Z734" s="659"/>
      <c r="AA734" s="659"/>
      <c r="AB734" s="659"/>
      <c r="AC734" s="659"/>
      <c r="AD734" s="659"/>
      <c r="AE734" s="659"/>
      <c r="AF734" s="659"/>
      <c r="AG734" s="659"/>
      <c r="AH734" s="659"/>
      <c r="AI734" s="659"/>
      <c r="AJ734" s="659"/>
      <c r="AK734" s="659"/>
      <c r="AL734" s="659"/>
      <c r="AM734" s="659"/>
      <c r="AN734" s="659"/>
      <c r="AO734" s="659"/>
      <c r="AP734" s="659"/>
      <c r="AQ734" s="746"/>
    </row>
    <row r="735">
      <c r="A735" s="1002"/>
      <c r="B735" s="1004"/>
      <c r="C735" s="1005"/>
      <c r="D735" s="645"/>
      <c r="E735" s="645"/>
      <c r="F735" s="951"/>
      <c r="G735" s="951"/>
      <c r="H735" s="951"/>
      <c r="I735" s="951"/>
      <c r="J735" s="951"/>
      <c r="K735" s="951"/>
      <c r="L735" s="951"/>
      <c r="M735" s="951"/>
      <c r="N735" s="659"/>
      <c r="O735" s="951"/>
      <c r="P735" s="951"/>
      <c r="Q735" s="659"/>
      <c r="R735" s="659"/>
      <c r="S735" s="659"/>
      <c r="T735" s="659"/>
      <c r="U735" s="659"/>
      <c r="V735" s="659"/>
      <c r="W735" s="659"/>
      <c r="X735" s="659"/>
      <c r="Y735" s="659"/>
      <c r="Z735" s="659"/>
      <c r="AA735" s="659"/>
      <c r="AB735" s="659"/>
      <c r="AC735" s="659"/>
      <c r="AD735" s="659"/>
      <c r="AE735" s="659"/>
      <c r="AF735" s="659"/>
      <c r="AG735" s="659"/>
      <c r="AH735" s="659"/>
      <c r="AI735" s="659"/>
      <c r="AJ735" s="659"/>
      <c r="AK735" s="659"/>
      <c r="AL735" s="659"/>
      <c r="AM735" s="659"/>
      <c r="AN735" s="659"/>
      <c r="AO735" s="659"/>
      <c r="AP735" s="659"/>
      <c r="AQ735" s="746"/>
    </row>
    <row r="736">
      <c r="A736" s="1002"/>
      <c r="B736" s="1004"/>
      <c r="C736" s="1005"/>
      <c r="D736" s="645"/>
      <c r="E736" s="645"/>
      <c r="F736" s="951"/>
      <c r="G736" s="951"/>
      <c r="H736" s="951"/>
      <c r="I736" s="951"/>
      <c r="J736" s="951"/>
      <c r="K736" s="951"/>
      <c r="L736" s="951"/>
      <c r="M736" s="951"/>
      <c r="N736" s="659"/>
      <c r="O736" s="951"/>
      <c r="P736" s="951"/>
      <c r="Q736" s="659"/>
      <c r="R736" s="659"/>
      <c r="S736" s="659"/>
      <c r="T736" s="659"/>
      <c r="U736" s="659"/>
      <c r="V736" s="659"/>
      <c r="W736" s="659"/>
      <c r="X736" s="659"/>
      <c r="Y736" s="659"/>
      <c r="Z736" s="659"/>
      <c r="AA736" s="659"/>
      <c r="AB736" s="659"/>
      <c r="AC736" s="659"/>
      <c r="AD736" s="659"/>
      <c r="AE736" s="659"/>
      <c r="AF736" s="659"/>
      <c r="AG736" s="659"/>
      <c r="AH736" s="659"/>
      <c r="AI736" s="659"/>
      <c r="AJ736" s="659"/>
      <c r="AK736" s="659"/>
      <c r="AL736" s="659"/>
      <c r="AM736" s="659"/>
      <c r="AN736" s="659"/>
      <c r="AO736" s="659"/>
      <c r="AP736" s="659"/>
      <c r="AQ736" s="746"/>
    </row>
    <row r="737">
      <c r="A737" s="1002"/>
      <c r="B737" s="1004"/>
      <c r="C737" s="1005"/>
      <c r="D737" s="645"/>
      <c r="E737" s="645"/>
      <c r="F737" s="951"/>
      <c r="G737" s="951"/>
      <c r="H737" s="951"/>
      <c r="I737" s="951"/>
      <c r="J737" s="951"/>
      <c r="K737" s="951"/>
      <c r="L737" s="951"/>
      <c r="M737" s="951"/>
      <c r="N737" s="659"/>
      <c r="O737" s="951"/>
      <c r="P737" s="951"/>
      <c r="Q737" s="659"/>
      <c r="R737" s="659"/>
      <c r="S737" s="659"/>
      <c r="T737" s="659"/>
      <c r="U737" s="659"/>
      <c r="V737" s="659"/>
      <c r="W737" s="659"/>
      <c r="X737" s="659"/>
      <c r="Y737" s="659"/>
      <c r="Z737" s="659"/>
      <c r="AA737" s="659"/>
      <c r="AB737" s="659"/>
      <c r="AC737" s="659"/>
      <c r="AD737" s="659"/>
      <c r="AE737" s="659"/>
      <c r="AF737" s="659"/>
      <c r="AG737" s="659"/>
      <c r="AH737" s="659"/>
      <c r="AI737" s="659"/>
      <c r="AJ737" s="659"/>
      <c r="AK737" s="659"/>
      <c r="AL737" s="659"/>
      <c r="AM737" s="659"/>
      <c r="AN737" s="659"/>
      <c r="AO737" s="659"/>
      <c r="AP737" s="659"/>
      <c r="AQ737" s="746"/>
    </row>
    <row r="738">
      <c r="A738" s="1002"/>
      <c r="B738" s="1004"/>
      <c r="C738" s="1005"/>
      <c r="D738" s="645"/>
      <c r="E738" s="645"/>
      <c r="F738" s="951"/>
      <c r="G738" s="951"/>
      <c r="H738" s="951"/>
      <c r="I738" s="951"/>
      <c r="J738" s="951"/>
      <c r="K738" s="951"/>
      <c r="L738" s="951"/>
      <c r="M738" s="951"/>
      <c r="N738" s="659"/>
      <c r="O738" s="951"/>
      <c r="P738" s="951"/>
      <c r="Q738" s="659"/>
      <c r="R738" s="659"/>
      <c r="S738" s="659"/>
      <c r="T738" s="659"/>
      <c r="U738" s="659"/>
      <c r="V738" s="659"/>
      <c r="W738" s="659"/>
      <c r="X738" s="659"/>
      <c r="Y738" s="659"/>
      <c r="Z738" s="659"/>
      <c r="AA738" s="659"/>
      <c r="AB738" s="659"/>
      <c r="AC738" s="659"/>
      <c r="AD738" s="659"/>
      <c r="AE738" s="659"/>
      <c r="AF738" s="659"/>
      <c r="AG738" s="659"/>
      <c r="AH738" s="659"/>
      <c r="AI738" s="659"/>
      <c r="AJ738" s="659"/>
      <c r="AK738" s="659"/>
      <c r="AL738" s="659"/>
      <c r="AM738" s="659"/>
      <c r="AN738" s="659"/>
      <c r="AO738" s="659"/>
      <c r="AP738" s="659"/>
      <c r="AQ738" s="746"/>
    </row>
    <row r="739">
      <c r="A739" s="1002"/>
      <c r="B739" s="1004"/>
      <c r="C739" s="1005"/>
      <c r="D739" s="645"/>
      <c r="E739" s="645"/>
      <c r="F739" s="951"/>
      <c r="G739" s="951"/>
      <c r="H739" s="951"/>
      <c r="I739" s="951"/>
      <c r="J739" s="951"/>
      <c r="K739" s="951"/>
      <c r="L739" s="951"/>
      <c r="M739" s="951"/>
      <c r="N739" s="659"/>
      <c r="O739" s="951"/>
      <c r="P739" s="951"/>
      <c r="Q739" s="659"/>
      <c r="R739" s="659"/>
      <c r="S739" s="659"/>
      <c r="T739" s="659"/>
      <c r="U739" s="659"/>
      <c r="V739" s="659"/>
      <c r="W739" s="659"/>
      <c r="X739" s="659"/>
      <c r="Y739" s="659"/>
      <c r="Z739" s="659"/>
      <c r="AA739" s="659"/>
      <c r="AB739" s="659"/>
      <c r="AC739" s="659"/>
      <c r="AD739" s="659"/>
      <c r="AE739" s="659"/>
      <c r="AF739" s="659"/>
      <c r="AG739" s="659"/>
      <c r="AH739" s="659"/>
      <c r="AI739" s="659"/>
      <c r="AJ739" s="659"/>
      <c r="AK739" s="659"/>
      <c r="AL739" s="659"/>
      <c r="AM739" s="659"/>
      <c r="AN739" s="659"/>
      <c r="AO739" s="659"/>
      <c r="AP739" s="659"/>
      <c r="AQ739" s="746"/>
    </row>
    <row r="740">
      <c r="A740" s="1002"/>
      <c r="B740" s="1004"/>
      <c r="C740" s="1005"/>
      <c r="D740" s="645"/>
      <c r="E740" s="645"/>
      <c r="F740" s="951"/>
      <c r="G740" s="951"/>
      <c r="H740" s="951"/>
      <c r="I740" s="951"/>
      <c r="J740" s="951"/>
      <c r="K740" s="951"/>
      <c r="L740" s="951"/>
      <c r="M740" s="951"/>
      <c r="N740" s="659"/>
      <c r="O740" s="951"/>
      <c r="P740" s="951"/>
      <c r="Q740" s="659"/>
      <c r="R740" s="659"/>
      <c r="S740" s="659"/>
      <c r="T740" s="659"/>
      <c r="U740" s="659"/>
      <c r="V740" s="659"/>
      <c r="W740" s="659"/>
      <c r="X740" s="659"/>
      <c r="Y740" s="659"/>
      <c r="Z740" s="659"/>
      <c r="AA740" s="659"/>
      <c r="AB740" s="659"/>
      <c r="AC740" s="659"/>
      <c r="AD740" s="659"/>
      <c r="AE740" s="659"/>
      <c r="AF740" s="659"/>
      <c r="AG740" s="659"/>
      <c r="AH740" s="659"/>
      <c r="AI740" s="659"/>
      <c r="AJ740" s="659"/>
      <c r="AK740" s="659"/>
      <c r="AL740" s="659"/>
      <c r="AM740" s="659"/>
      <c r="AN740" s="659"/>
      <c r="AO740" s="659"/>
      <c r="AP740" s="659"/>
      <c r="AQ740" s="746"/>
    </row>
    <row r="741">
      <c r="A741" s="1002"/>
      <c r="B741" s="1004"/>
      <c r="C741" s="1005"/>
      <c r="D741" s="645"/>
      <c r="E741" s="645"/>
      <c r="F741" s="951"/>
      <c r="G741" s="951"/>
      <c r="H741" s="951"/>
      <c r="I741" s="951"/>
      <c r="J741" s="951"/>
      <c r="K741" s="951"/>
      <c r="L741" s="951"/>
      <c r="M741" s="951"/>
      <c r="N741" s="659"/>
      <c r="O741" s="951"/>
      <c r="P741" s="951"/>
      <c r="Q741" s="659"/>
      <c r="R741" s="659"/>
      <c r="S741" s="659"/>
      <c r="T741" s="659"/>
      <c r="U741" s="659"/>
      <c r="V741" s="659"/>
      <c r="W741" s="659"/>
      <c r="X741" s="659"/>
      <c r="Y741" s="659"/>
      <c r="Z741" s="659"/>
      <c r="AA741" s="659"/>
      <c r="AB741" s="659"/>
      <c r="AC741" s="659"/>
      <c r="AD741" s="659"/>
      <c r="AE741" s="659"/>
      <c r="AF741" s="659"/>
      <c r="AG741" s="659"/>
      <c r="AH741" s="659"/>
      <c r="AI741" s="659"/>
      <c r="AJ741" s="659"/>
      <c r="AK741" s="659"/>
      <c r="AL741" s="659"/>
      <c r="AM741" s="659"/>
      <c r="AN741" s="659"/>
      <c r="AO741" s="659"/>
      <c r="AP741" s="659"/>
      <c r="AQ741" s="746"/>
    </row>
    <row r="742">
      <c r="A742" s="1002"/>
      <c r="B742" s="1004"/>
      <c r="C742" s="1005"/>
      <c r="D742" s="645"/>
      <c r="E742" s="645"/>
      <c r="F742" s="951"/>
      <c r="G742" s="951"/>
      <c r="H742" s="951"/>
      <c r="I742" s="951"/>
      <c r="J742" s="951"/>
      <c r="K742" s="951"/>
      <c r="L742" s="951"/>
      <c r="M742" s="951"/>
      <c r="N742" s="659"/>
      <c r="O742" s="951"/>
      <c r="P742" s="951"/>
      <c r="Q742" s="659"/>
      <c r="R742" s="659"/>
      <c r="S742" s="659"/>
      <c r="T742" s="659"/>
      <c r="U742" s="659"/>
      <c r="V742" s="659"/>
      <c r="W742" s="659"/>
      <c r="X742" s="659"/>
      <c r="Y742" s="659"/>
      <c r="Z742" s="659"/>
      <c r="AA742" s="659"/>
      <c r="AB742" s="659"/>
      <c r="AC742" s="659"/>
      <c r="AD742" s="659"/>
      <c r="AE742" s="659"/>
      <c r="AF742" s="659"/>
      <c r="AG742" s="659"/>
      <c r="AH742" s="659"/>
      <c r="AI742" s="659"/>
      <c r="AJ742" s="659"/>
      <c r="AK742" s="659"/>
      <c r="AL742" s="659"/>
      <c r="AM742" s="659"/>
      <c r="AN742" s="659"/>
      <c r="AO742" s="659"/>
      <c r="AP742" s="659"/>
      <c r="AQ742" s="746"/>
    </row>
    <row r="743">
      <c r="A743" s="1002"/>
      <c r="B743" s="1004"/>
      <c r="C743" s="1005"/>
      <c r="D743" s="645"/>
      <c r="E743" s="645"/>
      <c r="F743" s="951"/>
      <c r="G743" s="951"/>
      <c r="H743" s="951"/>
      <c r="I743" s="951"/>
      <c r="J743" s="951"/>
      <c r="K743" s="951"/>
      <c r="L743" s="951"/>
      <c r="M743" s="951"/>
      <c r="N743" s="659"/>
      <c r="O743" s="951"/>
      <c r="P743" s="951"/>
      <c r="Q743" s="659"/>
      <c r="R743" s="659"/>
      <c r="S743" s="659"/>
      <c r="T743" s="659"/>
      <c r="U743" s="659"/>
      <c r="V743" s="659"/>
      <c r="W743" s="659"/>
      <c r="X743" s="659"/>
      <c r="Y743" s="659"/>
      <c r="Z743" s="659"/>
      <c r="AA743" s="659"/>
      <c r="AB743" s="659"/>
      <c r="AC743" s="659"/>
      <c r="AD743" s="659"/>
      <c r="AE743" s="659"/>
      <c r="AF743" s="659"/>
      <c r="AG743" s="659"/>
      <c r="AH743" s="659"/>
      <c r="AI743" s="659"/>
      <c r="AJ743" s="659"/>
      <c r="AK743" s="659"/>
      <c r="AL743" s="659"/>
      <c r="AM743" s="659"/>
      <c r="AN743" s="659"/>
      <c r="AO743" s="659"/>
      <c r="AP743" s="659"/>
      <c r="AQ743" s="746"/>
    </row>
    <row r="744">
      <c r="A744" s="1002"/>
      <c r="B744" s="1004"/>
      <c r="C744" s="1005"/>
      <c r="D744" s="645"/>
      <c r="E744" s="645"/>
      <c r="F744" s="951"/>
      <c r="G744" s="951"/>
      <c r="H744" s="951"/>
      <c r="I744" s="951"/>
      <c r="J744" s="951"/>
      <c r="K744" s="951"/>
      <c r="L744" s="951"/>
      <c r="M744" s="951"/>
      <c r="N744" s="659"/>
      <c r="O744" s="951"/>
      <c r="P744" s="951"/>
      <c r="Q744" s="659"/>
      <c r="R744" s="659"/>
      <c r="S744" s="659"/>
      <c r="T744" s="659"/>
      <c r="U744" s="659"/>
      <c r="V744" s="659"/>
      <c r="W744" s="659"/>
      <c r="X744" s="659"/>
      <c r="Y744" s="659"/>
      <c r="Z744" s="659"/>
      <c r="AA744" s="659"/>
      <c r="AB744" s="659"/>
      <c r="AC744" s="659"/>
      <c r="AD744" s="659"/>
      <c r="AE744" s="659"/>
      <c r="AF744" s="659"/>
      <c r="AG744" s="659"/>
      <c r="AH744" s="659"/>
      <c r="AI744" s="659"/>
      <c r="AJ744" s="659"/>
      <c r="AK744" s="659"/>
      <c r="AL744" s="659"/>
      <c r="AM744" s="659"/>
      <c r="AN744" s="659"/>
      <c r="AO744" s="659"/>
      <c r="AP744" s="659"/>
      <c r="AQ744" s="746"/>
    </row>
    <row r="745">
      <c r="A745" s="1002"/>
      <c r="B745" s="1004"/>
      <c r="C745" s="1005"/>
      <c r="D745" s="645"/>
      <c r="E745" s="645"/>
      <c r="F745" s="951"/>
      <c r="G745" s="951"/>
      <c r="H745" s="951"/>
      <c r="I745" s="951"/>
      <c r="J745" s="951"/>
      <c r="K745" s="951"/>
      <c r="L745" s="951"/>
      <c r="M745" s="951"/>
      <c r="N745" s="659"/>
      <c r="O745" s="951"/>
      <c r="P745" s="951"/>
      <c r="Q745" s="659"/>
      <c r="R745" s="659"/>
      <c r="S745" s="659"/>
      <c r="T745" s="659"/>
      <c r="U745" s="659"/>
      <c r="V745" s="659"/>
      <c r="W745" s="659"/>
      <c r="X745" s="659"/>
      <c r="Y745" s="659"/>
      <c r="Z745" s="659"/>
      <c r="AA745" s="659"/>
      <c r="AB745" s="659"/>
      <c r="AC745" s="659"/>
      <c r="AD745" s="659"/>
      <c r="AE745" s="659"/>
      <c r="AF745" s="659"/>
      <c r="AG745" s="659"/>
      <c r="AH745" s="659"/>
      <c r="AI745" s="659"/>
      <c r="AJ745" s="659"/>
      <c r="AK745" s="659"/>
      <c r="AL745" s="659"/>
      <c r="AM745" s="659"/>
      <c r="AN745" s="659"/>
      <c r="AO745" s="659"/>
      <c r="AP745" s="659"/>
      <c r="AQ745" s="746"/>
    </row>
    <row r="746">
      <c r="A746" s="1002"/>
      <c r="B746" s="1004"/>
      <c r="C746" s="1005"/>
      <c r="D746" s="645"/>
      <c r="E746" s="645"/>
      <c r="F746" s="951"/>
      <c r="G746" s="951"/>
      <c r="H746" s="951"/>
      <c r="I746" s="951"/>
      <c r="J746" s="951"/>
      <c r="K746" s="951"/>
      <c r="L746" s="951"/>
      <c r="M746" s="951"/>
      <c r="N746" s="659"/>
      <c r="O746" s="951"/>
      <c r="P746" s="951"/>
      <c r="Q746" s="659"/>
      <c r="R746" s="659"/>
      <c r="S746" s="659"/>
      <c r="T746" s="659"/>
      <c r="U746" s="659"/>
      <c r="V746" s="659"/>
      <c r="W746" s="659"/>
      <c r="X746" s="659"/>
      <c r="Y746" s="659"/>
      <c r="Z746" s="659"/>
      <c r="AA746" s="659"/>
      <c r="AB746" s="659"/>
      <c r="AC746" s="659"/>
      <c r="AD746" s="659"/>
      <c r="AE746" s="659"/>
      <c r="AF746" s="659"/>
      <c r="AG746" s="659"/>
      <c r="AH746" s="659"/>
      <c r="AI746" s="659"/>
      <c r="AJ746" s="659"/>
      <c r="AK746" s="659"/>
      <c r="AL746" s="659"/>
      <c r="AM746" s="659"/>
      <c r="AN746" s="659"/>
      <c r="AO746" s="659"/>
      <c r="AP746" s="659"/>
      <c r="AQ746" s="746"/>
    </row>
    <row r="747">
      <c r="A747" s="1002"/>
      <c r="B747" s="1004"/>
      <c r="C747" s="1005"/>
      <c r="D747" s="645"/>
      <c r="E747" s="645"/>
      <c r="F747" s="951"/>
      <c r="G747" s="951"/>
      <c r="H747" s="951"/>
      <c r="I747" s="951"/>
      <c r="J747" s="951"/>
      <c r="K747" s="951"/>
      <c r="L747" s="951"/>
      <c r="M747" s="951"/>
      <c r="N747" s="659"/>
      <c r="O747" s="951"/>
      <c r="P747" s="951"/>
      <c r="Q747" s="659"/>
      <c r="R747" s="659"/>
      <c r="S747" s="659"/>
      <c r="T747" s="659"/>
      <c r="U747" s="659"/>
      <c r="V747" s="659"/>
      <c r="W747" s="659"/>
      <c r="X747" s="659"/>
      <c r="Y747" s="659"/>
      <c r="Z747" s="659"/>
      <c r="AA747" s="659"/>
      <c r="AB747" s="659"/>
      <c r="AC747" s="659"/>
      <c r="AD747" s="659"/>
      <c r="AE747" s="659"/>
      <c r="AF747" s="659"/>
      <c r="AG747" s="659"/>
      <c r="AH747" s="659"/>
      <c r="AI747" s="659"/>
      <c r="AJ747" s="659"/>
      <c r="AK747" s="659"/>
      <c r="AL747" s="659"/>
      <c r="AM747" s="659"/>
      <c r="AN747" s="659"/>
      <c r="AO747" s="659"/>
      <c r="AP747" s="659"/>
      <c r="AQ747" s="746"/>
    </row>
    <row r="748">
      <c r="A748" s="1002"/>
      <c r="B748" s="1004"/>
      <c r="C748" s="1005"/>
      <c r="D748" s="645"/>
      <c r="E748" s="645"/>
      <c r="F748" s="951"/>
      <c r="G748" s="951"/>
      <c r="H748" s="951"/>
      <c r="I748" s="951"/>
      <c r="J748" s="951"/>
      <c r="K748" s="951"/>
      <c r="L748" s="951"/>
      <c r="M748" s="951"/>
      <c r="N748" s="659"/>
      <c r="O748" s="951"/>
      <c r="P748" s="951"/>
      <c r="Q748" s="659"/>
      <c r="R748" s="659"/>
      <c r="S748" s="659"/>
      <c r="T748" s="659"/>
      <c r="U748" s="659"/>
      <c r="V748" s="659"/>
      <c r="W748" s="659"/>
      <c r="X748" s="659"/>
      <c r="Y748" s="659"/>
      <c r="Z748" s="659"/>
      <c r="AA748" s="659"/>
      <c r="AB748" s="659"/>
      <c r="AC748" s="659"/>
      <c r="AD748" s="659"/>
      <c r="AE748" s="659"/>
      <c r="AF748" s="659"/>
      <c r="AG748" s="659"/>
      <c r="AH748" s="659"/>
      <c r="AI748" s="659"/>
      <c r="AJ748" s="659"/>
      <c r="AK748" s="659"/>
      <c r="AL748" s="659"/>
      <c r="AM748" s="659"/>
      <c r="AN748" s="659"/>
      <c r="AO748" s="659"/>
      <c r="AP748" s="659"/>
      <c r="AQ748" s="746"/>
    </row>
    <row r="749">
      <c r="A749" s="1002"/>
      <c r="B749" s="1004"/>
      <c r="C749" s="1005"/>
      <c r="D749" s="645"/>
      <c r="E749" s="645"/>
      <c r="F749" s="951"/>
      <c r="G749" s="951"/>
      <c r="H749" s="951"/>
      <c r="I749" s="951"/>
      <c r="J749" s="951"/>
      <c r="K749" s="951"/>
      <c r="L749" s="951"/>
      <c r="M749" s="951"/>
      <c r="N749" s="659"/>
      <c r="O749" s="951"/>
      <c r="P749" s="951"/>
      <c r="Q749" s="659"/>
      <c r="R749" s="659"/>
      <c r="S749" s="659"/>
      <c r="T749" s="659"/>
      <c r="U749" s="659"/>
      <c r="V749" s="659"/>
      <c r="W749" s="659"/>
      <c r="X749" s="659"/>
      <c r="Y749" s="659"/>
      <c r="Z749" s="659"/>
      <c r="AA749" s="659"/>
      <c r="AB749" s="659"/>
      <c r="AC749" s="659"/>
      <c r="AD749" s="659"/>
      <c r="AE749" s="659"/>
      <c r="AF749" s="659"/>
      <c r="AG749" s="659"/>
      <c r="AH749" s="659"/>
      <c r="AI749" s="659"/>
      <c r="AJ749" s="659"/>
      <c r="AK749" s="659"/>
      <c r="AL749" s="659"/>
      <c r="AM749" s="659"/>
      <c r="AN749" s="659"/>
      <c r="AO749" s="659"/>
      <c r="AP749" s="659"/>
      <c r="AQ749" s="746"/>
    </row>
    <row r="750">
      <c r="A750" s="1002"/>
      <c r="B750" s="1004"/>
      <c r="C750" s="1005"/>
      <c r="D750" s="645"/>
      <c r="E750" s="645"/>
      <c r="F750" s="951"/>
      <c r="G750" s="951"/>
      <c r="H750" s="951"/>
      <c r="I750" s="951"/>
      <c r="J750" s="951"/>
      <c r="K750" s="951"/>
      <c r="L750" s="951"/>
      <c r="M750" s="951"/>
      <c r="N750" s="659"/>
      <c r="O750" s="951"/>
      <c r="P750" s="951"/>
      <c r="Q750" s="659"/>
      <c r="R750" s="659"/>
      <c r="S750" s="659"/>
      <c r="T750" s="659"/>
      <c r="U750" s="659"/>
      <c r="V750" s="659"/>
      <c r="W750" s="659"/>
      <c r="X750" s="659"/>
      <c r="Y750" s="659"/>
      <c r="Z750" s="659"/>
      <c r="AA750" s="659"/>
      <c r="AB750" s="659"/>
      <c r="AC750" s="659"/>
      <c r="AD750" s="659"/>
      <c r="AE750" s="659"/>
      <c r="AF750" s="659"/>
      <c r="AG750" s="659"/>
      <c r="AH750" s="659"/>
      <c r="AI750" s="659"/>
      <c r="AJ750" s="659"/>
      <c r="AK750" s="659"/>
      <c r="AL750" s="659"/>
      <c r="AM750" s="659"/>
      <c r="AN750" s="659"/>
      <c r="AO750" s="659"/>
      <c r="AP750" s="659"/>
      <c r="AQ750" s="746"/>
    </row>
    <row r="751">
      <c r="A751" s="1002"/>
      <c r="B751" s="1044"/>
      <c r="C751" s="1005"/>
      <c r="D751" s="645"/>
      <c r="E751" s="645"/>
      <c r="F751" s="951"/>
      <c r="G751" s="951"/>
      <c r="H751" s="951"/>
      <c r="I751" s="951"/>
      <c r="J751" s="951"/>
      <c r="K751" s="951"/>
      <c r="L751" s="951"/>
      <c r="M751" s="951"/>
      <c r="N751" s="659"/>
      <c r="O751" s="951"/>
      <c r="P751" s="951"/>
      <c r="Q751" s="659"/>
      <c r="R751" s="659"/>
      <c r="S751" s="659"/>
      <c r="T751" s="659"/>
      <c r="U751" s="659"/>
      <c r="V751" s="659"/>
      <c r="W751" s="659"/>
      <c r="X751" s="659"/>
      <c r="Y751" s="659"/>
      <c r="Z751" s="659"/>
      <c r="AA751" s="659"/>
      <c r="AB751" s="659"/>
      <c r="AC751" s="659"/>
      <c r="AD751" s="659"/>
      <c r="AE751" s="659"/>
      <c r="AF751" s="659"/>
      <c r="AG751" s="659"/>
      <c r="AH751" s="659"/>
      <c r="AI751" s="659"/>
      <c r="AJ751" s="659"/>
      <c r="AK751" s="659"/>
      <c r="AL751" s="659"/>
      <c r="AM751" s="659"/>
      <c r="AN751" s="659"/>
      <c r="AO751" s="659"/>
      <c r="AP751" s="659"/>
      <c r="AQ751" s="746"/>
    </row>
    <row r="752">
      <c r="A752" s="1002"/>
      <c r="B752" s="1004"/>
      <c r="C752" s="1005"/>
      <c r="D752" s="645"/>
      <c r="E752" s="645"/>
      <c r="F752" s="951"/>
      <c r="G752" s="951"/>
      <c r="H752" s="951"/>
      <c r="I752" s="951"/>
      <c r="J752" s="951"/>
      <c r="K752" s="951"/>
      <c r="L752" s="951"/>
      <c r="M752" s="951"/>
      <c r="N752" s="659"/>
      <c r="O752" s="951"/>
      <c r="P752" s="951"/>
      <c r="Q752" s="659"/>
      <c r="R752" s="659"/>
      <c r="S752" s="659"/>
      <c r="T752" s="659"/>
      <c r="U752" s="659"/>
      <c r="V752" s="659"/>
      <c r="W752" s="659"/>
      <c r="X752" s="659"/>
      <c r="Y752" s="659"/>
      <c r="Z752" s="659"/>
      <c r="AA752" s="659"/>
      <c r="AB752" s="659"/>
      <c r="AC752" s="659"/>
      <c r="AD752" s="659"/>
      <c r="AE752" s="659"/>
      <c r="AF752" s="659"/>
      <c r="AG752" s="659"/>
      <c r="AH752" s="659"/>
      <c r="AI752" s="659"/>
      <c r="AJ752" s="659"/>
      <c r="AK752" s="659"/>
      <c r="AL752" s="659"/>
      <c r="AM752" s="659"/>
      <c r="AN752" s="659"/>
      <c r="AO752" s="659"/>
      <c r="AP752" s="659"/>
      <c r="AQ752" s="746"/>
    </row>
    <row r="753">
      <c r="A753" s="1002"/>
      <c r="B753" s="1004"/>
      <c r="C753" s="1005"/>
      <c r="D753" s="645"/>
      <c r="E753" s="645"/>
      <c r="F753" s="951"/>
      <c r="G753" s="951"/>
      <c r="H753" s="951"/>
      <c r="I753" s="951"/>
      <c r="J753" s="951"/>
      <c r="K753" s="951"/>
      <c r="L753" s="951"/>
      <c r="M753" s="951"/>
      <c r="N753" s="659"/>
      <c r="O753" s="951"/>
      <c r="P753" s="951"/>
      <c r="Q753" s="659"/>
      <c r="R753" s="659"/>
      <c r="S753" s="659"/>
      <c r="T753" s="659"/>
      <c r="U753" s="659"/>
      <c r="V753" s="659"/>
      <c r="W753" s="659"/>
      <c r="X753" s="659"/>
      <c r="Y753" s="659"/>
      <c r="Z753" s="659"/>
      <c r="AA753" s="659"/>
      <c r="AB753" s="659"/>
      <c r="AC753" s="659"/>
      <c r="AD753" s="659"/>
      <c r="AE753" s="659"/>
      <c r="AF753" s="659"/>
      <c r="AG753" s="659"/>
      <c r="AH753" s="659"/>
      <c r="AI753" s="659"/>
      <c r="AJ753" s="659"/>
      <c r="AK753" s="659"/>
      <c r="AL753" s="659"/>
      <c r="AM753" s="659"/>
      <c r="AN753" s="659"/>
      <c r="AO753" s="659"/>
      <c r="AP753" s="659"/>
      <c r="AQ753" s="746"/>
    </row>
    <row r="754">
      <c r="A754" s="1002"/>
      <c r="B754" s="1004"/>
      <c r="C754" s="1005"/>
      <c r="D754" s="645"/>
      <c r="E754" s="645"/>
      <c r="F754" s="951"/>
      <c r="G754" s="951"/>
      <c r="H754" s="951"/>
      <c r="I754" s="951"/>
      <c r="J754" s="951"/>
      <c r="K754" s="951"/>
      <c r="L754" s="951"/>
      <c r="M754" s="951"/>
      <c r="N754" s="659"/>
      <c r="O754" s="951"/>
      <c r="P754" s="951"/>
      <c r="Q754" s="659"/>
      <c r="R754" s="659"/>
      <c r="S754" s="659"/>
      <c r="T754" s="659"/>
      <c r="U754" s="659"/>
      <c r="V754" s="659"/>
      <c r="W754" s="659"/>
      <c r="X754" s="659"/>
      <c r="Y754" s="659"/>
      <c r="Z754" s="659"/>
      <c r="AA754" s="659"/>
      <c r="AB754" s="659"/>
      <c r="AC754" s="659"/>
      <c r="AD754" s="659"/>
      <c r="AE754" s="659"/>
      <c r="AF754" s="659"/>
      <c r="AG754" s="659"/>
      <c r="AH754" s="659"/>
      <c r="AI754" s="659"/>
      <c r="AJ754" s="659"/>
      <c r="AK754" s="659"/>
      <c r="AL754" s="659"/>
      <c r="AM754" s="659"/>
      <c r="AN754" s="659"/>
      <c r="AO754" s="659"/>
      <c r="AP754" s="659"/>
      <c r="AQ754" s="746"/>
    </row>
    <row r="755">
      <c r="A755" s="1002"/>
      <c r="B755" s="1004"/>
      <c r="C755" s="1005"/>
      <c r="D755" s="645"/>
      <c r="E755" s="645"/>
      <c r="F755" s="951"/>
      <c r="G755" s="951"/>
      <c r="H755" s="951"/>
      <c r="I755" s="951"/>
      <c r="J755" s="951"/>
      <c r="K755" s="951"/>
      <c r="L755" s="951"/>
      <c r="M755" s="951"/>
      <c r="N755" s="659"/>
      <c r="O755" s="951"/>
      <c r="P755" s="951"/>
      <c r="Q755" s="659"/>
      <c r="R755" s="659"/>
      <c r="S755" s="659"/>
      <c r="T755" s="659"/>
      <c r="U755" s="659"/>
      <c r="V755" s="659"/>
      <c r="W755" s="659"/>
      <c r="X755" s="659"/>
      <c r="Y755" s="659"/>
      <c r="Z755" s="659"/>
      <c r="AA755" s="659"/>
      <c r="AB755" s="659"/>
      <c r="AC755" s="659"/>
      <c r="AD755" s="659"/>
      <c r="AE755" s="659"/>
      <c r="AF755" s="659"/>
      <c r="AG755" s="659"/>
      <c r="AH755" s="659"/>
      <c r="AI755" s="659"/>
      <c r="AJ755" s="659"/>
      <c r="AK755" s="659"/>
      <c r="AL755" s="659"/>
      <c r="AM755" s="659"/>
      <c r="AN755" s="659"/>
      <c r="AO755" s="659"/>
      <c r="AP755" s="659"/>
      <c r="AQ755" s="746"/>
    </row>
    <row r="756">
      <c r="A756" s="1002"/>
      <c r="B756" s="1004"/>
      <c r="C756" s="1005"/>
      <c r="D756" s="645"/>
      <c r="E756" s="645"/>
      <c r="F756" s="951"/>
      <c r="G756" s="951"/>
      <c r="H756" s="951"/>
      <c r="I756" s="951"/>
      <c r="J756" s="951"/>
      <c r="K756" s="951"/>
      <c r="L756" s="951"/>
      <c r="M756" s="951"/>
      <c r="N756" s="659"/>
      <c r="O756" s="951"/>
      <c r="P756" s="951"/>
      <c r="Q756" s="659"/>
      <c r="R756" s="659"/>
      <c r="S756" s="659"/>
      <c r="T756" s="659"/>
      <c r="U756" s="659"/>
      <c r="V756" s="659"/>
      <c r="W756" s="659"/>
      <c r="X756" s="659"/>
      <c r="Y756" s="659"/>
      <c r="Z756" s="659"/>
      <c r="AA756" s="659"/>
      <c r="AB756" s="659"/>
      <c r="AC756" s="659"/>
      <c r="AD756" s="659"/>
      <c r="AE756" s="659"/>
      <c r="AF756" s="659"/>
      <c r="AG756" s="659"/>
      <c r="AH756" s="659"/>
      <c r="AI756" s="659"/>
      <c r="AJ756" s="659"/>
      <c r="AK756" s="659"/>
      <c r="AL756" s="659"/>
      <c r="AM756" s="659"/>
      <c r="AN756" s="659"/>
      <c r="AO756" s="659"/>
      <c r="AP756" s="659"/>
      <c r="AQ756" s="746"/>
    </row>
    <row r="757">
      <c r="A757" s="1002"/>
      <c r="B757" s="1004"/>
      <c r="C757" s="1005"/>
      <c r="D757" s="645"/>
      <c r="E757" s="645"/>
      <c r="F757" s="951"/>
      <c r="G757" s="951"/>
      <c r="H757" s="951"/>
      <c r="I757" s="951"/>
      <c r="J757" s="951"/>
      <c r="K757" s="951"/>
      <c r="L757" s="951"/>
      <c r="M757" s="951"/>
      <c r="N757" s="659"/>
      <c r="O757" s="951"/>
      <c r="P757" s="951"/>
      <c r="Q757" s="659"/>
      <c r="R757" s="659"/>
      <c r="S757" s="659"/>
      <c r="T757" s="659"/>
      <c r="U757" s="659"/>
      <c r="V757" s="659"/>
      <c r="W757" s="659"/>
      <c r="X757" s="659"/>
      <c r="Y757" s="659"/>
      <c r="Z757" s="659"/>
      <c r="AA757" s="659"/>
      <c r="AB757" s="659"/>
      <c r="AC757" s="659"/>
      <c r="AD757" s="659"/>
      <c r="AE757" s="659"/>
      <c r="AF757" s="659"/>
      <c r="AG757" s="659"/>
      <c r="AH757" s="659"/>
      <c r="AI757" s="659"/>
      <c r="AJ757" s="659"/>
      <c r="AK757" s="659"/>
      <c r="AL757" s="659"/>
      <c r="AM757" s="659"/>
      <c r="AN757" s="659"/>
      <c r="AO757" s="659"/>
      <c r="AP757" s="659"/>
      <c r="AQ757" s="746"/>
    </row>
    <row r="758">
      <c r="A758" s="1002"/>
      <c r="B758" s="1004"/>
      <c r="C758" s="1005"/>
      <c r="D758" s="645"/>
      <c r="E758" s="645"/>
      <c r="F758" s="951"/>
      <c r="G758" s="951"/>
      <c r="H758" s="951"/>
      <c r="I758" s="951"/>
      <c r="J758" s="951"/>
      <c r="K758" s="951"/>
      <c r="L758" s="951"/>
      <c r="M758" s="951"/>
      <c r="N758" s="659"/>
      <c r="O758" s="951"/>
      <c r="P758" s="951"/>
      <c r="Q758" s="659"/>
      <c r="R758" s="659"/>
      <c r="S758" s="659"/>
      <c r="T758" s="659"/>
      <c r="U758" s="659"/>
      <c r="V758" s="659"/>
      <c r="W758" s="659"/>
      <c r="X758" s="659"/>
      <c r="Y758" s="659"/>
      <c r="Z758" s="659"/>
      <c r="AA758" s="659"/>
      <c r="AB758" s="659"/>
      <c r="AC758" s="659"/>
      <c r="AD758" s="659"/>
      <c r="AE758" s="659"/>
      <c r="AF758" s="659"/>
      <c r="AG758" s="659"/>
      <c r="AH758" s="659"/>
      <c r="AI758" s="659"/>
      <c r="AJ758" s="659"/>
      <c r="AK758" s="659"/>
      <c r="AL758" s="659"/>
      <c r="AM758" s="659"/>
      <c r="AN758" s="659"/>
      <c r="AO758" s="659"/>
      <c r="AP758" s="659"/>
      <c r="AQ758" s="746"/>
    </row>
    <row r="759">
      <c r="A759" s="1002"/>
      <c r="B759" s="1004"/>
      <c r="C759" s="1005"/>
      <c r="D759" s="645"/>
      <c r="E759" s="645"/>
      <c r="F759" s="951"/>
      <c r="G759" s="951"/>
      <c r="H759" s="951"/>
      <c r="I759" s="951"/>
      <c r="J759" s="951"/>
      <c r="K759" s="951"/>
      <c r="L759" s="951"/>
      <c r="M759" s="951"/>
      <c r="N759" s="659"/>
      <c r="O759" s="951"/>
      <c r="P759" s="951"/>
      <c r="Q759" s="659"/>
      <c r="R759" s="659"/>
      <c r="S759" s="659"/>
      <c r="T759" s="659"/>
      <c r="U759" s="659"/>
      <c r="V759" s="659"/>
      <c r="W759" s="659"/>
      <c r="X759" s="659"/>
      <c r="Y759" s="659"/>
      <c r="Z759" s="659"/>
      <c r="AA759" s="659"/>
      <c r="AB759" s="659"/>
      <c r="AC759" s="659"/>
      <c r="AD759" s="659"/>
      <c r="AE759" s="659"/>
      <c r="AF759" s="659"/>
      <c r="AG759" s="659"/>
      <c r="AH759" s="659"/>
      <c r="AI759" s="659"/>
      <c r="AJ759" s="659"/>
      <c r="AK759" s="659"/>
      <c r="AL759" s="659"/>
      <c r="AM759" s="659"/>
      <c r="AN759" s="659"/>
      <c r="AO759" s="659"/>
      <c r="AP759" s="659"/>
      <c r="AQ759" s="746"/>
    </row>
    <row r="760">
      <c r="A760" s="1002"/>
      <c r="B760" s="1004"/>
      <c r="C760" s="1005"/>
      <c r="D760" s="645"/>
      <c r="E760" s="645"/>
      <c r="F760" s="951"/>
      <c r="G760" s="951"/>
      <c r="H760" s="951"/>
      <c r="I760" s="951"/>
      <c r="J760" s="951"/>
      <c r="K760" s="951"/>
      <c r="L760" s="951"/>
      <c r="M760" s="951"/>
      <c r="N760" s="659"/>
      <c r="O760" s="951"/>
      <c r="P760" s="951"/>
      <c r="Q760" s="659"/>
      <c r="R760" s="659"/>
      <c r="S760" s="659"/>
      <c r="T760" s="659"/>
      <c r="U760" s="659"/>
      <c r="V760" s="659"/>
      <c r="W760" s="659"/>
      <c r="X760" s="659"/>
      <c r="Y760" s="659"/>
      <c r="Z760" s="659"/>
      <c r="AA760" s="659"/>
      <c r="AB760" s="659"/>
      <c r="AC760" s="659"/>
      <c r="AD760" s="659"/>
      <c r="AE760" s="659"/>
      <c r="AF760" s="659"/>
      <c r="AG760" s="659"/>
      <c r="AH760" s="659"/>
      <c r="AI760" s="659"/>
      <c r="AJ760" s="659"/>
      <c r="AK760" s="659"/>
      <c r="AL760" s="659"/>
      <c r="AM760" s="659"/>
      <c r="AN760" s="659"/>
      <c r="AO760" s="659"/>
      <c r="AP760" s="659"/>
      <c r="AQ760" s="746"/>
    </row>
    <row r="761">
      <c r="A761" s="1002"/>
      <c r="B761" s="1004"/>
      <c r="C761" s="1005"/>
      <c r="D761" s="645"/>
      <c r="E761" s="645"/>
      <c r="F761" s="951"/>
      <c r="G761" s="951"/>
      <c r="H761" s="951"/>
      <c r="I761" s="951"/>
      <c r="J761" s="951"/>
      <c r="K761" s="951"/>
      <c r="L761" s="951"/>
      <c r="M761" s="951"/>
      <c r="N761" s="659"/>
      <c r="O761" s="951"/>
      <c r="P761" s="951"/>
      <c r="Q761" s="659"/>
      <c r="R761" s="659"/>
      <c r="S761" s="659"/>
      <c r="T761" s="659"/>
      <c r="U761" s="659"/>
      <c r="V761" s="659"/>
      <c r="W761" s="659"/>
      <c r="X761" s="659"/>
      <c r="Y761" s="659"/>
      <c r="Z761" s="659"/>
      <c r="AA761" s="659"/>
      <c r="AB761" s="659"/>
      <c r="AC761" s="659"/>
      <c r="AD761" s="659"/>
      <c r="AE761" s="659"/>
      <c r="AF761" s="659"/>
      <c r="AG761" s="659"/>
      <c r="AH761" s="659"/>
      <c r="AI761" s="659"/>
      <c r="AJ761" s="659"/>
      <c r="AK761" s="659"/>
      <c r="AL761" s="659"/>
      <c r="AM761" s="659"/>
      <c r="AN761" s="659"/>
      <c r="AO761" s="659"/>
      <c r="AP761" s="659"/>
      <c r="AQ761" s="746"/>
    </row>
    <row r="762">
      <c r="A762" s="1002"/>
      <c r="B762" s="1004"/>
      <c r="C762" s="1005"/>
      <c r="D762" s="645"/>
      <c r="E762" s="645"/>
      <c r="F762" s="951"/>
      <c r="G762" s="951"/>
      <c r="H762" s="951"/>
      <c r="I762" s="951"/>
      <c r="J762" s="951"/>
      <c r="K762" s="951"/>
      <c r="L762" s="951"/>
      <c r="M762" s="951"/>
      <c r="N762" s="659"/>
      <c r="O762" s="951"/>
      <c r="P762" s="951"/>
      <c r="Q762" s="659"/>
      <c r="R762" s="659"/>
      <c r="S762" s="659"/>
      <c r="T762" s="659"/>
      <c r="U762" s="659"/>
      <c r="V762" s="659"/>
      <c r="W762" s="659"/>
      <c r="X762" s="659"/>
      <c r="Y762" s="659"/>
      <c r="Z762" s="659"/>
      <c r="AA762" s="659"/>
      <c r="AB762" s="659"/>
      <c r="AC762" s="659"/>
      <c r="AD762" s="659"/>
      <c r="AE762" s="659"/>
      <c r="AF762" s="659"/>
      <c r="AG762" s="659"/>
      <c r="AH762" s="659"/>
      <c r="AI762" s="659"/>
      <c r="AJ762" s="659"/>
      <c r="AK762" s="659"/>
      <c r="AL762" s="659"/>
      <c r="AM762" s="659"/>
      <c r="AN762" s="659"/>
      <c r="AO762" s="659"/>
      <c r="AP762" s="659"/>
      <c r="AQ762" s="746"/>
    </row>
    <row r="763">
      <c r="A763" s="1002"/>
      <c r="B763" s="1004"/>
      <c r="C763" s="1005"/>
      <c r="D763" s="645"/>
      <c r="E763" s="645"/>
      <c r="F763" s="951"/>
      <c r="G763" s="951"/>
      <c r="H763" s="951"/>
      <c r="I763" s="951"/>
      <c r="J763" s="951"/>
      <c r="K763" s="951"/>
      <c r="L763" s="951"/>
      <c r="M763" s="951"/>
      <c r="N763" s="659"/>
      <c r="O763" s="951"/>
      <c r="P763" s="951"/>
      <c r="Q763" s="659"/>
      <c r="R763" s="659"/>
      <c r="S763" s="659"/>
      <c r="T763" s="659"/>
      <c r="U763" s="659"/>
      <c r="V763" s="659"/>
      <c r="W763" s="659"/>
      <c r="X763" s="659"/>
      <c r="Y763" s="659"/>
      <c r="Z763" s="659"/>
      <c r="AA763" s="659"/>
      <c r="AB763" s="659"/>
      <c r="AC763" s="659"/>
      <c r="AD763" s="659"/>
      <c r="AE763" s="659"/>
      <c r="AF763" s="659"/>
      <c r="AG763" s="659"/>
      <c r="AH763" s="659"/>
      <c r="AI763" s="659"/>
      <c r="AJ763" s="659"/>
      <c r="AK763" s="659"/>
      <c r="AL763" s="659"/>
      <c r="AM763" s="659"/>
      <c r="AN763" s="659"/>
      <c r="AO763" s="659"/>
      <c r="AP763" s="659"/>
      <c r="AQ763" s="746"/>
    </row>
    <row r="764">
      <c r="A764" s="1002"/>
      <c r="B764" s="1004"/>
      <c r="C764" s="1005"/>
      <c r="D764" s="645"/>
      <c r="E764" s="645"/>
      <c r="F764" s="951"/>
      <c r="G764" s="951"/>
      <c r="H764" s="951"/>
      <c r="I764" s="951"/>
      <c r="J764" s="951"/>
      <c r="K764" s="951"/>
      <c r="L764" s="951"/>
      <c r="M764" s="951"/>
      <c r="N764" s="659"/>
      <c r="O764" s="951"/>
      <c r="P764" s="951"/>
      <c r="Q764" s="659"/>
      <c r="R764" s="659"/>
      <c r="S764" s="659"/>
      <c r="T764" s="659"/>
      <c r="U764" s="659"/>
      <c r="V764" s="659"/>
      <c r="W764" s="659"/>
      <c r="X764" s="659"/>
      <c r="Y764" s="659"/>
      <c r="Z764" s="659"/>
      <c r="AA764" s="659"/>
      <c r="AB764" s="659"/>
      <c r="AC764" s="659"/>
      <c r="AD764" s="659"/>
      <c r="AE764" s="659"/>
      <c r="AF764" s="659"/>
      <c r="AG764" s="659"/>
      <c r="AH764" s="659"/>
      <c r="AI764" s="659"/>
      <c r="AJ764" s="659"/>
      <c r="AK764" s="659"/>
      <c r="AL764" s="659"/>
      <c r="AM764" s="659"/>
      <c r="AN764" s="659"/>
      <c r="AO764" s="659"/>
      <c r="AP764" s="659"/>
      <c r="AQ764" s="746"/>
    </row>
    <row r="765">
      <c r="A765" s="1002"/>
      <c r="B765" s="1044"/>
      <c r="C765" s="1005"/>
      <c r="D765" s="645"/>
      <c r="E765" s="645"/>
      <c r="F765" s="951"/>
      <c r="G765" s="951"/>
      <c r="H765" s="951"/>
      <c r="I765" s="951"/>
      <c r="J765" s="951"/>
      <c r="K765" s="951"/>
      <c r="L765" s="951"/>
      <c r="M765" s="951"/>
      <c r="N765" s="659"/>
      <c r="O765" s="951"/>
      <c r="P765" s="951"/>
      <c r="Q765" s="659"/>
      <c r="R765" s="659"/>
      <c r="S765" s="659"/>
      <c r="T765" s="659"/>
      <c r="U765" s="659"/>
      <c r="V765" s="659"/>
      <c r="W765" s="659"/>
      <c r="X765" s="659"/>
      <c r="Y765" s="659"/>
      <c r="Z765" s="659"/>
      <c r="AA765" s="659"/>
      <c r="AB765" s="659"/>
      <c r="AC765" s="659"/>
      <c r="AD765" s="659"/>
      <c r="AE765" s="659"/>
      <c r="AF765" s="659"/>
      <c r="AG765" s="659"/>
      <c r="AH765" s="659"/>
      <c r="AI765" s="659"/>
      <c r="AJ765" s="659"/>
      <c r="AK765" s="659"/>
      <c r="AL765" s="659"/>
      <c r="AM765" s="659"/>
      <c r="AN765" s="659"/>
      <c r="AO765" s="659"/>
      <c r="AP765" s="659"/>
      <c r="AQ765" s="746"/>
    </row>
    <row r="766">
      <c r="A766" s="1002"/>
      <c r="B766" s="1044"/>
      <c r="C766" s="1005"/>
      <c r="D766" s="645"/>
      <c r="E766" s="645"/>
      <c r="F766" s="951"/>
      <c r="G766" s="951"/>
      <c r="H766" s="951"/>
      <c r="I766" s="951"/>
      <c r="J766" s="951"/>
      <c r="K766" s="951"/>
      <c r="L766" s="951"/>
      <c r="M766" s="951"/>
      <c r="N766" s="659"/>
      <c r="O766" s="951"/>
      <c r="P766" s="951"/>
      <c r="Q766" s="659"/>
      <c r="R766" s="659"/>
      <c r="S766" s="659"/>
      <c r="T766" s="659"/>
      <c r="U766" s="659"/>
      <c r="V766" s="659"/>
      <c r="W766" s="659"/>
      <c r="X766" s="659"/>
      <c r="Y766" s="659"/>
      <c r="Z766" s="659"/>
      <c r="AA766" s="659"/>
      <c r="AB766" s="659"/>
      <c r="AC766" s="659"/>
      <c r="AD766" s="659"/>
      <c r="AE766" s="659"/>
      <c r="AF766" s="659"/>
      <c r="AG766" s="659"/>
      <c r="AH766" s="659"/>
      <c r="AI766" s="659"/>
      <c r="AJ766" s="659"/>
      <c r="AK766" s="659"/>
      <c r="AL766" s="659"/>
      <c r="AM766" s="659"/>
      <c r="AN766" s="659"/>
      <c r="AO766" s="659"/>
      <c r="AP766" s="659"/>
      <c r="AQ766" s="746"/>
    </row>
    <row r="767">
      <c r="A767" s="1002"/>
      <c r="B767" s="1044"/>
      <c r="C767" s="1005"/>
      <c r="D767" s="645"/>
      <c r="E767" s="645"/>
      <c r="F767" s="951"/>
      <c r="G767" s="951"/>
      <c r="H767" s="951"/>
      <c r="I767" s="951"/>
      <c r="J767" s="951"/>
      <c r="K767" s="951"/>
      <c r="L767" s="951"/>
      <c r="M767" s="951"/>
      <c r="N767" s="659"/>
      <c r="O767" s="951"/>
      <c r="P767" s="951"/>
      <c r="Q767" s="659"/>
      <c r="R767" s="659"/>
      <c r="S767" s="659"/>
      <c r="T767" s="659"/>
      <c r="U767" s="659"/>
      <c r="V767" s="659"/>
      <c r="W767" s="659"/>
      <c r="X767" s="659"/>
      <c r="Y767" s="659"/>
      <c r="Z767" s="659"/>
      <c r="AA767" s="659"/>
      <c r="AB767" s="659"/>
      <c r="AC767" s="659"/>
      <c r="AD767" s="659"/>
      <c r="AE767" s="659"/>
      <c r="AF767" s="659"/>
      <c r="AG767" s="659"/>
      <c r="AH767" s="659"/>
      <c r="AI767" s="659"/>
      <c r="AJ767" s="659"/>
      <c r="AK767" s="659"/>
      <c r="AL767" s="659"/>
      <c r="AM767" s="659"/>
      <c r="AN767" s="659"/>
      <c r="AO767" s="659"/>
      <c r="AP767" s="659"/>
      <c r="AQ767" s="746"/>
    </row>
    <row r="768">
      <c r="A768" s="1002"/>
      <c r="B768" s="1004"/>
      <c r="C768" s="1005"/>
      <c r="D768" s="645"/>
      <c r="E768" s="645"/>
      <c r="F768" s="951"/>
      <c r="G768" s="951"/>
      <c r="H768" s="951"/>
      <c r="I768" s="951"/>
      <c r="J768" s="951"/>
      <c r="K768" s="951"/>
      <c r="L768" s="951"/>
      <c r="M768" s="951"/>
      <c r="N768" s="659"/>
      <c r="O768" s="951"/>
      <c r="P768" s="951"/>
      <c r="Q768" s="659"/>
      <c r="R768" s="659"/>
      <c r="S768" s="659"/>
      <c r="T768" s="659"/>
      <c r="U768" s="659"/>
      <c r="V768" s="659"/>
      <c r="W768" s="659"/>
      <c r="X768" s="659"/>
      <c r="Y768" s="659"/>
      <c r="Z768" s="659"/>
      <c r="AA768" s="659"/>
      <c r="AB768" s="659"/>
      <c r="AC768" s="659"/>
      <c r="AD768" s="659"/>
      <c r="AE768" s="659"/>
      <c r="AF768" s="659"/>
      <c r="AG768" s="659"/>
      <c r="AH768" s="659"/>
      <c r="AI768" s="659"/>
      <c r="AJ768" s="659"/>
      <c r="AK768" s="659"/>
      <c r="AL768" s="659"/>
      <c r="AM768" s="659"/>
      <c r="AN768" s="659"/>
      <c r="AO768" s="659"/>
      <c r="AP768" s="659"/>
      <c r="AQ768" s="746"/>
    </row>
    <row r="769">
      <c r="A769" s="1002"/>
      <c r="B769" s="1044"/>
      <c r="C769" s="1005"/>
      <c r="D769" s="645"/>
      <c r="E769" s="645"/>
      <c r="F769" s="951"/>
      <c r="G769" s="951"/>
      <c r="H769" s="951"/>
      <c r="I769" s="951"/>
      <c r="J769" s="951"/>
      <c r="K769" s="951"/>
      <c r="L769" s="951"/>
      <c r="M769" s="951"/>
      <c r="N769" s="659"/>
      <c r="O769" s="951"/>
      <c r="P769" s="951"/>
      <c r="Q769" s="659"/>
      <c r="R769" s="659"/>
      <c r="S769" s="659"/>
      <c r="T769" s="659"/>
      <c r="U769" s="659"/>
      <c r="V769" s="659"/>
      <c r="W769" s="659"/>
      <c r="X769" s="659"/>
      <c r="Y769" s="659"/>
      <c r="Z769" s="659"/>
      <c r="AA769" s="659"/>
      <c r="AB769" s="659"/>
      <c r="AC769" s="659"/>
      <c r="AD769" s="659"/>
      <c r="AE769" s="659"/>
      <c r="AF769" s="659"/>
      <c r="AG769" s="659"/>
      <c r="AH769" s="659"/>
      <c r="AI769" s="659"/>
      <c r="AJ769" s="659"/>
      <c r="AK769" s="659"/>
      <c r="AL769" s="659"/>
      <c r="AM769" s="659"/>
      <c r="AN769" s="659"/>
      <c r="AO769" s="659"/>
      <c r="AP769" s="659"/>
      <c r="AQ769" s="746"/>
    </row>
    <row r="770">
      <c r="A770" s="1002"/>
      <c r="B770" s="1044"/>
      <c r="C770" s="1005"/>
      <c r="D770" s="645"/>
      <c r="E770" s="645"/>
      <c r="F770" s="951"/>
      <c r="G770" s="951"/>
      <c r="H770" s="951"/>
      <c r="I770" s="951"/>
      <c r="J770" s="951"/>
      <c r="K770" s="951"/>
      <c r="L770" s="951"/>
      <c r="M770" s="951"/>
      <c r="N770" s="659"/>
      <c r="O770" s="951"/>
      <c r="P770" s="951"/>
      <c r="Q770" s="659"/>
      <c r="R770" s="659"/>
      <c r="S770" s="659"/>
      <c r="T770" s="659"/>
      <c r="U770" s="659"/>
      <c r="V770" s="659"/>
      <c r="W770" s="659"/>
      <c r="X770" s="659"/>
      <c r="Y770" s="659"/>
      <c r="Z770" s="659"/>
      <c r="AA770" s="659"/>
      <c r="AB770" s="659"/>
      <c r="AC770" s="659"/>
      <c r="AD770" s="659"/>
      <c r="AE770" s="659"/>
      <c r="AF770" s="659"/>
      <c r="AG770" s="659"/>
      <c r="AH770" s="659"/>
      <c r="AI770" s="659"/>
      <c r="AJ770" s="659"/>
      <c r="AK770" s="659"/>
      <c r="AL770" s="659"/>
      <c r="AM770" s="659"/>
      <c r="AN770" s="659"/>
      <c r="AO770" s="659"/>
      <c r="AP770" s="659"/>
      <c r="AQ770" s="746"/>
    </row>
    <row r="771">
      <c r="A771" s="1002"/>
      <c r="B771" s="1044"/>
      <c r="C771" s="1005"/>
      <c r="D771" s="645"/>
      <c r="E771" s="645"/>
      <c r="F771" s="951"/>
      <c r="G771" s="951"/>
      <c r="H771" s="951"/>
      <c r="I771" s="951"/>
      <c r="J771" s="951"/>
      <c r="K771" s="951"/>
      <c r="L771" s="951"/>
      <c r="M771" s="951"/>
      <c r="N771" s="659"/>
      <c r="O771" s="951"/>
      <c r="P771" s="951"/>
      <c r="Q771" s="659"/>
      <c r="R771" s="659"/>
      <c r="S771" s="659"/>
      <c r="T771" s="659"/>
      <c r="U771" s="659"/>
      <c r="V771" s="659"/>
      <c r="W771" s="659"/>
      <c r="X771" s="659"/>
      <c r="Y771" s="659"/>
      <c r="Z771" s="659"/>
      <c r="AA771" s="659"/>
      <c r="AB771" s="659"/>
      <c r="AC771" s="659"/>
      <c r="AD771" s="659"/>
      <c r="AE771" s="659"/>
      <c r="AF771" s="659"/>
      <c r="AG771" s="659"/>
      <c r="AH771" s="659"/>
      <c r="AI771" s="659"/>
      <c r="AJ771" s="659"/>
      <c r="AK771" s="659"/>
      <c r="AL771" s="659"/>
      <c r="AM771" s="659"/>
      <c r="AN771" s="659"/>
      <c r="AO771" s="659"/>
      <c r="AP771" s="659"/>
      <c r="AQ771" s="746"/>
    </row>
    <row r="772">
      <c r="A772" s="1002"/>
      <c r="B772" s="1004"/>
      <c r="C772" s="1005"/>
      <c r="D772" s="645"/>
      <c r="E772" s="645"/>
      <c r="F772" s="951"/>
      <c r="G772" s="951"/>
      <c r="H772" s="951"/>
      <c r="I772" s="951"/>
      <c r="J772" s="951"/>
      <c r="K772" s="951"/>
      <c r="L772" s="951"/>
      <c r="M772" s="951"/>
      <c r="N772" s="659"/>
      <c r="O772" s="951"/>
      <c r="P772" s="951"/>
      <c r="Q772" s="659"/>
      <c r="R772" s="659"/>
      <c r="S772" s="659"/>
      <c r="T772" s="659"/>
      <c r="U772" s="659"/>
      <c r="V772" s="659"/>
      <c r="W772" s="659"/>
      <c r="X772" s="659"/>
      <c r="Y772" s="659"/>
      <c r="Z772" s="659"/>
      <c r="AA772" s="659"/>
      <c r="AB772" s="659"/>
      <c r="AC772" s="659"/>
      <c r="AD772" s="659"/>
      <c r="AE772" s="659"/>
      <c r="AF772" s="659"/>
      <c r="AG772" s="659"/>
      <c r="AH772" s="659"/>
      <c r="AI772" s="659"/>
      <c r="AJ772" s="659"/>
      <c r="AK772" s="659"/>
      <c r="AL772" s="659"/>
      <c r="AM772" s="659"/>
      <c r="AN772" s="659"/>
      <c r="AO772" s="659"/>
      <c r="AP772" s="659"/>
      <c r="AQ772" s="746"/>
    </row>
    <row r="773">
      <c r="A773" s="1002"/>
      <c r="B773" s="1004"/>
      <c r="C773" s="1005"/>
      <c r="D773" s="645"/>
      <c r="E773" s="645"/>
      <c r="F773" s="951"/>
      <c r="G773" s="951"/>
      <c r="H773" s="951"/>
      <c r="I773" s="951"/>
      <c r="J773" s="951"/>
      <c r="K773" s="951"/>
      <c r="L773" s="951"/>
      <c r="M773" s="951"/>
      <c r="N773" s="659"/>
      <c r="O773" s="951"/>
      <c r="P773" s="951"/>
      <c r="Q773" s="659"/>
      <c r="R773" s="659"/>
      <c r="S773" s="659"/>
      <c r="T773" s="659"/>
      <c r="U773" s="659"/>
      <c r="V773" s="659"/>
      <c r="W773" s="659"/>
      <c r="X773" s="659"/>
      <c r="Y773" s="659"/>
      <c r="Z773" s="659"/>
      <c r="AA773" s="659"/>
      <c r="AB773" s="659"/>
      <c r="AC773" s="659"/>
      <c r="AD773" s="659"/>
      <c r="AE773" s="659"/>
      <c r="AF773" s="659"/>
      <c r="AG773" s="659"/>
      <c r="AH773" s="659"/>
      <c r="AI773" s="659"/>
      <c r="AJ773" s="659"/>
      <c r="AK773" s="659"/>
      <c r="AL773" s="659"/>
      <c r="AM773" s="659"/>
      <c r="AN773" s="659"/>
      <c r="AO773" s="659"/>
      <c r="AP773" s="659"/>
      <c r="AQ773" s="746"/>
    </row>
    <row r="774">
      <c r="A774" s="1002"/>
      <c r="B774" s="1044"/>
      <c r="C774" s="1005"/>
      <c r="D774" s="645"/>
      <c r="E774" s="645"/>
      <c r="F774" s="951"/>
      <c r="G774" s="951"/>
      <c r="H774" s="951"/>
      <c r="I774" s="951"/>
      <c r="J774" s="951"/>
      <c r="K774" s="951"/>
      <c r="L774" s="951"/>
      <c r="M774" s="951"/>
      <c r="N774" s="659"/>
      <c r="O774" s="951"/>
      <c r="P774" s="951"/>
      <c r="Q774" s="659"/>
      <c r="R774" s="659"/>
      <c r="S774" s="659"/>
      <c r="T774" s="659"/>
      <c r="U774" s="659"/>
      <c r="V774" s="659"/>
      <c r="W774" s="659"/>
      <c r="X774" s="659"/>
      <c r="Y774" s="659"/>
      <c r="Z774" s="659"/>
      <c r="AA774" s="659"/>
      <c r="AB774" s="659"/>
      <c r="AC774" s="659"/>
      <c r="AD774" s="659"/>
      <c r="AE774" s="659"/>
      <c r="AF774" s="659"/>
      <c r="AG774" s="659"/>
      <c r="AH774" s="659"/>
      <c r="AI774" s="659"/>
      <c r="AJ774" s="659"/>
      <c r="AK774" s="659"/>
      <c r="AL774" s="659"/>
      <c r="AM774" s="659"/>
      <c r="AN774" s="659"/>
      <c r="AO774" s="659"/>
      <c r="AP774" s="659"/>
      <c r="AQ774" s="746"/>
    </row>
    <row r="775">
      <c r="A775" s="1002"/>
      <c r="B775" s="1044"/>
      <c r="C775" s="1005"/>
      <c r="D775" s="645"/>
      <c r="E775" s="645"/>
      <c r="F775" s="951"/>
      <c r="G775" s="951"/>
      <c r="H775" s="951"/>
      <c r="I775" s="951"/>
      <c r="J775" s="951"/>
      <c r="K775" s="951"/>
      <c r="L775" s="951"/>
      <c r="M775" s="951"/>
      <c r="N775" s="659"/>
      <c r="O775" s="951"/>
      <c r="P775" s="951"/>
      <c r="Q775" s="659"/>
      <c r="R775" s="659"/>
      <c r="S775" s="659"/>
      <c r="T775" s="659"/>
      <c r="U775" s="659"/>
      <c r="V775" s="659"/>
      <c r="W775" s="659"/>
      <c r="X775" s="659"/>
      <c r="Y775" s="659"/>
      <c r="Z775" s="659"/>
      <c r="AA775" s="659"/>
      <c r="AB775" s="659"/>
      <c r="AC775" s="659"/>
      <c r="AD775" s="659"/>
      <c r="AE775" s="659"/>
      <c r="AF775" s="659"/>
      <c r="AG775" s="659"/>
      <c r="AH775" s="659"/>
      <c r="AI775" s="659"/>
      <c r="AJ775" s="659"/>
      <c r="AK775" s="659"/>
      <c r="AL775" s="659"/>
      <c r="AM775" s="659"/>
      <c r="AN775" s="659"/>
      <c r="AO775" s="659"/>
      <c r="AP775" s="659"/>
      <c r="AQ775" s="746"/>
    </row>
    <row r="776">
      <c r="A776" s="1002"/>
      <c r="B776" s="1004"/>
      <c r="C776" s="1005"/>
      <c r="D776" s="645"/>
      <c r="E776" s="645"/>
      <c r="F776" s="951"/>
      <c r="G776" s="951"/>
      <c r="H776" s="951"/>
      <c r="I776" s="951"/>
      <c r="J776" s="951"/>
      <c r="K776" s="951"/>
      <c r="L776" s="951"/>
      <c r="M776" s="951"/>
      <c r="N776" s="659"/>
      <c r="O776" s="951"/>
      <c r="P776" s="951"/>
      <c r="Q776" s="659"/>
      <c r="R776" s="659"/>
      <c r="S776" s="659"/>
      <c r="T776" s="659"/>
      <c r="U776" s="659"/>
      <c r="V776" s="659"/>
      <c r="W776" s="659"/>
      <c r="X776" s="659"/>
      <c r="Y776" s="659"/>
      <c r="Z776" s="659"/>
      <c r="AA776" s="659"/>
      <c r="AB776" s="659"/>
      <c r="AC776" s="659"/>
      <c r="AD776" s="659"/>
      <c r="AE776" s="659"/>
      <c r="AF776" s="659"/>
      <c r="AG776" s="659"/>
      <c r="AH776" s="659"/>
      <c r="AI776" s="659"/>
      <c r="AJ776" s="659"/>
      <c r="AK776" s="659"/>
      <c r="AL776" s="659"/>
      <c r="AM776" s="659"/>
      <c r="AN776" s="659"/>
      <c r="AO776" s="659"/>
      <c r="AP776" s="659"/>
      <c r="AQ776" s="746"/>
    </row>
    <row r="777">
      <c r="A777" s="1002"/>
      <c r="B777" s="1004"/>
      <c r="C777" s="1005"/>
      <c r="D777" s="645"/>
      <c r="E777" s="645"/>
      <c r="F777" s="951"/>
      <c r="G777" s="951"/>
      <c r="H777" s="951"/>
      <c r="I777" s="951"/>
      <c r="J777" s="951"/>
      <c r="K777" s="951"/>
      <c r="L777" s="951"/>
      <c r="M777" s="951"/>
      <c r="N777" s="659"/>
      <c r="O777" s="951"/>
      <c r="P777" s="951"/>
      <c r="Q777" s="659"/>
      <c r="R777" s="659"/>
      <c r="S777" s="659"/>
      <c r="T777" s="659"/>
      <c r="U777" s="659"/>
      <c r="V777" s="659"/>
      <c r="W777" s="659"/>
      <c r="X777" s="659"/>
      <c r="Y777" s="659"/>
      <c r="Z777" s="659"/>
      <c r="AA777" s="659"/>
      <c r="AB777" s="659"/>
      <c r="AC777" s="659"/>
      <c r="AD777" s="659"/>
      <c r="AE777" s="659"/>
      <c r="AF777" s="659"/>
      <c r="AG777" s="659"/>
      <c r="AH777" s="659"/>
      <c r="AI777" s="659"/>
      <c r="AJ777" s="659"/>
      <c r="AK777" s="659"/>
      <c r="AL777" s="659"/>
      <c r="AM777" s="659"/>
      <c r="AN777" s="659"/>
      <c r="AO777" s="659"/>
      <c r="AP777" s="659"/>
      <c r="AQ777" s="746"/>
    </row>
    <row r="778">
      <c r="A778" s="1002"/>
      <c r="B778" s="1044"/>
      <c r="C778" s="1005"/>
      <c r="D778" s="645"/>
      <c r="E778" s="645"/>
      <c r="F778" s="951"/>
      <c r="G778" s="951"/>
      <c r="H778" s="951"/>
      <c r="I778" s="951"/>
      <c r="J778" s="951"/>
      <c r="K778" s="951"/>
      <c r="L778" s="951"/>
      <c r="M778" s="951"/>
      <c r="N778" s="659"/>
      <c r="O778" s="951"/>
      <c r="P778" s="951"/>
      <c r="Q778" s="659"/>
      <c r="R778" s="659"/>
      <c r="S778" s="659"/>
      <c r="T778" s="659"/>
      <c r="U778" s="659"/>
      <c r="V778" s="659"/>
      <c r="W778" s="659"/>
      <c r="X778" s="659"/>
      <c r="Y778" s="659"/>
      <c r="Z778" s="659"/>
      <c r="AA778" s="659"/>
      <c r="AB778" s="659"/>
      <c r="AC778" s="659"/>
      <c r="AD778" s="659"/>
      <c r="AE778" s="659"/>
      <c r="AF778" s="659"/>
      <c r="AG778" s="659"/>
      <c r="AH778" s="659"/>
      <c r="AI778" s="659"/>
      <c r="AJ778" s="659"/>
      <c r="AK778" s="659"/>
      <c r="AL778" s="659"/>
      <c r="AM778" s="659"/>
      <c r="AN778" s="659"/>
      <c r="AO778" s="659"/>
      <c r="AP778" s="659"/>
      <c r="AQ778" s="746"/>
    </row>
    <row r="779">
      <c r="A779" s="1002"/>
      <c r="B779" s="1004"/>
      <c r="C779" s="1005"/>
      <c r="D779" s="645"/>
      <c r="E779" s="645"/>
      <c r="F779" s="951"/>
      <c r="G779" s="951"/>
      <c r="H779" s="951"/>
      <c r="I779" s="951"/>
      <c r="J779" s="951"/>
      <c r="K779" s="951"/>
      <c r="L779" s="951"/>
      <c r="M779" s="951"/>
      <c r="N779" s="659"/>
      <c r="O779" s="951"/>
      <c r="P779" s="951"/>
      <c r="Q779" s="659"/>
      <c r="R779" s="659"/>
      <c r="S779" s="659"/>
      <c r="T779" s="659"/>
      <c r="U779" s="659"/>
      <c r="V779" s="659"/>
      <c r="W779" s="659"/>
      <c r="X779" s="659"/>
      <c r="Y779" s="659"/>
      <c r="Z779" s="659"/>
      <c r="AA779" s="659"/>
      <c r="AB779" s="659"/>
      <c r="AC779" s="659"/>
      <c r="AD779" s="659"/>
      <c r="AE779" s="659"/>
      <c r="AF779" s="659"/>
      <c r="AG779" s="659"/>
      <c r="AH779" s="659"/>
      <c r="AI779" s="659"/>
      <c r="AJ779" s="659"/>
      <c r="AK779" s="659"/>
      <c r="AL779" s="659"/>
      <c r="AM779" s="659"/>
      <c r="AN779" s="659"/>
      <c r="AO779" s="659"/>
      <c r="AP779" s="659"/>
      <c r="AQ779" s="746"/>
    </row>
    <row r="780">
      <c r="A780" s="1002"/>
      <c r="B780" s="1004"/>
      <c r="C780" s="1005"/>
      <c r="D780" s="645"/>
      <c r="E780" s="645"/>
      <c r="F780" s="951"/>
      <c r="G780" s="951"/>
      <c r="H780" s="951"/>
      <c r="I780" s="951"/>
      <c r="J780" s="951"/>
      <c r="K780" s="951"/>
      <c r="L780" s="951"/>
      <c r="M780" s="951"/>
      <c r="N780" s="659"/>
      <c r="O780" s="951"/>
      <c r="P780" s="951"/>
      <c r="Q780" s="659"/>
      <c r="R780" s="659"/>
      <c r="S780" s="659"/>
      <c r="T780" s="659"/>
      <c r="U780" s="659"/>
      <c r="V780" s="659"/>
      <c r="W780" s="659"/>
      <c r="X780" s="659"/>
      <c r="Y780" s="659"/>
      <c r="Z780" s="659"/>
      <c r="AA780" s="659"/>
      <c r="AB780" s="659"/>
      <c r="AC780" s="659"/>
      <c r="AD780" s="659"/>
      <c r="AE780" s="659"/>
      <c r="AF780" s="659"/>
      <c r="AG780" s="659"/>
      <c r="AH780" s="659"/>
      <c r="AI780" s="659"/>
      <c r="AJ780" s="659"/>
      <c r="AK780" s="659"/>
      <c r="AL780" s="659"/>
      <c r="AM780" s="659"/>
      <c r="AN780" s="659"/>
      <c r="AO780" s="659"/>
      <c r="AP780" s="659"/>
      <c r="AQ780" s="746"/>
    </row>
    <row r="781">
      <c r="A781" s="1002"/>
      <c r="B781" s="1004"/>
      <c r="C781" s="1005"/>
      <c r="D781" s="645"/>
      <c r="E781" s="645"/>
      <c r="F781" s="951"/>
      <c r="G781" s="951"/>
      <c r="H781" s="951"/>
      <c r="I781" s="951"/>
      <c r="J781" s="951"/>
      <c r="K781" s="951"/>
      <c r="L781" s="951"/>
      <c r="M781" s="951"/>
      <c r="N781" s="659"/>
      <c r="O781" s="951"/>
      <c r="P781" s="951"/>
      <c r="Q781" s="659"/>
      <c r="R781" s="659"/>
      <c r="S781" s="659"/>
      <c r="T781" s="659"/>
      <c r="U781" s="659"/>
      <c r="V781" s="659"/>
      <c r="W781" s="659"/>
      <c r="X781" s="659"/>
      <c r="Y781" s="659"/>
      <c r="Z781" s="659"/>
      <c r="AA781" s="659"/>
      <c r="AB781" s="659"/>
      <c r="AC781" s="659"/>
      <c r="AD781" s="659"/>
      <c r="AE781" s="659"/>
      <c r="AF781" s="659"/>
      <c r="AG781" s="659"/>
      <c r="AH781" s="659"/>
      <c r="AI781" s="659"/>
      <c r="AJ781" s="659"/>
      <c r="AK781" s="659"/>
      <c r="AL781" s="659"/>
      <c r="AM781" s="659"/>
      <c r="AN781" s="659"/>
      <c r="AO781" s="659"/>
      <c r="AP781" s="659"/>
      <c r="AQ781" s="746"/>
    </row>
    <row r="782">
      <c r="A782" s="1002"/>
      <c r="B782" s="1004"/>
      <c r="C782" s="1005"/>
      <c r="D782" s="645"/>
      <c r="E782" s="645"/>
      <c r="F782" s="951"/>
      <c r="G782" s="951"/>
      <c r="H782" s="951"/>
      <c r="I782" s="951"/>
      <c r="J782" s="951"/>
      <c r="K782" s="951"/>
      <c r="L782" s="951"/>
      <c r="M782" s="951"/>
      <c r="N782" s="659"/>
      <c r="O782" s="951"/>
      <c r="P782" s="951"/>
      <c r="Q782" s="659"/>
      <c r="R782" s="659"/>
      <c r="S782" s="659"/>
      <c r="T782" s="659"/>
      <c r="U782" s="659"/>
      <c r="V782" s="659"/>
      <c r="W782" s="659"/>
      <c r="X782" s="659"/>
      <c r="Y782" s="659"/>
      <c r="Z782" s="659"/>
      <c r="AA782" s="659"/>
      <c r="AB782" s="659"/>
      <c r="AC782" s="659"/>
      <c r="AD782" s="659"/>
      <c r="AE782" s="659"/>
      <c r="AF782" s="659"/>
      <c r="AG782" s="659"/>
      <c r="AH782" s="659"/>
      <c r="AI782" s="659"/>
      <c r="AJ782" s="659"/>
      <c r="AK782" s="659"/>
      <c r="AL782" s="659"/>
      <c r="AM782" s="659"/>
      <c r="AN782" s="659"/>
      <c r="AO782" s="659"/>
      <c r="AP782" s="659"/>
      <c r="AQ782" s="746"/>
    </row>
    <row r="783">
      <c r="A783" s="1002"/>
      <c r="B783" s="1044"/>
      <c r="C783" s="1005"/>
      <c r="D783" s="645"/>
      <c r="E783" s="645"/>
      <c r="F783" s="951"/>
      <c r="G783" s="951"/>
      <c r="H783" s="951"/>
      <c r="I783" s="951"/>
      <c r="J783" s="951"/>
      <c r="K783" s="951"/>
      <c r="L783" s="951"/>
      <c r="M783" s="951"/>
      <c r="N783" s="659"/>
      <c r="O783" s="951"/>
      <c r="P783" s="951"/>
      <c r="Q783" s="659"/>
      <c r="R783" s="659"/>
      <c r="S783" s="659"/>
      <c r="T783" s="659"/>
      <c r="U783" s="659"/>
      <c r="V783" s="659"/>
      <c r="W783" s="659"/>
      <c r="X783" s="659"/>
      <c r="Y783" s="659"/>
      <c r="Z783" s="659"/>
      <c r="AA783" s="659"/>
      <c r="AB783" s="659"/>
      <c r="AC783" s="659"/>
      <c r="AD783" s="659"/>
      <c r="AE783" s="659"/>
      <c r="AF783" s="659"/>
      <c r="AG783" s="659"/>
      <c r="AH783" s="659"/>
      <c r="AI783" s="659"/>
      <c r="AJ783" s="659"/>
      <c r="AK783" s="659"/>
      <c r="AL783" s="659"/>
      <c r="AM783" s="659"/>
      <c r="AN783" s="659"/>
      <c r="AO783" s="659"/>
      <c r="AP783" s="659"/>
      <c r="AQ783" s="746"/>
    </row>
    <row r="784">
      <c r="A784" s="1002"/>
      <c r="B784" s="1044"/>
      <c r="C784" s="1005"/>
      <c r="D784" s="645"/>
      <c r="E784" s="645"/>
      <c r="F784" s="951"/>
      <c r="G784" s="951"/>
      <c r="H784" s="951"/>
      <c r="I784" s="951"/>
      <c r="J784" s="951"/>
      <c r="K784" s="951"/>
      <c r="L784" s="951"/>
      <c r="M784" s="951"/>
      <c r="N784" s="659"/>
      <c r="O784" s="951"/>
      <c r="P784" s="951"/>
      <c r="Q784" s="659"/>
      <c r="R784" s="659"/>
      <c r="S784" s="659"/>
      <c r="T784" s="659"/>
      <c r="U784" s="659"/>
      <c r="V784" s="659"/>
      <c r="W784" s="659"/>
      <c r="X784" s="659"/>
      <c r="Y784" s="659"/>
      <c r="Z784" s="659"/>
      <c r="AA784" s="659"/>
      <c r="AB784" s="659"/>
      <c r="AC784" s="659"/>
      <c r="AD784" s="659"/>
      <c r="AE784" s="659"/>
      <c r="AF784" s="659"/>
      <c r="AG784" s="659"/>
      <c r="AH784" s="659"/>
      <c r="AI784" s="659"/>
      <c r="AJ784" s="659"/>
      <c r="AK784" s="659"/>
      <c r="AL784" s="659"/>
      <c r="AM784" s="659"/>
      <c r="AN784" s="659"/>
      <c r="AO784" s="659"/>
      <c r="AP784" s="659"/>
      <c r="AQ784" s="746"/>
    </row>
    <row r="785">
      <c r="A785" s="1002"/>
      <c r="B785" s="1044"/>
      <c r="C785" s="1005"/>
      <c r="D785" s="645"/>
      <c r="E785" s="645"/>
      <c r="F785" s="951"/>
      <c r="G785" s="951"/>
      <c r="H785" s="951"/>
      <c r="I785" s="951"/>
      <c r="J785" s="951"/>
      <c r="K785" s="951"/>
      <c r="L785" s="951"/>
      <c r="M785" s="951"/>
      <c r="N785" s="659"/>
      <c r="O785" s="951"/>
      <c r="P785" s="951"/>
      <c r="Q785" s="659"/>
      <c r="R785" s="659"/>
      <c r="S785" s="659"/>
      <c r="T785" s="659"/>
      <c r="U785" s="659"/>
      <c r="V785" s="659"/>
      <c r="W785" s="659"/>
      <c r="X785" s="659"/>
      <c r="Y785" s="659"/>
      <c r="Z785" s="659"/>
      <c r="AA785" s="659"/>
      <c r="AB785" s="659"/>
      <c r="AC785" s="659"/>
      <c r="AD785" s="659"/>
      <c r="AE785" s="659"/>
      <c r="AF785" s="659"/>
      <c r="AG785" s="659"/>
      <c r="AH785" s="659"/>
      <c r="AI785" s="659"/>
      <c r="AJ785" s="659"/>
      <c r="AK785" s="659"/>
      <c r="AL785" s="659"/>
      <c r="AM785" s="659"/>
      <c r="AN785" s="659"/>
      <c r="AO785" s="659"/>
      <c r="AP785" s="659"/>
      <c r="AQ785" s="746"/>
    </row>
    <row r="786">
      <c r="A786" s="1002"/>
      <c r="B786" s="1004"/>
      <c r="C786" s="1005"/>
      <c r="D786" s="645"/>
      <c r="E786" s="645"/>
      <c r="F786" s="951"/>
      <c r="G786" s="951"/>
      <c r="H786" s="951"/>
      <c r="I786" s="951"/>
      <c r="J786" s="951"/>
      <c r="K786" s="951"/>
      <c r="L786" s="951"/>
      <c r="M786" s="951"/>
      <c r="N786" s="659"/>
      <c r="O786" s="951"/>
      <c r="P786" s="951"/>
      <c r="Q786" s="659"/>
      <c r="R786" s="659"/>
      <c r="S786" s="659"/>
      <c r="T786" s="659"/>
      <c r="U786" s="659"/>
      <c r="V786" s="659"/>
      <c r="W786" s="659"/>
      <c r="X786" s="659"/>
      <c r="Y786" s="659"/>
      <c r="Z786" s="659"/>
      <c r="AA786" s="659"/>
      <c r="AB786" s="659"/>
      <c r="AC786" s="659"/>
      <c r="AD786" s="659"/>
      <c r="AE786" s="659"/>
      <c r="AF786" s="659"/>
      <c r="AG786" s="659"/>
      <c r="AH786" s="659"/>
      <c r="AI786" s="659"/>
      <c r="AJ786" s="659"/>
      <c r="AK786" s="659"/>
      <c r="AL786" s="659"/>
      <c r="AM786" s="659"/>
      <c r="AN786" s="659"/>
      <c r="AO786" s="659"/>
      <c r="AP786" s="659"/>
      <c r="AQ786" s="746"/>
    </row>
    <row r="787">
      <c r="A787" s="1002"/>
      <c r="B787" s="1044"/>
      <c r="C787" s="1005"/>
      <c r="D787" s="645"/>
      <c r="E787" s="645"/>
      <c r="F787" s="951"/>
      <c r="G787" s="951"/>
      <c r="H787" s="951"/>
      <c r="I787" s="951"/>
      <c r="J787" s="951"/>
      <c r="K787" s="951"/>
      <c r="L787" s="951"/>
      <c r="M787" s="951"/>
      <c r="N787" s="659"/>
      <c r="O787" s="951"/>
      <c r="P787" s="951"/>
      <c r="Q787" s="659"/>
      <c r="R787" s="659"/>
      <c r="S787" s="659"/>
      <c r="T787" s="659"/>
      <c r="U787" s="659"/>
      <c r="V787" s="659"/>
      <c r="W787" s="659"/>
      <c r="X787" s="659"/>
      <c r="Y787" s="659"/>
      <c r="Z787" s="659"/>
      <c r="AA787" s="659"/>
      <c r="AB787" s="659"/>
      <c r="AC787" s="659"/>
      <c r="AD787" s="659"/>
      <c r="AE787" s="659"/>
      <c r="AF787" s="659"/>
      <c r="AG787" s="659"/>
      <c r="AH787" s="659"/>
      <c r="AI787" s="659"/>
      <c r="AJ787" s="659"/>
      <c r="AK787" s="659"/>
      <c r="AL787" s="659"/>
      <c r="AM787" s="659"/>
      <c r="AN787" s="659"/>
      <c r="AO787" s="659"/>
      <c r="AP787" s="659"/>
      <c r="AQ787" s="746"/>
    </row>
    <row r="788">
      <c r="A788" s="1002"/>
      <c r="B788" s="1004"/>
      <c r="C788" s="1005"/>
      <c r="D788" s="645"/>
      <c r="E788" s="645"/>
      <c r="F788" s="951"/>
      <c r="G788" s="951"/>
      <c r="H788" s="951"/>
      <c r="I788" s="951"/>
      <c r="J788" s="951"/>
      <c r="K788" s="951"/>
      <c r="L788" s="951"/>
      <c r="M788" s="951"/>
      <c r="N788" s="659"/>
      <c r="O788" s="951"/>
      <c r="P788" s="951"/>
      <c r="Q788" s="659"/>
      <c r="R788" s="659"/>
      <c r="S788" s="659"/>
      <c r="T788" s="659"/>
      <c r="U788" s="659"/>
      <c r="V788" s="659"/>
      <c r="W788" s="659"/>
      <c r="X788" s="659"/>
      <c r="Y788" s="659"/>
      <c r="Z788" s="659"/>
      <c r="AA788" s="659"/>
      <c r="AB788" s="659"/>
      <c r="AC788" s="659"/>
      <c r="AD788" s="659"/>
      <c r="AE788" s="659"/>
      <c r="AF788" s="659"/>
      <c r="AG788" s="659"/>
      <c r="AH788" s="659"/>
      <c r="AI788" s="659"/>
      <c r="AJ788" s="659"/>
      <c r="AK788" s="659"/>
      <c r="AL788" s="659"/>
      <c r="AM788" s="659"/>
      <c r="AN788" s="659"/>
      <c r="AO788" s="659"/>
      <c r="AP788" s="659"/>
      <c r="AQ788" s="746"/>
    </row>
    <row r="789">
      <c r="A789" s="1002"/>
      <c r="B789" s="1044"/>
      <c r="C789" s="1005"/>
      <c r="D789" s="645"/>
      <c r="E789" s="645"/>
      <c r="F789" s="951"/>
      <c r="G789" s="951"/>
      <c r="H789" s="951"/>
      <c r="I789" s="951"/>
      <c r="J789" s="951"/>
      <c r="K789" s="951"/>
      <c r="L789" s="951"/>
      <c r="M789" s="951"/>
      <c r="N789" s="659"/>
      <c r="O789" s="951"/>
      <c r="P789" s="951"/>
      <c r="Q789" s="659"/>
      <c r="R789" s="659"/>
      <c r="S789" s="659"/>
      <c r="T789" s="659"/>
      <c r="U789" s="659"/>
      <c r="V789" s="659"/>
      <c r="W789" s="659"/>
      <c r="X789" s="659"/>
      <c r="Y789" s="659"/>
      <c r="Z789" s="659"/>
      <c r="AA789" s="659"/>
      <c r="AB789" s="659"/>
      <c r="AC789" s="659"/>
      <c r="AD789" s="659"/>
      <c r="AE789" s="659"/>
      <c r="AF789" s="659"/>
      <c r="AG789" s="659"/>
      <c r="AH789" s="659"/>
      <c r="AI789" s="659"/>
      <c r="AJ789" s="659"/>
      <c r="AK789" s="659"/>
      <c r="AL789" s="659"/>
      <c r="AM789" s="659"/>
      <c r="AN789" s="659"/>
      <c r="AO789" s="659"/>
      <c r="AP789" s="659"/>
      <c r="AQ789" s="746"/>
    </row>
    <row r="790">
      <c r="A790" s="1002"/>
      <c r="B790" s="1044"/>
      <c r="C790" s="1005"/>
      <c r="D790" s="645"/>
      <c r="E790" s="645"/>
      <c r="F790" s="951"/>
      <c r="G790" s="951"/>
      <c r="H790" s="951"/>
      <c r="I790" s="951"/>
      <c r="J790" s="951"/>
      <c r="K790" s="951"/>
      <c r="L790" s="951"/>
      <c r="M790" s="951"/>
      <c r="N790" s="659"/>
      <c r="O790" s="951"/>
      <c r="P790" s="951"/>
      <c r="Q790" s="659"/>
      <c r="R790" s="659"/>
      <c r="S790" s="659"/>
      <c r="T790" s="659"/>
      <c r="U790" s="659"/>
      <c r="V790" s="659"/>
      <c r="W790" s="659"/>
      <c r="X790" s="659"/>
      <c r="Y790" s="659"/>
      <c r="Z790" s="659"/>
      <c r="AA790" s="659"/>
      <c r="AB790" s="659"/>
      <c r="AC790" s="659"/>
      <c r="AD790" s="659"/>
      <c r="AE790" s="659"/>
      <c r="AF790" s="659"/>
      <c r="AG790" s="659"/>
      <c r="AH790" s="659"/>
      <c r="AI790" s="659"/>
      <c r="AJ790" s="659"/>
      <c r="AK790" s="659"/>
      <c r="AL790" s="659"/>
      <c r="AM790" s="659"/>
      <c r="AN790" s="659"/>
      <c r="AO790" s="659"/>
      <c r="AP790" s="659"/>
      <c r="AQ790" s="746"/>
    </row>
    <row r="791">
      <c r="A791" s="1002"/>
      <c r="B791" s="1004"/>
      <c r="C791" s="1005"/>
      <c r="D791" s="645"/>
      <c r="E791" s="645"/>
      <c r="F791" s="951"/>
      <c r="G791" s="951"/>
      <c r="H791" s="951"/>
      <c r="I791" s="951"/>
      <c r="J791" s="951"/>
      <c r="K791" s="951"/>
      <c r="L791" s="951"/>
      <c r="M791" s="951"/>
      <c r="N791" s="659"/>
      <c r="O791" s="951"/>
      <c r="P791" s="951"/>
      <c r="Q791" s="659"/>
      <c r="R791" s="659"/>
      <c r="S791" s="659"/>
      <c r="T791" s="659"/>
      <c r="U791" s="659"/>
      <c r="V791" s="659"/>
      <c r="W791" s="659"/>
      <c r="X791" s="659"/>
      <c r="Y791" s="659"/>
      <c r="Z791" s="659"/>
      <c r="AA791" s="659"/>
      <c r="AB791" s="659"/>
      <c r="AC791" s="659"/>
      <c r="AD791" s="659"/>
      <c r="AE791" s="659"/>
      <c r="AF791" s="659"/>
      <c r="AG791" s="659"/>
      <c r="AH791" s="659"/>
      <c r="AI791" s="659"/>
      <c r="AJ791" s="659"/>
      <c r="AK791" s="659"/>
      <c r="AL791" s="659"/>
      <c r="AM791" s="659"/>
      <c r="AN791" s="659"/>
      <c r="AO791" s="659"/>
      <c r="AP791" s="659"/>
      <c r="AQ791" s="746"/>
    </row>
    <row r="792">
      <c r="A792" s="1002"/>
      <c r="B792" s="1004"/>
      <c r="C792" s="1005"/>
      <c r="D792" s="645"/>
      <c r="E792" s="645"/>
      <c r="F792" s="951"/>
      <c r="G792" s="951"/>
      <c r="H792" s="951"/>
      <c r="I792" s="951"/>
      <c r="J792" s="951"/>
      <c r="K792" s="951"/>
      <c r="L792" s="951"/>
      <c r="M792" s="951"/>
      <c r="N792" s="659"/>
      <c r="O792" s="951"/>
      <c r="P792" s="951"/>
      <c r="Q792" s="659"/>
      <c r="R792" s="659"/>
      <c r="S792" s="659"/>
      <c r="T792" s="659"/>
      <c r="U792" s="659"/>
      <c r="V792" s="659"/>
      <c r="W792" s="659"/>
      <c r="X792" s="659"/>
      <c r="Y792" s="659"/>
      <c r="Z792" s="659"/>
      <c r="AA792" s="659"/>
      <c r="AB792" s="659"/>
      <c r="AC792" s="659"/>
      <c r="AD792" s="659"/>
      <c r="AE792" s="659"/>
      <c r="AF792" s="659"/>
      <c r="AG792" s="659"/>
      <c r="AH792" s="659"/>
      <c r="AI792" s="659"/>
      <c r="AJ792" s="659"/>
      <c r="AK792" s="659"/>
      <c r="AL792" s="659"/>
      <c r="AM792" s="659"/>
      <c r="AN792" s="659"/>
      <c r="AO792" s="659"/>
      <c r="AP792" s="659"/>
      <c r="AQ792" s="746"/>
    </row>
    <row r="793">
      <c r="A793" s="1002"/>
      <c r="B793" s="1004"/>
      <c r="C793" s="1005"/>
      <c r="D793" s="645"/>
      <c r="E793" s="645"/>
      <c r="F793" s="951"/>
      <c r="G793" s="951"/>
      <c r="H793" s="951"/>
      <c r="I793" s="951"/>
      <c r="J793" s="951"/>
      <c r="K793" s="951"/>
      <c r="L793" s="951"/>
      <c r="M793" s="951"/>
      <c r="N793" s="659"/>
      <c r="O793" s="951"/>
      <c r="P793" s="951"/>
      <c r="Q793" s="659"/>
      <c r="R793" s="659"/>
      <c r="S793" s="659"/>
      <c r="T793" s="659"/>
      <c r="U793" s="659"/>
      <c r="V793" s="659"/>
      <c r="W793" s="659"/>
      <c r="X793" s="659"/>
      <c r="Y793" s="659"/>
      <c r="Z793" s="659"/>
      <c r="AA793" s="659"/>
      <c r="AB793" s="659"/>
      <c r="AC793" s="659"/>
      <c r="AD793" s="659"/>
      <c r="AE793" s="659"/>
      <c r="AF793" s="659"/>
      <c r="AG793" s="659"/>
      <c r="AH793" s="659"/>
      <c r="AI793" s="659"/>
      <c r="AJ793" s="659"/>
      <c r="AK793" s="659"/>
      <c r="AL793" s="659"/>
      <c r="AM793" s="659"/>
      <c r="AN793" s="659"/>
      <c r="AO793" s="659"/>
      <c r="AP793" s="659"/>
      <c r="AQ793" s="746"/>
    </row>
    <row r="794">
      <c r="A794" s="1002"/>
      <c r="B794" s="1004"/>
      <c r="C794" s="1005"/>
      <c r="D794" s="645"/>
      <c r="E794" s="645"/>
      <c r="F794" s="951"/>
      <c r="G794" s="951"/>
      <c r="H794" s="951"/>
      <c r="I794" s="951"/>
      <c r="J794" s="951"/>
      <c r="K794" s="951"/>
      <c r="L794" s="951"/>
      <c r="M794" s="951"/>
      <c r="N794" s="659"/>
      <c r="O794" s="951"/>
      <c r="P794" s="951"/>
      <c r="Q794" s="659"/>
      <c r="R794" s="659"/>
      <c r="S794" s="659"/>
      <c r="T794" s="659"/>
      <c r="U794" s="659"/>
      <c r="V794" s="659"/>
      <c r="W794" s="659"/>
      <c r="X794" s="659"/>
      <c r="Y794" s="659"/>
      <c r="Z794" s="659"/>
      <c r="AA794" s="659"/>
      <c r="AB794" s="659"/>
      <c r="AC794" s="659"/>
      <c r="AD794" s="659"/>
      <c r="AE794" s="659"/>
      <c r="AF794" s="659"/>
      <c r="AG794" s="659"/>
      <c r="AH794" s="659"/>
      <c r="AI794" s="659"/>
      <c r="AJ794" s="659"/>
      <c r="AK794" s="659"/>
      <c r="AL794" s="659"/>
      <c r="AM794" s="659"/>
      <c r="AN794" s="659"/>
      <c r="AO794" s="659"/>
      <c r="AP794" s="659"/>
      <c r="AQ794" s="746"/>
    </row>
    <row r="795">
      <c r="A795" s="1002"/>
      <c r="B795" s="1044"/>
      <c r="C795" s="1005"/>
      <c r="D795" s="645"/>
      <c r="E795" s="645"/>
      <c r="F795" s="951"/>
      <c r="G795" s="951"/>
      <c r="H795" s="951"/>
      <c r="I795" s="951"/>
      <c r="J795" s="951"/>
      <c r="K795" s="951"/>
      <c r="L795" s="951"/>
      <c r="M795" s="951"/>
      <c r="N795" s="659"/>
      <c r="O795" s="951"/>
      <c r="P795" s="951"/>
      <c r="Q795" s="659"/>
      <c r="R795" s="659"/>
      <c r="S795" s="659"/>
      <c r="T795" s="659"/>
      <c r="U795" s="659"/>
      <c r="V795" s="659"/>
      <c r="W795" s="659"/>
      <c r="X795" s="659"/>
      <c r="Y795" s="659"/>
      <c r="Z795" s="659"/>
      <c r="AA795" s="659"/>
      <c r="AB795" s="659"/>
      <c r="AC795" s="659"/>
      <c r="AD795" s="659"/>
      <c r="AE795" s="659"/>
      <c r="AF795" s="659"/>
      <c r="AG795" s="659"/>
      <c r="AH795" s="659"/>
      <c r="AI795" s="659"/>
      <c r="AJ795" s="659"/>
      <c r="AK795" s="659"/>
      <c r="AL795" s="659"/>
      <c r="AM795" s="659"/>
      <c r="AN795" s="659"/>
      <c r="AO795" s="659"/>
      <c r="AP795" s="659"/>
      <c r="AQ795" s="746"/>
    </row>
    <row r="796">
      <c r="A796" s="1002"/>
      <c r="B796" s="1004"/>
      <c r="C796" s="1005"/>
      <c r="D796" s="645"/>
      <c r="E796" s="645"/>
      <c r="F796" s="951"/>
      <c r="G796" s="951"/>
      <c r="H796" s="951"/>
      <c r="I796" s="951"/>
      <c r="J796" s="951"/>
      <c r="K796" s="951"/>
      <c r="L796" s="951"/>
      <c r="M796" s="951"/>
      <c r="N796" s="659"/>
      <c r="O796" s="951"/>
      <c r="P796" s="951"/>
      <c r="Q796" s="659"/>
      <c r="R796" s="659"/>
      <c r="S796" s="659"/>
      <c r="T796" s="659"/>
      <c r="U796" s="659"/>
      <c r="V796" s="659"/>
      <c r="W796" s="659"/>
      <c r="X796" s="659"/>
      <c r="Y796" s="659"/>
      <c r="Z796" s="659"/>
      <c r="AA796" s="659"/>
      <c r="AB796" s="659"/>
      <c r="AC796" s="659"/>
      <c r="AD796" s="659"/>
      <c r="AE796" s="659"/>
      <c r="AF796" s="659"/>
      <c r="AG796" s="659"/>
      <c r="AH796" s="659"/>
      <c r="AI796" s="659"/>
      <c r="AJ796" s="659"/>
      <c r="AK796" s="659"/>
      <c r="AL796" s="659"/>
      <c r="AM796" s="659"/>
      <c r="AN796" s="659"/>
      <c r="AO796" s="659"/>
      <c r="AP796" s="659"/>
      <c r="AQ796" s="746"/>
    </row>
    <row r="797">
      <c r="A797" s="1002"/>
      <c r="B797" s="1044"/>
      <c r="C797" s="1005"/>
      <c r="D797" s="645"/>
      <c r="E797" s="645"/>
      <c r="F797" s="951"/>
      <c r="G797" s="951"/>
      <c r="H797" s="951"/>
      <c r="I797" s="951"/>
      <c r="J797" s="951"/>
      <c r="K797" s="951"/>
      <c r="L797" s="951"/>
      <c r="M797" s="951"/>
      <c r="N797" s="659"/>
      <c r="O797" s="951"/>
      <c r="P797" s="951"/>
      <c r="Q797" s="659"/>
      <c r="R797" s="659"/>
      <c r="S797" s="659"/>
      <c r="T797" s="659"/>
      <c r="U797" s="659"/>
      <c r="V797" s="659"/>
      <c r="W797" s="659"/>
      <c r="X797" s="659"/>
      <c r="Y797" s="659"/>
      <c r="Z797" s="659"/>
      <c r="AA797" s="659"/>
      <c r="AB797" s="659"/>
      <c r="AC797" s="659"/>
      <c r="AD797" s="659"/>
      <c r="AE797" s="659"/>
      <c r="AF797" s="659"/>
      <c r="AG797" s="659"/>
      <c r="AH797" s="659"/>
      <c r="AI797" s="659"/>
      <c r="AJ797" s="659"/>
      <c r="AK797" s="659"/>
      <c r="AL797" s="659"/>
      <c r="AM797" s="659"/>
      <c r="AN797" s="659"/>
      <c r="AO797" s="659"/>
      <c r="AP797" s="659"/>
      <c r="AQ797" s="746"/>
    </row>
    <row r="798">
      <c r="A798" s="1002"/>
      <c r="B798" s="1044"/>
      <c r="C798" s="1005"/>
      <c r="D798" s="645"/>
      <c r="E798" s="645"/>
      <c r="F798" s="951"/>
      <c r="G798" s="951"/>
      <c r="H798" s="951"/>
      <c r="I798" s="951"/>
      <c r="J798" s="951"/>
      <c r="K798" s="951"/>
      <c r="L798" s="951"/>
      <c r="M798" s="951"/>
      <c r="N798" s="659"/>
      <c r="O798" s="951"/>
      <c r="P798" s="951"/>
      <c r="Q798" s="659"/>
      <c r="R798" s="659"/>
      <c r="S798" s="659"/>
      <c r="T798" s="659"/>
      <c r="U798" s="659"/>
      <c r="V798" s="659"/>
      <c r="W798" s="659"/>
      <c r="X798" s="659"/>
      <c r="Y798" s="659"/>
      <c r="Z798" s="659"/>
      <c r="AA798" s="659"/>
      <c r="AB798" s="659"/>
      <c r="AC798" s="659"/>
      <c r="AD798" s="659"/>
      <c r="AE798" s="659"/>
      <c r="AF798" s="659"/>
      <c r="AG798" s="659"/>
      <c r="AH798" s="659"/>
      <c r="AI798" s="659"/>
      <c r="AJ798" s="659"/>
      <c r="AK798" s="659"/>
      <c r="AL798" s="659"/>
      <c r="AM798" s="659"/>
      <c r="AN798" s="659"/>
      <c r="AO798" s="659"/>
      <c r="AP798" s="659"/>
      <c r="AQ798" s="746"/>
    </row>
    <row r="799">
      <c r="A799" s="1002"/>
      <c r="B799" s="1044"/>
      <c r="C799" s="1005"/>
      <c r="D799" s="645"/>
      <c r="E799" s="645"/>
      <c r="F799" s="951"/>
      <c r="G799" s="951"/>
      <c r="H799" s="951"/>
      <c r="I799" s="951"/>
      <c r="J799" s="951"/>
      <c r="K799" s="951"/>
      <c r="L799" s="951"/>
      <c r="M799" s="951"/>
      <c r="N799" s="659"/>
      <c r="O799" s="951"/>
      <c r="P799" s="951"/>
      <c r="Q799" s="659"/>
      <c r="R799" s="659"/>
      <c r="S799" s="659"/>
      <c r="T799" s="659"/>
      <c r="U799" s="659"/>
      <c r="V799" s="659"/>
      <c r="W799" s="659"/>
      <c r="X799" s="659"/>
      <c r="Y799" s="659"/>
      <c r="Z799" s="659"/>
      <c r="AA799" s="659"/>
      <c r="AB799" s="659"/>
      <c r="AC799" s="659"/>
      <c r="AD799" s="659"/>
      <c r="AE799" s="659"/>
      <c r="AF799" s="659"/>
      <c r="AG799" s="659"/>
      <c r="AH799" s="659"/>
      <c r="AI799" s="659"/>
      <c r="AJ799" s="659"/>
      <c r="AK799" s="659"/>
      <c r="AL799" s="659"/>
      <c r="AM799" s="659"/>
      <c r="AN799" s="659"/>
      <c r="AO799" s="659"/>
      <c r="AP799" s="659"/>
      <c r="AQ799" s="746"/>
    </row>
    <row r="800">
      <c r="A800" s="1002"/>
      <c r="B800" s="1044"/>
      <c r="C800" s="1005"/>
      <c r="D800" s="645"/>
      <c r="E800" s="645"/>
      <c r="F800" s="951"/>
      <c r="G800" s="951"/>
      <c r="H800" s="951"/>
      <c r="I800" s="951"/>
      <c r="J800" s="951"/>
      <c r="K800" s="951"/>
      <c r="L800" s="951"/>
      <c r="M800" s="951"/>
      <c r="N800" s="659"/>
      <c r="O800" s="951"/>
      <c r="P800" s="951"/>
      <c r="Q800" s="659"/>
      <c r="R800" s="659"/>
      <c r="S800" s="659"/>
      <c r="T800" s="659"/>
      <c r="U800" s="659"/>
      <c r="V800" s="659"/>
      <c r="W800" s="659"/>
      <c r="X800" s="659"/>
      <c r="Y800" s="659"/>
      <c r="Z800" s="659"/>
      <c r="AA800" s="659"/>
      <c r="AB800" s="659"/>
      <c r="AC800" s="659"/>
      <c r="AD800" s="659"/>
      <c r="AE800" s="659"/>
      <c r="AF800" s="659"/>
      <c r="AG800" s="659"/>
      <c r="AH800" s="659"/>
      <c r="AI800" s="659"/>
      <c r="AJ800" s="659"/>
      <c r="AK800" s="659"/>
      <c r="AL800" s="659"/>
      <c r="AM800" s="659"/>
      <c r="AN800" s="659"/>
      <c r="AO800" s="659"/>
      <c r="AP800" s="659"/>
      <c r="AQ800" s="746"/>
    </row>
    <row r="801">
      <c r="A801" s="1002"/>
      <c r="B801" s="1044"/>
      <c r="C801" s="1005"/>
      <c r="D801" s="645"/>
      <c r="E801" s="645"/>
      <c r="F801" s="951"/>
      <c r="G801" s="951"/>
      <c r="H801" s="951"/>
      <c r="I801" s="951"/>
      <c r="J801" s="951"/>
      <c r="K801" s="951"/>
      <c r="L801" s="951"/>
      <c r="M801" s="951"/>
      <c r="N801" s="659"/>
      <c r="O801" s="951"/>
      <c r="P801" s="951"/>
      <c r="Q801" s="659"/>
      <c r="R801" s="659"/>
      <c r="S801" s="659"/>
      <c r="T801" s="659"/>
      <c r="U801" s="659"/>
      <c r="V801" s="659"/>
      <c r="W801" s="659"/>
      <c r="X801" s="659"/>
      <c r="Y801" s="659"/>
      <c r="Z801" s="659"/>
      <c r="AA801" s="659"/>
      <c r="AB801" s="659"/>
      <c r="AC801" s="659"/>
      <c r="AD801" s="659"/>
      <c r="AE801" s="659"/>
      <c r="AF801" s="659"/>
      <c r="AG801" s="659"/>
      <c r="AH801" s="659"/>
      <c r="AI801" s="659"/>
      <c r="AJ801" s="659"/>
      <c r="AK801" s="659"/>
      <c r="AL801" s="659"/>
      <c r="AM801" s="659"/>
      <c r="AN801" s="659"/>
      <c r="AO801" s="659"/>
      <c r="AP801" s="659"/>
      <c r="AQ801" s="746"/>
    </row>
    <row r="802">
      <c r="A802" s="1002"/>
      <c r="B802" s="1044"/>
      <c r="C802" s="1005"/>
      <c r="D802" s="645"/>
      <c r="E802" s="645"/>
      <c r="F802" s="951"/>
      <c r="G802" s="951"/>
      <c r="H802" s="951"/>
      <c r="I802" s="951"/>
      <c r="J802" s="951"/>
      <c r="K802" s="951"/>
      <c r="L802" s="951"/>
      <c r="M802" s="951"/>
      <c r="N802" s="659"/>
      <c r="O802" s="951"/>
      <c r="P802" s="951"/>
      <c r="Q802" s="659"/>
      <c r="R802" s="659"/>
      <c r="S802" s="659"/>
      <c r="T802" s="659"/>
      <c r="U802" s="659"/>
      <c r="V802" s="659"/>
      <c r="W802" s="659"/>
      <c r="X802" s="659"/>
      <c r="Y802" s="659"/>
      <c r="Z802" s="659"/>
      <c r="AA802" s="659"/>
      <c r="AB802" s="659"/>
      <c r="AC802" s="659"/>
      <c r="AD802" s="659"/>
      <c r="AE802" s="659"/>
      <c r="AF802" s="659"/>
      <c r="AG802" s="659"/>
      <c r="AH802" s="659"/>
      <c r="AI802" s="659"/>
      <c r="AJ802" s="659"/>
      <c r="AK802" s="659"/>
      <c r="AL802" s="659"/>
      <c r="AM802" s="659"/>
      <c r="AN802" s="659"/>
      <c r="AO802" s="659"/>
      <c r="AP802" s="659"/>
      <c r="AQ802" s="746"/>
    </row>
    <row r="803">
      <c r="A803" s="1002"/>
      <c r="B803" s="1004"/>
      <c r="C803" s="1005"/>
      <c r="D803" s="645"/>
      <c r="E803" s="645"/>
      <c r="F803" s="951"/>
      <c r="G803" s="951"/>
      <c r="H803" s="951"/>
      <c r="I803" s="951"/>
      <c r="J803" s="951"/>
      <c r="K803" s="951"/>
      <c r="L803" s="951"/>
      <c r="M803" s="951"/>
      <c r="N803" s="659"/>
      <c r="O803" s="951"/>
      <c r="P803" s="951"/>
      <c r="Q803" s="659"/>
      <c r="R803" s="659"/>
      <c r="S803" s="659"/>
      <c r="T803" s="659"/>
      <c r="U803" s="659"/>
      <c r="V803" s="659"/>
      <c r="W803" s="659"/>
      <c r="X803" s="659"/>
      <c r="Y803" s="659"/>
      <c r="Z803" s="659"/>
      <c r="AA803" s="659"/>
      <c r="AB803" s="659"/>
      <c r="AC803" s="659"/>
      <c r="AD803" s="659"/>
      <c r="AE803" s="659"/>
      <c r="AF803" s="659"/>
      <c r="AG803" s="659"/>
      <c r="AH803" s="659"/>
      <c r="AI803" s="659"/>
      <c r="AJ803" s="659"/>
      <c r="AK803" s="659"/>
      <c r="AL803" s="659"/>
      <c r="AM803" s="659"/>
      <c r="AN803" s="659"/>
      <c r="AO803" s="659"/>
      <c r="AP803" s="659"/>
      <c r="AQ803" s="746"/>
    </row>
    <row r="804">
      <c r="A804" s="1002"/>
      <c r="B804" s="1044"/>
      <c r="C804" s="1005"/>
      <c r="D804" s="645"/>
      <c r="E804" s="645"/>
      <c r="F804" s="951"/>
      <c r="G804" s="951"/>
      <c r="H804" s="951"/>
      <c r="I804" s="951"/>
      <c r="J804" s="951"/>
      <c r="K804" s="951"/>
      <c r="L804" s="951"/>
      <c r="M804" s="951"/>
      <c r="N804" s="659"/>
      <c r="O804" s="951"/>
      <c r="P804" s="951"/>
      <c r="Q804" s="659"/>
      <c r="R804" s="659"/>
      <c r="S804" s="659"/>
      <c r="T804" s="659"/>
      <c r="U804" s="659"/>
      <c r="V804" s="659"/>
      <c r="W804" s="659"/>
      <c r="X804" s="659"/>
      <c r="Y804" s="659"/>
      <c r="Z804" s="659"/>
      <c r="AA804" s="659"/>
      <c r="AB804" s="659"/>
      <c r="AC804" s="659"/>
      <c r="AD804" s="659"/>
      <c r="AE804" s="659"/>
      <c r="AF804" s="659"/>
      <c r="AG804" s="659"/>
      <c r="AH804" s="659"/>
      <c r="AI804" s="659"/>
      <c r="AJ804" s="659"/>
      <c r="AK804" s="659"/>
      <c r="AL804" s="659"/>
      <c r="AM804" s="659"/>
      <c r="AN804" s="659"/>
      <c r="AO804" s="659"/>
      <c r="AP804" s="659"/>
      <c r="AQ804" s="746"/>
    </row>
    <row r="805">
      <c r="A805" s="1002"/>
      <c r="B805" s="1044"/>
      <c r="C805" s="1005"/>
      <c r="D805" s="645"/>
      <c r="E805" s="645"/>
      <c r="F805" s="951"/>
      <c r="G805" s="951"/>
      <c r="H805" s="951"/>
      <c r="I805" s="951"/>
      <c r="J805" s="951"/>
      <c r="K805" s="951"/>
      <c r="L805" s="951"/>
      <c r="M805" s="951"/>
      <c r="N805" s="659"/>
      <c r="O805" s="951"/>
      <c r="P805" s="951"/>
      <c r="Q805" s="659"/>
      <c r="R805" s="659"/>
      <c r="S805" s="659"/>
      <c r="T805" s="659"/>
      <c r="U805" s="659"/>
      <c r="V805" s="659"/>
      <c r="W805" s="659"/>
      <c r="X805" s="659"/>
      <c r="Y805" s="659"/>
      <c r="Z805" s="659"/>
      <c r="AA805" s="659"/>
      <c r="AB805" s="659"/>
      <c r="AC805" s="659"/>
      <c r="AD805" s="659"/>
      <c r="AE805" s="659"/>
      <c r="AF805" s="659"/>
      <c r="AG805" s="659"/>
      <c r="AH805" s="659"/>
      <c r="AI805" s="659"/>
      <c r="AJ805" s="659"/>
      <c r="AK805" s="659"/>
      <c r="AL805" s="659"/>
      <c r="AM805" s="659"/>
      <c r="AN805" s="659"/>
      <c r="AO805" s="659"/>
      <c r="AP805" s="659"/>
      <c r="AQ805" s="746"/>
    </row>
    <row r="806">
      <c r="A806" s="1002"/>
      <c r="B806" s="1044"/>
      <c r="C806" s="1005"/>
      <c r="D806" s="645"/>
      <c r="E806" s="645"/>
      <c r="F806" s="951"/>
      <c r="G806" s="951"/>
      <c r="H806" s="951"/>
      <c r="I806" s="951"/>
      <c r="J806" s="951"/>
      <c r="K806" s="951"/>
      <c r="L806" s="951"/>
      <c r="M806" s="951"/>
      <c r="N806" s="659"/>
      <c r="O806" s="951"/>
      <c r="P806" s="951"/>
      <c r="Q806" s="659"/>
      <c r="R806" s="659"/>
      <c r="S806" s="659"/>
      <c r="T806" s="659"/>
      <c r="U806" s="659"/>
      <c r="V806" s="659"/>
      <c r="W806" s="659"/>
      <c r="X806" s="659"/>
      <c r="Y806" s="659"/>
      <c r="Z806" s="659"/>
      <c r="AA806" s="659"/>
      <c r="AB806" s="659"/>
      <c r="AC806" s="659"/>
      <c r="AD806" s="659"/>
      <c r="AE806" s="659"/>
      <c r="AF806" s="659"/>
      <c r="AG806" s="659"/>
      <c r="AH806" s="659"/>
      <c r="AI806" s="659"/>
      <c r="AJ806" s="659"/>
      <c r="AK806" s="659"/>
      <c r="AL806" s="659"/>
      <c r="AM806" s="659"/>
      <c r="AN806" s="659"/>
      <c r="AO806" s="659"/>
      <c r="AP806" s="659"/>
      <c r="AQ806" s="746"/>
    </row>
    <row r="807">
      <c r="A807" s="1002"/>
      <c r="B807" s="1044"/>
      <c r="C807" s="1005"/>
      <c r="D807" s="645"/>
      <c r="E807" s="645"/>
      <c r="F807" s="951"/>
      <c r="G807" s="951"/>
      <c r="H807" s="951"/>
      <c r="I807" s="951"/>
      <c r="J807" s="951"/>
      <c r="K807" s="951"/>
      <c r="L807" s="951"/>
      <c r="M807" s="951"/>
      <c r="N807" s="659"/>
      <c r="O807" s="951"/>
      <c r="P807" s="951"/>
      <c r="Q807" s="659"/>
      <c r="R807" s="659"/>
      <c r="S807" s="659"/>
      <c r="T807" s="659"/>
      <c r="U807" s="659"/>
      <c r="V807" s="659"/>
      <c r="W807" s="659"/>
      <c r="X807" s="659"/>
      <c r="Y807" s="659"/>
      <c r="Z807" s="659"/>
      <c r="AA807" s="659"/>
      <c r="AB807" s="659"/>
      <c r="AC807" s="659"/>
      <c r="AD807" s="659"/>
      <c r="AE807" s="659"/>
      <c r="AF807" s="659"/>
      <c r="AG807" s="659"/>
      <c r="AH807" s="659"/>
      <c r="AI807" s="659"/>
      <c r="AJ807" s="659"/>
      <c r="AK807" s="659"/>
      <c r="AL807" s="659"/>
      <c r="AM807" s="659"/>
      <c r="AN807" s="659"/>
      <c r="AO807" s="659"/>
      <c r="AP807" s="659"/>
      <c r="AQ807" s="746"/>
    </row>
    <row r="808">
      <c r="A808" s="1002"/>
      <c r="B808" s="1004"/>
      <c r="C808" s="1005"/>
      <c r="D808" s="645"/>
      <c r="E808" s="645"/>
      <c r="F808" s="951"/>
      <c r="G808" s="951"/>
      <c r="H808" s="951"/>
      <c r="I808" s="951"/>
      <c r="J808" s="951"/>
      <c r="K808" s="951"/>
      <c r="L808" s="951"/>
      <c r="M808" s="951"/>
      <c r="N808" s="659"/>
      <c r="O808" s="951"/>
      <c r="P808" s="951"/>
      <c r="Q808" s="659"/>
      <c r="R808" s="659"/>
      <c r="S808" s="659"/>
      <c r="T808" s="659"/>
      <c r="U808" s="659"/>
      <c r="V808" s="659"/>
      <c r="W808" s="659"/>
      <c r="X808" s="659"/>
      <c r="Y808" s="659"/>
      <c r="Z808" s="659"/>
      <c r="AA808" s="659"/>
      <c r="AB808" s="659"/>
      <c r="AC808" s="659"/>
      <c r="AD808" s="659"/>
      <c r="AE808" s="659"/>
      <c r="AF808" s="659"/>
      <c r="AG808" s="659"/>
      <c r="AH808" s="659"/>
      <c r="AI808" s="659"/>
      <c r="AJ808" s="659"/>
      <c r="AK808" s="659"/>
      <c r="AL808" s="659"/>
      <c r="AM808" s="659"/>
      <c r="AN808" s="659"/>
      <c r="AO808" s="659"/>
      <c r="AP808" s="659"/>
      <c r="AQ808" s="746"/>
    </row>
    <row r="809">
      <c r="A809" s="1002"/>
      <c r="B809" s="1044"/>
      <c r="C809" s="1005"/>
      <c r="D809" s="645"/>
      <c r="E809" s="645"/>
      <c r="F809" s="951"/>
      <c r="G809" s="951"/>
      <c r="H809" s="951"/>
      <c r="I809" s="951"/>
      <c r="J809" s="951"/>
      <c r="K809" s="951"/>
      <c r="L809" s="951"/>
      <c r="M809" s="951"/>
      <c r="N809" s="659"/>
      <c r="O809" s="951"/>
      <c r="P809" s="951"/>
      <c r="Q809" s="659"/>
      <c r="R809" s="659"/>
      <c r="S809" s="659"/>
      <c r="T809" s="659"/>
      <c r="U809" s="659"/>
      <c r="V809" s="659"/>
      <c r="W809" s="659"/>
      <c r="X809" s="659"/>
      <c r="Y809" s="659"/>
      <c r="Z809" s="659"/>
      <c r="AA809" s="659"/>
      <c r="AB809" s="659"/>
      <c r="AC809" s="659"/>
      <c r="AD809" s="659"/>
      <c r="AE809" s="659"/>
      <c r="AF809" s="659"/>
      <c r="AG809" s="659"/>
      <c r="AH809" s="659"/>
      <c r="AI809" s="659"/>
      <c r="AJ809" s="659"/>
      <c r="AK809" s="659"/>
      <c r="AL809" s="659"/>
      <c r="AM809" s="659"/>
      <c r="AN809" s="659"/>
      <c r="AO809" s="659"/>
      <c r="AP809" s="659"/>
      <c r="AQ809" s="746"/>
    </row>
    <row r="810">
      <c r="A810" s="1002"/>
      <c r="B810" s="1044"/>
      <c r="C810" s="1005"/>
      <c r="D810" s="645"/>
      <c r="E810" s="645"/>
      <c r="F810" s="951"/>
      <c r="G810" s="951"/>
      <c r="H810" s="951"/>
      <c r="I810" s="951"/>
      <c r="J810" s="951"/>
      <c r="K810" s="951"/>
      <c r="L810" s="951"/>
      <c r="M810" s="951"/>
      <c r="N810" s="659"/>
      <c r="O810" s="951"/>
      <c r="P810" s="951"/>
      <c r="Q810" s="659"/>
      <c r="R810" s="659"/>
      <c r="S810" s="659"/>
      <c r="T810" s="659"/>
      <c r="U810" s="659"/>
      <c r="V810" s="659"/>
      <c r="W810" s="659"/>
      <c r="X810" s="659"/>
      <c r="Y810" s="659"/>
      <c r="Z810" s="659"/>
      <c r="AA810" s="659"/>
      <c r="AB810" s="659"/>
      <c r="AC810" s="659"/>
      <c r="AD810" s="659"/>
      <c r="AE810" s="659"/>
      <c r="AF810" s="659"/>
      <c r="AG810" s="659"/>
      <c r="AH810" s="659"/>
      <c r="AI810" s="659"/>
      <c r="AJ810" s="659"/>
      <c r="AK810" s="659"/>
      <c r="AL810" s="659"/>
      <c r="AM810" s="659"/>
      <c r="AN810" s="659"/>
      <c r="AO810" s="659"/>
      <c r="AP810" s="659"/>
      <c r="AQ810" s="746"/>
    </row>
    <row r="811">
      <c r="A811" s="1002"/>
      <c r="B811" s="1044"/>
      <c r="C811" s="1005"/>
      <c r="D811" s="645"/>
      <c r="E811" s="645"/>
      <c r="F811" s="951"/>
      <c r="G811" s="951"/>
      <c r="H811" s="951"/>
      <c r="I811" s="951"/>
      <c r="J811" s="951"/>
      <c r="K811" s="951"/>
      <c r="L811" s="951"/>
      <c r="M811" s="951"/>
      <c r="N811" s="659"/>
      <c r="O811" s="951"/>
      <c r="P811" s="951"/>
      <c r="Q811" s="659"/>
      <c r="R811" s="659"/>
      <c r="S811" s="659"/>
      <c r="T811" s="659"/>
      <c r="U811" s="659"/>
      <c r="V811" s="659"/>
      <c r="W811" s="659"/>
      <c r="X811" s="659"/>
      <c r="Y811" s="659"/>
      <c r="Z811" s="659"/>
      <c r="AA811" s="659"/>
      <c r="AB811" s="659"/>
      <c r="AC811" s="659"/>
      <c r="AD811" s="659"/>
      <c r="AE811" s="659"/>
      <c r="AF811" s="659"/>
      <c r="AG811" s="659"/>
      <c r="AH811" s="659"/>
      <c r="AI811" s="659"/>
      <c r="AJ811" s="659"/>
      <c r="AK811" s="659"/>
      <c r="AL811" s="659"/>
      <c r="AM811" s="659"/>
      <c r="AN811" s="659"/>
      <c r="AO811" s="659"/>
      <c r="AP811" s="659"/>
      <c r="AQ811" s="746"/>
    </row>
    <row r="812">
      <c r="A812" s="1002"/>
      <c r="B812" s="1044"/>
      <c r="C812" s="1005"/>
      <c r="D812" s="645"/>
      <c r="E812" s="645"/>
      <c r="F812" s="951"/>
      <c r="G812" s="951"/>
      <c r="H812" s="951"/>
      <c r="I812" s="951"/>
      <c r="J812" s="951"/>
      <c r="K812" s="951"/>
      <c r="L812" s="951"/>
      <c r="M812" s="951"/>
      <c r="N812" s="659"/>
      <c r="O812" s="951"/>
      <c r="P812" s="951"/>
      <c r="Q812" s="659"/>
      <c r="R812" s="659"/>
      <c r="S812" s="659"/>
      <c r="T812" s="659"/>
      <c r="U812" s="659"/>
      <c r="V812" s="659"/>
      <c r="W812" s="659"/>
      <c r="X812" s="659"/>
      <c r="Y812" s="659"/>
      <c r="Z812" s="659"/>
      <c r="AA812" s="659"/>
      <c r="AB812" s="659"/>
      <c r="AC812" s="659"/>
      <c r="AD812" s="659"/>
      <c r="AE812" s="659"/>
      <c r="AF812" s="659"/>
      <c r="AG812" s="659"/>
      <c r="AH812" s="659"/>
      <c r="AI812" s="659"/>
      <c r="AJ812" s="659"/>
      <c r="AK812" s="659"/>
      <c r="AL812" s="659"/>
      <c r="AM812" s="659"/>
      <c r="AN812" s="659"/>
      <c r="AO812" s="659"/>
      <c r="AP812" s="659"/>
      <c r="AQ812" s="746"/>
    </row>
    <row r="813">
      <c r="A813" s="1002"/>
      <c r="B813" s="1004"/>
      <c r="C813" s="1005"/>
      <c r="D813" s="645"/>
      <c r="E813" s="645"/>
      <c r="F813" s="951"/>
      <c r="G813" s="951"/>
      <c r="H813" s="951"/>
      <c r="I813" s="951"/>
      <c r="J813" s="951"/>
      <c r="K813" s="951"/>
      <c r="L813" s="951"/>
      <c r="M813" s="951"/>
      <c r="N813" s="659"/>
      <c r="O813" s="951"/>
      <c r="P813" s="951"/>
      <c r="Q813" s="659"/>
      <c r="R813" s="659"/>
      <c r="S813" s="659"/>
      <c r="T813" s="659"/>
      <c r="U813" s="659"/>
      <c r="V813" s="659"/>
      <c r="W813" s="659"/>
      <c r="X813" s="659"/>
      <c r="Y813" s="659"/>
      <c r="Z813" s="659"/>
      <c r="AA813" s="659"/>
      <c r="AB813" s="659"/>
      <c r="AC813" s="659"/>
      <c r="AD813" s="659"/>
      <c r="AE813" s="659"/>
      <c r="AF813" s="659"/>
      <c r="AG813" s="659"/>
      <c r="AH813" s="659"/>
      <c r="AI813" s="659"/>
      <c r="AJ813" s="659"/>
      <c r="AK813" s="659"/>
      <c r="AL813" s="659"/>
      <c r="AM813" s="659"/>
      <c r="AN813" s="659"/>
      <c r="AO813" s="659"/>
      <c r="AP813" s="659"/>
      <c r="AQ813" s="746"/>
    </row>
    <row r="814">
      <c r="A814" s="1002"/>
      <c r="B814" s="1044"/>
      <c r="C814" s="1005"/>
      <c r="D814" s="645"/>
      <c r="E814" s="645"/>
      <c r="F814" s="951"/>
      <c r="G814" s="951"/>
      <c r="H814" s="951"/>
      <c r="I814" s="951"/>
      <c r="J814" s="951"/>
      <c r="K814" s="951"/>
      <c r="L814" s="951"/>
      <c r="M814" s="951"/>
      <c r="N814" s="659"/>
      <c r="O814" s="951"/>
      <c r="P814" s="951"/>
      <c r="Q814" s="659"/>
      <c r="R814" s="659"/>
      <c r="S814" s="659"/>
      <c r="T814" s="659"/>
      <c r="U814" s="659"/>
      <c r="V814" s="659"/>
      <c r="W814" s="659"/>
      <c r="X814" s="659"/>
      <c r="Y814" s="659"/>
      <c r="Z814" s="659"/>
      <c r="AA814" s="659"/>
      <c r="AB814" s="659"/>
      <c r="AC814" s="659"/>
      <c r="AD814" s="659"/>
      <c r="AE814" s="659"/>
      <c r="AF814" s="659"/>
      <c r="AG814" s="659"/>
      <c r="AH814" s="659"/>
      <c r="AI814" s="659"/>
      <c r="AJ814" s="659"/>
      <c r="AK814" s="659"/>
      <c r="AL814" s="659"/>
      <c r="AM814" s="659"/>
      <c r="AN814" s="659"/>
      <c r="AO814" s="659"/>
      <c r="AP814" s="659"/>
      <c r="AQ814" s="746"/>
    </row>
    <row r="815">
      <c r="A815" s="1002"/>
      <c r="B815" s="1004"/>
      <c r="C815" s="1005"/>
      <c r="D815" s="645"/>
      <c r="E815" s="645"/>
      <c r="F815" s="951"/>
      <c r="G815" s="951"/>
      <c r="H815" s="951"/>
      <c r="I815" s="951"/>
      <c r="J815" s="951"/>
      <c r="K815" s="951"/>
      <c r="L815" s="951"/>
      <c r="M815" s="951"/>
      <c r="N815" s="659"/>
      <c r="O815" s="951"/>
      <c r="P815" s="951"/>
      <c r="Q815" s="659"/>
      <c r="R815" s="659"/>
      <c r="S815" s="659"/>
      <c r="T815" s="659"/>
      <c r="U815" s="659"/>
      <c r="V815" s="659"/>
      <c r="W815" s="659"/>
      <c r="X815" s="659"/>
      <c r="Y815" s="659"/>
      <c r="Z815" s="659"/>
      <c r="AA815" s="659"/>
      <c r="AB815" s="659"/>
      <c r="AC815" s="659"/>
      <c r="AD815" s="659"/>
      <c r="AE815" s="659"/>
      <c r="AF815" s="659"/>
      <c r="AG815" s="659"/>
      <c r="AH815" s="659"/>
      <c r="AI815" s="659"/>
      <c r="AJ815" s="659"/>
      <c r="AK815" s="659"/>
      <c r="AL815" s="659"/>
      <c r="AM815" s="659"/>
      <c r="AN815" s="659"/>
      <c r="AO815" s="659"/>
      <c r="AP815" s="659"/>
      <c r="AQ815" s="746"/>
    </row>
    <row r="816">
      <c r="A816" s="1002"/>
      <c r="B816" s="1044"/>
      <c r="C816" s="1005"/>
      <c r="D816" s="645"/>
      <c r="E816" s="645"/>
      <c r="F816" s="951"/>
      <c r="G816" s="951"/>
      <c r="H816" s="951"/>
      <c r="I816" s="951"/>
      <c r="J816" s="951"/>
      <c r="K816" s="951"/>
      <c r="L816" s="951"/>
      <c r="M816" s="951"/>
      <c r="N816" s="659"/>
      <c r="O816" s="951"/>
      <c r="P816" s="951"/>
      <c r="Q816" s="659"/>
      <c r="R816" s="659"/>
      <c r="S816" s="659"/>
      <c r="T816" s="659"/>
      <c r="U816" s="659"/>
      <c r="V816" s="659"/>
      <c r="W816" s="659"/>
      <c r="X816" s="659"/>
      <c r="Y816" s="659"/>
      <c r="Z816" s="659"/>
      <c r="AA816" s="659"/>
      <c r="AB816" s="659"/>
      <c r="AC816" s="659"/>
      <c r="AD816" s="659"/>
      <c r="AE816" s="659"/>
      <c r="AF816" s="659"/>
      <c r="AG816" s="659"/>
      <c r="AH816" s="659"/>
      <c r="AI816" s="659"/>
      <c r="AJ816" s="659"/>
      <c r="AK816" s="659"/>
      <c r="AL816" s="659"/>
      <c r="AM816" s="659"/>
      <c r="AN816" s="659"/>
      <c r="AO816" s="659"/>
      <c r="AP816" s="659"/>
      <c r="AQ816" s="746"/>
    </row>
    <row r="817">
      <c r="A817" s="1002"/>
      <c r="B817" s="1044"/>
      <c r="C817" s="1005"/>
      <c r="D817" s="645"/>
      <c r="E817" s="645"/>
      <c r="F817" s="951"/>
      <c r="G817" s="951"/>
      <c r="H817" s="951"/>
      <c r="I817" s="951"/>
      <c r="J817" s="951"/>
      <c r="K817" s="951"/>
      <c r="L817" s="951"/>
      <c r="M817" s="951"/>
      <c r="N817" s="659"/>
      <c r="O817" s="951"/>
      <c r="P817" s="951"/>
      <c r="Q817" s="659"/>
      <c r="R817" s="659"/>
      <c r="S817" s="659"/>
      <c r="T817" s="659"/>
      <c r="U817" s="659"/>
      <c r="V817" s="659"/>
      <c r="W817" s="659"/>
      <c r="X817" s="659"/>
      <c r="Y817" s="659"/>
      <c r="Z817" s="659"/>
      <c r="AA817" s="659"/>
      <c r="AB817" s="659"/>
      <c r="AC817" s="659"/>
      <c r="AD817" s="659"/>
      <c r="AE817" s="659"/>
      <c r="AF817" s="659"/>
      <c r="AG817" s="659"/>
      <c r="AH817" s="659"/>
      <c r="AI817" s="659"/>
      <c r="AJ817" s="659"/>
      <c r="AK817" s="659"/>
      <c r="AL817" s="659"/>
      <c r="AM817" s="659"/>
      <c r="AN817" s="659"/>
      <c r="AO817" s="659"/>
      <c r="AP817" s="659"/>
      <c r="AQ817" s="746"/>
    </row>
    <row r="818">
      <c r="A818" s="1002"/>
      <c r="B818" s="1044"/>
      <c r="C818" s="1005"/>
      <c r="D818" s="645"/>
      <c r="E818" s="645"/>
      <c r="F818" s="951"/>
      <c r="G818" s="951"/>
      <c r="H818" s="951"/>
      <c r="I818" s="951"/>
      <c r="J818" s="951"/>
      <c r="K818" s="951"/>
      <c r="L818" s="951"/>
      <c r="M818" s="951"/>
      <c r="N818" s="659"/>
      <c r="O818" s="951"/>
      <c r="P818" s="951"/>
      <c r="Q818" s="659"/>
      <c r="R818" s="659"/>
      <c r="S818" s="659"/>
      <c r="T818" s="659"/>
      <c r="U818" s="659"/>
      <c r="V818" s="659"/>
      <c r="W818" s="659"/>
      <c r="X818" s="659"/>
      <c r="Y818" s="659"/>
      <c r="Z818" s="659"/>
      <c r="AA818" s="659"/>
      <c r="AB818" s="659"/>
      <c r="AC818" s="659"/>
      <c r="AD818" s="659"/>
      <c r="AE818" s="659"/>
      <c r="AF818" s="659"/>
      <c r="AG818" s="659"/>
      <c r="AH818" s="659"/>
      <c r="AI818" s="659"/>
      <c r="AJ818" s="659"/>
      <c r="AK818" s="659"/>
      <c r="AL818" s="659"/>
      <c r="AM818" s="659"/>
      <c r="AN818" s="659"/>
      <c r="AO818" s="659"/>
      <c r="AP818" s="659"/>
      <c r="AQ818" s="746"/>
    </row>
    <row r="819">
      <c r="A819" s="1002"/>
      <c r="B819" s="1044"/>
      <c r="C819" s="1005"/>
      <c r="D819" s="645"/>
      <c r="E819" s="645"/>
      <c r="F819" s="951"/>
      <c r="G819" s="951"/>
      <c r="H819" s="951"/>
      <c r="I819" s="951"/>
      <c r="J819" s="951"/>
      <c r="K819" s="951"/>
      <c r="L819" s="951"/>
      <c r="M819" s="951"/>
      <c r="N819" s="659"/>
      <c r="O819" s="951"/>
      <c r="P819" s="951"/>
      <c r="Q819" s="659"/>
      <c r="R819" s="659"/>
      <c r="S819" s="659"/>
      <c r="T819" s="659"/>
      <c r="U819" s="659"/>
      <c r="V819" s="659"/>
      <c r="W819" s="659"/>
      <c r="X819" s="659"/>
      <c r="Y819" s="659"/>
      <c r="Z819" s="659"/>
      <c r="AA819" s="659"/>
      <c r="AB819" s="659"/>
      <c r="AC819" s="659"/>
      <c r="AD819" s="659"/>
      <c r="AE819" s="659"/>
      <c r="AF819" s="659"/>
      <c r="AG819" s="659"/>
      <c r="AH819" s="659"/>
      <c r="AI819" s="659"/>
      <c r="AJ819" s="659"/>
      <c r="AK819" s="659"/>
      <c r="AL819" s="659"/>
      <c r="AM819" s="659"/>
      <c r="AN819" s="659"/>
      <c r="AO819" s="659"/>
      <c r="AP819" s="659"/>
      <c r="AQ819" s="746"/>
    </row>
    <row r="820">
      <c r="A820" s="1002"/>
      <c r="B820" s="1044"/>
      <c r="C820" s="1005"/>
      <c r="D820" s="645"/>
      <c r="E820" s="645"/>
      <c r="F820" s="951"/>
      <c r="G820" s="951"/>
      <c r="H820" s="951"/>
      <c r="I820" s="951"/>
      <c r="J820" s="951"/>
      <c r="K820" s="951"/>
      <c r="L820" s="951"/>
      <c r="M820" s="951"/>
      <c r="N820" s="659"/>
      <c r="O820" s="951"/>
      <c r="P820" s="951"/>
      <c r="Q820" s="659"/>
      <c r="R820" s="659"/>
      <c r="S820" s="659"/>
      <c r="T820" s="659"/>
      <c r="U820" s="659"/>
      <c r="V820" s="659"/>
      <c r="W820" s="659"/>
      <c r="X820" s="659"/>
      <c r="Y820" s="659"/>
      <c r="Z820" s="659"/>
      <c r="AA820" s="659"/>
      <c r="AB820" s="659"/>
      <c r="AC820" s="659"/>
      <c r="AD820" s="659"/>
      <c r="AE820" s="659"/>
      <c r="AF820" s="659"/>
      <c r="AG820" s="659"/>
      <c r="AH820" s="659"/>
      <c r="AI820" s="659"/>
      <c r="AJ820" s="659"/>
      <c r="AK820" s="659"/>
      <c r="AL820" s="659"/>
      <c r="AM820" s="659"/>
      <c r="AN820" s="659"/>
      <c r="AO820" s="659"/>
      <c r="AP820" s="659"/>
      <c r="AQ820" s="746"/>
    </row>
    <row r="821">
      <c r="A821" s="1002"/>
      <c r="B821" s="1044"/>
      <c r="C821" s="1005"/>
      <c r="D821" s="645"/>
      <c r="E821" s="645"/>
      <c r="F821" s="951"/>
      <c r="G821" s="951"/>
      <c r="H821" s="951"/>
      <c r="I821" s="951"/>
      <c r="J821" s="951"/>
      <c r="K821" s="951"/>
      <c r="L821" s="951"/>
      <c r="M821" s="951"/>
      <c r="N821" s="659"/>
      <c r="O821" s="951"/>
      <c r="P821" s="951"/>
      <c r="Q821" s="659"/>
      <c r="R821" s="659"/>
      <c r="S821" s="659"/>
      <c r="T821" s="659"/>
      <c r="U821" s="659"/>
      <c r="V821" s="659"/>
      <c r="W821" s="659"/>
      <c r="X821" s="659"/>
      <c r="Y821" s="659"/>
      <c r="Z821" s="659"/>
      <c r="AA821" s="659"/>
      <c r="AB821" s="659"/>
      <c r="AC821" s="659"/>
      <c r="AD821" s="659"/>
      <c r="AE821" s="659"/>
      <c r="AF821" s="659"/>
      <c r="AG821" s="659"/>
      <c r="AH821" s="659"/>
      <c r="AI821" s="659"/>
      <c r="AJ821" s="659"/>
      <c r="AK821" s="659"/>
      <c r="AL821" s="659"/>
      <c r="AM821" s="659"/>
      <c r="AN821" s="659"/>
      <c r="AO821" s="659"/>
      <c r="AP821" s="659"/>
      <c r="AQ821" s="746"/>
    </row>
    <row r="822">
      <c r="A822" s="1002"/>
      <c r="B822" s="1004"/>
      <c r="C822" s="1005"/>
      <c r="D822" s="645"/>
      <c r="E822" s="645"/>
      <c r="F822" s="951"/>
      <c r="G822" s="951"/>
      <c r="H822" s="951"/>
      <c r="I822" s="951"/>
      <c r="J822" s="951"/>
      <c r="K822" s="951"/>
      <c r="L822" s="951"/>
      <c r="M822" s="951"/>
      <c r="N822" s="659"/>
      <c r="O822" s="951"/>
      <c r="P822" s="951"/>
      <c r="Q822" s="659"/>
      <c r="R822" s="659"/>
      <c r="S822" s="659"/>
      <c r="T822" s="659"/>
      <c r="U822" s="659"/>
      <c r="V822" s="659"/>
      <c r="W822" s="659"/>
      <c r="X822" s="659"/>
      <c r="Y822" s="659"/>
      <c r="Z822" s="659"/>
      <c r="AA822" s="659"/>
      <c r="AB822" s="659"/>
      <c r="AC822" s="659"/>
      <c r="AD822" s="659"/>
      <c r="AE822" s="659"/>
      <c r="AF822" s="659"/>
      <c r="AG822" s="659"/>
      <c r="AH822" s="659"/>
      <c r="AI822" s="659"/>
      <c r="AJ822" s="659"/>
      <c r="AK822" s="659"/>
      <c r="AL822" s="659"/>
      <c r="AM822" s="659"/>
      <c r="AN822" s="659"/>
      <c r="AO822" s="659"/>
      <c r="AP822" s="659"/>
      <c r="AQ822" s="746"/>
    </row>
    <row r="823">
      <c r="A823" s="1002"/>
      <c r="B823" s="1044"/>
      <c r="C823" s="1005"/>
      <c r="D823" s="645"/>
      <c r="E823" s="645"/>
      <c r="F823" s="951"/>
      <c r="G823" s="951"/>
      <c r="H823" s="951"/>
      <c r="I823" s="951"/>
      <c r="J823" s="951"/>
      <c r="K823" s="951"/>
      <c r="L823" s="951"/>
      <c r="M823" s="951"/>
      <c r="N823" s="659"/>
      <c r="O823" s="951"/>
      <c r="P823" s="951"/>
      <c r="Q823" s="659"/>
      <c r="R823" s="659"/>
      <c r="S823" s="659"/>
      <c r="T823" s="659"/>
      <c r="U823" s="659"/>
      <c r="V823" s="659"/>
      <c r="W823" s="659"/>
      <c r="X823" s="659"/>
      <c r="Y823" s="659"/>
      <c r="Z823" s="659"/>
      <c r="AA823" s="659"/>
      <c r="AB823" s="659"/>
      <c r="AC823" s="659"/>
      <c r="AD823" s="659"/>
      <c r="AE823" s="659"/>
      <c r="AF823" s="659"/>
      <c r="AG823" s="659"/>
      <c r="AH823" s="659"/>
      <c r="AI823" s="659"/>
      <c r="AJ823" s="659"/>
      <c r="AK823" s="659"/>
      <c r="AL823" s="659"/>
      <c r="AM823" s="659"/>
      <c r="AN823" s="659"/>
      <c r="AO823" s="659"/>
      <c r="AP823" s="659"/>
      <c r="AQ823" s="746"/>
    </row>
    <row r="824">
      <c r="A824" s="1002"/>
      <c r="B824" s="1004"/>
      <c r="C824" s="1005"/>
      <c r="D824" s="645"/>
      <c r="E824" s="645"/>
      <c r="F824" s="951"/>
      <c r="G824" s="951"/>
      <c r="H824" s="951"/>
      <c r="I824" s="951"/>
      <c r="J824" s="951"/>
      <c r="K824" s="951"/>
      <c r="L824" s="951"/>
      <c r="M824" s="951"/>
      <c r="N824" s="659"/>
      <c r="O824" s="951"/>
      <c r="P824" s="951"/>
      <c r="Q824" s="659"/>
      <c r="R824" s="659"/>
      <c r="S824" s="659"/>
      <c r="T824" s="659"/>
      <c r="U824" s="659"/>
      <c r="V824" s="659"/>
      <c r="W824" s="659"/>
      <c r="X824" s="659"/>
      <c r="Y824" s="659"/>
      <c r="Z824" s="659"/>
      <c r="AA824" s="659"/>
      <c r="AB824" s="659"/>
      <c r="AC824" s="659"/>
      <c r="AD824" s="659"/>
      <c r="AE824" s="659"/>
      <c r="AF824" s="659"/>
      <c r="AG824" s="659"/>
      <c r="AH824" s="659"/>
      <c r="AI824" s="659"/>
      <c r="AJ824" s="659"/>
      <c r="AK824" s="659"/>
      <c r="AL824" s="659"/>
      <c r="AM824" s="659"/>
      <c r="AN824" s="659"/>
      <c r="AO824" s="659"/>
      <c r="AP824" s="659"/>
      <c r="AQ824" s="746"/>
    </row>
    <row r="825">
      <c r="A825" s="1002"/>
      <c r="B825" s="1004"/>
      <c r="C825" s="1005"/>
      <c r="D825" s="645"/>
      <c r="E825" s="645"/>
      <c r="F825" s="951"/>
      <c r="G825" s="951"/>
      <c r="H825" s="951"/>
      <c r="I825" s="951"/>
      <c r="J825" s="951"/>
      <c r="K825" s="951"/>
      <c r="L825" s="951"/>
      <c r="M825" s="951"/>
      <c r="N825" s="659"/>
      <c r="O825" s="951"/>
      <c r="P825" s="951"/>
      <c r="Q825" s="659"/>
      <c r="R825" s="659"/>
      <c r="S825" s="659"/>
      <c r="T825" s="659"/>
      <c r="U825" s="659"/>
      <c r="V825" s="659"/>
      <c r="W825" s="659"/>
      <c r="X825" s="659"/>
      <c r="Y825" s="659"/>
      <c r="Z825" s="659"/>
      <c r="AA825" s="659"/>
      <c r="AB825" s="659"/>
      <c r="AC825" s="659"/>
      <c r="AD825" s="659"/>
      <c r="AE825" s="659"/>
      <c r="AF825" s="659"/>
      <c r="AG825" s="659"/>
      <c r="AH825" s="659"/>
      <c r="AI825" s="659"/>
      <c r="AJ825" s="659"/>
      <c r="AK825" s="659"/>
      <c r="AL825" s="659"/>
      <c r="AM825" s="659"/>
      <c r="AN825" s="659"/>
      <c r="AO825" s="659"/>
      <c r="AP825" s="659"/>
      <c r="AQ825" s="746"/>
    </row>
    <row r="826">
      <c r="A826" s="1002"/>
      <c r="B826" s="1044"/>
      <c r="C826" s="1005"/>
      <c r="D826" s="645"/>
      <c r="E826" s="645"/>
      <c r="F826" s="951"/>
      <c r="G826" s="951"/>
      <c r="H826" s="951"/>
      <c r="I826" s="951"/>
      <c r="J826" s="951"/>
      <c r="K826" s="951"/>
      <c r="L826" s="951"/>
      <c r="M826" s="951"/>
      <c r="N826" s="659"/>
      <c r="O826" s="951"/>
      <c r="P826" s="951"/>
      <c r="Q826" s="659"/>
      <c r="R826" s="659"/>
      <c r="S826" s="659"/>
      <c r="T826" s="659"/>
      <c r="U826" s="659"/>
      <c r="V826" s="659"/>
      <c r="W826" s="659"/>
      <c r="X826" s="659"/>
      <c r="Y826" s="659"/>
      <c r="Z826" s="659"/>
      <c r="AA826" s="659"/>
      <c r="AB826" s="659"/>
      <c r="AC826" s="659"/>
      <c r="AD826" s="659"/>
      <c r="AE826" s="659"/>
      <c r="AF826" s="659"/>
      <c r="AG826" s="659"/>
      <c r="AH826" s="659"/>
      <c r="AI826" s="659"/>
      <c r="AJ826" s="659"/>
      <c r="AK826" s="659"/>
      <c r="AL826" s="659"/>
      <c r="AM826" s="659"/>
      <c r="AN826" s="659"/>
      <c r="AO826" s="659"/>
      <c r="AP826" s="659"/>
      <c r="AQ826" s="746"/>
    </row>
    <row r="827">
      <c r="A827" s="1002"/>
      <c r="B827" s="1044"/>
      <c r="C827" s="1005"/>
      <c r="D827" s="645"/>
      <c r="E827" s="645"/>
      <c r="F827" s="951"/>
      <c r="G827" s="951"/>
      <c r="H827" s="951"/>
      <c r="I827" s="951"/>
      <c r="J827" s="951"/>
      <c r="K827" s="951"/>
      <c r="L827" s="951"/>
      <c r="M827" s="951"/>
      <c r="N827" s="659"/>
      <c r="O827" s="951"/>
      <c r="P827" s="951"/>
      <c r="Q827" s="659"/>
      <c r="R827" s="659"/>
      <c r="S827" s="659"/>
      <c r="T827" s="659"/>
      <c r="U827" s="659"/>
      <c r="V827" s="659"/>
      <c r="W827" s="659"/>
      <c r="X827" s="659"/>
      <c r="Y827" s="659"/>
      <c r="Z827" s="659"/>
      <c r="AA827" s="659"/>
      <c r="AB827" s="659"/>
      <c r="AC827" s="659"/>
      <c r="AD827" s="659"/>
      <c r="AE827" s="659"/>
      <c r="AF827" s="659"/>
      <c r="AG827" s="659"/>
      <c r="AH827" s="659"/>
      <c r="AI827" s="659"/>
      <c r="AJ827" s="659"/>
      <c r="AK827" s="659"/>
      <c r="AL827" s="659"/>
      <c r="AM827" s="659"/>
      <c r="AN827" s="659"/>
      <c r="AO827" s="659"/>
      <c r="AP827" s="659"/>
      <c r="AQ827" s="746"/>
    </row>
    <row r="828">
      <c r="A828" s="1002"/>
      <c r="B828" s="1044"/>
      <c r="C828" s="1005"/>
      <c r="D828" s="645"/>
      <c r="E828" s="645"/>
      <c r="F828" s="951"/>
      <c r="G828" s="951"/>
      <c r="H828" s="951"/>
      <c r="I828" s="951"/>
      <c r="J828" s="951"/>
      <c r="K828" s="951"/>
      <c r="L828" s="951"/>
      <c r="M828" s="951"/>
      <c r="N828" s="659"/>
      <c r="O828" s="951"/>
      <c r="P828" s="951"/>
      <c r="Q828" s="659"/>
      <c r="R828" s="659"/>
      <c r="S828" s="659"/>
      <c r="T828" s="659"/>
      <c r="U828" s="659"/>
      <c r="V828" s="659"/>
      <c r="W828" s="659"/>
      <c r="X828" s="659"/>
      <c r="Y828" s="659"/>
      <c r="Z828" s="659"/>
      <c r="AA828" s="659"/>
      <c r="AB828" s="659"/>
      <c r="AC828" s="659"/>
      <c r="AD828" s="659"/>
      <c r="AE828" s="659"/>
      <c r="AF828" s="659"/>
      <c r="AG828" s="659"/>
      <c r="AH828" s="659"/>
      <c r="AI828" s="659"/>
      <c r="AJ828" s="659"/>
      <c r="AK828" s="659"/>
      <c r="AL828" s="659"/>
      <c r="AM828" s="659"/>
      <c r="AN828" s="659"/>
      <c r="AO828" s="659"/>
      <c r="AP828" s="659"/>
      <c r="AQ828" s="746"/>
    </row>
    <row r="829">
      <c r="A829" s="1002"/>
      <c r="B829" s="1044"/>
      <c r="C829" s="1005"/>
      <c r="D829" s="645"/>
      <c r="E829" s="645"/>
      <c r="F829" s="951"/>
      <c r="G829" s="951"/>
      <c r="H829" s="951"/>
      <c r="I829" s="951"/>
      <c r="J829" s="951"/>
      <c r="K829" s="951"/>
      <c r="L829" s="951"/>
      <c r="M829" s="951"/>
      <c r="N829" s="659"/>
      <c r="O829" s="951"/>
      <c r="P829" s="951"/>
      <c r="Q829" s="659"/>
      <c r="R829" s="659"/>
      <c r="S829" s="659"/>
      <c r="T829" s="659"/>
      <c r="U829" s="659"/>
      <c r="V829" s="659"/>
      <c r="W829" s="659"/>
      <c r="X829" s="659"/>
      <c r="Y829" s="659"/>
      <c r="Z829" s="659"/>
      <c r="AA829" s="659"/>
      <c r="AB829" s="659"/>
      <c r="AC829" s="659"/>
      <c r="AD829" s="659"/>
      <c r="AE829" s="659"/>
      <c r="AF829" s="659"/>
      <c r="AG829" s="659"/>
      <c r="AH829" s="659"/>
      <c r="AI829" s="659"/>
      <c r="AJ829" s="659"/>
      <c r="AK829" s="659"/>
      <c r="AL829" s="659"/>
      <c r="AM829" s="659"/>
      <c r="AN829" s="659"/>
      <c r="AO829" s="659"/>
      <c r="AP829" s="659"/>
      <c r="AQ829" s="746"/>
    </row>
    <row r="830">
      <c r="A830" s="1002"/>
      <c r="B830" s="1044"/>
      <c r="C830" s="1005"/>
      <c r="D830" s="645"/>
      <c r="E830" s="645"/>
      <c r="F830" s="951"/>
      <c r="G830" s="951"/>
      <c r="H830" s="951"/>
      <c r="I830" s="951"/>
      <c r="J830" s="951"/>
      <c r="K830" s="951"/>
      <c r="L830" s="951"/>
      <c r="M830" s="951"/>
      <c r="N830" s="659"/>
      <c r="O830" s="951"/>
      <c r="P830" s="951"/>
      <c r="Q830" s="659"/>
      <c r="R830" s="659"/>
      <c r="S830" s="659"/>
      <c r="T830" s="659"/>
      <c r="U830" s="659"/>
      <c r="V830" s="659"/>
      <c r="W830" s="659"/>
      <c r="X830" s="659"/>
      <c r="Y830" s="659"/>
      <c r="Z830" s="659"/>
      <c r="AA830" s="659"/>
      <c r="AB830" s="659"/>
      <c r="AC830" s="659"/>
      <c r="AD830" s="659"/>
      <c r="AE830" s="659"/>
      <c r="AF830" s="659"/>
      <c r="AG830" s="659"/>
      <c r="AH830" s="659"/>
      <c r="AI830" s="659"/>
      <c r="AJ830" s="659"/>
      <c r="AK830" s="659"/>
      <c r="AL830" s="659"/>
      <c r="AM830" s="659"/>
      <c r="AN830" s="659"/>
      <c r="AO830" s="659"/>
      <c r="AP830" s="659"/>
      <c r="AQ830" s="746"/>
    </row>
    <row r="831">
      <c r="A831" s="1002"/>
      <c r="B831" s="1044"/>
      <c r="C831" s="1005"/>
      <c r="D831" s="645"/>
      <c r="E831" s="645"/>
      <c r="F831" s="951"/>
      <c r="G831" s="951"/>
      <c r="H831" s="951"/>
      <c r="I831" s="951"/>
      <c r="J831" s="951"/>
      <c r="K831" s="951"/>
      <c r="L831" s="951"/>
      <c r="M831" s="951"/>
      <c r="N831" s="659"/>
      <c r="O831" s="951"/>
      <c r="P831" s="951"/>
      <c r="Q831" s="659"/>
      <c r="R831" s="659"/>
      <c r="S831" s="659"/>
      <c r="T831" s="659"/>
      <c r="U831" s="659"/>
      <c r="V831" s="659"/>
      <c r="W831" s="659"/>
      <c r="X831" s="659"/>
      <c r="Y831" s="659"/>
      <c r="Z831" s="659"/>
      <c r="AA831" s="659"/>
      <c r="AB831" s="659"/>
      <c r="AC831" s="659"/>
      <c r="AD831" s="659"/>
      <c r="AE831" s="659"/>
      <c r="AF831" s="659"/>
      <c r="AG831" s="659"/>
      <c r="AH831" s="659"/>
      <c r="AI831" s="659"/>
      <c r="AJ831" s="659"/>
      <c r="AK831" s="659"/>
      <c r="AL831" s="659"/>
      <c r="AM831" s="659"/>
      <c r="AN831" s="659"/>
      <c r="AO831" s="659"/>
      <c r="AP831" s="659"/>
      <c r="AQ831" s="746"/>
    </row>
    <row r="832">
      <c r="A832" s="1002"/>
      <c r="B832" s="1044"/>
      <c r="C832" s="1005"/>
      <c r="D832" s="645"/>
      <c r="E832" s="645"/>
      <c r="F832" s="951"/>
      <c r="G832" s="951"/>
      <c r="H832" s="951"/>
      <c r="I832" s="951"/>
      <c r="J832" s="951"/>
      <c r="K832" s="951"/>
      <c r="L832" s="951"/>
      <c r="M832" s="951"/>
      <c r="N832" s="659"/>
      <c r="O832" s="951"/>
      <c r="P832" s="951"/>
      <c r="Q832" s="659"/>
      <c r="R832" s="659"/>
      <c r="S832" s="659"/>
      <c r="T832" s="659"/>
      <c r="U832" s="659"/>
      <c r="V832" s="659"/>
      <c r="W832" s="659"/>
      <c r="X832" s="659"/>
      <c r="Y832" s="659"/>
      <c r="Z832" s="659"/>
      <c r="AA832" s="659"/>
      <c r="AB832" s="659"/>
      <c r="AC832" s="659"/>
      <c r="AD832" s="659"/>
      <c r="AE832" s="659"/>
      <c r="AF832" s="659"/>
      <c r="AG832" s="659"/>
      <c r="AH832" s="659"/>
      <c r="AI832" s="659"/>
      <c r="AJ832" s="659"/>
      <c r="AK832" s="659"/>
      <c r="AL832" s="659"/>
      <c r="AM832" s="659"/>
      <c r="AN832" s="659"/>
      <c r="AO832" s="659"/>
      <c r="AP832" s="659"/>
      <c r="AQ832" s="746"/>
    </row>
    <row r="833">
      <c r="A833" s="1002"/>
      <c r="B833" s="1044"/>
      <c r="C833" s="1005"/>
      <c r="D833" s="645"/>
      <c r="E833" s="645"/>
      <c r="F833" s="951"/>
      <c r="G833" s="951"/>
      <c r="H833" s="951"/>
      <c r="I833" s="951"/>
      <c r="J833" s="951"/>
      <c r="K833" s="951"/>
      <c r="L833" s="951"/>
      <c r="M833" s="951"/>
      <c r="N833" s="659"/>
      <c r="O833" s="951"/>
      <c r="P833" s="951"/>
      <c r="Q833" s="659"/>
      <c r="R833" s="659"/>
      <c r="S833" s="659"/>
      <c r="T833" s="659"/>
      <c r="U833" s="659"/>
      <c r="V833" s="659"/>
      <c r="W833" s="659"/>
      <c r="X833" s="659"/>
      <c r="Y833" s="659"/>
      <c r="Z833" s="659"/>
      <c r="AA833" s="659"/>
      <c r="AB833" s="659"/>
      <c r="AC833" s="659"/>
      <c r="AD833" s="659"/>
      <c r="AE833" s="659"/>
      <c r="AF833" s="659"/>
      <c r="AG833" s="659"/>
      <c r="AH833" s="659"/>
      <c r="AI833" s="659"/>
      <c r="AJ833" s="659"/>
      <c r="AK833" s="659"/>
      <c r="AL833" s="659"/>
      <c r="AM833" s="659"/>
      <c r="AN833" s="659"/>
      <c r="AO833" s="659"/>
      <c r="AP833" s="659"/>
      <c r="AQ833" s="746"/>
    </row>
    <row r="834">
      <c r="A834" s="1002"/>
      <c r="B834" s="1044"/>
      <c r="C834" s="1005"/>
      <c r="D834" s="645"/>
      <c r="E834" s="645"/>
      <c r="F834" s="951"/>
      <c r="G834" s="951"/>
      <c r="H834" s="951"/>
      <c r="I834" s="951"/>
      <c r="J834" s="951"/>
      <c r="K834" s="951"/>
      <c r="L834" s="951"/>
      <c r="M834" s="951"/>
      <c r="N834" s="659"/>
      <c r="O834" s="951"/>
      <c r="P834" s="951"/>
      <c r="Q834" s="659"/>
      <c r="R834" s="659"/>
      <c r="S834" s="659"/>
      <c r="T834" s="659"/>
      <c r="U834" s="659"/>
      <c r="V834" s="659"/>
      <c r="W834" s="659"/>
      <c r="X834" s="659"/>
      <c r="Y834" s="659"/>
      <c r="Z834" s="659"/>
      <c r="AA834" s="659"/>
      <c r="AB834" s="659"/>
      <c r="AC834" s="659"/>
      <c r="AD834" s="659"/>
      <c r="AE834" s="659"/>
      <c r="AF834" s="659"/>
      <c r="AG834" s="659"/>
      <c r="AH834" s="659"/>
      <c r="AI834" s="659"/>
      <c r="AJ834" s="659"/>
      <c r="AK834" s="659"/>
      <c r="AL834" s="659"/>
      <c r="AM834" s="659"/>
      <c r="AN834" s="659"/>
      <c r="AO834" s="659"/>
      <c r="AP834" s="659"/>
      <c r="AQ834" s="746"/>
    </row>
    <row r="835">
      <c r="A835" s="1002"/>
      <c r="B835" s="1044"/>
      <c r="C835" s="1005"/>
      <c r="D835" s="645"/>
      <c r="E835" s="645"/>
      <c r="F835" s="951"/>
      <c r="G835" s="951"/>
      <c r="H835" s="951"/>
      <c r="I835" s="951"/>
      <c r="J835" s="951"/>
      <c r="K835" s="951"/>
      <c r="L835" s="951"/>
      <c r="M835" s="951"/>
      <c r="N835" s="659"/>
      <c r="O835" s="951"/>
      <c r="P835" s="951"/>
      <c r="Q835" s="659"/>
      <c r="R835" s="659"/>
      <c r="S835" s="659"/>
      <c r="T835" s="659"/>
      <c r="U835" s="659"/>
      <c r="V835" s="659"/>
      <c r="W835" s="659"/>
      <c r="X835" s="659"/>
      <c r="Y835" s="659"/>
      <c r="Z835" s="659"/>
      <c r="AA835" s="659"/>
      <c r="AB835" s="659"/>
      <c r="AC835" s="659"/>
      <c r="AD835" s="659"/>
      <c r="AE835" s="659"/>
      <c r="AF835" s="659"/>
      <c r="AG835" s="659"/>
      <c r="AH835" s="659"/>
      <c r="AI835" s="659"/>
      <c r="AJ835" s="659"/>
      <c r="AK835" s="659"/>
      <c r="AL835" s="659"/>
      <c r="AM835" s="659"/>
      <c r="AN835" s="659"/>
      <c r="AO835" s="659"/>
      <c r="AP835" s="659"/>
      <c r="AQ835" s="746"/>
    </row>
    <row r="836">
      <c r="A836" s="1002"/>
      <c r="B836" s="1044"/>
      <c r="C836" s="1005"/>
      <c r="D836" s="645"/>
      <c r="E836" s="645"/>
      <c r="F836" s="951"/>
      <c r="G836" s="951"/>
      <c r="H836" s="951"/>
      <c r="I836" s="951"/>
      <c r="J836" s="951"/>
      <c r="K836" s="951"/>
      <c r="L836" s="951"/>
      <c r="M836" s="951"/>
      <c r="N836" s="659"/>
      <c r="O836" s="951"/>
      <c r="P836" s="951"/>
      <c r="Q836" s="659"/>
      <c r="R836" s="659"/>
      <c r="S836" s="659"/>
      <c r="T836" s="659"/>
      <c r="U836" s="659"/>
      <c r="V836" s="659"/>
      <c r="W836" s="659"/>
      <c r="X836" s="659"/>
      <c r="Y836" s="659"/>
      <c r="Z836" s="659"/>
      <c r="AA836" s="659"/>
      <c r="AB836" s="659"/>
      <c r="AC836" s="659"/>
      <c r="AD836" s="659"/>
      <c r="AE836" s="659"/>
      <c r="AF836" s="659"/>
      <c r="AG836" s="659"/>
      <c r="AH836" s="659"/>
      <c r="AI836" s="659"/>
      <c r="AJ836" s="659"/>
      <c r="AK836" s="659"/>
      <c r="AL836" s="659"/>
      <c r="AM836" s="659"/>
      <c r="AN836" s="659"/>
      <c r="AO836" s="659"/>
      <c r="AP836" s="659"/>
      <c r="AQ836" s="746"/>
    </row>
    <row r="837">
      <c r="A837" s="1002"/>
      <c r="B837" s="1044"/>
      <c r="C837" s="1005"/>
      <c r="D837" s="645"/>
      <c r="E837" s="645"/>
      <c r="F837" s="951"/>
      <c r="G837" s="951"/>
      <c r="H837" s="951"/>
      <c r="I837" s="951"/>
      <c r="J837" s="951"/>
      <c r="K837" s="951"/>
      <c r="L837" s="951"/>
      <c r="M837" s="951"/>
      <c r="N837" s="659"/>
      <c r="O837" s="951"/>
      <c r="P837" s="951"/>
      <c r="Q837" s="659"/>
      <c r="R837" s="659"/>
      <c r="S837" s="659"/>
      <c r="T837" s="659"/>
      <c r="U837" s="659"/>
      <c r="V837" s="659"/>
      <c r="W837" s="659"/>
      <c r="X837" s="659"/>
      <c r="Y837" s="659"/>
      <c r="Z837" s="659"/>
      <c r="AA837" s="659"/>
      <c r="AB837" s="659"/>
      <c r="AC837" s="659"/>
      <c r="AD837" s="659"/>
      <c r="AE837" s="659"/>
      <c r="AF837" s="659"/>
      <c r="AG837" s="659"/>
      <c r="AH837" s="659"/>
      <c r="AI837" s="659"/>
      <c r="AJ837" s="659"/>
      <c r="AK837" s="659"/>
      <c r="AL837" s="659"/>
      <c r="AM837" s="659"/>
      <c r="AN837" s="659"/>
      <c r="AO837" s="659"/>
      <c r="AP837" s="659"/>
      <c r="AQ837" s="746"/>
    </row>
    <row r="838">
      <c r="A838" s="1002"/>
      <c r="B838" s="1044"/>
      <c r="C838" s="1005"/>
      <c r="D838" s="645"/>
      <c r="E838" s="645"/>
      <c r="F838" s="951"/>
      <c r="G838" s="951"/>
      <c r="H838" s="951"/>
      <c r="I838" s="951"/>
      <c r="J838" s="951"/>
      <c r="K838" s="951"/>
      <c r="L838" s="951"/>
      <c r="M838" s="951"/>
      <c r="N838" s="659"/>
      <c r="O838" s="951"/>
      <c r="P838" s="951"/>
      <c r="Q838" s="659"/>
      <c r="R838" s="659"/>
      <c r="S838" s="659"/>
      <c r="T838" s="659"/>
      <c r="U838" s="659"/>
      <c r="V838" s="659"/>
      <c r="W838" s="659"/>
      <c r="X838" s="659"/>
      <c r="Y838" s="659"/>
      <c r="Z838" s="659"/>
      <c r="AA838" s="659"/>
      <c r="AB838" s="659"/>
      <c r="AC838" s="659"/>
      <c r="AD838" s="659"/>
      <c r="AE838" s="659"/>
      <c r="AF838" s="659"/>
      <c r="AG838" s="659"/>
      <c r="AH838" s="659"/>
      <c r="AI838" s="659"/>
      <c r="AJ838" s="659"/>
      <c r="AK838" s="659"/>
      <c r="AL838" s="659"/>
      <c r="AM838" s="659"/>
      <c r="AN838" s="659"/>
      <c r="AO838" s="659"/>
      <c r="AP838" s="659"/>
      <c r="AQ838" s="746"/>
    </row>
    <row r="839">
      <c r="A839" s="1002"/>
      <c r="B839" s="1044"/>
      <c r="C839" s="1005"/>
      <c r="D839" s="645"/>
      <c r="E839" s="645"/>
      <c r="F839" s="951"/>
      <c r="G839" s="951"/>
      <c r="H839" s="951"/>
      <c r="I839" s="951"/>
      <c r="J839" s="951"/>
      <c r="K839" s="951"/>
      <c r="L839" s="951"/>
      <c r="M839" s="951"/>
      <c r="N839" s="659"/>
      <c r="O839" s="951"/>
      <c r="P839" s="951"/>
      <c r="Q839" s="659"/>
      <c r="R839" s="659"/>
      <c r="S839" s="659"/>
      <c r="T839" s="659"/>
      <c r="U839" s="659"/>
      <c r="V839" s="659"/>
      <c r="W839" s="659"/>
      <c r="X839" s="659"/>
      <c r="Y839" s="659"/>
      <c r="Z839" s="659"/>
      <c r="AA839" s="659"/>
      <c r="AB839" s="659"/>
      <c r="AC839" s="659"/>
      <c r="AD839" s="659"/>
      <c r="AE839" s="659"/>
      <c r="AF839" s="659"/>
      <c r="AG839" s="659"/>
      <c r="AH839" s="659"/>
      <c r="AI839" s="659"/>
      <c r="AJ839" s="659"/>
      <c r="AK839" s="659"/>
      <c r="AL839" s="659"/>
      <c r="AM839" s="659"/>
      <c r="AN839" s="659"/>
      <c r="AO839" s="659"/>
      <c r="AP839" s="659"/>
      <c r="AQ839" s="746"/>
    </row>
    <row r="840">
      <c r="A840" s="1002"/>
      <c r="B840" s="1044"/>
      <c r="C840" s="1005"/>
      <c r="D840" s="645"/>
      <c r="E840" s="645"/>
      <c r="F840" s="951"/>
      <c r="G840" s="951"/>
      <c r="H840" s="951"/>
      <c r="I840" s="951"/>
      <c r="J840" s="951"/>
      <c r="K840" s="951"/>
      <c r="L840" s="951"/>
      <c r="M840" s="951"/>
      <c r="N840" s="659"/>
      <c r="O840" s="951"/>
      <c r="P840" s="951"/>
      <c r="Q840" s="659"/>
      <c r="R840" s="659"/>
      <c r="S840" s="659"/>
      <c r="T840" s="659"/>
      <c r="U840" s="659"/>
      <c r="V840" s="659"/>
      <c r="W840" s="659"/>
      <c r="X840" s="659"/>
      <c r="Y840" s="659"/>
      <c r="Z840" s="659"/>
      <c r="AA840" s="659"/>
      <c r="AB840" s="659"/>
      <c r="AC840" s="659"/>
      <c r="AD840" s="659"/>
      <c r="AE840" s="659"/>
      <c r="AF840" s="659"/>
      <c r="AG840" s="659"/>
      <c r="AH840" s="659"/>
      <c r="AI840" s="659"/>
      <c r="AJ840" s="659"/>
      <c r="AK840" s="659"/>
      <c r="AL840" s="659"/>
      <c r="AM840" s="659"/>
      <c r="AN840" s="659"/>
      <c r="AO840" s="659"/>
      <c r="AP840" s="659"/>
      <c r="AQ840" s="746"/>
    </row>
    <row r="841">
      <c r="A841" s="1002"/>
      <c r="B841" s="1044"/>
      <c r="C841" s="1005"/>
      <c r="D841" s="645"/>
      <c r="E841" s="645"/>
      <c r="F841" s="951"/>
      <c r="G841" s="951"/>
      <c r="H841" s="951"/>
      <c r="I841" s="951"/>
      <c r="J841" s="951"/>
      <c r="K841" s="951"/>
      <c r="L841" s="951"/>
      <c r="M841" s="951"/>
      <c r="N841" s="659"/>
      <c r="O841" s="951"/>
      <c r="P841" s="951"/>
      <c r="Q841" s="659"/>
      <c r="R841" s="659"/>
      <c r="S841" s="659"/>
      <c r="T841" s="659"/>
      <c r="U841" s="659"/>
      <c r="V841" s="659"/>
      <c r="W841" s="659"/>
      <c r="X841" s="659"/>
      <c r="Y841" s="659"/>
      <c r="Z841" s="659"/>
      <c r="AA841" s="659"/>
      <c r="AB841" s="659"/>
      <c r="AC841" s="659"/>
      <c r="AD841" s="659"/>
      <c r="AE841" s="659"/>
      <c r="AF841" s="659"/>
      <c r="AG841" s="659"/>
      <c r="AH841" s="659"/>
      <c r="AI841" s="659"/>
      <c r="AJ841" s="659"/>
      <c r="AK841" s="659"/>
      <c r="AL841" s="659"/>
      <c r="AM841" s="659"/>
      <c r="AN841" s="659"/>
      <c r="AO841" s="659"/>
      <c r="AP841" s="659"/>
      <c r="AQ841" s="746"/>
    </row>
    <row r="842">
      <c r="A842" s="1002"/>
      <c r="B842" s="1044"/>
      <c r="C842" s="1005"/>
      <c r="D842" s="645"/>
      <c r="E842" s="645"/>
      <c r="F842" s="951"/>
      <c r="G842" s="951"/>
      <c r="H842" s="951"/>
      <c r="I842" s="951"/>
      <c r="J842" s="951"/>
      <c r="K842" s="951"/>
      <c r="L842" s="951"/>
      <c r="M842" s="951"/>
      <c r="N842" s="659"/>
      <c r="O842" s="951"/>
      <c r="P842" s="951"/>
      <c r="Q842" s="659"/>
      <c r="R842" s="659"/>
      <c r="S842" s="659"/>
      <c r="T842" s="659"/>
      <c r="U842" s="659"/>
      <c r="V842" s="659"/>
      <c r="W842" s="659"/>
      <c r="X842" s="659"/>
      <c r="Y842" s="659"/>
      <c r="Z842" s="659"/>
      <c r="AA842" s="659"/>
      <c r="AB842" s="659"/>
      <c r="AC842" s="659"/>
      <c r="AD842" s="659"/>
      <c r="AE842" s="659"/>
      <c r="AF842" s="659"/>
      <c r="AG842" s="659"/>
      <c r="AH842" s="659"/>
      <c r="AI842" s="659"/>
      <c r="AJ842" s="659"/>
      <c r="AK842" s="659"/>
      <c r="AL842" s="659"/>
      <c r="AM842" s="659"/>
      <c r="AN842" s="659"/>
      <c r="AO842" s="659"/>
      <c r="AP842" s="659"/>
      <c r="AQ842" s="746"/>
    </row>
    <row r="843">
      <c r="A843" s="1002"/>
      <c r="B843" s="1044"/>
      <c r="C843" s="1005"/>
      <c r="D843" s="645"/>
      <c r="E843" s="645"/>
      <c r="F843" s="951"/>
      <c r="G843" s="951"/>
      <c r="H843" s="951"/>
      <c r="I843" s="951"/>
      <c r="J843" s="951"/>
      <c r="K843" s="951"/>
      <c r="L843" s="951"/>
      <c r="M843" s="951"/>
      <c r="N843" s="659"/>
      <c r="O843" s="951"/>
      <c r="P843" s="951"/>
      <c r="Q843" s="659"/>
      <c r="R843" s="659"/>
      <c r="S843" s="659"/>
      <c r="T843" s="659"/>
      <c r="U843" s="659"/>
      <c r="V843" s="659"/>
      <c r="W843" s="659"/>
      <c r="X843" s="659"/>
      <c r="Y843" s="659"/>
      <c r="Z843" s="659"/>
      <c r="AA843" s="659"/>
      <c r="AB843" s="659"/>
      <c r="AC843" s="659"/>
      <c r="AD843" s="659"/>
      <c r="AE843" s="659"/>
      <c r="AF843" s="659"/>
      <c r="AG843" s="659"/>
      <c r="AH843" s="659"/>
      <c r="AI843" s="659"/>
      <c r="AJ843" s="659"/>
      <c r="AK843" s="659"/>
      <c r="AL843" s="659"/>
      <c r="AM843" s="659"/>
      <c r="AN843" s="659"/>
      <c r="AO843" s="659"/>
      <c r="AP843" s="659"/>
      <c r="AQ843" s="746"/>
    </row>
    <row r="844">
      <c r="A844" s="1002"/>
      <c r="B844" s="1004"/>
      <c r="C844" s="1005"/>
      <c r="D844" s="645"/>
      <c r="E844" s="645"/>
      <c r="F844" s="951"/>
      <c r="G844" s="951"/>
      <c r="H844" s="951"/>
      <c r="I844" s="951"/>
      <c r="J844" s="951"/>
      <c r="K844" s="951"/>
      <c r="L844" s="951"/>
      <c r="M844" s="951"/>
      <c r="N844" s="659"/>
      <c r="O844" s="951"/>
      <c r="P844" s="951"/>
      <c r="Q844" s="659"/>
      <c r="R844" s="659"/>
      <c r="S844" s="659"/>
      <c r="T844" s="659"/>
      <c r="U844" s="659"/>
      <c r="V844" s="659"/>
      <c r="W844" s="659"/>
      <c r="X844" s="659"/>
      <c r="Y844" s="659"/>
      <c r="Z844" s="659"/>
      <c r="AA844" s="659"/>
      <c r="AB844" s="659"/>
      <c r="AC844" s="659"/>
      <c r="AD844" s="659"/>
      <c r="AE844" s="659"/>
      <c r="AF844" s="659"/>
      <c r="AG844" s="659"/>
      <c r="AH844" s="659"/>
      <c r="AI844" s="659"/>
      <c r="AJ844" s="659"/>
      <c r="AK844" s="659"/>
      <c r="AL844" s="659"/>
      <c r="AM844" s="659"/>
      <c r="AN844" s="659"/>
      <c r="AO844" s="659"/>
      <c r="AP844" s="659"/>
      <c r="AQ844" s="746"/>
    </row>
    <row r="845">
      <c r="A845" s="1002"/>
      <c r="B845" s="1044"/>
      <c r="C845" s="1005"/>
      <c r="D845" s="645"/>
      <c r="E845" s="645"/>
      <c r="F845" s="951"/>
      <c r="G845" s="951"/>
      <c r="H845" s="951"/>
      <c r="I845" s="951"/>
      <c r="J845" s="951"/>
      <c r="K845" s="951"/>
      <c r="L845" s="951"/>
      <c r="M845" s="951"/>
      <c r="N845" s="659"/>
      <c r="O845" s="951"/>
      <c r="P845" s="951"/>
      <c r="Q845" s="659"/>
      <c r="R845" s="659"/>
      <c r="S845" s="659"/>
      <c r="T845" s="659"/>
      <c r="U845" s="659"/>
      <c r="V845" s="659"/>
      <c r="W845" s="659"/>
      <c r="X845" s="659"/>
      <c r="Y845" s="659"/>
      <c r="Z845" s="659"/>
      <c r="AA845" s="659"/>
      <c r="AB845" s="659"/>
      <c r="AC845" s="659"/>
      <c r="AD845" s="659"/>
      <c r="AE845" s="659"/>
      <c r="AF845" s="659"/>
      <c r="AG845" s="659"/>
      <c r="AH845" s="659"/>
      <c r="AI845" s="659"/>
      <c r="AJ845" s="659"/>
      <c r="AK845" s="659"/>
      <c r="AL845" s="659"/>
      <c r="AM845" s="659"/>
      <c r="AN845" s="659"/>
      <c r="AO845" s="659"/>
      <c r="AP845" s="659"/>
      <c r="AQ845" s="746"/>
    </row>
    <row r="846">
      <c r="A846" s="1002"/>
      <c r="B846" s="1044"/>
      <c r="C846" s="1005"/>
      <c r="D846" s="645"/>
      <c r="E846" s="645"/>
      <c r="F846" s="951"/>
      <c r="G846" s="951"/>
      <c r="H846" s="951"/>
      <c r="I846" s="951"/>
      <c r="J846" s="951"/>
      <c r="K846" s="951"/>
      <c r="L846" s="951"/>
      <c r="M846" s="951"/>
      <c r="N846" s="659"/>
      <c r="O846" s="951"/>
      <c r="P846" s="951"/>
      <c r="Q846" s="659"/>
      <c r="R846" s="659"/>
      <c r="S846" s="659"/>
      <c r="T846" s="659"/>
      <c r="U846" s="659"/>
      <c r="V846" s="659"/>
      <c r="W846" s="659"/>
      <c r="X846" s="659"/>
      <c r="Y846" s="659"/>
      <c r="Z846" s="659"/>
      <c r="AA846" s="659"/>
      <c r="AB846" s="659"/>
      <c r="AC846" s="659"/>
      <c r="AD846" s="659"/>
      <c r="AE846" s="659"/>
      <c r="AF846" s="659"/>
      <c r="AG846" s="659"/>
      <c r="AH846" s="659"/>
      <c r="AI846" s="659"/>
      <c r="AJ846" s="659"/>
      <c r="AK846" s="659"/>
      <c r="AL846" s="659"/>
      <c r="AM846" s="659"/>
      <c r="AN846" s="659"/>
      <c r="AO846" s="659"/>
      <c r="AP846" s="659"/>
      <c r="AQ846" s="746"/>
    </row>
    <row r="847">
      <c r="A847" s="1002"/>
      <c r="B847" s="1004"/>
      <c r="C847" s="1005"/>
      <c r="D847" s="645"/>
      <c r="E847" s="645"/>
      <c r="F847" s="951"/>
      <c r="G847" s="951"/>
      <c r="H847" s="951"/>
      <c r="I847" s="951"/>
      <c r="J847" s="951"/>
      <c r="K847" s="951"/>
      <c r="L847" s="951"/>
      <c r="M847" s="951"/>
      <c r="N847" s="659"/>
      <c r="O847" s="951"/>
      <c r="P847" s="951"/>
      <c r="Q847" s="659"/>
      <c r="R847" s="659"/>
      <c r="S847" s="659"/>
      <c r="T847" s="659"/>
      <c r="U847" s="659"/>
      <c r="V847" s="659"/>
      <c r="W847" s="659"/>
      <c r="X847" s="659"/>
      <c r="Y847" s="659"/>
      <c r="Z847" s="659"/>
      <c r="AA847" s="659"/>
      <c r="AB847" s="659"/>
      <c r="AC847" s="659"/>
      <c r="AD847" s="659"/>
      <c r="AE847" s="659"/>
      <c r="AF847" s="659"/>
      <c r="AG847" s="659"/>
      <c r="AH847" s="659"/>
      <c r="AI847" s="659"/>
      <c r="AJ847" s="659"/>
      <c r="AK847" s="659"/>
      <c r="AL847" s="659"/>
      <c r="AM847" s="659"/>
      <c r="AN847" s="659"/>
      <c r="AO847" s="659"/>
      <c r="AP847" s="659"/>
      <c r="AQ847" s="746"/>
    </row>
    <row r="848">
      <c r="A848" s="1002"/>
      <c r="B848" s="1044"/>
      <c r="C848" s="1005"/>
      <c r="D848" s="645"/>
      <c r="E848" s="645"/>
      <c r="F848" s="951"/>
      <c r="G848" s="951"/>
      <c r="H848" s="951"/>
      <c r="I848" s="951"/>
      <c r="J848" s="951"/>
      <c r="K848" s="951"/>
      <c r="L848" s="951"/>
      <c r="M848" s="951"/>
      <c r="N848" s="659"/>
      <c r="O848" s="951"/>
      <c r="P848" s="951"/>
      <c r="Q848" s="659"/>
      <c r="R848" s="659"/>
      <c r="S848" s="659"/>
      <c r="T848" s="659"/>
      <c r="U848" s="659"/>
      <c r="V848" s="659"/>
      <c r="W848" s="659"/>
      <c r="X848" s="659"/>
      <c r="Y848" s="659"/>
      <c r="Z848" s="659"/>
      <c r="AA848" s="659"/>
      <c r="AB848" s="659"/>
      <c r="AC848" s="659"/>
      <c r="AD848" s="659"/>
      <c r="AE848" s="659"/>
      <c r="AF848" s="659"/>
      <c r="AG848" s="659"/>
      <c r="AH848" s="659"/>
      <c r="AI848" s="659"/>
      <c r="AJ848" s="659"/>
      <c r="AK848" s="659"/>
      <c r="AL848" s="659"/>
      <c r="AM848" s="659"/>
      <c r="AN848" s="659"/>
      <c r="AO848" s="659"/>
      <c r="AP848" s="659"/>
      <c r="AQ848" s="746"/>
    </row>
    <row r="849">
      <c r="A849" s="1002"/>
      <c r="B849" s="1004"/>
      <c r="C849" s="1005"/>
      <c r="D849" s="645"/>
      <c r="E849" s="645"/>
      <c r="F849" s="951"/>
      <c r="G849" s="951"/>
      <c r="H849" s="951"/>
      <c r="I849" s="951"/>
      <c r="J849" s="951"/>
      <c r="K849" s="951"/>
      <c r="L849" s="951"/>
      <c r="M849" s="951"/>
      <c r="N849" s="659"/>
      <c r="O849" s="951"/>
      <c r="P849" s="951"/>
      <c r="Q849" s="659"/>
      <c r="R849" s="659"/>
      <c r="S849" s="659"/>
      <c r="T849" s="659"/>
      <c r="U849" s="659"/>
      <c r="V849" s="659"/>
      <c r="W849" s="659"/>
      <c r="X849" s="659"/>
      <c r="Y849" s="659"/>
      <c r="Z849" s="659"/>
      <c r="AA849" s="659"/>
      <c r="AB849" s="659"/>
      <c r="AC849" s="659"/>
      <c r="AD849" s="659"/>
      <c r="AE849" s="659"/>
      <c r="AF849" s="659"/>
      <c r="AG849" s="659"/>
      <c r="AH849" s="659"/>
      <c r="AI849" s="659"/>
      <c r="AJ849" s="659"/>
      <c r="AK849" s="659"/>
      <c r="AL849" s="659"/>
      <c r="AM849" s="659"/>
      <c r="AN849" s="659"/>
      <c r="AO849" s="659"/>
      <c r="AP849" s="659"/>
      <c r="AQ849" s="746"/>
    </row>
    <row r="850">
      <c r="A850" s="1002"/>
      <c r="B850" s="1044"/>
      <c r="C850" s="1005"/>
      <c r="D850" s="645"/>
      <c r="E850" s="645"/>
      <c r="F850" s="951"/>
      <c r="G850" s="951"/>
      <c r="H850" s="951"/>
      <c r="I850" s="951"/>
      <c r="J850" s="951"/>
      <c r="K850" s="951"/>
      <c r="L850" s="951"/>
      <c r="M850" s="951"/>
      <c r="N850" s="659"/>
      <c r="O850" s="951"/>
      <c r="P850" s="951"/>
      <c r="Q850" s="659"/>
      <c r="R850" s="659"/>
      <c r="S850" s="659"/>
      <c r="T850" s="659"/>
      <c r="U850" s="659"/>
      <c r="V850" s="659"/>
      <c r="W850" s="659"/>
      <c r="X850" s="659"/>
      <c r="Y850" s="659"/>
      <c r="Z850" s="659"/>
      <c r="AA850" s="659"/>
      <c r="AB850" s="659"/>
      <c r="AC850" s="659"/>
      <c r="AD850" s="659"/>
      <c r="AE850" s="659"/>
      <c r="AF850" s="659"/>
      <c r="AG850" s="659"/>
      <c r="AH850" s="659"/>
      <c r="AI850" s="659"/>
      <c r="AJ850" s="659"/>
      <c r="AK850" s="659"/>
      <c r="AL850" s="659"/>
      <c r="AM850" s="659"/>
      <c r="AN850" s="659"/>
      <c r="AO850" s="659"/>
      <c r="AP850" s="659"/>
      <c r="AQ850" s="746"/>
    </row>
    <row r="851">
      <c r="A851" s="1002"/>
      <c r="B851" s="1044"/>
      <c r="C851" s="1005"/>
      <c r="D851" s="645"/>
      <c r="E851" s="645"/>
      <c r="F851" s="951"/>
      <c r="G851" s="951"/>
      <c r="H851" s="951"/>
      <c r="I851" s="951"/>
      <c r="J851" s="951"/>
      <c r="K851" s="951"/>
      <c r="L851" s="951"/>
      <c r="M851" s="951"/>
      <c r="N851" s="659"/>
      <c r="O851" s="951"/>
      <c r="P851" s="951"/>
      <c r="Q851" s="659"/>
      <c r="R851" s="659"/>
      <c r="S851" s="659"/>
      <c r="T851" s="659"/>
      <c r="U851" s="659"/>
      <c r="V851" s="659"/>
      <c r="W851" s="659"/>
      <c r="X851" s="659"/>
      <c r="Y851" s="659"/>
      <c r="Z851" s="659"/>
      <c r="AA851" s="659"/>
      <c r="AB851" s="659"/>
      <c r="AC851" s="659"/>
      <c r="AD851" s="659"/>
      <c r="AE851" s="659"/>
      <c r="AF851" s="659"/>
      <c r="AG851" s="659"/>
      <c r="AH851" s="659"/>
      <c r="AI851" s="659"/>
      <c r="AJ851" s="659"/>
      <c r="AK851" s="659"/>
      <c r="AL851" s="659"/>
      <c r="AM851" s="659"/>
      <c r="AN851" s="659"/>
      <c r="AO851" s="659"/>
      <c r="AP851" s="659"/>
      <c r="AQ851" s="746"/>
    </row>
    <row r="852">
      <c r="A852" s="1002"/>
      <c r="B852" s="1044"/>
      <c r="C852" s="1005"/>
      <c r="D852" s="645"/>
      <c r="E852" s="645"/>
      <c r="F852" s="951"/>
      <c r="G852" s="951"/>
      <c r="H852" s="951"/>
      <c r="I852" s="951"/>
      <c r="J852" s="951"/>
      <c r="K852" s="951"/>
      <c r="L852" s="951"/>
      <c r="M852" s="951"/>
      <c r="N852" s="659"/>
      <c r="O852" s="951"/>
      <c r="P852" s="951"/>
      <c r="Q852" s="659"/>
      <c r="R852" s="659"/>
      <c r="S852" s="659"/>
      <c r="T852" s="659"/>
      <c r="U852" s="659"/>
      <c r="V852" s="659"/>
      <c r="W852" s="659"/>
      <c r="X852" s="659"/>
      <c r="Y852" s="659"/>
      <c r="Z852" s="659"/>
      <c r="AA852" s="659"/>
      <c r="AB852" s="659"/>
      <c r="AC852" s="659"/>
      <c r="AD852" s="659"/>
      <c r="AE852" s="659"/>
      <c r="AF852" s="659"/>
      <c r="AG852" s="659"/>
      <c r="AH852" s="659"/>
      <c r="AI852" s="659"/>
      <c r="AJ852" s="659"/>
      <c r="AK852" s="659"/>
      <c r="AL852" s="659"/>
      <c r="AM852" s="659"/>
      <c r="AN852" s="659"/>
      <c r="AO852" s="659"/>
      <c r="AP852" s="659"/>
      <c r="AQ852" s="746"/>
    </row>
    <row r="853">
      <c r="A853" s="1002"/>
      <c r="B853" s="1044"/>
      <c r="C853" s="1005"/>
      <c r="D853" s="645"/>
      <c r="E853" s="645"/>
      <c r="F853" s="951"/>
      <c r="G853" s="951"/>
      <c r="H853" s="951"/>
      <c r="I853" s="951"/>
      <c r="J853" s="951"/>
      <c r="K853" s="951"/>
      <c r="L853" s="951"/>
      <c r="M853" s="951"/>
      <c r="N853" s="659"/>
      <c r="O853" s="951"/>
      <c r="P853" s="951"/>
      <c r="Q853" s="659"/>
      <c r="R853" s="659"/>
      <c r="S853" s="659"/>
      <c r="T853" s="659"/>
      <c r="U853" s="659"/>
      <c r="V853" s="659"/>
      <c r="W853" s="659"/>
      <c r="X853" s="659"/>
      <c r="Y853" s="659"/>
      <c r="Z853" s="659"/>
      <c r="AA853" s="659"/>
      <c r="AB853" s="659"/>
      <c r="AC853" s="659"/>
      <c r="AD853" s="659"/>
      <c r="AE853" s="659"/>
      <c r="AF853" s="659"/>
      <c r="AG853" s="659"/>
      <c r="AH853" s="659"/>
      <c r="AI853" s="659"/>
      <c r="AJ853" s="659"/>
      <c r="AK853" s="659"/>
      <c r="AL853" s="659"/>
      <c r="AM853" s="659"/>
      <c r="AN853" s="659"/>
      <c r="AO853" s="659"/>
      <c r="AP853" s="659"/>
      <c r="AQ853" s="746"/>
    </row>
    <row r="854">
      <c r="A854" s="1002"/>
      <c r="B854" s="1044"/>
      <c r="C854" s="1005"/>
      <c r="D854" s="645"/>
      <c r="E854" s="645"/>
      <c r="F854" s="951"/>
      <c r="G854" s="951"/>
      <c r="H854" s="951"/>
      <c r="I854" s="951"/>
      <c r="J854" s="951"/>
      <c r="K854" s="951"/>
      <c r="L854" s="951"/>
      <c r="M854" s="951"/>
      <c r="N854" s="659"/>
      <c r="O854" s="951"/>
      <c r="P854" s="951"/>
      <c r="Q854" s="659"/>
      <c r="R854" s="659"/>
      <c r="S854" s="659"/>
      <c r="T854" s="659"/>
      <c r="U854" s="659"/>
      <c r="V854" s="659"/>
      <c r="W854" s="659"/>
      <c r="X854" s="659"/>
      <c r="Y854" s="659"/>
      <c r="Z854" s="659"/>
      <c r="AA854" s="659"/>
      <c r="AB854" s="659"/>
      <c r="AC854" s="659"/>
      <c r="AD854" s="659"/>
      <c r="AE854" s="659"/>
      <c r="AF854" s="659"/>
      <c r="AG854" s="659"/>
      <c r="AH854" s="659"/>
      <c r="AI854" s="659"/>
      <c r="AJ854" s="659"/>
      <c r="AK854" s="659"/>
      <c r="AL854" s="659"/>
      <c r="AM854" s="659"/>
      <c r="AN854" s="659"/>
      <c r="AO854" s="659"/>
      <c r="AP854" s="659"/>
      <c r="AQ854" s="746"/>
    </row>
    <row r="855">
      <c r="A855" s="1002"/>
      <c r="B855" s="1044"/>
      <c r="C855" s="1005"/>
      <c r="D855" s="645"/>
      <c r="E855" s="645"/>
      <c r="F855" s="951"/>
      <c r="G855" s="951"/>
      <c r="H855" s="951"/>
      <c r="I855" s="951"/>
      <c r="J855" s="951"/>
      <c r="K855" s="951"/>
      <c r="L855" s="951"/>
      <c r="M855" s="951"/>
      <c r="N855" s="659"/>
      <c r="O855" s="951"/>
      <c r="P855" s="951"/>
      <c r="Q855" s="659"/>
      <c r="R855" s="659"/>
      <c r="S855" s="659"/>
      <c r="T855" s="659"/>
      <c r="U855" s="659"/>
      <c r="V855" s="659"/>
      <c r="W855" s="659"/>
      <c r="X855" s="659"/>
      <c r="Y855" s="659"/>
      <c r="Z855" s="659"/>
      <c r="AA855" s="659"/>
      <c r="AB855" s="659"/>
      <c r="AC855" s="659"/>
      <c r="AD855" s="659"/>
      <c r="AE855" s="659"/>
      <c r="AF855" s="659"/>
      <c r="AG855" s="659"/>
      <c r="AH855" s="659"/>
      <c r="AI855" s="659"/>
      <c r="AJ855" s="659"/>
      <c r="AK855" s="659"/>
      <c r="AL855" s="659"/>
      <c r="AM855" s="659"/>
      <c r="AN855" s="659"/>
      <c r="AO855" s="659"/>
      <c r="AP855" s="659"/>
      <c r="AQ855" s="746"/>
    </row>
    <row r="856">
      <c r="A856" s="1002"/>
      <c r="B856" s="1044"/>
      <c r="C856" s="1005"/>
      <c r="D856" s="645"/>
      <c r="E856" s="645"/>
      <c r="F856" s="951"/>
      <c r="G856" s="951"/>
      <c r="H856" s="951"/>
      <c r="I856" s="951"/>
      <c r="J856" s="951"/>
      <c r="K856" s="951"/>
      <c r="L856" s="951"/>
      <c r="M856" s="951"/>
      <c r="N856" s="659"/>
      <c r="O856" s="951"/>
      <c r="P856" s="951"/>
      <c r="Q856" s="659"/>
      <c r="R856" s="659"/>
      <c r="S856" s="659"/>
      <c r="T856" s="659"/>
      <c r="U856" s="659"/>
      <c r="V856" s="659"/>
      <c r="W856" s="659"/>
      <c r="X856" s="659"/>
      <c r="Y856" s="659"/>
      <c r="Z856" s="659"/>
      <c r="AA856" s="659"/>
      <c r="AB856" s="659"/>
      <c r="AC856" s="659"/>
      <c r="AD856" s="659"/>
      <c r="AE856" s="659"/>
      <c r="AF856" s="659"/>
      <c r="AG856" s="659"/>
      <c r="AH856" s="659"/>
      <c r="AI856" s="659"/>
      <c r="AJ856" s="659"/>
      <c r="AK856" s="659"/>
      <c r="AL856" s="659"/>
      <c r="AM856" s="659"/>
      <c r="AN856" s="659"/>
      <c r="AO856" s="659"/>
      <c r="AP856" s="659"/>
      <c r="AQ856" s="746"/>
    </row>
    <row r="857">
      <c r="A857" s="1002"/>
      <c r="B857" s="1044"/>
      <c r="C857" s="1005"/>
      <c r="D857" s="645"/>
      <c r="E857" s="645"/>
      <c r="F857" s="951"/>
      <c r="G857" s="951"/>
      <c r="H857" s="951"/>
      <c r="I857" s="951"/>
      <c r="J857" s="951"/>
      <c r="K857" s="951"/>
      <c r="L857" s="951"/>
      <c r="M857" s="951"/>
      <c r="N857" s="659"/>
      <c r="O857" s="951"/>
      <c r="P857" s="951"/>
      <c r="Q857" s="659"/>
      <c r="R857" s="659"/>
      <c r="S857" s="659"/>
      <c r="T857" s="659"/>
      <c r="U857" s="659"/>
      <c r="V857" s="659"/>
      <c r="W857" s="659"/>
      <c r="X857" s="659"/>
      <c r="Y857" s="659"/>
      <c r="Z857" s="659"/>
      <c r="AA857" s="659"/>
      <c r="AB857" s="659"/>
      <c r="AC857" s="659"/>
      <c r="AD857" s="659"/>
      <c r="AE857" s="659"/>
      <c r="AF857" s="659"/>
      <c r="AG857" s="659"/>
      <c r="AH857" s="659"/>
      <c r="AI857" s="659"/>
      <c r="AJ857" s="659"/>
      <c r="AK857" s="659"/>
      <c r="AL857" s="659"/>
      <c r="AM857" s="659"/>
      <c r="AN857" s="659"/>
      <c r="AO857" s="659"/>
      <c r="AP857" s="659"/>
      <c r="AQ857" s="746"/>
    </row>
    <row r="858">
      <c r="A858" s="1002"/>
      <c r="B858" s="1044"/>
      <c r="C858" s="1005"/>
      <c r="D858" s="645"/>
      <c r="E858" s="645"/>
      <c r="F858" s="951"/>
      <c r="G858" s="951"/>
      <c r="H858" s="951"/>
      <c r="I858" s="951"/>
      <c r="J858" s="951"/>
      <c r="K858" s="951"/>
      <c r="L858" s="951"/>
      <c r="M858" s="951"/>
      <c r="N858" s="659"/>
      <c r="O858" s="951"/>
      <c r="P858" s="951"/>
      <c r="Q858" s="659"/>
      <c r="R858" s="659"/>
      <c r="S858" s="659"/>
      <c r="T858" s="659"/>
      <c r="U858" s="659"/>
      <c r="V858" s="659"/>
      <c r="W858" s="659"/>
      <c r="X858" s="659"/>
      <c r="Y858" s="659"/>
      <c r="Z858" s="659"/>
      <c r="AA858" s="659"/>
      <c r="AB858" s="659"/>
      <c r="AC858" s="659"/>
      <c r="AD858" s="659"/>
      <c r="AE858" s="659"/>
      <c r="AF858" s="659"/>
      <c r="AG858" s="659"/>
      <c r="AH858" s="659"/>
      <c r="AI858" s="659"/>
      <c r="AJ858" s="659"/>
      <c r="AK858" s="659"/>
      <c r="AL858" s="659"/>
      <c r="AM858" s="659"/>
      <c r="AN858" s="659"/>
      <c r="AO858" s="659"/>
      <c r="AP858" s="659"/>
      <c r="AQ858" s="746"/>
    </row>
    <row r="859">
      <c r="A859" s="1002"/>
      <c r="B859" s="1044"/>
      <c r="C859" s="1005"/>
      <c r="D859" s="645"/>
      <c r="E859" s="645"/>
      <c r="F859" s="951"/>
      <c r="G859" s="951"/>
      <c r="H859" s="951"/>
      <c r="I859" s="951"/>
      <c r="J859" s="951"/>
      <c r="K859" s="951"/>
      <c r="L859" s="951"/>
      <c r="M859" s="951"/>
      <c r="N859" s="659"/>
      <c r="O859" s="951"/>
      <c r="P859" s="951"/>
      <c r="Q859" s="659"/>
      <c r="R859" s="659"/>
      <c r="S859" s="659"/>
      <c r="T859" s="659"/>
      <c r="U859" s="659"/>
      <c r="V859" s="659"/>
      <c r="W859" s="659"/>
      <c r="X859" s="659"/>
      <c r="Y859" s="659"/>
      <c r="Z859" s="659"/>
      <c r="AA859" s="659"/>
      <c r="AB859" s="659"/>
      <c r="AC859" s="659"/>
      <c r="AD859" s="659"/>
      <c r="AE859" s="659"/>
      <c r="AF859" s="659"/>
      <c r="AG859" s="659"/>
      <c r="AH859" s="659"/>
      <c r="AI859" s="659"/>
      <c r="AJ859" s="659"/>
      <c r="AK859" s="659"/>
      <c r="AL859" s="659"/>
      <c r="AM859" s="659"/>
      <c r="AN859" s="659"/>
      <c r="AO859" s="659"/>
      <c r="AP859" s="659"/>
      <c r="AQ859" s="746"/>
    </row>
    <row r="860">
      <c r="A860" s="1002"/>
      <c r="B860" s="1044"/>
      <c r="C860" s="1005"/>
      <c r="D860" s="645"/>
      <c r="E860" s="645"/>
      <c r="F860" s="951"/>
      <c r="G860" s="951"/>
      <c r="H860" s="951"/>
      <c r="I860" s="951"/>
      <c r="J860" s="951"/>
      <c r="K860" s="951"/>
      <c r="L860" s="951"/>
      <c r="M860" s="951"/>
      <c r="N860" s="659"/>
      <c r="O860" s="951"/>
      <c r="P860" s="951"/>
      <c r="Q860" s="659"/>
      <c r="R860" s="659"/>
      <c r="S860" s="659"/>
      <c r="T860" s="659"/>
      <c r="U860" s="659"/>
      <c r="V860" s="659"/>
      <c r="W860" s="659"/>
      <c r="X860" s="659"/>
      <c r="Y860" s="659"/>
      <c r="Z860" s="659"/>
      <c r="AA860" s="659"/>
      <c r="AB860" s="659"/>
      <c r="AC860" s="659"/>
      <c r="AD860" s="659"/>
      <c r="AE860" s="659"/>
      <c r="AF860" s="659"/>
      <c r="AG860" s="659"/>
      <c r="AH860" s="659"/>
      <c r="AI860" s="659"/>
      <c r="AJ860" s="659"/>
      <c r="AK860" s="659"/>
      <c r="AL860" s="659"/>
      <c r="AM860" s="659"/>
      <c r="AN860" s="659"/>
      <c r="AO860" s="659"/>
      <c r="AP860" s="659"/>
      <c r="AQ860" s="746"/>
    </row>
    <row r="861">
      <c r="A861" s="1002"/>
      <c r="B861" s="1044"/>
      <c r="C861" s="1005"/>
      <c r="D861" s="645"/>
      <c r="E861" s="645"/>
      <c r="F861" s="951"/>
      <c r="G861" s="951"/>
      <c r="H861" s="951"/>
      <c r="I861" s="951"/>
      <c r="J861" s="951"/>
      <c r="K861" s="951"/>
      <c r="L861" s="951"/>
      <c r="M861" s="951"/>
      <c r="N861" s="659"/>
      <c r="O861" s="951"/>
      <c r="P861" s="951"/>
      <c r="Q861" s="659"/>
      <c r="R861" s="659"/>
      <c r="S861" s="659"/>
      <c r="T861" s="659"/>
      <c r="U861" s="659"/>
      <c r="V861" s="659"/>
      <c r="W861" s="659"/>
      <c r="X861" s="659"/>
      <c r="Y861" s="659"/>
      <c r="Z861" s="659"/>
      <c r="AA861" s="659"/>
      <c r="AB861" s="659"/>
      <c r="AC861" s="659"/>
      <c r="AD861" s="659"/>
      <c r="AE861" s="659"/>
      <c r="AF861" s="659"/>
      <c r="AG861" s="659"/>
      <c r="AH861" s="659"/>
      <c r="AI861" s="659"/>
      <c r="AJ861" s="659"/>
      <c r="AK861" s="659"/>
      <c r="AL861" s="659"/>
      <c r="AM861" s="659"/>
      <c r="AN861" s="659"/>
      <c r="AO861" s="659"/>
      <c r="AP861" s="659"/>
      <c r="AQ861" s="746"/>
    </row>
    <row r="862">
      <c r="A862" s="1002"/>
      <c r="B862" s="1044"/>
      <c r="C862" s="1005"/>
      <c r="D862" s="645"/>
      <c r="E862" s="645"/>
      <c r="F862" s="951"/>
      <c r="G862" s="951"/>
      <c r="H862" s="951"/>
      <c r="I862" s="951"/>
      <c r="J862" s="951"/>
      <c r="K862" s="951"/>
      <c r="L862" s="951"/>
      <c r="M862" s="951"/>
      <c r="N862" s="659"/>
      <c r="O862" s="951"/>
      <c r="P862" s="951"/>
      <c r="Q862" s="659"/>
      <c r="R862" s="659"/>
      <c r="S862" s="659"/>
      <c r="T862" s="659"/>
      <c r="U862" s="659"/>
      <c r="V862" s="659"/>
      <c r="W862" s="659"/>
      <c r="X862" s="659"/>
      <c r="Y862" s="659"/>
      <c r="Z862" s="659"/>
      <c r="AA862" s="659"/>
      <c r="AB862" s="659"/>
      <c r="AC862" s="659"/>
      <c r="AD862" s="659"/>
      <c r="AE862" s="659"/>
      <c r="AF862" s="659"/>
      <c r="AG862" s="659"/>
      <c r="AH862" s="659"/>
      <c r="AI862" s="659"/>
      <c r="AJ862" s="659"/>
      <c r="AK862" s="659"/>
      <c r="AL862" s="659"/>
      <c r="AM862" s="659"/>
      <c r="AN862" s="659"/>
      <c r="AO862" s="659"/>
      <c r="AP862" s="659"/>
      <c r="AQ862" s="746"/>
    </row>
    <row r="863">
      <c r="A863" s="1002"/>
      <c r="B863" s="1044"/>
      <c r="C863" s="1005"/>
      <c r="D863" s="645"/>
      <c r="E863" s="645"/>
      <c r="F863" s="951"/>
      <c r="G863" s="951"/>
      <c r="H863" s="951"/>
      <c r="I863" s="951"/>
      <c r="J863" s="951"/>
      <c r="K863" s="951"/>
      <c r="L863" s="951"/>
      <c r="M863" s="951"/>
      <c r="N863" s="659"/>
      <c r="O863" s="951"/>
      <c r="P863" s="951"/>
      <c r="Q863" s="659"/>
      <c r="R863" s="659"/>
      <c r="S863" s="659"/>
      <c r="T863" s="659"/>
      <c r="U863" s="659"/>
      <c r="V863" s="659"/>
      <c r="W863" s="659"/>
      <c r="X863" s="659"/>
      <c r="Y863" s="659"/>
      <c r="Z863" s="659"/>
      <c r="AA863" s="659"/>
      <c r="AB863" s="659"/>
      <c r="AC863" s="659"/>
      <c r="AD863" s="659"/>
      <c r="AE863" s="659"/>
      <c r="AF863" s="659"/>
      <c r="AG863" s="659"/>
      <c r="AH863" s="659"/>
      <c r="AI863" s="659"/>
      <c r="AJ863" s="659"/>
      <c r="AK863" s="659"/>
      <c r="AL863" s="659"/>
      <c r="AM863" s="659"/>
      <c r="AN863" s="659"/>
      <c r="AO863" s="659"/>
      <c r="AP863" s="659"/>
      <c r="AQ863" s="746"/>
    </row>
    <row r="864">
      <c r="A864" s="1002"/>
      <c r="B864" s="1044"/>
      <c r="C864" s="1005"/>
      <c r="D864" s="645"/>
      <c r="E864" s="645"/>
      <c r="F864" s="951"/>
      <c r="G864" s="951"/>
      <c r="H864" s="951"/>
      <c r="I864" s="951"/>
      <c r="J864" s="951"/>
      <c r="K864" s="951"/>
      <c r="L864" s="951"/>
      <c r="M864" s="951"/>
      <c r="N864" s="659"/>
      <c r="O864" s="951"/>
      <c r="P864" s="951"/>
      <c r="Q864" s="659"/>
      <c r="R864" s="659"/>
      <c r="S864" s="659"/>
      <c r="T864" s="659"/>
      <c r="U864" s="659"/>
      <c r="V864" s="659"/>
      <c r="W864" s="659"/>
      <c r="X864" s="659"/>
      <c r="Y864" s="659"/>
      <c r="Z864" s="659"/>
      <c r="AA864" s="659"/>
      <c r="AB864" s="659"/>
      <c r="AC864" s="659"/>
      <c r="AD864" s="659"/>
      <c r="AE864" s="659"/>
      <c r="AF864" s="659"/>
      <c r="AG864" s="659"/>
      <c r="AH864" s="659"/>
      <c r="AI864" s="659"/>
      <c r="AJ864" s="659"/>
      <c r="AK864" s="659"/>
      <c r="AL864" s="659"/>
      <c r="AM864" s="659"/>
      <c r="AN864" s="659"/>
      <c r="AO864" s="659"/>
      <c r="AP864" s="659"/>
      <c r="AQ864" s="746"/>
    </row>
    <row r="865">
      <c r="A865" s="1002"/>
      <c r="B865" s="1044"/>
      <c r="C865" s="1005"/>
      <c r="D865" s="645"/>
      <c r="E865" s="645"/>
      <c r="F865" s="951"/>
      <c r="G865" s="951"/>
      <c r="H865" s="951"/>
      <c r="I865" s="951"/>
      <c r="J865" s="951"/>
      <c r="K865" s="951"/>
      <c r="L865" s="951"/>
      <c r="M865" s="951"/>
      <c r="N865" s="659"/>
      <c r="O865" s="951"/>
      <c r="P865" s="951"/>
      <c r="Q865" s="659"/>
      <c r="R865" s="659"/>
      <c r="S865" s="659"/>
      <c r="T865" s="659"/>
      <c r="U865" s="659"/>
      <c r="V865" s="659"/>
      <c r="W865" s="659"/>
      <c r="X865" s="659"/>
      <c r="Y865" s="659"/>
      <c r="Z865" s="659"/>
      <c r="AA865" s="659"/>
      <c r="AB865" s="659"/>
      <c r="AC865" s="659"/>
      <c r="AD865" s="659"/>
      <c r="AE865" s="659"/>
      <c r="AF865" s="659"/>
      <c r="AG865" s="659"/>
      <c r="AH865" s="659"/>
      <c r="AI865" s="659"/>
      <c r="AJ865" s="659"/>
      <c r="AK865" s="659"/>
      <c r="AL865" s="659"/>
      <c r="AM865" s="659"/>
      <c r="AN865" s="659"/>
      <c r="AO865" s="659"/>
      <c r="AP865" s="659"/>
      <c r="AQ865" s="746"/>
    </row>
    <row r="866">
      <c r="A866" s="1002"/>
      <c r="B866" s="1044"/>
      <c r="C866" s="1005"/>
      <c r="D866" s="645"/>
      <c r="E866" s="645"/>
      <c r="F866" s="951"/>
      <c r="G866" s="951"/>
      <c r="H866" s="951"/>
      <c r="I866" s="951"/>
      <c r="J866" s="951"/>
      <c r="K866" s="951"/>
      <c r="L866" s="951"/>
      <c r="M866" s="951"/>
      <c r="N866" s="659"/>
      <c r="O866" s="951"/>
      <c r="P866" s="951"/>
      <c r="Q866" s="659"/>
      <c r="R866" s="659"/>
      <c r="S866" s="659"/>
      <c r="T866" s="659"/>
      <c r="U866" s="659"/>
      <c r="V866" s="659"/>
      <c r="W866" s="659"/>
      <c r="X866" s="659"/>
      <c r="Y866" s="659"/>
      <c r="Z866" s="659"/>
      <c r="AA866" s="659"/>
      <c r="AB866" s="659"/>
      <c r="AC866" s="659"/>
      <c r="AD866" s="659"/>
      <c r="AE866" s="659"/>
      <c r="AF866" s="659"/>
      <c r="AG866" s="659"/>
      <c r="AH866" s="659"/>
      <c r="AI866" s="659"/>
      <c r="AJ866" s="659"/>
      <c r="AK866" s="659"/>
      <c r="AL866" s="659"/>
      <c r="AM866" s="659"/>
      <c r="AN866" s="659"/>
      <c r="AO866" s="659"/>
      <c r="AP866" s="659"/>
      <c r="AQ866" s="746"/>
    </row>
    <row r="867">
      <c r="A867" s="1002"/>
      <c r="B867" s="1044"/>
      <c r="C867" s="1005"/>
      <c r="D867" s="645"/>
      <c r="E867" s="645"/>
      <c r="F867" s="951"/>
      <c r="G867" s="951"/>
      <c r="H867" s="951"/>
      <c r="I867" s="951"/>
      <c r="J867" s="951"/>
      <c r="K867" s="951"/>
      <c r="L867" s="951"/>
      <c r="M867" s="951"/>
      <c r="N867" s="659"/>
      <c r="O867" s="951"/>
      <c r="P867" s="951"/>
      <c r="Q867" s="659"/>
      <c r="R867" s="659"/>
      <c r="S867" s="659"/>
      <c r="T867" s="659"/>
      <c r="U867" s="659"/>
      <c r="V867" s="659"/>
      <c r="W867" s="659"/>
      <c r="X867" s="659"/>
      <c r="Y867" s="659"/>
      <c r="Z867" s="659"/>
      <c r="AA867" s="659"/>
      <c r="AB867" s="659"/>
      <c r="AC867" s="659"/>
      <c r="AD867" s="659"/>
      <c r="AE867" s="659"/>
      <c r="AF867" s="659"/>
      <c r="AG867" s="659"/>
      <c r="AH867" s="659"/>
      <c r="AI867" s="659"/>
      <c r="AJ867" s="659"/>
      <c r="AK867" s="659"/>
      <c r="AL867" s="659"/>
      <c r="AM867" s="659"/>
      <c r="AN867" s="659"/>
      <c r="AO867" s="659"/>
      <c r="AP867" s="659"/>
      <c r="AQ867" s="746"/>
    </row>
    <row r="868">
      <c r="A868" s="1002"/>
      <c r="B868" s="1044"/>
      <c r="C868" s="1005"/>
      <c r="D868" s="645"/>
      <c r="E868" s="645"/>
      <c r="F868" s="951"/>
      <c r="G868" s="951"/>
      <c r="H868" s="951"/>
      <c r="I868" s="951"/>
      <c r="J868" s="951"/>
      <c r="K868" s="951"/>
      <c r="L868" s="951"/>
      <c r="M868" s="951"/>
      <c r="N868" s="659"/>
      <c r="O868" s="951"/>
      <c r="P868" s="951"/>
      <c r="Q868" s="659"/>
      <c r="R868" s="659"/>
      <c r="S868" s="659"/>
      <c r="T868" s="659"/>
      <c r="U868" s="659"/>
      <c r="V868" s="659"/>
      <c r="W868" s="659"/>
      <c r="X868" s="659"/>
      <c r="Y868" s="659"/>
      <c r="Z868" s="659"/>
      <c r="AA868" s="659"/>
      <c r="AB868" s="659"/>
      <c r="AC868" s="659"/>
      <c r="AD868" s="659"/>
      <c r="AE868" s="659"/>
      <c r="AF868" s="659"/>
      <c r="AG868" s="659"/>
      <c r="AH868" s="659"/>
      <c r="AI868" s="659"/>
      <c r="AJ868" s="659"/>
      <c r="AK868" s="659"/>
      <c r="AL868" s="659"/>
      <c r="AM868" s="659"/>
      <c r="AN868" s="659"/>
      <c r="AO868" s="659"/>
      <c r="AP868" s="659"/>
      <c r="AQ868" s="746"/>
    </row>
    <row r="869">
      <c r="A869" s="1002"/>
      <c r="B869" s="1044"/>
      <c r="C869" s="1005"/>
      <c r="D869" s="645"/>
      <c r="E869" s="645"/>
      <c r="F869" s="951"/>
      <c r="G869" s="951"/>
      <c r="H869" s="951"/>
      <c r="I869" s="951"/>
      <c r="J869" s="951"/>
      <c r="K869" s="951"/>
      <c r="L869" s="951"/>
      <c r="M869" s="951"/>
      <c r="N869" s="659"/>
      <c r="O869" s="951"/>
      <c r="P869" s="951"/>
      <c r="Q869" s="659"/>
      <c r="R869" s="659"/>
      <c r="S869" s="659"/>
      <c r="T869" s="659"/>
      <c r="U869" s="659"/>
      <c r="V869" s="659"/>
      <c r="W869" s="659"/>
      <c r="X869" s="659"/>
      <c r="Y869" s="659"/>
      <c r="Z869" s="659"/>
      <c r="AA869" s="659"/>
      <c r="AB869" s="659"/>
      <c r="AC869" s="659"/>
      <c r="AD869" s="659"/>
      <c r="AE869" s="659"/>
      <c r="AF869" s="659"/>
      <c r="AG869" s="659"/>
      <c r="AH869" s="659"/>
      <c r="AI869" s="659"/>
      <c r="AJ869" s="659"/>
      <c r="AK869" s="659"/>
      <c r="AL869" s="659"/>
      <c r="AM869" s="659"/>
      <c r="AN869" s="659"/>
      <c r="AO869" s="659"/>
      <c r="AP869" s="659"/>
      <c r="AQ869" s="746"/>
    </row>
    <row r="870">
      <c r="A870" s="1002"/>
      <c r="B870" s="1044"/>
      <c r="C870" s="1005"/>
      <c r="D870" s="645"/>
      <c r="E870" s="645"/>
      <c r="F870" s="951"/>
      <c r="G870" s="951"/>
      <c r="H870" s="951"/>
      <c r="I870" s="951"/>
      <c r="J870" s="951"/>
      <c r="K870" s="951"/>
      <c r="L870" s="951"/>
      <c r="M870" s="951"/>
      <c r="N870" s="659"/>
      <c r="O870" s="951"/>
      <c r="P870" s="951"/>
      <c r="Q870" s="659"/>
      <c r="R870" s="659"/>
      <c r="S870" s="659"/>
      <c r="T870" s="659"/>
      <c r="U870" s="659"/>
      <c r="V870" s="659"/>
      <c r="W870" s="659"/>
      <c r="X870" s="659"/>
      <c r="Y870" s="659"/>
      <c r="Z870" s="659"/>
      <c r="AA870" s="659"/>
      <c r="AB870" s="659"/>
      <c r="AC870" s="659"/>
      <c r="AD870" s="659"/>
      <c r="AE870" s="659"/>
      <c r="AF870" s="659"/>
      <c r="AG870" s="659"/>
      <c r="AH870" s="659"/>
      <c r="AI870" s="659"/>
      <c r="AJ870" s="659"/>
      <c r="AK870" s="659"/>
      <c r="AL870" s="659"/>
      <c r="AM870" s="659"/>
      <c r="AN870" s="659"/>
      <c r="AO870" s="659"/>
      <c r="AP870" s="659"/>
      <c r="AQ870" s="746"/>
    </row>
    <row r="871">
      <c r="A871" s="1002"/>
      <c r="B871" s="1044"/>
      <c r="C871" s="1005"/>
      <c r="D871" s="645"/>
      <c r="E871" s="645"/>
      <c r="F871" s="951"/>
      <c r="G871" s="951"/>
      <c r="H871" s="951"/>
      <c r="I871" s="951"/>
      <c r="J871" s="951"/>
      <c r="K871" s="951"/>
      <c r="L871" s="951"/>
      <c r="M871" s="951"/>
      <c r="N871" s="659"/>
      <c r="O871" s="951"/>
      <c r="P871" s="951"/>
      <c r="Q871" s="659"/>
      <c r="R871" s="659"/>
      <c r="S871" s="659"/>
      <c r="T871" s="659"/>
      <c r="U871" s="659"/>
      <c r="V871" s="659"/>
      <c r="W871" s="659"/>
      <c r="X871" s="659"/>
      <c r="Y871" s="659"/>
      <c r="Z871" s="659"/>
      <c r="AA871" s="659"/>
      <c r="AB871" s="659"/>
      <c r="AC871" s="659"/>
      <c r="AD871" s="659"/>
      <c r="AE871" s="659"/>
      <c r="AF871" s="659"/>
      <c r="AG871" s="659"/>
      <c r="AH871" s="659"/>
      <c r="AI871" s="659"/>
      <c r="AJ871" s="659"/>
      <c r="AK871" s="659"/>
      <c r="AL871" s="659"/>
      <c r="AM871" s="659"/>
      <c r="AN871" s="659"/>
      <c r="AO871" s="659"/>
      <c r="AP871" s="659"/>
      <c r="AQ871" s="746"/>
    </row>
    <row r="872">
      <c r="A872" s="1002"/>
      <c r="B872" s="1044"/>
      <c r="C872" s="1005"/>
      <c r="D872" s="645"/>
      <c r="E872" s="645"/>
      <c r="F872" s="951"/>
      <c r="G872" s="951"/>
      <c r="H872" s="951"/>
      <c r="I872" s="951"/>
      <c r="J872" s="951"/>
      <c r="K872" s="951"/>
      <c r="L872" s="951"/>
      <c r="M872" s="951"/>
      <c r="N872" s="659"/>
      <c r="O872" s="951"/>
      <c r="P872" s="951"/>
      <c r="Q872" s="659"/>
      <c r="R872" s="659"/>
      <c r="S872" s="659"/>
      <c r="T872" s="659"/>
      <c r="U872" s="659"/>
      <c r="V872" s="659"/>
      <c r="W872" s="659"/>
      <c r="X872" s="659"/>
      <c r="Y872" s="659"/>
      <c r="Z872" s="659"/>
      <c r="AA872" s="659"/>
      <c r="AB872" s="659"/>
      <c r="AC872" s="659"/>
      <c r="AD872" s="659"/>
      <c r="AE872" s="659"/>
      <c r="AF872" s="659"/>
      <c r="AG872" s="659"/>
      <c r="AH872" s="659"/>
      <c r="AI872" s="659"/>
      <c r="AJ872" s="659"/>
      <c r="AK872" s="659"/>
      <c r="AL872" s="659"/>
      <c r="AM872" s="659"/>
      <c r="AN872" s="659"/>
      <c r="AO872" s="659"/>
      <c r="AP872" s="659"/>
      <c r="AQ872" s="746"/>
    </row>
    <row r="873">
      <c r="A873" s="1002"/>
      <c r="B873" s="1044"/>
      <c r="C873" s="1005"/>
      <c r="D873" s="645"/>
      <c r="E873" s="645"/>
      <c r="F873" s="951"/>
      <c r="G873" s="951"/>
      <c r="H873" s="951"/>
      <c r="I873" s="951"/>
      <c r="J873" s="951"/>
      <c r="K873" s="951"/>
      <c r="L873" s="951"/>
      <c r="M873" s="951"/>
      <c r="N873" s="659"/>
      <c r="O873" s="951"/>
      <c r="P873" s="951"/>
      <c r="Q873" s="659"/>
      <c r="R873" s="659"/>
      <c r="S873" s="659"/>
      <c r="T873" s="659"/>
      <c r="U873" s="659"/>
      <c r="V873" s="659"/>
      <c r="W873" s="659"/>
      <c r="X873" s="659"/>
      <c r="Y873" s="659"/>
      <c r="Z873" s="659"/>
      <c r="AA873" s="659"/>
      <c r="AB873" s="659"/>
      <c r="AC873" s="659"/>
      <c r="AD873" s="659"/>
      <c r="AE873" s="659"/>
      <c r="AF873" s="659"/>
      <c r="AG873" s="659"/>
      <c r="AH873" s="659"/>
      <c r="AI873" s="659"/>
      <c r="AJ873" s="659"/>
      <c r="AK873" s="659"/>
      <c r="AL873" s="659"/>
      <c r="AM873" s="659"/>
      <c r="AN873" s="659"/>
      <c r="AO873" s="659"/>
      <c r="AP873" s="659"/>
      <c r="AQ873" s="746"/>
    </row>
    <row r="874">
      <c r="A874" s="1002"/>
      <c r="B874" s="1044"/>
      <c r="C874" s="1005"/>
      <c r="D874" s="645"/>
      <c r="E874" s="645"/>
      <c r="F874" s="951"/>
      <c r="G874" s="951"/>
      <c r="H874" s="951"/>
      <c r="I874" s="951"/>
      <c r="J874" s="951"/>
      <c r="K874" s="951"/>
      <c r="L874" s="951"/>
      <c r="M874" s="951"/>
      <c r="N874" s="659"/>
      <c r="O874" s="951"/>
      <c r="P874" s="951"/>
      <c r="Q874" s="659"/>
      <c r="R874" s="659"/>
      <c r="S874" s="659"/>
      <c r="T874" s="659"/>
      <c r="U874" s="659"/>
      <c r="V874" s="659"/>
      <c r="W874" s="659"/>
      <c r="X874" s="659"/>
      <c r="Y874" s="659"/>
      <c r="Z874" s="659"/>
      <c r="AA874" s="659"/>
      <c r="AB874" s="659"/>
      <c r="AC874" s="659"/>
      <c r="AD874" s="659"/>
      <c r="AE874" s="659"/>
      <c r="AF874" s="659"/>
      <c r="AG874" s="659"/>
      <c r="AH874" s="659"/>
      <c r="AI874" s="659"/>
      <c r="AJ874" s="659"/>
      <c r="AK874" s="659"/>
      <c r="AL874" s="659"/>
      <c r="AM874" s="659"/>
      <c r="AN874" s="659"/>
      <c r="AO874" s="659"/>
      <c r="AP874" s="659"/>
      <c r="AQ874" s="746"/>
    </row>
    <row r="875">
      <c r="A875" s="1002"/>
      <c r="B875" s="1044"/>
      <c r="C875" s="1005"/>
      <c r="D875" s="645"/>
      <c r="E875" s="645"/>
      <c r="F875" s="951"/>
      <c r="G875" s="951"/>
      <c r="H875" s="951"/>
      <c r="I875" s="951"/>
      <c r="J875" s="951"/>
      <c r="K875" s="951"/>
      <c r="L875" s="951"/>
      <c r="M875" s="951"/>
      <c r="N875" s="659"/>
      <c r="O875" s="951"/>
      <c r="P875" s="951"/>
      <c r="Q875" s="659"/>
      <c r="R875" s="659"/>
      <c r="S875" s="659"/>
      <c r="T875" s="659"/>
      <c r="U875" s="659"/>
      <c r="V875" s="659"/>
      <c r="W875" s="659"/>
      <c r="X875" s="659"/>
      <c r="Y875" s="659"/>
      <c r="Z875" s="659"/>
      <c r="AA875" s="659"/>
      <c r="AB875" s="659"/>
      <c r="AC875" s="659"/>
      <c r="AD875" s="659"/>
      <c r="AE875" s="659"/>
      <c r="AF875" s="659"/>
      <c r="AG875" s="659"/>
      <c r="AH875" s="659"/>
      <c r="AI875" s="659"/>
      <c r="AJ875" s="659"/>
      <c r="AK875" s="659"/>
      <c r="AL875" s="659"/>
      <c r="AM875" s="659"/>
      <c r="AN875" s="659"/>
      <c r="AO875" s="659"/>
      <c r="AP875" s="659"/>
      <c r="AQ875" s="746"/>
    </row>
    <row r="876">
      <c r="A876" s="1002"/>
      <c r="B876" s="1044"/>
      <c r="C876" s="1005"/>
      <c r="D876" s="645"/>
      <c r="E876" s="645"/>
      <c r="F876" s="951"/>
      <c r="G876" s="951"/>
      <c r="H876" s="951"/>
      <c r="I876" s="951"/>
      <c r="J876" s="951"/>
      <c r="K876" s="951"/>
      <c r="L876" s="951"/>
      <c r="M876" s="951"/>
      <c r="N876" s="659"/>
      <c r="O876" s="951"/>
      <c r="P876" s="951"/>
      <c r="Q876" s="659"/>
      <c r="R876" s="659"/>
      <c r="S876" s="659"/>
      <c r="T876" s="659"/>
      <c r="U876" s="659"/>
      <c r="V876" s="659"/>
      <c r="W876" s="659"/>
      <c r="X876" s="659"/>
      <c r="Y876" s="659"/>
      <c r="Z876" s="659"/>
      <c r="AA876" s="659"/>
      <c r="AB876" s="659"/>
      <c r="AC876" s="659"/>
      <c r="AD876" s="659"/>
      <c r="AE876" s="659"/>
      <c r="AF876" s="659"/>
      <c r="AG876" s="659"/>
      <c r="AH876" s="659"/>
      <c r="AI876" s="659"/>
      <c r="AJ876" s="659"/>
      <c r="AK876" s="659"/>
      <c r="AL876" s="659"/>
      <c r="AM876" s="659"/>
      <c r="AN876" s="659"/>
      <c r="AO876" s="659"/>
      <c r="AP876" s="659"/>
      <c r="AQ876" s="746"/>
    </row>
    <row r="877">
      <c r="A877" s="1002"/>
      <c r="B877" s="1044"/>
      <c r="C877" s="1005"/>
      <c r="D877" s="645"/>
      <c r="E877" s="645"/>
      <c r="F877" s="951"/>
      <c r="G877" s="951"/>
      <c r="H877" s="951"/>
      <c r="I877" s="951"/>
      <c r="J877" s="951"/>
      <c r="K877" s="951"/>
      <c r="L877" s="951"/>
      <c r="M877" s="951"/>
      <c r="N877" s="659"/>
      <c r="O877" s="951"/>
      <c r="P877" s="951"/>
      <c r="Q877" s="659"/>
      <c r="R877" s="659"/>
      <c r="S877" s="659"/>
      <c r="T877" s="659"/>
      <c r="U877" s="659"/>
      <c r="V877" s="659"/>
      <c r="W877" s="659"/>
      <c r="X877" s="659"/>
      <c r="Y877" s="659"/>
      <c r="Z877" s="659"/>
      <c r="AA877" s="659"/>
      <c r="AB877" s="659"/>
      <c r="AC877" s="659"/>
      <c r="AD877" s="659"/>
      <c r="AE877" s="659"/>
      <c r="AF877" s="659"/>
      <c r="AG877" s="659"/>
      <c r="AH877" s="659"/>
      <c r="AI877" s="659"/>
      <c r="AJ877" s="659"/>
      <c r="AK877" s="659"/>
      <c r="AL877" s="659"/>
      <c r="AM877" s="659"/>
      <c r="AN877" s="659"/>
      <c r="AO877" s="659"/>
      <c r="AP877" s="659"/>
      <c r="AQ877" s="746"/>
    </row>
    <row r="878">
      <c r="A878" s="1002"/>
      <c r="B878" s="1044"/>
      <c r="C878" s="1005"/>
      <c r="D878" s="645"/>
      <c r="E878" s="645"/>
      <c r="F878" s="951"/>
      <c r="G878" s="951"/>
      <c r="H878" s="951"/>
      <c r="I878" s="951"/>
      <c r="J878" s="951"/>
      <c r="K878" s="951"/>
      <c r="L878" s="951"/>
      <c r="M878" s="951"/>
      <c r="N878" s="659"/>
      <c r="O878" s="951"/>
      <c r="P878" s="951"/>
      <c r="Q878" s="659"/>
      <c r="R878" s="659"/>
      <c r="S878" s="659"/>
      <c r="T878" s="659"/>
      <c r="U878" s="659"/>
      <c r="V878" s="659"/>
      <c r="W878" s="659"/>
      <c r="X878" s="659"/>
      <c r="Y878" s="659"/>
      <c r="Z878" s="659"/>
      <c r="AA878" s="659"/>
      <c r="AB878" s="659"/>
      <c r="AC878" s="659"/>
      <c r="AD878" s="659"/>
      <c r="AE878" s="659"/>
      <c r="AF878" s="659"/>
      <c r="AG878" s="659"/>
      <c r="AH878" s="659"/>
      <c r="AI878" s="659"/>
      <c r="AJ878" s="659"/>
      <c r="AK878" s="659"/>
      <c r="AL878" s="659"/>
      <c r="AM878" s="659"/>
      <c r="AN878" s="659"/>
      <c r="AO878" s="659"/>
      <c r="AP878" s="659"/>
      <c r="AQ878" s="746"/>
    </row>
    <row r="879">
      <c r="A879" s="1002"/>
      <c r="B879" s="1044"/>
      <c r="C879" s="1005"/>
      <c r="D879" s="645"/>
      <c r="E879" s="645"/>
      <c r="F879" s="951"/>
      <c r="G879" s="951"/>
      <c r="H879" s="951"/>
      <c r="I879" s="951"/>
      <c r="J879" s="951"/>
      <c r="K879" s="951"/>
      <c r="L879" s="951"/>
      <c r="M879" s="951"/>
      <c r="N879" s="659"/>
      <c r="O879" s="951"/>
      <c r="P879" s="951"/>
      <c r="Q879" s="659"/>
      <c r="R879" s="659"/>
      <c r="S879" s="659"/>
      <c r="T879" s="659"/>
      <c r="U879" s="659"/>
      <c r="V879" s="659"/>
      <c r="W879" s="659"/>
      <c r="X879" s="659"/>
      <c r="Y879" s="659"/>
      <c r="Z879" s="659"/>
      <c r="AA879" s="659"/>
      <c r="AB879" s="659"/>
      <c r="AC879" s="659"/>
      <c r="AD879" s="659"/>
      <c r="AE879" s="659"/>
      <c r="AF879" s="659"/>
      <c r="AG879" s="659"/>
      <c r="AH879" s="659"/>
      <c r="AI879" s="659"/>
      <c r="AJ879" s="659"/>
      <c r="AK879" s="659"/>
      <c r="AL879" s="659"/>
      <c r="AM879" s="659"/>
      <c r="AN879" s="659"/>
      <c r="AO879" s="659"/>
      <c r="AP879" s="659"/>
      <c r="AQ879" s="746"/>
    </row>
    <row r="880">
      <c r="A880" s="1002"/>
      <c r="B880" s="1044"/>
      <c r="C880" s="1005"/>
      <c r="D880" s="645"/>
      <c r="E880" s="645"/>
      <c r="F880" s="951"/>
      <c r="G880" s="951"/>
      <c r="H880" s="951"/>
      <c r="I880" s="951"/>
      <c r="J880" s="951"/>
      <c r="K880" s="951"/>
      <c r="L880" s="951"/>
      <c r="M880" s="951"/>
      <c r="N880" s="659"/>
      <c r="O880" s="951"/>
      <c r="P880" s="951"/>
      <c r="Q880" s="659"/>
      <c r="R880" s="659"/>
      <c r="S880" s="659"/>
      <c r="T880" s="659"/>
      <c r="U880" s="659"/>
      <c r="V880" s="659"/>
      <c r="W880" s="659"/>
      <c r="X880" s="659"/>
      <c r="Y880" s="659"/>
      <c r="Z880" s="659"/>
      <c r="AA880" s="659"/>
      <c r="AB880" s="659"/>
      <c r="AC880" s="659"/>
      <c r="AD880" s="659"/>
      <c r="AE880" s="659"/>
      <c r="AF880" s="659"/>
      <c r="AG880" s="659"/>
      <c r="AH880" s="659"/>
      <c r="AI880" s="659"/>
      <c r="AJ880" s="659"/>
      <c r="AK880" s="659"/>
      <c r="AL880" s="659"/>
      <c r="AM880" s="659"/>
      <c r="AN880" s="659"/>
      <c r="AO880" s="659"/>
      <c r="AP880" s="659"/>
      <c r="AQ880" s="746"/>
    </row>
    <row r="881">
      <c r="A881" s="1002"/>
      <c r="B881" s="1004"/>
      <c r="C881" s="1005"/>
      <c r="D881" s="645"/>
      <c r="E881" s="645"/>
      <c r="F881" s="951"/>
      <c r="G881" s="951"/>
      <c r="H881" s="951"/>
      <c r="I881" s="951"/>
      <c r="J881" s="951"/>
      <c r="K881" s="951"/>
      <c r="L881" s="951"/>
      <c r="M881" s="951"/>
      <c r="N881" s="659"/>
      <c r="O881" s="951"/>
      <c r="P881" s="951"/>
      <c r="Q881" s="659"/>
      <c r="R881" s="659"/>
      <c r="S881" s="659"/>
      <c r="T881" s="659"/>
      <c r="U881" s="659"/>
      <c r="V881" s="659"/>
      <c r="W881" s="659"/>
      <c r="X881" s="659"/>
      <c r="Y881" s="659"/>
      <c r="Z881" s="659"/>
      <c r="AA881" s="659"/>
      <c r="AB881" s="659"/>
      <c r="AC881" s="659"/>
      <c r="AD881" s="659"/>
      <c r="AE881" s="659"/>
      <c r="AF881" s="659"/>
      <c r="AG881" s="659"/>
      <c r="AH881" s="659"/>
      <c r="AI881" s="659"/>
      <c r="AJ881" s="659"/>
      <c r="AK881" s="659"/>
      <c r="AL881" s="659"/>
      <c r="AM881" s="659"/>
      <c r="AN881" s="659"/>
      <c r="AO881" s="659"/>
      <c r="AP881" s="659"/>
      <c r="AQ881" s="746"/>
    </row>
    <row r="882">
      <c r="A882" s="1002"/>
      <c r="B882" s="1044"/>
      <c r="C882" s="1005"/>
      <c r="D882" s="645"/>
      <c r="E882" s="645"/>
      <c r="F882" s="951"/>
      <c r="G882" s="951"/>
      <c r="H882" s="951"/>
      <c r="I882" s="951"/>
      <c r="J882" s="951"/>
      <c r="K882" s="951"/>
      <c r="L882" s="951"/>
      <c r="M882" s="951"/>
      <c r="N882" s="659"/>
      <c r="O882" s="951"/>
      <c r="P882" s="951"/>
      <c r="Q882" s="659"/>
      <c r="R882" s="659"/>
      <c r="S882" s="659"/>
      <c r="T882" s="659"/>
      <c r="U882" s="659"/>
      <c r="V882" s="659"/>
      <c r="W882" s="659"/>
      <c r="X882" s="659"/>
      <c r="Y882" s="659"/>
      <c r="Z882" s="659"/>
      <c r="AA882" s="659"/>
      <c r="AB882" s="659"/>
      <c r="AC882" s="659"/>
      <c r="AD882" s="659"/>
      <c r="AE882" s="659"/>
      <c r="AF882" s="659"/>
      <c r="AG882" s="659"/>
      <c r="AH882" s="659"/>
      <c r="AI882" s="659"/>
      <c r="AJ882" s="659"/>
      <c r="AK882" s="659"/>
      <c r="AL882" s="659"/>
      <c r="AM882" s="659"/>
      <c r="AN882" s="659"/>
      <c r="AO882" s="659"/>
      <c r="AP882" s="659"/>
      <c r="AQ882" s="746"/>
    </row>
    <row r="883">
      <c r="A883" s="1002"/>
      <c r="B883" s="1044"/>
      <c r="C883" s="1005"/>
      <c r="D883" s="645"/>
      <c r="E883" s="645"/>
      <c r="F883" s="951"/>
      <c r="G883" s="951"/>
      <c r="H883" s="951"/>
      <c r="I883" s="951"/>
      <c r="J883" s="951"/>
      <c r="K883" s="951"/>
      <c r="L883" s="951"/>
      <c r="M883" s="951"/>
      <c r="N883" s="659"/>
      <c r="O883" s="951"/>
      <c r="P883" s="951"/>
      <c r="Q883" s="659"/>
      <c r="R883" s="659"/>
      <c r="S883" s="659"/>
      <c r="T883" s="659"/>
      <c r="U883" s="659"/>
      <c r="V883" s="659"/>
      <c r="W883" s="659"/>
      <c r="X883" s="659"/>
      <c r="Y883" s="659"/>
      <c r="Z883" s="659"/>
      <c r="AA883" s="659"/>
      <c r="AB883" s="659"/>
      <c r="AC883" s="659"/>
      <c r="AD883" s="659"/>
      <c r="AE883" s="659"/>
      <c r="AF883" s="659"/>
      <c r="AG883" s="659"/>
      <c r="AH883" s="659"/>
      <c r="AI883" s="659"/>
      <c r="AJ883" s="659"/>
      <c r="AK883" s="659"/>
      <c r="AL883" s="659"/>
      <c r="AM883" s="659"/>
      <c r="AN883" s="659"/>
      <c r="AO883" s="659"/>
      <c r="AP883" s="659"/>
      <c r="AQ883" s="746"/>
    </row>
    <row r="884">
      <c r="A884" s="1002"/>
      <c r="B884" s="1044"/>
      <c r="C884" s="1005"/>
      <c r="D884" s="645"/>
      <c r="E884" s="645"/>
      <c r="F884" s="951"/>
      <c r="G884" s="951"/>
      <c r="H884" s="951"/>
      <c r="I884" s="951"/>
      <c r="J884" s="951"/>
      <c r="K884" s="951"/>
      <c r="L884" s="951"/>
      <c r="M884" s="951"/>
      <c r="N884" s="659"/>
      <c r="O884" s="951"/>
      <c r="P884" s="951"/>
      <c r="Q884" s="659"/>
      <c r="R884" s="659"/>
      <c r="S884" s="659"/>
      <c r="T884" s="659"/>
      <c r="U884" s="659"/>
      <c r="V884" s="659"/>
      <c r="W884" s="659"/>
      <c r="X884" s="659"/>
      <c r="Y884" s="659"/>
      <c r="Z884" s="659"/>
      <c r="AA884" s="659"/>
      <c r="AB884" s="659"/>
      <c r="AC884" s="659"/>
      <c r="AD884" s="659"/>
      <c r="AE884" s="659"/>
      <c r="AF884" s="659"/>
      <c r="AG884" s="659"/>
      <c r="AH884" s="659"/>
      <c r="AI884" s="659"/>
      <c r="AJ884" s="659"/>
      <c r="AK884" s="659"/>
      <c r="AL884" s="659"/>
      <c r="AM884" s="659"/>
      <c r="AN884" s="659"/>
      <c r="AO884" s="659"/>
      <c r="AP884" s="659"/>
      <c r="AQ884" s="746"/>
    </row>
    <row r="885">
      <c r="A885" s="1002"/>
      <c r="B885" s="1044"/>
      <c r="C885" s="1005"/>
      <c r="D885" s="645"/>
      <c r="E885" s="645"/>
      <c r="F885" s="951"/>
      <c r="G885" s="951"/>
      <c r="H885" s="951"/>
      <c r="I885" s="951"/>
      <c r="J885" s="951"/>
      <c r="K885" s="951"/>
      <c r="L885" s="951"/>
      <c r="M885" s="951"/>
      <c r="N885" s="659"/>
      <c r="O885" s="951"/>
      <c r="P885" s="951"/>
      <c r="Q885" s="659"/>
      <c r="R885" s="659"/>
      <c r="S885" s="659"/>
      <c r="T885" s="659"/>
      <c r="U885" s="659"/>
      <c r="V885" s="659"/>
      <c r="W885" s="659"/>
      <c r="X885" s="659"/>
      <c r="Y885" s="659"/>
      <c r="Z885" s="659"/>
      <c r="AA885" s="659"/>
      <c r="AB885" s="659"/>
      <c r="AC885" s="659"/>
      <c r="AD885" s="659"/>
      <c r="AE885" s="659"/>
      <c r="AF885" s="659"/>
      <c r="AG885" s="659"/>
      <c r="AH885" s="659"/>
      <c r="AI885" s="659"/>
      <c r="AJ885" s="659"/>
      <c r="AK885" s="659"/>
      <c r="AL885" s="659"/>
      <c r="AM885" s="659"/>
      <c r="AN885" s="659"/>
      <c r="AO885" s="659"/>
      <c r="AP885" s="659"/>
      <c r="AQ885" s="746"/>
    </row>
    <row r="886">
      <c r="A886" s="1002"/>
      <c r="B886" s="1044"/>
      <c r="C886" s="1005"/>
      <c r="D886" s="645"/>
      <c r="E886" s="645"/>
      <c r="F886" s="951"/>
      <c r="G886" s="951"/>
      <c r="H886" s="951"/>
      <c r="I886" s="951"/>
      <c r="J886" s="951"/>
      <c r="K886" s="951"/>
      <c r="L886" s="951"/>
      <c r="M886" s="951"/>
      <c r="N886" s="659"/>
      <c r="O886" s="951"/>
      <c r="P886" s="951"/>
      <c r="Q886" s="659"/>
      <c r="R886" s="659"/>
      <c r="S886" s="659"/>
      <c r="T886" s="659"/>
      <c r="U886" s="659"/>
      <c r="V886" s="659"/>
      <c r="W886" s="659"/>
      <c r="X886" s="659"/>
      <c r="Y886" s="659"/>
      <c r="Z886" s="659"/>
      <c r="AA886" s="659"/>
      <c r="AB886" s="659"/>
      <c r="AC886" s="659"/>
      <c r="AD886" s="659"/>
      <c r="AE886" s="659"/>
      <c r="AF886" s="659"/>
      <c r="AG886" s="659"/>
      <c r="AH886" s="659"/>
      <c r="AI886" s="659"/>
      <c r="AJ886" s="659"/>
      <c r="AK886" s="659"/>
      <c r="AL886" s="659"/>
      <c r="AM886" s="659"/>
      <c r="AN886" s="659"/>
      <c r="AO886" s="659"/>
      <c r="AP886" s="659"/>
      <c r="AQ886" s="746"/>
    </row>
    <row r="887">
      <c r="A887" s="1002"/>
      <c r="B887" s="1004"/>
      <c r="C887" s="1005"/>
      <c r="D887" s="645"/>
      <c r="E887" s="645"/>
      <c r="F887" s="951"/>
      <c r="G887" s="951"/>
      <c r="H887" s="951"/>
      <c r="I887" s="951"/>
      <c r="J887" s="951"/>
      <c r="K887" s="951"/>
      <c r="L887" s="951"/>
      <c r="M887" s="951"/>
      <c r="N887" s="659"/>
      <c r="O887" s="951"/>
      <c r="P887" s="951"/>
      <c r="Q887" s="659"/>
      <c r="R887" s="659"/>
      <c r="S887" s="659"/>
      <c r="T887" s="659"/>
      <c r="U887" s="659"/>
      <c r="V887" s="659"/>
      <c r="W887" s="659"/>
      <c r="X887" s="659"/>
      <c r="Y887" s="659"/>
      <c r="Z887" s="659"/>
      <c r="AA887" s="659"/>
      <c r="AB887" s="659"/>
      <c r="AC887" s="659"/>
      <c r="AD887" s="659"/>
      <c r="AE887" s="659"/>
      <c r="AF887" s="659"/>
      <c r="AG887" s="659"/>
      <c r="AH887" s="659"/>
      <c r="AI887" s="659"/>
      <c r="AJ887" s="659"/>
      <c r="AK887" s="659"/>
      <c r="AL887" s="659"/>
      <c r="AM887" s="659"/>
      <c r="AN887" s="659"/>
      <c r="AO887" s="659"/>
      <c r="AP887" s="659"/>
      <c r="AQ887" s="746"/>
    </row>
    <row r="888">
      <c r="A888" s="1002"/>
      <c r="B888" s="1044"/>
      <c r="C888" s="1005"/>
      <c r="D888" s="645"/>
      <c r="E888" s="645"/>
      <c r="F888" s="951"/>
      <c r="G888" s="951"/>
      <c r="H888" s="951"/>
      <c r="I888" s="951"/>
      <c r="J888" s="951"/>
      <c r="K888" s="951"/>
      <c r="L888" s="951"/>
      <c r="M888" s="951"/>
      <c r="N888" s="659"/>
      <c r="O888" s="951"/>
      <c r="P888" s="951"/>
      <c r="Q888" s="659"/>
      <c r="R888" s="659"/>
      <c r="S888" s="659"/>
      <c r="T888" s="659"/>
      <c r="U888" s="659"/>
      <c r="V888" s="659"/>
      <c r="W888" s="659"/>
      <c r="X888" s="659"/>
      <c r="Y888" s="659"/>
      <c r="Z888" s="659"/>
      <c r="AA888" s="659"/>
      <c r="AB888" s="659"/>
      <c r="AC888" s="659"/>
      <c r="AD888" s="659"/>
      <c r="AE888" s="659"/>
      <c r="AF888" s="659"/>
      <c r="AG888" s="659"/>
      <c r="AH888" s="659"/>
      <c r="AI888" s="659"/>
      <c r="AJ888" s="659"/>
      <c r="AK888" s="659"/>
      <c r="AL888" s="659"/>
      <c r="AM888" s="659"/>
      <c r="AN888" s="659"/>
      <c r="AO888" s="659"/>
      <c r="AP888" s="659"/>
      <c r="AQ888" s="746"/>
    </row>
    <row r="889">
      <c r="A889" s="1002"/>
      <c r="B889" s="1044"/>
      <c r="C889" s="1005"/>
      <c r="D889" s="645"/>
      <c r="E889" s="645"/>
      <c r="F889" s="951"/>
      <c r="G889" s="951"/>
      <c r="H889" s="951"/>
      <c r="I889" s="951"/>
      <c r="J889" s="951"/>
      <c r="K889" s="951"/>
      <c r="L889" s="951"/>
      <c r="M889" s="951"/>
      <c r="N889" s="659"/>
      <c r="O889" s="951"/>
      <c r="P889" s="951"/>
      <c r="Q889" s="659"/>
      <c r="R889" s="659"/>
      <c r="S889" s="659"/>
      <c r="T889" s="659"/>
      <c r="U889" s="659"/>
      <c r="V889" s="659"/>
      <c r="W889" s="659"/>
      <c r="X889" s="659"/>
      <c r="Y889" s="659"/>
      <c r="Z889" s="659"/>
      <c r="AA889" s="659"/>
      <c r="AB889" s="659"/>
      <c r="AC889" s="659"/>
      <c r="AD889" s="659"/>
      <c r="AE889" s="659"/>
      <c r="AF889" s="659"/>
      <c r="AG889" s="659"/>
      <c r="AH889" s="659"/>
      <c r="AI889" s="659"/>
      <c r="AJ889" s="659"/>
      <c r="AK889" s="659"/>
      <c r="AL889" s="659"/>
      <c r="AM889" s="659"/>
      <c r="AN889" s="659"/>
      <c r="AO889" s="659"/>
      <c r="AP889" s="659"/>
      <c r="AQ889" s="746"/>
    </row>
    <row r="890">
      <c r="A890" s="1002"/>
      <c r="B890" s="1044"/>
      <c r="C890" s="1005"/>
      <c r="D890" s="645"/>
      <c r="E890" s="645"/>
      <c r="F890" s="951"/>
      <c r="G890" s="951"/>
      <c r="H890" s="951"/>
      <c r="I890" s="951"/>
      <c r="J890" s="951"/>
      <c r="K890" s="951"/>
      <c r="L890" s="951"/>
      <c r="M890" s="951"/>
      <c r="N890" s="659"/>
      <c r="O890" s="951"/>
      <c r="P890" s="951"/>
      <c r="Q890" s="659"/>
      <c r="R890" s="659"/>
      <c r="S890" s="659"/>
      <c r="T890" s="659"/>
      <c r="U890" s="659"/>
      <c r="V890" s="659"/>
      <c r="W890" s="659"/>
      <c r="X890" s="659"/>
      <c r="Y890" s="659"/>
      <c r="Z890" s="659"/>
      <c r="AA890" s="659"/>
      <c r="AB890" s="659"/>
      <c r="AC890" s="659"/>
      <c r="AD890" s="659"/>
      <c r="AE890" s="659"/>
      <c r="AF890" s="659"/>
      <c r="AG890" s="659"/>
      <c r="AH890" s="659"/>
      <c r="AI890" s="659"/>
      <c r="AJ890" s="659"/>
      <c r="AK890" s="659"/>
      <c r="AL890" s="659"/>
      <c r="AM890" s="659"/>
      <c r="AN890" s="659"/>
      <c r="AO890" s="659"/>
      <c r="AP890" s="659"/>
      <c r="AQ890" s="746"/>
    </row>
    <row r="891">
      <c r="A891" s="1002"/>
      <c r="B891" s="1044"/>
      <c r="C891" s="1005"/>
      <c r="D891" s="645"/>
      <c r="E891" s="645"/>
      <c r="F891" s="951"/>
      <c r="G891" s="951"/>
      <c r="H891" s="951"/>
      <c r="I891" s="951"/>
      <c r="J891" s="951"/>
      <c r="K891" s="951"/>
      <c r="L891" s="951"/>
      <c r="M891" s="951"/>
      <c r="N891" s="659"/>
      <c r="O891" s="951"/>
      <c r="P891" s="951"/>
      <c r="Q891" s="659"/>
      <c r="R891" s="659"/>
      <c r="S891" s="659"/>
      <c r="T891" s="659"/>
      <c r="U891" s="659"/>
      <c r="V891" s="659"/>
      <c r="W891" s="659"/>
      <c r="X891" s="659"/>
      <c r="Y891" s="659"/>
      <c r="Z891" s="659"/>
      <c r="AA891" s="659"/>
      <c r="AB891" s="659"/>
      <c r="AC891" s="659"/>
      <c r="AD891" s="659"/>
      <c r="AE891" s="659"/>
      <c r="AF891" s="659"/>
      <c r="AG891" s="659"/>
      <c r="AH891" s="659"/>
      <c r="AI891" s="659"/>
      <c r="AJ891" s="659"/>
      <c r="AK891" s="659"/>
      <c r="AL891" s="659"/>
      <c r="AM891" s="659"/>
      <c r="AN891" s="659"/>
      <c r="AO891" s="659"/>
      <c r="AP891" s="659"/>
      <c r="AQ891" s="746"/>
    </row>
    <row r="892">
      <c r="A892" s="1002"/>
      <c r="B892" s="1044"/>
      <c r="C892" s="1005"/>
      <c r="D892" s="645"/>
      <c r="E892" s="645"/>
      <c r="F892" s="951"/>
      <c r="G892" s="951"/>
      <c r="H892" s="951"/>
      <c r="I892" s="951"/>
      <c r="J892" s="951"/>
      <c r="K892" s="951"/>
      <c r="L892" s="951"/>
      <c r="M892" s="951"/>
      <c r="N892" s="659"/>
      <c r="O892" s="951"/>
      <c r="P892" s="951"/>
      <c r="Q892" s="659"/>
      <c r="R892" s="659"/>
      <c r="S892" s="659"/>
      <c r="T892" s="659"/>
      <c r="U892" s="659"/>
      <c r="V892" s="659"/>
      <c r="W892" s="659"/>
      <c r="X892" s="659"/>
      <c r="Y892" s="659"/>
      <c r="Z892" s="659"/>
      <c r="AA892" s="659"/>
      <c r="AB892" s="659"/>
      <c r="AC892" s="659"/>
      <c r="AD892" s="659"/>
      <c r="AE892" s="659"/>
      <c r="AF892" s="659"/>
      <c r="AG892" s="659"/>
      <c r="AH892" s="659"/>
      <c r="AI892" s="659"/>
      <c r="AJ892" s="659"/>
      <c r="AK892" s="659"/>
      <c r="AL892" s="659"/>
      <c r="AM892" s="659"/>
      <c r="AN892" s="659"/>
      <c r="AO892" s="659"/>
      <c r="AP892" s="659"/>
      <c r="AQ892" s="746"/>
    </row>
    <row r="893">
      <c r="A893" s="1002"/>
      <c r="B893" s="1044"/>
      <c r="C893" s="1005"/>
      <c r="D893" s="645"/>
      <c r="E893" s="645"/>
      <c r="F893" s="951"/>
      <c r="G893" s="951"/>
      <c r="H893" s="951"/>
      <c r="I893" s="951"/>
      <c r="J893" s="951"/>
      <c r="K893" s="951"/>
      <c r="L893" s="951"/>
      <c r="M893" s="951"/>
      <c r="N893" s="659"/>
      <c r="O893" s="951"/>
      <c r="P893" s="951"/>
      <c r="Q893" s="659"/>
      <c r="R893" s="659"/>
      <c r="S893" s="659"/>
      <c r="T893" s="659"/>
      <c r="U893" s="659"/>
      <c r="V893" s="659"/>
      <c r="W893" s="659"/>
      <c r="X893" s="659"/>
      <c r="Y893" s="659"/>
      <c r="Z893" s="659"/>
      <c r="AA893" s="659"/>
      <c r="AB893" s="659"/>
      <c r="AC893" s="659"/>
      <c r="AD893" s="659"/>
      <c r="AE893" s="659"/>
      <c r="AF893" s="659"/>
      <c r="AG893" s="659"/>
      <c r="AH893" s="659"/>
      <c r="AI893" s="659"/>
      <c r="AJ893" s="659"/>
      <c r="AK893" s="659"/>
      <c r="AL893" s="659"/>
      <c r="AM893" s="659"/>
      <c r="AN893" s="659"/>
      <c r="AO893" s="659"/>
      <c r="AP893" s="659"/>
      <c r="AQ893" s="746"/>
    </row>
    <row r="894">
      <c r="A894" s="1002"/>
      <c r="B894" s="1044"/>
      <c r="C894" s="1005"/>
      <c r="D894" s="645"/>
      <c r="E894" s="645"/>
      <c r="F894" s="951"/>
      <c r="G894" s="951"/>
      <c r="H894" s="951"/>
      <c r="I894" s="951"/>
      <c r="J894" s="951"/>
      <c r="K894" s="951"/>
      <c r="L894" s="951"/>
      <c r="M894" s="951"/>
      <c r="N894" s="659"/>
      <c r="O894" s="951"/>
      <c r="P894" s="951"/>
      <c r="Q894" s="659"/>
      <c r="R894" s="659"/>
      <c r="S894" s="659"/>
      <c r="T894" s="659"/>
      <c r="U894" s="659"/>
      <c r="V894" s="659"/>
      <c r="W894" s="659"/>
      <c r="X894" s="659"/>
      <c r="Y894" s="659"/>
      <c r="Z894" s="659"/>
      <c r="AA894" s="659"/>
      <c r="AB894" s="659"/>
      <c r="AC894" s="659"/>
      <c r="AD894" s="659"/>
      <c r="AE894" s="659"/>
      <c r="AF894" s="659"/>
      <c r="AG894" s="659"/>
      <c r="AH894" s="659"/>
      <c r="AI894" s="659"/>
      <c r="AJ894" s="659"/>
      <c r="AK894" s="659"/>
      <c r="AL894" s="659"/>
      <c r="AM894" s="659"/>
      <c r="AN894" s="659"/>
      <c r="AO894" s="659"/>
      <c r="AP894" s="659"/>
      <c r="AQ894" s="746"/>
    </row>
    <row r="895">
      <c r="A895" s="1002"/>
      <c r="B895" s="1044"/>
      <c r="C895" s="1005"/>
      <c r="D895" s="645"/>
      <c r="E895" s="645"/>
      <c r="F895" s="951"/>
      <c r="G895" s="951"/>
      <c r="H895" s="951"/>
      <c r="I895" s="951"/>
      <c r="J895" s="951"/>
      <c r="K895" s="951"/>
      <c r="L895" s="951"/>
      <c r="M895" s="951"/>
      <c r="N895" s="659"/>
      <c r="O895" s="951"/>
      <c r="P895" s="951"/>
      <c r="Q895" s="659"/>
      <c r="R895" s="659"/>
      <c r="S895" s="659"/>
      <c r="T895" s="659"/>
      <c r="U895" s="659"/>
      <c r="V895" s="659"/>
      <c r="W895" s="659"/>
      <c r="X895" s="659"/>
      <c r="Y895" s="659"/>
      <c r="Z895" s="659"/>
      <c r="AA895" s="659"/>
      <c r="AB895" s="659"/>
      <c r="AC895" s="659"/>
      <c r="AD895" s="659"/>
      <c r="AE895" s="659"/>
      <c r="AF895" s="659"/>
      <c r="AG895" s="659"/>
      <c r="AH895" s="659"/>
      <c r="AI895" s="659"/>
      <c r="AJ895" s="659"/>
      <c r="AK895" s="659"/>
      <c r="AL895" s="659"/>
      <c r="AM895" s="659"/>
      <c r="AN895" s="659"/>
      <c r="AO895" s="659"/>
      <c r="AP895" s="659"/>
      <c r="AQ895" s="746"/>
    </row>
    <row r="896">
      <c r="A896" s="1002"/>
      <c r="B896" s="1044"/>
      <c r="C896" s="1005"/>
      <c r="D896" s="645"/>
      <c r="E896" s="645"/>
      <c r="F896" s="951"/>
      <c r="G896" s="951"/>
      <c r="H896" s="951"/>
      <c r="I896" s="951"/>
      <c r="J896" s="951"/>
      <c r="K896" s="951"/>
      <c r="L896" s="951"/>
      <c r="M896" s="951"/>
      <c r="N896" s="659"/>
      <c r="O896" s="951"/>
      <c r="P896" s="951"/>
      <c r="Q896" s="659"/>
      <c r="R896" s="659"/>
      <c r="S896" s="659"/>
      <c r="T896" s="659"/>
      <c r="U896" s="659"/>
      <c r="V896" s="659"/>
      <c r="W896" s="659"/>
      <c r="X896" s="659"/>
      <c r="Y896" s="659"/>
      <c r="Z896" s="659"/>
      <c r="AA896" s="659"/>
      <c r="AB896" s="659"/>
      <c r="AC896" s="659"/>
      <c r="AD896" s="659"/>
      <c r="AE896" s="659"/>
      <c r="AF896" s="659"/>
      <c r="AG896" s="659"/>
      <c r="AH896" s="659"/>
      <c r="AI896" s="659"/>
      <c r="AJ896" s="659"/>
      <c r="AK896" s="659"/>
      <c r="AL896" s="659"/>
      <c r="AM896" s="659"/>
      <c r="AN896" s="659"/>
      <c r="AO896" s="659"/>
      <c r="AP896" s="659"/>
      <c r="AQ896" s="746"/>
    </row>
    <row r="897">
      <c r="A897" s="1002"/>
      <c r="B897" s="1044"/>
      <c r="C897" s="1005"/>
      <c r="D897" s="645"/>
      <c r="E897" s="645"/>
      <c r="F897" s="951"/>
      <c r="G897" s="951"/>
      <c r="H897" s="951"/>
      <c r="I897" s="951"/>
      <c r="J897" s="951"/>
      <c r="K897" s="951"/>
      <c r="L897" s="951"/>
      <c r="M897" s="951"/>
      <c r="N897" s="659"/>
      <c r="O897" s="951"/>
      <c r="P897" s="951"/>
      <c r="Q897" s="659"/>
      <c r="R897" s="659"/>
      <c r="S897" s="659"/>
      <c r="T897" s="659"/>
      <c r="U897" s="659"/>
      <c r="V897" s="659"/>
      <c r="W897" s="659"/>
      <c r="X897" s="659"/>
      <c r="Y897" s="659"/>
      <c r="Z897" s="659"/>
      <c r="AA897" s="659"/>
      <c r="AB897" s="659"/>
      <c r="AC897" s="659"/>
      <c r="AD897" s="659"/>
      <c r="AE897" s="659"/>
      <c r="AF897" s="659"/>
      <c r="AG897" s="659"/>
      <c r="AH897" s="659"/>
      <c r="AI897" s="659"/>
      <c r="AJ897" s="659"/>
      <c r="AK897" s="659"/>
      <c r="AL897" s="659"/>
      <c r="AM897" s="659"/>
      <c r="AN897" s="659"/>
      <c r="AO897" s="659"/>
      <c r="AP897" s="659"/>
      <c r="AQ897" s="746"/>
    </row>
    <row r="898">
      <c r="A898" s="1002"/>
      <c r="B898" s="1044"/>
      <c r="C898" s="1005"/>
      <c r="D898" s="645"/>
      <c r="E898" s="645"/>
      <c r="F898" s="951"/>
      <c r="G898" s="951"/>
      <c r="H898" s="951"/>
      <c r="I898" s="951"/>
      <c r="J898" s="951"/>
      <c r="K898" s="951"/>
      <c r="L898" s="951"/>
      <c r="M898" s="951"/>
      <c r="N898" s="659"/>
      <c r="O898" s="951"/>
      <c r="P898" s="951"/>
      <c r="Q898" s="659"/>
      <c r="R898" s="659"/>
      <c r="S898" s="659"/>
      <c r="T898" s="659"/>
      <c r="U898" s="659"/>
      <c r="V898" s="659"/>
      <c r="W898" s="659"/>
      <c r="X898" s="659"/>
      <c r="Y898" s="659"/>
      <c r="Z898" s="659"/>
      <c r="AA898" s="659"/>
      <c r="AB898" s="659"/>
      <c r="AC898" s="659"/>
      <c r="AD898" s="659"/>
      <c r="AE898" s="659"/>
      <c r="AF898" s="659"/>
      <c r="AG898" s="659"/>
      <c r="AH898" s="659"/>
      <c r="AI898" s="659"/>
      <c r="AJ898" s="659"/>
      <c r="AK898" s="659"/>
      <c r="AL898" s="659"/>
      <c r="AM898" s="659"/>
      <c r="AN898" s="659"/>
      <c r="AO898" s="659"/>
      <c r="AP898" s="659"/>
      <c r="AQ898" s="746"/>
    </row>
    <row r="899">
      <c r="A899" s="1002"/>
      <c r="B899" s="1044"/>
      <c r="C899" s="1005"/>
      <c r="D899" s="645"/>
      <c r="E899" s="645"/>
      <c r="F899" s="951"/>
      <c r="G899" s="951"/>
      <c r="H899" s="951"/>
      <c r="I899" s="951"/>
      <c r="J899" s="951"/>
      <c r="K899" s="951"/>
      <c r="L899" s="951"/>
      <c r="M899" s="951"/>
      <c r="N899" s="659"/>
      <c r="O899" s="951"/>
      <c r="P899" s="951"/>
      <c r="Q899" s="659"/>
      <c r="R899" s="659"/>
      <c r="S899" s="659"/>
      <c r="T899" s="659"/>
      <c r="U899" s="659"/>
      <c r="V899" s="659"/>
      <c r="W899" s="659"/>
      <c r="X899" s="659"/>
      <c r="Y899" s="659"/>
      <c r="Z899" s="659"/>
      <c r="AA899" s="659"/>
      <c r="AB899" s="659"/>
      <c r="AC899" s="659"/>
      <c r="AD899" s="659"/>
      <c r="AE899" s="659"/>
      <c r="AF899" s="659"/>
      <c r="AG899" s="659"/>
      <c r="AH899" s="659"/>
      <c r="AI899" s="659"/>
      <c r="AJ899" s="659"/>
      <c r="AK899" s="659"/>
      <c r="AL899" s="659"/>
      <c r="AM899" s="659"/>
      <c r="AN899" s="659"/>
      <c r="AO899" s="659"/>
      <c r="AP899" s="659"/>
      <c r="AQ899" s="746"/>
    </row>
    <row r="900">
      <c r="A900" s="1002"/>
      <c r="B900" s="1044"/>
      <c r="C900" s="1005"/>
      <c r="D900" s="645"/>
      <c r="E900" s="645"/>
      <c r="F900" s="951"/>
      <c r="G900" s="951"/>
      <c r="H900" s="951"/>
      <c r="I900" s="951"/>
      <c r="J900" s="951"/>
      <c r="K900" s="951"/>
      <c r="L900" s="951"/>
      <c r="M900" s="951"/>
      <c r="N900" s="659"/>
      <c r="O900" s="951"/>
      <c r="P900" s="951"/>
      <c r="Q900" s="659"/>
      <c r="R900" s="659"/>
      <c r="S900" s="659"/>
      <c r="T900" s="659"/>
      <c r="U900" s="659"/>
      <c r="V900" s="659"/>
      <c r="W900" s="659"/>
      <c r="X900" s="659"/>
      <c r="Y900" s="659"/>
      <c r="Z900" s="659"/>
      <c r="AA900" s="659"/>
      <c r="AB900" s="659"/>
      <c r="AC900" s="659"/>
      <c r="AD900" s="659"/>
      <c r="AE900" s="659"/>
      <c r="AF900" s="659"/>
      <c r="AG900" s="659"/>
      <c r="AH900" s="659"/>
      <c r="AI900" s="659"/>
      <c r="AJ900" s="659"/>
      <c r="AK900" s="659"/>
      <c r="AL900" s="659"/>
      <c r="AM900" s="659"/>
      <c r="AN900" s="659"/>
      <c r="AO900" s="659"/>
      <c r="AP900" s="659"/>
      <c r="AQ900" s="746"/>
    </row>
    <row r="901">
      <c r="A901" s="1002"/>
      <c r="B901" s="1044"/>
      <c r="C901" s="1005"/>
      <c r="D901" s="645"/>
      <c r="E901" s="645"/>
      <c r="F901" s="951"/>
      <c r="G901" s="951"/>
      <c r="H901" s="951"/>
      <c r="I901" s="951"/>
      <c r="J901" s="951"/>
      <c r="K901" s="951"/>
      <c r="L901" s="951"/>
      <c r="M901" s="951"/>
      <c r="N901" s="659"/>
      <c r="O901" s="951"/>
      <c r="P901" s="951"/>
      <c r="Q901" s="659"/>
      <c r="R901" s="659"/>
      <c r="S901" s="659"/>
      <c r="T901" s="659"/>
      <c r="U901" s="659"/>
      <c r="V901" s="659"/>
      <c r="W901" s="659"/>
      <c r="X901" s="659"/>
      <c r="Y901" s="659"/>
      <c r="Z901" s="659"/>
      <c r="AA901" s="659"/>
      <c r="AB901" s="659"/>
      <c r="AC901" s="659"/>
      <c r="AD901" s="659"/>
      <c r="AE901" s="659"/>
      <c r="AF901" s="659"/>
      <c r="AG901" s="659"/>
      <c r="AH901" s="659"/>
      <c r="AI901" s="659"/>
      <c r="AJ901" s="659"/>
      <c r="AK901" s="659"/>
      <c r="AL901" s="659"/>
      <c r="AM901" s="659"/>
      <c r="AN901" s="659"/>
      <c r="AO901" s="659"/>
      <c r="AP901" s="659"/>
      <c r="AQ901" s="746"/>
    </row>
    <row r="902">
      <c r="A902" s="1002"/>
      <c r="B902" s="1044"/>
      <c r="C902" s="1005"/>
      <c r="D902" s="645"/>
      <c r="E902" s="645"/>
      <c r="F902" s="951"/>
      <c r="G902" s="951"/>
      <c r="H902" s="951"/>
      <c r="I902" s="951"/>
      <c r="J902" s="951"/>
      <c r="K902" s="951"/>
      <c r="L902" s="951"/>
      <c r="M902" s="951"/>
      <c r="N902" s="659"/>
      <c r="O902" s="951"/>
      <c r="P902" s="951"/>
      <c r="Q902" s="659"/>
      <c r="R902" s="659"/>
      <c r="S902" s="659"/>
      <c r="T902" s="659"/>
      <c r="U902" s="659"/>
      <c r="V902" s="659"/>
      <c r="W902" s="659"/>
      <c r="X902" s="659"/>
      <c r="Y902" s="659"/>
      <c r="Z902" s="659"/>
      <c r="AA902" s="659"/>
      <c r="AB902" s="659"/>
      <c r="AC902" s="659"/>
      <c r="AD902" s="659"/>
      <c r="AE902" s="659"/>
      <c r="AF902" s="659"/>
      <c r="AG902" s="659"/>
      <c r="AH902" s="659"/>
      <c r="AI902" s="659"/>
      <c r="AJ902" s="659"/>
      <c r="AK902" s="659"/>
      <c r="AL902" s="659"/>
      <c r="AM902" s="659"/>
      <c r="AN902" s="659"/>
      <c r="AO902" s="659"/>
      <c r="AP902" s="659"/>
      <c r="AQ902" s="746"/>
    </row>
    <row r="903">
      <c r="A903" s="1002"/>
      <c r="B903" s="1044"/>
      <c r="C903" s="1005"/>
      <c r="D903" s="645"/>
      <c r="E903" s="645"/>
      <c r="F903" s="951"/>
      <c r="G903" s="951"/>
      <c r="H903" s="951"/>
      <c r="I903" s="951"/>
      <c r="J903" s="951"/>
      <c r="K903" s="951"/>
      <c r="L903" s="951"/>
      <c r="M903" s="951"/>
      <c r="N903" s="659"/>
      <c r="O903" s="951"/>
      <c r="P903" s="951"/>
      <c r="Q903" s="659"/>
      <c r="R903" s="659"/>
      <c r="S903" s="659"/>
      <c r="T903" s="659"/>
      <c r="U903" s="659"/>
      <c r="V903" s="659"/>
      <c r="W903" s="659"/>
      <c r="X903" s="659"/>
      <c r="Y903" s="659"/>
      <c r="Z903" s="659"/>
      <c r="AA903" s="659"/>
      <c r="AB903" s="659"/>
      <c r="AC903" s="659"/>
      <c r="AD903" s="659"/>
      <c r="AE903" s="659"/>
      <c r="AF903" s="659"/>
      <c r="AG903" s="659"/>
      <c r="AH903" s="659"/>
      <c r="AI903" s="659"/>
      <c r="AJ903" s="659"/>
      <c r="AK903" s="659"/>
      <c r="AL903" s="659"/>
      <c r="AM903" s="659"/>
      <c r="AN903" s="659"/>
      <c r="AO903" s="659"/>
      <c r="AP903" s="659"/>
      <c r="AQ903" s="746"/>
    </row>
    <row r="904">
      <c r="A904" s="1002"/>
      <c r="B904" s="1044"/>
      <c r="C904" s="1005"/>
      <c r="D904" s="645"/>
      <c r="E904" s="645"/>
      <c r="F904" s="951"/>
      <c r="G904" s="951"/>
      <c r="H904" s="951"/>
      <c r="I904" s="951"/>
      <c r="J904" s="951"/>
      <c r="K904" s="951"/>
      <c r="L904" s="951"/>
      <c r="M904" s="951"/>
      <c r="N904" s="659"/>
      <c r="O904" s="951"/>
      <c r="P904" s="951"/>
      <c r="Q904" s="659"/>
      <c r="R904" s="659"/>
      <c r="S904" s="659"/>
      <c r="T904" s="659"/>
      <c r="U904" s="659"/>
      <c r="V904" s="659"/>
      <c r="W904" s="659"/>
      <c r="X904" s="659"/>
      <c r="Y904" s="659"/>
      <c r="Z904" s="659"/>
      <c r="AA904" s="659"/>
      <c r="AB904" s="659"/>
      <c r="AC904" s="659"/>
      <c r="AD904" s="659"/>
      <c r="AE904" s="659"/>
      <c r="AF904" s="659"/>
      <c r="AG904" s="659"/>
      <c r="AH904" s="659"/>
      <c r="AI904" s="659"/>
      <c r="AJ904" s="659"/>
      <c r="AK904" s="659"/>
      <c r="AL904" s="659"/>
      <c r="AM904" s="659"/>
      <c r="AN904" s="659"/>
      <c r="AO904" s="659"/>
      <c r="AP904" s="659"/>
      <c r="AQ904" s="746"/>
    </row>
    <row r="905">
      <c r="A905" s="1002"/>
      <c r="B905" s="1044"/>
      <c r="C905" s="1005"/>
      <c r="D905" s="645"/>
      <c r="E905" s="645"/>
      <c r="F905" s="951"/>
      <c r="G905" s="951"/>
      <c r="H905" s="951"/>
      <c r="I905" s="951"/>
      <c r="J905" s="951"/>
      <c r="K905" s="951"/>
      <c r="L905" s="951"/>
      <c r="M905" s="951"/>
      <c r="N905" s="659"/>
      <c r="O905" s="951"/>
      <c r="P905" s="951"/>
      <c r="Q905" s="659"/>
      <c r="R905" s="659"/>
      <c r="S905" s="659"/>
      <c r="T905" s="659"/>
      <c r="U905" s="659"/>
      <c r="V905" s="659"/>
      <c r="W905" s="659"/>
      <c r="X905" s="659"/>
      <c r="Y905" s="659"/>
      <c r="Z905" s="659"/>
      <c r="AA905" s="659"/>
      <c r="AB905" s="659"/>
      <c r="AC905" s="659"/>
      <c r="AD905" s="659"/>
      <c r="AE905" s="659"/>
      <c r="AF905" s="659"/>
      <c r="AG905" s="659"/>
      <c r="AH905" s="659"/>
      <c r="AI905" s="659"/>
      <c r="AJ905" s="659"/>
      <c r="AK905" s="659"/>
      <c r="AL905" s="659"/>
      <c r="AM905" s="659"/>
      <c r="AN905" s="659"/>
      <c r="AO905" s="659"/>
      <c r="AP905" s="659"/>
      <c r="AQ905" s="746"/>
    </row>
    <row r="906">
      <c r="A906" s="1002"/>
      <c r="B906" s="1044"/>
      <c r="C906" s="1005"/>
      <c r="D906" s="645"/>
      <c r="E906" s="645"/>
      <c r="F906" s="951"/>
      <c r="G906" s="951"/>
      <c r="H906" s="951"/>
      <c r="I906" s="951"/>
      <c r="J906" s="951"/>
      <c r="K906" s="951"/>
      <c r="L906" s="951"/>
      <c r="M906" s="951"/>
      <c r="N906" s="659"/>
      <c r="O906" s="951"/>
      <c r="P906" s="951"/>
      <c r="Q906" s="659"/>
      <c r="R906" s="659"/>
      <c r="S906" s="659"/>
      <c r="T906" s="659"/>
      <c r="U906" s="659"/>
      <c r="V906" s="659"/>
      <c r="W906" s="659"/>
      <c r="X906" s="659"/>
      <c r="Y906" s="659"/>
      <c r="Z906" s="659"/>
      <c r="AA906" s="659"/>
      <c r="AB906" s="659"/>
      <c r="AC906" s="659"/>
      <c r="AD906" s="659"/>
      <c r="AE906" s="659"/>
      <c r="AF906" s="659"/>
      <c r="AG906" s="659"/>
      <c r="AH906" s="659"/>
      <c r="AI906" s="659"/>
      <c r="AJ906" s="659"/>
      <c r="AK906" s="659"/>
      <c r="AL906" s="659"/>
      <c r="AM906" s="659"/>
      <c r="AN906" s="659"/>
      <c r="AO906" s="659"/>
      <c r="AP906" s="659"/>
      <c r="AQ906" s="746"/>
    </row>
    <row r="907">
      <c r="A907" s="1002"/>
      <c r="B907" s="1044"/>
      <c r="C907" s="1005"/>
      <c r="D907" s="645"/>
      <c r="E907" s="645"/>
      <c r="F907" s="951"/>
      <c r="G907" s="951"/>
      <c r="H907" s="951"/>
      <c r="I907" s="951"/>
      <c r="J907" s="951"/>
      <c r="K907" s="951"/>
      <c r="L907" s="951"/>
      <c r="M907" s="951"/>
      <c r="N907" s="659"/>
      <c r="O907" s="951"/>
      <c r="P907" s="951"/>
      <c r="Q907" s="659"/>
      <c r="R907" s="659"/>
      <c r="S907" s="659"/>
      <c r="T907" s="659"/>
      <c r="U907" s="659"/>
      <c r="V907" s="659"/>
      <c r="W907" s="659"/>
      <c r="X907" s="659"/>
      <c r="Y907" s="659"/>
      <c r="Z907" s="659"/>
      <c r="AA907" s="659"/>
      <c r="AB907" s="659"/>
      <c r="AC907" s="659"/>
      <c r="AD907" s="659"/>
      <c r="AE907" s="659"/>
      <c r="AF907" s="659"/>
      <c r="AG907" s="659"/>
      <c r="AH907" s="659"/>
      <c r="AI907" s="659"/>
      <c r="AJ907" s="659"/>
      <c r="AK907" s="659"/>
      <c r="AL907" s="659"/>
      <c r="AM907" s="659"/>
      <c r="AN907" s="659"/>
      <c r="AO907" s="659"/>
      <c r="AP907" s="659"/>
      <c r="AQ907" s="746"/>
    </row>
    <row r="908">
      <c r="A908" s="1002"/>
      <c r="B908" s="1044"/>
      <c r="C908" s="1005"/>
      <c r="D908" s="645"/>
      <c r="E908" s="645"/>
      <c r="F908" s="951"/>
      <c r="G908" s="951"/>
      <c r="H908" s="951"/>
      <c r="I908" s="951"/>
      <c r="J908" s="951"/>
      <c r="K908" s="951"/>
      <c r="L908" s="951"/>
      <c r="M908" s="951"/>
      <c r="N908" s="659"/>
      <c r="O908" s="951"/>
      <c r="P908" s="951"/>
      <c r="Q908" s="659"/>
      <c r="R908" s="659"/>
      <c r="S908" s="659"/>
      <c r="T908" s="659"/>
      <c r="U908" s="659"/>
      <c r="V908" s="659"/>
      <c r="W908" s="659"/>
      <c r="X908" s="659"/>
      <c r="Y908" s="659"/>
      <c r="Z908" s="659"/>
      <c r="AA908" s="659"/>
      <c r="AB908" s="659"/>
      <c r="AC908" s="659"/>
      <c r="AD908" s="659"/>
      <c r="AE908" s="659"/>
      <c r="AF908" s="659"/>
      <c r="AG908" s="659"/>
      <c r="AH908" s="659"/>
      <c r="AI908" s="659"/>
      <c r="AJ908" s="659"/>
      <c r="AK908" s="659"/>
      <c r="AL908" s="659"/>
      <c r="AM908" s="659"/>
      <c r="AN908" s="659"/>
      <c r="AO908" s="659"/>
      <c r="AP908" s="659"/>
      <c r="AQ908" s="746"/>
    </row>
    <row r="909">
      <c r="A909" s="1002"/>
      <c r="B909" s="1044"/>
      <c r="C909" s="1005"/>
      <c r="D909" s="645"/>
      <c r="E909" s="645"/>
      <c r="F909" s="951"/>
      <c r="G909" s="951"/>
      <c r="H909" s="951"/>
      <c r="I909" s="951"/>
      <c r="J909" s="951"/>
      <c r="K909" s="951"/>
      <c r="L909" s="951"/>
      <c r="M909" s="951"/>
      <c r="N909" s="659"/>
      <c r="O909" s="951"/>
      <c r="P909" s="951"/>
      <c r="Q909" s="659"/>
      <c r="R909" s="659"/>
      <c r="S909" s="659"/>
      <c r="T909" s="659"/>
      <c r="U909" s="659"/>
      <c r="V909" s="659"/>
      <c r="W909" s="659"/>
      <c r="X909" s="659"/>
      <c r="Y909" s="659"/>
      <c r="Z909" s="659"/>
      <c r="AA909" s="659"/>
      <c r="AB909" s="659"/>
      <c r="AC909" s="659"/>
      <c r="AD909" s="659"/>
      <c r="AE909" s="659"/>
      <c r="AF909" s="659"/>
      <c r="AG909" s="659"/>
      <c r="AH909" s="659"/>
      <c r="AI909" s="659"/>
      <c r="AJ909" s="659"/>
      <c r="AK909" s="659"/>
      <c r="AL909" s="659"/>
      <c r="AM909" s="659"/>
      <c r="AN909" s="659"/>
      <c r="AO909" s="659"/>
      <c r="AP909" s="659"/>
      <c r="AQ909" s="746"/>
    </row>
    <row r="910">
      <c r="A910" s="1002"/>
      <c r="B910" s="1004"/>
      <c r="C910" s="1005"/>
      <c r="D910" s="645"/>
      <c r="E910" s="645"/>
      <c r="F910" s="951"/>
      <c r="G910" s="951"/>
      <c r="H910" s="951"/>
      <c r="I910" s="951"/>
      <c r="J910" s="951"/>
      <c r="K910" s="951"/>
      <c r="L910" s="951"/>
      <c r="M910" s="951"/>
      <c r="N910" s="659"/>
      <c r="O910" s="951"/>
      <c r="P910" s="951"/>
      <c r="Q910" s="659"/>
      <c r="R910" s="659"/>
      <c r="S910" s="659"/>
      <c r="T910" s="659"/>
      <c r="U910" s="659"/>
      <c r="V910" s="659"/>
      <c r="W910" s="659"/>
      <c r="X910" s="659"/>
      <c r="Y910" s="659"/>
      <c r="Z910" s="659"/>
      <c r="AA910" s="659"/>
      <c r="AB910" s="659"/>
      <c r="AC910" s="659"/>
      <c r="AD910" s="659"/>
      <c r="AE910" s="659"/>
      <c r="AF910" s="659"/>
      <c r="AG910" s="659"/>
      <c r="AH910" s="659"/>
      <c r="AI910" s="659"/>
      <c r="AJ910" s="659"/>
      <c r="AK910" s="659"/>
      <c r="AL910" s="659"/>
      <c r="AM910" s="659"/>
      <c r="AN910" s="659"/>
      <c r="AO910" s="659"/>
      <c r="AP910" s="659"/>
      <c r="AQ910" s="746"/>
    </row>
    <row r="911">
      <c r="A911" s="1002"/>
      <c r="B911" s="1004"/>
      <c r="C911" s="1005"/>
      <c r="D911" s="645"/>
      <c r="E911" s="645"/>
      <c r="F911" s="951"/>
      <c r="G911" s="951"/>
      <c r="H911" s="951"/>
      <c r="I911" s="951"/>
      <c r="J911" s="951"/>
      <c r="K911" s="951"/>
      <c r="L911" s="951"/>
      <c r="M911" s="951"/>
      <c r="N911" s="659"/>
      <c r="O911" s="951"/>
      <c r="P911" s="951"/>
      <c r="Q911" s="659"/>
      <c r="R911" s="659"/>
      <c r="S911" s="659"/>
      <c r="T911" s="659"/>
      <c r="U911" s="659"/>
      <c r="V911" s="659"/>
      <c r="W911" s="659"/>
      <c r="X911" s="659"/>
      <c r="Y911" s="659"/>
      <c r="Z911" s="659"/>
      <c r="AA911" s="659"/>
      <c r="AB911" s="659"/>
      <c r="AC911" s="659"/>
      <c r="AD911" s="659"/>
      <c r="AE911" s="659"/>
      <c r="AF911" s="659"/>
      <c r="AG911" s="659"/>
      <c r="AH911" s="659"/>
      <c r="AI911" s="659"/>
      <c r="AJ911" s="659"/>
      <c r="AK911" s="659"/>
      <c r="AL911" s="659"/>
      <c r="AM911" s="659"/>
      <c r="AN911" s="659"/>
      <c r="AO911" s="659"/>
      <c r="AP911" s="659"/>
      <c r="AQ911" s="746"/>
    </row>
    <row r="912">
      <c r="A912" s="1002"/>
      <c r="B912" s="1044"/>
      <c r="C912" s="1005"/>
      <c r="D912" s="645"/>
      <c r="E912" s="645"/>
      <c r="F912" s="951"/>
      <c r="G912" s="951"/>
      <c r="H912" s="951"/>
      <c r="I912" s="951"/>
      <c r="J912" s="951"/>
      <c r="K912" s="951"/>
      <c r="L912" s="951"/>
      <c r="M912" s="951"/>
      <c r="N912" s="659"/>
      <c r="O912" s="951"/>
      <c r="P912" s="951"/>
      <c r="Q912" s="659"/>
      <c r="R912" s="659"/>
      <c r="S912" s="659"/>
      <c r="T912" s="659"/>
      <c r="U912" s="659"/>
      <c r="V912" s="659"/>
      <c r="W912" s="659"/>
      <c r="X912" s="659"/>
      <c r="Y912" s="659"/>
      <c r="Z912" s="659"/>
      <c r="AA912" s="659"/>
      <c r="AB912" s="659"/>
      <c r="AC912" s="659"/>
      <c r="AD912" s="659"/>
      <c r="AE912" s="659"/>
      <c r="AF912" s="659"/>
      <c r="AG912" s="659"/>
      <c r="AH912" s="659"/>
      <c r="AI912" s="659"/>
      <c r="AJ912" s="659"/>
      <c r="AK912" s="659"/>
      <c r="AL912" s="659"/>
      <c r="AM912" s="659"/>
      <c r="AN912" s="659"/>
      <c r="AO912" s="659"/>
      <c r="AP912" s="659"/>
      <c r="AQ912" s="746"/>
    </row>
    <row r="913">
      <c r="A913" s="1002"/>
      <c r="B913" s="1044"/>
      <c r="C913" s="1005"/>
      <c r="D913" s="645"/>
      <c r="E913" s="645"/>
      <c r="F913" s="951"/>
      <c r="G913" s="951"/>
      <c r="H913" s="951"/>
      <c r="I913" s="951"/>
      <c r="J913" s="951"/>
      <c r="K913" s="951"/>
      <c r="L913" s="951"/>
      <c r="M913" s="951"/>
      <c r="N913" s="659"/>
      <c r="O913" s="951"/>
      <c r="P913" s="951"/>
      <c r="Q913" s="659"/>
      <c r="R913" s="659"/>
      <c r="S913" s="659"/>
      <c r="T913" s="659"/>
      <c r="U913" s="659"/>
      <c r="V913" s="659"/>
      <c r="W913" s="659"/>
      <c r="X913" s="659"/>
      <c r="Y913" s="659"/>
      <c r="Z913" s="659"/>
      <c r="AA913" s="659"/>
      <c r="AB913" s="659"/>
      <c r="AC913" s="659"/>
      <c r="AD913" s="659"/>
      <c r="AE913" s="659"/>
      <c r="AF913" s="659"/>
      <c r="AG913" s="659"/>
      <c r="AH913" s="659"/>
      <c r="AI913" s="659"/>
      <c r="AJ913" s="659"/>
      <c r="AK913" s="659"/>
      <c r="AL913" s="659"/>
      <c r="AM913" s="659"/>
      <c r="AN913" s="659"/>
      <c r="AO913" s="659"/>
      <c r="AP913" s="659"/>
      <c r="AQ913" s="746"/>
    </row>
    <row r="914">
      <c r="A914" s="1002"/>
      <c r="B914" s="1044"/>
      <c r="C914" s="1005"/>
      <c r="D914" s="645"/>
      <c r="E914" s="645"/>
      <c r="F914" s="951"/>
      <c r="G914" s="951"/>
      <c r="H914" s="951"/>
      <c r="I914" s="951"/>
      <c r="J914" s="951"/>
      <c r="K914" s="951"/>
      <c r="L914" s="951"/>
      <c r="M914" s="951"/>
      <c r="N914" s="659"/>
      <c r="O914" s="951"/>
      <c r="P914" s="951"/>
      <c r="Q914" s="659"/>
      <c r="R914" s="659"/>
      <c r="S914" s="659"/>
      <c r="T914" s="659"/>
      <c r="U914" s="659"/>
      <c r="V914" s="659"/>
      <c r="W914" s="659"/>
      <c r="X914" s="659"/>
      <c r="Y914" s="659"/>
      <c r="Z914" s="659"/>
      <c r="AA914" s="659"/>
      <c r="AB914" s="659"/>
      <c r="AC914" s="659"/>
      <c r="AD914" s="659"/>
      <c r="AE914" s="659"/>
      <c r="AF914" s="659"/>
      <c r="AG914" s="659"/>
      <c r="AH914" s="659"/>
      <c r="AI914" s="659"/>
      <c r="AJ914" s="659"/>
      <c r="AK914" s="659"/>
      <c r="AL914" s="659"/>
      <c r="AM914" s="659"/>
      <c r="AN914" s="659"/>
      <c r="AO914" s="659"/>
      <c r="AP914" s="659"/>
      <c r="AQ914" s="746"/>
    </row>
    <row r="915">
      <c r="A915" s="1002"/>
      <c r="B915" s="1044"/>
      <c r="C915" s="1005"/>
      <c r="D915" s="645"/>
      <c r="E915" s="645"/>
      <c r="F915" s="951"/>
      <c r="G915" s="951"/>
      <c r="H915" s="951"/>
      <c r="I915" s="951"/>
      <c r="J915" s="951"/>
      <c r="K915" s="951"/>
      <c r="L915" s="951"/>
      <c r="M915" s="951"/>
      <c r="N915" s="659"/>
      <c r="O915" s="951"/>
      <c r="P915" s="951"/>
      <c r="Q915" s="659"/>
      <c r="R915" s="659"/>
      <c r="S915" s="659"/>
      <c r="T915" s="659"/>
      <c r="U915" s="659"/>
      <c r="V915" s="659"/>
      <c r="W915" s="659"/>
      <c r="X915" s="659"/>
      <c r="Y915" s="659"/>
      <c r="Z915" s="659"/>
      <c r="AA915" s="659"/>
      <c r="AB915" s="659"/>
      <c r="AC915" s="659"/>
      <c r="AD915" s="659"/>
      <c r="AE915" s="659"/>
      <c r="AF915" s="659"/>
      <c r="AG915" s="659"/>
      <c r="AH915" s="659"/>
      <c r="AI915" s="659"/>
      <c r="AJ915" s="659"/>
      <c r="AK915" s="659"/>
      <c r="AL915" s="659"/>
      <c r="AM915" s="659"/>
      <c r="AN915" s="659"/>
      <c r="AO915" s="659"/>
      <c r="AP915" s="659"/>
      <c r="AQ915" s="746"/>
    </row>
    <row r="916">
      <c r="A916" s="1002"/>
      <c r="B916" s="1044"/>
      <c r="C916" s="1005"/>
      <c r="D916" s="645"/>
      <c r="E916" s="645"/>
      <c r="F916" s="951"/>
      <c r="G916" s="951"/>
      <c r="H916" s="951"/>
      <c r="I916" s="951"/>
      <c r="J916" s="951"/>
      <c r="K916" s="951"/>
      <c r="L916" s="951"/>
      <c r="M916" s="951"/>
      <c r="N916" s="659"/>
      <c r="O916" s="951"/>
      <c r="P916" s="951"/>
      <c r="Q916" s="659"/>
      <c r="R916" s="659"/>
      <c r="S916" s="659"/>
      <c r="T916" s="659"/>
      <c r="U916" s="659"/>
      <c r="V916" s="659"/>
      <c r="W916" s="659"/>
      <c r="X916" s="659"/>
      <c r="Y916" s="659"/>
      <c r="Z916" s="659"/>
      <c r="AA916" s="659"/>
      <c r="AB916" s="659"/>
      <c r="AC916" s="659"/>
      <c r="AD916" s="659"/>
      <c r="AE916" s="659"/>
      <c r="AF916" s="659"/>
      <c r="AG916" s="659"/>
      <c r="AH916" s="659"/>
      <c r="AI916" s="659"/>
      <c r="AJ916" s="659"/>
      <c r="AK916" s="659"/>
      <c r="AL916" s="659"/>
      <c r="AM916" s="659"/>
      <c r="AN916" s="659"/>
      <c r="AO916" s="659"/>
      <c r="AP916" s="659"/>
      <c r="AQ916" s="746"/>
    </row>
    <row r="917">
      <c r="A917" s="1002"/>
      <c r="B917" s="1044"/>
      <c r="C917" s="1005"/>
      <c r="D917" s="645"/>
      <c r="E917" s="645"/>
      <c r="F917" s="951"/>
      <c r="G917" s="951"/>
      <c r="H917" s="951"/>
      <c r="I917" s="951"/>
      <c r="J917" s="951"/>
      <c r="K917" s="951"/>
      <c r="L917" s="951"/>
      <c r="M917" s="951"/>
      <c r="N917" s="659"/>
      <c r="O917" s="951"/>
      <c r="P917" s="951"/>
      <c r="Q917" s="659"/>
      <c r="R917" s="659"/>
      <c r="S917" s="659"/>
      <c r="T917" s="659"/>
      <c r="U917" s="659"/>
      <c r="V917" s="659"/>
      <c r="W917" s="659"/>
      <c r="X917" s="659"/>
      <c r="Y917" s="659"/>
      <c r="Z917" s="659"/>
      <c r="AA917" s="659"/>
      <c r="AB917" s="659"/>
      <c r="AC917" s="659"/>
      <c r="AD917" s="659"/>
      <c r="AE917" s="659"/>
      <c r="AF917" s="659"/>
      <c r="AG917" s="659"/>
      <c r="AH917" s="659"/>
      <c r="AI917" s="659"/>
      <c r="AJ917" s="659"/>
      <c r="AK917" s="659"/>
      <c r="AL917" s="659"/>
      <c r="AM917" s="659"/>
      <c r="AN917" s="659"/>
      <c r="AO917" s="659"/>
      <c r="AP917" s="659"/>
      <c r="AQ917" s="746"/>
    </row>
    <row r="918">
      <c r="A918" s="1002"/>
      <c r="B918" s="1044"/>
      <c r="C918" s="1005"/>
      <c r="D918" s="645"/>
      <c r="E918" s="645"/>
      <c r="F918" s="951"/>
      <c r="G918" s="951"/>
      <c r="H918" s="951"/>
      <c r="I918" s="951"/>
      <c r="J918" s="951"/>
      <c r="K918" s="951"/>
      <c r="L918" s="951"/>
      <c r="M918" s="951"/>
      <c r="N918" s="659"/>
      <c r="O918" s="951"/>
      <c r="P918" s="951"/>
      <c r="Q918" s="659"/>
      <c r="R918" s="659"/>
      <c r="S918" s="659"/>
      <c r="T918" s="659"/>
      <c r="U918" s="659"/>
      <c r="V918" s="659"/>
      <c r="W918" s="659"/>
      <c r="X918" s="659"/>
      <c r="Y918" s="659"/>
      <c r="Z918" s="659"/>
      <c r="AA918" s="659"/>
      <c r="AB918" s="659"/>
      <c r="AC918" s="659"/>
      <c r="AD918" s="659"/>
      <c r="AE918" s="659"/>
      <c r="AF918" s="659"/>
      <c r="AG918" s="659"/>
      <c r="AH918" s="659"/>
      <c r="AI918" s="659"/>
      <c r="AJ918" s="659"/>
      <c r="AK918" s="659"/>
      <c r="AL918" s="659"/>
      <c r="AM918" s="659"/>
      <c r="AN918" s="659"/>
      <c r="AO918" s="659"/>
      <c r="AP918" s="659"/>
      <c r="AQ918" s="746"/>
    </row>
    <row r="919">
      <c r="A919" s="1002"/>
      <c r="B919" s="1044"/>
      <c r="C919" s="1005"/>
      <c r="D919" s="645"/>
      <c r="E919" s="645"/>
      <c r="F919" s="951"/>
      <c r="G919" s="951"/>
      <c r="H919" s="951"/>
      <c r="I919" s="951"/>
      <c r="J919" s="951"/>
      <c r="K919" s="951"/>
      <c r="L919" s="951"/>
      <c r="M919" s="951"/>
      <c r="N919" s="659"/>
      <c r="O919" s="951"/>
      <c r="P919" s="951"/>
      <c r="Q919" s="659"/>
      <c r="R919" s="659"/>
      <c r="S919" s="659"/>
      <c r="T919" s="659"/>
      <c r="U919" s="659"/>
      <c r="V919" s="659"/>
      <c r="W919" s="659"/>
      <c r="X919" s="659"/>
      <c r="Y919" s="659"/>
      <c r="Z919" s="659"/>
      <c r="AA919" s="659"/>
      <c r="AB919" s="659"/>
      <c r="AC919" s="659"/>
      <c r="AD919" s="659"/>
      <c r="AE919" s="659"/>
      <c r="AF919" s="659"/>
      <c r="AG919" s="659"/>
      <c r="AH919" s="659"/>
      <c r="AI919" s="659"/>
      <c r="AJ919" s="659"/>
      <c r="AK919" s="659"/>
      <c r="AL919" s="659"/>
      <c r="AM919" s="659"/>
      <c r="AN919" s="659"/>
      <c r="AO919" s="659"/>
      <c r="AP919" s="659"/>
      <c r="AQ919" s="746"/>
    </row>
    <row r="920">
      <c r="A920" s="1002"/>
      <c r="B920" s="1131"/>
      <c r="C920" s="1005"/>
      <c r="D920" s="645"/>
      <c r="E920" s="645"/>
      <c r="F920" s="951"/>
      <c r="G920" s="951"/>
      <c r="H920" s="951"/>
      <c r="I920" s="951"/>
      <c r="J920" s="951"/>
      <c r="K920" s="951"/>
      <c r="L920" s="951"/>
      <c r="M920" s="951"/>
      <c r="N920" s="659"/>
      <c r="O920" s="951"/>
      <c r="P920" s="951"/>
      <c r="Q920" s="659"/>
      <c r="R920" s="659"/>
      <c r="S920" s="659"/>
      <c r="T920" s="659"/>
      <c r="U920" s="659"/>
      <c r="V920" s="659"/>
      <c r="W920" s="659"/>
      <c r="X920" s="659"/>
      <c r="Y920" s="659"/>
      <c r="Z920" s="659"/>
      <c r="AA920" s="659"/>
      <c r="AB920" s="659"/>
      <c r="AC920" s="659"/>
      <c r="AD920" s="659"/>
      <c r="AE920" s="659"/>
      <c r="AF920" s="659"/>
      <c r="AG920" s="659"/>
      <c r="AH920" s="659"/>
      <c r="AI920" s="659"/>
      <c r="AJ920" s="659"/>
      <c r="AK920" s="659"/>
      <c r="AL920" s="659"/>
      <c r="AM920" s="659"/>
      <c r="AN920" s="659"/>
      <c r="AO920" s="659"/>
      <c r="AP920" s="659"/>
      <c r="AQ920" s="746"/>
    </row>
    <row r="921">
      <c r="A921" s="1002"/>
      <c r="B921" s="1044"/>
      <c r="C921" s="1005"/>
      <c r="D921" s="645"/>
      <c r="E921" s="645"/>
      <c r="F921" s="951"/>
      <c r="G921" s="951"/>
      <c r="H921" s="951"/>
      <c r="I921" s="951"/>
      <c r="J921" s="951"/>
      <c r="K921" s="951"/>
      <c r="L921" s="951"/>
      <c r="M921" s="951"/>
      <c r="N921" s="659"/>
      <c r="O921" s="951"/>
      <c r="P921" s="951"/>
      <c r="Q921" s="659"/>
      <c r="R921" s="659"/>
      <c r="S921" s="659"/>
      <c r="T921" s="659"/>
      <c r="U921" s="659"/>
      <c r="V921" s="659"/>
      <c r="W921" s="659"/>
      <c r="X921" s="659"/>
      <c r="Y921" s="659"/>
      <c r="Z921" s="659"/>
      <c r="AA921" s="659"/>
      <c r="AB921" s="659"/>
      <c r="AC921" s="659"/>
      <c r="AD921" s="659"/>
      <c r="AE921" s="659"/>
      <c r="AF921" s="659"/>
      <c r="AG921" s="659"/>
      <c r="AH921" s="659"/>
      <c r="AI921" s="659"/>
      <c r="AJ921" s="659"/>
      <c r="AK921" s="659"/>
      <c r="AL921" s="659"/>
      <c r="AM921" s="659"/>
      <c r="AN921" s="659"/>
      <c r="AO921" s="659"/>
      <c r="AP921" s="659"/>
      <c r="AQ921" s="746"/>
    </row>
    <row r="922">
      <c r="A922" s="1002"/>
      <c r="B922" s="1044"/>
      <c r="C922" s="1005"/>
      <c r="D922" s="645"/>
      <c r="E922" s="645"/>
      <c r="F922" s="951"/>
      <c r="G922" s="951"/>
      <c r="H922" s="951"/>
      <c r="I922" s="951"/>
      <c r="J922" s="951"/>
      <c r="K922" s="951"/>
      <c r="L922" s="951"/>
      <c r="M922" s="951"/>
      <c r="N922" s="659"/>
      <c r="O922" s="951"/>
      <c r="P922" s="951"/>
      <c r="Q922" s="659"/>
      <c r="R922" s="659"/>
      <c r="S922" s="659"/>
      <c r="T922" s="659"/>
      <c r="U922" s="659"/>
      <c r="V922" s="659"/>
      <c r="W922" s="659"/>
      <c r="X922" s="659"/>
      <c r="Y922" s="659"/>
      <c r="Z922" s="659"/>
      <c r="AA922" s="659"/>
      <c r="AB922" s="659"/>
      <c r="AC922" s="659"/>
      <c r="AD922" s="659"/>
      <c r="AE922" s="659"/>
      <c r="AF922" s="659"/>
      <c r="AG922" s="659"/>
      <c r="AH922" s="659"/>
      <c r="AI922" s="659"/>
      <c r="AJ922" s="659"/>
      <c r="AK922" s="659"/>
      <c r="AL922" s="659"/>
      <c r="AM922" s="659"/>
      <c r="AN922" s="659"/>
      <c r="AO922" s="659"/>
      <c r="AP922" s="659"/>
      <c r="AQ922" s="746"/>
    </row>
    <row r="923">
      <c r="A923" s="1002"/>
      <c r="B923" s="1044"/>
      <c r="C923" s="1005"/>
      <c r="D923" s="645"/>
      <c r="E923" s="645"/>
      <c r="F923" s="951"/>
      <c r="G923" s="951"/>
      <c r="H923" s="951"/>
      <c r="I923" s="951"/>
      <c r="J923" s="951"/>
      <c r="K923" s="951"/>
      <c r="L923" s="951"/>
      <c r="M923" s="951"/>
      <c r="N923" s="659"/>
      <c r="O923" s="951"/>
      <c r="P923" s="951"/>
      <c r="Q923" s="659"/>
      <c r="R923" s="659"/>
      <c r="S923" s="659"/>
      <c r="T923" s="659"/>
      <c r="U923" s="659"/>
      <c r="V923" s="659"/>
      <c r="W923" s="659"/>
      <c r="X923" s="659"/>
      <c r="Y923" s="659"/>
      <c r="Z923" s="659"/>
      <c r="AA923" s="659"/>
      <c r="AB923" s="659"/>
      <c r="AC923" s="659"/>
      <c r="AD923" s="659"/>
      <c r="AE923" s="659"/>
      <c r="AF923" s="659"/>
      <c r="AG923" s="659"/>
      <c r="AH923" s="659"/>
      <c r="AI923" s="659"/>
      <c r="AJ923" s="659"/>
      <c r="AK923" s="659"/>
      <c r="AL923" s="659"/>
      <c r="AM923" s="659"/>
      <c r="AN923" s="659"/>
      <c r="AO923" s="659"/>
      <c r="AP923" s="659"/>
      <c r="AQ923" s="746"/>
    </row>
    <row r="924">
      <c r="A924" s="1002"/>
      <c r="B924" s="1044"/>
      <c r="C924" s="1005"/>
      <c r="D924" s="645"/>
      <c r="E924" s="645"/>
      <c r="F924" s="951"/>
      <c r="G924" s="951"/>
      <c r="H924" s="951"/>
      <c r="I924" s="951"/>
      <c r="J924" s="951"/>
      <c r="K924" s="951"/>
      <c r="L924" s="951"/>
      <c r="M924" s="951"/>
      <c r="N924" s="659"/>
      <c r="O924" s="951"/>
      <c r="P924" s="951"/>
      <c r="Q924" s="659"/>
      <c r="R924" s="659"/>
      <c r="S924" s="659"/>
      <c r="T924" s="659"/>
      <c r="U924" s="659"/>
      <c r="V924" s="659"/>
      <c r="W924" s="659"/>
      <c r="X924" s="659"/>
      <c r="Y924" s="659"/>
      <c r="Z924" s="659"/>
      <c r="AA924" s="659"/>
      <c r="AB924" s="659"/>
      <c r="AC924" s="659"/>
      <c r="AD924" s="659"/>
      <c r="AE924" s="659"/>
      <c r="AF924" s="659"/>
      <c r="AG924" s="659"/>
      <c r="AH924" s="659"/>
      <c r="AI924" s="659"/>
      <c r="AJ924" s="659"/>
      <c r="AK924" s="659"/>
      <c r="AL924" s="659"/>
      <c r="AM924" s="659"/>
      <c r="AN924" s="659"/>
      <c r="AO924" s="659"/>
      <c r="AP924" s="659"/>
      <c r="AQ924" s="746"/>
    </row>
    <row r="925">
      <c r="A925" s="1002"/>
      <c r="B925" s="1004"/>
      <c r="C925" s="1005"/>
      <c r="D925" s="645"/>
      <c r="E925" s="645"/>
      <c r="F925" s="951"/>
      <c r="G925" s="951"/>
      <c r="H925" s="951"/>
      <c r="I925" s="951"/>
      <c r="J925" s="951"/>
      <c r="K925" s="951"/>
      <c r="L925" s="951"/>
      <c r="M925" s="951"/>
      <c r="N925" s="659"/>
      <c r="O925" s="951"/>
      <c r="P925" s="951"/>
      <c r="Q925" s="659"/>
      <c r="R925" s="659"/>
      <c r="S925" s="659"/>
      <c r="T925" s="659"/>
      <c r="U925" s="659"/>
      <c r="V925" s="659"/>
      <c r="W925" s="659"/>
      <c r="X925" s="659"/>
      <c r="Y925" s="659"/>
      <c r="Z925" s="659"/>
      <c r="AA925" s="659"/>
      <c r="AB925" s="659"/>
      <c r="AC925" s="659"/>
      <c r="AD925" s="659"/>
      <c r="AE925" s="659"/>
      <c r="AF925" s="659"/>
      <c r="AG925" s="659"/>
      <c r="AH925" s="659"/>
      <c r="AI925" s="659"/>
      <c r="AJ925" s="659"/>
      <c r="AK925" s="659"/>
      <c r="AL925" s="659"/>
      <c r="AM925" s="659"/>
      <c r="AN925" s="659"/>
      <c r="AO925" s="659"/>
      <c r="AP925" s="659"/>
      <c r="AQ925" s="746"/>
    </row>
    <row r="926">
      <c r="A926" s="1002"/>
      <c r="B926" s="1044"/>
      <c r="C926" s="1005"/>
      <c r="D926" s="645"/>
      <c r="E926" s="645"/>
      <c r="F926" s="951"/>
      <c r="G926" s="951"/>
      <c r="H926" s="951"/>
      <c r="I926" s="951"/>
      <c r="J926" s="951"/>
      <c r="K926" s="951"/>
      <c r="L926" s="951"/>
      <c r="M926" s="951"/>
      <c r="N926" s="659"/>
      <c r="O926" s="951"/>
      <c r="P926" s="951"/>
      <c r="Q926" s="659"/>
      <c r="R926" s="659"/>
      <c r="S926" s="659"/>
      <c r="T926" s="659"/>
      <c r="U926" s="659"/>
      <c r="V926" s="659"/>
      <c r="W926" s="659"/>
      <c r="X926" s="659"/>
      <c r="Y926" s="659"/>
      <c r="Z926" s="659"/>
      <c r="AA926" s="659"/>
      <c r="AB926" s="659"/>
      <c r="AC926" s="659"/>
      <c r="AD926" s="659"/>
      <c r="AE926" s="659"/>
      <c r="AF926" s="659"/>
      <c r="AG926" s="659"/>
      <c r="AH926" s="659"/>
      <c r="AI926" s="659"/>
      <c r="AJ926" s="659"/>
      <c r="AK926" s="659"/>
      <c r="AL926" s="659"/>
      <c r="AM926" s="659"/>
      <c r="AN926" s="659"/>
      <c r="AO926" s="659"/>
      <c r="AP926" s="659"/>
      <c r="AQ926" s="746"/>
    </row>
    <row r="927">
      <c r="A927" s="1002"/>
      <c r="B927" s="1044"/>
      <c r="C927" s="1005"/>
      <c r="D927" s="645"/>
      <c r="E927" s="645"/>
      <c r="F927" s="951"/>
      <c r="G927" s="951"/>
      <c r="H927" s="951"/>
      <c r="I927" s="951"/>
      <c r="J927" s="951"/>
      <c r="K927" s="951"/>
      <c r="L927" s="951"/>
      <c r="M927" s="951"/>
      <c r="N927" s="659"/>
      <c r="O927" s="951"/>
      <c r="P927" s="951"/>
      <c r="Q927" s="659"/>
      <c r="R927" s="659"/>
      <c r="S927" s="659"/>
      <c r="T927" s="659"/>
      <c r="U927" s="659"/>
      <c r="V927" s="659"/>
      <c r="W927" s="659"/>
      <c r="X927" s="659"/>
      <c r="Y927" s="659"/>
      <c r="Z927" s="659"/>
      <c r="AA927" s="659"/>
      <c r="AB927" s="659"/>
      <c r="AC927" s="659"/>
      <c r="AD927" s="659"/>
      <c r="AE927" s="659"/>
      <c r="AF927" s="659"/>
      <c r="AG927" s="659"/>
      <c r="AH927" s="659"/>
      <c r="AI927" s="659"/>
      <c r="AJ927" s="659"/>
      <c r="AK927" s="659"/>
      <c r="AL927" s="659"/>
      <c r="AM927" s="659"/>
      <c r="AN927" s="659"/>
      <c r="AO927" s="659"/>
      <c r="AP927" s="659"/>
      <c r="AQ927" s="746"/>
    </row>
    <row r="928">
      <c r="A928" s="1002"/>
      <c r="B928" s="1044"/>
      <c r="C928" s="1005"/>
      <c r="D928" s="645"/>
      <c r="E928" s="645"/>
      <c r="F928" s="951"/>
      <c r="G928" s="951"/>
      <c r="H928" s="951"/>
      <c r="I928" s="951"/>
      <c r="J928" s="951"/>
      <c r="K928" s="951"/>
      <c r="L928" s="951"/>
      <c r="M928" s="951"/>
      <c r="N928" s="659"/>
      <c r="O928" s="951"/>
      <c r="P928" s="951"/>
      <c r="Q928" s="659"/>
      <c r="R928" s="659"/>
      <c r="S928" s="659"/>
      <c r="T928" s="659"/>
      <c r="U928" s="659"/>
      <c r="V928" s="659"/>
      <c r="W928" s="659"/>
      <c r="X928" s="659"/>
      <c r="Y928" s="659"/>
      <c r="Z928" s="659"/>
      <c r="AA928" s="659"/>
      <c r="AB928" s="659"/>
      <c r="AC928" s="659"/>
      <c r="AD928" s="659"/>
      <c r="AE928" s="659"/>
      <c r="AF928" s="659"/>
      <c r="AG928" s="659"/>
      <c r="AH928" s="659"/>
      <c r="AI928" s="659"/>
      <c r="AJ928" s="659"/>
      <c r="AK928" s="659"/>
      <c r="AL928" s="659"/>
      <c r="AM928" s="659"/>
      <c r="AN928" s="659"/>
      <c r="AO928" s="659"/>
      <c r="AP928" s="659"/>
      <c r="AQ928" s="746"/>
    </row>
    <row r="929">
      <c r="A929" s="1002"/>
      <c r="B929" s="1044"/>
      <c r="C929" s="1005"/>
      <c r="D929" s="645"/>
      <c r="E929" s="645"/>
      <c r="F929" s="951"/>
      <c r="G929" s="951"/>
      <c r="H929" s="951"/>
      <c r="I929" s="951"/>
      <c r="J929" s="951"/>
      <c r="K929" s="951"/>
      <c r="L929" s="951"/>
      <c r="M929" s="951"/>
      <c r="N929" s="659"/>
      <c r="O929" s="951"/>
      <c r="P929" s="951"/>
      <c r="Q929" s="659"/>
      <c r="R929" s="659"/>
      <c r="S929" s="659"/>
      <c r="T929" s="659"/>
      <c r="U929" s="659"/>
      <c r="V929" s="659"/>
      <c r="W929" s="659"/>
      <c r="X929" s="659"/>
      <c r="Y929" s="659"/>
      <c r="Z929" s="659"/>
      <c r="AA929" s="659"/>
      <c r="AB929" s="659"/>
      <c r="AC929" s="659"/>
      <c r="AD929" s="659"/>
      <c r="AE929" s="659"/>
      <c r="AF929" s="659"/>
      <c r="AG929" s="659"/>
      <c r="AH929" s="659"/>
      <c r="AI929" s="659"/>
      <c r="AJ929" s="659"/>
      <c r="AK929" s="659"/>
      <c r="AL929" s="659"/>
      <c r="AM929" s="659"/>
      <c r="AN929" s="659"/>
      <c r="AO929" s="659"/>
      <c r="AP929" s="659"/>
      <c r="AQ929" s="746"/>
    </row>
    <row r="930">
      <c r="A930" s="1002"/>
      <c r="B930" s="1044"/>
      <c r="C930" s="1005"/>
      <c r="D930" s="645"/>
      <c r="E930" s="645"/>
      <c r="F930" s="951"/>
      <c r="G930" s="951"/>
      <c r="H930" s="951"/>
      <c r="I930" s="951"/>
      <c r="J930" s="951"/>
      <c r="K930" s="951"/>
      <c r="L930" s="951"/>
      <c r="M930" s="951"/>
      <c r="N930" s="659"/>
      <c r="O930" s="951"/>
      <c r="P930" s="951"/>
      <c r="Q930" s="659"/>
      <c r="R930" s="659"/>
      <c r="S930" s="659"/>
      <c r="T930" s="659"/>
      <c r="U930" s="659"/>
      <c r="V930" s="659"/>
      <c r="W930" s="659"/>
      <c r="X930" s="659"/>
      <c r="Y930" s="659"/>
      <c r="Z930" s="659"/>
      <c r="AA930" s="659"/>
      <c r="AB930" s="659"/>
      <c r="AC930" s="659"/>
      <c r="AD930" s="659"/>
      <c r="AE930" s="659"/>
      <c r="AF930" s="659"/>
      <c r="AG930" s="659"/>
      <c r="AH930" s="659"/>
      <c r="AI930" s="659"/>
      <c r="AJ930" s="659"/>
      <c r="AK930" s="659"/>
      <c r="AL930" s="659"/>
      <c r="AM930" s="659"/>
      <c r="AN930" s="659"/>
      <c r="AO930" s="659"/>
      <c r="AP930" s="659"/>
      <c r="AQ930" s="746"/>
    </row>
    <row r="931">
      <c r="A931" s="1002"/>
      <c r="B931" s="1044"/>
      <c r="C931" s="1005"/>
      <c r="D931" s="645"/>
      <c r="E931" s="645"/>
      <c r="F931" s="951"/>
      <c r="G931" s="951"/>
      <c r="H931" s="951"/>
      <c r="I931" s="951"/>
      <c r="J931" s="951"/>
      <c r="K931" s="951"/>
      <c r="L931" s="951"/>
      <c r="M931" s="951"/>
      <c r="N931" s="659"/>
      <c r="O931" s="951"/>
      <c r="P931" s="951"/>
      <c r="Q931" s="659"/>
      <c r="R931" s="659"/>
      <c r="S931" s="659"/>
      <c r="T931" s="659"/>
      <c r="U931" s="659"/>
      <c r="V931" s="659"/>
      <c r="W931" s="659"/>
      <c r="X931" s="659"/>
      <c r="Y931" s="659"/>
      <c r="Z931" s="659"/>
      <c r="AA931" s="659"/>
      <c r="AB931" s="659"/>
      <c r="AC931" s="659"/>
      <c r="AD931" s="659"/>
      <c r="AE931" s="659"/>
      <c r="AF931" s="659"/>
      <c r="AG931" s="659"/>
      <c r="AH931" s="659"/>
      <c r="AI931" s="659"/>
      <c r="AJ931" s="659"/>
      <c r="AK931" s="659"/>
      <c r="AL931" s="659"/>
      <c r="AM931" s="659"/>
      <c r="AN931" s="659"/>
      <c r="AO931" s="659"/>
      <c r="AP931" s="659"/>
      <c r="AQ931" s="746"/>
    </row>
    <row r="932">
      <c r="A932" s="1002"/>
      <c r="B932" s="1044"/>
      <c r="C932" s="1005"/>
      <c r="D932" s="645"/>
      <c r="E932" s="645"/>
      <c r="F932" s="951"/>
      <c r="G932" s="951"/>
      <c r="H932" s="951"/>
      <c r="I932" s="951"/>
      <c r="J932" s="951"/>
      <c r="K932" s="951"/>
      <c r="L932" s="951"/>
      <c r="M932" s="951"/>
      <c r="N932" s="659"/>
      <c r="O932" s="951"/>
      <c r="P932" s="951"/>
      <c r="Q932" s="659"/>
      <c r="R932" s="659"/>
      <c r="S932" s="659"/>
      <c r="T932" s="659"/>
      <c r="U932" s="659"/>
      <c r="V932" s="659"/>
      <c r="W932" s="659"/>
      <c r="X932" s="659"/>
      <c r="Y932" s="659"/>
      <c r="Z932" s="659"/>
      <c r="AA932" s="659"/>
      <c r="AB932" s="659"/>
      <c r="AC932" s="659"/>
      <c r="AD932" s="659"/>
      <c r="AE932" s="659"/>
      <c r="AF932" s="659"/>
      <c r="AG932" s="659"/>
      <c r="AH932" s="659"/>
      <c r="AI932" s="659"/>
      <c r="AJ932" s="659"/>
      <c r="AK932" s="659"/>
      <c r="AL932" s="659"/>
      <c r="AM932" s="659"/>
      <c r="AN932" s="659"/>
      <c r="AO932" s="659"/>
      <c r="AP932" s="659"/>
      <c r="AQ932" s="746"/>
    </row>
    <row r="933">
      <c r="A933" s="1002"/>
      <c r="B933" s="1044"/>
      <c r="C933" s="1005"/>
      <c r="D933" s="645"/>
      <c r="E933" s="645"/>
      <c r="F933" s="951"/>
      <c r="G933" s="951"/>
      <c r="H933" s="951"/>
      <c r="I933" s="951"/>
      <c r="J933" s="951"/>
      <c r="K933" s="951"/>
      <c r="L933" s="951"/>
      <c r="M933" s="951"/>
      <c r="N933" s="659"/>
      <c r="O933" s="951"/>
      <c r="P933" s="951"/>
      <c r="Q933" s="659"/>
      <c r="R933" s="659"/>
      <c r="S933" s="659"/>
      <c r="T933" s="659"/>
      <c r="U933" s="659"/>
      <c r="V933" s="659"/>
      <c r="W933" s="659"/>
      <c r="X933" s="659"/>
      <c r="Y933" s="659"/>
      <c r="Z933" s="659"/>
      <c r="AA933" s="659"/>
      <c r="AB933" s="659"/>
      <c r="AC933" s="659"/>
      <c r="AD933" s="659"/>
      <c r="AE933" s="659"/>
      <c r="AF933" s="659"/>
      <c r="AG933" s="659"/>
      <c r="AH933" s="659"/>
      <c r="AI933" s="659"/>
      <c r="AJ933" s="659"/>
      <c r="AK933" s="659"/>
      <c r="AL933" s="659"/>
      <c r="AM933" s="659"/>
      <c r="AN933" s="659"/>
      <c r="AO933" s="659"/>
      <c r="AP933" s="659"/>
      <c r="AQ933" s="746"/>
    </row>
    <row r="934">
      <c r="A934" s="1002"/>
      <c r="B934" s="1044"/>
      <c r="C934" s="1005"/>
      <c r="D934" s="645"/>
      <c r="E934" s="645"/>
      <c r="F934" s="951"/>
      <c r="G934" s="951"/>
      <c r="H934" s="951"/>
      <c r="I934" s="951"/>
      <c r="J934" s="951"/>
      <c r="K934" s="951"/>
      <c r="L934" s="951"/>
      <c r="M934" s="951"/>
      <c r="N934" s="659"/>
      <c r="O934" s="951"/>
      <c r="P934" s="951"/>
      <c r="Q934" s="659"/>
      <c r="R934" s="659"/>
      <c r="S934" s="659"/>
      <c r="T934" s="659"/>
      <c r="U934" s="659"/>
      <c r="V934" s="659"/>
      <c r="W934" s="659"/>
      <c r="X934" s="659"/>
      <c r="Y934" s="659"/>
      <c r="Z934" s="659"/>
      <c r="AA934" s="659"/>
      <c r="AB934" s="659"/>
      <c r="AC934" s="659"/>
      <c r="AD934" s="659"/>
      <c r="AE934" s="659"/>
      <c r="AF934" s="659"/>
      <c r="AG934" s="659"/>
      <c r="AH934" s="659"/>
      <c r="AI934" s="659"/>
      <c r="AJ934" s="659"/>
      <c r="AK934" s="659"/>
      <c r="AL934" s="659"/>
      <c r="AM934" s="659"/>
      <c r="AN934" s="659"/>
      <c r="AO934" s="659"/>
      <c r="AP934" s="659"/>
      <c r="AQ934" s="746"/>
    </row>
    <row r="935">
      <c r="A935" s="1002"/>
      <c r="B935" s="1044"/>
      <c r="C935" s="1005"/>
      <c r="D935" s="645"/>
      <c r="E935" s="645"/>
      <c r="F935" s="951"/>
      <c r="G935" s="951"/>
      <c r="H935" s="951"/>
      <c r="I935" s="951"/>
      <c r="J935" s="951"/>
      <c r="K935" s="951"/>
      <c r="L935" s="951"/>
      <c r="M935" s="951"/>
      <c r="N935" s="659"/>
      <c r="O935" s="951"/>
      <c r="P935" s="951"/>
      <c r="Q935" s="659"/>
      <c r="R935" s="659"/>
      <c r="S935" s="659"/>
      <c r="T935" s="659"/>
      <c r="U935" s="659"/>
      <c r="V935" s="659"/>
      <c r="W935" s="659"/>
      <c r="X935" s="659"/>
      <c r="Y935" s="659"/>
      <c r="Z935" s="659"/>
      <c r="AA935" s="659"/>
      <c r="AB935" s="659"/>
      <c r="AC935" s="659"/>
      <c r="AD935" s="659"/>
      <c r="AE935" s="659"/>
      <c r="AF935" s="659"/>
      <c r="AG935" s="659"/>
      <c r="AH935" s="659"/>
      <c r="AI935" s="659"/>
      <c r="AJ935" s="659"/>
      <c r="AK935" s="659"/>
      <c r="AL935" s="659"/>
      <c r="AM935" s="659"/>
      <c r="AN935" s="659"/>
      <c r="AO935" s="659"/>
      <c r="AP935" s="659"/>
      <c r="AQ935" s="746"/>
    </row>
    <row r="936">
      <c r="A936" s="1002"/>
      <c r="B936" s="1044"/>
      <c r="C936" s="1005"/>
      <c r="D936" s="645"/>
      <c r="E936" s="645"/>
      <c r="F936" s="951"/>
      <c r="G936" s="951"/>
      <c r="H936" s="951"/>
      <c r="I936" s="951"/>
      <c r="J936" s="951"/>
      <c r="K936" s="951"/>
      <c r="L936" s="951"/>
      <c r="M936" s="951"/>
      <c r="N936" s="659"/>
      <c r="O936" s="951"/>
      <c r="P936" s="951"/>
      <c r="Q936" s="659"/>
      <c r="R936" s="659"/>
      <c r="S936" s="659"/>
      <c r="T936" s="659"/>
      <c r="U936" s="659"/>
      <c r="V936" s="659"/>
      <c r="W936" s="659"/>
      <c r="X936" s="659"/>
      <c r="Y936" s="659"/>
      <c r="Z936" s="659"/>
      <c r="AA936" s="659"/>
      <c r="AB936" s="659"/>
      <c r="AC936" s="659"/>
      <c r="AD936" s="659"/>
      <c r="AE936" s="659"/>
      <c r="AF936" s="659"/>
      <c r="AG936" s="659"/>
      <c r="AH936" s="659"/>
      <c r="AI936" s="659"/>
      <c r="AJ936" s="659"/>
      <c r="AK936" s="659"/>
      <c r="AL936" s="659"/>
      <c r="AM936" s="659"/>
      <c r="AN936" s="659"/>
      <c r="AO936" s="659"/>
      <c r="AP936" s="659"/>
      <c r="AQ936" s="746"/>
    </row>
    <row r="937">
      <c r="A937" s="1002"/>
      <c r="B937" s="1044"/>
      <c r="C937" s="1005"/>
      <c r="D937" s="645"/>
      <c r="E937" s="645"/>
      <c r="F937" s="951"/>
      <c r="G937" s="951"/>
      <c r="H937" s="951"/>
      <c r="I937" s="951"/>
      <c r="J937" s="951"/>
      <c r="K937" s="951"/>
      <c r="L937" s="951"/>
      <c r="M937" s="951"/>
      <c r="N937" s="659"/>
      <c r="O937" s="951"/>
      <c r="P937" s="951"/>
      <c r="Q937" s="659"/>
      <c r="R937" s="659"/>
      <c r="S937" s="659"/>
      <c r="T937" s="659"/>
      <c r="U937" s="659"/>
      <c r="V937" s="659"/>
      <c r="W937" s="659"/>
      <c r="X937" s="659"/>
      <c r="Y937" s="659"/>
      <c r="Z937" s="659"/>
      <c r="AA937" s="659"/>
      <c r="AB937" s="659"/>
      <c r="AC937" s="659"/>
      <c r="AD937" s="659"/>
      <c r="AE937" s="659"/>
      <c r="AF937" s="659"/>
      <c r="AG937" s="659"/>
      <c r="AH937" s="659"/>
      <c r="AI937" s="659"/>
      <c r="AJ937" s="659"/>
      <c r="AK937" s="659"/>
      <c r="AL937" s="659"/>
      <c r="AM937" s="659"/>
      <c r="AN937" s="659"/>
      <c r="AO937" s="659"/>
      <c r="AP937" s="659"/>
      <c r="AQ937" s="746"/>
    </row>
    <row r="938">
      <c r="A938" s="1002"/>
      <c r="B938" s="1044"/>
      <c r="C938" s="1005"/>
      <c r="D938" s="645"/>
      <c r="E938" s="645"/>
      <c r="F938" s="951"/>
      <c r="G938" s="951"/>
      <c r="H938" s="951"/>
      <c r="I938" s="951"/>
      <c r="J938" s="951"/>
      <c r="K938" s="951"/>
      <c r="L938" s="951"/>
      <c r="M938" s="951"/>
      <c r="N938" s="659"/>
      <c r="O938" s="951"/>
      <c r="P938" s="951"/>
      <c r="Q938" s="659"/>
      <c r="R938" s="659"/>
      <c r="S938" s="659"/>
      <c r="T938" s="659"/>
      <c r="U938" s="659"/>
      <c r="V938" s="659"/>
      <c r="W938" s="659"/>
      <c r="X938" s="659"/>
      <c r="Y938" s="659"/>
      <c r="Z938" s="659"/>
      <c r="AA938" s="659"/>
      <c r="AB938" s="659"/>
      <c r="AC938" s="659"/>
      <c r="AD938" s="659"/>
      <c r="AE938" s="659"/>
      <c r="AF938" s="659"/>
      <c r="AG938" s="659"/>
      <c r="AH938" s="659"/>
      <c r="AI938" s="659"/>
      <c r="AJ938" s="659"/>
      <c r="AK938" s="659"/>
      <c r="AL938" s="659"/>
      <c r="AM938" s="659"/>
      <c r="AN938" s="659"/>
      <c r="AO938" s="659"/>
      <c r="AP938" s="659"/>
      <c r="AQ938" s="746"/>
    </row>
    <row r="939">
      <c r="A939" s="1002"/>
      <c r="B939" s="1004"/>
      <c r="C939" s="1005"/>
      <c r="D939" s="645"/>
      <c r="E939" s="645"/>
      <c r="F939" s="951"/>
      <c r="G939" s="951"/>
      <c r="H939" s="951"/>
      <c r="I939" s="951"/>
      <c r="J939" s="951"/>
      <c r="K939" s="951"/>
      <c r="L939" s="951"/>
      <c r="M939" s="951"/>
      <c r="N939" s="659"/>
      <c r="O939" s="951"/>
      <c r="P939" s="951"/>
      <c r="Q939" s="659"/>
      <c r="R939" s="659"/>
      <c r="S939" s="659"/>
      <c r="T939" s="659"/>
      <c r="U939" s="659"/>
      <c r="V939" s="659"/>
      <c r="W939" s="659"/>
      <c r="X939" s="659"/>
      <c r="Y939" s="659"/>
      <c r="Z939" s="659"/>
      <c r="AA939" s="659"/>
      <c r="AB939" s="659"/>
      <c r="AC939" s="659"/>
      <c r="AD939" s="659"/>
      <c r="AE939" s="659"/>
      <c r="AF939" s="659"/>
      <c r="AG939" s="659"/>
      <c r="AH939" s="659"/>
      <c r="AI939" s="659"/>
      <c r="AJ939" s="659"/>
      <c r="AK939" s="659"/>
      <c r="AL939" s="659"/>
      <c r="AM939" s="659"/>
      <c r="AN939" s="659"/>
      <c r="AO939" s="659"/>
      <c r="AP939" s="659"/>
      <c r="AQ939" s="746"/>
    </row>
    <row r="940">
      <c r="A940" s="1002"/>
      <c r="B940" s="1044"/>
      <c r="C940" s="1005"/>
      <c r="D940" s="645"/>
      <c r="E940" s="645"/>
      <c r="F940" s="951"/>
      <c r="G940" s="951"/>
      <c r="H940" s="951"/>
      <c r="I940" s="951"/>
      <c r="J940" s="951"/>
      <c r="K940" s="951"/>
      <c r="L940" s="951"/>
      <c r="M940" s="951"/>
      <c r="N940" s="659"/>
      <c r="O940" s="951"/>
      <c r="P940" s="951"/>
      <c r="Q940" s="659"/>
      <c r="R940" s="659"/>
      <c r="S940" s="659"/>
      <c r="T940" s="659"/>
      <c r="U940" s="659"/>
      <c r="V940" s="659"/>
      <c r="W940" s="659"/>
      <c r="X940" s="659"/>
      <c r="Y940" s="659"/>
      <c r="Z940" s="659"/>
      <c r="AA940" s="659"/>
      <c r="AB940" s="659"/>
      <c r="AC940" s="659"/>
      <c r="AD940" s="659"/>
      <c r="AE940" s="659"/>
      <c r="AF940" s="659"/>
      <c r="AG940" s="659"/>
      <c r="AH940" s="659"/>
      <c r="AI940" s="659"/>
      <c r="AJ940" s="659"/>
      <c r="AK940" s="659"/>
      <c r="AL940" s="659"/>
      <c r="AM940" s="659"/>
      <c r="AN940" s="659"/>
      <c r="AO940" s="659"/>
      <c r="AP940" s="659"/>
      <c r="AQ940" s="746"/>
    </row>
    <row r="941">
      <c r="A941" s="1002"/>
      <c r="B941" s="1044"/>
      <c r="C941" s="1005"/>
      <c r="D941" s="645"/>
      <c r="E941" s="645"/>
      <c r="F941" s="951"/>
      <c r="G941" s="951"/>
      <c r="H941" s="951"/>
      <c r="I941" s="951"/>
      <c r="J941" s="951"/>
      <c r="K941" s="951"/>
      <c r="L941" s="951"/>
      <c r="M941" s="951"/>
      <c r="N941" s="659"/>
      <c r="O941" s="951"/>
      <c r="P941" s="951"/>
      <c r="Q941" s="659"/>
      <c r="R941" s="659"/>
      <c r="S941" s="659"/>
      <c r="T941" s="659"/>
      <c r="U941" s="659"/>
      <c r="V941" s="659"/>
      <c r="W941" s="659"/>
      <c r="X941" s="659"/>
      <c r="Y941" s="659"/>
      <c r="Z941" s="659"/>
      <c r="AA941" s="659"/>
      <c r="AB941" s="659"/>
      <c r="AC941" s="659"/>
      <c r="AD941" s="659"/>
      <c r="AE941" s="659"/>
      <c r="AF941" s="659"/>
      <c r="AG941" s="659"/>
      <c r="AH941" s="659"/>
      <c r="AI941" s="659"/>
      <c r="AJ941" s="659"/>
      <c r="AK941" s="659"/>
      <c r="AL941" s="659"/>
      <c r="AM941" s="659"/>
      <c r="AN941" s="659"/>
      <c r="AO941" s="659"/>
      <c r="AP941" s="659"/>
      <c r="AQ941" s="746"/>
    </row>
    <row r="942">
      <c r="A942" s="1002"/>
      <c r="B942" s="1044"/>
      <c r="C942" s="1005"/>
      <c r="D942" s="645"/>
      <c r="E942" s="645"/>
      <c r="F942" s="951"/>
      <c r="G942" s="951"/>
      <c r="H942" s="951"/>
      <c r="I942" s="951"/>
      <c r="J942" s="951"/>
      <c r="K942" s="951"/>
      <c r="L942" s="951"/>
      <c r="M942" s="951"/>
      <c r="N942" s="659"/>
      <c r="O942" s="951"/>
      <c r="P942" s="951"/>
      <c r="Q942" s="659"/>
      <c r="R942" s="659"/>
      <c r="S942" s="659"/>
      <c r="T942" s="659"/>
      <c r="U942" s="659"/>
      <c r="V942" s="659"/>
      <c r="W942" s="659"/>
      <c r="X942" s="659"/>
      <c r="Y942" s="659"/>
      <c r="Z942" s="659"/>
      <c r="AA942" s="659"/>
      <c r="AB942" s="659"/>
      <c r="AC942" s="659"/>
      <c r="AD942" s="659"/>
      <c r="AE942" s="659"/>
      <c r="AF942" s="659"/>
      <c r="AG942" s="659"/>
      <c r="AH942" s="659"/>
      <c r="AI942" s="659"/>
      <c r="AJ942" s="659"/>
      <c r="AK942" s="659"/>
      <c r="AL942" s="659"/>
      <c r="AM942" s="659"/>
      <c r="AN942" s="659"/>
      <c r="AO942" s="659"/>
      <c r="AP942" s="659"/>
      <c r="AQ942" s="746"/>
    </row>
    <row r="943">
      <c r="A943" s="1002"/>
      <c r="B943" s="1044"/>
      <c r="C943" s="1005"/>
      <c r="D943" s="645"/>
      <c r="E943" s="645"/>
      <c r="F943" s="951"/>
      <c r="G943" s="951"/>
      <c r="H943" s="951"/>
      <c r="I943" s="951"/>
      <c r="J943" s="951"/>
      <c r="K943" s="951"/>
      <c r="L943" s="951"/>
      <c r="M943" s="951"/>
      <c r="N943" s="659"/>
      <c r="O943" s="951"/>
      <c r="P943" s="951"/>
      <c r="Q943" s="659"/>
      <c r="R943" s="659"/>
      <c r="S943" s="659"/>
      <c r="T943" s="659"/>
      <c r="U943" s="659"/>
      <c r="V943" s="659"/>
      <c r="W943" s="659"/>
      <c r="X943" s="659"/>
      <c r="Y943" s="659"/>
      <c r="Z943" s="659"/>
      <c r="AA943" s="659"/>
      <c r="AB943" s="659"/>
      <c r="AC943" s="659"/>
      <c r="AD943" s="659"/>
      <c r="AE943" s="659"/>
      <c r="AF943" s="659"/>
      <c r="AG943" s="659"/>
      <c r="AH943" s="659"/>
      <c r="AI943" s="659"/>
      <c r="AJ943" s="659"/>
      <c r="AK943" s="659"/>
      <c r="AL943" s="659"/>
      <c r="AM943" s="659"/>
      <c r="AN943" s="659"/>
      <c r="AO943" s="659"/>
      <c r="AP943" s="659"/>
      <c r="AQ943" s="746"/>
    </row>
    <row r="944">
      <c r="A944" s="1002"/>
      <c r="B944" s="1044"/>
      <c r="C944" s="1005"/>
      <c r="D944" s="645"/>
      <c r="E944" s="645"/>
      <c r="F944" s="951"/>
      <c r="G944" s="951"/>
      <c r="H944" s="951"/>
      <c r="I944" s="951"/>
      <c r="J944" s="951"/>
      <c r="K944" s="951"/>
      <c r="L944" s="951"/>
      <c r="M944" s="951"/>
      <c r="N944" s="659"/>
      <c r="O944" s="951"/>
      <c r="P944" s="951"/>
      <c r="Q944" s="659"/>
      <c r="R944" s="659"/>
      <c r="S944" s="659"/>
      <c r="T944" s="659"/>
      <c r="U944" s="659"/>
      <c r="V944" s="659"/>
      <c r="W944" s="659"/>
      <c r="X944" s="659"/>
      <c r="Y944" s="659"/>
      <c r="Z944" s="659"/>
      <c r="AA944" s="659"/>
      <c r="AB944" s="659"/>
      <c r="AC944" s="659"/>
      <c r="AD944" s="659"/>
      <c r="AE944" s="659"/>
      <c r="AF944" s="659"/>
      <c r="AG944" s="659"/>
      <c r="AH944" s="659"/>
      <c r="AI944" s="659"/>
      <c r="AJ944" s="659"/>
      <c r="AK944" s="659"/>
      <c r="AL944" s="659"/>
      <c r="AM944" s="659"/>
      <c r="AN944" s="659"/>
      <c r="AO944" s="659"/>
      <c r="AP944" s="659"/>
      <c r="AQ944" s="746"/>
    </row>
    <row r="945">
      <c r="A945" s="1002"/>
      <c r="B945" s="1044"/>
      <c r="C945" s="1005"/>
      <c r="D945" s="645"/>
      <c r="E945" s="645"/>
      <c r="F945" s="951"/>
      <c r="G945" s="951"/>
      <c r="H945" s="951"/>
      <c r="I945" s="951"/>
      <c r="J945" s="951"/>
      <c r="K945" s="951"/>
      <c r="L945" s="951"/>
      <c r="M945" s="951"/>
      <c r="N945" s="659"/>
      <c r="O945" s="951"/>
      <c r="P945" s="951"/>
      <c r="Q945" s="659"/>
      <c r="R945" s="659"/>
      <c r="S945" s="659"/>
      <c r="T945" s="659"/>
      <c r="U945" s="659"/>
      <c r="V945" s="659"/>
      <c r="W945" s="659"/>
      <c r="X945" s="659"/>
      <c r="Y945" s="659"/>
      <c r="Z945" s="659"/>
      <c r="AA945" s="659"/>
      <c r="AB945" s="659"/>
      <c r="AC945" s="659"/>
      <c r="AD945" s="659"/>
      <c r="AE945" s="659"/>
      <c r="AF945" s="659"/>
      <c r="AG945" s="659"/>
      <c r="AH945" s="659"/>
      <c r="AI945" s="659"/>
      <c r="AJ945" s="659"/>
      <c r="AK945" s="659"/>
      <c r="AL945" s="659"/>
      <c r="AM945" s="659"/>
      <c r="AN945" s="659"/>
      <c r="AO945" s="659"/>
      <c r="AP945" s="659"/>
      <c r="AQ945" s="746"/>
    </row>
    <row r="946">
      <c r="A946" s="1002"/>
      <c r="B946" s="1044"/>
      <c r="C946" s="1005"/>
      <c r="D946" s="645"/>
      <c r="E946" s="645"/>
      <c r="F946" s="951"/>
      <c r="G946" s="951"/>
      <c r="H946" s="951"/>
      <c r="I946" s="951"/>
      <c r="J946" s="951"/>
      <c r="K946" s="951"/>
      <c r="L946" s="951"/>
      <c r="M946" s="951"/>
      <c r="N946" s="659"/>
      <c r="O946" s="951"/>
      <c r="P946" s="951"/>
      <c r="Q946" s="659"/>
      <c r="R946" s="659"/>
      <c r="S946" s="659"/>
      <c r="T946" s="659"/>
      <c r="U946" s="659"/>
      <c r="V946" s="659"/>
      <c r="W946" s="659"/>
      <c r="X946" s="659"/>
      <c r="Y946" s="659"/>
      <c r="Z946" s="659"/>
      <c r="AA946" s="659"/>
      <c r="AB946" s="659"/>
      <c r="AC946" s="659"/>
      <c r="AD946" s="659"/>
      <c r="AE946" s="659"/>
      <c r="AF946" s="659"/>
      <c r="AG946" s="659"/>
      <c r="AH946" s="659"/>
      <c r="AI946" s="659"/>
      <c r="AJ946" s="659"/>
      <c r="AK946" s="659"/>
      <c r="AL946" s="659"/>
      <c r="AM946" s="659"/>
      <c r="AN946" s="659"/>
      <c r="AO946" s="659"/>
      <c r="AP946" s="659"/>
      <c r="AQ946" s="746"/>
    </row>
    <row r="947">
      <c r="A947" s="1002"/>
      <c r="B947" s="1044"/>
      <c r="C947" s="1005"/>
      <c r="D947" s="645"/>
      <c r="E947" s="645"/>
      <c r="F947" s="951"/>
      <c r="G947" s="951"/>
      <c r="H947" s="951"/>
      <c r="I947" s="951"/>
      <c r="J947" s="951"/>
      <c r="K947" s="951"/>
      <c r="L947" s="951"/>
      <c r="M947" s="951"/>
      <c r="N947" s="659"/>
      <c r="O947" s="951"/>
      <c r="P947" s="951"/>
      <c r="Q947" s="659"/>
      <c r="R947" s="659"/>
      <c r="S947" s="659"/>
      <c r="T947" s="659"/>
      <c r="U947" s="659"/>
      <c r="V947" s="659"/>
      <c r="W947" s="659"/>
      <c r="X947" s="659"/>
      <c r="Y947" s="659"/>
      <c r="Z947" s="659"/>
      <c r="AA947" s="659"/>
      <c r="AB947" s="659"/>
      <c r="AC947" s="659"/>
      <c r="AD947" s="659"/>
      <c r="AE947" s="659"/>
      <c r="AF947" s="659"/>
      <c r="AG947" s="659"/>
      <c r="AH947" s="659"/>
      <c r="AI947" s="659"/>
      <c r="AJ947" s="659"/>
      <c r="AK947" s="659"/>
      <c r="AL947" s="659"/>
      <c r="AM947" s="659"/>
      <c r="AN947" s="659"/>
      <c r="AO947" s="659"/>
      <c r="AP947" s="659"/>
      <c r="AQ947" s="746"/>
    </row>
    <row r="948">
      <c r="A948" s="1002"/>
      <c r="B948" s="1044"/>
      <c r="C948" s="1005"/>
      <c r="D948" s="645"/>
      <c r="E948" s="645"/>
      <c r="F948" s="951"/>
      <c r="G948" s="951"/>
      <c r="H948" s="951"/>
      <c r="I948" s="951"/>
      <c r="J948" s="951"/>
      <c r="K948" s="951"/>
      <c r="L948" s="951"/>
      <c r="M948" s="951"/>
      <c r="N948" s="659"/>
      <c r="O948" s="951"/>
      <c r="P948" s="951"/>
      <c r="Q948" s="659"/>
      <c r="R948" s="659"/>
      <c r="S948" s="659"/>
      <c r="T948" s="659"/>
      <c r="U948" s="659"/>
      <c r="V948" s="659"/>
      <c r="W948" s="659"/>
      <c r="X948" s="659"/>
      <c r="Y948" s="659"/>
      <c r="Z948" s="659"/>
      <c r="AA948" s="659"/>
      <c r="AB948" s="659"/>
      <c r="AC948" s="659"/>
      <c r="AD948" s="659"/>
      <c r="AE948" s="659"/>
      <c r="AF948" s="659"/>
      <c r="AG948" s="659"/>
      <c r="AH948" s="659"/>
      <c r="AI948" s="659"/>
      <c r="AJ948" s="659"/>
      <c r="AK948" s="659"/>
      <c r="AL948" s="659"/>
      <c r="AM948" s="659"/>
      <c r="AN948" s="659"/>
      <c r="AO948" s="659"/>
      <c r="AP948" s="659"/>
      <c r="AQ948" s="746"/>
    </row>
    <row r="949">
      <c r="A949" s="1002"/>
      <c r="B949" s="1044"/>
      <c r="C949" s="1005"/>
      <c r="D949" s="645"/>
      <c r="E949" s="645"/>
      <c r="F949" s="951"/>
      <c r="G949" s="951"/>
      <c r="H949" s="951"/>
      <c r="I949" s="951"/>
      <c r="J949" s="951"/>
      <c r="K949" s="951"/>
      <c r="L949" s="951"/>
      <c r="M949" s="951"/>
      <c r="N949" s="659"/>
      <c r="O949" s="951"/>
      <c r="P949" s="951"/>
      <c r="Q949" s="659"/>
      <c r="R949" s="659"/>
      <c r="S949" s="659"/>
      <c r="T949" s="659"/>
      <c r="U949" s="659"/>
      <c r="V949" s="659"/>
      <c r="W949" s="659"/>
      <c r="X949" s="659"/>
      <c r="Y949" s="659"/>
      <c r="Z949" s="659"/>
      <c r="AA949" s="659"/>
      <c r="AB949" s="659"/>
      <c r="AC949" s="659"/>
      <c r="AD949" s="659"/>
      <c r="AE949" s="659"/>
      <c r="AF949" s="659"/>
      <c r="AG949" s="659"/>
      <c r="AH949" s="659"/>
      <c r="AI949" s="659"/>
      <c r="AJ949" s="659"/>
      <c r="AK949" s="659"/>
      <c r="AL949" s="659"/>
      <c r="AM949" s="659"/>
      <c r="AN949" s="659"/>
      <c r="AO949" s="659"/>
      <c r="AP949" s="659"/>
      <c r="AQ949" s="746"/>
    </row>
    <row r="950">
      <c r="A950" s="1002"/>
      <c r="B950" s="1044"/>
      <c r="C950" s="1005"/>
      <c r="D950" s="645"/>
      <c r="E950" s="645"/>
      <c r="F950" s="951"/>
      <c r="G950" s="951"/>
      <c r="H950" s="951"/>
      <c r="I950" s="951"/>
      <c r="J950" s="951"/>
      <c r="K950" s="951"/>
      <c r="L950" s="951"/>
      <c r="M950" s="951"/>
      <c r="N950" s="659"/>
      <c r="O950" s="951"/>
      <c r="P950" s="951"/>
      <c r="Q950" s="659"/>
      <c r="R950" s="659"/>
      <c r="S950" s="659"/>
      <c r="T950" s="659"/>
      <c r="U950" s="659"/>
      <c r="V950" s="659"/>
      <c r="W950" s="659"/>
      <c r="X950" s="659"/>
      <c r="Y950" s="659"/>
      <c r="Z950" s="659"/>
      <c r="AA950" s="659"/>
      <c r="AB950" s="659"/>
      <c r="AC950" s="659"/>
      <c r="AD950" s="659"/>
      <c r="AE950" s="659"/>
      <c r="AF950" s="659"/>
      <c r="AG950" s="659"/>
      <c r="AH950" s="659"/>
      <c r="AI950" s="659"/>
      <c r="AJ950" s="659"/>
      <c r="AK950" s="659"/>
      <c r="AL950" s="659"/>
      <c r="AM950" s="659"/>
      <c r="AN950" s="659"/>
      <c r="AO950" s="659"/>
      <c r="AP950" s="659"/>
      <c r="AQ950" s="746"/>
    </row>
    <row r="951">
      <c r="A951" s="1002"/>
      <c r="B951" s="1044"/>
      <c r="C951" s="1005"/>
      <c r="D951" s="645"/>
      <c r="E951" s="645"/>
      <c r="F951" s="951"/>
      <c r="G951" s="951"/>
      <c r="H951" s="951"/>
      <c r="I951" s="951"/>
      <c r="J951" s="951"/>
      <c r="K951" s="951"/>
      <c r="L951" s="951"/>
      <c r="M951" s="951"/>
      <c r="N951" s="659"/>
      <c r="O951" s="951"/>
      <c r="P951" s="951"/>
      <c r="Q951" s="659"/>
      <c r="R951" s="659"/>
      <c r="S951" s="659"/>
      <c r="T951" s="659"/>
      <c r="U951" s="659"/>
      <c r="V951" s="659"/>
      <c r="W951" s="659"/>
      <c r="X951" s="659"/>
      <c r="Y951" s="659"/>
      <c r="Z951" s="659"/>
      <c r="AA951" s="659"/>
      <c r="AB951" s="659"/>
      <c r="AC951" s="659"/>
      <c r="AD951" s="659"/>
      <c r="AE951" s="659"/>
      <c r="AF951" s="659"/>
      <c r="AG951" s="659"/>
      <c r="AH951" s="659"/>
      <c r="AI951" s="659"/>
      <c r="AJ951" s="659"/>
      <c r="AK951" s="659"/>
      <c r="AL951" s="659"/>
      <c r="AM951" s="659"/>
      <c r="AN951" s="659"/>
      <c r="AO951" s="659"/>
      <c r="AP951" s="659"/>
      <c r="AQ951" s="746"/>
    </row>
    <row r="952">
      <c r="A952" s="1002"/>
      <c r="B952" s="1044"/>
      <c r="C952" s="1005"/>
      <c r="D952" s="645"/>
      <c r="E952" s="645"/>
      <c r="F952" s="951"/>
      <c r="G952" s="951"/>
      <c r="H952" s="951"/>
      <c r="I952" s="951"/>
      <c r="J952" s="951"/>
      <c r="K952" s="951"/>
      <c r="L952" s="951"/>
      <c r="M952" s="951"/>
      <c r="N952" s="659"/>
      <c r="O952" s="951"/>
      <c r="P952" s="951"/>
      <c r="Q952" s="659"/>
      <c r="R952" s="659"/>
      <c r="S952" s="659"/>
      <c r="T952" s="659"/>
      <c r="U952" s="659"/>
      <c r="V952" s="659"/>
      <c r="W952" s="659"/>
      <c r="X952" s="659"/>
      <c r="Y952" s="659"/>
      <c r="Z952" s="659"/>
      <c r="AA952" s="659"/>
      <c r="AB952" s="659"/>
      <c r="AC952" s="659"/>
      <c r="AD952" s="659"/>
      <c r="AE952" s="659"/>
      <c r="AF952" s="659"/>
      <c r="AG952" s="659"/>
      <c r="AH952" s="659"/>
      <c r="AI952" s="659"/>
      <c r="AJ952" s="659"/>
      <c r="AK952" s="659"/>
      <c r="AL952" s="659"/>
      <c r="AM952" s="659"/>
      <c r="AN952" s="659"/>
      <c r="AO952" s="659"/>
      <c r="AP952" s="659"/>
      <c r="AQ952" s="746"/>
    </row>
    <row r="953">
      <c r="A953" s="1002"/>
      <c r="B953" s="1044"/>
      <c r="C953" s="1005"/>
      <c r="D953" s="645"/>
      <c r="E953" s="645"/>
      <c r="F953" s="951"/>
      <c r="G953" s="951"/>
      <c r="H953" s="951"/>
      <c r="I953" s="951"/>
      <c r="J953" s="951"/>
      <c r="K953" s="951"/>
      <c r="L953" s="951"/>
      <c r="M953" s="951"/>
      <c r="N953" s="659"/>
      <c r="O953" s="951"/>
      <c r="P953" s="951"/>
      <c r="Q953" s="659"/>
      <c r="R953" s="659"/>
      <c r="S953" s="659"/>
      <c r="T953" s="659"/>
      <c r="U953" s="659"/>
      <c r="V953" s="659"/>
      <c r="W953" s="659"/>
      <c r="X953" s="659"/>
      <c r="Y953" s="659"/>
      <c r="Z953" s="659"/>
      <c r="AA953" s="659"/>
      <c r="AB953" s="659"/>
      <c r="AC953" s="659"/>
      <c r="AD953" s="659"/>
      <c r="AE953" s="659"/>
      <c r="AF953" s="659"/>
      <c r="AG953" s="659"/>
      <c r="AH953" s="659"/>
      <c r="AI953" s="659"/>
      <c r="AJ953" s="659"/>
      <c r="AK953" s="659"/>
      <c r="AL953" s="659"/>
      <c r="AM953" s="659"/>
      <c r="AN953" s="659"/>
      <c r="AO953" s="659"/>
      <c r="AP953" s="659"/>
      <c r="AQ953" s="746"/>
    </row>
    <row r="954">
      <c r="A954" s="1002"/>
      <c r="B954" s="1044"/>
      <c r="C954" s="1005"/>
      <c r="D954" s="645"/>
      <c r="E954" s="645"/>
      <c r="F954" s="951"/>
      <c r="G954" s="951"/>
      <c r="H954" s="951"/>
      <c r="I954" s="951"/>
      <c r="J954" s="951"/>
      <c r="K954" s="951"/>
      <c r="L954" s="951"/>
      <c r="M954" s="951"/>
      <c r="N954" s="659"/>
      <c r="O954" s="951"/>
      <c r="P954" s="951"/>
      <c r="Q954" s="659"/>
      <c r="R954" s="659"/>
      <c r="S954" s="659"/>
      <c r="T954" s="659"/>
      <c r="U954" s="659"/>
      <c r="V954" s="659"/>
      <c r="W954" s="659"/>
      <c r="X954" s="659"/>
      <c r="Y954" s="659"/>
      <c r="Z954" s="659"/>
      <c r="AA954" s="659"/>
      <c r="AB954" s="659"/>
      <c r="AC954" s="659"/>
      <c r="AD954" s="659"/>
      <c r="AE954" s="659"/>
      <c r="AF954" s="659"/>
      <c r="AG954" s="659"/>
      <c r="AH954" s="659"/>
      <c r="AI954" s="659"/>
      <c r="AJ954" s="659"/>
      <c r="AK954" s="659"/>
      <c r="AL954" s="659"/>
      <c r="AM954" s="659"/>
      <c r="AN954" s="659"/>
      <c r="AO954" s="659"/>
      <c r="AP954" s="659"/>
      <c r="AQ954" s="746"/>
    </row>
    <row r="955">
      <c r="A955" s="1002"/>
      <c r="B955" s="1044"/>
      <c r="C955" s="1005"/>
      <c r="D955" s="645"/>
      <c r="E955" s="645"/>
      <c r="F955" s="951"/>
      <c r="G955" s="951"/>
      <c r="H955" s="951"/>
      <c r="I955" s="951"/>
      <c r="J955" s="951"/>
      <c r="K955" s="951"/>
      <c r="L955" s="951"/>
      <c r="M955" s="951"/>
      <c r="N955" s="659"/>
      <c r="O955" s="951"/>
      <c r="P955" s="951"/>
      <c r="Q955" s="659"/>
      <c r="R955" s="659"/>
      <c r="S955" s="659"/>
      <c r="T955" s="659"/>
      <c r="U955" s="659"/>
      <c r="V955" s="659"/>
      <c r="W955" s="659"/>
      <c r="X955" s="659"/>
      <c r="Y955" s="659"/>
      <c r="Z955" s="659"/>
      <c r="AA955" s="659"/>
      <c r="AB955" s="659"/>
      <c r="AC955" s="659"/>
      <c r="AD955" s="659"/>
      <c r="AE955" s="659"/>
      <c r="AF955" s="659"/>
      <c r="AG955" s="659"/>
      <c r="AH955" s="659"/>
      <c r="AI955" s="659"/>
      <c r="AJ955" s="659"/>
      <c r="AK955" s="659"/>
      <c r="AL955" s="659"/>
      <c r="AM955" s="659"/>
      <c r="AN955" s="659"/>
      <c r="AO955" s="659"/>
      <c r="AP955" s="659"/>
      <c r="AQ955" s="746"/>
    </row>
    <row r="956">
      <c r="A956" s="1002"/>
      <c r="B956" s="1004"/>
      <c r="C956" s="1005"/>
      <c r="D956" s="645"/>
      <c r="E956" s="645"/>
      <c r="F956" s="951"/>
      <c r="G956" s="951"/>
      <c r="H956" s="951"/>
      <c r="I956" s="951"/>
      <c r="J956" s="951"/>
      <c r="K956" s="951"/>
      <c r="L956" s="951"/>
      <c r="M956" s="951"/>
      <c r="N956" s="659"/>
      <c r="O956" s="951"/>
      <c r="P956" s="951"/>
      <c r="Q956" s="659"/>
      <c r="R956" s="659"/>
      <c r="S956" s="659"/>
      <c r="T956" s="659"/>
      <c r="U956" s="659"/>
      <c r="V956" s="659"/>
      <c r="W956" s="659"/>
      <c r="X956" s="659"/>
      <c r="Y956" s="659"/>
      <c r="Z956" s="659"/>
      <c r="AA956" s="659"/>
      <c r="AB956" s="659"/>
      <c r="AC956" s="659"/>
      <c r="AD956" s="659"/>
      <c r="AE956" s="659"/>
      <c r="AF956" s="659"/>
      <c r="AG956" s="659"/>
      <c r="AH956" s="659"/>
      <c r="AI956" s="659"/>
      <c r="AJ956" s="659"/>
      <c r="AK956" s="659"/>
      <c r="AL956" s="659"/>
      <c r="AM956" s="659"/>
      <c r="AN956" s="659"/>
      <c r="AO956" s="659"/>
      <c r="AP956" s="659"/>
      <c r="AQ956" s="746"/>
    </row>
    <row r="957">
      <c r="A957" s="1142"/>
      <c r="B957" s="1044"/>
      <c r="C957" s="1005"/>
      <c r="D957" s="645"/>
      <c r="E957" s="645"/>
      <c r="F957" s="951"/>
      <c r="G957" s="951"/>
      <c r="H957" s="951"/>
      <c r="I957" s="951"/>
      <c r="J957" s="951"/>
      <c r="K957" s="951"/>
      <c r="L957" s="951"/>
      <c r="M957" s="951"/>
      <c r="N957" s="659"/>
      <c r="O957" s="951"/>
      <c r="P957" s="951"/>
      <c r="Q957" s="659"/>
      <c r="R957" s="659"/>
      <c r="S957" s="659"/>
      <c r="T957" s="659"/>
      <c r="U957" s="659"/>
      <c r="V957" s="659"/>
      <c r="W957" s="659"/>
      <c r="X957" s="659"/>
      <c r="Y957" s="659"/>
      <c r="Z957" s="659"/>
      <c r="AA957" s="659"/>
      <c r="AB957" s="659"/>
      <c r="AC957" s="659"/>
      <c r="AD957" s="659"/>
      <c r="AE957" s="659"/>
      <c r="AF957" s="659"/>
      <c r="AG957" s="659"/>
      <c r="AH957" s="659"/>
      <c r="AI957" s="659"/>
      <c r="AJ957" s="659"/>
      <c r="AK957" s="659"/>
      <c r="AL957" s="659"/>
      <c r="AM957" s="659"/>
      <c r="AN957" s="659"/>
      <c r="AO957" s="659"/>
      <c r="AP957" s="659"/>
      <c r="AQ957" s="746"/>
    </row>
    <row r="958">
      <c r="A958" s="1143"/>
      <c r="B958" s="1044"/>
      <c r="C958" s="1005"/>
      <c r="D958" s="645"/>
      <c r="E958" s="645"/>
      <c r="F958" s="951"/>
      <c r="G958" s="951"/>
      <c r="H958" s="951"/>
      <c r="I958" s="951"/>
      <c r="J958" s="951"/>
      <c r="K958" s="951"/>
      <c r="L958" s="951"/>
      <c r="M958" s="951"/>
      <c r="N958" s="659"/>
      <c r="O958" s="951"/>
      <c r="P958" s="951"/>
      <c r="Q958" s="659"/>
      <c r="R958" s="659"/>
      <c r="S958" s="659"/>
      <c r="T958" s="659"/>
      <c r="U958" s="659"/>
      <c r="V958" s="659"/>
      <c r="W958" s="659"/>
      <c r="X958" s="659"/>
      <c r="Y958" s="659"/>
      <c r="Z958" s="659"/>
      <c r="AA958" s="659"/>
      <c r="AB958" s="659"/>
      <c r="AC958" s="659"/>
      <c r="AD958" s="659"/>
      <c r="AE958" s="659"/>
      <c r="AF958" s="659"/>
      <c r="AG958" s="659"/>
      <c r="AH958" s="659"/>
      <c r="AI958" s="659"/>
      <c r="AJ958" s="659"/>
      <c r="AK958" s="659"/>
      <c r="AL958" s="659"/>
      <c r="AM958" s="659"/>
      <c r="AN958" s="659"/>
      <c r="AO958" s="659"/>
      <c r="AP958" s="659"/>
      <c r="AQ958" s="746"/>
    </row>
    <row r="959">
      <c r="A959" s="1144"/>
      <c r="B959" s="1044"/>
      <c r="C959" s="1005"/>
      <c r="D959" s="645"/>
      <c r="E959" s="645"/>
      <c r="F959" s="951"/>
      <c r="G959" s="951"/>
      <c r="H959" s="951"/>
      <c r="I959" s="951"/>
      <c r="J959" s="951"/>
      <c r="K959" s="951"/>
      <c r="L959" s="951"/>
      <c r="M959" s="951"/>
      <c r="N959" s="659"/>
      <c r="O959" s="951"/>
      <c r="P959" s="951"/>
      <c r="Q959" s="659"/>
      <c r="R959" s="659"/>
      <c r="S959" s="659"/>
      <c r="T959" s="659"/>
      <c r="U959" s="659"/>
      <c r="V959" s="659"/>
      <c r="W959" s="659"/>
      <c r="X959" s="659"/>
      <c r="Y959" s="659"/>
      <c r="Z959" s="659"/>
      <c r="AA959" s="659"/>
      <c r="AB959" s="659"/>
      <c r="AC959" s="659"/>
      <c r="AD959" s="659"/>
      <c r="AE959" s="659"/>
      <c r="AF959" s="659"/>
      <c r="AG959" s="659"/>
      <c r="AH959" s="659"/>
      <c r="AI959" s="659"/>
      <c r="AJ959" s="659"/>
      <c r="AK959" s="659"/>
      <c r="AL959" s="659"/>
      <c r="AM959" s="659"/>
      <c r="AN959" s="659"/>
      <c r="AO959" s="659"/>
      <c r="AP959" s="659"/>
      <c r="AQ959" s="746"/>
    </row>
    <row r="960">
      <c r="A960" s="703"/>
      <c r="B960" s="1044"/>
      <c r="C960" s="1005"/>
      <c r="D960" s="645"/>
      <c r="E960" s="645"/>
      <c r="F960" s="951"/>
      <c r="G960" s="951"/>
      <c r="H960" s="951"/>
      <c r="I960" s="951"/>
      <c r="J960" s="951"/>
      <c r="K960" s="951"/>
      <c r="L960" s="951"/>
      <c r="M960" s="951"/>
      <c r="N960" s="659"/>
      <c r="O960" s="951"/>
      <c r="P960" s="951"/>
      <c r="Q960" s="659"/>
      <c r="R960" s="659"/>
      <c r="S960" s="659"/>
      <c r="T960" s="659"/>
      <c r="U960" s="659"/>
      <c r="V960" s="659"/>
      <c r="W960" s="659"/>
      <c r="X960" s="659"/>
      <c r="Y960" s="659"/>
      <c r="Z960" s="659"/>
      <c r="AA960" s="659"/>
      <c r="AB960" s="659"/>
      <c r="AC960" s="659"/>
      <c r="AD960" s="659"/>
      <c r="AE960" s="659"/>
      <c r="AF960" s="659"/>
      <c r="AG960" s="659"/>
      <c r="AH960" s="659"/>
      <c r="AI960" s="659"/>
      <c r="AJ960" s="659"/>
      <c r="AK960" s="659"/>
      <c r="AL960" s="659"/>
      <c r="AM960" s="659"/>
      <c r="AN960" s="659"/>
      <c r="AO960" s="659"/>
      <c r="AP960" s="659"/>
      <c r="AQ960" s="746"/>
    </row>
    <row r="961">
      <c r="A961" s="703"/>
      <c r="B961" s="1004"/>
      <c r="C961" s="1005"/>
      <c r="D961" s="645"/>
      <c r="E961" s="645"/>
      <c r="F961" s="951"/>
      <c r="G961" s="951"/>
      <c r="H961" s="951"/>
      <c r="I961" s="951"/>
      <c r="J961" s="951"/>
      <c r="K961" s="951"/>
      <c r="L961" s="951"/>
      <c r="M961" s="951"/>
      <c r="N961" s="659"/>
      <c r="O961" s="951"/>
      <c r="P961" s="951"/>
      <c r="Q961" s="659"/>
      <c r="R961" s="659"/>
      <c r="S961" s="659"/>
      <c r="T961" s="659"/>
      <c r="U961" s="659"/>
      <c r="V961" s="659"/>
      <c r="W961" s="659"/>
      <c r="X961" s="659"/>
      <c r="Y961" s="659"/>
      <c r="Z961" s="659"/>
      <c r="AA961" s="659"/>
      <c r="AB961" s="659"/>
      <c r="AC961" s="659"/>
      <c r="AD961" s="659"/>
      <c r="AE961" s="659"/>
      <c r="AF961" s="659"/>
      <c r="AG961" s="659"/>
      <c r="AH961" s="659"/>
      <c r="AI961" s="659"/>
      <c r="AJ961" s="659"/>
      <c r="AK961" s="659"/>
      <c r="AL961" s="659"/>
      <c r="AM961" s="659"/>
      <c r="AN961" s="659"/>
      <c r="AO961" s="659"/>
      <c r="AP961" s="659"/>
      <c r="AQ961" s="746"/>
    </row>
    <row r="962">
      <c r="A962" s="703"/>
      <c r="B962" s="1044"/>
      <c r="C962" s="1005"/>
      <c r="D962" s="645"/>
      <c r="E962" s="645"/>
      <c r="F962" s="951"/>
      <c r="G962" s="951"/>
      <c r="H962" s="951"/>
      <c r="I962" s="951"/>
      <c r="J962" s="951"/>
      <c r="K962" s="951"/>
      <c r="L962" s="951"/>
      <c r="M962" s="951"/>
      <c r="N962" s="659"/>
      <c r="O962" s="951"/>
      <c r="P962" s="951"/>
      <c r="Q962" s="659"/>
      <c r="R962" s="659"/>
      <c r="S962" s="659"/>
      <c r="T962" s="659"/>
      <c r="U962" s="659"/>
      <c r="V962" s="659"/>
      <c r="W962" s="659"/>
      <c r="X962" s="659"/>
      <c r="Y962" s="659"/>
      <c r="Z962" s="659"/>
      <c r="AA962" s="659"/>
      <c r="AB962" s="659"/>
      <c r="AC962" s="659"/>
      <c r="AD962" s="659"/>
      <c r="AE962" s="659"/>
      <c r="AF962" s="659"/>
      <c r="AG962" s="659"/>
      <c r="AH962" s="659"/>
      <c r="AI962" s="659"/>
      <c r="AJ962" s="659"/>
      <c r="AK962" s="659"/>
      <c r="AL962" s="659"/>
      <c r="AM962" s="659"/>
      <c r="AN962" s="659"/>
      <c r="AO962" s="659"/>
      <c r="AP962" s="659"/>
      <c r="AQ962" s="746"/>
    </row>
    <row r="963">
      <c r="A963" s="703"/>
      <c r="B963" s="1044"/>
      <c r="C963" s="1005"/>
      <c r="D963" s="645"/>
      <c r="E963" s="645"/>
      <c r="F963" s="951"/>
      <c r="G963" s="951"/>
      <c r="H963" s="951"/>
      <c r="I963" s="951"/>
      <c r="J963" s="951"/>
      <c r="K963" s="951"/>
      <c r="L963" s="951"/>
      <c r="M963" s="951"/>
      <c r="N963" s="659"/>
      <c r="O963" s="951"/>
      <c r="P963" s="951"/>
      <c r="Q963" s="659"/>
      <c r="R963" s="659"/>
      <c r="S963" s="659"/>
      <c r="T963" s="659"/>
      <c r="U963" s="659"/>
      <c r="V963" s="659"/>
      <c r="W963" s="659"/>
      <c r="X963" s="659"/>
      <c r="Y963" s="659"/>
      <c r="Z963" s="659"/>
      <c r="AA963" s="659"/>
      <c r="AB963" s="659"/>
      <c r="AC963" s="659"/>
      <c r="AD963" s="659"/>
      <c r="AE963" s="659"/>
      <c r="AF963" s="659"/>
      <c r="AG963" s="659"/>
      <c r="AH963" s="659"/>
      <c r="AI963" s="659"/>
      <c r="AJ963" s="659"/>
      <c r="AK963" s="659"/>
      <c r="AL963" s="659"/>
      <c r="AM963" s="659"/>
      <c r="AN963" s="659"/>
      <c r="AO963" s="659"/>
      <c r="AP963" s="659"/>
      <c r="AQ963" s="746"/>
    </row>
    <row r="964">
      <c r="A964" s="703"/>
      <c r="B964" s="1044"/>
      <c r="C964" s="1005"/>
      <c r="D964" s="645"/>
      <c r="E964" s="645"/>
      <c r="F964" s="951"/>
      <c r="G964" s="951"/>
      <c r="H964" s="951"/>
      <c r="I964" s="951"/>
      <c r="J964" s="951"/>
      <c r="K964" s="951"/>
      <c r="L964" s="951"/>
      <c r="M964" s="951"/>
      <c r="N964" s="659"/>
      <c r="O964" s="951"/>
      <c r="P964" s="951"/>
      <c r="Q964" s="659"/>
      <c r="R964" s="659"/>
      <c r="S964" s="659"/>
      <c r="T964" s="659"/>
      <c r="U964" s="659"/>
      <c r="V964" s="659"/>
      <c r="W964" s="659"/>
      <c r="X964" s="659"/>
      <c r="Y964" s="659"/>
      <c r="Z964" s="659"/>
      <c r="AA964" s="659"/>
      <c r="AB964" s="659"/>
      <c r="AC964" s="659"/>
      <c r="AD964" s="659"/>
      <c r="AE964" s="659"/>
      <c r="AF964" s="659"/>
      <c r="AG964" s="659"/>
      <c r="AH964" s="659"/>
      <c r="AI964" s="659"/>
      <c r="AJ964" s="659"/>
      <c r="AK964" s="659"/>
      <c r="AL964" s="659"/>
      <c r="AM964" s="659"/>
      <c r="AN964" s="659"/>
      <c r="AO964" s="659"/>
      <c r="AP964" s="659"/>
      <c r="AQ964" s="746"/>
    </row>
    <row r="965">
      <c r="A965" s="703"/>
      <c r="B965" s="1044"/>
      <c r="C965" s="1005"/>
      <c r="D965" s="645"/>
      <c r="E965" s="645"/>
      <c r="F965" s="951"/>
      <c r="G965" s="951"/>
      <c r="H965" s="951"/>
      <c r="I965" s="951"/>
      <c r="J965" s="951"/>
      <c r="K965" s="951"/>
      <c r="L965" s="951"/>
      <c r="M965" s="951"/>
      <c r="N965" s="659"/>
      <c r="O965" s="951"/>
      <c r="P965" s="951"/>
      <c r="Q965" s="659"/>
      <c r="R965" s="659"/>
      <c r="S965" s="659"/>
      <c r="T965" s="659"/>
      <c r="U965" s="659"/>
      <c r="V965" s="659"/>
      <c r="W965" s="659"/>
      <c r="X965" s="659"/>
      <c r="Y965" s="659"/>
      <c r="Z965" s="659"/>
      <c r="AA965" s="659"/>
      <c r="AB965" s="659"/>
      <c r="AC965" s="659"/>
      <c r="AD965" s="659"/>
      <c r="AE965" s="659"/>
      <c r="AF965" s="659"/>
      <c r="AG965" s="659"/>
      <c r="AH965" s="659"/>
      <c r="AI965" s="659"/>
      <c r="AJ965" s="659"/>
      <c r="AK965" s="659"/>
      <c r="AL965" s="659"/>
      <c r="AM965" s="659"/>
      <c r="AN965" s="659"/>
      <c r="AO965" s="659"/>
      <c r="AP965" s="659"/>
      <c r="AQ965" s="746"/>
    </row>
    <row r="966">
      <c r="A966" s="703"/>
      <c r="B966" s="1044"/>
      <c r="C966" s="1005"/>
      <c r="D966" s="645"/>
      <c r="E966" s="645"/>
      <c r="F966" s="951"/>
      <c r="G966" s="951"/>
      <c r="H966" s="951"/>
      <c r="I966" s="951"/>
      <c r="J966" s="951"/>
      <c r="K966" s="951"/>
      <c r="L966" s="951"/>
      <c r="M966" s="951"/>
      <c r="N966" s="659"/>
      <c r="O966" s="951"/>
      <c r="P966" s="951"/>
      <c r="Q966" s="659"/>
      <c r="R966" s="659"/>
      <c r="S966" s="659"/>
      <c r="T966" s="659"/>
      <c r="U966" s="659"/>
      <c r="V966" s="659"/>
      <c r="W966" s="659"/>
      <c r="X966" s="659"/>
      <c r="Y966" s="659"/>
      <c r="Z966" s="659"/>
      <c r="AA966" s="659"/>
      <c r="AB966" s="659"/>
      <c r="AC966" s="659"/>
      <c r="AD966" s="659"/>
      <c r="AE966" s="659"/>
      <c r="AF966" s="659"/>
      <c r="AG966" s="659"/>
      <c r="AH966" s="659"/>
      <c r="AI966" s="659"/>
      <c r="AJ966" s="659"/>
      <c r="AK966" s="659"/>
      <c r="AL966" s="659"/>
      <c r="AM966" s="659"/>
      <c r="AN966" s="659"/>
      <c r="AO966" s="659"/>
      <c r="AP966" s="659"/>
      <c r="AQ966" s="746"/>
    </row>
    <row r="967">
      <c r="A967" s="703"/>
      <c r="B967" s="1044"/>
      <c r="C967" s="1005"/>
      <c r="D967" s="645"/>
      <c r="E967" s="645"/>
      <c r="F967" s="951"/>
      <c r="G967" s="951"/>
      <c r="H967" s="951"/>
      <c r="I967" s="951"/>
      <c r="J967" s="951"/>
      <c r="K967" s="951"/>
      <c r="L967" s="951"/>
      <c r="M967" s="951"/>
      <c r="N967" s="659"/>
      <c r="O967" s="951"/>
      <c r="P967" s="951"/>
      <c r="Q967" s="659"/>
      <c r="R967" s="659"/>
      <c r="S967" s="659"/>
      <c r="T967" s="659"/>
      <c r="U967" s="659"/>
      <c r="V967" s="659"/>
      <c r="W967" s="659"/>
      <c r="X967" s="659"/>
      <c r="Y967" s="659"/>
      <c r="Z967" s="659"/>
      <c r="AA967" s="659"/>
      <c r="AB967" s="659"/>
      <c r="AC967" s="659"/>
      <c r="AD967" s="659"/>
      <c r="AE967" s="659"/>
      <c r="AF967" s="659"/>
      <c r="AG967" s="659"/>
      <c r="AH967" s="659"/>
      <c r="AI967" s="659"/>
      <c r="AJ967" s="659"/>
      <c r="AK967" s="659"/>
      <c r="AL967" s="659"/>
      <c r="AM967" s="659"/>
      <c r="AN967" s="659"/>
      <c r="AO967" s="659"/>
      <c r="AP967" s="659"/>
      <c r="AQ967" s="746"/>
    </row>
    <row r="968">
      <c r="A968" s="703"/>
      <c r="B968" s="1044"/>
      <c r="C968" s="1005"/>
      <c r="D968" s="645"/>
      <c r="E968" s="645"/>
      <c r="F968" s="951"/>
      <c r="G968" s="951"/>
      <c r="H968" s="951"/>
      <c r="I968" s="951"/>
      <c r="J968" s="951"/>
      <c r="K968" s="951"/>
      <c r="L968" s="951"/>
      <c r="M968" s="951"/>
      <c r="N968" s="659"/>
      <c r="O968" s="951"/>
      <c r="P968" s="951"/>
      <c r="Q968" s="659"/>
      <c r="R968" s="659"/>
      <c r="S968" s="659"/>
      <c r="T968" s="659"/>
      <c r="U968" s="659"/>
      <c r="V968" s="659"/>
      <c r="W968" s="659"/>
      <c r="X968" s="659"/>
      <c r="Y968" s="659"/>
      <c r="Z968" s="659"/>
      <c r="AA968" s="659"/>
      <c r="AB968" s="659"/>
      <c r="AC968" s="659"/>
      <c r="AD968" s="659"/>
      <c r="AE968" s="659"/>
      <c r="AF968" s="659"/>
      <c r="AG968" s="659"/>
      <c r="AH968" s="659"/>
      <c r="AI968" s="659"/>
      <c r="AJ968" s="659"/>
      <c r="AK968" s="659"/>
      <c r="AL968" s="659"/>
      <c r="AM968" s="659"/>
      <c r="AN968" s="659"/>
      <c r="AO968" s="659"/>
      <c r="AP968" s="659"/>
      <c r="AQ968" s="746"/>
    </row>
    <row r="969">
      <c r="A969" s="703"/>
      <c r="B969" s="1004"/>
      <c r="C969" s="1005"/>
      <c r="D969" s="645"/>
      <c r="E969" s="645"/>
      <c r="F969" s="951"/>
      <c r="G969" s="951"/>
      <c r="H969" s="951"/>
      <c r="I969" s="951"/>
      <c r="J969" s="951"/>
      <c r="K969" s="951"/>
      <c r="L969" s="951"/>
      <c r="M969" s="951"/>
      <c r="N969" s="659"/>
      <c r="O969" s="951"/>
      <c r="P969" s="951"/>
      <c r="Q969" s="659"/>
      <c r="R969" s="659"/>
      <c r="S969" s="659"/>
      <c r="T969" s="659"/>
      <c r="U969" s="659"/>
      <c r="V969" s="659"/>
      <c r="W969" s="659"/>
      <c r="X969" s="659"/>
      <c r="Y969" s="659"/>
      <c r="Z969" s="659"/>
      <c r="AA969" s="659"/>
      <c r="AB969" s="659"/>
      <c r="AC969" s="659"/>
      <c r="AD969" s="659"/>
      <c r="AE969" s="659"/>
      <c r="AF969" s="659"/>
      <c r="AG969" s="659"/>
      <c r="AH969" s="659"/>
      <c r="AI969" s="659"/>
      <c r="AJ969" s="659"/>
      <c r="AK969" s="659"/>
      <c r="AL969" s="659"/>
      <c r="AM969" s="659"/>
      <c r="AN969" s="659"/>
      <c r="AO969" s="659"/>
      <c r="AP969" s="659"/>
      <c r="AQ969" s="746"/>
    </row>
    <row r="970">
      <c r="A970" s="703"/>
      <c r="B970" s="1004"/>
      <c r="C970" s="1005"/>
      <c r="D970" s="645"/>
      <c r="E970" s="645"/>
      <c r="F970" s="951"/>
      <c r="G970" s="951"/>
      <c r="H970" s="951"/>
      <c r="I970" s="951"/>
      <c r="J970" s="951"/>
      <c r="K970" s="951"/>
      <c r="L970" s="951"/>
      <c r="M970" s="951"/>
      <c r="N970" s="659"/>
      <c r="O970" s="951"/>
      <c r="P970" s="951"/>
      <c r="Q970" s="659"/>
      <c r="R970" s="659"/>
      <c r="S970" s="659"/>
      <c r="T970" s="659"/>
      <c r="U970" s="659"/>
      <c r="V970" s="659"/>
      <c r="W970" s="659"/>
      <c r="X970" s="659"/>
      <c r="Y970" s="659"/>
      <c r="Z970" s="659"/>
      <c r="AA970" s="659"/>
      <c r="AB970" s="659"/>
      <c r="AC970" s="659"/>
      <c r="AD970" s="659"/>
      <c r="AE970" s="659"/>
      <c r="AF970" s="659"/>
      <c r="AG970" s="659"/>
      <c r="AH970" s="659"/>
      <c r="AI970" s="659"/>
      <c r="AJ970" s="659"/>
      <c r="AK970" s="659"/>
      <c r="AL970" s="659"/>
      <c r="AM970" s="659"/>
      <c r="AN970" s="659"/>
      <c r="AO970" s="659"/>
      <c r="AP970" s="659"/>
      <c r="AQ970" s="746"/>
    </row>
    <row r="971">
      <c r="A971" s="703"/>
      <c r="B971" s="1044"/>
      <c r="C971" s="1005"/>
      <c r="D971" s="645"/>
      <c r="E971" s="645"/>
      <c r="F971" s="951"/>
      <c r="G971" s="951"/>
      <c r="H971" s="951"/>
      <c r="I971" s="951"/>
      <c r="J971" s="951"/>
      <c r="K971" s="951"/>
      <c r="L971" s="951"/>
      <c r="M971" s="951"/>
      <c r="N971" s="659"/>
      <c r="O971" s="951"/>
      <c r="P971" s="951"/>
      <c r="Q971" s="659"/>
      <c r="R971" s="659"/>
      <c r="S971" s="659"/>
      <c r="T971" s="659"/>
      <c r="U971" s="659"/>
      <c r="V971" s="659"/>
      <c r="W971" s="659"/>
      <c r="X971" s="659"/>
      <c r="Y971" s="659"/>
      <c r="Z971" s="659"/>
      <c r="AA971" s="659"/>
      <c r="AB971" s="659"/>
      <c r="AC971" s="659"/>
      <c r="AD971" s="659"/>
      <c r="AE971" s="659"/>
      <c r="AF971" s="659"/>
      <c r="AG971" s="659"/>
      <c r="AH971" s="659"/>
      <c r="AI971" s="659"/>
      <c r="AJ971" s="659"/>
      <c r="AK971" s="659"/>
      <c r="AL971" s="659"/>
      <c r="AM971" s="659"/>
      <c r="AN971" s="659"/>
      <c r="AO971" s="659"/>
      <c r="AP971" s="659"/>
      <c r="AQ971" s="746"/>
    </row>
    <row r="972">
      <c r="A972" s="703"/>
      <c r="B972" s="1004"/>
      <c r="C972" s="1005"/>
      <c r="D972" s="645"/>
      <c r="E972" s="645"/>
      <c r="F972" s="951"/>
      <c r="G972" s="951"/>
      <c r="H972" s="951"/>
      <c r="I972" s="951"/>
      <c r="J972" s="951"/>
      <c r="K972" s="951"/>
      <c r="L972" s="951"/>
      <c r="M972" s="951"/>
      <c r="N972" s="659"/>
      <c r="O972" s="951"/>
      <c r="P972" s="951"/>
      <c r="Q972" s="659"/>
      <c r="R972" s="659"/>
      <c r="S972" s="659"/>
      <c r="T972" s="659"/>
      <c r="U972" s="659"/>
      <c r="V972" s="659"/>
      <c r="W972" s="659"/>
      <c r="X972" s="659"/>
      <c r="Y972" s="659"/>
      <c r="Z972" s="659"/>
      <c r="AA972" s="659"/>
      <c r="AB972" s="659"/>
      <c r="AC972" s="659"/>
      <c r="AD972" s="659"/>
      <c r="AE972" s="659"/>
      <c r="AF972" s="659"/>
      <c r="AG972" s="659"/>
      <c r="AH972" s="659"/>
      <c r="AI972" s="659"/>
      <c r="AJ972" s="659"/>
      <c r="AK972" s="659"/>
      <c r="AL972" s="659"/>
      <c r="AM972" s="659"/>
      <c r="AN972" s="659"/>
      <c r="AO972" s="659"/>
      <c r="AP972" s="659"/>
      <c r="AQ972" s="746"/>
    </row>
    <row r="973">
      <c r="A973" s="703"/>
      <c r="B973" s="1044"/>
      <c r="C973" s="1005"/>
      <c r="D973" s="645"/>
      <c r="E973" s="645"/>
      <c r="F973" s="951"/>
      <c r="G973" s="951"/>
      <c r="H973" s="951"/>
      <c r="I973" s="951"/>
      <c r="J973" s="951"/>
      <c r="K973" s="951"/>
      <c r="L973" s="951"/>
      <c r="M973" s="951"/>
      <c r="N973" s="659"/>
      <c r="O973" s="951"/>
      <c r="P973" s="951"/>
      <c r="Q973" s="659"/>
      <c r="R973" s="659"/>
      <c r="S973" s="659"/>
      <c r="T973" s="659"/>
      <c r="U973" s="659"/>
      <c r="V973" s="659"/>
      <c r="W973" s="659"/>
      <c r="X973" s="659"/>
      <c r="Y973" s="659"/>
      <c r="Z973" s="659"/>
      <c r="AA973" s="659"/>
      <c r="AB973" s="659"/>
      <c r="AC973" s="659"/>
      <c r="AD973" s="659"/>
      <c r="AE973" s="659"/>
      <c r="AF973" s="659"/>
      <c r="AG973" s="659"/>
      <c r="AH973" s="659"/>
      <c r="AI973" s="659"/>
      <c r="AJ973" s="659"/>
      <c r="AK973" s="659"/>
      <c r="AL973" s="659"/>
      <c r="AM973" s="659"/>
      <c r="AN973" s="659"/>
      <c r="AO973" s="659"/>
      <c r="AP973" s="659"/>
      <c r="AQ973" s="746"/>
    </row>
    <row r="974">
      <c r="A974" s="703"/>
      <c r="B974" s="1004"/>
      <c r="C974" s="1005"/>
      <c r="D974" s="645"/>
      <c r="E974" s="645"/>
      <c r="F974" s="951"/>
      <c r="G974" s="951"/>
      <c r="H974" s="951"/>
      <c r="I974" s="951"/>
      <c r="J974" s="951"/>
      <c r="K974" s="951"/>
      <c r="L974" s="951"/>
      <c r="M974" s="951"/>
      <c r="N974" s="659"/>
      <c r="O974" s="951"/>
      <c r="P974" s="951"/>
      <c r="Q974" s="659"/>
      <c r="R974" s="659"/>
      <c r="S974" s="659"/>
      <c r="T974" s="659"/>
      <c r="U974" s="659"/>
      <c r="V974" s="659"/>
      <c r="W974" s="659"/>
      <c r="X974" s="659"/>
      <c r="Y974" s="659"/>
      <c r="Z974" s="659"/>
      <c r="AA974" s="659"/>
      <c r="AB974" s="659"/>
      <c r="AC974" s="659"/>
      <c r="AD974" s="659"/>
      <c r="AE974" s="659"/>
      <c r="AF974" s="659"/>
      <c r="AG974" s="659"/>
      <c r="AH974" s="659"/>
      <c r="AI974" s="659"/>
      <c r="AJ974" s="659"/>
      <c r="AK974" s="659"/>
      <c r="AL974" s="659"/>
      <c r="AM974" s="659"/>
      <c r="AN974" s="659"/>
      <c r="AO974" s="659"/>
      <c r="AP974" s="659"/>
      <c r="AQ974" s="746"/>
    </row>
    <row r="975">
      <c r="A975" s="703"/>
      <c r="B975" s="1004"/>
      <c r="C975" s="1005"/>
      <c r="D975" s="645"/>
      <c r="E975" s="645"/>
      <c r="F975" s="951"/>
      <c r="G975" s="951"/>
      <c r="H975" s="951"/>
      <c r="I975" s="951"/>
      <c r="J975" s="951"/>
      <c r="K975" s="951"/>
      <c r="L975" s="951"/>
      <c r="M975" s="951"/>
      <c r="N975" s="659"/>
      <c r="O975" s="951"/>
      <c r="P975" s="951"/>
      <c r="Q975" s="659"/>
      <c r="R975" s="659"/>
      <c r="S975" s="659"/>
      <c r="T975" s="659"/>
      <c r="U975" s="659"/>
      <c r="V975" s="659"/>
      <c r="W975" s="659"/>
      <c r="X975" s="659"/>
      <c r="Y975" s="659"/>
      <c r="Z975" s="659"/>
      <c r="AA975" s="659"/>
      <c r="AB975" s="659"/>
      <c r="AC975" s="659"/>
      <c r="AD975" s="659"/>
      <c r="AE975" s="659"/>
      <c r="AF975" s="659"/>
      <c r="AG975" s="659"/>
      <c r="AH975" s="659"/>
      <c r="AI975" s="659"/>
      <c r="AJ975" s="659"/>
      <c r="AK975" s="659"/>
      <c r="AL975" s="659"/>
      <c r="AM975" s="659"/>
      <c r="AN975" s="659"/>
      <c r="AO975" s="659"/>
      <c r="AP975" s="659"/>
      <c r="AQ975" s="746"/>
    </row>
    <row r="976">
      <c r="A976" s="703"/>
      <c r="B976" s="1044"/>
      <c r="C976" s="1005"/>
      <c r="D976" s="645"/>
      <c r="E976" s="645"/>
      <c r="F976" s="951"/>
      <c r="G976" s="951"/>
      <c r="H976" s="951"/>
      <c r="I976" s="951"/>
      <c r="J976" s="951"/>
      <c r="K976" s="951"/>
      <c r="L976" s="951"/>
      <c r="M976" s="951"/>
      <c r="N976" s="659"/>
      <c r="O976" s="951"/>
      <c r="P976" s="951"/>
      <c r="Q976" s="659"/>
      <c r="R976" s="659"/>
      <c r="S976" s="659"/>
      <c r="T976" s="659"/>
      <c r="U976" s="659"/>
      <c r="V976" s="659"/>
      <c r="W976" s="659"/>
      <c r="X976" s="659"/>
      <c r="Y976" s="659"/>
      <c r="Z976" s="659"/>
      <c r="AA976" s="659"/>
      <c r="AB976" s="659"/>
      <c r="AC976" s="659"/>
      <c r="AD976" s="659"/>
      <c r="AE976" s="659"/>
      <c r="AF976" s="659"/>
      <c r="AG976" s="659"/>
      <c r="AH976" s="659"/>
      <c r="AI976" s="659"/>
      <c r="AJ976" s="659"/>
      <c r="AK976" s="659"/>
      <c r="AL976" s="659"/>
      <c r="AM976" s="659"/>
      <c r="AN976" s="659"/>
      <c r="AO976" s="659"/>
      <c r="AP976" s="659"/>
      <c r="AQ976" s="746"/>
    </row>
    <row r="977">
      <c r="A977" s="703"/>
      <c r="B977" s="1004"/>
      <c r="C977" s="1005"/>
      <c r="D977" s="645"/>
      <c r="E977" s="645"/>
      <c r="F977" s="951"/>
      <c r="G977" s="951"/>
      <c r="H977" s="951"/>
      <c r="I977" s="951"/>
      <c r="J977" s="951"/>
      <c r="K977" s="951"/>
      <c r="L977" s="951"/>
      <c r="M977" s="951"/>
      <c r="N977" s="659"/>
      <c r="O977" s="951"/>
      <c r="P977" s="951"/>
      <c r="Q977" s="659"/>
      <c r="R977" s="659"/>
      <c r="S977" s="659"/>
      <c r="T977" s="659"/>
      <c r="U977" s="659"/>
      <c r="V977" s="659"/>
      <c r="W977" s="659"/>
      <c r="X977" s="659"/>
      <c r="Y977" s="659"/>
      <c r="Z977" s="659"/>
      <c r="AA977" s="659"/>
      <c r="AB977" s="659"/>
      <c r="AC977" s="659"/>
      <c r="AD977" s="659"/>
      <c r="AE977" s="659"/>
      <c r="AF977" s="659"/>
      <c r="AG977" s="659"/>
      <c r="AH977" s="659"/>
      <c r="AI977" s="659"/>
      <c r="AJ977" s="659"/>
      <c r="AK977" s="659"/>
      <c r="AL977" s="659"/>
      <c r="AM977" s="659"/>
      <c r="AN977" s="659"/>
      <c r="AO977" s="659"/>
      <c r="AP977" s="659"/>
      <c r="AQ977" s="746"/>
    </row>
    <row r="978">
      <c r="A978" s="703"/>
      <c r="B978" s="1044"/>
      <c r="C978" s="1005"/>
      <c r="D978" s="645"/>
      <c r="E978" s="645"/>
      <c r="F978" s="951"/>
      <c r="G978" s="951"/>
      <c r="H978" s="951"/>
      <c r="I978" s="951"/>
      <c r="J978" s="951"/>
      <c r="K978" s="951"/>
      <c r="L978" s="951"/>
      <c r="M978" s="951"/>
      <c r="N978" s="659"/>
      <c r="O978" s="951"/>
      <c r="P978" s="951"/>
      <c r="Q978" s="659"/>
      <c r="R978" s="659"/>
      <c r="S978" s="659"/>
      <c r="T978" s="659"/>
      <c r="U978" s="659"/>
      <c r="V978" s="659"/>
      <c r="W978" s="659"/>
      <c r="X978" s="659"/>
      <c r="Y978" s="659"/>
      <c r="Z978" s="659"/>
      <c r="AA978" s="659"/>
      <c r="AB978" s="659"/>
      <c r="AC978" s="659"/>
      <c r="AD978" s="659"/>
      <c r="AE978" s="659"/>
      <c r="AF978" s="659"/>
      <c r="AG978" s="659"/>
      <c r="AH978" s="659"/>
      <c r="AI978" s="659"/>
      <c r="AJ978" s="659"/>
      <c r="AK978" s="659"/>
      <c r="AL978" s="659"/>
      <c r="AM978" s="659"/>
      <c r="AN978" s="659"/>
      <c r="AO978" s="659"/>
      <c r="AP978" s="659"/>
      <c r="AQ978" s="746"/>
    </row>
    <row r="979">
      <c r="A979" s="703"/>
      <c r="B979" s="1044"/>
      <c r="C979" s="1005"/>
      <c r="D979" s="645"/>
      <c r="E979" s="645"/>
      <c r="F979" s="951"/>
      <c r="G979" s="951"/>
      <c r="H979" s="951"/>
      <c r="I979" s="951"/>
      <c r="J979" s="951"/>
      <c r="K979" s="951"/>
      <c r="L979" s="951"/>
      <c r="M979" s="951"/>
      <c r="N979" s="659"/>
      <c r="O979" s="951"/>
      <c r="P979" s="951"/>
      <c r="Q979" s="659"/>
      <c r="R979" s="659"/>
      <c r="S979" s="659"/>
      <c r="T979" s="659"/>
      <c r="U979" s="659"/>
      <c r="V979" s="659"/>
      <c r="W979" s="659"/>
      <c r="X979" s="659"/>
      <c r="Y979" s="659"/>
      <c r="Z979" s="659"/>
      <c r="AA979" s="659"/>
      <c r="AB979" s="659"/>
      <c r="AC979" s="659"/>
      <c r="AD979" s="659"/>
      <c r="AE979" s="659"/>
      <c r="AF979" s="659"/>
      <c r="AG979" s="659"/>
      <c r="AH979" s="659"/>
      <c r="AI979" s="659"/>
      <c r="AJ979" s="659"/>
      <c r="AK979" s="659"/>
      <c r="AL979" s="659"/>
      <c r="AM979" s="659"/>
      <c r="AN979" s="659"/>
      <c r="AO979" s="659"/>
      <c r="AP979" s="659"/>
      <c r="AQ979" s="746"/>
    </row>
    <row r="980">
      <c r="A980" s="703"/>
      <c r="B980" s="1044"/>
      <c r="C980" s="1005"/>
      <c r="D980" s="645"/>
      <c r="E980" s="645"/>
      <c r="F980" s="951"/>
      <c r="G980" s="951"/>
      <c r="H980" s="951"/>
      <c r="I980" s="951"/>
      <c r="J980" s="951"/>
      <c r="K980" s="951"/>
      <c r="L980" s="951"/>
      <c r="M980" s="951"/>
      <c r="N980" s="659"/>
      <c r="O980" s="951"/>
      <c r="P980" s="951"/>
      <c r="Q980" s="659"/>
      <c r="R980" s="659"/>
      <c r="S980" s="659"/>
      <c r="T980" s="659"/>
      <c r="U980" s="659"/>
      <c r="V980" s="659"/>
      <c r="W980" s="659"/>
      <c r="X980" s="659"/>
      <c r="Y980" s="659"/>
      <c r="Z980" s="659"/>
      <c r="AA980" s="659"/>
      <c r="AB980" s="659"/>
      <c r="AC980" s="659"/>
      <c r="AD980" s="659"/>
      <c r="AE980" s="659"/>
      <c r="AF980" s="659"/>
      <c r="AG980" s="659"/>
      <c r="AH980" s="659"/>
      <c r="AI980" s="659"/>
      <c r="AJ980" s="659"/>
      <c r="AK980" s="659"/>
      <c r="AL980" s="659"/>
      <c r="AM980" s="659"/>
      <c r="AN980" s="659"/>
      <c r="AO980" s="659"/>
      <c r="AP980" s="659"/>
      <c r="AQ980" s="746"/>
    </row>
    <row r="981">
      <c r="A981" s="703"/>
      <c r="B981" s="1044"/>
      <c r="C981" s="1005"/>
      <c r="D981" s="645"/>
      <c r="E981" s="645"/>
      <c r="F981" s="951"/>
      <c r="G981" s="951"/>
      <c r="H981" s="951"/>
      <c r="I981" s="951"/>
      <c r="J981" s="951"/>
      <c r="K981" s="951"/>
      <c r="L981" s="951"/>
      <c r="M981" s="951"/>
      <c r="N981" s="659"/>
      <c r="O981" s="951"/>
      <c r="P981" s="951"/>
      <c r="Q981" s="659"/>
      <c r="R981" s="659"/>
      <c r="S981" s="659"/>
      <c r="T981" s="659"/>
      <c r="U981" s="659"/>
      <c r="V981" s="659"/>
      <c r="W981" s="659"/>
      <c r="X981" s="659"/>
      <c r="Y981" s="659"/>
      <c r="Z981" s="659"/>
      <c r="AA981" s="659"/>
      <c r="AB981" s="659"/>
      <c r="AC981" s="659"/>
      <c r="AD981" s="659"/>
      <c r="AE981" s="659"/>
      <c r="AF981" s="659"/>
      <c r="AG981" s="659"/>
      <c r="AH981" s="659"/>
      <c r="AI981" s="659"/>
      <c r="AJ981" s="659"/>
      <c r="AK981" s="659"/>
      <c r="AL981" s="659"/>
      <c r="AM981" s="659"/>
      <c r="AN981" s="659"/>
      <c r="AO981" s="659"/>
      <c r="AP981" s="659"/>
      <c r="AQ981" s="746"/>
    </row>
    <row r="982">
      <c r="A982" s="703"/>
      <c r="B982" s="1044"/>
      <c r="C982" s="1005"/>
      <c r="D982" s="645"/>
      <c r="E982" s="645"/>
      <c r="F982" s="951"/>
      <c r="G982" s="951"/>
      <c r="H982" s="951"/>
      <c r="I982" s="951"/>
      <c r="J982" s="951"/>
      <c r="K982" s="951"/>
      <c r="L982" s="951"/>
      <c r="M982" s="951"/>
      <c r="N982" s="659"/>
      <c r="O982" s="951"/>
      <c r="P982" s="951"/>
      <c r="Q982" s="659"/>
      <c r="R982" s="659"/>
      <c r="S982" s="659"/>
      <c r="T982" s="659"/>
      <c r="U982" s="659"/>
      <c r="V982" s="659"/>
      <c r="W982" s="659"/>
      <c r="X982" s="659"/>
      <c r="Y982" s="659"/>
      <c r="Z982" s="659"/>
      <c r="AA982" s="659"/>
      <c r="AB982" s="659"/>
      <c r="AC982" s="659"/>
      <c r="AD982" s="659"/>
      <c r="AE982" s="659"/>
      <c r="AF982" s="659"/>
      <c r="AG982" s="659"/>
      <c r="AH982" s="659"/>
      <c r="AI982" s="659"/>
      <c r="AJ982" s="659"/>
      <c r="AK982" s="659"/>
      <c r="AL982" s="659"/>
      <c r="AM982" s="659"/>
      <c r="AN982" s="659"/>
      <c r="AO982" s="659"/>
      <c r="AP982" s="659"/>
      <c r="AQ982" s="746"/>
    </row>
    <row r="983">
      <c r="A983" s="703"/>
      <c r="B983" s="1044"/>
      <c r="C983" s="1005"/>
      <c r="D983" s="645"/>
      <c r="E983" s="645"/>
      <c r="F983" s="951"/>
      <c r="G983" s="951"/>
      <c r="H983" s="951"/>
      <c r="I983" s="951"/>
      <c r="J983" s="951"/>
      <c r="K983" s="951"/>
      <c r="L983" s="951"/>
      <c r="M983" s="951"/>
      <c r="N983" s="659"/>
      <c r="O983" s="951"/>
      <c r="P983" s="951"/>
      <c r="Q983" s="659"/>
      <c r="R983" s="659"/>
      <c r="S983" s="659"/>
      <c r="T983" s="659"/>
      <c r="U983" s="659"/>
      <c r="V983" s="659"/>
      <c r="W983" s="659"/>
      <c r="X983" s="659"/>
      <c r="Y983" s="659"/>
      <c r="Z983" s="659"/>
      <c r="AA983" s="659"/>
      <c r="AB983" s="659"/>
      <c r="AC983" s="659"/>
      <c r="AD983" s="659"/>
      <c r="AE983" s="659"/>
      <c r="AF983" s="659"/>
      <c r="AG983" s="659"/>
      <c r="AH983" s="659"/>
      <c r="AI983" s="659"/>
      <c r="AJ983" s="659"/>
      <c r="AK983" s="659"/>
      <c r="AL983" s="659"/>
      <c r="AM983" s="659"/>
      <c r="AN983" s="659"/>
      <c r="AO983" s="659"/>
      <c r="AP983" s="659"/>
      <c r="AQ983" s="746"/>
    </row>
    <row r="984">
      <c r="A984" s="703"/>
      <c r="B984" s="1044"/>
      <c r="C984" s="1005"/>
      <c r="D984" s="645"/>
      <c r="E984" s="645"/>
      <c r="F984" s="951"/>
      <c r="G984" s="951"/>
      <c r="H984" s="951"/>
      <c r="I984" s="951"/>
      <c r="J984" s="951"/>
      <c r="K984" s="951"/>
      <c r="L984" s="951"/>
      <c r="M984" s="951"/>
      <c r="N984" s="659"/>
      <c r="O984" s="951"/>
      <c r="P984" s="951"/>
      <c r="Q984" s="659"/>
      <c r="R984" s="659"/>
      <c r="S984" s="659"/>
      <c r="T984" s="659"/>
      <c r="U984" s="659"/>
      <c r="V984" s="659"/>
      <c r="W984" s="659"/>
      <c r="X984" s="659"/>
      <c r="Y984" s="659"/>
      <c r="Z984" s="659"/>
      <c r="AA984" s="659"/>
      <c r="AB984" s="659"/>
      <c r="AC984" s="659"/>
      <c r="AD984" s="659"/>
      <c r="AE984" s="659"/>
      <c r="AF984" s="659"/>
      <c r="AG984" s="659"/>
      <c r="AH984" s="659"/>
      <c r="AI984" s="659"/>
      <c r="AJ984" s="659"/>
      <c r="AK984" s="659"/>
      <c r="AL984" s="659"/>
      <c r="AM984" s="659"/>
      <c r="AN984" s="659"/>
      <c r="AO984" s="659"/>
      <c r="AP984" s="659"/>
      <c r="AQ984" s="746"/>
    </row>
    <row r="985">
      <c r="A985" s="703"/>
      <c r="B985" s="1131"/>
      <c r="C985" s="1005"/>
      <c r="D985" s="645"/>
      <c r="E985" s="645"/>
      <c r="F985" s="951"/>
      <c r="G985" s="951"/>
      <c r="H985" s="951"/>
      <c r="I985" s="951"/>
      <c r="J985" s="951"/>
      <c r="K985" s="951"/>
      <c r="L985" s="951"/>
      <c r="M985" s="951"/>
      <c r="N985" s="659"/>
      <c r="O985" s="951"/>
      <c r="P985" s="951"/>
      <c r="Q985" s="659"/>
      <c r="R985" s="659"/>
      <c r="S985" s="659"/>
      <c r="T985" s="659"/>
      <c r="U985" s="659"/>
      <c r="V985" s="659"/>
      <c r="W985" s="659"/>
      <c r="X985" s="659"/>
      <c r="Y985" s="659"/>
      <c r="Z985" s="659"/>
      <c r="AA985" s="659"/>
      <c r="AB985" s="659"/>
      <c r="AC985" s="659"/>
      <c r="AD985" s="659"/>
      <c r="AE985" s="659"/>
      <c r="AF985" s="659"/>
      <c r="AG985" s="659"/>
      <c r="AH985" s="659"/>
      <c r="AI985" s="659"/>
      <c r="AJ985" s="659"/>
      <c r="AK985" s="659"/>
      <c r="AL985" s="659"/>
      <c r="AM985" s="659"/>
      <c r="AN985" s="659"/>
      <c r="AO985" s="659"/>
      <c r="AP985" s="659"/>
      <c r="AQ985" s="746"/>
    </row>
    <row r="986">
      <c r="A986" s="703"/>
      <c r="B986" s="1004"/>
      <c r="C986" s="1005"/>
      <c r="D986" s="645"/>
      <c r="E986" s="645"/>
      <c r="F986" s="951"/>
      <c r="G986" s="951"/>
      <c r="H986" s="951"/>
      <c r="I986" s="951"/>
      <c r="J986" s="951"/>
      <c r="K986" s="951"/>
      <c r="L986" s="951"/>
      <c r="M986" s="951"/>
      <c r="N986" s="659"/>
      <c r="O986" s="951"/>
      <c r="P986" s="951"/>
      <c r="Q986" s="659"/>
      <c r="R986" s="659"/>
      <c r="S986" s="659"/>
      <c r="T986" s="659"/>
      <c r="U986" s="659"/>
      <c r="V986" s="659"/>
      <c r="W986" s="659"/>
      <c r="X986" s="659"/>
      <c r="Y986" s="659"/>
      <c r="Z986" s="659"/>
      <c r="AA986" s="659"/>
      <c r="AB986" s="659"/>
      <c r="AC986" s="659"/>
      <c r="AD986" s="659"/>
      <c r="AE986" s="659"/>
      <c r="AF986" s="659"/>
      <c r="AG986" s="659"/>
      <c r="AH986" s="659"/>
      <c r="AI986" s="659"/>
      <c r="AJ986" s="659"/>
      <c r="AK986" s="659"/>
      <c r="AL986" s="659"/>
      <c r="AM986" s="659"/>
      <c r="AN986" s="659"/>
      <c r="AO986" s="659"/>
      <c r="AP986" s="659"/>
      <c r="AQ986" s="746"/>
    </row>
    <row r="987">
      <c r="A987" s="703"/>
      <c r="B987" s="1004"/>
      <c r="C987" s="1005"/>
      <c r="D987" s="645"/>
      <c r="E987" s="645"/>
      <c r="F987" s="951"/>
      <c r="G987" s="951"/>
      <c r="H987" s="951"/>
      <c r="I987" s="951"/>
      <c r="J987" s="951"/>
      <c r="K987" s="951"/>
      <c r="L987" s="951"/>
      <c r="M987" s="951"/>
      <c r="N987" s="659"/>
      <c r="O987" s="951"/>
      <c r="P987" s="951"/>
      <c r="Q987" s="659"/>
      <c r="R987" s="659"/>
      <c r="S987" s="659"/>
      <c r="T987" s="659"/>
      <c r="U987" s="659"/>
      <c r="V987" s="659"/>
      <c r="W987" s="659"/>
      <c r="X987" s="659"/>
      <c r="Y987" s="659"/>
      <c r="Z987" s="659"/>
      <c r="AA987" s="659"/>
      <c r="AB987" s="659"/>
      <c r="AC987" s="659"/>
      <c r="AD987" s="659"/>
      <c r="AE987" s="659"/>
      <c r="AF987" s="659"/>
      <c r="AG987" s="659"/>
      <c r="AH987" s="659"/>
      <c r="AI987" s="659"/>
      <c r="AJ987" s="659"/>
      <c r="AK987" s="659"/>
      <c r="AL987" s="659"/>
      <c r="AM987" s="659"/>
      <c r="AN987" s="659"/>
      <c r="AO987" s="659"/>
      <c r="AP987" s="659"/>
      <c r="AQ987" s="746"/>
    </row>
    <row r="988">
      <c r="A988" s="703"/>
      <c r="B988" s="1044"/>
      <c r="C988" s="1005"/>
      <c r="D988" s="645"/>
      <c r="E988" s="645"/>
      <c r="F988" s="951"/>
      <c r="G988" s="951"/>
      <c r="H988" s="951"/>
      <c r="I988" s="951"/>
      <c r="J988" s="951"/>
      <c r="K988" s="951"/>
      <c r="L988" s="951"/>
      <c r="M988" s="951"/>
      <c r="N988" s="659"/>
      <c r="O988" s="951"/>
      <c r="P988" s="951"/>
      <c r="Q988" s="659"/>
      <c r="R988" s="659"/>
      <c r="S988" s="659"/>
      <c r="T988" s="659"/>
      <c r="U988" s="659"/>
      <c r="V988" s="659"/>
      <c r="W988" s="659"/>
      <c r="X988" s="659"/>
      <c r="Y988" s="659"/>
      <c r="Z988" s="659"/>
      <c r="AA988" s="659"/>
      <c r="AB988" s="659"/>
      <c r="AC988" s="659"/>
      <c r="AD988" s="659"/>
      <c r="AE988" s="659"/>
      <c r="AF988" s="659"/>
      <c r="AG988" s="659"/>
      <c r="AH988" s="659"/>
      <c r="AI988" s="659"/>
      <c r="AJ988" s="659"/>
      <c r="AK988" s="659"/>
      <c r="AL988" s="659"/>
      <c r="AM988" s="659"/>
      <c r="AN988" s="659"/>
      <c r="AO988" s="659"/>
      <c r="AP988" s="659"/>
      <c r="AQ988" s="746"/>
    </row>
    <row r="989">
      <c r="A989" s="703"/>
      <c r="B989" s="1044"/>
      <c r="C989" s="1005"/>
      <c r="D989" s="645"/>
      <c r="E989" s="645"/>
      <c r="F989" s="951"/>
      <c r="G989" s="951"/>
      <c r="H989" s="951"/>
      <c r="I989" s="951"/>
      <c r="J989" s="951"/>
      <c r="K989" s="951"/>
      <c r="L989" s="951"/>
      <c r="M989" s="951"/>
      <c r="N989" s="659"/>
      <c r="O989" s="951"/>
      <c r="P989" s="951"/>
      <c r="Q989" s="659"/>
      <c r="R989" s="659"/>
      <c r="S989" s="659"/>
      <c r="T989" s="659"/>
      <c r="U989" s="659"/>
      <c r="V989" s="659"/>
      <c r="W989" s="659"/>
      <c r="X989" s="659"/>
      <c r="Y989" s="659"/>
      <c r="Z989" s="659"/>
      <c r="AA989" s="659"/>
      <c r="AB989" s="659"/>
      <c r="AC989" s="659"/>
      <c r="AD989" s="659"/>
      <c r="AE989" s="659"/>
      <c r="AF989" s="659"/>
      <c r="AG989" s="659"/>
      <c r="AH989" s="659"/>
      <c r="AI989" s="659"/>
      <c r="AJ989" s="659"/>
      <c r="AK989" s="659"/>
      <c r="AL989" s="659"/>
      <c r="AM989" s="659"/>
      <c r="AN989" s="659"/>
      <c r="AO989" s="659"/>
      <c r="AP989" s="659"/>
      <c r="AQ989" s="746"/>
    </row>
    <row r="990">
      <c r="A990" s="703"/>
      <c r="B990" s="1044"/>
      <c r="C990" s="1005"/>
      <c r="D990" s="645"/>
      <c r="E990" s="645"/>
      <c r="F990" s="951"/>
      <c r="G990" s="951"/>
      <c r="H990" s="951"/>
      <c r="I990" s="951"/>
      <c r="J990" s="951"/>
      <c r="K990" s="951"/>
      <c r="L990" s="951"/>
      <c r="M990" s="951"/>
      <c r="N990" s="659"/>
      <c r="O990" s="951"/>
      <c r="P990" s="951"/>
      <c r="Q990" s="659"/>
      <c r="R990" s="659"/>
      <c r="S990" s="659"/>
      <c r="T990" s="659"/>
      <c r="U990" s="659"/>
      <c r="V990" s="659"/>
      <c r="W990" s="659"/>
      <c r="X990" s="659"/>
      <c r="Y990" s="659"/>
      <c r="Z990" s="659"/>
      <c r="AA990" s="659"/>
      <c r="AB990" s="659"/>
      <c r="AC990" s="659"/>
      <c r="AD990" s="659"/>
      <c r="AE990" s="659"/>
      <c r="AF990" s="659"/>
      <c r="AG990" s="659"/>
      <c r="AH990" s="659"/>
      <c r="AI990" s="659"/>
      <c r="AJ990" s="659"/>
      <c r="AK990" s="659"/>
      <c r="AL990" s="659"/>
      <c r="AM990" s="659"/>
      <c r="AN990" s="659"/>
      <c r="AO990" s="659"/>
      <c r="AP990" s="659"/>
      <c r="AQ990" s="746"/>
    </row>
    <row r="991">
      <c r="A991" s="703"/>
      <c r="B991" s="1044"/>
      <c r="C991" s="1005"/>
      <c r="D991" s="645"/>
      <c r="E991" s="645"/>
      <c r="F991" s="951"/>
      <c r="G991" s="951"/>
      <c r="H991" s="951"/>
      <c r="I991" s="951"/>
      <c r="J991" s="951"/>
      <c r="K991" s="951"/>
      <c r="L991" s="951"/>
      <c r="M991" s="951"/>
      <c r="N991" s="659"/>
      <c r="O991" s="951"/>
      <c r="P991" s="951"/>
      <c r="Q991" s="659"/>
      <c r="R991" s="659"/>
      <c r="S991" s="659"/>
      <c r="T991" s="659"/>
      <c r="U991" s="659"/>
      <c r="V991" s="659"/>
      <c r="W991" s="659"/>
      <c r="X991" s="659"/>
      <c r="Y991" s="659"/>
      <c r="Z991" s="659"/>
      <c r="AA991" s="659"/>
      <c r="AB991" s="659"/>
      <c r="AC991" s="659"/>
      <c r="AD991" s="659"/>
      <c r="AE991" s="659"/>
      <c r="AF991" s="659"/>
      <c r="AG991" s="659"/>
      <c r="AH991" s="659"/>
      <c r="AI991" s="659"/>
      <c r="AJ991" s="659"/>
      <c r="AK991" s="659"/>
      <c r="AL991" s="659"/>
      <c r="AM991" s="659"/>
      <c r="AN991" s="659"/>
      <c r="AO991" s="659"/>
      <c r="AP991" s="659"/>
      <c r="AQ991" s="746"/>
    </row>
    <row r="992">
      <c r="A992" s="703"/>
      <c r="B992" s="1044"/>
      <c r="C992" s="1005"/>
      <c r="D992" s="645"/>
      <c r="E992" s="645"/>
      <c r="F992" s="951"/>
      <c r="G992" s="951"/>
      <c r="H992" s="951"/>
      <c r="I992" s="951"/>
      <c r="J992" s="951"/>
      <c r="K992" s="951"/>
      <c r="L992" s="951"/>
      <c r="M992" s="951"/>
      <c r="N992" s="659"/>
      <c r="O992" s="951"/>
      <c r="P992" s="951"/>
      <c r="Q992" s="659"/>
      <c r="R992" s="659"/>
      <c r="S992" s="659"/>
      <c r="T992" s="659"/>
      <c r="U992" s="659"/>
      <c r="V992" s="659"/>
      <c r="W992" s="659"/>
      <c r="X992" s="659"/>
      <c r="Y992" s="659"/>
      <c r="Z992" s="659"/>
      <c r="AA992" s="659"/>
      <c r="AB992" s="659"/>
      <c r="AC992" s="659"/>
      <c r="AD992" s="659"/>
      <c r="AE992" s="659"/>
      <c r="AF992" s="659"/>
      <c r="AG992" s="659"/>
      <c r="AH992" s="659"/>
      <c r="AI992" s="659"/>
      <c r="AJ992" s="659"/>
      <c r="AK992" s="659"/>
      <c r="AL992" s="659"/>
      <c r="AM992" s="659"/>
      <c r="AN992" s="659"/>
      <c r="AO992" s="659"/>
      <c r="AP992" s="659"/>
      <c r="AQ992" s="746"/>
    </row>
    <row r="993">
      <c r="A993" s="703"/>
      <c r="B993" s="1044"/>
      <c r="C993" s="1005"/>
      <c r="D993" s="645"/>
      <c r="E993" s="645"/>
      <c r="F993" s="951"/>
      <c r="G993" s="951"/>
      <c r="H993" s="951"/>
      <c r="I993" s="951"/>
      <c r="J993" s="951"/>
      <c r="K993" s="951"/>
      <c r="L993" s="951"/>
      <c r="M993" s="951"/>
      <c r="N993" s="659"/>
      <c r="O993" s="951"/>
      <c r="P993" s="951"/>
      <c r="Q993" s="659"/>
      <c r="R993" s="659"/>
      <c r="S993" s="659"/>
      <c r="T993" s="659"/>
      <c r="U993" s="659"/>
      <c r="V993" s="659"/>
      <c r="W993" s="659"/>
      <c r="X993" s="659"/>
      <c r="Y993" s="659"/>
      <c r="Z993" s="659"/>
      <c r="AA993" s="659"/>
      <c r="AB993" s="659"/>
      <c r="AC993" s="659"/>
      <c r="AD993" s="659"/>
      <c r="AE993" s="659"/>
      <c r="AF993" s="659"/>
      <c r="AG993" s="659"/>
      <c r="AH993" s="659"/>
      <c r="AI993" s="659"/>
      <c r="AJ993" s="659"/>
      <c r="AK993" s="659"/>
      <c r="AL993" s="659"/>
      <c r="AM993" s="659"/>
      <c r="AN993" s="659"/>
      <c r="AO993" s="659"/>
      <c r="AP993" s="659"/>
      <c r="AQ993" s="746"/>
    </row>
    <row r="994">
      <c r="A994" s="703"/>
      <c r="B994" s="1044"/>
      <c r="C994" s="1005"/>
      <c r="D994" s="645"/>
      <c r="E994" s="645"/>
      <c r="F994" s="951"/>
      <c r="G994" s="951"/>
      <c r="H994" s="951"/>
      <c r="I994" s="951"/>
      <c r="J994" s="951"/>
      <c r="K994" s="951"/>
      <c r="L994" s="951"/>
      <c r="M994" s="951"/>
      <c r="N994" s="659"/>
      <c r="O994" s="951"/>
      <c r="P994" s="951"/>
      <c r="Q994" s="659"/>
      <c r="R994" s="659"/>
      <c r="S994" s="659"/>
      <c r="T994" s="659"/>
      <c r="U994" s="659"/>
      <c r="V994" s="659"/>
      <c r="W994" s="659"/>
      <c r="X994" s="659"/>
      <c r="Y994" s="659"/>
      <c r="Z994" s="659"/>
      <c r="AA994" s="659"/>
      <c r="AB994" s="659"/>
      <c r="AC994" s="659"/>
      <c r="AD994" s="659"/>
      <c r="AE994" s="659"/>
      <c r="AF994" s="659"/>
      <c r="AG994" s="659"/>
      <c r="AH994" s="659"/>
      <c r="AI994" s="659"/>
      <c r="AJ994" s="659"/>
      <c r="AK994" s="659"/>
      <c r="AL994" s="659"/>
      <c r="AM994" s="659"/>
      <c r="AN994" s="659"/>
      <c r="AO994" s="659"/>
      <c r="AP994" s="659"/>
      <c r="AQ994" s="746"/>
    </row>
    <row r="995">
      <c r="A995" s="703"/>
      <c r="B995" s="1004"/>
      <c r="C995" s="1005"/>
      <c r="D995" s="645"/>
      <c r="E995" s="645"/>
      <c r="F995" s="951"/>
      <c r="G995" s="951"/>
      <c r="H995" s="951"/>
      <c r="I995" s="951"/>
      <c r="J995" s="951"/>
      <c r="K995" s="951"/>
      <c r="L995" s="951"/>
      <c r="M995" s="951"/>
      <c r="N995" s="659"/>
      <c r="O995" s="951"/>
      <c r="P995" s="951"/>
      <c r="Q995" s="659"/>
      <c r="R995" s="659"/>
      <c r="S995" s="659"/>
      <c r="T995" s="659"/>
      <c r="U995" s="659"/>
      <c r="V995" s="659"/>
      <c r="W995" s="659"/>
      <c r="X995" s="659"/>
      <c r="Y995" s="659"/>
      <c r="Z995" s="659"/>
      <c r="AA995" s="659"/>
      <c r="AB995" s="659"/>
      <c r="AC995" s="659"/>
      <c r="AD995" s="659"/>
      <c r="AE995" s="659"/>
      <c r="AF995" s="659"/>
      <c r="AG995" s="659"/>
      <c r="AH995" s="659"/>
      <c r="AI995" s="659"/>
      <c r="AJ995" s="659"/>
      <c r="AK995" s="659"/>
      <c r="AL995" s="659"/>
      <c r="AM995" s="659"/>
      <c r="AN995" s="659"/>
      <c r="AO995" s="659"/>
      <c r="AP995" s="659"/>
      <c r="AQ995" s="746"/>
    </row>
    <row r="996">
      <c r="A996" s="703"/>
      <c r="B996" s="1044"/>
      <c r="C996" s="1005"/>
      <c r="D996" s="645"/>
      <c r="E996" s="645"/>
      <c r="F996" s="951"/>
      <c r="G996" s="951"/>
      <c r="H996" s="951"/>
      <c r="I996" s="951"/>
      <c r="J996" s="951"/>
      <c r="K996" s="951"/>
      <c r="L996" s="951"/>
      <c r="M996" s="951"/>
      <c r="N996" s="659"/>
      <c r="O996" s="951"/>
      <c r="P996" s="951"/>
      <c r="Q996" s="659"/>
      <c r="R996" s="659"/>
      <c r="S996" s="659"/>
      <c r="T996" s="659"/>
      <c r="U996" s="659"/>
      <c r="V996" s="659"/>
      <c r="W996" s="659"/>
      <c r="X996" s="659"/>
      <c r="Y996" s="659"/>
      <c r="Z996" s="659"/>
      <c r="AA996" s="659"/>
      <c r="AB996" s="659"/>
      <c r="AC996" s="659"/>
      <c r="AD996" s="659"/>
      <c r="AE996" s="659"/>
      <c r="AF996" s="659"/>
      <c r="AG996" s="659"/>
      <c r="AH996" s="659"/>
      <c r="AI996" s="659"/>
      <c r="AJ996" s="659"/>
      <c r="AK996" s="659"/>
      <c r="AL996" s="659"/>
      <c r="AM996" s="659"/>
      <c r="AN996" s="659"/>
      <c r="AO996" s="659"/>
      <c r="AP996" s="659"/>
      <c r="AQ996" s="746"/>
    </row>
    <row r="997">
      <c r="A997" s="703"/>
      <c r="B997" s="1044"/>
      <c r="C997" s="1005"/>
      <c r="D997" s="645"/>
      <c r="E997" s="645"/>
      <c r="F997" s="951"/>
      <c r="G997" s="951"/>
      <c r="H997" s="951"/>
      <c r="I997" s="951"/>
      <c r="J997" s="951"/>
      <c r="K997" s="951"/>
      <c r="L997" s="951"/>
      <c r="M997" s="951"/>
      <c r="N997" s="659"/>
      <c r="O997" s="951"/>
      <c r="P997" s="951"/>
      <c r="Q997" s="659"/>
      <c r="R997" s="659"/>
      <c r="S997" s="659"/>
      <c r="T997" s="659"/>
      <c r="U997" s="659"/>
      <c r="V997" s="659"/>
      <c r="W997" s="659"/>
      <c r="X997" s="659"/>
      <c r="Y997" s="659"/>
      <c r="Z997" s="659"/>
      <c r="AA997" s="659"/>
      <c r="AB997" s="659"/>
      <c r="AC997" s="659"/>
      <c r="AD997" s="659"/>
      <c r="AE997" s="659"/>
      <c r="AF997" s="659"/>
      <c r="AG997" s="659"/>
      <c r="AH997" s="659"/>
      <c r="AI997" s="659"/>
      <c r="AJ997" s="659"/>
      <c r="AK997" s="659"/>
      <c r="AL997" s="659"/>
      <c r="AM997" s="659"/>
      <c r="AN997" s="659"/>
      <c r="AO997" s="659"/>
      <c r="AP997" s="659"/>
      <c r="AQ997" s="746"/>
    </row>
    <row r="998">
      <c r="A998" s="703"/>
      <c r="B998" s="1044"/>
      <c r="C998" s="1005"/>
      <c r="D998" s="645"/>
      <c r="E998" s="645"/>
      <c r="F998" s="951"/>
      <c r="G998" s="951"/>
      <c r="H998" s="951"/>
      <c r="I998" s="951"/>
      <c r="J998" s="951"/>
      <c r="K998" s="951"/>
      <c r="L998" s="951"/>
      <c r="M998" s="951"/>
      <c r="N998" s="659"/>
      <c r="O998" s="951"/>
      <c r="P998" s="951"/>
      <c r="Q998" s="659"/>
      <c r="R998" s="659"/>
      <c r="S998" s="659"/>
      <c r="T998" s="659"/>
      <c r="U998" s="659"/>
      <c r="V998" s="659"/>
      <c r="W998" s="659"/>
      <c r="X998" s="659"/>
      <c r="Y998" s="659"/>
      <c r="Z998" s="659"/>
      <c r="AA998" s="659"/>
      <c r="AB998" s="659"/>
      <c r="AC998" s="659"/>
      <c r="AD998" s="659"/>
      <c r="AE998" s="659"/>
      <c r="AF998" s="659"/>
      <c r="AG998" s="659"/>
      <c r="AH998" s="659"/>
      <c r="AI998" s="659"/>
      <c r="AJ998" s="659"/>
      <c r="AK998" s="659"/>
      <c r="AL998" s="659"/>
      <c r="AM998" s="659"/>
      <c r="AN998" s="659"/>
      <c r="AO998" s="659"/>
      <c r="AP998" s="659"/>
      <c r="AQ998" s="746"/>
    </row>
    <row r="999">
      <c r="A999" s="703"/>
      <c r="B999" s="1044"/>
      <c r="C999" s="1005"/>
      <c r="D999" s="645"/>
      <c r="E999" s="645"/>
      <c r="F999" s="951"/>
      <c r="G999" s="951"/>
      <c r="H999" s="951"/>
      <c r="I999" s="951"/>
      <c r="J999" s="951"/>
      <c r="K999" s="951"/>
      <c r="L999" s="951"/>
      <c r="M999" s="951"/>
      <c r="N999" s="659"/>
      <c r="O999" s="951"/>
      <c r="P999" s="951"/>
      <c r="Q999" s="659"/>
      <c r="R999" s="659"/>
      <c r="S999" s="659"/>
      <c r="T999" s="659"/>
      <c r="U999" s="659"/>
      <c r="V999" s="659"/>
      <c r="W999" s="659"/>
      <c r="X999" s="659"/>
      <c r="Y999" s="659"/>
      <c r="Z999" s="659"/>
      <c r="AA999" s="659"/>
      <c r="AB999" s="659"/>
      <c r="AC999" s="659"/>
      <c r="AD999" s="659"/>
      <c r="AE999" s="659"/>
      <c r="AF999" s="659"/>
      <c r="AG999" s="659"/>
      <c r="AH999" s="659"/>
      <c r="AI999" s="659"/>
      <c r="AJ999" s="659"/>
      <c r="AK999" s="659"/>
      <c r="AL999" s="659"/>
      <c r="AM999" s="659"/>
      <c r="AN999" s="659"/>
      <c r="AO999" s="659"/>
      <c r="AP999" s="659"/>
      <c r="AQ999" s="746"/>
    </row>
    <row r="1000">
      <c r="A1000" s="703"/>
      <c r="B1000" s="1044"/>
      <c r="C1000" s="1005"/>
      <c r="D1000" s="645"/>
      <c r="E1000" s="645"/>
      <c r="F1000" s="951"/>
      <c r="G1000" s="951"/>
      <c r="H1000" s="951"/>
      <c r="I1000" s="951"/>
      <c r="J1000" s="951"/>
      <c r="K1000" s="951"/>
      <c r="L1000" s="951"/>
      <c r="M1000" s="951"/>
      <c r="N1000" s="659"/>
      <c r="O1000" s="951"/>
      <c r="P1000" s="951"/>
      <c r="Q1000" s="659"/>
      <c r="R1000" s="659"/>
      <c r="S1000" s="659"/>
      <c r="T1000" s="659"/>
      <c r="U1000" s="659"/>
      <c r="V1000" s="659"/>
      <c r="W1000" s="659"/>
      <c r="X1000" s="659"/>
      <c r="Y1000" s="659"/>
      <c r="Z1000" s="659"/>
      <c r="AA1000" s="659"/>
      <c r="AB1000" s="659"/>
      <c r="AC1000" s="659"/>
      <c r="AD1000" s="659"/>
      <c r="AE1000" s="659"/>
      <c r="AF1000" s="659"/>
      <c r="AG1000" s="659"/>
      <c r="AH1000" s="659"/>
      <c r="AI1000" s="659"/>
      <c r="AJ1000" s="659"/>
      <c r="AK1000" s="659"/>
      <c r="AL1000" s="659"/>
      <c r="AM1000" s="659"/>
      <c r="AN1000" s="659"/>
      <c r="AO1000" s="659"/>
      <c r="AP1000" s="659"/>
      <c r="AQ1000" s="746"/>
    </row>
    <row r="1001">
      <c r="A1001" s="703"/>
      <c r="B1001" s="1004"/>
      <c r="C1001" s="1005"/>
      <c r="D1001" s="645"/>
      <c r="E1001" s="645"/>
      <c r="F1001" s="951"/>
      <c r="G1001" s="951"/>
      <c r="H1001" s="951"/>
      <c r="I1001" s="951"/>
      <c r="J1001" s="951"/>
      <c r="K1001" s="951"/>
      <c r="L1001" s="951"/>
      <c r="M1001" s="951"/>
      <c r="N1001" s="659"/>
      <c r="O1001" s="951"/>
      <c r="P1001" s="951"/>
      <c r="Q1001" s="659"/>
      <c r="R1001" s="659"/>
      <c r="S1001" s="659"/>
      <c r="T1001" s="659"/>
      <c r="U1001" s="659"/>
      <c r="V1001" s="659"/>
      <c r="W1001" s="659"/>
      <c r="X1001" s="659"/>
      <c r="Y1001" s="659"/>
      <c r="Z1001" s="659"/>
      <c r="AA1001" s="659"/>
      <c r="AB1001" s="659"/>
      <c r="AC1001" s="659"/>
      <c r="AD1001" s="659"/>
      <c r="AE1001" s="659"/>
      <c r="AF1001" s="659"/>
      <c r="AG1001" s="659"/>
      <c r="AH1001" s="659"/>
      <c r="AI1001" s="659"/>
      <c r="AJ1001" s="659"/>
      <c r="AK1001" s="659"/>
      <c r="AL1001" s="659"/>
      <c r="AM1001" s="659"/>
      <c r="AN1001" s="659"/>
      <c r="AO1001" s="659"/>
      <c r="AP1001" s="659"/>
      <c r="AQ1001" s="746"/>
    </row>
    <row r="1002">
      <c r="A1002" s="703"/>
      <c r="B1002" s="1044"/>
      <c r="C1002" s="1005"/>
      <c r="D1002" s="645"/>
      <c r="E1002" s="645"/>
      <c r="F1002" s="951"/>
      <c r="G1002" s="951"/>
      <c r="H1002" s="951"/>
      <c r="I1002" s="951"/>
      <c r="J1002" s="951"/>
      <c r="K1002" s="951"/>
      <c r="L1002" s="951"/>
      <c r="M1002" s="951"/>
      <c r="N1002" s="659"/>
      <c r="O1002" s="951"/>
      <c r="P1002" s="951"/>
      <c r="Q1002" s="659"/>
      <c r="R1002" s="659"/>
      <c r="S1002" s="659"/>
      <c r="T1002" s="659"/>
      <c r="U1002" s="659"/>
      <c r="V1002" s="659"/>
      <c r="W1002" s="659"/>
      <c r="X1002" s="659"/>
      <c r="Y1002" s="659"/>
      <c r="Z1002" s="659"/>
      <c r="AA1002" s="659"/>
      <c r="AB1002" s="659"/>
      <c r="AC1002" s="659"/>
      <c r="AD1002" s="659"/>
      <c r="AE1002" s="659"/>
      <c r="AF1002" s="659"/>
      <c r="AG1002" s="659"/>
      <c r="AH1002" s="659"/>
      <c r="AI1002" s="659"/>
      <c r="AJ1002" s="659"/>
      <c r="AK1002" s="659"/>
      <c r="AL1002" s="659"/>
      <c r="AM1002" s="659"/>
      <c r="AN1002" s="659"/>
      <c r="AO1002" s="659"/>
      <c r="AP1002" s="659"/>
      <c r="AQ1002" s="746"/>
    </row>
    <row r="1003">
      <c r="A1003" s="703"/>
      <c r="B1003" s="1044"/>
      <c r="C1003" s="1005"/>
      <c r="D1003" s="645"/>
      <c r="E1003" s="645"/>
      <c r="F1003" s="951"/>
      <c r="G1003" s="951"/>
      <c r="H1003" s="951"/>
      <c r="I1003" s="951"/>
      <c r="J1003" s="951"/>
      <c r="K1003" s="951"/>
      <c r="L1003" s="951"/>
      <c r="M1003" s="951"/>
      <c r="N1003" s="659"/>
      <c r="O1003" s="951"/>
      <c r="P1003" s="951"/>
      <c r="Q1003" s="659"/>
      <c r="R1003" s="659"/>
      <c r="S1003" s="659"/>
      <c r="T1003" s="659"/>
      <c r="U1003" s="659"/>
      <c r="V1003" s="659"/>
      <c r="W1003" s="659"/>
      <c r="X1003" s="659"/>
      <c r="Y1003" s="659"/>
      <c r="Z1003" s="659"/>
      <c r="AA1003" s="659"/>
      <c r="AB1003" s="659"/>
      <c r="AC1003" s="659"/>
      <c r="AD1003" s="659"/>
      <c r="AE1003" s="659"/>
      <c r="AF1003" s="659"/>
      <c r="AG1003" s="659"/>
      <c r="AH1003" s="659"/>
      <c r="AI1003" s="659"/>
      <c r="AJ1003" s="659"/>
      <c r="AK1003" s="659"/>
      <c r="AL1003" s="659"/>
      <c r="AM1003" s="659"/>
      <c r="AN1003" s="659"/>
      <c r="AO1003" s="659"/>
      <c r="AP1003" s="659"/>
      <c r="AQ1003" s="746"/>
    </row>
    <row r="1004">
      <c r="A1004" s="703"/>
      <c r="B1004" s="1004"/>
      <c r="C1004" s="1005"/>
      <c r="D1004" s="645"/>
      <c r="E1004" s="645"/>
      <c r="F1004" s="951"/>
      <c r="G1004" s="951"/>
      <c r="H1004" s="951"/>
      <c r="I1004" s="951"/>
      <c r="J1004" s="951"/>
      <c r="K1004" s="951"/>
      <c r="L1004" s="951"/>
      <c r="M1004" s="951"/>
      <c r="N1004" s="659"/>
      <c r="O1004" s="951"/>
      <c r="P1004" s="951"/>
      <c r="Q1004" s="659"/>
      <c r="R1004" s="659"/>
      <c r="S1004" s="659"/>
      <c r="T1004" s="659"/>
      <c r="U1004" s="659"/>
      <c r="V1004" s="659"/>
      <c r="W1004" s="659"/>
      <c r="X1004" s="659"/>
      <c r="Y1004" s="659"/>
      <c r="Z1004" s="659"/>
      <c r="AA1004" s="659"/>
      <c r="AB1004" s="659"/>
      <c r="AC1004" s="659"/>
      <c r="AD1004" s="659"/>
      <c r="AE1004" s="659"/>
      <c r="AF1004" s="659"/>
      <c r="AG1004" s="659"/>
      <c r="AH1004" s="659"/>
      <c r="AI1004" s="659"/>
      <c r="AJ1004" s="659"/>
      <c r="AK1004" s="659"/>
      <c r="AL1004" s="659"/>
      <c r="AM1004" s="659"/>
      <c r="AN1004" s="659"/>
      <c r="AO1004" s="659"/>
      <c r="AP1004" s="659"/>
      <c r="AQ1004" s="746"/>
    </row>
    <row r="1005">
      <c r="A1005" s="703"/>
      <c r="B1005" s="1004"/>
      <c r="C1005" s="1005"/>
      <c r="D1005" s="645"/>
      <c r="E1005" s="645"/>
      <c r="F1005" s="951"/>
      <c r="G1005" s="951"/>
      <c r="H1005" s="951"/>
      <c r="I1005" s="951"/>
      <c r="J1005" s="951"/>
      <c r="K1005" s="951"/>
      <c r="L1005" s="951"/>
      <c r="M1005" s="951"/>
      <c r="N1005" s="659"/>
      <c r="O1005" s="951"/>
      <c r="P1005" s="951"/>
      <c r="Q1005" s="659"/>
      <c r="R1005" s="659"/>
      <c r="S1005" s="659"/>
      <c r="T1005" s="659"/>
      <c r="U1005" s="659"/>
      <c r="V1005" s="659"/>
      <c r="W1005" s="659"/>
      <c r="X1005" s="659"/>
      <c r="Y1005" s="659"/>
      <c r="Z1005" s="659"/>
      <c r="AA1005" s="659"/>
      <c r="AB1005" s="659"/>
      <c r="AC1005" s="659"/>
      <c r="AD1005" s="659"/>
      <c r="AE1005" s="659"/>
      <c r="AF1005" s="659"/>
      <c r="AG1005" s="659"/>
      <c r="AH1005" s="659"/>
      <c r="AI1005" s="659"/>
      <c r="AJ1005" s="659"/>
      <c r="AK1005" s="659"/>
      <c r="AL1005" s="659"/>
      <c r="AM1005" s="659"/>
      <c r="AN1005" s="659"/>
      <c r="AO1005" s="659"/>
      <c r="AP1005" s="659"/>
      <c r="AQ1005" s="746"/>
    </row>
    <row r="1006">
      <c r="A1006" s="703"/>
      <c r="B1006" s="1044"/>
      <c r="C1006" s="1005"/>
      <c r="D1006" s="645"/>
      <c r="E1006" s="645"/>
      <c r="F1006" s="951"/>
      <c r="G1006" s="951"/>
      <c r="H1006" s="951"/>
      <c r="I1006" s="951"/>
      <c r="J1006" s="951"/>
      <c r="K1006" s="951"/>
      <c r="L1006" s="951"/>
      <c r="M1006" s="951"/>
      <c r="N1006" s="659"/>
      <c r="O1006" s="951"/>
      <c r="P1006" s="951"/>
      <c r="Q1006" s="659"/>
      <c r="R1006" s="659"/>
      <c r="S1006" s="659"/>
      <c r="T1006" s="659"/>
      <c r="U1006" s="659"/>
      <c r="V1006" s="659"/>
      <c r="W1006" s="659"/>
      <c r="X1006" s="659"/>
      <c r="Y1006" s="659"/>
      <c r="Z1006" s="659"/>
      <c r="AA1006" s="659"/>
      <c r="AB1006" s="659"/>
      <c r="AC1006" s="659"/>
      <c r="AD1006" s="659"/>
      <c r="AE1006" s="659"/>
      <c r="AF1006" s="659"/>
      <c r="AG1006" s="659"/>
      <c r="AH1006" s="659"/>
      <c r="AI1006" s="659"/>
      <c r="AJ1006" s="659"/>
      <c r="AK1006" s="659"/>
      <c r="AL1006" s="659"/>
      <c r="AM1006" s="659"/>
      <c r="AN1006" s="659"/>
      <c r="AO1006" s="659"/>
      <c r="AP1006" s="659"/>
      <c r="AQ1006" s="746"/>
    </row>
    <row r="1007">
      <c r="A1007" s="703"/>
      <c r="B1007" s="1044"/>
      <c r="C1007" s="1005"/>
      <c r="D1007" s="645"/>
      <c r="E1007" s="645"/>
      <c r="F1007" s="951"/>
      <c r="G1007" s="951"/>
      <c r="H1007" s="951"/>
      <c r="I1007" s="951"/>
      <c r="J1007" s="951"/>
      <c r="K1007" s="951"/>
      <c r="L1007" s="951"/>
      <c r="M1007" s="951"/>
      <c r="N1007" s="659"/>
      <c r="O1007" s="951"/>
      <c r="P1007" s="951"/>
      <c r="Q1007" s="659"/>
      <c r="R1007" s="659"/>
      <c r="S1007" s="659"/>
      <c r="T1007" s="659"/>
      <c r="U1007" s="659"/>
      <c r="V1007" s="659"/>
      <c r="W1007" s="659"/>
      <c r="X1007" s="659"/>
      <c r="Y1007" s="659"/>
      <c r="Z1007" s="659"/>
      <c r="AA1007" s="659"/>
      <c r="AB1007" s="659"/>
      <c r="AC1007" s="659"/>
      <c r="AD1007" s="659"/>
      <c r="AE1007" s="659"/>
      <c r="AF1007" s="659"/>
      <c r="AG1007" s="659"/>
      <c r="AH1007" s="659"/>
      <c r="AI1007" s="659"/>
      <c r="AJ1007" s="659"/>
      <c r="AK1007" s="659"/>
      <c r="AL1007" s="659"/>
      <c r="AM1007" s="659"/>
      <c r="AN1007" s="659"/>
      <c r="AO1007" s="659"/>
      <c r="AP1007" s="659"/>
      <c r="AQ1007" s="746"/>
    </row>
    <row r="1008">
      <c r="A1008" s="703"/>
      <c r="B1008" s="1004"/>
      <c r="C1008" s="1005"/>
      <c r="D1008" s="645"/>
      <c r="E1008" s="645"/>
      <c r="F1008" s="951"/>
      <c r="G1008" s="951"/>
      <c r="H1008" s="951"/>
      <c r="I1008" s="951"/>
      <c r="J1008" s="951"/>
      <c r="K1008" s="951"/>
      <c r="L1008" s="951"/>
      <c r="M1008" s="951"/>
      <c r="N1008" s="659"/>
      <c r="O1008" s="951"/>
      <c r="P1008" s="951"/>
      <c r="Q1008" s="659"/>
      <c r="R1008" s="659"/>
      <c r="S1008" s="659"/>
      <c r="T1008" s="659"/>
      <c r="U1008" s="659"/>
      <c r="V1008" s="659"/>
      <c r="W1008" s="659"/>
      <c r="X1008" s="659"/>
      <c r="Y1008" s="659"/>
      <c r="Z1008" s="659"/>
      <c r="AA1008" s="659"/>
      <c r="AB1008" s="659"/>
      <c r="AC1008" s="659"/>
      <c r="AD1008" s="659"/>
      <c r="AE1008" s="659"/>
      <c r="AF1008" s="659"/>
      <c r="AG1008" s="659"/>
      <c r="AH1008" s="659"/>
      <c r="AI1008" s="659"/>
      <c r="AJ1008" s="659"/>
      <c r="AK1008" s="659"/>
      <c r="AL1008" s="659"/>
      <c r="AM1008" s="659"/>
      <c r="AN1008" s="659"/>
      <c r="AO1008" s="659"/>
      <c r="AP1008" s="659"/>
      <c r="AQ1008" s="746"/>
    </row>
    <row r="1009">
      <c r="A1009" s="703"/>
      <c r="B1009" s="1044"/>
      <c r="C1009" s="1005"/>
      <c r="D1009" s="645"/>
      <c r="E1009" s="645"/>
      <c r="F1009" s="951"/>
      <c r="G1009" s="951"/>
      <c r="H1009" s="951"/>
      <c r="I1009" s="951"/>
      <c r="J1009" s="951"/>
      <c r="K1009" s="951"/>
      <c r="L1009" s="951"/>
      <c r="M1009" s="951"/>
      <c r="N1009" s="659"/>
      <c r="O1009" s="951"/>
      <c r="P1009" s="951"/>
      <c r="Q1009" s="659"/>
      <c r="R1009" s="659"/>
      <c r="S1009" s="659"/>
      <c r="T1009" s="659"/>
      <c r="U1009" s="659"/>
      <c r="V1009" s="659"/>
      <c r="W1009" s="659"/>
      <c r="X1009" s="659"/>
      <c r="Y1009" s="659"/>
      <c r="Z1009" s="659"/>
      <c r="AA1009" s="659"/>
      <c r="AB1009" s="659"/>
      <c r="AC1009" s="659"/>
      <c r="AD1009" s="659"/>
      <c r="AE1009" s="659"/>
      <c r="AF1009" s="659"/>
      <c r="AG1009" s="659"/>
      <c r="AH1009" s="659"/>
      <c r="AI1009" s="659"/>
      <c r="AJ1009" s="659"/>
      <c r="AK1009" s="659"/>
      <c r="AL1009" s="659"/>
      <c r="AM1009" s="659"/>
      <c r="AN1009" s="659"/>
      <c r="AO1009" s="659"/>
      <c r="AP1009" s="659"/>
      <c r="AQ1009" s="746"/>
    </row>
    <row r="1010">
      <c r="A1010" s="703"/>
      <c r="B1010" s="1044"/>
      <c r="C1010" s="1005"/>
      <c r="D1010" s="645"/>
      <c r="E1010" s="645"/>
      <c r="F1010" s="951"/>
      <c r="G1010" s="951"/>
      <c r="H1010" s="951"/>
      <c r="I1010" s="951"/>
      <c r="J1010" s="951"/>
      <c r="K1010" s="951"/>
      <c r="L1010" s="951"/>
      <c r="M1010" s="951"/>
      <c r="N1010" s="659"/>
      <c r="O1010" s="951"/>
      <c r="P1010" s="951"/>
      <c r="Q1010" s="659"/>
      <c r="R1010" s="659"/>
      <c r="S1010" s="659"/>
      <c r="T1010" s="659"/>
      <c r="U1010" s="659"/>
      <c r="V1010" s="659"/>
      <c r="W1010" s="659"/>
      <c r="X1010" s="659"/>
      <c r="Y1010" s="659"/>
      <c r="Z1010" s="659"/>
      <c r="AA1010" s="659"/>
      <c r="AB1010" s="659"/>
      <c r="AC1010" s="659"/>
      <c r="AD1010" s="659"/>
      <c r="AE1010" s="659"/>
      <c r="AF1010" s="659"/>
      <c r="AG1010" s="659"/>
      <c r="AH1010" s="659"/>
      <c r="AI1010" s="659"/>
      <c r="AJ1010" s="659"/>
      <c r="AK1010" s="659"/>
      <c r="AL1010" s="659"/>
      <c r="AM1010" s="659"/>
      <c r="AN1010" s="659"/>
      <c r="AO1010" s="659"/>
      <c r="AP1010" s="659"/>
      <c r="AQ1010" s="746"/>
    </row>
    <row r="1011">
      <c r="A1011" s="703"/>
      <c r="B1011" s="1044"/>
      <c r="C1011" s="1005"/>
      <c r="D1011" s="645"/>
      <c r="E1011" s="645"/>
      <c r="F1011" s="951"/>
      <c r="G1011" s="951"/>
      <c r="H1011" s="951"/>
      <c r="I1011" s="951"/>
      <c r="J1011" s="951"/>
      <c r="K1011" s="951"/>
      <c r="L1011" s="951"/>
      <c r="M1011" s="951"/>
      <c r="N1011" s="659"/>
      <c r="O1011" s="951"/>
      <c r="P1011" s="951"/>
      <c r="Q1011" s="659"/>
      <c r="R1011" s="659"/>
      <c r="S1011" s="659"/>
      <c r="T1011" s="659"/>
      <c r="U1011" s="659"/>
      <c r="V1011" s="659"/>
      <c r="W1011" s="659"/>
      <c r="X1011" s="659"/>
      <c r="Y1011" s="659"/>
      <c r="Z1011" s="659"/>
      <c r="AA1011" s="659"/>
      <c r="AB1011" s="659"/>
      <c r="AC1011" s="659"/>
      <c r="AD1011" s="659"/>
      <c r="AE1011" s="659"/>
      <c r="AF1011" s="659"/>
      <c r="AG1011" s="659"/>
      <c r="AH1011" s="659"/>
      <c r="AI1011" s="659"/>
      <c r="AJ1011" s="659"/>
      <c r="AK1011" s="659"/>
      <c r="AL1011" s="659"/>
      <c r="AM1011" s="659"/>
      <c r="AN1011" s="659"/>
      <c r="AO1011" s="659"/>
      <c r="AP1011" s="659"/>
      <c r="AQ1011" s="746"/>
    </row>
    <row r="1012">
      <c r="A1012" s="703"/>
      <c r="B1012" s="1044"/>
      <c r="C1012" s="1005"/>
      <c r="D1012" s="645"/>
      <c r="E1012" s="645"/>
      <c r="F1012" s="951"/>
      <c r="G1012" s="951"/>
      <c r="H1012" s="951"/>
      <c r="I1012" s="951"/>
      <c r="J1012" s="951"/>
      <c r="K1012" s="951"/>
      <c r="L1012" s="951"/>
      <c r="M1012" s="951"/>
      <c r="N1012" s="659"/>
      <c r="O1012" s="951"/>
      <c r="P1012" s="951"/>
      <c r="Q1012" s="659"/>
      <c r="R1012" s="659"/>
      <c r="S1012" s="659"/>
      <c r="T1012" s="659"/>
      <c r="U1012" s="659"/>
      <c r="V1012" s="659"/>
      <c r="W1012" s="659"/>
      <c r="X1012" s="659"/>
      <c r="Y1012" s="659"/>
      <c r="Z1012" s="659"/>
      <c r="AA1012" s="659"/>
      <c r="AB1012" s="659"/>
      <c r="AC1012" s="659"/>
      <c r="AD1012" s="659"/>
      <c r="AE1012" s="659"/>
      <c r="AF1012" s="659"/>
      <c r="AG1012" s="659"/>
      <c r="AH1012" s="659"/>
      <c r="AI1012" s="659"/>
      <c r="AJ1012" s="659"/>
      <c r="AK1012" s="659"/>
      <c r="AL1012" s="659"/>
      <c r="AM1012" s="659"/>
      <c r="AN1012" s="659"/>
      <c r="AO1012" s="659"/>
      <c r="AP1012" s="659"/>
      <c r="AQ1012" s="746"/>
    </row>
    <row r="1013">
      <c r="A1013" s="703"/>
      <c r="B1013" s="1044"/>
      <c r="C1013" s="1005"/>
      <c r="D1013" s="645"/>
      <c r="E1013" s="645"/>
      <c r="F1013" s="951"/>
      <c r="G1013" s="951"/>
      <c r="H1013" s="951"/>
      <c r="I1013" s="951"/>
      <c r="J1013" s="951"/>
      <c r="K1013" s="951"/>
      <c r="L1013" s="951"/>
      <c r="M1013" s="951"/>
      <c r="N1013" s="659"/>
      <c r="O1013" s="951"/>
      <c r="P1013" s="951"/>
      <c r="Q1013" s="659"/>
      <c r="R1013" s="659"/>
      <c r="S1013" s="659"/>
      <c r="T1013" s="659"/>
      <c r="U1013" s="659"/>
      <c r="V1013" s="659"/>
      <c r="W1013" s="659"/>
      <c r="X1013" s="659"/>
      <c r="Y1013" s="659"/>
      <c r="Z1013" s="659"/>
      <c r="AA1013" s="659"/>
      <c r="AB1013" s="659"/>
      <c r="AC1013" s="659"/>
      <c r="AD1013" s="659"/>
      <c r="AE1013" s="659"/>
      <c r="AF1013" s="659"/>
      <c r="AG1013" s="659"/>
      <c r="AH1013" s="659"/>
      <c r="AI1013" s="659"/>
      <c r="AJ1013" s="659"/>
      <c r="AK1013" s="659"/>
      <c r="AL1013" s="659"/>
      <c r="AM1013" s="659"/>
      <c r="AN1013" s="659"/>
      <c r="AO1013" s="659"/>
      <c r="AP1013" s="659"/>
      <c r="AQ1013" s="746"/>
    </row>
    <row r="1014">
      <c r="A1014" s="703"/>
      <c r="B1014" s="1004"/>
      <c r="C1014" s="1005"/>
      <c r="D1014" s="645"/>
      <c r="E1014" s="645"/>
      <c r="F1014" s="951"/>
      <c r="G1014" s="951"/>
      <c r="H1014" s="951"/>
      <c r="I1014" s="951"/>
      <c r="J1014" s="951"/>
      <c r="K1014" s="951"/>
      <c r="L1014" s="951"/>
      <c r="M1014" s="951"/>
      <c r="N1014" s="659"/>
      <c r="O1014" s="951"/>
      <c r="P1014" s="951"/>
      <c r="Q1014" s="659"/>
      <c r="R1014" s="659"/>
      <c r="S1014" s="659"/>
      <c r="T1014" s="659"/>
      <c r="U1014" s="659"/>
      <c r="V1014" s="659"/>
      <c r="W1014" s="659"/>
      <c r="X1014" s="659"/>
      <c r="Y1014" s="659"/>
      <c r="Z1014" s="659"/>
      <c r="AA1014" s="659"/>
      <c r="AB1014" s="659"/>
      <c r="AC1014" s="659"/>
      <c r="AD1014" s="659"/>
      <c r="AE1014" s="659"/>
      <c r="AF1014" s="659"/>
      <c r="AG1014" s="659"/>
      <c r="AH1014" s="659"/>
      <c r="AI1014" s="659"/>
      <c r="AJ1014" s="659"/>
      <c r="AK1014" s="659"/>
      <c r="AL1014" s="659"/>
      <c r="AM1014" s="659"/>
      <c r="AN1014" s="659"/>
      <c r="AO1014" s="659"/>
      <c r="AP1014" s="659"/>
      <c r="AQ1014" s="746"/>
    </row>
    <row r="1015">
      <c r="A1015" s="703"/>
      <c r="B1015" s="1004"/>
      <c r="C1015" s="1005"/>
      <c r="D1015" s="645"/>
      <c r="E1015" s="645"/>
      <c r="F1015" s="951"/>
      <c r="G1015" s="951"/>
      <c r="H1015" s="951"/>
      <c r="I1015" s="951"/>
      <c r="J1015" s="951"/>
      <c r="K1015" s="951"/>
      <c r="L1015" s="951"/>
      <c r="M1015" s="951"/>
      <c r="N1015" s="659"/>
      <c r="O1015" s="951"/>
      <c r="P1015" s="951"/>
      <c r="Q1015" s="659"/>
      <c r="R1015" s="659"/>
      <c r="S1015" s="659"/>
      <c r="T1015" s="659"/>
      <c r="U1015" s="659"/>
      <c r="V1015" s="659"/>
      <c r="W1015" s="659"/>
      <c r="X1015" s="659"/>
      <c r="Y1015" s="659"/>
      <c r="Z1015" s="659"/>
      <c r="AA1015" s="659"/>
      <c r="AB1015" s="659"/>
      <c r="AC1015" s="659"/>
      <c r="AD1015" s="659"/>
      <c r="AE1015" s="659"/>
      <c r="AF1015" s="659"/>
      <c r="AG1015" s="659"/>
      <c r="AH1015" s="659"/>
      <c r="AI1015" s="659"/>
      <c r="AJ1015" s="659"/>
      <c r="AK1015" s="659"/>
      <c r="AL1015" s="659"/>
      <c r="AM1015" s="659"/>
      <c r="AN1015" s="659"/>
      <c r="AO1015" s="659"/>
      <c r="AP1015" s="659"/>
      <c r="AQ1015" s="746"/>
    </row>
    <row r="1016">
      <c r="A1016" s="703"/>
      <c r="B1016" s="1044"/>
      <c r="C1016" s="1005"/>
      <c r="D1016" s="645"/>
      <c r="E1016" s="645"/>
      <c r="F1016" s="951"/>
      <c r="G1016" s="951"/>
      <c r="H1016" s="951"/>
      <c r="I1016" s="951"/>
      <c r="J1016" s="951"/>
      <c r="K1016" s="951"/>
      <c r="L1016" s="951"/>
      <c r="M1016" s="951"/>
      <c r="N1016" s="659"/>
      <c r="O1016" s="951"/>
      <c r="P1016" s="951"/>
      <c r="Q1016" s="659"/>
      <c r="R1016" s="659"/>
      <c r="S1016" s="659"/>
      <c r="T1016" s="659"/>
      <c r="U1016" s="659"/>
      <c r="V1016" s="659"/>
      <c r="W1016" s="659"/>
      <c r="X1016" s="659"/>
      <c r="Y1016" s="659"/>
      <c r="Z1016" s="659"/>
      <c r="AA1016" s="659"/>
      <c r="AB1016" s="659"/>
      <c r="AC1016" s="659"/>
      <c r="AD1016" s="659"/>
      <c r="AE1016" s="659"/>
      <c r="AF1016" s="659"/>
      <c r="AG1016" s="659"/>
      <c r="AH1016" s="659"/>
      <c r="AI1016" s="659"/>
      <c r="AJ1016" s="659"/>
      <c r="AK1016" s="659"/>
      <c r="AL1016" s="659"/>
      <c r="AM1016" s="659"/>
      <c r="AN1016" s="659"/>
      <c r="AO1016" s="659"/>
      <c r="AP1016" s="659"/>
      <c r="AQ1016" s="746"/>
    </row>
    <row r="1017">
      <c r="A1017" s="703"/>
      <c r="B1017" s="1004"/>
      <c r="C1017" s="1005"/>
      <c r="D1017" s="645"/>
      <c r="E1017" s="645"/>
      <c r="F1017" s="951"/>
      <c r="G1017" s="951"/>
      <c r="H1017" s="951"/>
      <c r="I1017" s="951"/>
      <c r="J1017" s="951"/>
      <c r="K1017" s="951"/>
      <c r="L1017" s="951"/>
      <c r="M1017" s="951"/>
      <c r="N1017" s="659"/>
      <c r="O1017" s="951"/>
      <c r="P1017" s="951"/>
      <c r="Q1017" s="659"/>
      <c r="R1017" s="659"/>
      <c r="S1017" s="659"/>
      <c r="T1017" s="659"/>
      <c r="U1017" s="659"/>
      <c r="V1017" s="659"/>
      <c r="W1017" s="659"/>
      <c r="X1017" s="659"/>
      <c r="Y1017" s="659"/>
      <c r="Z1017" s="659"/>
      <c r="AA1017" s="659"/>
      <c r="AB1017" s="659"/>
      <c r="AC1017" s="659"/>
      <c r="AD1017" s="659"/>
      <c r="AE1017" s="659"/>
      <c r="AF1017" s="659"/>
      <c r="AG1017" s="659"/>
      <c r="AH1017" s="659"/>
      <c r="AI1017" s="659"/>
      <c r="AJ1017" s="659"/>
      <c r="AK1017" s="659"/>
      <c r="AL1017" s="659"/>
      <c r="AM1017" s="659"/>
      <c r="AN1017" s="659"/>
      <c r="AO1017" s="659"/>
      <c r="AP1017" s="659"/>
      <c r="AQ1017" s="746"/>
    </row>
    <row r="1018">
      <c r="A1018" s="703"/>
      <c r="B1018" s="1044"/>
      <c r="C1018" s="1005"/>
      <c r="D1018" s="645"/>
      <c r="E1018" s="645"/>
      <c r="F1018" s="951"/>
      <c r="G1018" s="951"/>
      <c r="H1018" s="951"/>
      <c r="I1018" s="951"/>
      <c r="J1018" s="951"/>
      <c r="K1018" s="951"/>
      <c r="L1018" s="951"/>
      <c r="M1018" s="951"/>
      <c r="N1018" s="659"/>
      <c r="O1018" s="951"/>
      <c r="P1018" s="951"/>
      <c r="Q1018" s="659"/>
      <c r="R1018" s="659"/>
      <c r="S1018" s="659"/>
      <c r="T1018" s="659"/>
      <c r="U1018" s="659"/>
      <c r="V1018" s="659"/>
      <c r="W1018" s="659"/>
      <c r="X1018" s="659"/>
      <c r="Y1018" s="659"/>
      <c r="Z1018" s="659"/>
      <c r="AA1018" s="659"/>
      <c r="AB1018" s="659"/>
      <c r="AC1018" s="659"/>
      <c r="AD1018" s="659"/>
      <c r="AE1018" s="659"/>
      <c r="AF1018" s="659"/>
      <c r="AG1018" s="659"/>
      <c r="AH1018" s="659"/>
      <c r="AI1018" s="659"/>
      <c r="AJ1018" s="659"/>
      <c r="AK1018" s="659"/>
      <c r="AL1018" s="659"/>
      <c r="AM1018" s="659"/>
      <c r="AN1018" s="659"/>
      <c r="AO1018" s="659"/>
      <c r="AP1018" s="659"/>
      <c r="AQ1018" s="746"/>
    </row>
    <row r="1019">
      <c r="A1019" s="703"/>
      <c r="B1019" s="1044"/>
      <c r="C1019" s="1005"/>
      <c r="D1019" s="645"/>
      <c r="E1019" s="645"/>
      <c r="F1019" s="951"/>
      <c r="G1019" s="951"/>
      <c r="H1019" s="951"/>
      <c r="I1019" s="951"/>
      <c r="J1019" s="951"/>
      <c r="K1019" s="951"/>
      <c r="L1019" s="951"/>
      <c r="M1019" s="951"/>
      <c r="N1019" s="659"/>
      <c r="O1019" s="951"/>
      <c r="P1019" s="951"/>
      <c r="Q1019" s="659"/>
      <c r="R1019" s="659"/>
      <c r="S1019" s="659"/>
      <c r="T1019" s="659"/>
      <c r="U1019" s="659"/>
      <c r="V1019" s="659"/>
      <c r="W1019" s="659"/>
      <c r="X1019" s="659"/>
      <c r="Y1019" s="659"/>
      <c r="Z1019" s="659"/>
      <c r="AA1019" s="659"/>
      <c r="AB1019" s="659"/>
      <c r="AC1019" s="659"/>
      <c r="AD1019" s="659"/>
      <c r="AE1019" s="659"/>
      <c r="AF1019" s="659"/>
      <c r="AG1019" s="659"/>
      <c r="AH1019" s="659"/>
      <c r="AI1019" s="659"/>
      <c r="AJ1019" s="659"/>
      <c r="AK1019" s="659"/>
      <c r="AL1019" s="659"/>
      <c r="AM1019" s="659"/>
      <c r="AN1019" s="659"/>
      <c r="AO1019" s="659"/>
      <c r="AP1019" s="659"/>
      <c r="AQ1019" s="746"/>
    </row>
    <row r="1020">
      <c r="A1020" s="703"/>
      <c r="B1020" s="1044"/>
      <c r="C1020" s="1005"/>
      <c r="D1020" s="645"/>
      <c r="E1020" s="645"/>
      <c r="F1020" s="951"/>
      <c r="G1020" s="951"/>
      <c r="H1020" s="951"/>
      <c r="I1020" s="951"/>
      <c r="J1020" s="951"/>
      <c r="K1020" s="951"/>
      <c r="L1020" s="951"/>
      <c r="M1020" s="951"/>
      <c r="N1020" s="659"/>
      <c r="O1020" s="951"/>
      <c r="P1020" s="951"/>
      <c r="Q1020" s="659"/>
      <c r="R1020" s="659"/>
      <c r="S1020" s="659"/>
      <c r="T1020" s="659"/>
      <c r="U1020" s="659"/>
      <c r="V1020" s="659"/>
      <c r="W1020" s="659"/>
      <c r="X1020" s="659"/>
      <c r="Y1020" s="659"/>
      <c r="Z1020" s="659"/>
      <c r="AA1020" s="659"/>
      <c r="AB1020" s="659"/>
      <c r="AC1020" s="659"/>
      <c r="AD1020" s="659"/>
      <c r="AE1020" s="659"/>
      <c r="AF1020" s="659"/>
      <c r="AG1020" s="659"/>
      <c r="AH1020" s="659"/>
      <c r="AI1020" s="659"/>
      <c r="AJ1020" s="659"/>
      <c r="AK1020" s="659"/>
      <c r="AL1020" s="659"/>
      <c r="AM1020" s="659"/>
      <c r="AN1020" s="659"/>
      <c r="AO1020" s="659"/>
      <c r="AP1020" s="659"/>
      <c r="AQ1020" s="746"/>
    </row>
    <row r="1021">
      <c r="A1021" s="703"/>
      <c r="B1021" s="1044"/>
      <c r="C1021" s="1005"/>
      <c r="D1021" s="645"/>
      <c r="E1021" s="645"/>
      <c r="F1021" s="951"/>
      <c r="G1021" s="951"/>
      <c r="H1021" s="951"/>
      <c r="I1021" s="951"/>
      <c r="J1021" s="951"/>
      <c r="K1021" s="951"/>
      <c r="L1021" s="951"/>
      <c r="M1021" s="951"/>
      <c r="N1021" s="659"/>
      <c r="O1021" s="951"/>
      <c r="P1021" s="951"/>
      <c r="Q1021" s="659"/>
      <c r="R1021" s="659"/>
      <c r="S1021" s="659"/>
      <c r="T1021" s="659"/>
      <c r="U1021" s="659"/>
      <c r="V1021" s="659"/>
      <c r="W1021" s="659"/>
      <c r="X1021" s="659"/>
      <c r="Y1021" s="659"/>
      <c r="Z1021" s="659"/>
      <c r="AA1021" s="659"/>
      <c r="AB1021" s="659"/>
      <c r="AC1021" s="659"/>
      <c r="AD1021" s="659"/>
      <c r="AE1021" s="659"/>
      <c r="AF1021" s="659"/>
      <c r="AG1021" s="659"/>
      <c r="AH1021" s="659"/>
      <c r="AI1021" s="659"/>
      <c r="AJ1021" s="659"/>
      <c r="AK1021" s="659"/>
      <c r="AL1021" s="659"/>
      <c r="AM1021" s="659"/>
      <c r="AN1021" s="659"/>
      <c r="AO1021" s="659"/>
      <c r="AP1021" s="659"/>
      <c r="AQ1021" s="746"/>
    </row>
    <row r="1022">
      <c r="A1022" s="703"/>
      <c r="B1022" s="1004"/>
      <c r="C1022" s="1005"/>
      <c r="D1022" s="645"/>
      <c r="E1022" s="645"/>
      <c r="F1022" s="951"/>
      <c r="G1022" s="951"/>
      <c r="H1022" s="951"/>
      <c r="I1022" s="951"/>
      <c r="J1022" s="951"/>
      <c r="K1022" s="951"/>
      <c r="L1022" s="951"/>
      <c r="M1022" s="951"/>
      <c r="N1022" s="659"/>
      <c r="O1022" s="951"/>
      <c r="P1022" s="951"/>
      <c r="Q1022" s="659"/>
      <c r="R1022" s="659"/>
      <c r="S1022" s="659"/>
      <c r="T1022" s="659"/>
      <c r="U1022" s="659"/>
      <c r="V1022" s="659"/>
      <c r="W1022" s="659"/>
      <c r="X1022" s="659"/>
      <c r="Y1022" s="659"/>
      <c r="Z1022" s="659"/>
      <c r="AA1022" s="659"/>
      <c r="AB1022" s="659"/>
      <c r="AC1022" s="659"/>
      <c r="AD1022" s="659"/>
      <c r="AE1022" s="659"/>
      <c r="AF1022" s="659"/>
      <c r="AG1022" s="659"/>
      <c r="AH1022" s="659"/>
      <c r="AI1022" s="659"/>
      <c r="AJ1022" s="659"/>
      <c r="AK1022" s="659"/>
      <c r="AL1022" s="659"/>
      <c r="AM1022" s="659"/>
      <c r="AN1022" s="659"/>
      <c r="AO1022" s="659"/>
      <c r="AP1022" s="659"/>
      <c r="AQ1022" s="746"/>
    </row>
    <row r="1023">
      <c r="A1023" s="703"/>
      <c r="B1023" s="1004"/>
      <c r="C1023" s="1005"/>
      <c r="D1023" s="645"/>
      <c r="E1023" s="645"/>
      <c r="F1023" s="951"/>
      <c r="G1023" s="951"/>
      <c r="H1023" s="951"/>
      <c r="I1023" s="951"/>
      <c r="J1023" s="951"/>
      <c r="K1023" s="951"/>
      <c r="L1023" s="951"/>
      <c r="M1023" s="951"/>
      <c r="N1023" s="659"/>
      <c r="O1023" s="951"/>
      <c r="P1023" s="951"/>
      <c r="Q1023" s="659"/>
      <c r="R1023" s="659"/>
      <c r="S1023" s="659"/>
      <c r="T1023" s="659"/>
      <c r="U1023" s="659"/>
      <c r="V1023" s="659"/>
      <c r="W1023" s="659"/>
      <c r="X1023" s="659"/>
      <c r="Y1023" s="659"/>
      <c r="Z1023" s="659"/>
      <c r="AA1023" s="659"/>
      <c r="AB1023" s="659"/>
      <c r="AC1023" s="659"/>
      <c r="AD1023" s="659"/>
      <c r="AE1023" s="659"/>
      <c r="AF1023" s="659"/>
      <c r="AG1023" s="659"/>
      <c r="AH1023" s="659"/>
      <c r="AI1023" s="659"/>
      <c r="AJ1023" s="659"/>
      <c r="AK1023" s="659"/>
      <c r="AL1023" s="659"/>
      <c r="AM1023" s="659"/>
      <c r="AN1023" s="659"/>
      <c r="AO1023" s="659"/>
      <c r="AP1023" s="659"/>
      <c r="AQ1023" s="746"/>
    </row>
    <row r="1024">
      <c r="A1024" s="703"/>
      <c r="B1024" s="1044"/>
      <c r="C1024" s="1005"/>
      <c r="D1024" s="645"/>
      <c r="E1024" s="645"/>
      <c r="F1024" s="951"/>
      <c r="G1024" s="951"/>
      <c r="H1024" s="951"/>
      <c r="I1024" s="951"/>
      <c r="J1024" s="951"/>
      <c r="K1024" s="951"/>
      <c r="L1024" s="951"/>
      <c r="M1024" s="951"/>
      <c r="N1024" s="659"/>
      <c r="O1024" s="951"/>
      <c r="P1024" s="951"/>
      <c r="Q1024" s="659"/>
      <c r="R1024" s="659"/>
      <c r="S1024" s="659"/>
      <c r="T1024" s="659"/>
      <c r="U1024" s="659"/>
      <c r="V1024" s="659"/>
      <c r="W1024" s="659"/>
      <c r="X1024" s="659"/>
      <c r="Y1024" s="659"/>
      <c r="Z1024" s="659"/>
      <c r="AA1024" s="659"/>
      <c r="AB1024" s="659"/>
      <c r="AC1024" s="659"/>
      <c r="AD1024" s="659"/>
      <c r="AE1024" s="659"/>
      <c r="AF1024" s="659"/>
      <c r="AG1024" s="659"/>
      <c r="AH1024" s="659"/>
      <c r="AI1024" s="659"/>
      <c r="AJ1024" s="659"/>
      <c r="AK1024" s="659"/>
      <c r="AL1024" s="659"/>
      <c r="AM1024" s="659"/>
      <c r="AN1024" s="659"/>
      <c r="AO1024" s="659"/>
      <c r="AP1024" s="659"/>
      <c r="AQ1024" s="746"/>
    </row>
    <row r="1025">
      <c r="A1025" s="703"/>
      <c r="B1025" s="1044"/>
      <c r="C1025" s="1005"/>
      <c r="D1025" s="645"/>
      <c r="E1025" s="645"/>
      <c r="F1025" s="951"/>
      <c r="G1025" s="951"/>
      <c r="H1025" s="951"/>
      <c r="I1025" s="951"/>
      <c r="J1025" s="951"/>
      <c r="K1025" s="951"/>
      <c r="L1025" s="951"/>
      <c r="M1025" s="951"/>
      <c r="N1025" s="659"/>
      <c r="O1025" s="951"/>
      <c r="P1025" s="951"/>
      <c r="Q1025" s="659"/>
      <c r="R1025" s="659"/>
      <c r="S1025" s="659"/>
      <c r="T1025" s="659"/>
      <c r="U1025" s="659"/>
      <c r="V1025" s="659"/>
      <c r="W1025" s="659"/>
      <c r="X1025" s="659"/>
      <c r="Y1025" s="659"/>
      <c r="Z1025" s="659"/>
      <c r="AA1025" s="659"/>
      <c r="AB1025" s="659"/>
      <c r="AC1025" s="659"/>
      <c r="AD1025" s="659"/>
      <c r="AE1025" s="659"/>
      <c r="AF1025" s="659"/>
      <c r="AG1025" s="659"/>
      <c r="AH1025" s="659"/>
      <c r="AI1025" s="659"/>
      <c r="AJ1025" s="659"/>
      <c r="AK1025" s="659"/>
      <c r="AL1025" s="659"/>
      <c r="AM1025" s="659"/>
      <c r="AN1025" s="659"/>
      <c r="AO1025" s="659"/>
      <c r="AP1025" s="659"/>
      <c r="AQ1025" s="746"/>
    </row>
    <row r="1026">
      <c r="A1026" s="703"/>
      <c r="B1026" s="1044"/>
      <c r="C1026" s="1005"/>
      <c r="D1026" s="645"/>
      <c r="E1026" s="645"/>
      <c r="F1026" s="951"/>
      <c r="G1026" s="951"/>
      <c r="H1026" s="951"/>
      <c r="I1026" s="951"/>
      <c r="J1026" s="951"/>
      <c r="K1026" s="951"/>
      <c r="L1026" s="951"/>
      <c r="M1026" s="951"/>
      <c r="N1026" s="659"/>
      <c r="O1026" s="951"/>
      <c r="P1026" s="951"/>
      <c r="Q1026" s="659"/>
      <c r="R1026" s="659"/>
      <c r="S1026" s="659"/>
      <c r="T1026" s="659"/>
      <c r="U1026" s="659"/>
      <c r="V1026" s="659"/>
      <c r="W1026" s="659"/>
      <c r="X1026" s="659"/>
      <c r="Y1026" s="659"/>
      <c r="Z1026" s="659"/>
      <c r="AA1026" s="659"/>
      <c r="AB1026" s="659"/>
      <c r="AC1026" s="659"/>
      <c r="AD1026" s="659"/>
      <c r="AE1026" s="659"/>
      <c r="AF1026" s="659"/>
      <c r="AG1026" s="659"/>
      <c r="AH1026" s="659"/>
      <c r="AI1026" s="659"/>
      <c r="AJ1026" s="659"/>
      <c r="AK1026" s="659"/>
      <c r="AL1026" s="659"/>
      <c r="AM1026" s="659"/>
      <c r="AN1026" s="659"/>
      <c r="AO1026" s="659"/>
      <c r="AP1026" s="659"/>
      <c r="AQ1026" s="746"/>
    </row>
    <row r="1027">
      <c r="A1027" s="703"/>
      <c r="B1027" s="1044"/>
      <c r="C1027" s="1005"/>
      <c r="D1027" s="645"/>
      <c r="E1027" s="645"/>
      <c r="F1027" s="951"/>
      <c r="G1027" s="951"/>
      <c r="H1027" s="951"/>
      <c r="I1027" s="951"/>
      <c r="J1027" s="951"/>
      <c r="K1027" s="951"/>
      <c r="L1027" s="951"/>
      <c r="M1027" s="951"/>
      <c r="N1027" s="659"/>
      <c r="O1027" s="951"/>
      <c r="P1027" s="951"/>
      <c r="Q1027" s="659"/>
      <c r="R1027" s="659"/>
      <c r="S1027" s="659"/>
      <c r="T1027" s="659"/>
      <c r="U1027" s="659"/>
      <c r="V1027" s="659"/>
      <c r="W1027" s="659"/>
      <c r="X1027" s="659"/>
      <c r="Y1027" s="659"/>
      <c r="Z1027" s="659"/>
      <c r="AA1027" s="659"/>
      <c r="AB1027" s="659"/>
      <c r="AC1027" s="659"/>
      <c r="AD1027" s="659"/>
      <c r="AE1027" s="659"/>
      <c r="AF1027" s="659"/>
      <c r="AG1027" s="659"/>
      <c r="AH1027" s="659"/>
      <c r="AI1027" s="659"/>
      <c r="AJ1027" s="659"/>
      <c r="AK1027" s="659"/>
      <c r="AL1027" s="659"/>
      <c r="AM1027" s="659"/>
      <c r="AN1027" s="659"/>
      <c r="AO1027" s="659"/>
      <c r="AP1027" s="659"/>
      <c r="AQ1027" s="746"/>
    </row>
    <row r="1028">
      <c r="A1028" s="703"/>
      <c r="B1028" s="1004"/>
      <c r="C1028" s="1005"/>
      <c r="D1028" s="645"/>
      <c r="E1028" s="645"/>
      <c r="F1028" s="951"/>
      <c r="G1028" s="951"/>
      <c r="H1028" s="951"/>
      <c r="I1028" s="951"/>
      <c r="J1028" s="951"/>
      <c r="K1028" s="951"/>
      <c r="L1028" s="951"/>
      <c r="M1028" s="951"/>
      <c r="N1028" s="659"/>
      <c r="O1028" s="951"/>
      <c r="P1028" s="951"/>
      <c r="Q1028" s="659"/>
      <c r="R1028" s="659"/>
      <c r="S1028" s="659"/>
      <c r="T1028" s="659"/>
      <c r="U1028" s="659"/>
      <c r="V1028" s="659"/>
      <c r="W1028" s="659"/>
      <c r="X1028" s="659"/>
      <c r="Y1028" s="659"/>
      <c r="Z1028" s="659"/>
      <c r="AA1028" s="659"/>
      <c r="AB1028" s="659"/>
      <c r="AC1028" s="659"/>
      <c r="AD1028" s="659"/>
      <c r="AE1028" s="659"/>
      <c r="AF1028" s="659"/>
      <c r="AG1028" s="659"/>
      <c r="AH1028" s="659"/>
      <c r="AI1028" s="659"/>
      <c r="AJ1028" s="659"/>
      <c r="AK1028" s="659"/>
      <c r="AL1028" s="659"/>
      <c r="AM1028" s="659"/>
      <c r="AN1028" s="659"/>
      <c r="AO1028" s="659"/>
      <c r="AP1028" s="659"/>
      <c r="AQ1028" s="746"/>
    </row>
    <row r="1029">
      <c r="A1029" s="703"/>
      <c r="B1029" s="1044"/>
      <c r="C1029" s="1005"/>
      <c r="D1029" s="645"/>
      <c r="E1029" s="645"/>
      <c r="F1029" s="951"/>
      <c r="G1029" s="951"/>
      <c r="H1029" s="951"/>
      <c r="I1029" s="951"/>
      <c r="J1029" s="951"/>
      <c r="K1029" s="951"/>
      <c r="L1029" s="951"/>
      <c r="M1029" s="951"/>
      <c r="N1029" s="659"/>
      <c r="O1029" s="951"/>
      <c r="P1029" s="951"/>
      <c r="Q1029" s="659"/>
      <c r="R1029" s="659"/>
      <c r="S1029" s="659"/>
      <c r="T1029" s="659"/>
      <c r="U1029" s="659"/>
      <c r="V1029" s="659"/>
      <c r="W1029" s="659"/>
      <c r="X1029" s="659"/>
      <c r="Y1029" s="659"/>
      <c r="Z1029" s="659"/>
      <c r="AA1029" s="659"/>
      <c r="AB1029" s="659"/>
      <c r="AC1029" s="659"/>
      <c r="AD1029" s="659"/>
      <c r="AE1029" s="659"/>
      <c r="AF1029" s="659"/>
      <c r="AG1029" s="659"/>
      <c r="AH1029" s="659"/>
      <c r="AI1029" s="659"/>
      <c r="AJ1029" s="659"/>
      <c r="AK1029" s="659"/>
      <c r="AL1029" s="659"/>
      <c r="AM1029" s="659"/>
      <c r="AN1029" s="659"/>
      <c r="AO1029" s="659"/>
      <c r="AP1029" s="659"/>
      <c r="AQ1029" s="746"/>
    </row>
    <row r="1030">
      <c r="A1030" s="703"/>
      <c r="B1030" s="1004"/>
      <c r="C1030" s="1005"/>
      <c r="D1030" s="645"/>
      <c r="E1030" s="645"/>
      <c r="F1030" s="951"/>
      <c r="G1030" s="951"/>
      <c r="H1030" s="951"/>
      <c r="I1030" s="951"/>
      <c r="J1030" s="951"/>
      <c r="K1030" s="951"/>
      <c r="L1030" s="951"/>
      <c r="M1030" s="951"/>
      <c r="N1030" s="659"/>
      <c r="O1030" s="951"/>
      <c r="P1030" s="951"/>
      <c r="Q1030" s="659"/>
      <c r="R1030" s="659"/>
      <c r="S1030" s="659"/>
      <c r="T1030" s="659"/>
      <c r="U1030" s="659"/>
      <c r="V1030" s="659"/>
      <c r="W1030" s="659"/>
      <c r="X1030" s="659"/>
      <c r="Y1030" s="659"/>
      <c r="Z1030" s="659"/>
      <c r="AA1030" s="659"/>
      <c r="AB1030" s="659"/>
      <c r="AC1030" s="659"/>
      <c r="AD1030" s="659"/>
      <c r="AE1030" s="659"/>
      <c r="AF1030" s="659"/>
      <c r="AG1030" s="659"/>
      <c r="AH1030" s="659"/>
      <c r="AI1030" s="659"/>
      <c r="AJ1030" s="659"/>
      <c r="AK1030" s="659"/>
      <c r="AL1030" s="659"/>
      <c r="AM1030" s="659"/>
      <c r="AN1030" s="659"/>
      <c r="AO1030" s="659"/>
      <c r="AP1030" s="659"/>
      <c r="AQ1030" s="746"/>
    </row>
    <row r="1031">
      <c r="A1031" s="703"/>
      <c r="B1031" s="1044"/>
      <c r="C1031" s="1005"/>
      <c r="D1031" s="645"/>
      <c r="E1031" s="645"/>
      <c r="F1031" s="951"/>
      <c r="G1031" s="951"/>
      <c r="H1031" s="951"/>
      <c r="I1031" s="951"/>
      <c r="J1031" s="951"/>
      <c r="K1031" s="951"/>
      <c r="L1031" s="951"/>
      <c r="M1031" s="951"/>
      <c r="N1031" s="659"/>
      <c r="O1031" s="951"/>
      <c r="P1031" s="951"/>
      <c r="Q1031" s="659"/>
      <c r="R1031" s="659"/>
      <c r="S1031" s="659"/>
      <c r="T1031" s="659"/>
      <c r="U1031" s="659"/>
      <c r="V1031" s="659"/>
      <c r="W1031" s="659"/>
      <c r="X1031" s="659"/>
      <c r="Y1031" s="659"/>
      <c r="Z1031" s="659"/>
      <c r="AA1031" s="659"/>
      <c r="AB1031" s="659"/>
      <c r="AC1031" s="659"/>
      <c r="AD1031" s="659"/>
      <c r="AE1031" s="659"/>
      <c r="AF1031" s="659"/>
      <c r="AG1031" s="659"/>
      <c r="AH1031" s="659"/>
      <c r="AI1031" s="659"/>
      <c r="AJ1031" s="659"/>
      <c r="AK1031" s="659"/>
      <c r="AL1031" s="659"/>
      <c r="AM1031" s="659"/>
      <c r="AN1031" s="659"/>
      <c r="AO1031" s="659"/>
      <c r="AP1031" s="659"/>
      <c r="AQ1031" s="746"/>
    </row>
    <row r="1032">
      <c r="A1032" s="703"/>
      <c r="B1032" s="1044"/>
      <c r="C1032" s="1005"/>
      <c r="D1032" s="645"/>
      <c r="E1032" s="645"/>
      <c r="F1032" s="951"/>
      <c r="G1032" s="951"/>
      <c r="H1032" s="951"/>
      <c r="I1032" s="951"/>
      <c r="J1032" s="951"/>
      <c r="K1032" s="951"/>
      <c r="L1032" s="951"/>
      <c r="M1032" s="951"/>
      <c r="N1032" s="659"/>
      <c r="O1032" s="951"/>
      <c r="P1032" s="951"/>
      <c r="Q1032" s="659"/>
      <c r="R1032" s="659"/>
      <c r="S1032" s="659"/>
      <c r="T1032" s="659"/>
      <c r="U1032" s="659"/>
      <c r="V1032" s="659"/>
      <c r="W1032" s="659"/>
      <c r="X1032" s="659"/>
      <c r="Y1032" s="659"/>
      <c r="Z1032" s="659"/>
      <c r="AA1032" s="659"/>
      <c r="AB1032" s="659"/>
      <c r="AC1032" s="659"/>
      <c r="AD1032" s="659"/>
      <c r="AE1032" s="659"/>
      <c r="AF1032" s="659"/>
      <c r="AG1032" s="659"/>
      <c r="AH1032" s="659"/>
      <c r="AI1032" s="659"/>
      <c r="AJ1032" s="659"/>
      <c r="AK1032" s="659"/>
      <c r="AL1032" s="659"/>
      <c r="AM1032" s="659"/>
      <c r="AN1032" s="659"/>
      <c r="AO1032" s="659"/>
      <c r="AP1032" s="659"/>
      <c r="AQ1032" s="746"/>
    </row>
    <row r="1033">
      <c r="A1033" s="703"/>
      <c r="B1033" s="1004"/>
      <c r="C1033" s="1005"/>
      <c r="D1033" s="645"/>
      <c r="E1033" s="645"/>
      <c r="F1033" s="951"/>
      <c r="G1033" s="951"/>
      <c r="H1033" s="951"/>
      <c r="I1033" s="951"/>
      <c r="J1033" s="951"/>
      <c r="K1033" s="951"/>
      <c r="L1033" s="951"/>
      <c r="M1033" s="951"/>
      <c r="N1033" s="659"/>
      <c r="O1033" s="951"/>
      <c r="P1033" s="951"/>
      <c r="Q1033" s="659"/>
      <c r="R1033" s="659"/>
      <c r="S1033" s="659"/>
      <c r="T1033" s="659"/>
      <c r="U1033" s="659"/>
      <c r="V1033" s="659"/>
      <c r="W1033" s="659"/>
      <c r="X1033" s="659"/>
      <c r="Y1033" s="659"/>
      <c r="Z1033" s="659"/>
      <c r="AA1033" s="659"/>
      <c r="AB1033" s="659"/>
      <c r="AC1033" s="659"/>
      <c r="AD1033" s="659"/>
      <c r="AE1033" s="659"/>
      <c r="AF1033" s="659"/>
      <c r="AG1033" s="659"/>
      <c r="AH1033" s="659"/>
      <c r="AI1033" s="659"/>
      <c r="AJ1033" s="659"/>
      <c r="AK1033" s="659"/>
      <c r="AL1033" s="659"/>
      <c r="AM1033" s="659"/>
      <c r="AN1033" s="659"/>
      <c r="AO1033" s="659"/>
      <c r="AP1033" s="659"/>
      <c r="AQ1033" s="746"/>
    </row>
    <row r="1034">
      <c r="A1034" s="703"/>
      <c r="B1034" s="1044"/>
      <c r="C1034" s="1005"/>
      <c r="D1034" s="645"/>
      <c r="E1034" s="645"/>
      <c r="F1034" s="951"/>
      <c r="G1034" s="951"/>
      <c r="H1034" s="951"/>
      <c r="I1034" s="951"/>
      <c r="J1034" s="951"/>
      <c r="K1034" s="951"/>
      <c r="L1034" s="951"/>
      <c r="M1034" s="951"/>
      <c r="N1034" s="659"/>
      <c r="O1034" s="951"/>
      <c r="P1034" s="951"/>
      <c r="Q1034" s="659"/>
      <c r="R1034" s="659"/>
      <c r="S1034" s="659"/>
      <c r="T1034" s="659"/>
      <c r="U1034" s="659"/>
      <c r="V1034" s="659"/>
      <c r="W1034" s="659"/>
      <c r="X1034" s="659"/>
      <c r="Y1034" s="659"/>
      <c r="Z1034" s="659"/>
      <c r="AA1034" s="659"/>
      <c r="AB1034" s="659"/>
      <c r="AC1034" s="659"/>
      <c r="AD1034" s="659"/>
      <c r="AE1034" s="659"/>
      <c r="AF1034" s="659"/>
      <c r="AG1034" s="659"/>
      <c r="AH1034" s="659"/>
      <c r="AI1034" s="659"/>
      <c r="AJ1034" s="659"/>
      <c r="AK1034" s="659"/>
      <c r="AL1034" s="659"/>
      <c r="AM1034" s="659"/>
      <c r="AN1034" s="659"/>
      <c r="AO1034" s="659"/>
      <c r="AP1034" s="659"/>
      <c r="AQ1034" s="746"/>
    </row>
    <row r="1035">
      <c r="A1035" s="703"/>
      <c r="B1035" s="1044"/>
      <c r="C1035" s="1005"/>
      <c r="D1035" s="645"/>
      <c r="E1035" s="645"/>
      <c r="F1035" s="951"/>
      <c r="G1035" s="951"/>
      <c r="H1035" s="951"/>
      <c r="I1035" s="951"/>
      <c r="J1035" s="951"/>
      <c r="K1035" s="951"/>
      <c r="L1035" s="951"/>
      <c r="M1035" s="951"/>
      <c r="N1035" s="659"/>
      <c r="O1035" s="951"/>
      <c r="P1035" s="951"/>
      <c r="Q1035" s="659"/>
      <c r="R1035" s="659"/>
      <c r="S1035" s="659"/>
      <c r="T1035" s="659"/>
      <c r="U1035" s="659"/>
      <c r="V1035" s="659"/>
      <c r="W1035" s="659"/>
      <c r="X1035" s="659"/>
      <c r="Y1035" s="659"/>
      <c r="Z1035" s="659"/>
      <c r="AA1035" s="659"/>
      <c r="AB1035" s="659"/>
      <c r="AC1035" s="659"/>
      <c r="AD1035" s="659"/>
      <c r="AE1035" s="659"/>
      <c r="AF1035" s="659"/>
      <c r="AG1035" s="659"/>
      <c r="AH1035" s="659"/>
      <c r="AI1035" s="659"/>
      <c r="AJ1035" s="659"/>
      <c r="AK1035" s="659"/>
      <c r="AL1035" s="659"/>
      <c r="AM1035" s="659"/>
      <c r="AN1035" s="659"/>
      <c r="AO1035" s="659"/>
      <c r="AP1035" s="659"/>
      <c r="AQ1035" s="746"/>
    </row>
    <row r="1036">
      <c r="A1036" s="703"/>
      <c r="B1036" s="1044"/>
      <c r="C1036" s="1005"/>
      <c r="D1036" s="645"/>
      <c r="E1036" s="645"/>
      <c r="F1036" s="951"/>
      <c r="G1036" s="951"/>
      <c r="H1036" s="951"/>
      <c r="I1036" s="951"/>
      <c r="J1036" s="951"/>
      <c r="K1036" s="951"/>
      <c r="L1036" s="951"/>
      <c r="M1036" s="951"/>
      <c r="N1036" s="659"/>
      <c r="O1036" s="951"/>
      <c r="P1036" s="951"/>
      <c r="Q1036" s="659"/>
      <c r="R1036" s="659"/>
      <c r="S1036" s="659"/>
      <c r="T1036" s="659"/>
      <c r="U1036" s="659"/>
      <c r="V1036" s="659"/>
      <c r="W1036" s="659"/>
      <c r="X1036" s="659"/>
      <c r="Y1036" s="659"/>
      <c r="Z1036" s="659"/>
      <c r="AA1036" s="659"/>
      <c r="AB1036" s="659"/>
      <c r="AC1036" s="659"/>
      <c r="AD1036" s="659"/>
      <c r="AE1036" s="659"/>
      <c r="AF1036" s="659"/>
      <c r="AG1036" s="659"/>
      <c r="AH1036" s="659"/>
      <c r="AI1036" s="659"/>
      <c r="AJ1036" s="659"/>
      <c r="AK1036" s="659"/>
      <c r="AL1036" s="659"/>
      <c r="AM1036" s="659"/>
      <c r="AN1036" s="659"/>
      <c r="AO1036" s="659"/>
      <c r="AP1036" s="659"/>
      <c r="AQ1036" s="746"/>
    </row>
    <row r="1037">
      <c r="A1037" s="703"/>
      <c r="B1037" s="1044"/>
      <c r="C1037" s="1005"/>
      <c r="D1037" s="645"/>
      <c r="E1037" s="645"/>
      <c r="F1037" s="951"/>
      <c r="G1037" s="951"/>
      <c r="H1037" s="951"/>
      <c r="I1037" s="951"/>
      <c r="J1037" s="951"/>
      <c r="K1037" s="951"/>
      <c r="L1037" s="951"/>
      <c r="M1037" s="951"/>
      <c r="N1037" s="659"/>
      <c r="O1037" s="951"/>
      <c r="P1037" s="951"/>
      <c r="Q1037" s="659"/>
      <c r="R1037" s="659"/>
      <c r="S1037" s="659"/>
      <c r="T1037" s="659"/>
      <c r="U1037" s="659"/>
      <c r="V1037" s="659"/>
      <c r="W1037" s="659"/>
      <c r="X1037" s="659"/>
      <c r="Y1037" s="659"/>
      <c r="Z1037" s="659"/>
      <c r="AA1037" s="659"/>
      <c r="AB1037" s="659"/>
      <c r="AC1037" s="659"/>
      <c r="AD1037" s="659"/>
      <c r="AE1037" s="659"/>
      <c r="AF1037" s="659"/>
      <c r="AG1037" s="659"/>
      <c r="AH1037" s="659"/>
      <c r="AI1037" s="659"/>
      <c r="AJ1037" s="659"/>
      <c r="AK1037" s="659"/>
      <c r="AL1037" s="659"/>
      <c r="AM1037" s="659"/>
      <c r="AN1037" s="659"/>
      <c r="AO1037" s="659"/>
      <c r="AP1037" s="659"/>
      <c r="AQ1037" s="746"/>
    </row>
    <row r="1038">
      <c r="A1038" s="703"/>
      <c r="B1038" s="1044"/>
      <c r="C1038" s="1005"/>
      <c r="D1038" s="645"/>
      <c r="E1038" s="645"/>
      <c r="F1038" s="951"/>
      <c r="G1038" s="951"/>
      <c r="H1038" s="951"/>
      <c r="I1038" s="951"/>
      <c r="J1038" s="951"/>
      <c r="K1038" s="951"/>
      <c r="L1038" s="951"/>
      <c r="M1038" s="951"/>
      <c r="N1038" s="659"/>
      <c r="O1038" s="951"/>
      <c r="P1038" s="951"/>
      <c r="Q1038" s="659"/>
      <c r="R1038" s="659"/>
      <c r="S1038" s="659"/>
      <c r="T1038" s="659"/>
      <c r="U1038" s="659"/>
      <c r="V1038" s="659"/>
      <c r="W1038" s="659"/>
      <c r="X1038" s="659"/>
      <c r="Y1038" s="659"/>
      <c r="Z1038" s="659"/>
      <c r="AA1038" s="659"/>
      <c r="AB1038" s="659"/>
      <c r="AC1038" s="659"/>
      <c r="AD1038" s="659"/>
      <c r="AE1038" s="659"/>
      <c r="AF1038" s="659"/>
      <c r="AG1038" s="659"/>
      <c r="AH1038" s="659"/>
      <c r="AI1038" s="659"/>
      <c r="AJ1038" s="659"/>
      <c r="AK1038" s="659"/>
      <c r="AL1038" s="659"/>
      <c r="AM1038" s="659"/>
      <c r="AN1038" s="659"/>
      <c r="AO1038" s="659"/>
      <c r="AP1038" s="659"/>
      <c r="AQ1038" s="746"/>
    </row>
    <row r="1039">
      <c r="A1039" s="703"/>
      <c r="B1039" s="1044"/>
      <c r="C1039" s="1005"/>
      <c r="D1039" s="645"/>
      <c r="E1039" s="645"/>
      <c r="F1039" s="951"/>
      <c r="G1039" s="951"/>
      <c r="H1039" s="951"/>
      <c r="I1039" s="951"/>
      <c r="J1039" s="951"/>
      <c r="K1039" s="951"/>
      <c r="L1039" s="951"/>
      <c r="M1039" s="951"/>
      <c r="N1039" s="659"/>
      <c r="O1039" s="951"/>
      <c r="P1039" s="951"/>
      <c r="Q1039" s="659"/>
      <c r="R1039" s="659"/>
      <c r="S1039" s="659"/>
      <c r="T1039" s="659"/>
      <c r="U1039" s="659"/>
      <c r="V1039" s="659"/>
      <c r="W1039" s="659"/>
      <c r="X1039" s="659"/>
      <c r="Y1039" s="659"/>
      <c r="Z1039" s="659"/>
      <c r="AA1039" s="659"/>
      <c r="AB1039" s="659"/>
      <c r="AC1039" s="659"/>
      <c r="AD1039" s="659"/>
      <c r="AE1039" s="659"/>
      <c r="AF1039" s="659"/>
      <c r="AG1039" s="659"/>
      <c r="AH1039" s="659"/>
      <c r="AI1039" s="659"/>
      <c r="AJ1039" s="659"/>
      <c r="AK1039" s="659"/>
      <c r="AL1039" s="659"/>
      <c r="AM1039" s="659"/>
      <c r="AN1039" s="659"/>
      <c r="AO1039" s="659"/>
      <c r="AP1039" s="659"/>
      <c r="AQ1039" s="746"/>
    </row>
    <row r="1040">
      <c r="A1040" s="703"/>
      <c r="B1040" s="1044"/>
      <c r="C1040" s="1005"/>
      <c r="D1040" s="645"/>
      <c r="E1040" s="645"/>
      <c r="F1040" s="951"/>
      <c r="G1040" s="951"/>
      <c r="H1040" s="951"/>
      <c r="I1040" s="951"/>
      <c r="J1040" s="951"/>
      <c r="K1040" s="951"/>
      <c r="L1040" s="951"/>
      <c r="M1040" s="951"/>
      <c r="N1040" s="659"/>
      <c r="O1040" s="951"/>
      <c r="P1040" s="951"/>
      <c r="Q1040" s="659"/>
      <c r="R1040" s="659"/>
      <c r="S1040" s="659"/>
      <c r="T1040" s="659"/>
      <c r="U1040" s="659"/>
      <c r="V1040" s="659"/>
      <c r="W1040" s="659"/>
      <c r="X1040" s="659"/>
      <c r="Y1040" s="659"/>
      <c r="Z1040" s="659"/>
      <c r="AA1040" s="659"/>
      <c r="AB1040" s="659"/>
      <c r="AC1040" s="659"/>
      <c r="AD1040" s="659"/>
      <c r="AE1040" s="659"/>
      <c r="AF1040" s="659"/>
      <c r="AG1040" s="659"/>
      <c r="AH1040" s="659"/>
      <c r="AI1040" s="659"/>
      <c r="AJ1040" s="659"/>
      <c r="AK1040" s="659"/>
      <c r="AL1040" s="659"/>
      <c r="AM1040" s="659"/>
      <c r="AN1040" s="659"/>
      <c r="AO1040" s="659"/>
      <c r="AP1040" s="659"/>
      <c r="AQ1040" s="746"/>
    </row>
    <row r="1041">
      <c r="A1041" s="703"/>
      <c r="B1041" s="1044"/>
      <c r="C1041" s="1005"/>
      <c r="D1041" s="645"/>
      <c r="E1041" s="645"/>
      <c r="F1041" s="951"/>
      <c r="G1041" s="951"/>
      <c r="H1041" s="951"/>
      <c r="I1041" s="951"/>
      <c r="J1041" s="951"/>
      <c r="K1041" s="951"/>
      <c r="L1041" s="951"/>
      <c r="M1041" s="951"/>
      <c r="N1041" s="659"/>
      <c r="O1041" s="951"/>
      <c r="P1041" s="951"/>
      <c r="Q1041" s="659"/>
      <c r="R1041" s="659"/>
      <c r="S1041" s="659"/>
      <c r="T1041" s="659"/>
      <c r="U1041" s="659"/>
      <c r="V1041" s="659"/>
      <c r="W1041" s="659"/>
      <c r="X1041" s="659"/>
      <c r="Y1041" s="659"/>
      <c r="Z1041" s="659"/>
      <c r="AA1041" s="659"/>
      <c r="AB1041" s="659"/>
      <c r="AC1041" s="659"/>
      <c r="AD1041" s="659"/>
      <c r="AE1041" s="659"/>
      <c r="AF1041" s="659"/>
      <c r="AG1041" s="659"/>
      <c r="AH1041" s="659"/>
      <c r="AI1041" s="659"/>
      <c r="AJ1041" s="659"/>
      <c r="AK1041" s="659"/>
      <c r="AL1041" s="659"/>
      <c r="AM1041" s="659"/>
      <c r="AN1041" s="659"/>
      <c r="AO1041" s="659"/>
      <c r="AP1041" s="659"/>
      <c r="AQ1041" s="746"/>
    </row>
    <row r="1042">
      <c r="A1042" s="703"/>
      <c r="B1042" s="1044"/>
      <c r="C1042" s="1005"/>
      <c r="D1042" s="645"/>
      <c r="E1042" s="645"/>
      <c r="F1042" s="951"/>
      <c r="G1042" s="951"/>
      <c r="H1042" s="951"/>
      <c r="I1042" s="951"/>
      <c r="J1042" s="951"/>
      <c r="K1042" s="951"/>
      <c r="L1042" s="951"/>
      <c r="M1042" s="951"/>
      <c r="N1042" s="659"/>
      <c r="O1042" s="951"/>
      <c r="P1042" s="951"/>
      <c r="Q1042" s="659"/>
      <c r="R1042" s="659"/>
      <c r="S1042" s="659"/>
      <c r="T1042" s="659"/>
      <c r="U1042" s="659"/>
      <c r="V1042" s="659"/>
      <c r="W1042" s="659"/>
      <c r="X1042" s="659"/>
      <c r="Y1042" s="659"/>
      <c r="Z1042" s="659"/>
      <c r="AA1042" s="659"/>
      <c r="AB1042" s="659"/>
      <c r="AC1042" s="659"/>
      <c r="AD1042" s="659"/>
      <c r="AE1042" s="659"/>
      <c r="AF1042" s="659"/>
      <c r="AG1042" s="659"/>
      <c r="AH1042" s="659"/>
      <c r="AI1042" s="659"/>
      <c r="AJ1042" s="659"/>
      <c r="AK1042" s="659"/>
      <c r="AL1042" s="659"/>
      <c r="AM1042" s="659"/>
      <c r="AN1042" s="659"/>
      <c r="AO1042" s="659"/>
      <c r="AP1042" s="659"/>
      <c r="AQ1042" s="746"/>
    </row>
    <row r="1043">
      <c r="A1043" s="703"/>
      <c r="B1043" s="1044"/>
      <c r="C1043" s="1005"/>
      <c r="D1043" s="645"/>
      <c r="E1043" s="645"/>
      <c r="F1043" s="951"/>
      <c r="G1043" s="951"/>
      <c r="H1043" s="951"/>
      <c r="I1043" s="951"/>
      <c r="J1043" s="951"/>
      <c r="K1043" s="951"/>
      <c r="L1043" s="951"/>
      <c r="M1043" s="951"/>
      <c r="N1043" s="659"/>
      <c r="O1043" s="951"/>
      <c r="P1043" s="951"/>
      <c r="Q1043" s="659"/>
      <c r="R1043" s="659"/>
      <c r="S1043" s="659"/>
      <c r="T1043" s="659"/>
      <c r="U1043" s="659"/>
      <c r="V1043" s="659"/>
      <c r="W1043" s="659"/>
      <c r="X1043" s="659"/>
      <c r="Y1043" s="659"/>
      <c r="Z1043" s="659"/>
      <c r="AA1043" s="659"/>
      <c r="AB1043" s="659"/>
      <c r="AC1043" s="659"/>
      <c r="AD1043" s="659"/>
      <c r="AE1043" s="659"/>
      <c r="AF1043" s="659"/>
      <c r="AG1043" s="659"/>
      <c r="AH1043" s="659"/>
      <c r="AI1043" s="659"/>
      <c r="AJ1043" s="659"/>
      <c r="AK1043" s="659"/>
      <c r="AL1043" s="659"/>
      <c r="AM1043" s="659"/>
      <c r="AN1043" s="659"/>
      <c r="AO1043" s="659"/>
      <c r="AP1043" s="659"/>
      <c r="AQ1043" s="746"/>
    </row>
    <row r="1044">
      <c r="A1044" s="703"/>
      <c r="B1044" s="1004"/>
      <c r="C1044" s="1005"/>
      <c r="D1044" s="645"/>
      <c r="E1044" s="645"/>
      <c r="F1044" s="951"/>
      <c r="G1044" s="951"/>
      <c r="H1044" s="951"/>
      <c r="I1044" s="951"/>
      <c r="J1044" s="951"/>
      <c r="K1044" s="951"/>
      <c r="L1044" s="951"/>
      <c r="M1044" s="951"/>
      <c r="N1044" s="659"/>
      <c r="O1044" s="951"/>
      <c r="P1044" s="951"/>
      <c r="Q1044" s="659"/>
      <c r="R1044" s="659"/>
      <c r="S1044" s="659"/>
      <c r="T1044" s="659"/>
      <c r="U1044" s="659"/>
      <c r="V1044" s="659"/>
      <c r="W1044" s="659"/>
      <c r="X1044" s="659"/>
      <c r="Y1044" s="659"/>
      <c r="Z1044" s="659"/>
      <c r="AA1044" s="659"/>
      <c r="AB1044" s="659"/>
      <c r="AC1044" s="659"/>
      <c r="AD1044" s="659"/>
      <c r="AE1044" s="659"/>
      <c r="AF1044" s="659"/>
      <c r="AG1044" s="659"/>
      <c r="AH1044" s="659"/>
      <c r="AI1044" s="659"/>
      <c r="AJ1044" s="659"/>
      <c r="AK1044" s="659"/>
      <c r="AL1044" s="659"/>
      <c r="AM1044" s="659"/>
      <c r="AN1044" s="659"/>
      <c r="AO1044" s="659"/>
      <c r="AP1044" s="659"/>
      <c r="AQ1044" s="746"/>
    </row>
    <row r="1045">
      <c r="A1045" s="703"/>
      <c r="B1045" s="1044"/>
      <c r="C1045" s="1005"/>
      <c r="D1045" s="645"/>
      <c r="E1045" s="645"/>
      <c r="F1045" s="951"/>
      <c r="G1045" s="951"/>
      <c r="H1045" s="951"/>
      <c r="I1045" s="951"/>
      <c r="J1045" s="951"/>
      <c r="K1045" s="951"/>
      <c r="L1045" s="951"/>
      <c r="M1045" s="951"/>
      <c r="N1045" s="659"/>
      <c r="O1045" s="951"/>
      <c r="P1045" s="951"/>
      <c r="Q1045" s="659"/>
      <c r="R1045" s="659"/>
      <c r="S1045" s="659"/>
      <c r="T1045" s="659"/>
      <c r="U1045" s="659"/>
      <c r="V1045" s="659"/>
      <c r="W1045" s="659"/>
      <c r="X1045" s="659"/>
      <c r="Y1045" s="659"/>
      <c r="Z1045" s="659"/>
      <c r="AA1045" s="659"/>
      <c r="AB1045" s="659"/>
      <c r="AC1045" s="659"/>
      <c r="AD1045" s="659"/>
      <c r="AE1045" s="659"/>
      <c r="AF1045" s="659"/>
      <c r="AG1045" s="659"/>
      <c r="AH1045" s="659"/>
      <c r="AI1045" s="659"/>
      <c r="AJ1045" s="659"/>
      <c r="AK1045" s="659"/>
      <c r="AL1045" s="659"/>
      <c r="AM1045" s="659"/>
      <c r="AN1045" s="659"/>
      <c r="AO1045" s="659"/>
      <c r="AP1045" s="659"/>
      <c r="AQ1045" s="746"/>
    </row>
    <row r="1046">
      <c r="A1046" s="703"/>
      <c r="B1046" s="1044"/>
      <c r="C1046" s="1005"/>
      <c r="D1046" s="645"/>
      <c r="E1046" s="645"/>
      <c r="F1046" s="951"/>
      <c r="G1046" s="951"/>
      <c r="H1046" s="951"/>
      <c r="I1046" s="951"/>
      <c r="J1046" s="951"/>
      <c r="K1046" s="951"/>
      <c r="L1046" s="951"/>
      <c r="M1046" s="951"/>
      <c r="N1046" s="659"/>
      <c r="O1046" s="951"/>
      <c r="P1046" s="951"/>
      <c r="Q1046" s="659"/>
      <c r="R1046" s="659"/>
      <c r="S1046" s="659"/>
      <c r="T1046" s="659"/>
      <c r="U1046" s="659"/>
      <c r="V1046" s="659"/>
      <c r="W1046" s="659"/>
      <c r="X1046" s="659"/>
      <c r="Y1046" s="659"/>
      <c r="Z1046" s="659"/>
      <c r="AA1046" s="659"/>
      <c r="AB1046" s="659"/>
      <c r="AC1046" s="659"/>
      <c r="AD1046" s="659"/>
      <c r="AE1046" s="659"/>
      <c r="AF1046" s="659"/>
      <c r="AG1046" s="659"/>
      <c r="AH1046" s="659"/>
      <c r="AI1046" s="659"/>
      <c r="AJ1046" s="659"/>
      <c r="AK1046" s="659"/>
      <c r="AL1046" s="659"/>
      <c r="AM1046" s="659"/>
      <c r="AN1046" s="659"/>
      <c r="AO1046" s="659"/>
      <c r="AP1046" s="659"/>
      <c r="AQ1046" s="746"/>
    </row>
    <row r="1047">
      <c r="A1047" s="703"/>
      <c r="B1047" s="1044"/>
      <c r="C1047" s="1005"/>
      <c r="D1047" s="645"/>
      <c r="E1047" s="645"/>
      <c r="F1047" s="951"/>
      <c r="G1047" s="951"/>
      <c r="H1047" s="951"/>
      <c r="I1047" s="951"/>
      <c r="J1047" s="951"/>
      <c r="K1047" s="951"/>
      <c r="L1047" s="951"/>
      <c r="M1047" s="951"/>
      <c r="N1047" s="659"/>
      <c r="O1047" s="951"/>
      <c r="P1047" s="951"/>
      <c r="Q1047" s="659"/>
      <c r="R1047" s="659"/>
      <c r="S1047" s="659"/>
      <c r="T1047" s="659"/>
      <c r="U1047" s="659"/>
      <c r="V1047" s="659"/>
      <c r="W1047" s="659"/>
      <c r="X1047" s="659"/>
      <c r="Y1047" s="659"/>
      <c r="Z1047" s="659"/>
      <c r="AA1047" s="659"/>
      <c r="AB1047" s="659"/>
      <c r="AC1047" s="659"/>
      <c r="AD1047" s="659"/>
      <c r="AE1047" s="659"/>
      <c r="AF1047" s="659"/>
      <c r="AG1047" s="659"/>
      <c r="AH1047" s="659"/>
      <c r="AI1047" s="659"/>
      <c r="AJ1047" s="659"/>
      <c r="AK1047" s="659"/>
      <c r="AL1047" s="659"/>
      <c r="AM1047" s="659"/>
      <c r="AN1047" s="659"/>
      <c r="AO1047" s="659"/>
      <c r="AP1047" s="659"/>
      <c r="AQ1047" s="746"/>
    </row>
    <row r="1048">
      <c r="A1048" s="703"/>
      <c r="B1048" s="1044"/>
      <c r="C1048" s="1005"/>
      <c r="D1048" s="645"/>
      <c r="E1048" s="645"/>
      <c r="F1048" s="951"/>
      <c r="G1048" s="951"/>
      <c r="H1048" s="951"/>
      <c r="I1048" s="951"/>
      <c r="J1048" s="951"/>
      <c r="K1048" s="951"/>
      <c r="L1048" s="951"/>
      <c r="M1048" s="951"/>
      <c r="N1048" s="659"/>
      <c r="O1048" s="951"/>
      <c r="P1048" s="951"/>
      <c r="Q1048" s="659"/>
      <c r="R1048" s="659"/>
      <c r="S1048" s="659"/>
      <c r="T1048" s="659"/>
      <c r="U1048" s="659"/>
      <c r="V1048" s="659"/>
      <c r="W1048" s="659"/>
      <c r="X1048" s="659"/>
      <c r="Y1048" s="659"/>
      <c r="Z1048" s="659"/>
      <c r="AA1048" s="659"/>
      <c r="AB1048" s="659"/>
      <c r="AC1048" s="659"/>
      <c r="AD1048" s="659"/>
      <c r="AE1048" s="659"/>
      <c r="AF1048" s="659"/>
      <c r="AG1048" s="659"/>
      <c r="AH1048" s="659"/>
      <c r="AI1048" s="659"/>
      <c r="AJ1048" s="659"/>
      <c r="AK1048" s="659"/>
      <c r="AL1048" s="659"/>
      <c r="AM1048" s="659"/>
      <c r="AN1048" s="659"/>
      <c r="AO1048" s="659"/>
      <c r="AP1048" s="659"/>
      <c r="AQ1048" s="746"/>
    </row>
    <row r="1049">
      <c r="A1049" s="703"/>
      <c r="B1049" s="1044"/>
      <c r="C1049" s="1005"/>
      <c r="D1049" s="645"/>
      <c r="E1049" s="645"/>
      <c r="F1049" s="951"/>
      <c r="G1049" s="951"/>
      <c r="H1049" s="951"/>
      <c r="I1049" s="951"/>
      <c r="J1049" s="951"/>
      <c r="K1049" s="951"/>
      <c r="L1049" s="951"/>
      <c r="M1049" s="951"/>
      <c r="N1049" s="659"/>
      <c r="O1049" s="951"/>
      <c r="P1049" s="951"/>
      <c r="Q1049" s="659"/>
      <c r="R1049" s="659"/>
      <c r="S1049" s="659"/>
      <c r="T1049" s="659"/>
      <c r="U1049" s="659"/>
      <c r="V1049" s="659"/>
      <c r="W1049" s="659"/>
      <c r="X1049" s="659"/>
      <c r="Y1049" s="659"/>
      <c r="Z1049" s="659"/>
      <c r="AA1049" s="659"/>
      <c r="AB1049" s="659"/>
      <c r="AC1049" s="659"/>
      <c r="AD1049" s="659"/>
      <c r="AE1049" s="659"/>
      <c r="AF1049" s="659"/>
      <c r="AG1049" s="659"/>
      <c r="AH1049" s="659"/>
      <c r="AI1049" s="659"/>
      <c r="AJ1049" s="659"/>
      <c r="AK1049" s="659"/>
      <c r="AL1049" s="659"/>
      <c r="AM1049" s="659"/>
      <c r="AN1049" s="659"/>
      <c r="AO1049" s="659"/>
      <c r="AP1049" s="659"/>
      <c r="AQ1049" s="746"/>
    </row>
    <row r="1050">
      <c r="A1050" s="703"/>
      <c r="B1050" s="1004"/>
      <c r="C1050" s="1005"/>
      <c r="D1050" s="645"/>
      <c r="E1050" s="645"/>
      <c r="F1050" s="951"/>
      <c r="G1050" s="951"/>
      <c r="H1050" s="951"/>
      <c r="I1050" s="951"/>
      <c r="J1050" s="951"/>
      <c r="K1050" s="951"/>
      <c r="L1050" s="951"/>
      <c r="M1050" s="951"/>
      <c r="N1050" s="659"/>
      <c r="O1050" s="951"/>
      <c r="P1050" s="951"/>
      <c r="Q1050" s="659"/>
      <c r="R1050" s="659"/>
      <c r="S1050" s="659"/>
      <c r="T1050" s="659"/>
      <c r="U1050" s="659"/>
      <c r="V1050" s="659"/>
      <c r="W1050" s="659"/>
      <c r="X1050" s="659"/>
      <c r="Y1050" s="659"/>
      <c r="Z1050" s="659"/>
      <c r="AA1050" s="659"/>
      <c r="AB1050" s="659"/>
      <c r="AC1050" s="659"/>
      <c r="AD1050" s="659"/>
      <c r="AE1050" s="659"/>
      <c r="AF1050" s="659"/>
      <c r="AG1050" s="659"/>
      <c r="AH1050" s="659"/>
      <c r="AI1050" s="659"/>
      <c r="AJ1050" s="659"/>
      <c r="AK1050" s="659"/>
      <c r="AL1050" s="659"/>
      <c r="AM1050" s="659"/>
      <c r="AN1050" s="659"/>
      <c r="AO1050" s="659"/>
      <c r="AP1050" s="659"/>
      <c r="AQ1050" s="746"/>
    </row>
    <row r="1051">
      <c r="A1051" s="703"/>
      <c r="B1051" s="1044"/>
      <c r="C1051" s="1005"/>
      <c r="D1051" s="645"/>
      <c r="E1051" s="645"/>
      <c r="F1051" s="951"/>
      <c r="G1051" s="951"/>
      <c r="H1051" s="951"/>
      <c r="I1051" s="951"/>
      <c r="J1051" s="951"/>
      <c r="K1051" s="951"/>
      <c r="L1051" s="951"/>
      <c r="M1051" s="951"/>
      <c r="N1051" s="659"/>
      <c r="O1051" s="951"/>
      <c r="P1051" s="951"/>
      <c r="Q1051" s="659"/>
      <c r="R1051" s="659"/>
      <c r="S1051" s="659"/>
      <c r="T1051" s="659"/>
      <c r="U1051" s="659"/>
      <c r="V1051" s="659"/>
      <c r="W1051" s="659"/>
      <c r="X1051" s="659"/>
      <c r="Y1051" s="659"/>
      <c r="Z1051" s="659"/>
      <c r="AA1051" s="659"/>
      <c r="AB1051" s="659"/>
      <c r="AC1051" s="659"/>
      <c r="AD1051" s="659"/>
      <c r="AE1051" s="659"/>
      <c r="AF1051" s="659"/>
      <c r="AG1051" s="659"/>
      <c r="AH1051" s="659"/>
      <c r="AI1051" s="659"/>
      <c r="AJ1051" s="659"/>
      <c r="AK1051" s="659"/>
      <c r="AL1051" s="659"/>
      <c r="AM1051" s="659"/>
      <c r="AN1051" s="659"/>
      <c r="AO1051" s="659"/>
      <c r="AP1051" s="659"/>
      <c r="AQ1051" s="746"/>
    </row>
    <row r="1052">
      <c r="A1052" s="703"/>
      <c r="B1052" s="1044"/>
      <c r="C1052" s="1005"/>
      <c r="D1052" s="645"/>
      <c r="E1052" s="645"/>
      <c r="F1052" s="951"/>
      <c r="G1052" s="951"/>
      <c r="H1052" s="951"/>
      <c r="I1052" s="951"/>
      <c r="J1052" s="951"/>
      <c r="K1052" s="951"/>
      <c r="L1052" s="951"/>
      <c r="M1052" s="951"/>
      <c r="N1052" s="659"/>
      <c r="O1052" s="951"/>
      <c r="P1052" s="951"/>
      <c r="Q1052" s="659"/>
      <c r="R1052" s="659"/>
      <c r="S1052" s="659"/>
      <c r="T1052" s="659"/>
      <c r="U1052" s="659"/>
      <c r="V1052" s="659"/>
      <c r="W1052" s="659"/>
      <c r="X1052" s="659"/>
      <c r="Y1052" s="659"/>
      <c r="Z1052" s="659"/>
      <c r="AA1052" s="659"/>
      <c r="AB1052" s="659"/>
      <c r="AC1052" s="659"/>
      <c r="AD1052" s="659"/>
      <c r="AE1052" s="659"/>
      <c r="AF1052" s="659"/>
      <c r="AG1052" s="659"/>
      <c r="AH1052" s="659"/>
      <c r="AI1052" s="659"/>
      <c r="AJ1052" s="659"/>
      <c r="AK1052" s="659"/>
      <c r="AL1052" s="659"/>
      <c r="AM1052" s="659"/>
      <c r="AN1052" s="659"/>
      <c r="AO1052" s="659"/>
      <c r="AP1052" s="659"/>
      <c r="AQ1052" s="746"/>
    </row>
    <row r="1053">
      <c r="A1053" s="703"/>
      <c r="B1053" s="1044"/>
      <c r="C1053" s="1005"/>
      <c r="D1053" s="645"/>
      <c r="E1053" s="645"/>
      <c r="F1053" s="951"/>
      <c r="G1053" s="951"/>
      <c r="H1053" s="951"/>
      <c r="I1053" s="951"/>
      <c r="J1053" s="951"/>
      <c r="K1053" s="951"/>
      <c r="L1053" s="951"/>
      <c r="M1053" s="951"/>
      <c r="N1053" s="659"/>
      <c r="O1053" s="951"/>
      <c r="P1053" s="951"/>
      <c r="Q1053" s="659"/>
      <c r="R1053" s="659"/>
      <c r="S1053" s="659"/>
      <c r="T1053" s="659"/>
      <c r="U1053" s="659"/>
      <c r="V1053" s="659"/>
      <c r="W1053" s="659"/>
      <c r="X1053" s="659"/>
      <c r="Y1053" s="659"/>
      <c r="Z1053" s="659"/>
      <c r="AA1053" s="659"/>
      <c r="AB1053" s="659"/>
      <c r="AC1053" s="659"/>
      <c r="AD1053" s="659"/>
      <c r="AE1053" s="659"/>
      <c r="AF1053" s="659"/>
      <c r="AG1053" s="659"/>
      <c r="AH1053" s="659"/>
      <c r="AI1053" s="659"/>
      <c r="AJ1053" s="659"/>
      <c r="AK1053" s="659"/>
      <c r="AL1053" s="659"/>
      <c r="AM1053" s="659"/>
      <c r="AN1053" s="659"/>
      <c r="AO1053" s="659"/>
      <c r="AP1053" s="659"/>
      <c r="AQ1053" s="746"/>
    </row>
    <row r="1054">
      <c r="A1054" s="703"/>
      <c r="B1054" s="1044"/>
      <c r="C1054" s="1005"/>
      <c r="D1054" s="645"/>
      <c r="E1054" s="645"/>
      <c r="F1054" s="951"/>
      <c r="G1054" s="951"/>
      <c r="H1054" s="951"/>
      <c r="I1054" s="951"/>
      <c r="J1054" s="951"/>
      <c r="K1054" s="951"/>
      <c r="L1054" s="951"/>
      <c r="M1054" s="951"/>
      <c r="N1054" s="659"/>
      <c r="O1054" s="951"/>
      <c r="P1054" s="951"/>
      <c r="Q1054" s="659"/>
      <c r="R1054" s="659"/>
      <c r="S1054" s="659"/>
      <c r="T1054" s="659"/>
      <c r="U1054" s="659"/>
      <c r="V1054" s="659"/>
      <c r="W1054" s="659"/>
      <c r="X1054" s="659"/>
      <c r="Y1054" s="659"/>
      <c r="Z1054" s="659"/>
      <c r="AA1054" s="659"/>
      <c r="AB1054" s="659"/>
      <c r="AC1054" s="659"/>
      <c r="AD1054" s="659"/>
      <c r="AE1054" s="659"/>
      <c r="AF1054" s="659"/>
      <c r="AG1054" s="659"/>
      <c r="AH1054" s="659"/>
      <c r="AI1054" s="659"/>
      <c r="AJ1054" s="659"/>
      <c r="AK1054" s="659"/>
      <c r="AL1054" s="659"/>
      <c r="AM1054" s="659"/>
      <c r="AN1054" s="659"/>
      <c r="AO1054" s="659"/>
      <c r="AP1054" s="659"/>
      <c r="AQ1054" s="746"/>
    </row>
    <row r="1055">
      <c r="A1055" s="703"/>
      <c r="B1055" s="1044"/>
      <c r="C1055" s="1005"/>
      <c r="D1055" s="645"/>
      <c r="E1055" s="645"/>
      <c r="F1055" s="951"/>
      <c r="G1055" s="951"/>
      <c r="H1055" s="951"/>
      <c r="I1055" s="951"/>
      <c r="J1055" s="951"/>
      <c r="K1055" s="951"/>
      <c r="L1055" s="951"/>
      <c r="M1055" s="951"/>
      <c r="N1055" s="659"/>
      <c r="O1055" s="951"/>
      <c r="P1055" s="951"/>
      <c r="Q1055" s="659"/>
      <c r="R1055" s="659"/>
      <c r="S1055" s="659"/>
      <c r="T1055" s="659"/>
      <c r="U1055" s="659"/>
      <c r="V1055" s="659"/>
      <c r="W1055" s="659"/>
      <c r="X1055" s="659"/>
      <c r="Y1055" s="659"/>
      <c r="Z1055" s="659"/>
      <c r="AA1055" s="659"/>
      <c r="AB1055" s="659"/>
      <c r="AC1055" s="659"/>
      <c r="AD1055" s="659"/>
      <c r="AE1055" s="659"/>
      <c r="AF1055" s="659"/>
      <c r="AG1055" s="659"/>
      <c r="AH1055" s="659"/>
      <c r="AI1055" s="659"/>
      <c r="AJ1055" s="659"/>
      <c r="AK1055" s="659"/>
      <c r="AL1055" s="659"/>
      <c r="AM1055" s="659"/>
      <c r="AN1055" s="659"/>
      <c r="AO1055" s="659"/>
      <c r="AP1055" s="659"/>
      <c r="AQ1055" s="746"/>
    </row>
    <row r="1056">
      <c r="A1056" s="703"/>
      <c r="B1056" s="1044"/>
      <c r="C1056" s="1005"/>
      <c r="D1056" s="645"/>
      <c r="E1056" s="645"/>
      <c r="F1056" s="951"/>
      <c r="G1056" s="951"/>
      <c r="H1056" s="951"/>
      <c r="I1056" s="951"/>
      <c r="J1056" s="951"/>
      <c r="K1056" s="951"/>
      <c r="L1056" s="951"/>
      <c r="M1056" s="951"/>
      <c r="N1056" s="659"/>
      <c r="O1056" s="951"/>
      <c r="P1056" s="951"/>
      <c r="Q1056" s="659"/>
      <c r="R1056" s="659"/>
      <c r="S1056" s="659"/>
      <c r="T1056" s="659"/>
      <c r="U1056" s="659"/>
      <c r="V1056" s="659"/>
      <c r="W1056" s="659"/>
      <c r="X1056" s="659"/>
      <c r="Y1056" s="659"/>
      <c r="Z1056" s="659"/>
      <c r="AA1056" s="659"/>
      <c r="AB1056" s="659"/>
      <c r="AC1056" s="659"/>
      <c r="AD1056" s="659"/>
      <c r="AE1056" s="659"/>
      <c r="AF1056" s="659"/>
      <c r="AG1056" s="659"/>
      <c r="AH1056" s="659"/>
      <c r="AI1056" s="659"/>
      <c r="AJ1056" s="659"/>
      <c r="AK1056" s="659"/>
      <c r="AL1056" s="659"/>
      <c r="AM1056" s="659"/>
      <c r="AN1056" s="659"/>
      <c r="AO1056" s="659"/>
      <c r="AP1056" s="659"/>
      <c r="AQ1056" s="746"/>
    </row>
    <row r="1057">
      <c r="A1057" s="703"/>
      <c r="B1057" s="1044"/>
      <c r="C1057" s="1005"/>
      <c r="D1057" s="645"/>
      <c r="E1057" s="645"/>
      <c r="F1057" s="951"/>
      <c r="G1057" s="951"/>
      <c r="H1057" s="951"/>
      <c r="I1057" s="951"/>
      <c r="J1057" s="951"/>
      <c r="K1057" s="951"/>
      <c r="L1057" s="951"/>
      <c r="M1057" s="951"/>
      <c r="N1057" s="659"/>
      <c r="O1057" s="951"/>
      <c r="P1057" s="951"/>
      <c r="Q1057" s="659"/>
      <c r="R1057" s="659"/>
      <c r="S1057" s="659"/>
      <c r="T1057" s="659"/>
      <c r="U1057" s="659"/>
      <c r="V1057" s="659"/>
      <c r="W1057" s="659"/>
      <c r="X1057" s="659"/>
      <c r="Y1057" s="659"/>
      <c r="Z1057" s="659"/>
      <c r="AA1057" s="659"/>
      <c r="AB1057" s="659"/>
      <c r="AC1057" s="659"/>
      <c r="AD1057" s="659"/>
      <c r="AE1057" s="659"/>
      <c r="AF1057" s="659"/>
      <c r="AG1057" s="659"/>
      <c r="AH1057" s="659"/>
      <c r="AI1057" s="659"/>
      <c r="AJ1057" s="659"/>
      <c r="AK1057" s="659"/>
      <c r="AL1057" s="659"/>
      <c r="AM1057" s="659"/>
      <c r="AN1057" s="659"/>
      <c r="AO1057" s="659"/>
      <c r="AP1057" s="659"/>
      <c r="AQ1057" s="746"/>
    </row>
    <row r="1058">
      <c r="A1058" s="703"/>
      <c r="B1058" s="1004"/>
      <c r="C1058" s="1005"/>
      <c r="D1058" s="645"/>
      <c r="E1058" s="645"/>
      <c r="F1058" s="951"/>
      <c r="G1058" s="951"/>
      <c r="H1058" s="951"/>
      <c r="I1058" s="951"/>
      <c r="J1058" s="951"/>
      <c r="K1058" s="951"/>
      <c r="L1058" s="951"/>
      <c r="M1058" s="951"/>
      <c r="N1058" s="659"/>
      <c r="O1058" s="951"/>
      <c r="P1058" s="951"/>
      <c r="Q1058" s="659"/>
      <c r="R1058" s="659"/>
      <c r="S1058" s="659"/>
      <c r="T1058" s="659"/>
      <c r="U1058" s="659"/>
      <c r="V1058" s="659"/>
      <c r="W1058" s="659"/>
      <c r="X1058" s="659"/>
      <c r="Y1058" s="659"/>
      <c r="Z1058" s="659"/>
      <c r="AA1058" s="659"/>
      <c r="AB1058" s="659"/>
      <c r="AC1058" s="659"/>
      <c r="AD1058" s="659"/>
      <c r="AE1058" s="659"/>
      <c r="AF1058" s="659"/>
      <c r="AG1058" s="659"/>
      <c r="AH1058" s="659"/>
      <c r="AI1058" s="659"/>
      <c r="AJ1058" s="659"/>
      <c r="AK1058" s="659"/>
      <c r="AL1058" s="659"/>
      <c r="AM1058" s="659"/>
      <c r="AN1058" s="659"/>
      <c r="AO1058" s="659"/>
      <c r="AP1058" s="659"/>
      <c r="AQ1058" s="746"/>
    </row>
    <row r="1059">
      <c r="A1059" s="703"/>
      <c r="B1059" s="1044"/>
      <c r="C1059" s="1005"/>
      <c r="D1059" s="645"/>
      <c r="E1059" s="645"/>
      <c r="F1059" s="951"/>
      <c r="G1059" s="951"/>
      <c r="H1059" s="951"/>
      <c r="I1059" s="951"/>
      <c r="J1059" s="951"/>
      <c r="K1059" s="951"/>
      <c r="L1059" s="951"/>
      <c r="M1059" s="951"/>
      <c r="N1059" s="659"/>
      <c r="O1059" s="951"/>
      <c r="P1059" s="951"/>
      <c r="Q1059" s="659"/>
      <c r="R1059" s="659"/>
      <c r="S1059" s="659"/>
      <c r="T1059" s="659"/>
      <c r="U1059" s="659"/>
      <c r="V1059" s="659"/>
      <c r="W1059" s="659"/>
      <c r="X1059" s="659"/>
      <c r="Y1059" s="659"/>
      <c r="Z1059" s="659"/>
      <c r="AA1059" s="659"/>
      <c r="AB1059" s="659"/>
      <c r="AC1059" s="659"/>
      <c r="AD1059" s="659"/>
      <c r="AE1059" s="659"/>
      <c r="AF1059" s="659"/>
      <c r="AG1059" s="659"/>
      <c r="AH1059" s="659"/>
      <c r="AI1059" s="659"/>
      <c r="AJ1059" s="659"/>
      <c r="AK1059" s="659"/>
      <c r="AL1059" s="659"/>
      <c r="AM1059" s="659"/>
      <c r="AN1059" s="659"/>
      <c r="AO1059" s="659"/>
      <c r="AP1059" s="659"/>
      <c r="AQ1059" s="746"/>
    </row>
    <row r="1060">
      <c r="A1060" s="703"/>
      <c r="B1060" s="1044"/>
      <c r="C1060" s="1005"/>
      <c r="D1060" s="645"/>
      <c r="E1060" s="645"/>
      <c r="F1060" s="951"/>
      <c r="G1060" s="951"/>
      <c r="H1060" s="951"/>
      <c r="I1060" s="951"/>
      <c r="J1060" s="951"/>
      <c r="K1060" s="951"/>
      <c r="L1060" s="951"/>
      <c r="M1060" s="951"/>
      <c r="N1060" s="659"/>
      <c r="O1060" s="951"/>
      <c r="P1060" s="951"/>
      <c r="Q1060" s="659"/>
      <c r="R1060" s="659"/>
      <c r="S1060" s="659"/>
      <c r="T1060" s="659"/>
      <c r="U1060" s="659"/>
      <c r="V1060" s="659"/>
      <c r="W1060" s="659"/>
      <c r="X1060" s="659"/>
      <c r="Y1060" s="659"/>
      <c r="Z1060" s="659"/>
      <c r="AA1060" s="659"/>
      <c r="AB1060" s="659"/>
      <c r="AC1060" s="659"/>
      <c r="AD1060" s="659"/>
      <c r="AE1060" s="659"/>
      <c r="AF1060" s="659"/>
      <c r="AG1060" s="659"/>
      <c r="AH1060" s="659"/>
      <c r="AI1060" s="659"/>
      <c r="AJ1060" s="659"/>
      <c r="AK1060" s="659"/>
      <c r="AL1060" s="659"/>
      <c r="AM1060" s="659"/>
      <c r="AN1060" s="659"/>
      <c r="AO1060" s="659"/>
      <c r="AP1060" s="659"/>
      <c r="AQ1060" s="746"/>
    </row>
    <row r="1061">
      <c r="A1061" s="703"/>
      <c r="B1061" s="1044"/>
      <c r="C1061" s="1005"/>
      <c r="D1061" s="645"/>
      <c r="E1061" s="645"/>
      <c r="F1061" s="951"/>
      <c r="G1061" s="951"/>
      <c r="H1061" s="951"/>
      <c r="I1061" s="951"/>
      <c r="J1061" s="951"/>
      <c r="K1061" s="951"/>
      <c r="L1061" s="951"/>
      <c r="M1061" s="951"/>
      <c r="N1061" s="659"/>
      <c r="O1061" s="951"/>
      <c r="P1061" s="951"/>
      <c r="Q1061" s="659"/>
      <c r="R1061" s="659"/>
      <c r="S1061" s="659"/>
      <c r="T1061" s="659"/>
      <c r="U1061" s="659"/>
      <c r="V1061" s="659"/>
      <c r="W1061" s="659"/>
      <c r="X1061" s="659"/>
      <c r="Y1061" s="659"/>
      <c r="Z1061" s="659"/>
      <c r="AA1061" s="659"/>
      <c r="AB1061" s="659"/>
      <c r="AC1061" s="659"/>
      <c r="AD1061" s="659"/>
      <c r="AE1061" s="659"/>
      <c r="AF1061" s="659"/>
      <c r="AG1061" s="659"/>
      <c r="AH1061" s="659"/>
      <c r="AI1061" s="659"/>
      <c r="AJ1061" s="659"/>
      <c r="AK1061" s="659"/>
      <c r="AL1061" s="659"/>
      <c r="AM1061" s="659"/>
      <c r="AN1061" s="659"/>
      <c r="AO1061" s="659"/>
      <c r="AP1061" s="659"/>
      <c r="AQ1061" s="746"/>
    </row>
    <row r="1062">
      <c r="A1062" s="703"/>
      <c r="B1062" s="1044"/>
      <c r="C1062" s="1005"/>
      <c r="D1062" s="645"/>
      <c r="E1062" s="645"/>
      <c r="F1062" s="951"/>
      <c r="G1062" s="951"/>
      <c r="H1062" s="951"/>
      <c r="I1062" s="951"/>
      <c r="J1062" s="951"/>
      <c r="K1062" s="951"/>
      <c r="L1062" s="951"/>
      <c r="M1062" s="951"/>
      <c r="N1062" s="659"/>
      <c r="O1062" s="951"/>
      <c r="P1062" s="951"/>
      <c r="Q1062" s="659"/>
      <c r="R1062" s="659"/>
      <c r="S1062" s="659"/>
      <c r="T1062" s="659"/>
      <c r="U1062" s="659"/>
      <c r="V1062" s="659"/>
      <c r="W1062" s="659"/>
      <c r="X1062" s="659"/>
      <c r="Y1062" s="659"/>
      <c r="Z1062" s="659"/>
      <c r="AA1062" s="659"/>
      <c r="AB1062" s="659"/>
      <c r="AC1062" s="659"/>
      <c r="AD1062" s="659"/>
      <c r="AE1062" s="659"/>
      <c r="AF1062" s="659"/>
      <c r="AG1062" s="659"/>
      <c r="AH1062" s="659"/>
      <c r="AI1062" s="659"/>
      <c r="AJ1062" s="659"/>
      <c r="AK1062" s="659"/>
      <c r="AL1062" s="659"/>
      <c r="AM1062" s="659"/>
      <c r="AN1062" s="659"/>
      <c r="AO1062" s="659"/>
      <c r="AP1062" s="659"/>
      <c r="AQ1062" s="746"/>
    </row>
    <row r="1063">
      <c r="A1063" s="703"/>
      <c r="B1063" s="1044"/>
      <c r="C1063" s="1005"/>
      <c r="D1063" s="645"/>
      <c r="E1063" s="645"/>
      <c r="F1063" s="951"/>
      <c r="G1063" s="951"/>
      <c r="H1063" s="951"/>
      <c r="I1063" s="951"/>
      <c r="J1063" s="951"/>
      <c r="K1063" s="951"/>
      <c r="L1063" s="951"/>
      <c r="M1063" s="951"/>
      <c r="N1063" s="659"/>
      <c r="O1063" s="951"/>
      <c r="P1063" s="951"/>
      <c r="Q1063" s="659"/>
      <c r="R1063" s="659"/>
      <c r="S1063" s="659"/>
      <c r="T1063" s="659"/>
      <c r="U1063" s="659"/>
      <c r="V1063" s="659"/>
      <c r="W1063" s="659"/>
      <c r="X1063" s="659"/>
      <c r="Y1063" s="659"/>
      <c r="Z1063" s="659"/>
      <c r="AA1063" s="659"/>
      <c r="AB1063" s="659"/>
      <c r="AC1063" s="659"/>
      <c r="AD1063" s="659"/>
      <c r="AE1063" s="659"/>
      <c r="AF1063" s="659"/>
      <c r="AG1063" s="659"/>
      <c r="AH1063" s="659"/>
      <c r="AI1063" s="659"/>
      <c r="AJ1063" s="659"/>
      <c r="AK1063" s="659"/>
      <c r="AL1063" s="659"/>
      <c r="AM1063" s="659"/>
      <c r="AN1063" s="659"/>
      <c r="AO1063" s="659"/>
      <c r="AP1063" s="659"/>
      <c r="AQ1063" s="746"/>
    </row>
    <row r="1064">
      <c r="A1064" s="703"/>
      <c r="B1064" s="1004"/>
      <c r="C1064" s="1005"/>
      <c r="D1064" s="645"/>
      <c r="E1064" s="645"/>
      <c r="F1064" s="951"/>
      <c r="G1064" s="951"/>
      <c r="H1064" s="951"/>
      <c r="I1064" s="951"/>
      <c r="J1064" s="951"/>
      <c r="K1064" s="951"/>
      <c r="L1064" s="951"/>
      <c r="M1064" s="951"/>
      <c r="N1064" s="659"/>
      <c r="O1064" s="951"/>
      <c r="P1064" s="951"/>
      <c r="Q1064" s="659"/>
      <c r="R1064" s="659"/>
      <c r="S1064" s="659"/>
      <c r="T1064" s="659"/>
      <c r="U1064" s="659"/>
      <c r="V1064" s="659"/>
      <c r="W1064" s="659"/>
      <c r="X1064" s="659"/>
      <c r="Y1064" s="659"/>
      <c r="Z1064" s="659"/>
      <c r="AA1064" s="659"/>
      <c r="AB1064" s="659"/>
      <c r="AC1064" s="659"/>
      <c r="AD1064" s="659"/>
      <c r="AE1064" s="659"/>
      <c r="AF1064" s="659"/>
      <c r="AG1064" s="659"/>
      <c r="AH1064" s="659"/>
      <c r="AI1064" s="659"/>
      <c r="AJ1064" s="659"/>
      <c r="AK1064" s="659"/>
      <c r="AL1064" s="659"/>
      <c r="AM1064" s="659"/>
      <c r="AN1064" s="659"/>
      <c r="AO1064" s="659"/>
      <c r="AP1064" s="659"/>
      <c r="AQ1064" s="746"/>
    </row>
    <row r="1065">
      <c r="A1065" s="703"/>
      <c r="B1065" s="1044"/>
      <c r="C1065" s="1005"/>
      <c r="D1065" s="645"/>
      <c r="E1065" s="645"/>
      <c r="F1065" s="951"/>
      <c r="G1065" s="951"/>
      <c r="H1065" s="951"/>
      <c r="I1065" s="951"/>
      <c r="J1065" s="951"/>
      <c r="K1065" s="951"/>
      <c r="L1065" s="951"/>
      <c r="M1065" s="951"/>
      <c r="N1065" s="659"/>
      <c r="O1065" s="951"/>
      <c r="P1065" s="951"/>
      <c r="Q1065" s="659"/>
      <c r="R1065" s="659"/>
      <c r="S1065" s="659"/>
      <c r="T1065" s="659"/>
      <c r="U1065" s="659"/>
      <c r="V1065" s="659"/>
      <c r="W1065" s="659"/>
      <c r="X1065" s="659"/>
      <c r="Y1065" s="659"/>
      <c r="Z1065" s="659"/>
      <c r="AA1065" s="659"/>
      <c r="AB1065" s="659"/>
      <c r="AC1065" s="659"/>
      <c r="AD1065" s="659"/>
      <c r="AE1065" s="659"/>
      <c r="AF1065" s="659"/>
      <c r="AG1065" s="659"/>
      <c r="AH1065" s="659"/>
      <c r="AI1065" s="659"/>
      <c r="AJ1065" s="659"/>
      <c r="AK1065" s="659"/>
      <c r="AL1065" s="659"/>
      <c r="AM1065" s="659"/>
      <c r="AN1065" s="659"/>
      <c r="AO1065" s="659"/>
      <c r="AP1065" s="659"/>
      <c r="AQ1065" s="746"/>
    </row>
    <row r="1066">
      <c r="A1066" s="703"/>
      <c r="B1066" s="1044"/>
      <c r="C1066" s="1005"/>
      <c r="D1066" s="645"/>
      <c r="E1066" s="645"/>
      <c r="F1066" s="951"/>
      <c r="G1066" s="951"/>
      <c r="H1066" s="951"/>
      <c r="I1066" s="951"/>
      <c r="J1066" s="951"/>
      <c r="K1066" s="951"/>
      <c r="L1066" s="951"/>
      <c r="M1066" s="951"/>
      <c r="N1066" s="659"/>
      <c r="O1066" s="951"/>
      <c r="P1066" s="951"/>
      <c r="Q1066" s="659"/>
      <c r="R1066" s="659"/>
      <c r="S1066" s="659"/>
      <c r="T1066" s="659"/>
      <c r="U1066" s="659"/>
      <c r="V1066" s="659"/>
      <c r="W1066" s="659"/>
      <c r="X1066" s="659"/>
      <c r="Y1066" s="659"/>
      <c r="Z1066" s="659"/>
      <c r="AA1066" s="659"/>
      <c r="AB1066" s="659"/>
      <c r="AC1066" s="659"/>
      <c r="AD1066" s="659"/>
      <c r="AE1066" s="659"/>
      <c r="AF1066" s="659"/>
      <c r="AG1066" s="659"/>
      <c r="AH1066" s="659"/>
      <c r="AI1066" s="659"/>
      <c r="AJ1066" s="659"/>
      <c r="AK1066" s="659"/>
      <c r="AL1066" s="659"/>
      <c r="AM1066" s="659"/>
      <c r="AN1066" s="659"/>
      <c r="AO1066" s="659"/>
      <c r="AP1066" s="659"/>
      <c r="AQ1066" s="746"/>
    </row>
    <row r="1067">
      <c r="A1067" s="703"/>
      <c r="B1067" s="1044"/>
      <c r="C1067" s="1005"/>
      <c r="D1067" s="645"/>
      <c r="E1067" s="645"/>
      <c r="F1067" s="951"/>
      <c r="G1067" s="951"/>
      <c r="H1067" s="951"/>
      <c r="I1067" s="951"/>
      <c r="J1067" s="951"/>
      <c r="K1067" s="951"/>
      <c r="L1067" s="951"/>
      <c r="M1067" s="951"/>
      <c r="N1067" s="659"/>
      <c r="O1067" s="951"/>
      <c r="P1067" s="951"/>
      <c r="Q1067" s="659"/>
      <c r="R1067" s="659"/>
      <c r="S1067" s="659"/>
      <c r="T1067" s="659"/>
      <c r="U1067" s="659"/>
      <c r="V1067" s="659"/>
      <c r="W1067" s="659"/>
      <c r="X1067" s="659"/>
      <c r="Y1067" s="659"/>
      <c r="Z1067" s="659"/>
      <c r="AA1067" s="659"/>
      <c r="AB1067" s="659"/>
      <c r="AC1067" s="659"/>
      <c r="AD1067" s="659"/>
      <c r="AE1067" s="659"/>
      <c r="AF1067" s="659"/>
      <c r="AG1067" s="659"/>
      <c r="AH1067" s="659"/>
      <c r="AI1067" s="659"/>
      <c r="AJ1067" s="659"/>
      <c r="AK1067" s="659"/>
      <c r="AL1067" s="659"/>
      <c r="AM1067" s="659"/>
      <c r="AN1067" s="659"/>
      <c r="AO1067" s="659"/>
      <c r="AP1067" s="659"/>
      <c r="AQ1067" s="746"/>
    </row>
    <row r="1068">
      <c r="A1068" s="703"/>
      <c r="B1068" s="1044"/>
      <c r="C1068" s="1005"/>
      <c r="D1068" s="645"/>
      <c r="E1068" s="645"/>
      <c r="F1068" s="951"/>
      <c r="G1068" s="951"/>
      <c r="H1068" s="951"/>
      <c r="I1068" s="951"/>
      <c r="J1068" s="951"/>
      <c r="K1068" s="951"/>
      <c r="L1068" s="951"/>
      <c r="M1068" s="951"/>
      <c r="N1068" s="659"/>
      <c r="O1068" s="951"/>
      <c r="P1068" s="951"/>
      <c r="Q1068" s="659"/>
      <c r="R1068" s="659"/>
      <c r="S1068" s="659"/>
      <c r="T1068" s="659"/>
      <c r="U1068" s="659"/>
      <c r="V1068" s="659"/>
      <c r="W1068" s="659"/>
      <c r="X1068" s="659"/>
      <c r="Y1068" s="659"/>
      <c r="Z1068" s="659"/>
      <c r="AA1068" s="659"/>
      <c r="AB1068" s="659"/>
      <c r="AC1068" s="659"/>
      <c r="AD1068" s="659"/>
      <c r="AE1068" s="659"/>
      <c r="AF1068" s="659"/>
      <c r="AG1068" s="659"/>
      <c r="AH1068" s="659"/>
      <c r="AI1068" s="659"/>
      <c r="AJ1068" s="659"/>
      <c r="AK1068" s="659"/>
      <c r="AL1068" s="659"/>
      <c r="AM1068" s="659"/>
      <c r="AN1068" s="659"/>
      <c r="AO1068" s="659"/>
      <c r="AP1068" s="659"/>
      <c r="AQ1068" s="746"/>
    </row>
    <row r="1069">
      <c r="A1069" s="703"/>
      <c r="B1069" s="1044"/>
      <c r="C1069" s="1005"/>
      <c r="D1069" s="645"/>
      <c r="E1069" s="645"/>
      <c r="F1069" s="951"/>
      <c r="G1069" s="951"/>
      <c r="H1069" s="951"/>
      <c r="I1069" s="951"/>
      <c r="J1069" s="951"/>
      <c r="K1069" s="951"/>
      <c r="L1069" s="951"/>
      <c r="M1069" s="951"/>
      <c r="N1069" s="659"/>
      <c r="O1069" s="951"/>
      <c r="P1069" s="951"/>
      <c r="Q1069" s="659"/>
      <c r="R1069" s="659"/>
      <c r="S1069" s="659"/>
      <c r="T1069" s="659"/>
      <c r="U1069" s="659"/>
      <c r="V1069" s="659"/>
      <c r="W1069" s="659"/>
      <c r="X1069" s="659"/>
      <c r="Y1069" s="659"/>
      <c r="Z1069" s="659"/>
      <c r="AA1069" s="659"/>
      <c r="AB1069" s="659"/>
      <c r="AC1069" s="659"/>
      <c r="AD1069" s="659"/>
      <c r="AE1069" s="659"/>
      <c r="AF1069" s="659"/>
      <c r="AG1069" s="659"/>
      <c r="AH1069" s="659"/>
      <c r="AI1069" s="659"/>
      <c r="AJ1069" s="659"/>
      <c r="AK1069" s="659"/>
      <c r="AL1069" s="659"/>
      <c r="AM1069" s="659"/>
      <c r="AN1069" s="659"/>
      <c r="AO1069" s="659"/>
      <c r="AP1069" s="659"/>
      <c r="AQ1069" s="746"/>
    </row>
    <row r="1070">
      <c r="A1070" s="703"/>
      <c r="B1070" s="1044"/>
      <c r="C1070" s="1005"/>
      <c r="D1070" s="645"/>
      <c r="E1070" s="645"/>
      <c r="F1070" s="951"/>
      <c r="G1070" s="951"/>
      <c r="H1070" s="951"/>
      <c r="I1070" s="951"/>
      <c r="J1070" s="951"/>
      <c r="K1070" s="951"/>
      <c r="L1070" s="951"/>
      <c r="M1070" s="951"/>
      <c r="N1070" s="659"/>
      <c r="O1070" s="951"/>
      <c r="P1070" s="951"/>
      <c r="Q1070" s="659"/>
      <c r="R1070" s="659"/>
      <c r="S1070" s="659"/>
      <c r="T1070" s="659"/>
      <c r="U1070" s="659"/>
      <c r="V1070" s="659"/>
      <c r="W1070" s="659"/>
      <c r="X1070" s="659"/>
      <c r="Y1070" s="659"/>
      <c r="Z1070" s="659"/>
      <c r="AA1070" s="659"/>
      <c r="AB1070" s="659"/>
      <c r="AC1070" s="659"/>
      <c r="AD1070" s="659"/>
      <c r="AE1070" s="659"/>
      <c r="AF1070" s="659"/>
      <c r="AG1070" s="659"/>
      <c r="AH1070" s="659"/>
      <c r="AI1070" s="659"/>
      <c r="AJ1070" s="659"/>
      <c r="AK1070" s="659"/>
      <c r="AL1070" s="659"/>
      <c r="AM1070" s="659"/>
      <c r="AN1070" s="659"/>
      <c r="AO1070" s="659"/>
      <c r="AP1070" s="659"/>
      <c r="AQ1070" s="746"/>
    </row>
    <row r="1071">
      <c r="A1071" s="703"/>
      <c r="B1071" s="1044"/>
      <c r="C1071" s="1005"/>
      <c r="D1071" s="645"/>
      <c r="E1071" s="645"/>
      <c r="F1071" s="951"/>
      <c r="G1071" s="951"/>
      <c r="H1071" s="951"/>
      <c r="I1071" s="951"/>
      <c r="J1071" s="951"/>
      <c r="K1071" s="951"/>
      <c r="L1071" s="951"/>
      <c r="M1071" s="951"/>
      <c r="N1071" s="659"/>
      <c r="O1071" s="951"/>
      <c r="P1071" s="951"/>
      <c r="Q1071" s="659"/>
      <c r="R1071" s="659"/>
      <c r="S1071" s="659"/>
      <c r="T1071" s="659"/>
      <c r="U1071" s="659"/>
      <c r="V1071" s="659"/>
      <c r="W1071" s="659"/>
      <c r="X1071" s="659"/>
      <c r="Y1071" s="659"/>
      <c r="Z1071" s="659"/>
      <c r="AA1071" s="659"/>
      <c r="AB1071" s="659"/>
      <c r="AC1071" s="659"/>
      <c r="AD1071" s="659"/>
      <c r="AE1071" s="659"/>
      <c r="AF1071" s="659"/>
      <c r="AG1071" s="659"/>
      <c r="AH1071" s="659"/>
      <c r="AI1071" s="659"/>
      <c r="AJ1071" s="659"/>
      <c r="AK1071" s="659"/>
      <c r="AL1071" s="659"/>
      <c r="AM1071" s="659"/>
      <c r="AN1071" s="659"/>
      <c r="AO1071" s="659"/>
      <c r="AP1071" s="659"/>
      <c r="AQ1071" s="746"/>
    </row>
    <row r="1072">
      <c r="A1072" s="703"/>
      <c r="B1072" s="1044"/>
      <c r="C1072" s="1005"/>
      <c r="D1072" s="645"/>
      <c r="E1072" s="645"/>
      <c r="F1072" s="951"/>
      <c r="G1072" s="951"/>
      <c r="H1072" s="951"/>
      <c r="I1072" s="951"/>
      <c r="J1072" s="951"/>
      <c r="K1072" s="951"/>
      <c r="L1072" s="951"/>
      <c r="M1072" s="951"/>
      <c r="N1072" s="659"/>
      <c r="O1072" s="951"/>
      <c r="P1072" s="951"/>
      <c r="Q1072" s="659"/>
      <c r="R1072" s="659"/>
      <c r="S1072" s="659"/>
      <c r="T1072" s="659"/>
      <c r="U1072" s="659"/>
      <c r="V1072" s="659"/>
      <c r="W1072" s="659"/>
      <c r="X1072" s="659"/>
      <c r="Y1072" s="659"/>
      <c r="Z1072" s="659"/>
      <c r="AA1072" s="659"/>
      <c r="AB1072" s="659"/>
      <c r="AC1072" s="659"/>
      <c r="AD1072" s="659"/>
      <c r="AE1072" s="659"/>
      <c r="AF1072" s="659"/>
      <c r="AG1072" s="659"/>
      <c r="AH1072" s="659"/>
      <c r="AI1072" s="659"/>
      <c r="AJ1072" s="659"/>
      <c r="AK1072" s="659"/>
      <c r="AL1072" s="659"/>
      <c r="AM1072" s="659"/>
      <c r="AN1072" s="659"/>
      <c r="AO1072" s="659"/>
      <c r="AP1072" s="659"/>
      <c r="AQ1072" s="746"/>
    </row>
    <row r="1073">
      <c r="A1073" s="703"/>
      <c r="B1073" s="1044"/>
      <c r="C1073" s="1005"/>
      <c r="D1073" s="645"/>
      <c r="E1073" s="645"/>
      <c r="F1073" s="951"/>
      <c r="G1073" s="951"/>
      <c r="H1073" s="951"/>
      <c r="I1073" s="951"/>
      <c r="J1073" s="951"/>
      <c r="K1073" s="951"/>
      <c r="L1073" s="951"/>
      <c r="M1073" s="951"/>
      <c r="N1073" s="659"/>
      <c r="O1073" s="951"/>
      <c r="P1073" s="951"/>
      <c r="Q1073" s="659"/>
      <c r="R1073" s="659"/>
      <c r="S1073" s="659"/>
      <c r="T1073" s="659"/>
      <c r="U1073" s="659"/>
      <c r="V1073" s="659"/>
      <c r="W1073" s="659"/>
      <c r="X1073" s="659"/>
      <c r="Y1073" s="659"/>
      <c r="Z1073" s="659"/>
      <c r="AA1073" s="659"/>
      <c r="AB1073" s="659"/>
      <c r="AC1073" s="659"/>
      <c r="AD1073" s="659"/>
      <c r="AE1073" s="659"/>
      <c r="AF1073" s="659"/>
      <c r="AG1073" s="659"/>
      <c r="AH1073" s="659"/>
      <c r="AI1073" s="659"/>
      <c r="AJ1073" s="659"/>
      <c r="AK1073" s="659"/>
      <c r="AL1073" s="659"/>
      <c r="AM1073" s="659"/>
      <c r="AN1073" s="659"/>
      <c r="AO1073" s="659"/>
      <c r="AP1073" s="659"/>
      <c r="AQ1073" s="746"/>
    </row>
    <row r="1074">
      <c r="A1074" s="703"/>
      <c r="B1074" s="1044"/>
      <c r="C1074" s="1005"/>
      <c r="D1074" s="645"/>
      <c r="E1074" s="645"/>
      <c r="F1074" s="951"/>
      <c r="G1074" s="951"/>
      <c r="H1074" s="951"/>
      <c r="I1074" s="951"/>
      <c r="J1074" s="951"/>
      <c r="K1074" s="951"/>
      <c r="L1074" s="951"/>
      <c r="M1074" s="951"/>
      <c r="N1074" s="659"/>
      <c r="O1074" s="951"/>
      <c r="P1074" s="951"/>
      <c r="Q1074" s="659"/>
      <c r="R1074" s="659"/>
      <c r="S1074" s="659"/>
      <c r="T1074" s="659"/>
      <c r="U1074" s="659"/>
      <c r="V1074" s="659"/>
      <c r="W1074" s="659"/>
      <c r="X1074" s="659"/>
      <c r="Y1074" s="659"/>
      <c r="Z1074" s="659"/>
      <c r="AA1074" s="659"/>
      <c r="AB1074" s="659"/>
      <c r="AC1074" s="659"/>
      <c r="AD1074" s="659"/>
      <c r="AE1074" s="659"/>
      <c r="AF1074" s="659"/>
      <c r="AG1074" s="659"/>
      <c r="AH1074" s="659"/>
      <c r="AI1074" s="659"/>
      <c r="AJ1074" s="659"/>
      <c r="AK1074" s="659"/>
      <c r="AL1074" s="659"/>
      <c r="AM1074" s="659"/>
      <c r="AN1074" s="659"/>
      <c r="AO1074" s="659"/>
      <c r="AP1074" s="659"/>
      <c r="AQ1074" s="746"/>
    </row>
    <row r="1075">
      <c r="A1075" s="703"/>
      <c r="B1075" s="1044"/>
      <c r="C1075" s="1005"/>
      <c r="D1075" s="645"/>
      <c r="E1075" s="645"/>
      <c r="F1075" s="951"/>
      <c r="G1075" s="951"/>
      <c r="H1075" s="951"/>
      <c r="I1075" s="951"/>
      <c r="J1075" s="951"/>
      <c r="K1075" s="951"/>
      <c r="L1075" s="951"/>
      <c r="M1075" s="951"/>
      <c r="N1075" s="659"/>
      <c r="O1075" s="951"/>
      <c r="P1075" s="951"/>
      <c r="Q1075" s="659"/>
      <c r="R1075" s="659"/>
      <c r="S1075" s="659"/>
      <c r="T1075" s="659"/>
      <c r="U1075" s="659"/>
      <c r="V1075" s="659"/>
      <c r="W1075" s="659"/>
      <c r="X1075" s="659"/>
      <c r="Y1075" s="659"/>
      <c r="Z1075" s="659"/>
      <c r="AA1075" s="659"/>
      <c r="AB1075" s="659"/>
      <c r="AC1075" s="659"/>
      <c r="AD1075" s="659"/>
      <c r="AE1075" s="659"/>
      <c r="AF1075" s="659"/>
      <c r="AG1075" s="659"/>
      <c r="AH1075" s="659"/>
      <c r="AI1075" s="659"/>
      <c r="AJ1075" s="659"/>
      <c r="AK1075" s="659"/>
      <c r="AL1075" s="659"/>
      <c r="AM1075" s="659"/>
      <c r="AN1075" s="659"/>
      <c r="AO1075" s="659"/>
      <c r="AP1075" s="659"/>
      <c r="AQ1075" s="746"/>
    </row>
    <row r="1076">
      <c r="A1076" s="703"/>
      <c r="B1076" s="1004"/>
      <c r="C1076" s="1005"/>
      <c r="D1076" s="645"/>
      <c r="E1076" s="645"/>
      <c r="F1076" s="951"/>
      <c r="G1076" s="951"/>
      <c r="H1076" s="951"/>
      <c r="I1076" s="951"/>
      <c r="J1076" s="951"/>
      <c r="K1076" s="951"/>
      <c r="L1076" s="951"/>
      <c r="M1076" s="951"/>
      <c r="N1076" s="659"/>
      <c r="O1076" s="951"/>
      <c r="P1076" s="951"/>
      <c r="Q1076" s="659"/>
      <c r="R1076" s="659"/>
      <c r="S1076" s="659"/>
      <c r="T1076" s="659"/>
      <c r="U1076" s="659"/>
      <c r="V1076" s="659"/>
      <c r="W1076" s="659"/>
      <c r="X1076" s="659"/>
      <c r="Y1076" s="659"/>
      <c r="Z1076" s="659"/>
      <c r="AA1076" s="659"/>
      <c r="AB1076" s="659"/>
      <c r="AC1076" s="659"/>
      <c r="AD1076" s="659"/>
      <c r="AE1076" s="659"/>
      <c r="AF1076" s="659"/>
      <c r="AG1076" s="659"/>
      <c r="AH1076" s="659"/>
      <c r="AI1076" s="659"/>
      <c r="AJ1076" s="659"/>
      <c r="AK1076" s="659"/>
      <c r="AL1076" s="659"/>
      <c r="AM1076" s="659"/>
      <c r="AN1076" s="659"/>
      <c r="AO1076" s="659"/>
      <c r="AP1076" s="659"/>
      <c r="AQ1076" s="746"/>
    </row>
    <row r="1077">
      <c r="A1077" s="703"/>
      <c r="B1077" s="1044"/>
      <c r="C1077" s="1005"/>
      <c r="D1077" s="645"/>
      <c r="E1077" s="645"/>
      <c r="F1077" s="951"/>
      <c r="G1077" s="951"/>
      <c r="H1077" s="951"/>
      <c r="I1077" s="951"/>
      <c r="J1077" s="951"/>
      <c r="K1077" s="951"/>
      <c r="L1077" s="951"/>
      <c r="M1077" s="951"/>
      <c r="N1077" s="659"/>
      <c r="O1077" s="951"/>
      <c r="P1077" s="951"/>
      <c r="Q1077" s="659"/>
      <c r="R1077" s="659"/>
      <c r="S1077" s="659"/>
      <c r="T1077" s="659"/>
      <c r="U1077" s="659"/>
      <c r="V1077" s="659"/>
      <c r="W1077" s="659"/>
      <c r="X1077" s="659"/>
      <c r="Y1077" s="659"/>
      <c r="Z1077" s="659"/>
      <c r="AA1077" s="659"/>
      <c r="AB1077" s="659"/>
      <c r="AC1077" s="659"/>
      <c r="AD1077" s="659"/>
      <c r="AE1077" s="659"/>
      <c r="AF1077" s="659"/>
      <c r="AG1077" s="659"/>
      <c r="AH1077" s="659"/>
      <c r="AI1077" s="659"/>
      <c r="AJ1077" s="659"/>
      <c r="AK1077" s="659"/>
      <c r="AL1077" s="659"/>
      <c r="AM1077" s="659"/>
      <c r="AN1077" s="659"/>
      <c r="AO1077" s="659"/>
      <c r="AP1077" s="659"/>
      <c r="AQ1077" s="746"/>
    </row>
    <row r="1078">
      <c r="A1078" s="703"/>
      <c r="B1078" s="1044"/>
      <c r="C1078" s="1005"/>
      <c r="D1078" s="645"/>
      <c r="E1078" s="645"/>
      <c r="F1078" s="951"/>
      <c r="G1078" s="951"/>
      <c r="H1078" s="951"/>
      <c r="I1078" s="951"/>
      <c r="J1078" s="951"/>
      <c r="K1078" s="951"/>
      <c r="L1078" s="951"/>
      <c r="M1078" s="951"/>
      <c r="N1078" s="659"/>
      <c r="O1078" s="951"/>
      <c r="P1078" s="951"/>
      <c r="Q1078" s="659"/>
      <c r="R1078" s="659"/>
      <c r="S1078" s="659"/>
      <c r="T1078" s="659"/>
      <c r="U1078" s="659"/>
      <c r="V1078" s="659"/>
      <c r="W1078" s="659"/>
      <c r="X1078" s="659"/>
      <c r="Y1078" s="659"/>
      <c r="Z1078" s="659"/>
      <c r="AA1078" s="659"/>
      <c r="AB1078" s="659"/>
      <c r="AC1078" s="659"/>
      <c r="AD1078" s="659"/>
      <c r="AE1078" s="659"/>
      <c r="AF1078" s="659"/>
      <c r="AG1078" s="659"/>
      <c r="AH1078" s="659"/>
      <c r="AI1078" s="659"/>
      <c r="AJ1078" s="659"/>
      <c r="AK1078" s="659"/>
      <c r="AL1078" s="659"/>
      <c r="AM1078" s="659"/>
      <c r="AN1078" s="659"/>
      <c r="AO1078" s="659"/>
      <c r="AP1078" s="659"/>
      <c r="AQ1078" s="746"/>
    </row>
    <row r="1079">
      <c r="A1079" s="703"/>
      <c r="B1079" s="1044"/>
      <c r="C1079" s="1005"/>
      <c r="D1079" s="645"/>
      <c r="E1079" s="645"/>
      <c r="F1079" s="951"/>
      <c r="G1079" s="951"/>
      <c r="H1079" s="951"/>
      <c r="I1079" s="951"/>
      <c r="J1079" s="951"/>
      <c r="K1079" s="951"/>
      <c r="L1079" s="951"/>
      <c r="M1079" s="951"/>
      <c r="N1079" s="659"/>
      <c r="O1079" s="951"/>
      <c r="P1079" s="951"/>
      <c r="Q1079" s="659"/>
      <c r="R1079" s="659"/>
      <c r="S1079" s="659"/>
      <c r="T1079" s="659"/>
      <c r="U1079" s="659"/>
      <c r="V1079" s="659"/>
      <c r="W1079" s="659"/>
      <c r="X1079" s="659"/>
      <c r="Y1079" s="659"/>
      <c r="Z1079" s="659"/>
      <c r="AA1079" s="659"/>
      <c r="AB1079" s="659"/>
      <c r="AC1079" s="659"/>
      <c r="AD1079" s="659"/>
      <c r="AE1079" s="659"/>
      <c r="AF1079" s="659"/>
      <c r="AG1079" s="659"/>
      <c r="AH1079" s="659"/>
      <c r="AI1079" s="659"/>
      <c r="AJ1079" s="659"/>
      <c r="AK1079" s="659"/>
      <c r="AL1079" s="659"/>
      <c r="AM1079" s="659"/>
      <c r="AN1079" s="659"/>
      <c r="AO1079" s="659"/>
      <c r="AP1079" s="659"/>
      <c r="AQ1079" s="746"/>
    </row>
    <row r="1080">
      <c r="A1080" s="703"/>
      <c r="B1080" s="1044"/>
      <c r="C1080" s="1005"/>
      <c r="D1080" s="645"/>
      <c r="E1080" s="645"/>
      <c r="F1080" s="951"/>
      <c r="G1080" s="951"/>
      <c r="H1080" s="951"/>
      <c r="I1080" s="951"/>
      <c r="J1080" s="951"/>
      <c r="K1080" s="951"/>
      <c r="L1080" s="951"/>
      <c r="M1080" s="951"/>
      <c r="N1080" s="659"/>
      <c r="O1080" s="951"/>
      <c r="P1080" s="951"/>
      <c r="Q1080" s="659"/>
      <c r="R1080" s="659"/>
      <c r="S1080" s="659"/>
      <c r="T1080" s="659"/>
      <c r="U1080" s="659"/>
      <c r="V1080" s="659"/>
      <c r="W1080" s="659"/>
      <c r="X1080" s="659"/>
      <c r="Y1080" s="659"/>
      <c r="Z1080" s="659"/>
      <c r="AA1080" s="659"/>
      <c r="AB1080" s="659"/>
      <c r="AC1080" s="659"/>
      <c r="AD1080" s="659"/>
      <c r="AE1080" s="659"/>
      <c r="AF1080" s="659"/>
      <c r="AG1080" s="659"/>
      <c r="AH1080" s="659"/>
      <c r="AI1080" s="659"/>
      <c r="AJ1080" s="659"/>
      <c r="AK1080" s="659"/>
      <c r="AL1080" s="659"/>
      <c r="AM1080" s="659"/>
      <c r="AN1080" s="659"/>
      <c r="AO1080" s="659"/>
      <c r="AP1080" s="659"/>
      <c r="AQ1080" s="746"/>
    </row>
    <row r="1081">
      <c r="A1081" s="703"/>
      <c r="B1081" s="1044"/>
      <c r="C1081" s="1005"/>
      <c r="D1081" s="645"/>
      <c r="E1081" s="645"/>
      <c r="F1081" s="951"/>
      <c r="G1081" s="951"/>
      <c r="H1081" s="951"/>
      <c r="I1081" s="951"/>
      <c r="J1081" s="951"/>
      <c r="K1081" s="951"/>
      <c r="L1081" s="951"/>
      <c r="M1081" s="951"/>
      <c r="N1081" s="659"/>
      <c r="O1081" s="951"/>
      <c r="P1081" s="951"/>
      <c r="Q1081" s="659"/>
      <c r="R1081" s="659"/>
      <c r="S1081" s="659"/>
      <c r="T1081" s="659"/>
      <c r="U1081" s="659"/>
      <c r="V1081" s="659"/>
      <c r="W1081" s="659"/>
      <c r="X1081" s="659"/>
      <c r="Y1081" s="659"/>
      <c r="Z1081" s="659"/>
      <c r="AA1081" s="659"/>
      <c r="AB1081" s="659"/>
      <c r="AC1081" s="659"/>
      <c r="AD1081" s="659"/>
      <c r="AE1081" s="659"/>
      <c r="AF1081" s="659"/>
      <c r="AG1081" s="659"/>
      <c r="AH1081" s="659"/>
      <c r="AI1081" s="659"/>
      <c r="AJ1081" s="659"/>
      <c r="AK1081" s="659"/>
      <c r="AL1081" s="659"/>
      <c r="AM1081" s="659"/>
      <c r="AN1081" s="659"/>
      <c r="AO1081" s="659"/>
      <c r="AP1081" s="659"/>
      <c r="AQ1081" s="746"/>
    </row>
    <row r="1082">
      <c r="A1082" s="703"/>
      <c r="B1082" s="1044"/>
      <c r="C1082" s="1005"/>
      <c r="D1082" s="645"/>
      <c r="E1082" s="645"/>
      <c r="F1082" s="951"/>
      <c r="G1082" s="951"/>
      <c r="H1082" s="951"/>
      <c r="I1082" s="951"/>
      <c r="J1082" s="951"/>
      <c r="K1082" s="951"/>
      <c r="L1082" s="951"/>
      <c r="M1082" s="951"/>
      <c r="N1082" s="659"/>
      <c r="O1082" s="951"/>
      <c r="P1082" s="951"/>
      <c r="Q1082" s="659"/>
      <c r="R1082" s="659"/>
      <c r="S1082" s="659"/>
      <c r="T1082" s="659"/>
      <c r="U1082" s="659"/>
      <c r="V1082" s="659"/>
      <c r="W1082" s="659"/>
      <c r="X1082" s="659"/>
      <c r="Y1082" s="659"/>
      <c r="Z1082" s="659"/>
      <c r="AA1082" s="659"/>
      <c r="AB1082" s="659"/>
      <c r="AC1082" s="659"/>
      <c r="AD1082" s="659"/>
      <c r="AE1082" s="659"/>
      <c r="AF1082" s="659"/>
      <c r="AG1082" s="659"/>
      <c r="AH1082" s="659"/>
      <c r="AI1082" s="659"/>
      <c r="AJ1082" s="659"/>
      <c r="AK1082" s="659"/>
      <c r="AL1082" s="659"/>
      <c r="AM1082" s="659"/>
      <c r="AN1082" s="659"/>
      <c r="AO1082" s="659"/>
      <c r="AP1082" s="659"/>
      <c r="AQ1082" s="746"/>
    </row>
    <row r="1083">
      <c r="A1083" s="703"/>
      <c r="B1083" s="1044"/>
      <c r="C1083" s="1005"/>
      <c r="D1083" s="645"/>
      <c r="E1083" s="645"/>
      <c r="F1083" s="951"/>
      <c r="G1083" s="951"/>
      <c r="H1083" s="951"/>
      <c r="I1083" s="951"/>
      <c r="J1083" s="951"/>
      <c r="K1083" s="951"/>
      <c r="L1083" s="951"/>
      <c r="M1083" s="951"/>
      <c r="N1083" s="659"/>
      <c r="O1083" s="951"/>
      <c r="P1083" s="951"/>
      <c r="Q1083" s="659"/>
      <c r="R1083" s="659"/>
      <c r="S1083" s="659"/>
      <c r="T1083" s="659"/>
      <c r="U1083" s="659"/>
      <c r="V1083" s="659"/>
      <c r="W1083" s="659"/>
      <c r="X1083" s="659"/>
      <c r="Y1083" s="659"/>
      <c r="Z1083" s="659"/>
      <c r="AA1083" s="659"/>
      <c r="AB1083" s="659"/>
      <c r="AC1083" s="659"/>
      <c r="AD1083" s="659"/>
      <c r="AE1083" s="659"/>
      <c r="AF1083" s="659"/>
      <c r="AG1083" s="659"/>
      <c r="AH1083" s="659"/>
      <c r="AI1083" s="659"/>
      <c r="AJ1083" s="659"/>
      <c r="AK1083" s="659"/>
      <c r="AL1083" s="659"/>
      <c r="AM1083" s="659"/>
      <c r="AN1083" s="659"/>
      <c r="AO1083" s="659"/>
      <c r="AP1083" s="659"/>
      <c r="AQ1083" s="746"/>
    </row>
    <row r="1084">
      <c r="A1084" s="703"/>
      <c r="B1084" s="1044"/>
      <c r="C1084" s="1005"/>
      <c r="D1084" s="645"/>
      <c r="E1084" s="645"/>
      <c r="F1084" s="951"/>
      <c r="G1084" s="951"/>
      <c r="H1084" s="951"/>
      <c r="I1084" s="951"/>
      <c r="J1084" s="951"/>
      <c r="K1084" s="951"/>
      <c r="L1084" s="951"/>
      <c r="M1084" s="951"/>
      <c r="N1084" s="659"/>
      <c r="O1084" s="951"/>
      <c r="P1084" s="951"/>
      <c r="Q1084" s="659"/>
      <c r="R1084" s="659"/>
      <c r="S1084" s="659"/>
      <c r="T1084" s="659"/>
      <c r="U1084" s="659"/>
      <c r="V1084" s="659"/>
      <c r="W1084" s="659"/>
      <c r="X1084" s="659"/>
      <c r="Y1084" s="659"/>
      <c r="Z1084" s="659"/>
      <c r="AA1084" s="659"/>
      <c r="AB1084" s="659"/>
      <c r="AC1084" s="659"/>
      <c r="AD1084" s="659"/>
      <c r="AE1084" s="659"/>
      <c r="AF1084" s="659"/>
      <c r="AG1084" s="659"/>
      <c r="AH1084" s="659"/>
      <c r="AI1084" s="659"/>
      <c r="AJ1084" s="659"/>
      <c r="AK1084" s="659"/>
      <c r="AL1084" s="659"/>
      <c r="AM1084" s="659"/>
      <c r="AN1084" s="659"/>
      <c r="AO1084" s="659"/>
      <c r="AP1084" s="659"/>
      <c r="AQ1084" s="746"/>
    </row>
    <row r="1085">
      <c r="A1085" s="703"/>
      <c r="B1085" s="1044"/>
      <c r="C1085" s="1005"/>
      <c r="D1085" s="645"/>
      <c r="E1085" s="645"/>
      <c r="F1085" s="951"/>
      <c r="G1085" s="951"/>
      <c r="H1085" s="951"/>
      <c r="I1085" s="951"/>
      <c r="J1085" s="951"/>
      <c r="K1085" s="951"/>
      <c r="L1085" s="951"/>
      <c r="M1085" s="951"/>
      <c r="N1085" s="659"/>
      <c r="O1085" s="951"/>
      <c r="P1085" s="951"/>
      <c r="Q1085" s="659"/>
      <c r="R1085" s="659"/>
      <c r="S1085" s="659"/>
      <c r="T1085" s="659"/>
      <c r="U1085" s="659"/>
      <c r="V1085" s="659"/>
      <c r="W1085" s="659"/>
      <c r="X1085" s="659"/>
      <c r="Y1085" s="659"/>
      <c r="Z1085" s="659"/>
      <c r="AA1085" s="659"/>
      <c r="AB1085" s="659"/>
      <c r="AC1085" s="659"/>
      <c r="AD1085" s="659"/>
      <c r="AE1085" s="659"/>
      <c r="AF1085" s="659"/>
      <c r="AG1085" s="659"/>
      <c r="AH1085" s="659"/>
      <c r="AI1085" s="659"/>
      <c r="AJ1085" s="659"/>
      <c r="AK1085" s="659"/>
      <c r="AL1085" s="659"/>
      <c r="AM1085" s="659"/>
      <c r="AN1085" s="659"/>
      <c r="AO1085" s="659"/>
      <c r="AP1085" s="659"/>
      <c r="AQ1085" s="746"/>
    </row>
    <row r="1086">
      <c r="A1086" s="703"/>
      <c r="B1086" s="1044"/>
      <c r="C1086" s="1005"/>
      <c r="D1086" s="645"/>
      <c r="E1086" s="645"/>
      <c r="F1086" s="951"/>
      <c r="G1086" s="951"/>
      <c r="H1086" s="951"/>
      <c r="I1086" s="951"/>
      <c r="J1086" s="951"/>
      <c r="K1086" s="951"/>
      <c r="L1086" s="951"/>
      <c r="M1086" s="951"/>
      <c r="N1086" s="659"/>
      <c r="O1086" s="951"/>
      <c r="P1086" s="951"/>
      <c r="Q1086" s="659"/>
      <c r="R1086" s="659"/>
      <c r="S1086" s="659"/>
      <c r="T1086" s="659"/>
      <c r="U1086" s="659"/>
      <c r="V1086" s="659"/>
      <c r="W1086" s="659"/>
      <c r="X1086" s="659"/>
      <c r="Y1086" s="659"/>
      <c r="Z1086" s="659"/>
      <c r="AA1086" s="659"/>
      <c r="AB1086" s="659"/>
      <c r="AC1086" s="659"/>
      <c r="AD1086" s="659"/>
      <c r="AE1086" s="659"/>
      <c r="AF1086" s="659"/>
      <c r="AG1086" s="659"/>
      <c r="AH1086" s="659"/>
      <c r="AI1086" s="659"/>
      <c r="AJ1086" s="659"/>
      <c r="AK1086" s="659"/>
      <c r="AL1086" s="659"/>
      <c r="AM1086" s="659"/>
      <c r="AN1086" s="659"/>
      <c r="AO1086" s="659"/>
      <c r="AP1086" s="659"/>
      <c r="AQ1086" s="746"/>
    </row>
    <row r="1087">
      <c r="A1087" s="703"/>
      <c r="B1087" s="1044"/>
      <c r="C1087" s="1005"/>
      <c r="D1087" s="645"/>
      <c r="E1087" s="645"/>
      <c r="F1087" s="951"/>
      <c r="G1087" s="951"/>
      <c r="H1087" s="951"/>
      <c r="I1087" s="951"/>
      <c r="J1087" s="951"/>
      <c r="K1087" s="951"/>
      <c r="L1087" s="951"/>
      <c r="M1087" s="951"/>
      <c r="N1087" s="659"/>
      <c r="O1087" s="951"/>
      <c r="P1087" s="951"/>
      <c r="Q1087" s="659"/>
      <c r="R1087" s="659"/>
      <c r="S1087" s="659"/>
      <c r="T1087" s="659"/>
      <c r="U1087" s="659"/>
      <c r="V1087" s="659"/>
      <c r="W1087" s="659"/>
      <c r="X1087" s="659"/>
      <c r="Y1087" s="659"/>
      <c r="Z1087" s="659"/>
      <c r="AA1087" s="659"/>
      <c r="AB1087" s="659"/>
      <c r="AC1087" s="659"/>
      <c r="AD1087" s="659"/>
      <c r="AE1087" s="659"/>
      <c r="AF1087" s="659"/>
      <c r="AG1087" s="659"/>
      <c r="AH1087" s="659"/>
      <c r="AI1087" s="659"/>
      <c r="AJ1087" s="659"/>
      <c r="AK1087" s="659"/>
      <c r="AL1087" s="659"/>
      <c r="AM1087" s="659"/>
      <c r="AN1087" s="659"/>
      <c r="AO1087" s="659"/>
      <c r="AP1087" s="659"/>
      <c r="AQ1087" s="746"/>
    </row>
    <row r="1088">
      <c r="A1088" s="703"/>
      <c r="B1088" s="1044"/>
      <c r="C1088" s="1005"/>
      <c r="D1088" s="645"/>
      <c r="E1088" s="645"/>
      <c r="F1088" s="951"/>
      <c r="G1088" s="951"/>
      <c r="H1088" s="951"/>
      <c r="I1088" s="951"/>
      <c r="J1088" s="951"/>
      <c r="K1088" s="951"/>
      <c r="L1088" s="951"/>
      <c r="M1088" s="951"/>
      <c r="N1088" s="659"/>
      <c r="O1088" s="951"/>
      <c r="P1088" s="951"/>
      <c r="Q1088" s="659"/>
      <c r="R1088" s="659"/>
      <c r="S1088" s="659"/>
      <c r="T1088" s="659"/>
      <c r="U1088" s="659"/>
      <c r="V1088" s="659"/>
      <c r="W1088" s="659"/>
      <c r="X1088" s="659"/>
      <c r="Y1088" s="659"/>
      <c r="Z1088" s="659"/>
      <c r="AA1088" s="659"/>
      <c r="AB1088" s="659"/>
      <c r="AC1088" s="659"/>
      <c r="AD1088" s="659"/>
      <c r="AE1088" s="659"/>
      <c r="AF1088" s="659"/>
      <c r="AG1088" s="659"/>
      <c r="AH1088" s="659"/>
      <c r="AI1088" s="659"/>
      <c r="AJ1088" s="659"/>
      <c r="AK1088" s="659"/>
      <c r="AL1088" s="659"/>
      <c r="AM1088" s="659"/>
      <c r="AN1088" s="659"/>
      <c r="AO1088" s="659"/>
      <c r="AP1088" s="659"/>
      <c r="AQ1088" s="746"/>
    </row>
    <row r="1089">
      <c r="A1089" s="703"/>
      <c r="B1089" s="1004"/>
      <c r="C1089" s="1005"/>
      <c r="D1089" s="645"/>
      <c r="E1089" s="645"/>
      <c r="F1089" s="951"/>
      <c r="G1089" s="951"/>
      <c r="H1089" s="951"/>
      <c r="I1089" s="951"/>
      <c r="J1089" s="951"/>
      <c r="K1089" s="951"/>
      <c r="L1089" s="951"/>
      <c r="M1089" s="951"/>
      <c r="N1089" s="659"/>
      <c r="O1089" s="951"/>
      <c r="P1089" s="951"/>
      <c r="Q1089" s="659"/>
      <c r="R1089" s="659"/>
      <c r="S1089" s="659"/>
      <c r="T1089" s="659"/>
      <c r="U1089" s="659"/>
      <c r="V1089" s="659"/>
      <c r="W1089" s="659"/>
      <c r="X1089" s="659"/>
      <c r="Y1089" s="659"/>
      <c r="Z1089" s="659"/>
      <c r="AA1089" s="659"/>
      <c r="AB1089" s="659"/>
      <c r="AC1089" s="659"/>
      <c r="AD1089" s="659"/>
      <c r="AE1089" s="659"/>
      <c r="AF1089" s="659"/>
      <c r="AG1089" s="659"/>
      <c r="AH1089" s="659"/>
      <c r="AI1089" s="659"/>
      <c r="AJ1089" s="659"/>
      <c r="AK1089" s="659"/>
      <c r="AL1089" s="659"/>
      <c r="AM1089" s="659"/>
      <c r="AN1089" s="659"/>
      <c r="AO1089" s="659"/>
      <c r="AP1089" s="659"/>
      <c r="AQ1089" s="746"/>
    </row>
    <row r="1090">
      <c r="A1090" s="703"/>
      <c r="B1090" s="1044"/>
      <c r="C1090" s="1005"/>
      <c r="D1090" s="645"/>
      <c r="E1090" s="645"/>
      <c r="F1090" s="951"/>
      <c r="G1090" s="951"/>
      <c r="H1090" s="951"/>
      <c r="I1090" s="951"/>
      <c r="J1090" s="951"/>
      <c r="K1090" s="951"/>
      <c r="L1090" s="951"/>
      <c r="M1090" s="951"/>
      <c r="N1090" s="659"/>
      <c r="O1090" s="951"/>
      <c r="P1090" s="951"/>
      <c r="Q1090" s="659"/>
      <c r="R1090" s="659"/>
      <c r="S1090" s="659"/>
      <c r="T1090" s="659"/>
      <c r="U1090" s="659"/>
      <c r="V1090" s="659"/>
      <c r="W1090" s="659"/>
      <c r="X1090" s="659"/>
      <c r="Y1090" s="659"/>
      <c r="Z1090" s="659"/>
      <c r="AA1090" s="659"/>
      <c r="AB1090" s="659"/>
      <c r="AC1090" s="659"/>
      <c r="AD1090" s="659"/>
      <c r="AE1090" s="659"/>
      <c r="AF1090" s="659"/>
      <c r="AG1090" s="659"/>
      <c r="AH1090" s="659"/>
      <c r="AI1090" s="659"/>
      <c r="AJ1090" s="659"/>
      <c r="AK1090" s="659"/>
      <c r="AL1090" s="659"/>
      <c r="AM1090" s="659"/>
      <c r="AN1090" s="659"/>
      <c r="AO1090" s="659"/>
      <c r="AP1090" s="659"/>
      <c r="AQ1090" s="746"/>
    </row>
    <row r="1091">
      <c r="A1091" s="703"/>
      <c r="B1091" s="1044"/>
      <c r="C1091" s="1005"/>
      <c r="D1091" s="645"/>
      <c r="E1091" s="645"/>
      <c r="F1091" s="951"/>
      <c r="G1091" s="951"/>
      <c r="H1091" s="951"/>
      <c r="I1091" s="951"/>
      <c r="J1091" s="951"/>
      <c r="K1091" s="951"/>
      <c r="L1091" s="951"/>
      <c r="M1091" s="951"/>
      <c r="N1091" s="659"/>
      <c r="O1091" s="951"/>
      <c r="P1091" s="951"/>
      <c r="Q1091" s="659"/>
      <c r="R1091" s="659"/>
      <c r="S1091" s="659"/>
      <c r="T1091" s="659"/>
      <c r="U1091" s="659"/>
      <c r="V1091" s="659"/>
      <c r="W1091" s="659"/>
      <c r="X1091" s="659"/>
      <c r="Y1091" s="659"/>
      <c r="Z1091" s="659"/>
      <c r="AA1091" s="659"/>
      <c r="AB1091" s="659"/>
      <c r="AC1091" s="659"/>
      <c r="AD1091" s="659"/>
      <c r="AE1091" s="659"/>
      <c r="AF1091" s="659"/>
      <c r="AG1091" s="659"/>
      <c r="AH1091" s="659"/>
      <c r="AI1091" s="659"/>
      <c r="AJ1091" s="659"/>
      <c r="AK1091" s="659"/>
      <c r="AL1091" s="659"/>
      <c r="AM1091" s="659"/>
      <c r="AN1091" s="659"/>
      <c r="AO1091" s="659"/>
      <c r="AP1091" s="659"/>
      <c r="AQ1091" s="746"/>
    </row>
    <row r="1092">
      <c r="A1092" s="703"/>
      <c r="B1092" s="1004"/>
      <c r="C1092" s="1005"/>
      <c r="D1092" s="645"/>
      <c r="E1092" s="645"/>
      <c r="F1092" s="951"/>
      <c r="G1092" s="951"/>
      <c r="H1092" s="951"/>
      <c r="I1092" s="951"/>
      <c r="J1092" s="951"/>
      <c r="K1092" s="951"/>
      <c r="L1092" s="951"/>
      <c r="M1092" s="951"/>
      <c r="N1092" s="659"/>
      <c r="O1092" s="951"/>
      <c r="P1092" s="951"/>
      <c r="Q1092" s="659"/>
      <c r="R1092" s="659"/>
      <c r="S1092" s="659"/>
      <c r="T1092" s="659"/>
      <c r="U1092" s="659"/>
      <c r="V1092" s="659"/>
      <c r="W1092" s="659"/>
      <c r="X1092" s="659"/>
      <c r="Y1092" s="659"/>
      <c r="Z1092" s="659"/>
      <c r="AA1092" s="659"/>
      <c r="AB1092" s="659"/>
      <c r="AC1092" s="659"/>
      <c r="AD1092" s="659"/>
      <c r="AE1092" s="659"/>
      <c r="AF1092" s="659"/>
      <c r="AG1092" s="659"/>
      <c r="AH1092" s="659"/>
      <c r="AI1092" s="659"/>
      <c r="AJ1092" s="659"/>
      <c r="AK1092" s="659"/>
      <c r="AL1092" s="659"/>
      <c r="AM1092" s="659"/>
      <c r="AN1092" s="659"/>
      <c r="AO1092" s="659"/>
      <c r="AP1092" s="659"/>
      <c r="AQ1092" s="746"/>
    </row>
    <row r="1093">
      <c r="A1093" s="703"/>
      <c r="B1093" s="1004"/>
      <c r="C1093" s="1005"/>
      <c r="D1093" s="645"/>
      <c r="E1093" s="645"/>
      <c r="F1093" s="951"/>
      <c r="G1093" s="951"/>
      <c r="H1093" s="951"/>
      <c r="I1093" s="951"/>
      <c r="J1093" s="951"/>
      <c r="K1093" s="951"/>
      <c r="L1093" s="951"/>
      <c r="M1093" s="951"/>
      <c r="N1093" s="659"/>
      <c r="O1093" s="951"/>
      <c r="P1093" s="951"/>
      <c r="Q1093" s="659"/>
      <c r="R1093" s="659"/>
      <c r="S1093" s="659"/>
      <c r="T1093" s="659"/>
      <c r="U1093" s="659"/>
      <c r="V1093" s="659"/>
      <c r="W1093" s="659"/>
      <c r="X1093" s="659"/>
      <c r="Y1093" s="659"/>
      <c r="Z1093" s="659"/>
      <c r="AA1093" s="659"/>
      <c r="AB1093" s="659"/>
      <c r="AC1093" s="659"/>
      <c r="AD1093" s="659"/>
      <c r="AE1093" s="659"/>
      <c r="AF1093" s="659"/>
      <c r="AG1093" s="659"/>
      <c r="AH1093" s="659"/>
      <c r="AI1093" s="659"/>
      <c r="AJ1093" s="659"/>
      <c r="AK1093" s="659"/>
      <c r="AL1093" s="659"/>
      <c r="AM1093" s="659"/>
      <c r="AN1093" s="659"/>
      <c r="AO1093" s="659"/>
      <c r="AP1093" s="659"/>
      <c r="AQ1093" s="746"/>
    </row>
    <row r="1094">
      <c r="A1094" s="703"/>
      <c r="B1094" s="1044"/>
      <c r="C1094" s="1005"/>
      <c r="D1094" s="645"/>
      <c r="E1094" s="645"/>
      <c r="F1094" s="951"/>
      <c r="G1094" s="951"/>
      <c r="H1094" s="951"/>
      <c r="I1094" s="951"/>
      <c r="J1094" s="951"/>
      <c r="K1094" s="951"/>
      <c r="L1094" s="951"/>
      <c r="M1094" s="951"/>
      <c r="N1094" s="659"/>
      <c r="O1094" s="951"/>
      <c r="P1094" s="951"/>
      <c r="Q1094" s="659"/>
      <c r="R1094" s="659"/>
      <c r="S1094" s="659"/>
      <c r="T1094" s="659"/>
      <c r="U1094" s="659"/>
      <c r="V1094" s="659"/>
      <c r="W1094" s="659"/>
      <c r="X1094" s="659"/>
      <c r="Y1094" s="659"/>
      <c r="Z1094" s="659"/>
      <c r="AA1094" s="659"/>
      <c r="AB1094" s="659"/>
      <c r="AC1094" s="659"/>
      <c r="AD1094" s="659"/>
      <c r="AE1094" s="659"/>
      <c r="AF1094" s="659"/>
      <c r="AG1094" s="659"/>
      <c r="AH1094" s="659"/>
      <c r="AI1094" s="659"/>
      <c r="AJ1094" s="659"/>
      <c r="AK1094" s="659"/>
      <c r="AL1094" s="659"/>
      <c r="AM1094" s="659"/>
      <c r="AN1094" s="659"/>
      <c r="AO1094" s="659"/>
      <c r="AP1094" s="659"/>
      <c r="AQ1094" s="746"/>
    </row>
    <row r="1095">
      <c r="A1095" s="703"/>
      <c r="B1095" s="1044"/>
      <c r="C1095" s="1005"/>
      <c r="D1095" s="645"/>
      <c r="E1095" s="645"/>
      <c r="F1095" s="951"/>
      <c r="G1095" s="951"/>
      <c r="H1095" s="951"/>
      <c r="I1095" s="951"/>
      <c r="J1095" s="951"/>
      <c r="K1095" s="951"/>
      <c r="L1095" s="951"/>
      <c r="M1095" s="951"/>
      <c r="N1095" s="659"/>
      <c r="O1095" s="951"/>
      <c r="P1095" s="951"/>
      <c r="Q1095" s="659"/>
      <c r="R1095" s="659"/>
      <c r="S1095" s="659"/>
      <c r="T1095" s="659"/>
      <c r="U1095" s="659"/>
      <c r="V1095" s="659"/>
      <c r="W1095" s="659"/>
      <c r="X1095" s="659"/>
      <c r="Y1095" s="659"/>
      <c r="Z1095" s="659"/>
      <c r="AA1095" s="659"/>
      <c r="AB1095" s="659"/>
      <c r="AC1095" s="659"/>
      <c r="AD1095" s="659"/>
      <c r="AE1095" s="659"/>
      <c r="AF1095" s="659"/>
      <c r="AG1095" s="659"/>
      <c r="AH1095" s="659"/>
      <c r="AI1095" s="659"/>
      <c r="AJ1095" s="659"/>
      <c r="AK1095" s="659"/>
      <c r="AL1095" s="659"/>
      <c r="AM1095" s="659"/>
      <c r="AN1095" s="659"/>
      <c r="AO1095" s="659"/>
      <c r="AP1095" s="659"/>
      <c r="AQ1095" s="746"/>
    </row>
    <row r="1096">
      <c r="A1096" s="703"/>
      <c r="B1096" s="1004"/>
      <c r="C1096" s="1005"/>
      <c r="D1096" s="645"/>
      <c r="E1096" s="645"/>
      <c r="F1096" s="951"/>
      <c r="G1096" s="951"/>
      <c r="H1096" s="951"/>
      <c r="I1096" s="951"/>
      <c r="J1096" s="951"/>
      <c r="K1096" s="951"/>
      <c r="L1096" s="951"/>
      <c r="M1096" s="951"/>
      <c r="N1096" s="659"/>
      <c r="O1096" s="951"/>
      <c r="P1096" s="951"/>
      <c r="Q1096" s="659"/>
      <c r="R1096" s="659"/>
      <c r="S1096" s="659"/>
      <c r="T1096" s="659"/>
      <c r="U1096" s="659"/>
      <c r="V1096" s="659"/>
      <c r="W1096" s="659"/>
      <c r="X1096" s="659"/>
      <c r="Y1096" s="659"/>
      <c r="Z1096" s="659"/>
      <c r="AA1096" s="659"/>
      <c r="AB1096" s="659"/>
      <c r="AC1096" s="659"/>
      <c r="AD1096" s="659"/>
      <c r="AE1096" s="659"/>
      <c r="AF1096" s="659"/>
      <c r="AG1096" s="659"/>
      <c r="AH1096" s="659"/>
      <c r="AI1096" s="659"/>
      <c r="AJ1096" s="659"/>
      <c r="AK1096" s="659"/>
      <c r="AL1096" s="659"/>
      <c r="AM1096" s="659"/>
      <c r="AN1096" s="659"/>
      <c r="AO1096" s="659"/>
      <c r="AP1096" s="659"/>
      <c r="AQ1096" s="746"/>
    </row>
    <row r="1097">
      <c r="A1097" s="703"/>
      <c r="B1097" s="1044"/>
      <c r="C1097" s="1005"/>
      <c r="D1097" s="645"/>
      <c r="E1097" s="645"/>
      <c r="F1097" s="951"/>
      <c r="G1097" s="951"/>
      <c r="H1097" s="951"/>
      <c r="I1097" s="951"/>
      <c r="J1097" s="951"/>
      <c r="K1097" s="951"/>
      <c r="L1097" s="951"/>
      <c r="M1097" s="951"/>
      <c r="N1097" s="659"/>
      <c r="O1097" s="951"/>
      <c r="P1097" s="951"/>
      <c r="Q1097" s="659"/>
      <c r="R1097" s="659"/>
      <c r="S1097" s="659"/>
      <c r="T1097" s="659"/>
      <c r="U1097" s="659"/>
      <c r="V1097" s="659"/>
      <c r="W1097" s="659"/>
      <c r="X1097" s="659"/>
      <c r="Y1097" s="659"/>
      <c r="Z1097" s="659"/>
      <c r="AA1097" s="659"/>
      <c r="AB1097" s="659"/>
      <c r="AC1097" s="659"/>
      <c r="AD1097" s="659"/>
      <c r="AE1097" s="659"/>
      <c r="AF1097" s="659"/>
      <c r="AG1097" s="659"/>
      <c r="AH1097" s="659"/>
      <c r="AI1097" s="659"/>
      <c r="AJ1097" s="659"/>
      <c r="AK1097" s="659"/>
      <c r="AL1097" s="659"/>
      <c r="AM1097" s="659"/>
      <c r="AN1097" s="659"/>
      <c r="AO1097" s="659"/>
      <c r="AP1097" s="659"/>
      <c r="AQ1097" s="746"/>
    </row>
    <row r="1098">
      <c r="A1098" s="703"/>
      <c r="B1098" s="1044"/>
      <c r="C1098" s="1005"/>
      <c r="D1098" s="645"/>
      <c r="E1098" s="645"/>
      <c r="F1098" s="951"/>
      <c r="G1098" s="951"/>
      <c r="H1098" s="951"/>
      <c r="I1098" s="951"/>
      <c r="J1098" s="951"/>
      <c r="K1098" s="951"/>
      <c r="L1098" s="951"/>
      <c r="M1098" s="951"/>
      <c r="N1098" s="659"/>
      <c r="O1098" s="951"/>
      <c r="P1098" s="951"/>
      <c r="Q1098" s="659"/>
      <c r="R1098" s="659"/>
      <c r="S1098" s="659"/>
      <c r="T1098" s="659"/>
      <c r="U1098" s="659"/>
      <c r="V1098" s="659"/>
      <c r="W1098" s="659"/>
      <c r="X1098" s="659"/>
      <c r="Y1098" s="659"/>
      <c r="Z1098" s="659"/>
      <c r="AA1098" s="659"/>
      <c r="AB1098" s="659"/>
      <c r="AC1098" s="659"/>
      <c r="AD1098" s="659"/>
      <c r="AE1098" s="659"/>
      <c r="AF1098" s="659"/>
      <c r="AG1098" s="659"/>
      <c r="AH1098" s="659"/>
      <c r="AI1098" s="659"/>
      <c r="AJ1098" s="659"/>
      <c r="AK1098" s="659"/>
      <c r="AL1098" s="659"/>
      <c r="AM1098" s="659"/>
      <c r="AN1098" s="659"/>
      <c r="AO1098" s="659"/>
      <c r="AP1098" s="659"/>
      <c r="AQ1098" s="746"/>
    </row>
    <row r="1099">
      <c r="A1099" s="703"/>
      <c r="B1099" s="1044"/>
      <c r="C1099" s="1005"/>
      <c r="D1099" s="645"/>
      <c r="E1099" s="645"/>
      <c r="F1099" s="951"/>
      <c r="G1099" s="951"/>
      <c r="H1099" s="951"/>
      <c r="I1099" s="951"/>
      <c r="J1099" s="951"/>
      <c r="K1099" s="951"/>
      <c r="L1099" s="951"/>
      <c r="M1099" s="951"/>
      <c r="N1099" s="659"/>
      <c r="O1099" s="951"/>
      <c r="P1099" s="951"/>
      <c r="Q1099" s="659"/>
      <c r="R1099" s="659"/>
      <c r="S1099" s="659"/>
      <c r="T1099" s="659"/>
      <c r="U1099" s="659"/>
      <c r="V1099" s="659"/>
      <c r="W1099" s="659"/>
      <c r="X1099" s="659"/>
      <c r="Y1099" s="659"/>
      <c r="Z1099" s="659"/>
      <c r="AA1099" s="659"/>
      <c r="AB1099" s="659"/>
      <c r="AC1099" s="659"/>
      <c r="AD1099" s="659"/>
      <c r="AE1099" s="659"/>
      <c r="AF1099" s="659"/>
      <c r="AG1099" s="659"/>
      <c r="AH1099" s="659"/>
      <c r="AI1099" s="659"/>
      <c r="AJ1099" s="659"/>
      <c r="AK1099" s="659"/>
      <c r="AL1099" s="659"/>
      <c r="AM1099" s="659"/>
      <c r="AN1099" s="659"/>
      <c r="AO1099" s="659"/>
      <c r="AP1099" s="659"/>
      <c r="AQ1099" s="746"/>
    </row>
    <row r="1100">
      <c r="A1100" s="703"/>
      <c r="B1100" s="1044"/>
      <c r="C1100" s="1005"/>
      <c r="D1100" s="645"/>
      <c r="E1100" s="645"/>
      <c r="F1100" s="951"/>
      <c r="G1100" s="951"/>
      <c r="H1100" s="951"/>
      <c r="I1100" s="951"/>
      <c r="J1100" s="951"/>
      <c r="K1100" s="951"/>
      <c r="L1100" s="951"/>
      <c r="M1100" s="951"/>
      <c r="N1100" s="659"/>
      <c r="O1100" s="951"/>
      <c r="P1100" s="951"/>
      <c r="Q1100" s="659"/>
      <c r="R1100" s="659"/>
      <c r="S1100" s="659"/>
      <c r="T1100" s="659"/>
      <c r="U1100" s="659"/>
      <c r="V1100" s="659"/>
      <c r="W1100" s="659"/>
      <c r="X1100" s="659"/>
      <c r="Y1100" s="659"/>
      <c r="Z1100" s="659"/>
      <c r="AA1100" s="659"/>
      <c r="AB1100" s="659"/>
      <c r="AC1100" s="659"/>
      <c r="AD1100" s="659"/>
      <c r="AE1100" s="659"/>
      <c r="AF1100" s="659"/>
      <c r="AG1100" s="659"/>
      <c r="AH1100" s="659"/>
      <c r="AI1100" s="659"/>
      <c r="AJ1100" s="659"/>
      <c r="AK1100" s="659"/>
      <c r="AL1100" s="659"/>
      <c r="AM1100" s="659"/>
      <c r="AN1100" s="659"/>
      <c r="AO1100" s="659"/>
      <c r="AP1100" s="659"/>
      <c r="AQ1100" s="746"/>
    </row>
    <row r="1101">
      <c r="A1101" s="703"/>
      <c r="B1101" s="1044"/>
      <c r="C1101" s="1005"/>
      <c r="D1101" s="645"/>
      <c r="E1101" s="645"/>
      <c r="F1101" s="951"/>
      <c r="G1101" s="951"/>
      <c r="H1101" s="951"/>
      <c r="I1101" s="951"/>
      <c r="J1101" s="951"/>
      <c r="K1101" s="951"/>
      <c r="L1101" s="951"/>
      <c r="M1101" s="951"/>
      <c r="N1101" s="659"/>
      <c r="O1101" s="951"/>
      <c r="P1101" s="951"/>
      <c r="Q1101" s="659"/>
      <c r="R1101" s="659"/>
      <c r="S1101" s="659"/>
      <c r="T1101" s="659"/>
      <c r="U1101" s="659"/>
      <c r="V1101" s="659"/>
      <c r="W1101" s="659"/>
      <c r="X1101" s="659"/>
      <c r="Y1101" s="659"/>
      <c r="Z1101" s="659"/>
      <c r="AA1101" s="659"/>
      <c r="AB1101" s="659"/>
      <c r="AC1101" s="659"/>
      <c r="AD1101" s="659"/>
      <c r="AE1101" s="659"/>
      <c r="AF1101" s="659"/>
      <c r="AG1101" s="659"/>
      <c r="AH1101" s="659"/>
      <c r="AI1101" s="659"/>
      <c r="AJ1101" s="659"/>
      <c r="AK1101" s="659"/>
      <c r="AL1101" s="659"/>
      <c r="AM1101" s="659"/>
      <c r="AN1101" s="659"/>
      <c r="AO1101" s="659"/>
      <c r="AP1101" s="659"/>
      <c r="AQ1101" s="746"/>
    </row>
    <row r="1102">
      <c r="A1102" s="703"/>
      <c r="B1102" s="1044"/>
      <c r="C1102" s="1005"/>
      <c r="D1102" s="645"/>
      <c r="E1102" s="645"/>
      <c r="F1102" s="951"/>
      <c r="G1102" s="951"/>
      <c r="H1102" s="951"/>
      <c r="I1102" s="951"/>
      <c r="J1102" s="951"/>
      <c r="K1102" s="951"/>
      <c r="L1102" s="951"/>
      <c r="M1102" s="951"/>
      <c r="N1102" s="659"/>
      <c r="O1102" s="951"/>
      <c r="P1102" s="951"/>
      <c r="Q1102" s="659"/>
      <c r="R1102" s="659"/>
      <c r="S1102" s="659"/>
      <c r="T1102" s="659"/>
      <c r="U1102" s="659"/>
      <c r="V1102" s="659"/>
      <c r="W1102" s="659"/>
      <c r="X1102" s="659"/>
      <c r="Y1102" s="659"/>
      <c r="Z1102" s="659"/>
      <c r="AA1102" s="659"/>
      <c r="AB1102" s="659"/>
      <c r="AC1102" s="659"/>
      <c r="AD1102" s="659"/>
      <c r="AE1102" s="659"/>
      <c r="AF1102" s="659"/>
      <c r="AG1102" s="659"/>
      <c r="AH1102" s="659"/>
      <c r="AI1102" s="659"/>
      <c r="AJ1102" s="659"/>
      <c r="AK1102" s="659"/>
      <c r="AL1102" s="659"/>
      <c r="AM1102" s="659"/>
      <c r="AN1102" s="659"/>
      <c r="AO1102" s="659"/>
      <c r="AP1102" s="659"/>
      <c r="AQ1102" s="746"/>
    </row>
    <row r="1103">
      <c r="A1103" s="703"/>
      <c r="B1103" s="1044"/>
      <c r="C1103" s="1005"/>
      <c r="D1103" s="645"/>
      <c r="E1103" s="645"/>
      <c r="F1103" s="951"/>
      <c r="G1103" s="951"/>
      <c r="H1103" s="951"/>
      <c r="I1103" s="951"/>
      <c r="J1103" s="951"/>
      <c r="K1103" s="951"/>
      <c r="L1103" s="951"/>
      <c r="M1103" s="951"/>
      <c r="N1103" s="659"/>
      <c r="O1103" s="951"/>
      <c r="P1103" s="951"/>
      <c r="Q1103" s="659"/>
      <c r="R1103" s="659"/>
      <c r="S1103" s="659"/>
      <c r="T1103" s="659"/>
      <c r="U1103" s="659"/>
      <c r="V1103" s="659"/>
      <c r="W1103" s="659"/>
      <c r="X1103" s="659"/>
      <c r="Y1103" s="659"/>
      <c r="Z1103" s="659"/>
      <c r="AA1103" s="659"/>
      <c r="AB1103" s="659"/>
      <c r="AC1103" s="659"/>
      <c r="AD1103" s="659"/>
      <c r="AE1103" s="659"/>
      <c r="AF1103" s="659"/>
      <c r="AG1103" s="659"/>
      <c r="AH1103" s="659"/>
      <c r="AI1103" s="659"/>
      <c r="AJ1103" s="659"/>
      <c r="AK1103" s="659"/>
      <c r="AL1103" s="659"/>
      <c r="AM1103" s="659"/>
      <c r="AN1103" s="659"/>
      <c r="AO1103" s="659"/>
      <c r="AP1103" s="659"/>
      <c r="AQ1103" s="746"/>
    </row>
    <row r="1104">
      <c r="A1104" s="703"/>
      <c r="B1104" s="1044"/>
      <c r="C1104" s="1005"/>
      <c r="D1104" s="645"/>
      <c r="E1104" s="645"/>
      <c r="F1104" s="951"/>
      <c r="G1104" s="951"/>
      <c r="H1104" s="951"/>
      <c r="I1104" s="951"/>
      <c r="J1104" s="951"/>
      <c r="K1104" s="951"/>
      <c r="L1104" s="951"/>
      <c r="M1104" s="951"/>
      <c r="N1104" s="659"/>
      <c r="O1104" s="951"/>
      <c r="P1104" s="951"/>
      <c r="Q1104" s="659"/>
      <c r="R1104" s="659"/>
      <c r="S1104" s="659"/>
      <c r="T1104" s="659"/>
      <c r="U1104" s="659"/>
      <c r="V1104" s="659"/>
      <c r="W1104" s="659"/>
      <c r="X1104" s="659"/>
      <c r="Y1104" s="659"/>
      <c r="Z1104" s="659"/>
      <c r="AA1104" s="659"/>
      <c r="AB1104" s="659"/>
      <c r="AC1104" s="659"/>
      <c r="AD1104" s="659"/>
      <c r="AE1104" s="659"/>
      <c r="AF1104" s="659"/>
      <c r="AG1104" s="659"/>
      <c r="AH1104" s="659"/>
      <c r="AI1104" s="659"/>
      <c r="AJ1104" s="659"/>
      <c r="AK1104" s="659"/>
      <c r="AL1104" s="659"/>
      <c r="AM1104" s="659"/>
      <c r="AN1104" s="659"/>
      <c r="AO1104" s="659"/>
      <c r="AP1104" s="659"/>
      <c r="AQ1104" s="746"/>
    </row>
    <row r="1105">
      <c r="A1105" s="703"/>
      <c r="B1105" s="1044"/>
      <c r="C1105" s="1005"/>
      <c r="D1105" s="645"/>
      <c r="E1105" s="645"/>
      <c r="F1105" s="951"/>
      <c r="G1105" s="951"/>
      <c r="H1105" s="951"/>
      <c r="I1105" s="951"/>
      <c r="J1105" s="951"/>
      <c r="K1105" s="951"/>
      <c r="L1105" s="951"/>
      <c r="M1105" s="951"/>
      <c r="N1105" s="659"/>
      <c r="O1105" s="951"/>
      <c r="P1105" s="951"/>
      <c r="Q1105" s="659"/>
      <c r="R1105" s="659"/>
      <c r="S1105" s="659"/>
      <c r="T1105" s="659"/>
      <c r="U1105" s="659"/>
      <c r="V1105" s="659"/>
      <c r="W1105" s="659"/>
      <c r="X1105" s="659"/>
      <c r="Y1105" s="659"/>
      <c r="Z1105" s="659"/>
      <c r="AA1105" s="659"/>
      <c r="AB1105" s="659"/>
      <c r="AC1105" s="659"/>
      <c r="AD1105" s="659"/>
      <c r="AE1105" s="659"/>
      <c r="AF1105" s="659"/>
      <c r="AG1105" s="659"/>
      <c r="AH1105" s="659"/>
      <c r="AI1105" s="659"/>
      <c r="AJ1105" s="659"/>
      <c r="AK1105" s="659"/>
      <c r="AL1105" s="659"/>
      <c r="AM1105" s="659"/>
      <c r="AN1105" s="659"/>
      <c r="AO1105" s="659"/>
      <c r="AP1105" s="659"/>
      <c r="AQ1105" s="746"/>
    </row>
    <row r="1106">
      <c r="A1106" s="703"/>
      <c r="B1106" s="1044"/>
      <c r="C1106" s="1005"/>
      <c r="D1106" s="645"/>
      <c r="E1106" s="645"/>
      <c r="F1106" s="951"/>
      <c r="G1106" s="951"/>
      <c r="H1106" s="951"/>
      <c r="I1106" s="951"/>
      <c r="J1106" s="951"/>
      <c r="K1106" s="951"/>
      <c r="L1106" s="951"/>
      <c r="M1106" s="951"/>
      <c r="N1106" s="659"/>
      <c r="O1106" s="951"/>
      <c r="P1106" s="951"/>
      <c r="Q1106" s="659"/>
      <c r="R1106" s="659"/>
      <c r="S1106" s="659"/>
      <c r="T1106" s="659"/>
      <c r="U1106" s="659"/>
      <c r="V1106" s="659"/>
      <c r="W1106" s="659"/>
      <c r="X1106" s="659"/>
      <c r="Y1106" s="659"/>
      <c r="Z1106" s="659"/>
      <c r="AA1106" s="659"/>
      <c r="AB1106" s="659"/>
      <c r="AC1106" s="659"/>
      <c r="AD1106" s="659"/>
      <c r="AE1106" s="659"/>
      <c r="AF1106" s="659"/>
      <c r="AG1106" s="659"/>
      <c r="AH1106" s="659"/>
      <c r="AI1106" s="659"/>
      <c r="AJ1106" s="659"/>
      <c r="AK1106" s="659"/>
      <c r="AL1106" s="659"/>
      <c r="AM1106" s="659"/>
      <c r="AN1106" s="659"/>
      <c r="AO1106" s="659"/>
      <c r="AP1106" s="659"/>
      <c r="AQ1106" s="746"/>
    </row>
    <row r="1107">
      <c r="A1107" s="703"/>
      <c r="B1107" s="1044"/>
      <c r="C1107" s="1005"/>
      <c r="D1107" s="645"/>
      <c r="E1107" s="645"/>
      <c r="F1107" s="951"/>
      <c r="G1107" s="951"/>
      <c r="H1107" s="951"/>
      <c r="I1107" s="951"/>
      <c r="J1107" s="951"/>
      <c r="K1107" s="951"/>
      <c r="L1107" s="951"/>
      <c r="M1107" s="951"/>
      <c r="N1107" s="659"/>
      <c r="O1107" s="951"/>
      <c r="P1107" s="951"/>
      <c r="Q1107" s="659"/>
      <c r="R1107" s="659"/>
      <c r="S1107" s="659"/>
      <c r="T1107" s="659"/>
      <c r="U1107" s="659"/>
      <c r="V1107" s="659"/>
      <c r="W1107" s="659"/>
      <c r="X1107" s="659"/>
      <c r="Y1107" s="659"/>
      <c r="Z1107" s="659"/>
      <c r="AA1107" s="659"/>
      <c r="AB1107" s="659"/>
      <c r="AC1107" s="659"/>
      <c r="AD1107" s="659"/>
      <c r="AE1107" s="659"/>
      <c r="AF1107" s="659"/>
      <c r="AG1107" s="659"/>
      <c r="AH1107" s="659"/>
      <c r="AI1107" s="659"/>
      <c r="AJ1107" s="659"/>
      <c r="AK1107" s="659"/>
      <c r="AL1107" s="659"/>
      <c r="AM1107" s="659"/>
      <c r="AN1107" s="659"/>
      <c r="AO1107" s="659"/>
      <c r="AP1107" s="659"/>
      <c r="AQ1107" s="746"/>
    </row>
    <row r="1108">
      <c r="A1108" s="703"/>
      <c r="B1108" s="1044"/>
      <c r="C1108" s="1005"/>
      <c r="D1108" s="645"/>
      <c r="E1108" s="645"/>
      <c r="F1108" s="951"/>
      <c r="G1108" s="951"/>
      <c r="H1108" s="951"/>
      <c r="I1108" s="951"/>
      <c r="J1108" s="951"/>
      <c r="K1108" s="951"/>
      <c r="L1108" s="951"/>
      <c r="M1108" s="951"/>
      <c r="N1108" s="659"/>
      <c r="O1108" s="951"/>
      <c r="P1108" s="951"/>
      <c r="Q1108" s="659"/>
      <c r="R1108" s="659"/>
      <c r="S1108" s="659"/>
      <c r="T1108" s="659"/>
      <c r="U1108" s="659"/>
      <c r="V1108" s="659"/>
      <c r="W1108" s="659"/>
      <c r="X1108" s="659"/>
      <c r="Y1108" s="659"/>
      <c r="Z1108" s="659"/>
      <c r="AA1108" s="659"/>
      <c r="AB1108" s="659"/>
      <c r="AC1108" s="659"/>
      <c r="AD1108" s="659"/>
      <c r="AE1108" s="659"/>
      <c r="AF1108" s="659"/>
      <c r="AG1108" s="659"/>
      <c r="AH1108" s="659"/>
      <c r="AI1108" s="659"/>
      <c r="AJ1108" s="659"/>
      <c r="AK1108" s="659"/>
      <c r="AL1108" s="659"/>
      <c r="AM1108" s="659"/>
      <c r="AN1108" s="659"/>
      <c r="AO1108" s="659"/>
      <c r="AP1108" s="659"/>
      <c r="AQ1108" s="746"/>
    </row>
    <row r="1109">
      <c r="A1109" s="703"/>
      <c r="B1109" s="1044"/>
      <c r="C1109" s="1005"/>
      <c r="D1109" s="645"/>
      <c r="E1109" s="645"/>
      <c r="F1109" s="951"/>
      <c r="G1109" s="951"/>
      <c r="H1109" s="951"/>
      <c r="I1109" s="951"/>
      <c r="J1109" s="951"/>
      <c r="K1109" s="951"/>
      <c r="L1109" s="951"/>
      <c r="M1109" s="951"/>
      <c r="N1109" s="659"/>
      <c r="O1109" s="951"/>
      <c r="P1109" s="951"/>
      <c r="Q1109" s="659"/>
      <c r="R1109" s="659"/>
      <c r="S1109" s="659"/>
      <c r="T1109" s="659"/>
      <c r="U1109" s="659"/>
      <c r="V1109" s="659"/>
      <c r="W1109" s="659"/>
      <c r="X1109" s="659"/>
      <c r="Y1109" s="659"/>
      <c r="Z1109" s="659"/>
      <c r="AA1109" s="659"/>
      <c r="AB1109" s="659"/>
      <c r="AC1109" s="659"/>
      <c r="AD1109" s="659"/>
      <c r="AE1109" s="659"/>
      <c r="AF1109" s="659"/>
      <c r="AG1109" s="659"/>
      <c r="AH1109" s="659"/>
      <c r="AI1109" s="659"/>
      <c r="AJ1109" s="659"/>
      <c r="AK1109" s="659"/>
      <c r="AL1109" s="659"/>
      <c r="AM1109" s="659"/>
      <c r="AN1109" s="659"/>
      <c r="AO1109" s="659"/>
      <c r="AP1109" s="659"/>
      <c r="AQ1109" s="746"/>
    </row>
    <row r="1110">
      <c r="A1110" s="703"/>
      <c r="B1110" s="1044"/>
      <c r="C1110" s="1005"/>
      <c r="D1110" s="645"/>
      <c r="E1110" s="645"/>
      <c r="F1110" s="951"/>
      <c r="G1110" s="951"/>
      <c r="H1110" s="951"/>
      <c r="I1110" s="951"/>
      <c r="J1110" s="951"/>
      <c r="K1110" s="951"/>
      <c r="L1110" s="951"/>
      <c r="M1110" s="951"/>
      <c r="N1110" s="659"/>
      <c r="O1110" s="951"/>
      <c r="P1110" s="951"/>
      <c r="Q1110" s="659"/>
      <c r="R1110" s="659"/>
      <c r="S1110" s="659"/>
      <c r="T1110" s="659"/>
      <c r="U1110" s="659"/>
      <c r="V1110" s="659"/>
      <c r="W1110" s="659"/>
      <c r="X1110" s="659"/>
      <c r="Y1110" s="659"/>
      <c r="Z1110" s="659"/>
      <c r="AA1110" s="659"/>
      <c r="AB1110" s="659"/>
      <c r="AC1110" s="659"/>
      <c r="AD1110" s="659"/>
      <c r="AE1110" s="659"/>
      <c r="AF1110" s="659"/>
      <c r="AG1110" s="659"/>
      <c r="AH1110" s="659"/>
      <c r="AI1110" s="659"/>
      <c r="AJ1110" s="659"/>
      <c r="AK1110" s="659"/>
      <c r="AL1110" s="659"/>
      <c r="AM1110" s="659"/>
      <c r="AN1110" s="659"/>
      <c r="AO1110" s="659"/>
      <c r="AP1110" s="659"/>
      <c r="AQ1110" s="746"/>
    </row>
    <row r="1111">
      <c r="A1111" s="703"/>
      <c r="B1111" s="1044"/>
      <c r="C1111" s="1005"/>
      <c r="D1111" s="645"/>
      <c r="E1111" s="645"/>
      <c r="F1111" s="951"/>
      <c r="G1111" s="951"/>
      <c r="H1111" s="951"/>
      <c r="I1111" s="951"/>
      <c r="J1111" s="951"/>
      <c r="K1111" s="951"/>
      <c r="L1111" s="951"/>
      <c r="M1111" s="951"/>
      <c r="N1111" s="659"/>
      <c r="O1111" s="951"/>
      <c r="P1111" s="951"/>
      <c r="Q1111" s="659"/>
      <c r="R1111" s="659"/>
      <c r="S1111" s="659"/>
      <c r="T1111" s="659"/>
      <c r="U1111" s="659"/>
      <c r="V1111" s="659"/>
      <c r="W1111" s="659"/>
      <c r="X1111" s="659"/>
      <c r="Y1111" s="659"/>
      <c r="Z1111" s="659"/>
      <c r="AA1111" s="659"/>
      <c r="AB1111" s="659"/>
      <c r="AC1111" s="659"/>
      <c r="AD1111" s="659"/>
      <c r="AE1111" s="659"/>
      <c r="AF1111" s="659"/>
      <c r="AG1111" s="659"/>
      <c r="AH1111" s="659"/>
      <c r="AI1111" s="659"/>
      <c r="AJ1111" s="659"/>
      <c r="AK1111" s="659"/>
      <c r="AL1111" s="659"/>
      <c r="AM1111" s="659"/>
      <c r="AN1111" s="659"/>
      <c r="AO1111" s="659"/>
      <c r="AP1111" s="659"/>
      <c r="AQ1111" s="746"/>
    </row>
    <row r="1112">
      <c r="A1112" s="703"/>
      <c r="B1112" s="1044"/>
      <c r="C1112" s="1005"/>
      <c r="D1112" s="645"/>
      <c r="E1112" s="645"/>
      <c r="F1112" s="951"/>
      <c r="G1112" s="951"/>
      <c r="H1112" s="951"/>
      <c r="I1112" s="951"/>
      <c r="J1112" s="951"/>
      <c r="K1112" s="951"/>
      <c r="L1112" s="951"/>
      <c r="M1112" s="951"/>
      <c r="N1112" s="659"/>
      <c r="O1112" s="951"/>
      <c r="P1112" s="951"/>
      <c r="Q1112" s="659"/>
      <c r="R1112" s="659"/>
      <c r="S1112" s="659"/>
      <c r="T1112" s="659"/>
      <c r="U1112" s="659"/>
      <c r="V1112" s="659"/>
      <c r="W1112" s="659"/>
      <c r="X1112" s="659"/>
      <c r="Y1112" s="659"/>
      <c r="Z1112" s="659"/>
      <c r="AA1112" s="659"/>
      <c r="AB1112" s="659"/>
      <c r="AC1112" s="659"/>
      <c r="AD1112" s="659"/>
      <c r="AE1112" s="659"/>
      <c r="AF1112" s="659"/>
      <c r="AG1112" s="659"/>
      <c r="AH1112" s="659"/>
      <c r="AI1112" s="659"/>
      <c r="AJ1112" s="659"/>
      <c r="AK1112" s="659"/>
      <c r="AL1112" s="659"/>
      <c r="AM1112" s="659"/>
      <c r="AN1112" s="659"/>
      <c r="AO1112" s="659"/>
      <c r="AP1112" s="659"/>
      <c r="AQ1112" s="746"/>
    </row>
    <row r="1113">
      <c r="A1113" s="703"/>
      <c r="B1113" s="1044"/>
      <c r="C1113" s="1005"/>
      <c r="D1113" s="645"/>
      <c r="E1113" s="645"/>
      <c r="F1113" s="951"/>
      <c r="G1113" s="951"/>
      <c r="H1113" s="951"/>
      <c r="I1113" s="951"/>
      <c r="J1113" s="951"/>
      <c r="K1113" s="951"/>
      <c r="L1113" s="951"/>
      <c r="M1113" s="951"/>
      <c r="N1113" s="659"/>
      <c r="O1113" s="951"/>
      <c r="P1113" s="951"/>
      <c r="Q1113" s="659"/>
      <c r="R1113" s="659"/>
      <c r="S1113" s="659"/>
      <c r="T1113" s="659"/>
      <c r="U1113" s="659"/>
      <c r="V1113" s="659"/>
      <c r="W1113" s="659"/>
      <c r="X1113" s="659"/>
      <c r="Y1113" s="659"/>
      <c r="Z1113" s="659"/>
      <c r="AA1113" s="659"/>
      <c r="AB1113" s="659"/>
      <c r="AC1113" s="659"/>
      <c r="AD1113" s="659"/>
      <c r="AE1113" s="659"/>
      <c r="AF1113" s="659"/>
      <c r="AG1113" s="659"/>
      <c r="AH1113" s="659"/>
      <c r="AI1113" s="659"/>
      <c r="AJ1113" s="659"/>
      <c r="AK1113" s="659"/>
      <c r="AL1113" s="659"/>
      <c r="AM1113" s="659"/>
      <c r="AN1113" s="659"/>
      <c r="AO1113" s="659"/>
      <c r="AP1113" s="659"/>
      <c r="AQ1113" s="746"/>
    </row>
    <row r="1114">
      <c r="A1114" s="703"/>
      <c r="B1114" s="1044"/>
      <c r="C1114" s="1005"/>
      <c r="D1114" s="645"/>
      <c r="E1114" s="645"/>
      <c r="F1114" s="951"/>
      <c r="G1114" s="951"/>
      <c r="H1114" s="951"/>
      <c r="I1114" s="951"/>
      <c r="J1114" s="951"/>
      <c r="K1114" s="951"/>
      <c r="L1114" s="951"/>
      <c r="M1114" s="951"/>
      <c r="N1114" s="659"/>
      <c r="O1114" s="951"/>
      <c r="P1114" s="951"/>
      <c r="Q1114" s="659"/>
      <c r="R1114" s="659"/>
      <c r="S1114" s="659"/>
      <c r="T1114" s="659"/>
      <c r="U1114" s="659"/>
      <c r="V1114" s="659"/>
      <c r="W1114" s="659"/>
      <c r="X1114" s="659"/>
      <c r="Y1114" s="659"/>
      <c r="Z1114" s="659"/>
      <c r="AA1114" s="659"/>
      <c r="AB1114" s="659"/>
      <c r="AC1114" s="659"/>
      <c r="AD1114" s="659"/>
      <c r="AE1114" s="659"/>
      <c r="AF1114" s="659"/>
      <c r="AG1114" s="659"/>
      <c r="AH1114" s="659"/>
      <c r="AI1114" s="659"/>
      <c r="AJ1114" s="659"/>
      <c r="AK1114" s="659"/>
      <c r="AL1114" s="659"/>
      <c r="AM1114" s="659"/>
      <c r="AN1114" s="659"/>
      <c r="AO1114" s="659"/>
      <c r="AP1114" s="659"/>
      <c r="AQ1114" s="746"/>
    </row>
    <row r="1115">
      <c r="A1115" s="703"/>
      <c r="B1115" s="1044"/>
      <c r="C1115" s="1005"/>
      <c r="D1115" s="645"/>
      <c r="E1115" s="645"/>
      <c r="F1115" s="951"/>
      <c r="G1115" s="951"/>
      <c r="H1115" s="951"/>
      <c r="I1115" s="951"/>
      <c r="J1115" s="951"/>
      <c r="K1115" s="951"/>
      <c r="L1115" s="951"/>
      <c r="M1115" s="951"/>
      <c r="N1115" s="659"/>
      <c r="O1115" s="951"/>
      <c r="P1115" s="951"/>
      <c r="Q1115" s="659"/>
      <c r="R1115" s="659"/>
      <c r="S1115" s="659"/>
      <c r="T1115" s="659"/>
      <c r="U1115" s="659"/>
      <c r="V1115" s="659"/>
      <c r="W1115" s="659"/>
      <c r="X1115" s="659"/>
      <c r="Y1115" s="659"/>
      <c r="Z1115" s="659"/>
      <c r="AA1115" s="659"/>
      <c r="AB1115" s="659"/>
      <c r="AC1115" s="659"/>
      <c r="AD1115" s="659"/>
      <c r="AE1115" s="659"/>
      <c r="AF1115" s="659"/>
      <c r="AG1115" s="659"/>
      <c r="AH1115" s="659"/>
      <c r="AI1115" s="659"/>
      <c r="AJ1115" s="659"/>
      <c r="AK1115" s="659"/>
      <c r="AL1115" s="659"/>
      <c r="AM1115" s="659"/>
      <c r="AN1115" s="659"/>
      <c r="AO1115" s="659"/>
      <c r="AP1115" s="659"/>
      <c r="AQ1115" s="746"/>
    </row>
    <row r="1116">
      <c r="A1116" s="703"/>
      <c r="B1116" s="1044"/>
      <c r="C1116" s="1005"/>
      <c r="D1116" s="645"/>
      <c r="E1116" s="645"/>
      <c r="F1116" s="951"/>
      <c r="G1116" s="951"/>
      <c r="H1116" s="951"/>
      <c r="I1116" s="951"/>
      <c r="J1116" s="951"/>
      <c r="K1116" s="951"/>
      <c r="L1116" s="951"/>
      <c r="M1116" s="951"/>
      <c r="N1116" s="659"/>
      <c r="O1116" s="951"/>
      <c r="P1116" s="951"/>
      <c r="Q1116" s="659"/>
      <c r="R1116" s="659"/>
      <c r="S1116" s="659"/>
      <c r="T1116" s="659"/>
      <c r="U1116" s="659"/>
      <c r="V1116" s="659"/>
      <c r="W1116" s="659"/>
      <c r="X1116" s="659"/>
      <c r="Y1116" s="659"/>
      <c r="Z1116" s="659"/>
      <c r="AA1116" s="659"/>
      <c r="AB1116" s="659"/>
      <c r="AC1116" s="659"/>
      <c r="AD1116" s="659"/>
      <c r="AE1116" s="659"/>
      <c r="AF1116" s="659"/>
      <c r="AG1116" s="659"/>
      <c r="AH1116" s="659"/>
      <c r="AI1116" s="659"/>
      <c r="AJ1116" s="659"/>
      <c r="AK1116" s="659"/>
      <c r="AL1116" s="659"/>
      <c r="AM1116" s="659"/>
      <c r="AN1116" s="659"/>
      <c r="AO1116" s="659"/>
      <c r="AP1116" s="659"/>
      <c r="AQ1116" s="746"/>
    </row>
    <row r="1117">
      <c r="A1117" s="703"/>
      <c r="B1117" s="1044"/>
      <c r="C1117" s="1005"/>
      <c r="D1117" s="645"/>
      <c r="E1117" s="645"/>
      <c r="F1117" s="951"/>
      <c r="G1117" s="951"/>
      <c r="H1117" s="951"/>
      <c r="I1117" s="951"/>
      <c r="J1117" s="951"/>
      <c r="K1117" s="951"/>
      <c r="L1117" s="951"/>
      <c r="M1117" s="951"/>
      <c r="N1117" s="659"/>
      <c r="O1117" s="951"/>
      <c r="P1117" s="951"/>
      <c r="Q1117" s="659"/>
      <c r="R1117" s="659"/>
      <c r="S1117" s="659"/>
      <c r="T1117" s="659"/>
      <c r="U1117" s="659"/>
      <c r="V1117" s="659"/>
      <c r="W1117" s="659"/>
      <c r="X1117" s="659"/>
      <c r="Y1117" s="659"/>
      <c r="Z1117" s="659"/>
      <c r="AA1117" s="659"/>
      <c r="AB1117" s="659"/>
      <c r="AC1117" s="659"/>
      <c r="AD1117" s="659"/>
      <c r="AE1117" s="659"/>
      <c r="AF1117" s="659"/>
      <c r="AG1117" s="659"/>
      <c r="AH1117" s="659"/>
      <c r="AI1117" s="659"/>
      <c r="AJ1117" s="659"/>
      <c r="AK1117" s="659"/>
      <c r="AL1117" s="659"/>
      <c r="AM1117" s="659"/>
      <c r="AN1117" s="659"/>
      <c r="AO1117" s="659"/>
      <c r="AP1117" s="659"/>
      <c r="AQ1117" s="746"/>
    </row>
    <row r="1118">
      <c r="A1118" s="703"/>
      <c r="B1118" s="1044"/>
      <c r="C1118" s="1005"/>
      <c r="D1118" s="645"/>
      <c r="E1118" s="645"/>
      <c r="F1118" s="951"/>
      <c r="G1118" s="951"/>
      <c r="H1118" s="951"/>
      <c r="I1118" s="951"/>
      <c r="J1118" s="951"/>
      <c r="K1118" s="951"/>
      <c r="L1118" s="951"/>
      <c r="M1118" s="951"/>
      <c r="N1118" s="659"/>
      <c r="O1118" s="951"/>
      <c r="P1118" s="951"/>
      <c r="Q1118" s="659"/>
      <c r="R1118" s="659"/>
      <c r="S1118" s="659"/>
      <c r="T1118" s="659"/>
      <c r="U1118" s="659"/>
      <c r="V1118" s="659"/>
      <c r="W1118" s="659"/>
      <c r="X1118" s="659"/>
      <c r="Y1118" s="659"/>
      <c r="Z1118" s="659"/>
      <c r="AA1118" s="659"/>
      <c r="AB1118" s="659"/>
      <c r="AC1118" s="659"/>
      <c r="AD1118" s="659"/>
      <c r="AE1118" s="659"/>
      <c r="AF1118" s="659"/>
      <c r="AG1118" s="659"/>
      <c r="AH1118" s="659"/>
      <c r="AI1118" s="659"/>
      <c r="AJ1118" s="659"/>
      <c r="AK1118" s="659"/>
      <c r="AL1118" s="659"/>
      <c r="AM1118" s="659"/>
      <c r="AN1118" s="659"/>
      <c r="AO1118" s="659"/>
      <c r="AP1118" s="659"/>
      <c r="AQ1118" s="746"/>
    </row>
    <row r="1119">
      <c r="A1119" s="703"/>
      <c r="B1119" s="1044"/>
      <c r="C1119" s="1005"/>
      <c r="D1119" s="645"/>
      <c r="E1119" s="645"/>
      <c r="F1119" s="951"/>
      <c r="G1119" s="951"/>
      <c r="H1119" s="951"/>
      <c r="I1119" s="951"/>
      <c r="J1119" s="951"/>
      <c r="K1119" s="951"/>
      <c r="L1119" s="951"/>
      <c r="M1119" s="951"/>
      <c r="N1119" s="659"/>
      <c r="O1119" s="951"/>
      <c r="P1119" s="951"/>
      <c r="Q1119" s="659"/>
      <c r="R1119" s="659"/>
      <c r="S1119" s="659"/>
      <c r="T1119" s="659"/>
      <c r="U1119" s="659"/>
      <c r="V1119" s="659"/>
      <c r="W1119" s="659"/>
      <c r="X1119" s="659"/>
      <c r="Y1119" s="659"/>
      <c r="Z1119" s="659"/>
      <c r="AA1119" s="659"/>
      <c r="AB1119" s="659"/>
      <c r="AC1119" s="659"/>
      <c r="AD1119" s="659"/>
      <c r="AE1119" s="659"/>
      <c r="AF1119" s="659"/>
      <c r="AG1119" s="659"/>
      <c r="AH1119" s="659"/>
      <c r="AI1119" s="659"/>
      <c r="AJ1119" s="659"/>
      <c r="AK1119" s="659"/>
      <c r="AL1119" s="659"/>
      <c r="AM1119" s="659"/>
      <c r="AN1119" s="659"/>
      <c r="AO1119" s="659"/>
      <c r="AP1119" s="659"/>
      <c r="AQ1119" s="746"/>
    </row>
    <row r="1120">
      <c r="A1120" s="703"/>
      <c r="B1120" s="1044"/>
      <c r="C1120" s="1005"/>
      <c r="D1120" s="645"/>
      <c r="E1120" s="645"/>
      <c r="F1120" s="951"/>
      <c r="G1120" s="951"/>
      <c r="H1120" s="951"/>
      <c r="I1120" s="951"/>
      <c r="J1120" s="951"/>
      <c r="K1120" s="951"/>
      <c r="L1120" s="951"/>
      <c r="M1120" s="951"/>
      <c r="N1120" s="659"/>
      <c r="O1120" s="951"/>
      <c r="P1120" s="951"/>
      <c r="Q1120" s="659"/>
      <c r="R1120" s="659"/>
      <c r="S1120" s="659"/>
      <c r="T1120" s="659"/>
      <c r="U1120" s="659"/>
      <c r="V1120" s="659"/>
      <c r="W1120" s="659"/>
      <c r="X1120" s="659"/>
      <c r="Y1120" s="659"/>
      <c r="Z1120" s="659"/>
      <c r="AA1120" s="659"/>
      <c r="AB1120" s="659"/>
      <c r="AC1120" s="659"/>
      <c r="AD1120" s="659"/>
      <c r="AE1120" s="659"/>
      <c r="AF1120" s="659"/>
      <c r="AG1120" s="659"/>
      <c r="AH1120" s="659"/>
      <c r="AI1120" s="659"/>
      <c r="AJ1120" s="659"/>
      <c r="AK1120" s="659"/>
      <c r="AL1120" s="659"/>
      <c r="AM1120" s="659"/>
      <c r="AN1120" s="659"/>
      <c r="AO1120" s="659"/>
      <c r="AP1120" s="659"/>
      <c r="AQ1120" s="746"/>
    </row>
    <row r="1121">
      <c r="A1121" s="703"/>
      <c r="B1121" s="1044"/>
      <c r="C1121" s="1005"/>
      <c r="D1121" s="645"/>
      <c r="E1121" s="645"/>
      <c r="F1121" s="951"/>
      <c r="G1121" s="951"/>
      <c r="H1121" s="951"/>
      <c r="I1121" s="951"/>
      <c r="J1121" s="951"/>
      <c r="K1121" s="951"/>
      <c r="L1121" s="951"/>
      <c r="M1121" s="951"/>
      <c r="N1121" s="659"/>
      <c r="O1121" s="951"/>
      <c r="P1121" s="951"/>
      <c r="Q1121" s="659"/>
      <c r="R1121" s="659"/>
      <c r="S1121" s="659"/>
      <c r="T1121" s="659"/>
      <c r="U1121" s="659"/>
      <c r="V1121" s="659"/>
      <c r="W1121" s="659"/>
      <c r="X1121" s="659"/>
      <c r="Y1121" s="659"/>
      <c r="Z1121" s="659"/>
      <c r="AA1121" s="659"/>
      <c r="AB1121" s="659"/>
      <c r="AC1121" s="659"/>
      <c r="AD1121" s="659"/>
      <c r="AE1121" s="659"/>
      <c r="AF1121" s="659"/>
      <c r="AG1121" s="659"/>
      <c r="AH1121" s="659"/>
      <c r="AI1121" s="659"/>
      <c r="AJ1121" s="659"/>
      <c r="AK1121" s="659"/>
      <c r="AL1121" s="659"/>
      <c r="AM1121" s="659"/>
      <c r="AN1121" s="659"/>
      <c r="AO1121" s="659"/>
      <c r="AP1121" s="659"/>
      <c r="AQ1121" s="746"/>
    </row>
    <row r="1122">
      <c r="A1122" s="703"/>
      <c r="B1122" s="1044"/>
      <c r="C1122" s="1005"/>
      <c r="D1122" s="645"/>
      <c r="E1122" s="645"/>
      <c r="F1122" s="951"/>
      <c r="G1122" s="951"/>
      <c r="H1122" s="951"/>
      <c r="I1122" s="951"/>
      <c r="J1122" s="951"/>
      <c r="K1122" s="951"/>
      <c r="L1122" s="951"/>
      <c r="M1122" s="951"/>
      <c r="N1122" s="659"/>
      <c r="O1122" s="951"/>
      <c r="P1122" s="951"/>
      <c r="Q1122" s="659"/>
      <c r="R1122" s="659"/>
      <c r="S1122" s="659"/>
      <c r="T1122" s="659"/>
      <c r="U1122" s="659"/>
      <c r="V1122" s="659"/>
      <c r="W1122" s="659"/>
      <c r="X1122" s="659"/>
      <c r="Y1122" s="659"/>
      <c r="Z1122" s="659"/>
      <c r="AA1122" s="659"/>
      <c r="AB1122" s="659"/>
      <c r="AC1122" s="659"/>
      <c r="AD1122" s="659"/>
      <c r="AE1122" s="659"/>
      <c r="AF1122" s="659"/>
      <c r="AG1122" s="659"/>
      <c r="AH1122" s="659"/>
      <c r="AI1122" s="659"/>
      <c r="AJ1122" s="659"/>
      <c r="AK1122" s="659"/>
      <c r="AL1122" s="659"/>
      <c r="AM1122" s="659"/>
      <c r="AN1122" s="659"/>
      <c r="AO1122" s="659"/>
      <c r="AP1122" s="659"/>
      <c r="AQ1122" s="746"/>
    </row>
    <row r="1123">
      <c r="A1123" s="703"/>
      <c r="B1123" s="1044"/>
      <c r="C1123" s="1005"/>
      <c r="D1123" s="645"/>
      <c r="E1123" s="645"/>
      <c r="F1123" s="951"/>
      <c r="G1123" s="951"/>
      <c r="H1123" s="951"/>
      <c r="I1123" s="951"/>
      <c r="J1123" s="951"/>
      <c r="K1123" s="951"/>
      <c r="L1123" s="951"/>
      <c r="M1123" s="951"/>
      <c r="N1123" s="659"/>
      <c r="O1123" s="951"/>
      <c r="P1123" s="951"/>
      <c r="Q1123" s="659"/>
      <c r="R1123" s="659"/>
      <c r="S1123" s="659"/>
      <c r="T1123" s="659"/>
      <c r="U1123" s="659"/>
      <c r="V1123" s="659"/>
      <c r="W1123" s="659"/>
      <c r="X1123" s="659"/>
      <c r="Y1123" s="659"/>
      <c r="Z1123" s="659"/>
      <c r="AA1123" s="659"/>
      <c r="AB1123" s="659"/>
      <c r="AC1123" s="659"/>
      <c r="AD1123" s="659"/>
      <c r="AE1123" s="659"/>
      <c r="AF1123" s="659"/>
      <c r="AG1123" s="659"/>
      <c r="AH1123" s="659"/>
      <c r="AI1123" s="659"/>
      <c r="AJ1123" s="659"/>
      <c r="AK1123" s="659"/>
      <c r="AL1123" s="659"/>
      <c r="AM1123" s="659"/>
      <c r="AN1123" s="659"/>
      <c r="AO1123" s="659"/>
      <c r="AP1123" s="659"/>
      <c r="AQ1123" s="746"/>
    </row>
    <row r="1124">
      <c r="A1124" s="703"/>
      <c r="B1124" s="1044"/>
      <c r="C1124" s="1005"/>
      <c r="D1124" s="645"/>
      <c r="E1124" s="645"/>
      <c r="F1124" s="951"/>
      <c r="G1124" s="951"/>
      <c r="H1124" s="951"/>
      <c r="I1124" s="951"/>
      <c r="J1124" s="951"/>
      <c r="K1124" s="951"/>
      <c r="L1124" s="951"/>
      <c r="M1124" s="951"/>
      <c r="N1124" s="659"/>
      <c r="O1124" s="951"/>
      <c r="P1124" s="951"/>
      <c r="Q1124" s="659"/>
      <c r="R1124" s="659"/>
      <c r="S1124" s="659"/>
      <c r="T1124" s="659"/>
      <c r="U1124" s="659"/>
      <c r="V1124" s="659"/>
      <c r="W1124" s="659"/>
      <c r="X1124" s="659"/>
      <c r="Y1124" s="659"/>
      <c r="Z1124" s="659"/>
      <c r="AA1124" s="659"/>
      <c r="AB1124" s="659"/>
      <c r="AC1124" s="659"/>
      <c r="AD1124" s="659"/>
      <c r="AE1124" s="659"/>
      <c r="AF1124" s="659"/>
      <c r="AG1124" s="659"/>
      <c r="AH1124" s="659"/>
      <c r="AI1124" s="659"/>
      <c r="AJ1124" s="659"/>
      <c r="AK1124" s="659"/>
      <c r="AL1124" s="659"/>
      <c r="AM1124" s="659"/>
      <c r="AN1124" s="659"/>
      <c r="AO1124" s="659"/>
      <c r="AP1124" s="659"/>
      <c r="AQ1124" s="746"/>
    </row>
    <row r="1125">
      <c r="A1125" s="703"/>
      <c r="B1125" s="1044"/>
      <c r="C1125" s="1005"/>
      <c r="D1125" s="645"/>
      <c r="E1125" s="645"/>
      <c r="F1125" s="951"/>
      <c r="G1125" s="951"/>
      <c r="H1125" s="951"/>
      <c r="I1125" s="951"/>
      <c r="J1125" s="951"/>
      <c r="K1125" s="951"/>
      <c r="L1125" s="951"/>
      <c r="M1125" s="951"/>
      <c r="N1125" s="659"/>
      <c r="O1125" s="951"/>
      <c r="P1125" s="951"/>
      <c r="Q1125" s="659"/>
      <c r="R1125" s="659"/>
      <c r="S1125" s="659"/>
      <c r="T1125" s="659"/>
      <c r="U1125" s="659"/>
      <c r="V1125" s="659"/>
      <c r="W1125" s="659"/>
      <c r="X1125" s="659"/>
      <c r="Y1125" s="659"/>
      <c r="Z1125" s="659"/>
      <c r="AA1125" s="659"/>
      <c r="AB1125" s="659"/>
      <c r="AC1125" s="659"/>
      <c r="AD1125" s="659"/>
      <c r="AE1125" s="659"/>
      <c r="AF1125" s="659"/>
      <c r="AG1125" s="659"/>
      <c r="AH1125" s="659"/>
      <c r="AI1125" s="659"/>
      <c r="AJ1125" s="659"/>
      <c r="AK1125" s="659"/>
      <c r="AL1125" s="659"/>
      <c r="AM1125" s="659"/>
      <c r="AN1125" s="659"/>
      <c r="AO1125" s="659"/>
      <c r="AP1125" s="659"/>
      <c r="AQ1125" s="746"/>
    </row>
    <row r="1126">
      <c r="A1126" s="703"/>
      <c r="B1126" s="1044"/>
      <c r="C1126" s="1005"/>
      <c r="D1126" s="645"/>
      <c r="E1126" s="645"/>
      <c r="F1126" s="951"/>
      <c r="G1126" s="951"/>
      <c r="H1126" s="951"/>
      <c r="I1126" s="951"/>
      <c r="J1126" s="951"/>
      <c r="K1126" s="951"/>
      <c r="L1126" s="951"/>
      <c r="M1126" s="951"/>
      <c r="N1126" s="659"/>
      <c r="O1126" s="951"/>
      <c r="P1126" s="951"/>
      <c r="Q1126" s="659"/>
      <c r="R1126" s="659"/>
      <c r="S1126" s="659"/>
      <c r="T1126" s="659"/>
      <c r="U1126" s="659"/>
      <c r="V1126" s="659"/>
      <c r="W1126" s="659"/>
      <c r="X1126" s="659"/>
      <c r="Y1126" s="659"/>
      <c r="Z1126" s="659"/>
      <c r="AA1126" s="659"/>
      <c r="AB1126" s="659"/>
      <c r="AC1126" s="659"/>
      <c r="AD1126" s="659"/>
      <c r="AE1126" s="659"/>
      <c r="AF1126" s="659"/>
      <c r="AG1126" s="659"/>
      <c r="AH1126" s="659"/>
      <c r="AI1126" s="659"/>
      <c r="AJ1126" s="659"/>
      <c r="AK1126" s="659"/>
      <c r="AL1126" s="659"/>
      <c r="AM1126" s="659"/>
      <c r="AN1126" s="659"/>
      <c r="AO1126" s="659"/>
      <c r="AP1126" s="659"/>
      <c r="AQ1126" s="746"/>
    </row>
    <row r="1127">
      <c r="A1127" s="703"/>
      <c r="B1127" s="1044"/>
      <c r="C1127" s="1005"/>
      <c r="D1127" s="645"/>
      <c r="E1127" s="645"/>
      <c r="F1127" s="951"/>
      <c r="G1127" s="951"/>
      <c r="H1127" s="951"/>
      <c r="I1127" s="951"/>
      <c r="J1127" s="951"/>
      <c r="K1127" s="951"/>
      <c r="L1127" s="951"/>
      <c r="M1127" s="951"/>
      <c r="N1127" s="659"/>
      <c r="O1127" s="951"/>
      <c r="P1127" s="951"/>
      <c r="Q1127" s="659"/>
      <c r="R1127" s="659"/>
      <c r="S1127" s="659"/>
      <c r="T1127" s="659"/>
      <c r="U1127" s="659"/>
      <c r="V1127" s="659"/>
      <c r="W1127" s="659"/>
      <c r="X1127" s="659"/>
      <c r="Y1127" s="659"/>
      <c r="Z1127" s="659"/>
      <c r="AA1127" s="659"/>
      <c r="AB1127" s="659"/>
      <c r="AC1127" s="659"/>
      <c r="AD1127" s="659"/>
      <c r="AE1127" s="659"/>
      <c r="AF1127" s="659"/>
      <c r="AG1127" s="659"/>
      <c r="AH1127" s="659"/>
      <c r="AI1127" s="659"/>
      <c r="AJ1127" s="659"/>
      <c r="AK1127" s="659"/>
      <c r="AL1127" s="659"/>
      <c r="AM1127" s="659"/>
      <c r="AN1127" s="659"/>
      <c r="AO1127" s="659"/>
      <c r="AP1127" s="659"/>
      <c r="AQ1127" s="746"/>
    </row>
    <row r="1128">
      <c r="A1128" s="703"/>
      <c r="B1128" s="1044"/>
      <c r="C1128" s="1005"/>
      <c r="D1128" s="645"/>
      <c r="E1128" s="645"/>
      <c r="F1128" s="951"/>
      <c r="G1128" s="951"/>
      <c r="H1128" s="951"/>
      <c r="I1128" s="951"/>
      <c r="J1128" s="951"/>
      <c r="K1128" s="951"/>
      <c r="L1128" s="951"/>
      <c r="M1128" s="951"/>
      <c r="N1128" s="659"/>
      <c r="O1128" s="951"/>
      <c r="P1128" s="951"/>
      <c r="Q1128" s="659"/>
      <c r="R1128" s="659"/>
      <c r="S1128" s="659"/>
      <c r="T1128" s="659"/>
      <c r="U1128" s="659"/>
      <c r="V1128" s="659"/>
      <c r="W1128" s="659"/>
      <c r="X1128" s="659"/>
      <c r="Y1128" s="659"/>
      <c r="Z1128" s="659"/>
      <c r="AA1128" s="659"/>
      <c r="AB1128" s="659"/>
      <c r="AC1128" s="659"/>
      <c r="AD1128" s="659"/>
      <c r="AE1128" s="659"/>
      <c r="AF1128" s="659"/>
      <c r="AG1128" s="659"/>
      <c r="AH1128" s="659"/>
      <c r="AI1128" s="659"/>
      <c r="AJ1128" s="659"/>
      <c r="AK1128" s="659"/>
      <c r="AL1128" s="659"/>
      <c r="AM1128" s="659"/>
      <c r="AN1128" s="659"/>
      <c r="AO1128" s="659"/>
      <c r="AP1128" s="659"/>
      <c r="AQ1128" s="746"/>
    </row>
    <row r="1129">
      <c r="A1129" s="703"/>
      <c r="B1129" s="1044"/>
      <c r="C1129" s="1005"/>
      <c r="D1129" s="645"/>
      <c r="E1129" s="645"/>
      <c r="F1129" s="951"/>
      <c r="G1129" s="951"/>
      <c r="H1129" s="951"/>
      <c r="I1129" s="951"/>
      <c r="J1129" s="951"/>
      <c r="K1129" s="951"/>
      <c r="L1129" s="951"/>
      <c r="M1129" s="951"/>
      <c r="N1129" s="659"/>
      <c r="O1129" s="951"/>
      <c r="P1129" s="951"/>
      <c r="Q1129" s="659"/>
      <c r="R1129" s="659"/>
      <c r="S1129" s="659"/>
      <c r="T1129" s="659"/>
      <c r="U1129" s="659"/>
      <c r="V1129" s="659"/>
      <c r="W1129" s="659"/>
      <c r="X1129" s="659"/>
      <c r="Y1129" s="659"/>
      <c r="Z1129" s="659"/>
      <c r="AA1129" s="659"/>
      <c r="AB1129" s="659"/>
      <c r="AC1129" s="659"/>
      <c r="AD1129" s="659"/>
      <c r="AE1129" s="659"/>
      <c r="AF1129" s="659"/>
      <c r="AG1129" s="659"/>
      <c r="AH1129" s="659"/>
      <c r="AI1129" s="659"/>
      <c r="AJ1129" s="659"/>
      <c r="AK1129" s="659"/>
      <c r="AL1129" s="659"/>
      <c r="AM1129" s="659"/>
      <c r="AN1129" s="659"/>
      <c r="AO1129" s="659"/>
      <c r="AP1129" s="659"/>
      <c r="AQ1129" s="746"/>
    </row>
    <row r="1130">
      <c r="A1130" s="703"/>
      <c r="B1130" s="1044"/>
      <c r="C1130" s="1005"/>
      <c r="D1130" s="645"/>
      <c r="E1130" s="645"/>
      <c r="F1130" s="951"/>
      <c r="G1130" s="951"/>
      <c r="H1130" s="951"/>
      <c r="I1130" s="951"/>
      <c r="J1130" s="951"/>
      <c r="K1130" s="951"/>
      <c r="L1130" s="951"/>
      <c r="M1130" s="951"/>
      <c r="N1130" s="659"/>
      <c r="O1130" s="951"/>
      <c r="P1130" s="951"/>
      <c r="Q1130" s="659"/>
      <c r="R1130" s="659"/>
      <c r="S1130" s="659"/>
      <c r="T1130" s="659"/>
      <c r="U1130" s="659"/>
      <c r="V1130" s="659"/>
      <c r="W1130" s="659"/>
      <c r="X1130" s="659"/>
      <c r="Y1130" s="659"/>
      <c r="Z1130" s="659"/>
      <c r="AA1130" s="659"/>
      <c r="AB1130" s="659"/>
      <c r="AC1130" s="659"/>
      <c r="AD1130" s="659"/>
      <c r="AE1130" s="659"/>
      <c r="AF1130" s="659"/>
      <c r="AG1130" s="659"/>
      <c r="AH1130" s="659"/>
      <c r="AI1130" s="659"/>
      <c r="AJ1130" s="659"/>
      <c r="AK1130" s="659"/>
      <c r="AL1130" s="659"/>
      <c r="AM1130" s="659"/>
      <c r="AN1130" s="659"/>
      <c r="AO1130" s="659"/>
      <c r="AP1130" s="659"/>
      <c r="AQ1130" s="746"/>
    </row>
    <row r="1131">
      <c r="A1131" s="703"/>
      <c r="B1131" s="1044"/>
      <c r="C1131" s="1005"/>
      <c r="D1131" s="645"/>
      <c r="E1131" s="645"/>
      <c r="F1131" s="951"/>
      <c r="G1131" s="951"/>
      <c r="H1131" s="951"/>
      <c r="I1131" s="951"/>
      <c r="J1131" s="951"/>
      <c r="K1131" s="951"/>
      <c r="L1131" s="951"/>
      <c r="M1131" s="951"/>
      <c r="N1131" s="659"/>
      <c r="O1131" s="951"/>
      <c r="P1131" s="951"/>
      <c r="Q1131" s="659"/>
      <c r="R1131" s="659"/>
      <c r="S1131" s="659"/>
      <c r="T1131" s="659"/>
      <c r="U1131" s="659"/>
      <c r="V1131" s="659"/>
      <c r="W1131" s="659"/>
      <c r="X1131" s="659"/>
      <c r="Y1131" s="659"/>
      <c r="Z1131" s="659"/>
      <c r="AA1131" s="659"/>
      <c r="AB1131" s="659"/>
      <c r="AC1131" s="659"/>
      <c r="AD1131" s="659"/>
      <c r="AE1131" s="659"/>
      <c r="AF1131" s="659"/>
      <c r="AG1131" s="659"/>
      <c r="AH1131" s="659"/>
      <c r="AI1131" s="659"/>
      <c r="AJ1131" s="659"/>
      <c r="AK1131" s="659"/>
      <c r="AL1131" s="659"/>
      <c r="AM1131" s="659"/>
      <c r="AN1131" s="659"/>
      <c r="AO1131" s="659"/>
      <c r="AP1131" s="659"/>
      <c r="AQ1131" s="746"/>
    </row>
    <row r="1132">
      <c r="A1132" s="703"/>
      <c r="B1132" s="1044"/>
      <c r="C1132" s="1005"/>
      <c r="D1132" s="645"/>
      <c r="E1132" s="645"/>
      <c r="F1132" s="951"/>
      <c r="G1132" s="951"/>
      <c r="H1132" s="951"/>
      <c r="I1132" s="951"/>
      <c r="J1132" s="951"/>
      <c r="K1132" s="951"/>
      <c r="L1132" s="951"/>
      <c r="M1132" s="951"/>
      <c r="N1132" s="659"/>
      <c r="O1132" s="951"/>
      <c r="P1132" s="951"/>
      <c r="Q1132" s="659"/>
      <c r="R1132" s="659"/>
      <c r="S1132" s="659"/>
      <c r="T1132" s="659"/>
      <c r="U1132" s="659"/>
      <c r="V1132" s="659"/>
      <c r="W1132" s="659"/>
      <c r="X1132" s="659"/>
      <c r="Y1132" s="659"/>
      <c r="Z1132" s="659"/>
      <c r="AA1132" s="659"/>
      <c r="AB1132" s="659"/>
      <c r="AC1132" s="659"/>
      <c r="AD1132" s="659"/>
      <c r="AE1132" s="659"/>
      <c r="AF1132" s="659"/>
      <c r="AG1132" s="659"/>
      <c r="AH1132" s="659"/>
      <c r="AI1132" s="659"/>
      <c r="AJ1132" s="659"/>
      <c r="AK1132" s="659"/>
      <c r="AL1132" s="659"/>
      <c r="AM1132" s="659"/>
      <c r="AN1132" s="659"/>
      <c r="AO1132" s="659"/>
      <c r="AP1132" s="659"/>
      <c r="AQ1132" s="746"/>
    </row>
    <row r="1133">
      <c r="A1133" s="703"/>
      <c r="B1133" s="1044"/>
      <c r="C1133" s="1005"/>
      <c r="D1133" s="645"/>
      <c r="E1133" s="645"/>
      <c r="F1133" s="951"/>
      <c r="G1133" s="951"/>
      <c r="H1133" s="951"/>
      <c r="I1133" s="951"/>
      <c r="J1133" s="951"/>
      <c r="K1133" s="951"/>
      <c r="L1133" s="951"/>
      <c r="M1133" s="951"/>
      <c r="N1133" s="659"/>
      <c r="O1133" s="951"/>
      <c r="P1133" s="951"/>
      <c r="Q1133" s="659"/>
      <c r="R1133" s="659"/>
      <c r="S1133" s="659"/>
      <c r="T1133" s="659"/>
      <c r="U1133" s="659"/>
      <c r="V1133" s="659"/>
      <c r="W1133" s="659"/>
      <c r="X1133" s="659"/>
      <c r="Y1133" s="659"/>
      <c r="Z1133" s="659"/>
      <c r="AA1133" s="659"/>
      <c r="AB1133" s="659"/>
      <c r="AC1133" s="659"/>
      <c r="AD1133" s="659"/>
      <c r="AE1133" s="659"/>
      <c r="AF1133" s="659"/>
      <c r="AG1133" s="659"/>
      <c r="AH1133" s="659"/>
      <c r="AI1133" s="659"/>
      <c r="AJ1133" s="659"/>
      <c r="AK1133" s="659"/>
      <c r="AL1133" s="659"/>
      <c r="AM1133" s="659"/>
      <c r="AN1133" s="659"/>
      <c r="AO1133" s="659"/>
      <c r="AP1133" s="659"/>
      <c r="AQ1133" s="746"/>
    </row>
    <row r="1134">
      <c r="A1134" s="703"/>
      <c r="B1134" s="1044"/>
      <c r="C1134" s="1005"/>
      <c r="D1134" s="645"/>
      <c r="E1134" s="645"/>
      <c r="F1134" s="951"/>
      <c r="G1134" s="951"/>
      <c r="H1134" s="951"/>
      <c r="I1134" s="951"/>
      <c r="J1134" s="951"/>
      <c r="K1134" s="951"/>
      <c r="L1134" s="951"/>
      <c r="M1134" s="951"/>
      <c r="N1134" s="659"/>
      <c r="O1134" s="951"/>
      <c r="P1134" s="951"/>
      <c r="Q1134" s="659"/>
      <c r="R1134" s="659"/>
      <c r="S1134" s="659"/>
      <c r="T1134" s="659"/>
      <c r="U1134" s="659"/>
      <c r="V1134" s="659"/>
      <c r="W1134" s="659"/>
      <c r="X1134" s="659"/>
      <c r="Y1134" s="659"/>
      <c r="Z1134" s="659"/>
      <c r="AA1134" s="659"/>
      <c r="AB1134" s="659"/>
      <c r="AC1134" s="659"/>
      <c r="AD1134" s="659"/>
      <c r="AE1134" s="659"/>
      <c r="AF1134" s="659"/>
      <c r="AG1134" s="659"/>
      <c r="AH1134" s="659"/>
      <c r="AI1134" s="659"/>
      <c r="AJ1134" s="659"/>
      <c r="AK1134" s="659"/>
      <c r="AL1134" s="659"/>
      <c r="AM1134" s="659"/>
      <c r="AN1134" s="659"/>
      <c r="AO1134" s="659"/>
      <c r="AP1134" s="659"/>
      <c r="AQ1134" s="746"/>
    </row>
    <row r="1135">
      <c r="A1135" s="703"/>
      <c r="B1135" s="1044"/>
      <c r="C1135" s="1005"/>
      <c r="D1135" s="645"/>
      <c r="E1135" s="645"/>
      <c r="F1135" s="951"/>
      <c r="G1135" s="951"/>
      <c r="H1135" s="951"/>
      <c r="I1135" s="951"/>
      <c r="J1135" s="951"/>
      <c r="K1135" s="951"/>
      <c r="L1135" s="951"/>
      <c r="M1135" s="951"/>
      <c r="N1135" s="659"/>
      <c r="O1135" s="951"/>
      <c r="P1135" s="951"/>
      <c r="Q1135" s="659"/>
      <c r="R1135" s="659"/>
      <c r="S1135" s="659"/>
      <c r="T1135" s="659"/>
      <c r="U1135" s="659"/>
      <c r="V1135" s="659"/>
      <c r="W1135" s="659"/>
      <c r="X1135" s="659"/>
      <c r="Y1135" s="659"/>
      <c r="Z1135" s="659"/>
      <c r="AA1135" s="659"/>
      <c r="AB1135" s="659"/>
      <c r="AC1135" s="659"/>
      <c r="AD1135" s="659"/>
      <c r="AE1135" s="659"/>
      <c r="AF1135" s="659"/>
      <c r="AG1135" s="659"/>
      <c r="AH1135" s="659"/>
      <c r="AI1135" s="659"/>
      <c r="AJ1135" s="659"/>
      <c r="AK1135" s="659"/>
      <c r="AL1135" s="659"/>
      <c r="AM1135" s="659"/>
      <c r="AN1135" s="659"/>
      <c r="AO1135" s="659"/>
      <c r="AP1135" s="659"/>
      <c r="AQ1135" s="746"/>
    </row>
    <row r="1136">
      <c r="A1136" s="703"/>
      <c r="B1136" s="1044"/>
      <c r="C1136" s="1005"/>
      <c r="D1136" s="645"/>
      <c r="E1136" s="645"/>
      <c r="F1136" s="951"/>
      <c r="G1136" s="951"/>
      <c r="H1136" s="951"/>
      <c r="I1136" s="951"/>
      <c r="J1136" s="951"/>
      <c r="K1136" s="951"/>
      <c r="L1136" s="951"/>
      <c r="M1136" s="951"/>
      <c r="N1136" s="659"/>
      <c r="O1136" s="951"/>
      <c r="P1136" s="951"/>
      <c r="Q1136" s="659"/>
      <c r="R1136" s="659"/>
      <c r="S1136" s="659"/>
      <c r="T1136" s="659"/>
      <c r="U1136" s="659"/>
      <c r="V1136" s="659"/>
      <c r="W1136" s="659"/>
      <c r="X1136" s="659"/>
      <c r="Y1136" s="659"/>
      <c r="Z1136" s="659"/>
      <c r="AA1136" s="659"/>
      <c r="AB1136" s="659"/>
      <c r="AC1136" s="659"/>
      <c r="AD1136" s="659"/>
      <c r="AE1136" s="659"/>
      <c r="AF1136" s="659"/>
      <c r="AG1136" s="659"/>
      <c r="AH1136" s="659"/>
      <c r="AI1136" s="659"/>
      <c r="AJ1136" s="659"/>
      <c r="AK1136" s="659"/>
      <c r="AL1136" s="659"/>
      <c r="AM1136" s="659"/>
      <c r="AN1136" s="659"/>
      <c r="AO1136" s="659"/>
      <c r="AP1136" s="659"/>
      <c r="AQ1136" s="746"/>
    </row>
    <row r="1137">
      <c r="A1137" s="703"/>
      <c r="B1137" s="1044"/>
      <c r="C1137" s="1005"/>
      <c r="D1137" s="645"/>
      <c r="E1137" s="645"/>
      <c r="F1137" s="951"/>
      <c r="G1137" s="951"/>
      <c r="H1137" s="951"/>
      <c r="I1137" s="951"/>
      <c r="J1137" s="951"/>
      <c r="K1137" s="951"/>
      <c r="L1137" s="951"/>
      <c r="M1137" s="951"/>
      <c r="N1137" s="659"/>
      <c r="O1137" s="951"/>
      <c r="P1137" s="951"/>
      <c r="Q1137" s="659"/>
      <c r="R1137" s="659"/>
      <c r="S1137" s="659"/>
      <c r="T1137" s="659"/>
      <c r="U1137" s="659"/>
      <c r="V1137" s="659"/>
      <c r="W1137" s="659"/>
      <c r="X1137" s="659"/>
      <c r="Y1137" s="659"/>
      <c r="Z1137" s="659"/>
      <c r="AA1137" s="659"/>
      <c r="AB1137" s="659"/>
      <c r="AC1137" s="659"/>
      <c r="AD1137" s="659"/>
      <c r="AE1137" s="659"/>
      <c r="AF1137" s="659"/>
      <c r="AG1137" s="659"/>
      <c r="AH1137" s="659"/>
      <c r="AI1137" s="659"/>
      <c r="AJ1137" s="659"/>
      <c r="AK1137" s="659"/>
      <c r="AL1137" s="659"/>
      <c r="AM1137" s="659"/>
      <c r="AN1137" s="659"/>
      <c r="AO1137" s="659"/>
      <c r="AP1137" s="659"/>
      <c r="AQ1137" s="746"/>
    </row>
    <row r="1138">
      <c r="A1138" s="703"/>
      <c r="B1138" s="1044"/>
      <c r="C1138" s="1005"/>
      <c r="D1138" s="645"/>
      <c r="E1138" s="645"/>
      <c r="F1138" s="951"/>
      <c r="G1138" s="951"/>
      <c r="H1138" s="951"/>
      <c r="I1138" s="951"/>
      <c r="J1138" s="951"/>
      <c r="K1138" s="951"/>
      <c r="L1138" s="951"/>
      <c r="M1138" s="951"/>
      <c r="N1138" s="659"/>
      <c r="O1138" s="951"/>
      <c r="P1138" s="951"/>
      <c r="Q1138" s="659"/>
      <c r="R1138" s="659"/>
      <c r="S1138" s="659"/>
      <c r="T1138" s="659"/>
      <c r="U1138" s="659"/>
      <c r="V1138" s="659"/>
      <c r="W1138" s="659"/>
      <c r="X1138" s="659"/>
      <c r="Y1138" s="659"/>
      <c r="Z1138" s="659"/>
      <c r="AA1138" s="659"/>
      <c r="AB1138" s="659"/>
      <c r="AC1138" s="659"/>
      <c r="AD1138" s="659"/>
      <c r="AE1138" s="659"/>
      <c r="AF1138" s="659"/>
      <c r="AG1138" s="659"/>
      <c r="AH1138" s="659"/>
      <c r="AI1138" s="659"/>
      <c r="AJ1138" s="659"/>
      <c r="AK1138" s="659"/>
      <c r="AL1138" s="659"/>
      <c r="AM1138" s="659"/>
      <c r="AN1138" s="659"/>
      <c r="AO1138" s="659"/>
      <c r="AP1138" s="659"/>
      <c r="AQ1138" s="746"/>
    </row>
    <row r="1139">
      <c r="A1139" s="703"/>
      <c r="B1139" s="1044"/>
      <c r="C1139" s="1005"/>
      <c r="D1139" s="645"/>
      <c r="E1139" s="645"/>
      <c r="F1139" s="951"/>
      <c r="G1139" s="951"/>
      <c r="H1139" s="951"/>
      <c r="I1139" s="951"/>
      <c r="J1139" s="951"/>
      <c r="K1139" s="951"/>
      <c r="L1139" s="951"/>
      <c r="M1139" s="951"/>
      <c r="N1139" s="659"/>
      <c r="O1139" s="951"/>
      <c r="P1139" s="951"/>
      <c r="Q1139" s="659"/>
      <c r="R1139" s="659"/>
      <c r="S1139" s="659"/>
      <c r="T1139" s="659"/>
      <c r="U1139" s="659"/>
      <c r="V1139" s="659"/>
      <c r="W1139" s="659"/>
      <c r="X1139" s="659"/>
      <c r="Y1139" s="659"/>
      <c r="Z1139" s="659"/>
      <c r="AA1139" s="659"/>
      <c r="AB1139" s="659"/>
      <c r="AC1139" s="659"/>
      <c r="AD1139" s="659"/>
      <c r="AE1139" s="659"/>
      <c r="AF1139" s="659"/>
      <c r="AG1139" s="659"/>
      <c r="AH1139" s="659"/>
      <c r="AI1139" s="659"/>
      <c r="AJ1139" s="659"/>
      <c r="AK1139" s="659"/>
      <c r="AL1139" s="659"/>
      <c r="AM1139" s="659"/>
      <c r="AN1139" s="659"/>
      <c r="AO1139" s="659"/>
      <c r="AP1139" s="659"/>
      <c r="AQ1139" s="746"/>
    </row>
    <row r="1140">
      <c r="A1140" s="703"/>
      <c r="B1140" s="1044"/>
      <c r="C1140" s="1005"/>
      <c r="D1140" s="645"/>
      <c r="E1140" s="645"/>
      <c r="F1140" s="951"/>
      <c r="G1140" s="951"/>
      <c r="H1140" s="951"/>
      <c r="I1140" s="951"/>
      <c r="J1140" s="951"/>
      <c r="K1140" s="951"/>
      <c r="L1140" s="951"/>
      <c r="M1140" s="951"/>
      <c r="N1140" s="659"/>
      <c r="O1140" s="951"/>
      <c r="P1140" s="951"/>
      <c r="Q1140" s="659"/>
      <c r="R1140" s="659"/>
      <c r="S1140" s="659"/>
      <c r="T1140" s="659"/>
      <c r="U1140" s="659"/>
      <c r="V1140" s="659"/>
      <c r="W1140" s="659"/>
      <c r="X1140" s="659"/>
      <c r="Y1140" s="659"/>
      <c r="Z1140" s="659"/>
      <c r="AA1140" s="659"/>
      <c r="AB1140" s="659"/>
      <c r="AC1140" s="659"/>
      <c r="AD1140" s="659"/>
      <c r="AE1140" s="659"/>
      <c r="AF1140" s="659"/>
      <c r="AG1140" s="659"/>
      <c r="AH1140" s="659"/>
      <c r="AI1140" s="659"/>
      <c r="AJ1140" s="659"/>
      <c r="AK1140" s="659"/>
      <c r="AL1140" s="659"/>
      <c r="AM1140" s="659"/>
      <c r="AN1140" s="659"/>
      <c r="AO1140" s="659"/>
      <c r="AP1140" s="659"/>
      <c r="AQ1140" s="746"/>
    </row>
    <row r="1141">
      <c r="A1141" s="703"/>
      <c r="B1141" s="1044"/>
      <c r="C1141" s="1005"/>
      <c r="D1141" s="645"/>
      <c r="E1141" s="645"/>
      <c r="F1141" s="951"/>
      <c r="G1141" s="951"/>
      <c r="H1141" s="951"/>
      <c r="I1141" s="951"/>
      <c r="J1141" s="951"/>
      <c r="K1141" s="951"/>
      <c r="L1141" s="951"/>
      <c r="M1141" s="951"/>
      <c r="N1141" s="659"/>
      <c r="O1141" s="951"/>
      <c r="P1141" s="951"/>
      <c r="Q1141" s="659"/>
      <c r="R1141" s="659"/>
      <c r="S1141" s="659"/>
      <c r="T1141" s="659"/>
      <c r="U1141" s="659"/>
      <c r="V1141" s="659"/>
      <c r="W1141" s="659"/>
      <c r="X1141" s="659"/>
      <c r="Y1141" s="659"/>
      <c r="Z1141" s="659"/>
      <c r="AA1141" s="659"/>
      <c r="AB1141" s="659"/>
      <c r="AC1141" s="659"/>
      <c r="AD1141" s="659"/>
      <c r="AE1141" s="659"/>
      <c r="AF1141" s="659"/>
      <c r="AG1141" s="659"/>
      <c r="AH1141" s="659"/>
      <c r="AI1141" s="659"/>
      <c r="AJ1141" s="659"/>
      <c r="AK1141" s="659"/>
      <c r="AL1141" s="659"/>
      <c r="AM1141" s="659"/>
      <c r="AN1141" s="659"/>
      <c r="AO1141" s="659"/>
      <c r="AP1141" s="659"/>
      <c r="AQ1141" s="746"/>
    </row>
    <row r="1142">
      <c r="A1142" s="703"/>
      <c r="B1142" s="1044"/>
      <c r="C1142" s="1005"/>
      <c r="D1142" s="645"/>
      <c r="E1142" s="645"/>
      <c r="F1142" s="951"/>
      <c r="G1142" s="951"/>
      <c r="H1142" s="951"/>
      <c r="I1142" s="951"/>
      <c r="J1142" s="951"/>
      <c r="K1142" s="951"/>
      <c r="L1142" s="951"/>
      <c r="M1142" s="951"/>
      <c r="N1142" s="659"/>
      <c r="O1142" s="951"/>
      <c r="P1142" s="951"/>
      <c r="Q1142" s="659"/>
      <c r="R1142" s="659"/>
      <c r="S1142" s="659"/>
      <c r="T1142" s="659"/>
      <c r="U1142" s="659"/>
      <c r="V1142" s="659"/>
      <c r="W1142" s="659"/>
      <c r="X1142" s="659"/>
      <c r="Y1142" s="659"/>
      <c r="Z1142" s="659"/>
      <c r="AA1142" s="659"/>
      <c r="AB1142" s="659"/>
      <c r="AC1142" s="659"/>
      <c r="AD1142" s="659"/>
      <c r="AE1142" s="659"/>
      <c r="AF1142" s="659"/>
      <c r="AG1142" s="659"/>
      <c r="AH1142" s="659"/>
      <c r="AI1142" s="659"/>
      <c r="AJ1142" s="659"/>
      <c r="AK1142" s="659"/>
      <c r="AL1142" s="659"/>
      <c r="AM1142" s="659"/>
      <c r="AN1142" s="659"/>
      <c r="AO1142" s="659"/>
      <c r="AP1142" s="659"/>
      <c r="AQ1142" s="746"/>
    </row>
    <row r="1143">
      <c r="A1143" s="703"/>
      <c r="B1143" s="1044"/>
      <c r="C1143" s="1005"/>
      <c r="D1143" s="645"/>
      <c r="E1143" s="645"/>
      <c r="F1143" s="951"/>
      <c r="G1143" s="951"/>
      <c r="H1143" s="951"/>
      <c r="I1143" s="951"/>
      <c r="J1143" s="951"/>
      <c r="K1143" s="951"/>
      <c r="L1143" s="951"/>
      <c r="M1143" s="951"/>
      <c r="N1143" s="659"/>
      <c r="O1143" s="951"/>
      <c r="P1143" s="951"/>
      <c r="Q1143" s="659"/>
      <c r="R1143" s="659"/>
      <c r="S1143" s="659"/>
      <c r="T1143" s="659"/>
      <c r="U1143" s="659"/>
      <c r="V1143" s="659"/>
      <c r="W1143" s="659"/>
      <c r="X1143" s="659"/>
      <c r="Y1143" s="659"/>
      <c r="Z1143" s="659"/>
      <c r="AA1143" s="659"/>
      <c r="AB1143" s="659"/>
      <c r="AC1143" s="659"/>
      <c r="AD1143" s="659"/>
      <c r="AE1143" s="659"/>
      <c r="AF1143" s="659"/>
      <c r="AG1143" s="659"/>
      <c r="AH1143" s="659"/>
      <c r="AI1143" s="659"/>
      <c r="AJ1143" s="659"/>
      <c r="AK1143" s="659"/>
      <c r="AL1143" s="659"/>
      <c r="AM1143" s="659"/>
      <c r="AN1143" s="659"/>
      <c r="AO1143" s="659"/>
      <c r="AP1143" s="659"/>
      <c r="AQ1143" s="746"/>
    </row>
    <row r="1144">
      <c r="A1144" s="703"/>
      <c r="B1144" s="1044"/>
      <c r="C1144" s="1005"/>
      <c r="D1144" s="645"/>
      <c r="E1144" s="645"/>
      <c r="F1144" s="951"/>
      <c r="G1144" s="951"/>
      <c r="H1144" s="951"/>
      <c r="I1144" s="951"/>
      <c r="J1144" s="951"/>
      <c r="K1144" s="951"/>
      <c r="L1144" s="951"/>
      <c r="M1144" s="951"/>
      <c r="N1144" s="659"/>
      <c r="O1144" s="951"/>
      <c r="P1144" s="951"/>
      <c r="Q1144" s="659"/>
      <c r="R1144" s="659"/>
      <c r="S1144" s="659"/>
      <c r="T1144" s="659"/>
      <c r="U1144" s="659"/>
      <c r="V1144" s="659"/>
      <c r="W1144" s="659"/>
      <c r="X1144" s="659"/>
      <c r="Y1144" s="659"/>
      <c r="Z1144" s="659"/>
      <c r="AA1144" s="659"/>
      <c r="AB1144" s="659"/>
      <c r="AC1144" s="659"/>
      <c r="AD1144" s="659"/>
      <c r="AE1144" s="659"/>
      <c r="AF1144" s="659"/>
      <c r="AG1144" s="659"/>
      <c r="AH1144" s="659"/>
      <c r="AI1144" s="659"/>
      <c r="AJ1144" s="659"/>
      <c r="AK1144" s="659"/>
      <c r="AL1144" s="659"/>
      <c r="AM1144" s="659"/>
      <c r="AN1144" s="659"/>
      <c r="AO1144" s="659"/>
      <c r="AP1144" s="659"/>
      <c r="AQ1144" s="746"/>
    </row>
    <row r="1145">
      <c r="A1145" s="703"/>
      <c r="B1145" s="1044"/>
      <c r="C1145" s="1005"/>
      <c r="D1145" s="645"/>
      <c r="E1145" s="645"/>
      <c r="F1145" s="951"/>
      <c r="G1145" s="951"/>
      <c r="H1145" s="951"/>
      <c r="I1145" s="951"/>
      <c r="J1145" s="951"/>
      <c r="K1145" s="951"/>
      <c r="L1145" s="951"/>
      <c r="M1145" s="951"/>
      <c r="N1145" s="659"/>
      <c r="O1145" s="951"/>
      <c r="P1145" s="951"/>
      <c r="Q1145" s="659"/>
      <c r="R1145" s="659"/>
      <c r="S1145" s="659"/>
      <c r="T1145" s="659"/>
      <c r="U1145" s="659"/>
      <c r="V1145" s="659"/>
      <c r="W1145" s="659"/>
      <c r="X1145" s="659"/>
      <c r="Y1145" s="659"/>
      <c r="Z1145" s="659"/>
      <c r="AA1145" s="659"/>
      <c r="AB1145" s="659"/>
      <c r="AC1145" s="659"/>
      <c r="AD1145" s="659"/>
      <c r="AE1145" s="659"/>
      <c r="AF1145" s="659"/>
      <c r="AG1145" s="659"/>
      <c r="AH1145" s="659"/>
      <c r="AI1145" s="659"/>
      <c r="AJ1145" s="659"/>
      <c r="AK1145" s="659"/>
      <c r="AL1145" s="659"/>
      <c r="AM1145" s="659"/>
      <c r="AN1145" s="659"/>
      <c r="AO1145" s="659"/>
      <c r="AP1145" s="659"/>
      <c r="AQ1145" s="746"/>
    </row>
    <row r="1146">
      <c r="A1146" s="703"/>
      <c r="B1146" s="1044"/>
      <c r="C1146" s="1005"/>
      <c r="D1146" s="645"/>
      <c r="E1146" s="645"/>
      <c r="F1146" s="951"/>
      <c r="G1146" s="951"/>
      <c r="H1146" s="951"/>
      <c r="I1146" s="951"/>
      <c r="J1146" s="951"/>
      <c r="K1146" s="951"/>
      <c r="L1146" s="951"/>
      <c r="M1146" s="951"/>
      <c r="N1146" s="659"/>
      <c r="O1146" s="951"/>
      <c r="P1146" s="951"/>
      <c r="Q1146" s="659"/>
      <c r="R1146" s="659"/>
      <c r="S1146" s="659"/>
      <c r="T1146" s="659"/>
      <c r="U1146" s="659"/>
      <c r="V1146" s="659"/>
      <c r="W1146" s="659"/>
      <c r="X1146" s="659"/>
      <c r="Y1146" s="659"/>
      <c r="Z1146" s="659"/>
      <c r="AA1146" s="659"/>
      <c r="AB1146" s="659"/>
      <c r="AC1146" s="659"/>
      <c r="AD1146" s="659"/>
      <c r="AE1146" s="659"/>
      <c r="AF1146" s="659"/>
      <c r="AG1146" s="659"/>
      <c r="AH1146" s="659"/>
      <c r="AI1146" s="659"/>
      <c r="AJ1146" s="659"/>
      <c r="AK1146" s="659"/>
      <c r="AL1146" s="659"/>
      <c r="AM1146" s="659"/>
      <c r="AN1146" s="659"/>
      <c r="AO1146" s="659"/>
      <c r="AP1146" s="659"/>
      <c r="AQ1146" s="746"/>
    </row>
    <row r="1147">
      <c r="A1147" s="703"/>
      <c r="B1147" s="1044"/>
      <c r="C1147" s="1005"/>
      <c r="D1147" s="645"/>
      <c r="E1147" s="645"/>
      <c r="F1147" s="951"/>
      <c r="G1147" s="951"/>
      <c r="H1147" s="951"/>
      <c r="I1147" s="951"/>
      <c r="J1147" s="951"/>
      <c r="K1147" s="951"/>
      <c r="L1147" s="951"/>
      <c r="M1147" s="951"/>
      <c r="N1147" s="659"/>
      <c r="O1147" s="951"/>
      <c r="P1147" s="951"/>
      <c r="Q1147" s="659"/>
      <c r="R1147" s="659"/>
      <c r="S1147" s="659"/>
      <c r="T1147" s="659"/>
      <c r="U1147" s="659"/>
      <c r="V1147" s="659"/>
      <c r="W1147" s="659"/>
      <c r="X1147" s="659"/>
      <c r="Y1147" s="659"/>
      <c r="Z1147" s="659"/>
      <c r="AA1147" s="659"/>
      <c r="AB1147" s="659"/>
      <c r="AC1147" s="659"/>
      <c r="AD1147" s="659"/>
      <c r="AE1147" s="659"/>
      <c r="AF1147" s="659"/>
      <c r="AG1147" s="659"/>
      <c r="AH1147" s="659"/>
      <c r="AI1147" s="659"/>
      <c r="AJ1147" s="659"/>
      <c r="AK1147" s="659"/>
      <c r="AL1147" s="659"/>
      <c r="AM1147" s="659"/>
      <c r="AN1147" s="659"/>
      <c r="AO1147" s="659"/>
      <c r="AP1147" s="659"/>
      <c r="AQ1147" s="746"/>
    </row>
    <row r="1148">
      <c r="A1148" s="703"/>
      <c r="B1148" s="1044"/>
      <c r="C1148" s="1005"/>
      <c r="D1148" s="645"/>
      <c r="E1148" s="645"/>
      <c r="F1148" s="951"/>
      <c r="G1148" s="951"/>
      <c r="H1148" s="951"/>
      <c r="I1148" s="951"/>
      <c r="J1148" s="951"/>
      <c r="K1148" s="951"/>
      <c r="L1148" s="951"/>
      <c r="M1148" s="951"/>
      <c r="N1148" s="659"/>
      <c r="O1148" s="951"/>
      <c r="P1148" s="951"/>
      <c r="Q1148" s="659"/>
      <c r="R1148" s="659"/>
      <c r="S1148" s="659"/>
      <c r="T1148" s="659"/>
      <c r="U1148" s="659"/>
      <c r="V1148" s="659"/>
      <c r="W1148" s="659"/>
      <c r="X1148" s="659"/>
      <c r="Y1148" s="659"/>
      <c r="Z1148" s="659"/>
      <c r="AA1148" s="659"/>
      <c r="AB1148" s="659"/>
      <c r="AC1148" s="659"/>
      <c r="AD1148" s="659"/>
      <c r="AE1148" s="659"/>
      <c r="AF1148" s="659"/>
      <c r="AG1148" s="659"/>
      <c r="AH1148" s="659"/>
      <c r="AI1148" s="659"/>
      <c r="AJ1148" s="659"/>
      <c r="AK1148" s="659"/>
      <c r="AL1148" s="659"/>
      <c r="AM1148" s="659"/>
      <c r="AN1148" s="659"/>
      <c r="AO1148" s="659"/>
      <c r="AP1148" s="659"/>
      <c r="AQ1148" s="746"/>
    </row>
    <row r="1149">
      <c r="A1149" s="703"/>
      <c r="B1149" s="1044"/>
      <c r="C1149" s="1005"/>
      <c r="D1149" s="645"/>
      <c r="E1149" s="645"/>
      <c r="F1149" s="951"/>
      <c r="G1149" s="951"/>
      <c r="H1149" s="951"/>
      <c r="I1149" s="951"/>
      <c r="J1149" s="951"/>
      <c r="K1149" s="951"/>
      <c r="L1149" s="951"/>
      <c r="M1149" s="951"/>
      <c r="N1149" s="659"/>
      <c r="O1149" s="951"/>
      <c r="P1149" s="951"/>
      <c r="Q1149" s="659"/>
      <c r="R1149" s="659"/>
      <c r="S1149" s="659"/>
      <c r="T1149" s="659"/>
      <c r="U1149" s="659"/>
      <c r="V1149" s="659"/>
      <c r="W1149" s="659"/>
      <c r="X1149" s="659"/>
      <c r="Y1149" s="659"/>
      <c r="Z1149" s="659"/>
      <c r="AA1149" s="659"/>
      <c r="AB1149" s="659"/>
      <c r="AC1149" s="659"/>
      <c r="AD1149" s="659"/>
      <c r="AE1149" s="659"/>
      <c r="AF1149" s="659"/>
      <c r="AG1149" s="659"/>
      <c r="AH1149" s="659"/>
      <c r="AI1149" s="659"/>
      <c r="AJ1149" s="659"/>
      <c r="AK1149" s="659"/>
      <c r="AL1149" s="659"/>
      <c r="AM1149" s="659"/>
      <c r="AN1149" s="659"/>
      <c r="AO1149" s="659"/>
      <c r="AP1149" s="659"/>
      <c r="AQ1149" s="746"/>
    </row>
    <row r="1150">
      <c r="A1150" s="703"/>
      <c r="B1150" s="1044"/>
      <c r="C1150" s="1005"/>
      <c r="D1150" s="645"/>
      <c r="E1150" s="645"/>
      <c r="F1150" s="951"/>
      <c r="G1150" s="951"/>
      <c r="H1150" s="951"/>
      <c r="I1150" s="951"/>
      <c r="J1150" s="951"/>
      <c r="K1150" s="951"/>
      <c r="L1150" s="951"/>
      <c r="M1150" s="951"/>
      <c r="N1150" s="659"/>
      <c r="O1150" s="951"/>
      <c r="P1150" s="951"/>
      <c r="Q1150" s="659"/>
      <c r="R1150" s="659"/>
      <c r="S1150" s="659"/>
      <c r="T1150" s="659"/>
      <c r="U1150" s="659"/>
      <c r="V1150" s="659"/>
      <c r="W1150" s="659"/>
      <c r="X1150" s="659"/>
      <c r="Y1150" s="659"/>
      <c r="Z1150" s="659"/>
      <c r="AA1150" s="659"/>
      <c r="AB1150" s="659"/>
      <c r="AC1150" s="659"/>
      <c r="AD1150" s="659"/>
      <c r="AE1150" s="659"/>
      <c r="AF1150" s="659"/>
      <c r="AG1150" s="659"/>
      <c r="AH1150" s="659"/>
      <c r="AI1150" s="659"/>
      <c r="AJ1150" s="659"/>
      <c r="AK1150" s="659"/>
      <c r="AL1150" s="659"/>
      <c r="AM1150" s="659"/>
      <c r="AN1150" s="659"/>
      <c r="AO1150" s="659"/>
      <c r="AP1150" s="659"/>
      <c r="AQ1150" s="746"/>
    </row>
    <row r="1151">
      <c r="A1151" s="703"/>
      <c r="B1151" s="1044"/>
      <c r="C1151" s="1005"/>
      <c r="D1151" s="645"/>
      <c r="E1151" s="645"/>
      <c r="F1151" s="951"/>
      <c r="G1151" s="951"/>
      <c r="H1151" s="951"/>
      <c r="I1151" s="951"/>
      <c r="J1151" s="951"/>
      <c r="K1151" s="951"/>
      <c r="L1151" s="951"/>
      <c r="M1151" s="951"/>
      <c r="N1151" s="659"/>
      <c r="O1151" s="951"/>
      <c r="P1151" s="951"/>
      <c r="Q1151" s="659"/>
      <c r="R1151" s="659"/>
      <c r="S1151" s="659"/>
      <c r="T1151" s="659"/>
      <c r="U1151" s="659"/>
      <c r="V1151" s="659"/>
      <c r="W1151" s="659"/>
      <c r="X1151" s="659"/>
      <c r="Y1151" s="659"/>
      <c r="Z1151" s="659"/>
      <c r="AA1151" s="659"/>
      <c r="AB1151" s="659"/>
      <c r="AC1151" s="659"/>
      <c r="AD1151" s="659"/>
      <c r="AE1151" s="659"/>
      <c r="AF1151" s="659"/>
      <c r="AG1151" s="659"/>
      <c r="AH1151" s="659"/>
      <c r="AI1151" s="659"/>
      <c r="AJ1151" s="659"/>
      <c r="AK1151" s="659"/>
      <c r="AL1151" s="659"/>
      <c r="AM1151" s="659"/>
      <c r="AN1151" s="659"/>
      <c r="AO1151" s="659"/>
      <c r="AP1151" s="659"/>
      <c r="AQ1151" s="746"/>
    </row>
    <row r="1152">
      <c r="A1152" s="703"/>
      <c r="B1152" s="1044"/>
      <c r="C1152" s="1005"/>
      <c r="D1152" s="645"/>
      <c r="E1152" s="645"/>
      <c r="F1152" s="951"/>
      <c r="G1152" s="951"/>
      <c r="H1152" s="951"/>
      <c r="I1152" s="951"/>
      <c r="J1152" s="951"/>
      <c r="K1152" s="951"/>
      <c r="L1152" s="951"/>
      <c r="M1152" s="951"/>
      <c r="N1152" s="659"/>
      <c r="O1152" s="951"/>
      <c r="P1152" s="951"/>
      <c r="Q1152" s="659"/>
      <c r="R1152" s="659"/>
      <c r="S1152" s="659"/>
      <c r="T1152" s="659"/>
      <c r="U1152" s="659"/>
      <c r="V1152" s="659"/>
      <c r="W1152" s="659"/>
      <c r="X1152" s="659"/>
      <c r="Y1152" s="659"/>
      <c r="Z1152" s="659"/>
      <c r="AA1152" s="659"/>
      <c r="AB1152" s="659"/>
      <c r="AC1152" s="659"/>
      <c r="AD1152" s="659"/>
      <c r="AE1152" s="659"/>
      <c r="AF1152" s="659"/>
      <c r="AG1152" s="659"/>
      <c r="AH1152" s="659"/>
      <c r="AI1152" s="659"/>
      <c r="AJ1152" s="659"/>
      <c r="AK1152" s="659"/>
      <c r="AL1152" s="659"/>
      <c r="AM1152" s="659"/>
      <c r="AN1152" s="659"/>
      <c r="AO1152" s="659"/>
      <c r="AP1152" s="659"/>
      <c r="AQ1152" s="746"/>
    </row>
    <row r="1153">
      <c r="A1153" s="703"/>
      <c r="B1153" s="1131"/>
      <c r="C1153" s="1005"/>
      <c r="D1153" s="645"/>
      <c r="E1153" s="645"/>
      <c r="F1153" s="951"/>
      <c r="G1153" s="951"/>
      <c r="H1153" s="951"/>
      <c r="I1153" s="951"/>
      <c r="J1153" s="951"/>
      <c r="K1153" s="951"/>
      <c r="L1153" s="951"/>
      <c r="M1153" s="951"/>
      <c r="N1153" s="659"/>
      <c r="O1153" s="951"/>
      <c r="P1153" s="951"/>
      <c r="Q1153" s="659"/>
      <c r="R1153" s="659"/>
      <c r="S1153" s="659"/>
      <c r="T1153" s="659"/>
      <c r="U1153" s="659"/>
      <c r="V1153" s="659"/>
      <c r="W1153" s="659"/>
      <c r="X1153" s="659"/>
      <c r="Y1153" s="659"/>
      <c r="Z1153" s="659"/>
      <c r="AA1153" s="659"/>
      <c r="AB1153" s="659"/>
      <c r="AC1153" s="659"/>
      <c r="AD1153" s="659"/>
      <c r="AE1153" s="659"/>
      <c r="AF1153" s="659"/>
      <c r="AG1153" s="659"/>
      <c r="AH1153" s="659"/>
      <c r="AI1153" s="659"/>
      <c r="AJ1153" s="659"/>
      <c r="AK1153" s="659"/>
      <c r="AL1153" s="659"/>
      <c r="AM1153" s="659"/>
      <c r="AN1153" s="659"/>
      <c r="AO1153" s="659"/>
      <c r="AP1153" s="659"/>
      <c r="AQ1153" s="746"/>
    </row>
    <row r="1154">
      <c r="A1154" s="703"/>
      <c r="B1154" s="1131"/>
      <c r="C1154" s="1005"/>
      <c r="D1154" s="645"/>
      <c r="E1154" s="645"/>
      <c r="F1154" s="951"/>
      <c r="G1154" s="951"/>
      <c r="H1154" s="951"/>
      <c r="I1154" s="951"/>
      <c r="J1154" s="951"/>
      <c r="K1154" s="951"/>
      <c r="L1154" s="951"/>
      <c r="M1154" s="951"/>
      <c r="N1154" s="659"/>
      <c r="O1154" s="951"/>
      <c r="P1154" s="951"/>
      <c r="Q1154" s="659"/>
      <c r="R1154" s="659"/>
      <c r="S1154" s="659"/>
      <c r="T1154" s="659"/>
      <c r="U1154" s="659"/>
      <c r="V1154" s="659"/>
      <c r="W1154" s="659"/>
      <c r="X1154" s="659"/>
      <c r="Y1154" s="659"/>
      <c r="Z1154" s="659"/>
      <c r="AA1154" s="659"/>
      <c r="AB1154" s="659"/>
      <c r="AC1154" s="659"/>
      <c r="AD1154" s="659"/>
      <c r="AE1154" s="659"/>
      <c r="AF1154" s="659"/>
      <c r="AG1154" s="659"/>
      <c r="AH1154" s="659"/>
      <c r="AI1154" s="659"/>
      <c r="AJ1154" s="659"/>
      <c r="AK1154" s="659"/>
      <c r="AL1154" s="659"/>
      <c r="AM1154" s="659"/>
      <c r="AN1154" s="659"/>
      <c r="AO1154" s="659"/>
      <c r="AP1154" s="659"/>
      <c r="AQ1154" s="746"/>
    </row>
    <row r="1155">
      <c r="A1155" s="703"/>
      <c r="B1155" s="1044"/>
      <c r="C1155" s="1005"/>
      <c r="D1155" s="645"/>
      <c r="E1155" s="645"/>
      <c r="F1155" s="951"/>
      <c r="G1155" s="951"/>
      <c r="H1155" s="951"/>
      <c r="I1155" s="951"/>
      <c r="J1155" s="951"/>
      <c r="K1155" s="951"/>
      <c r="L1155" s="951"/>
      <c r="M1155" s="951"/>
      <c r="N1155" s="659"/>
      <c r="O1155" s="951"/>
      <c r="P1155" s="951"/>
      <c r="Q1155" s="659"/>
      <c r="R1155" s="659"/>
      <c r="S1155" s="659"/>
      <c r="T1155" s="659"/>
      <c r="U1155" s="659"/>
      <c r="V1155" s="659"/>
      <c r="W1155" s="659"/>
      <c r="X1155" s="659"/>
      <c r="Y1155" s="659"/>
      <c r="Z1155" s="659"/>
      <c r="AA1155" s="659"/>
      <c r="AB1155" s="659"/>
      <c r="AC1155" s="659"/>
      <c r="AD1155" s="659"/>
      <c r="AE1155" s="659"/>
      <c r="AF1155" s="659"/>
      <c r="AG1155" s="659"/>
      <c r="AH1155" s="659"/>
      <c r="AI1155" s="659"/>
      <c r="AJ1155" s="659"/>
      <c r="AK1155" s="659"/>
      <c r="AL1155" s="659"/>
      <c r="AM1155" s="659"/>
      <c r="AN1155" s="659"/>
      <c r="AO1155" s="659"/>
      <c r="AP1155" s="659"/>
      <c r="AQ1155" s="746"/>
    </row>
    <row r="1156">
      <c r="A1156" s="703"/>
      <c r="B1156" s="1044"/>
      <c r="C1156" s="1005"/>
      <c r="D1156" s="645"/>
      <c r="E1156" s="645"/>
      <c r="F1156" s="951"/>
      <c r="G1156" s="951"/>
      <c r="H1156" s="951"/>
      <c r="I1156" s="951"/>
      <c r="J1156" s="951"/>
      <c r="K1156" s="951"/>
      <c r="L1156" s="951"/>
      <c r="M1156" s="951"/>
      <c r="N1156" s="659"/>
      <c r="O1156" s="951"/>
      <c r="P1156" s="951"/>
      <c r="Q1156" s="659"/>
      <c r="R1156" s="659"/>
      <c r="S1156" s="659"/>
      <c r="T1156" s="659"/>
      <c r="U1156" s="659"/>
      <c r="V1156" s="659"/>
      <c r="W1156" s="659"/>
      <c r="X1156" s="659"/>
      <c r="Y1156" s="659"/>
      <c r="Z1156" s="659"/>
      <c r="AA1156" s="659"/>
      <c r="AB1156" s="659"/>
      <c r="AC1156" s="659"/>
      <c r="AD1156" s="659"/>
      <c r="AE1156" s="659"/>
      <c r="AF1156" s="659"/>
      <c r="AG1156" s="659"/>
      <c r="AH1156" s="659"/>
      <c r="AI1156" s="659"/>
      <c r="AJ1156" s="659"/>
      <c r="AK1156" s="659"/>
      <c r="AL1156" s="659"/>
      <c r="AM1156" s="659"/>
      <c r="AN1156" s="659"/>
      <c r="AO1156" s="659"/>
      <c r="AP1156" s="659"/>
      <c r="AQ1156" s="746"/>
    </row>
    <row r="1157">
      <c r="A1157" s="703"/>
      <c r="B1157" s="1044"/>
      <c r="C1157" s="1005"/>
      <c r="D1157" s="645"/>
      <c r="E1157" s="645"/>
      <c r="F1157" s="951"/>
      <c r="G1157" s="951"/>
      <c r="H1157" s="951"/>
      <c r="I1157" s="951"/>
      <c r="J1157" s="951"/>
      <c r="K1157" s="951"/>
      <c r="L1157" s="951"/>
      <c r="M1157" s="951"/>
      <c r="N1157" s="659"/>
      <c r="O1157" s="951"/>
      <c r="P1157" s="951"/>
      <c r="Q1157" s="659"/>
      <c r="R1157" s="659"/>
      <c r="S1157" s="659"/>
      <c r="T1157" s="659"/>
      <c r="U1157" s="659"/>
      <c r="V1157" s="659"/>
      <c r="W1157" s="659"/>
      <c r="X1157" s="659"/>
      <c r="Y1157" s="659"/>
      <c r="Z1157" s="659"/>
      <c r="AA1157" s="659"/>
      <c r="AB1157" s="659"/>
      <c r="AC1157" s="659"/>
      <c r="AD1157" s="659"/>
      <c r="AE1157" s="659"/>
      <c r="AF1157" s="659"/>
      <c r="AG1157" s="659"/>
      <c r="AH1157" s="659"/>
      <c r="AI1157" s="659"/>
      <c r="AJ1157" s="659"/>
      <c r="AK1157" s="659"/>
      <c r="AL1157" s="659"/>
      <c r="AM1157" s="659"/>
      <c r="AN1157" s="659"/>
      <c r="AO1157" s="659"/>
      <c r="AP1157" s="659"/>
      <c r="AQ1157" s="746"/>
    </row>
    <row r="1158">
      <c r="A1158" s="703"/>
      <c r="B1158" s="1044"/>
      <c r="C1158" s="1005"/>
      <c r="D1158" s="645"/>
      <c r="E1158" s="645"/>
      <c r="F1158" s="951"/>
      <c r="G1158" s="951"/>
      <c r="H1158" s="951"/>
      <c r="I1158" s="951"/>
      <c r="J1158" s="951"/>
      <c r="K1158" s="951"/>
      <c r="L1158" s="951"/>
      <c r="M1158" s="951"/>
      <c r="N1158" s="659"/>
      <c r="O1158" s="951"/>
      <c r="P1158" s="951"/>
      <c r="Q1158" s="659"/>
      <c r="R1158" s="659"/>
      <c r="S1158" s="659"/>
      <c r="T1158" s="659"/>
      <c r="U1158" s="659"/>
      <c r="V1158" s="659"/>
      <c r="W1158" s="659"/>
      <c r="X1158" s="659"/>
      <c r="Y1158" s="659"/>
      <c r="Z1158" s="659"/>
      <c r="AA1158" s="659"/>
      <c r="AB1158" s="659"/>
      <c r="AC1158" s="659"/>
      <c r="AD1158" s="659"/>
      <c r="AE1158" s="659"/>
      <c r="AF1158" s="659"/>
      <c r="AG1158" s="659"/>
      <c r="AH1158" s="659"/>
      <c r="AI1158" s="659"/>
      <c r="AJ1158" s="659"/>
      <c r="AK1158" s="659"/>
      <c r="AL1158" s="659"/>
      <c r="AM1158" s="659"/>
      <c r="AN1158" s="659"/>
      <c r="AO1158" s="659"/>
      <c r="AP1158" s="659"/>
      <c r="AQ1158" s="746"/>
    </row>
    <row r="1159">
      <c r="A1159" s="703"/>
      <c r="B1159" s="1044"/>
      <c r="C1159" s="1005"/>
      <c r="D1159" s="645"/>
      <c r="E1159" s="645"/>
      <c r="F1159" s="951"/>
      <c r="G1159" s="951"/>
      <c r="H1159" s="951"/>
      <c r="I1159" s="951"/>
      <c r="J1159" s="951"/>
      <c r="K1159" s="951"/>
      <c r="L1159" s="951"/>
      <c r="M1159" s="951"/>
      <c r="N1159" s="659"/>
      <c r="O1159" s="951"/>
      <c r="P1159" s="951"/>
      <c r="Q1159" s="659"/>
      <c r="R1159" s="659"/>
      <c r="S1159" s="659"/>
      <c r="T1159" s="659"/>
      <c r="U1159" s="659"/>
      <c r="V1159" s="659"/>
      <c r="W1159" s="659"/>
      <c r="X1159" s="659"/>
      <c r="Y1159" s="659"/>
      <c r="Z1159" s="659"/>
      <c r="AA1159" s="659"/>
      <c r="AB1159" s="659"/>
      <c r="AC1159" s="659"/>
      <c r="AD1159" s="659"/>
      <c r="AE1159" s="659"/>
      <c r="AF1159" s="659"/>
      <c r="AG1159" s="659"/>
      <c r="AH1159" s="659"/>
      <c r="AI1159" s="659"/>
      <c r="AJ1159" s="659"/>
      <c r="AK1159" s="659"/>
      <c r="AL1159" s="659"/>
      <c r="AM1159" s="659"/>
      <c r="AN1159" s="659"/>
      <c r="AO1159" s="659"/>
      <c r="AP1159" s="659"/>
      <c r="AQ1159" s="746"/>
    </row>
    <row r="1160">
      <c r="A1160" s="703"/>
      <c r="B1160" s="1044"/>
      <c r="C1160" s="1005"/>
      <c r="D1160" s="645"/>
      <c r="E1160" s="645"/>
      <c r="F1160" s="951"/>
      <c r="G1160" s="951"/>
      <c r="H1160" s="951"/>
      <c r="I1160" s="951"/>
      <c r="J1160" s="951"/>
      <c r="K1160" s="951"/>
      <c r="L1160" s="951"/>
      <c r="M1160" s="951"/>
      <c r="N1160" s="659"/>
      <c r="O1160" s="951"/>
      <c r="P1160" s="951"/>
      <c r="Q1160" s="659"/>
      <c r="R1160" s="659"/>
      <c r="S1160" s="659"/>
      <c r="T1160" s="659"/>
      <c r="U1160" s="659"/>
      <c r="V1160" s="659"/>
      <c r="W1160" s="659"/>
      <c r="X1160" s="659"/>
      <c r="Y1160" s="659"/>
      <c r="Z1160" s="659"/>
      <c r="AA1160" s="659"/>
      <c r="AB1160" s="659"/>
      <c r="AC1160" s="659"/>
      <c r="AD1160" s="659"/>
      <c r="AE1160" s="659"/>
      <c r="AF1160" s="659"/>
      <c r="AG1160" s="659"/>
      <c r="AH1160" s="659"/>
      <c r="AI1160" s="659"/>
      <c r="AJ1160" s="659"/>
      <c r="AK1160" s="659"/>
      <c r="AL1160" s="659"/>
      <c r="AM1160" s="659"/>
      <c r="AN1160" s="659"/>
      <c r="AO1160" s="659"/>
      <c r="AP1160" s="659"/>
      <c r="AQ1160" s="746"/>
    </row>
    <row r="1161">
      <c r="A1161" s="703"/>
      <c r="B1161" s="1044"/>
      <c r="C1161" s="1005"/>
      <c r="D1161" s="645"/>
      <c r="E1161" s="645"/>
      <c r="F1161" s="951"/>
      <c r="G1161" s="951"/>
      <c r="H1161" s="951"/>
      <c r="I1161" s="951"/>
      <c r="J1161" s="951"/>
      <c r="K1161" s="951"/>
      <c r="L1161" s="951"/>
      <c r="M1161" s="951"/>
      <c r="N1161" s="659"/>
      <c r="O1161" s="951"/>
      <c r="P1161" s="951"/>
      <c r="Q1161" s="659"/>
      <c r="R1161" s="659"/>
      <c r="S1161" s="659"/>
      <c r="T1161" s="659"/>
      <c r="U1161" s="659"/>
      <c r="V1161" s="659"/>
      <c r="W1161" s="659"/>
      <c r="X1161" s="659"/>
      <c r="Y1161" s="659"/>
      <c r="Z1161" s="659"/>
      <c r="AA1161" s="659"/>
      <c r="AB1161" s="659"/>
      <c r="AC1161" s="659"/>
      <c r="AD1161" s="659"/>
      <c r="AE1161" s="659"/>
      <c r="AF1161" s="659"/>
      <c r="AG1161" s="659"/>
      <c r="AH1161" s="659"/>
      <c r="AI1161" s="659"/>
      <c r="AJ1161" s="659"/>
      <c r="AK1161" s="659"/>
      <c r="AL1161" s="659"/>
      <c r="AM1161" s="659"/>
      <c r="AN1161" s="659"/>
      <c r="AO1161" s="659"/>
      <c r="AP1161" s="659"/>
      <c r="AQ1161" s="746"/>
    </row>
    <row r="1162">
      <c r="A1162" s="703"/>
      <c r="B1162" s="1044"/>
      <c r="C1162" s="1005"/>
      <c r="D1162" s="645"/>
      <c r="E1162" s="645"/>
      <c r="F1162" s="951"/>
      <c r="G1162" s="951"/>
      <c r="H1162" s="951"/>
      <c r="I1162" s="951"/>
      <c r="J1162" s="951"/>
      <c r="K1162" s="951"/>
      <c r="L1162" s="951"/>
      <c r="M1162" s="951"/>
      <c r="N1162" s="659"/>
      <c r="O1162" s="951"/>
      <c r="P1162" s="951"/>
      <c r="Q1162" s="659"/>
      <c r="R1162" s="659"/>
      <c r="S1162" s="659"/>
      <c r="T1162" s="659"/>
      <c r="U1162" s="659"/>
      <c r="V1162" s="659"/>
      <c r="W1162" s="659"/>
      <c r="X1162" s="659"/>
      <c r="Y1162" s="659"/>
      <c r="Z1162" s="659"/>
      <c r="AA1162" s="659"/>
      <c r="AB1162" s="659"/>
      <c r="AC1162" s="659"/>
      <c r="AD1162" s="659"/>
      <c r="AE1162" s="659"/>
      <c r="AF1162" s="659"/>
      <c r="AG1162" s="659"/>
      <c r="AH1162" s="659"/>
      <c r="AI1162" s="659"/>
      <c r="AJ1162" s="659"/>
      <c r="AK1162" s="659"/>
      <c r="AL1162" s="659"/>
      <c r="AM1162" s="659"/>
      <c r="AN1162" s="659"/>
      <c r="AO1162" s="659"/>
      <c r="AP1162" s="659"/>
      <c r="AQ1162" s="746"/>
    </row>
    <row r="1163">
      <c r="A1163" s="703"/>
      <c r="B1163" s="1044"/>
      <c r="C1163" s="1005"/>
      <c r="D1163" s="645"/>
      <c r="E1163" s="645"/>
      <c r="F1163" s="951"/>
      <c r="G1163" s="951"/>
      <c r="H1163" s="951"/>
      <c r="I1163" s="951"/>
      <c r="J1163" s="951"/>
      <c r="K1163" s="951"/>
      <c r="L1163" s="951"/>
      <c r="M1163" s="951"/>
      <c r="N1163" s="659"/>
      <c r="O1163" s="951"/>
      <c r="P1163" s="951"/>
      <c r="Q1163" s="659"/>
      <c r="R1163" s="659"/>
      <c r="S1163" s="659"/>
      <c r="T1163" s="659"/>
      <c r="U1163" s="659"/>
      <c r="V1163" s="659"/>
      <c r="W1163" s="659"/>
      <c r="X1163" s="659"/>
      <c r="Y1163" s="659"/>
      <c r="Z1163" s="659"/>
      <c r="AA1163" s="659"/>
      <c r="AB1163" s="659"/>
      <c r="AC1163" s="659"/>
      <c r="AD1163" s="659"/>
      <c r="AE1163" s="659"/>
      <c r="AF1163" s="659"/>
      <c r="AG1163" s="659"/>
      <c r="AH1163" s="659"/>
      <c r="AI1163" s="659"/>
      <c r="AJ1163" s="659"/>
      <c r="AK1163" s="659"/>
      <c r="AL1163" s="659"/>
      <c r="AM1163" s="659"/>
      <c r="AN1163" s="659"/>
      <c r="AO1163" s="659"/>
      <c r="AP1163" s="659"/>
      <c r="AQ1163" s="746"/>
    </row>
    <row r="1164">
      <c r="A1164" s="703"/>
      <c r="B1164" s="1044"/>
      <c r="C1164" s="1005"/>
      <c r="D1164" s="645"/>
      <c r="E1164" s="645"/>
      <c r="F1164" s="951"/>
      <c r="G1164" s="951"/>
      <c r="H1164" s="951"/>
      <c r="I1164" s="951"/>
      <c r="J1164" s="951"/>
      <c r="K1164" s="951"/>
      <c r="L1164" s="951"/>
      <c r="M1164" s="951"/>
      <c r="N1164" s="659"/>
      <c r="O1164" s="951"/>
      <c r="P1164" s="951"/>
      <c r="Q1164" s="659"/>
      <c r="R1164" s="659"/>
      <c r="S1164" s="659"/>
      <c r="T1164" s="659"/>
      <c r="U1164" s="659"/>
      <c r="V1164" s="659"/>
      <c r="W1164" s="659"/>
      <c r="X1164" s="659"/>
      <c r="Y1164" s="659"/>
      <c r="Z1164" s="659"/>
      <c r="AA1164" s="659"/>
      <c r="AB1164" s="659"/>
      <c r="AC1164" s="659"/>
      <c r="AD1164" s="659"/>
      <c r="AE1164" s="659"/>
      <c r="AF1164" s="659"/>
      <c r="AG1164" s="659"/>
      <c r="AH1164" s="659"/>
      <c r="AI1164" s="659"/>
      <c r="AJ1164" s="659"/>
      <c r="AK1164" s="659"/>
      <c r="AL1164" s="659"/>
      <c r="AM1164" s="659"/>
      <c r="AN1164" s="659"/>
      <c r="AO1164" s="659"/>
      <c r="AP1164" s="659"/>
      <c r="AQ1164" s="746"/>
    </row>
    <row r="1165">
      <c r="A1165" s="703"/>
      <c r="B1165" s="1044"/>
      <c r="C1165" s="1005"/>
      <c r="D1165" s="645"/>
      <c r="E1165" s="645"/>
      <c r="F1165" s="951"/>
      <c r="G1165" s="951"/>
      <c r="H1165" s="951"/>
      <c r="I1165" s="951"/>
      <c r="J1165" s="951"/>
      <c r="K1165" s="951"/>
      <c r="L1165" s="951"/>
      <c r="M1165" s="951"/>
      <c r="N1165" s="659"/>
      <c r="O1165" s="951"/>
      <c r="P1165" s="951"/>
      <c r="Q1165" s="659"/>
      <c r="R1165" s="659"/>
      <c r="S1165" s="659"/>
      <c r="T1165" s="659"/>
      <c r="U1165" s="659"/>
      <c r="V1165" s="659"/>
      <c r="W1165" s="659"/>
      <c r="X1165" s="659"/>
      <c r="Y1165" s="659"/>
      <c r="Z1165" s="659"/>
      <c r="AA1165" s="659"/>
      <c r="AB1165" s="659"/>
      <c r="AC1165" s="659"/>
      <c r="AD1165" s="659"/>
      <c r="AE1165" s="659"/>
      <c r="AF1165" s="659"/>
      <c r="AG1165" s="659"/>
      <c r="AH1165" s="659"/>
      <c r="AI1165" s="659"/>
      <c r="AJ1165" s="659"/>
      <c r="AK1165" s="659"/>
      <c r="AL1165" s="659"/>
      <c r="AM1165" s="659"/>
      <c r="AN1165" s="659"/>
      <c r="AO1165" s="659"/>
      <c r="AP1165" s="659"/>
      <c r="AQ1165" s="746"/>
    </row>
    <row r="1166">
      <c r="A1166" s="703"/>
      <c r="B1166" s="1044"/>
      <c r="C1166" s="1005"/>
      <c r="D1166" s="645"/>
      <c r="E1166" s="645"/>
      <c r="F1166" s="951"/>
      <c r="G1166" s="951"/>
      <c r="H1166" s="951"/>
      <c r="I1166" s="951"/>
      <c r="J1166" s="951"/>
      <c r="K1166" s="951"/>
      <c r="L1166" s="951"/>
      <c r="M1166" s="951"/>
      <c r="N1166" s="659"/>
      <c r="O1166" s="951"/>
      <c r="P1166" s="951"/>
      <c r="Q1166" s="659"/>
      <c r="R1166" s="659"/>
      <c r="S1166" s="659"/>
      <c r="T1166" s="659"/>
      <c r="U1166" s="659"/>
      <c r="V1166" s="659"/>
      <c r="W1166" s="659"/>
      <c r="X1166" s="659"/>
      <c r="Y1166" s="659"/>
      <c r="Z1166" s="659"/>
      <c r="AA1166" s="659"/>
      <c r="AB1166" s="659"/>
      <c r="AC1166" s="659"/>
      <c r="AD1166" s="659"/>
      <c r="AE1166" s="659"/>
      <c r="AF1166" s="659"/>
      <c r="AG1166" s="659"/>
      <c r="AH1166" s="659"/>
      <c r="AI1166" s="659"/>
      <c r="AJ1166" s="659"/>
      <c r="AK1166" s="659"/>
      <c r="AL1166" s="659"/>
      <c r="AM1166" s="659"/>
      <c r="AN1166" s="659"/>
      <c r="AO1166" s="659"/>
      <c r="AP1166" s="659"/>
      <c r="AQ1166" s="746"/>
    </row>
    <row r="1167">
      <c r="A1167" s="703"/>
      <c r="B1167" s="1044"/>
      <c r="C1167" s="1005"/>
      <c r="D1167" s="645"/>
      <c r="E1167" s="645"/>
      <c r="F1167" s="951"/>
      <c r="G1167" s="951"/>
      <c r="H1167" s="951"/>
      <c r="I1167" s="951"/>
      <c r="J1167" s="951"/>
      <c r="K1167" s="951"/>
      <c r="L1167" s="951"/>
      <c r="M1167" s="951"/>
      <c r="N1167" s="659"/>
      <c r="O1167" s="951"/>
      <c r="P1167" s="951"/>
      <c r="Q1167" s="659"/>
      <c r="R1167" s="659"/>
      <c r="S1167" s="659"/>
      <c r="T1167" s="659"/>
      <c r="U1167" s="659"/>
      <c r="V1167" s="659"/>
      <c r="W1167" s="659"/>
      <c r="X1167" s="659"/>
      <c r="Y1167" s="659"/>
      <c r="Z1167" s="659"/>
      <c r="AA1167" s="659"/>
      <c r="AB1167" s="659"/>
      <c r="AC1167" s="659"/>
      <c r="AD1167" s="659"/>
      <c r="AE1167" s="659"/>
      <c r="AF1167" s="659"/>
      <c r="AG1167" s="659"/>
      <c r="AH1167" s="659"/>
      <c r="AI1167" s="659"/>
      <c r="AJ1167" s="659"/>
      <c r="AK1167" s="659"/>
      <c r="AL1167" s="659"/>
      <c r="AM1167" s="659"/>
      <c r="AN1167" s="659"/>
      <c r="AO1167" s="659"/>
      <c r="AP1167" s="659"/>
      <c r="AQ1167" s="746"/>
    </row>
    <row r="1168">
      <c r="A1168" s="703"/>
      <c r="B1168" s="1044"/>
      <c r="C1168" s="1005"/>
      <c r="D1168" s="645"/>
      <c r="E1168" s="645"/>
      <c r="F1168" s="951"/>
      <c r="G1168" s="951"/>
      <c r="H1168" s="951"/>
      <c r="I1168" s="951"/>
      <c r="J1168" s="951"/>
      <c r="K1168" s="951"/>
      <c r="L1168" s="951"/>
      <c r="M1168" s="951"/>
      <c r="N1168" s="659"/>
      <c r="O1168" s="951"/>
      <c r="P1168" s="951"/>
      <c r="Q1168" s="659"/>
      <c r="R1168" s="659"/>
      <c r="S1168" s="659"/>
      <c r="T1168" s="659"/>
      <c r="U1168" s="659"/>
      <c r="V1168" s="659"/>
      <c r="W1168" s="659"/>
      <c r="X1168" s="659"/>
      <c r="Y1168" s="659"/>
      <c r="Z1168" s="659"/>
      <c r="AA1168" s="659"/>
      <c r="AB1168" s="659"/>
      <c r="AC1168" s="659"/>
      <c r="AD1168" s="659"/>
      <c r="AE1168" s="659"/>
      <c r="AF1168" s="659"/>
      <c r="AG1168" s="659"/>
      <c r="AH1168" s="659"/>
      <c r="AI1168" s="659"/>
      <c r="AJ1168" s="659"/>
      <c r="AK1168" s="659"/>
      <c r="AL1168" s="659"/>
      <c r="AM1168" s="659"/>
      <c r="AN1168" s="659"/>
      <c r="AO1168" s="659"/>
      <c r="AP1168" s="659"/>
      <c r="AQ1168" s="746"/>
    </row>
    <row r="1169">
      <c r="A1169" s="703"/>
      <c r="B1169" s="1044"/>
      <c r="C1169" s="1005"/>
      <c r="D1169" s="645"/>
      <c r="E1169" s="645"/>
      <c r="F1169" s="951"/>
      <c r="G1169" s="951"/>
      <c r="H1169" s="951"/>
      <c r="I1169" s="951"/>
      <c r="J1169" s="951"/>
      <c r="K1169" s="951"/>
      <c r="L1169" s="951"/>
      <c r="M1169" s="951"/>
      <c r="N1169" s="659"/>
      <c r="O1169" s="951"/>
      <c r="P1169" s="951"/>
      <c r="Q1169" s="659"/>
      <c r="R1169" s="659"/>
      <c r="S1169" s="659"/>
      <c r="T1169" s="659"/>
      <c r="U1169" s="659"/>
      <c r="V1169" s="659"/>
      <c r="W1169" s="659"/>
      <c r="X1169" s="659"/>
      <c r="Y1169" s="659"/>
      <c r="Z1169" s="659"/>
      <c r="AA1169" s="659"/>
      <c r="AB1169" s="659"/>
      <c r="AC1169" s="659"/>
      <c r="AD1169" s="659"/>
      <c r="AE1169" s="659"/>
      <c r="AF1169" s="659"/>
      <c r="AG1169" s="659"/>
      <c r="AH1169" s="659"/>
      <c r="AI1169" s="659"/>
      <c r="AJ1169" s="659"/>
      <c r="AK1169" s="659"/>
      <c r="AL1169" s="659"/>
      <c r="AM1169" s="659"/>
      <c r="AN1169" s="659"/>
      <c r="AO1169" s="659"/>
      <c r="AP1169" s="659"/>
      <c r="AQ1169" s="746"/>
    </row>
    <row r="1170">
      <c r="A1170" s="703"/>
      <c r="B1170" s="1044"/>
      <c r="C1170" s="1005"/>
      <c r="D1170" s="645"/>
      <c r="E1170" s="645"/>
      <c r="F1170" s="951"/>
      <c r="G1170" s="951"/>
      <c r="H1170" s="951"/>
      <c r="I1170" s="951"/>
      <c r="J1170" s="951"/>
      <c r="K1170" s="951"/>
      <c r="L1170" s="951"/>
      <c r="M1170" s="951"/>
      <c r="N1170" s="659"/>
      <c r="O1170" s="951"/>
      <c r="P1170" s="951"/>
      <c r="Q1170" s="659"/>
      <c r="R1170" s="659"/>
      <c r="S1170" s="659"/>
      <c r="T1170" s="659"/>
      <c r="U1170" s="659"/>
      <c r="V1170" s="659"/>
      <c r="W1170" s="659"/>
      <c r="X1170" s="659"/>
      <c r="Y1170" s="659"/>
      <c r="Z1170" s="659"/>
      <c r="AA1170" s="659"/>
      <c r="AB1170" s="659"/>
      <c r="AC1170" s="659"/>
      <c r="AD1170" s="659"/>
      <c r="AE1170" s="659"/>
      <c r="AF1170" s="659"/>
      <c r="AG1170" s="659"/>
      <c r="AH1170" s="659"/>
      <c r="AI1170" s="659"/>
      <c r="AJ1170" s="659"/>
      <c r="AK1170" s="659"/>
      <c r="AL1170" s="659"/>
      <c r="AM1170" s="659"/>
      <c r="AN1170" s="659"/>
      <c r="AO1170" s="659"/>
      <c r="AP1170" s="659"/>
      <c r="AQ1170" s="746"/>
    </row>
    <row r="1171">
      <c r="A1171" s="703"/>
      <c r="B1171" s="1044"/>
      <c r="C1171" s="1005"/>
      <c r="D1171" s="645"/>
      <c r="E1171" s="645"/>
      <c r="F1171" s="951"/>
      <c r="G1171" s="951"/>
      <c r="H1171" s="951"/>
      <c r="I1171" s="951"/>
      <c r="J1171" s="951"/>
      <c r="K1171" s="951"/>
      <c r="L1171" s="951"/>
      <c r="M1171" s="951"/>
      <c r="N1171" s="659"/>
      <c r="O1171" s="951"/>
      <c r="P1171" s="951"/>
      <c r="Q1171" s="659"/>
      <c r="R1171" s="659"/>
      <c r="S1171" s="659"/>
      <c r="T1171" s="659"/>
      <c r="U1171" s="659"/>
      <c r="V1171" s="659"/>
      <c r="W1171" s="659"/>
      <c r="X1171" s="659"/>
      <c r="Y1171" s="659"/>
      <c r="Z1171" s="659"/>
      <c r="AA1171" s="659"/>
      <c r="AB1171" s="659"/>
      <c r="AC1171" s="659"/>
      <c r="AD1171" s="659"/>
      <c r="AE1171" s="659"/>
      <c r="AF1171" s="659"/>
      <c r="AG1171" s="659"/>
      <c r="AH1171" s="659"/>
      <c r="AI1171" s="659"/>
      <c r="AJ1171" s="659"/>
      <c r="AK1171" s="659"/>
      <c r="AL1171" s="659"/>
      <c r="AM1171" s="659"/>
      <c r="AN1171" s="659"/>
      <c r="AO1171" s="659"/>
      <c r="AP1171" s="659"/>
      <c r="AQ1171" s="746"/>
    </row>
    <row r="1172">
      <c r="A1172" s="703"/>
      <c r="B1172" s="1044"/>
      <c r="C1172" s="1005"/>
      <c r="D1172" s="645"/>
      <c r="E1172" s="645"/>
      <c r="F1172" s="951"/>
      <c r="G1172" s="951"/>
      <c r="H1172" s="951"/>
      <c r="I1172" s="951"/>
      <c r="J1172" s="951"/>
      <c r="K1172" s="951"/>
      <c r="L1172" s="951"/>
      <c r="M1172" s="951"/>
      <c r="N1172" s="659"/>
      <c r="O1172" s="951"/>
      <c r="P1172" s="951"/>
      <c r="Q1172" s="659"/>
      <c r="R1172" s="659"/>
      <c r="S1172" s="659"/>
      <c r="T1172" s="659"/>
      <c r="U1172" s="659"/>
      <c r="V1172" s="659"/>
      <c r="W1172" s="659"/>
      <c r="X1172" s="659"/>
      <c r="Y1172" s="659"/>
      <c r="Z1172" s="659"/>
      <c r="AA1172" s="659"/>
      <c r="AB1172" s="659"/>
      <c r="AC1172" s="659"/>
      <c r="AD1172" s="659"/>
      <c r="AE1172" s="659"/>
      <c r="AF1172" s="659"/>
      <c r="AG1172" s="659"/>
      <c r="AH1172" s="659"/>
      <c r="AI1172" s="659"/>
      <c r="AJ1172" s="659"/>
      <c r="AK1172" s="659"/>
      <c r="AL1172" s="659"/>
      <c r="AM1172" s="659"/>
      <c r="AN1172" s="659"/>
      <c r="AO1172" s="659"/>
      <c r="AP1172" s="659"/>
      <c r="AQ1172" s="746"/>
    </row>
    <row r="1173">
      <c r="A1173" s="703"/>
      <c r="B1173" s="1044"/>
      <c r="C1173" s="1005"/>
      <c r="D1173" s="645"/>
      <c r="E1173" s="645"/>
      <c r="F1173" s="951"/>
      <c r="G1173" s="951"/>
      <c r="H1173" s="951"/>
      <c r="I1173" s="951"/>
      <c r="J1173" s="951"/>
      <c r="K1173" s="951"/>
      <c r="L1173" s="951"/>
      <c r="M1173" s="951"/>
      <c r="N1173" s="659"/>
      <c r="O1173" s="951"/>
      <c r="P1173" s="951"/>
      <c r="Q1173" s="659"/>
      <c r="R1173" s="659"/>
      <c r="S1173" s="659"/>
      <c r="T1173" s="659"/>
      <c r="U1173" s="659"/>
      <c r="V1173" s="659"/>
      <c r="W1173" s="659"/>
      <c r="X1173" s="659"/>
      <c r="Y1173" s="659"/>
      <c r="Z1173" s="659"/>
      <c r="AA1173" s="659"/>
      <c r="AB1173" s="659"/>
      <c r="AC1173" s="659"/>
      <c r="AD1173" s="659"/>
      <c r="AE1173" s="659"/>
      <c r="AF1173" s="659"/>
      <c r="AG1173" s="659"/>
      <c r="AH1173" s="659"/>
      <c r="AI1173" s="659"/>
      <c r="AJ1173" s="659"/>
      <c r="AK1173" s="659"/>
      <c r="AL1173" s="659"/>
      <c r="AM1173" s="659"/>
      <c r="AN1173" s="659"/>
      <c r="AO1173" s="659"/>
      <c r="AP1173" s="659"/>
      <c r="AQ1173" s="746"/>
    </row>
    <row r="1174">
      <c r="A1174" s="703"/>
      <c r="B1174" s="1044"/>
      <c r="C1174" s="1005"/>
      <c r="D1174" s="645"/>
      <c r="E1174" s="645"/>
      <c r="F1174" s="951"/>
      <c r="G1174" s="951"/>
      <c r="H1174" s="951"/>
      <c r="I1174" s="951"/>
      <c r="J1174" s="951"/>
      <c r="K1174" s="951"/>
      <c r="L1174" s="951"/>
      <c r="M1174" s="951"/>
      <c r="N1174" s="659"/>
      <c r="O1174" s="951"/>
      <c r="P1174" s="951"/>
      <c r="Q1174" s="659"/>
      <c r="R1174" s="659"/>
      <c r="S1174" s="659"/>
      <c r="T1174" s="659"/>
      <c r="U1174" s="659"/>
      <c r="V1174" s="659"/>
      <c r="W1174" s="659"/>
      <c r="X1174" s="659"/>
      <c r="Y1174" s="659"/>
      <c r="Z1174" s="659"/>
      <c r="AA1174" s="659"/>
      <c r="AB1174" s="659"/>
      <c r="AC1174" s="659"/>
      <c r="AD1174" s="659"/>
      <c r="AE1174" s="659"/>
      <c r="AF1174" s="659"/>
      <c r="AG1174" s="659"/>
      <c r="AH1174" s="659"/>
      <c r="AI1174" s="659"/>
      <c r="AJ1174" s="659"/>
      <c r="AK1174" s="659"/>
      <c r="AL1174" s="659"/>
      <c r="AM1174" s="659"/>
      <c r="AN1174" s="659"/>
      <c r="AO1174" s="659"/>
      <c r="AP1174" s="659"/>
      <c r="AQ1174" s="746"/>
    </row>
    <row r="1175">
      <c r="A1175" s="703"/>
      <c r="B1175" s="1044"/>
      <c r="C1175" s="1005"/>
      <c r="D1175" s="645"/>
      <c r="E1175" s="645"/>
      <c r="F1175" s="951"/>
      <c r="G1175" s="951"/>
      <c r="H1175" s="951"/>
      <c r="I1175" s="951"/>
      <c r="J1175" s="951"/>
      <c r="K1175" s="951"/>
      <c r="L1175" s="951"/>
      <c r="M1175" s="951"/>
      <c r="N1175" s="659"/>
      <c r="O1175" s="951"/>
      <c r="P1175" s="951"/>
      <c r="Q1175" s="659"/>
      <c r="R1175" s="659"/>
      <c r="S1175" s="659"/>
      <c r="T1175" s="659"/>
      <c r="U1175" s="659"/>
      <c r="V1175" s="659"/>
      <c r="W1175" s="659"/>
      <c r="X1175" s="659"/>
      <c r="Y1175" s="659"/>
      <c r="Z1175" s="659"/>
      <c r="AA1175" s="659"/>
      <c r="AB1175" s="659"/>
      <c r="AC1175" s="659"/>
      <c r="AD1175" s="659"/>
      <c r="AE1175" s="659"/>
      <c r="AF1175" s="659"/>
      <c r="AG1175" s="659"/>
      <c r="AH1175" s="659"/>
      <c r="AI1175" s="659"/>
      <c r="AJ1175" s="659"/>
      <c r="AK1175" s="659"/>
      <c r="AL1175" s="659"/>
      <c r="AM1175" s="659"/>
      <c r="AN1175" s="659"/>
      <c r="AO1175" s="659"/>
      <c r="AP1175" s="659"/>
      <c r="AQ1175" s="746"/>
    </row>
    <row r="1176">
      <c r="A1176" s="703"/>
      <c r="B1176" s="1044"/>
      <c r="C1176" s="1005"/>
      <c r="D1176" s="645"/>
      <c r="E1176" s="645"/>
      <c r="F1176" s="951"/>
      <c r="G1176" s="951"/>
      <c r="H1176" s="951"/>
      <c r="I1176" s="951"/>
      <c r="J1176" s="951"/>
      <c r="K1176" s="951"/>
      <c r="L1176" s="951"/>
      <c r="M1176" s="951"/>
      <c r="N1176" s="659"/>
      <c r="O1176" s="951"/>
      <c r="P1176" s="951"/>
      <c r="Q1176" s="659"/>
      <c r="R1176" s="659"/>
      <c r="S1176" s="659"/>
      <c r="T1176" s="659"/>
      <c r="U1176" s="659"/>
      <c r="V1176" s="659"/>
      <c r="W1176" s="659"/>
      <c r="X1176" s="659"/>
      <c r="Y1176" s="659"/>
      <c r="Z1176" s="659"/>
      <c r="AA1176" s="659"/>
      <c r="AB1176" s="659"/>
      <c r="AC1176" s="659"/>
      <c r="AD1176" s="659"/>
      <c r="AE1176" s="659"/>
      <c r="AF1176" s="659"/>
      <c r="AG1176" s="659"/>
      <c r="AH1176" s="659"/>
      <c r="AI1176" s="659"/>
      <c r="AJ1176" s="659"/>
      <c r="AK1176" s="659"/>
      <c r="AL1176" s="659"/>
      <c r="AM1176" s="659"/>
      <c r="AN1176" s="659"/>
      <c r="AO1176" s="659"/>
      <c r="AP1176" s="659"/>
      <c r="AQ1176" s="746"/>
    </row>
    <row r="1177">
      <c r="A1177" s="703"/>
      <c r="B1177" s="1044"/>
      <c r="C1177" s="1005"/>
      <c r="D1177" s="645"/>
      <c r="E1177" s="645"/>
      <c r="F1177" s="951"/>
      <c r="G1177" s="951"/>
      <c r="H1177" s="951"/>
      <c r="I1177" s="951"/>
      <c r="J1177" s="951"/>
      <c r="K1177" s="951"/>
      <c r="L1177" s="951"/>
      <c r="M1177" s="951"/>
      <c r="N1177" s="659"/>
      <c r="O1177" s="951"/>
      <c r="P1177" s="951"/>
      <c r="Q1177" s="659"/>
      <c r="R1177" s="659"/>
      <c r="S1177" s="659"/>
      <c r="T1177" s="659"/>
      <c r="U1177" s="659"/>
      <c r="V1177" s="659"/>
      <c r="W1177" s="659"/>
      <c r="X1177" s="659"/>
      <c r="Y1177" s="659"/>
      <c r="Z1177" s="659"/>
      <c r="AA1177" s="659"/>
      <c r="AB1177" s="659"/>
      <c r="AC1177" s="659"/>
      <c r="AD1177" s="659"/>
      <c r="AE1177" s="659"/>
      <c r="AF1177" s="659"/>
      <c r="AG1177" s="659"/>
      <c r="AH1177" s="659"/>
      <c r="AI1177" s="659"/>
      <c r="AJ1177" s="659"/>
      <c r="AK1177" s="659"/>
      <c r="AL1177" s="659"/>
      <c r="AM1177" s="659"/>
      <c r="AN1177" s="659"/>
      <c r="AO1177" s="659"/>
      <c r="AP1177" s="659"/>
      <c r="AQ1177" s="746"/>
    </row>
    <row r="1178">
      <c r="A1178" s="703"/>
      <c r="B1178" s="1044"/>
      <c r="C1178" s="1005"/>
      <c r="D1178" s="645"/>
      <c r="E1178" s="645"/>
      <c r="F1178" s="951"/>
      <c r="G1178" s="951"/>
      <c r="H1178" s="951"/>
      <c r="I1178" s="951"/>
      <c r="J1178" s="951"/>
      <c r="K1178" s="951"/>
      <c r="L1178" s="951"/>
      <c r="M1178" s="951"/>
      <c r="N1178" s="659"/>
      <c r="O1178" s="951"/>
      <c r="P1178" s="951"/>
      <c r="Q1178" s="659"/>
      <c r="R1178" s="659"/>
      <c r="S1178" s="659"/>
      <c r="T1178" s="659"/>
      <c r="U1178" s="659"/>
      <c r="V1178" s="659"/>
      <c r="W1178" s="659"/>
      <c r="X1178" s="659"/>
      <c r="Y1178" s="659"/>
      <c r="Z1178" s="659"/>
      <c r="AA1178" s="659"/>
      <c r="AB1178" s="659"/>
      <c r="AC1178" s="659"/>
      <c r="AD1178" s="659"/>
      <c r="AE1178" s="659"/>
      <c r="AF1178" s="659"/>
      <c r="AG1178" s="659"/>
      <c r="AH1178" s="659"/>
      <c r="AI1178" s="659"/>
      <c r="AJ1178" s="659"/>
      <c r="AK1178" s="659"/>
      <c r="AL1178" s="659"/>
      <c r="AM1178" s="659"/>
      <c r="AN1178" s="659"/>
      <c r="AO1178" s="659"/>
      <c r="AP1178" s="659"/>
      <c r="AQ1178" s="746"/>
    </row>
    <row r="1179">
      <c r="A1179" s="703"/>
      <c r="B1179" s="1044"/>
      <c r="C1179" s="1005"/>
      <c r="D1179" s="645"/>
      <c r="E1179" s="645"/>
      <c r="F1179" s="951"/>
      <c r="G1179" s="951"/>
      <c r="H1179" s="951"/>
      <c r="I1179" s="951"/>
      <c r="J1179" s="951"/>
      <c r="K1179" s="951"/>
      <c r="L1179" s="951"/>
      <c r="M1179" s="951"/>
      <c r="N1179" s="659"/>
      <c r="O1179" s="951"/>
      <c r="P1179" s="951"/>
      <c r="Q1179" s="659"/>
      <c r="R1179" s="659"/>
      <c r="S1179" s="659"/>
      <c r="T1179" s="659"/>
      <c r="U1179" s="659"/>
      <c r="V1179" s="659"/>
      <c r="W1179" s="659"/>
      <c r="X1179" s="659"/>
      <c r="Y1179" s="659"/>
      <c r="Z1179" s="659"/>
      <c r="AA1179" s="659"/>
      <c r="AB1179" s="659"/>
      <c r="AC1179" s="659"/>
      <c r="AD1179" s="659"/>
      <c r="AE1179" s="659"/>
      <c r="AF1179" s="659"/>
      <c r="AG1179" s="659"/>
      <c r="AH1179" s="659"/>
      <c r="AI1179" s="659"/>
      <c r="AJ1179" s="659"/>
      <c r="AK1179" s="659"/>
      <c r="AL1179" s="659"/>
      <c r="AM1179" s="659"/>
      <c r="AN1179" s="659"/>
      <c r="AO1179" s="659"/>
      <c r="AP1179" s="659"/>
      <c r="AQ1179" s="746"/>
    </row>
    <row r="1180">
      <c r="A1180" s="703"/>
      <c r="B1180" s="1044"/>
      <c r="C1180" s="1005"/>
      <c r="D1180" s="645"/>
      <c r="E1180" s="645"/>
      <c r="F1180" s="951"/>
      <c r="G1180" s="951"/>
      <c r="H1180" s="951"/>
      <c r="I1180" s="951"/>
      <c r="J1180" s="951"/>
      <c r="K1180" s="951"/>
      <c r="L1180" s="951"/>
      <c r="M1180" s="951"/>
      <c r="N1180" s="659"/>
      <c r="O1180" s="951"/>
      <c r="P1180" s="951"/>
      <c r="Q1180" s="659"/>
      <c r="R1180" s="659"/>
      <c r="S1180" s="659"/>
      <c r="T1180" s="659"/>
      <c r="U1180" s="659"/>
      <c r="V1180" s="659"/>
      <c r="W1180" s="659"/>
      <c r="X1180" s="659"/>
      <c r="Y1180" s="659"/>
      <c r="Z1180" s="659"/>
      <c r="AA1180" s="659"/>
      <c r="AB1180" s="659"/>
      <c r="AC1180" s="659"/>
      <c r="AD1180" s="659"/>
      <c r="AE1180" s="659"/>
      <c r="AF1180" s="659"/>
      <c r="AG1180" s="659"/>
      <c r="AH1180" s="659"/>
      <c r="AI1180" s="659"/>
      <c r="AJ1180" s="659"/>
      <c r="AK1180" s="659"/>
      <c r="AL1180" s="659"/>
      <c r="AM1180" s="659"/>
      <c r="AN1180" s="659"/>
      <c r="AO1180" s="659"/>
      <c r="AP1180" s="659"/>
      <c r="AQ1180" s="746"/>
    </row>
    <row r="1181">
      <c r="A1181" s="703"/>
      <c r="B1181" s="1044"/>
      <c r="C1181" s="1005"/>
      <c r="D1181" s="645"/>
      <c r="E1181" s="645"/>
      <c r="F1181" s="951"/>
      <c r="G1181" s="951"/>
      <c r="H1181" s="951"/>
      <c r="I1181" s="951"/>
      <c r="J1181" s="951"/>
      <c r="K1181" s="951"/>
      <c r="L1181" s="951"/>
      <c r="M1181" s="951"/>
      <c r="N1181" s="659"/>
      <c r="O1181" s="951"/>
      <c r="P1181" s="951"/>
      <c r="Q1181" s="659"/>
      <c r="R1181" s="659"/>
      <c r="S1181" s="659"/>
      <c r="T1181" s="659"/>
      <c r="U1181" s="659"/>
      <c r="V1181" s="659"/>
      <c r="W1181" s="659"/>
      <c r="X1181" s="659"/>
      <c r="Y1181" s="659"/>
      <c r="Z1181" s="659"/>
      <c r="AA1181" s="659"/>
      <c r="AB1181" s="659"/>
      <c r="AC1181" s="659"/>
      <c r="AD1181" s="659"/>
      <c r="AE1181" s="659"/>
      <c r="AF1181" s="659"/>
      <c r="AG1181" s="659"/>
      <c r="AH1181" s="659"/>
      <c r="AI1181" s="659"/>
      <c r="AJ1181" s="659"/>
      <c r="AK1181" s="659"/>
      <c r="AL1181" s="659"/>
      <c r="AM1181" s="659"/>
      <c r="AN1181" s="659"/>
      <c r="AO1181" s="659"/>
      <c r="AP1181" s="659"/>
      <c r="AQ1181" s="746"/>
    </row>
    <row r="1182">
      <c r="A1182" s="703"/>
      <c r="B1182" s="1044"/>
      <c r="C1182" s="1005"/>
      <c r="D1182" s="645"/>
      <c r="E1182" s="645"/>
      <c r="F1182" s="951"/>
      <c r="G1182" s="951"/>
      <c r="H1182" s="951"/>
      <c r="I1182" s="951"/>
      <c r="J1182" s="951"/>
      <c r="K1182" s="951"/>
      <c r="L1182" s="951"/>
      <c r="M1182" s="951"/>
      <c r="N1182" s="659"/>
      <c r="O1182" s="951"/>
      <c r="P1182" s="951"/>
      <c r="Q1182" s="659"/>
      <c r="R1182" s="659"/>
      <c r="S1182" s="659"/>
      <c r="T1182" s="659"/>
      <c r="U1182" s="659"/>
      <c r="V1182" s="659"/>
      <c r="W1182" s="659"/>
      <c r="X1182" s="659"/>
      <c r="Y1182" s="659"/>
      <c r="Z1182" s="659"/>
      <c r="AA1182" s="659"/>
      <c r="AB1182" s="659"/>
      <c r="AC1182" s="659"/>
      <c r="AD1182" s="659"/>
      <c r="AE1182" s="659"/>
      <c r="AF1182" s="659"/>
      <c r="AG1182" s="659"/>
      <c r="AH1182" s="659"/>
      <c r="AI1182" s="659"/>
      <c r="AJ1182" s="659"/>
      <c r="AK1182" s="659"/>
      <c r="AL1182" s="659"/>
      <c r="AM1182" s="659"/>
      <c r="AN1182" s="659"/>
      <c r="AO1182" s="659"/>
      <c r="AP1182" s="659"/>
      <c r="AQ1182" s="746"/>
    </row>
    <row r="1183">
      <c r="A1183" s="703"/>
      <c r="B1183" s="1044"/>
      <c r="C1183" s="1005"/>
      <c r="D1183" s="645"/>
      <c r="E1183" s="645"/>
      <c r="F1183" s="951"/>
      <c r="G1183" s="951"/>
      <c r="H1183" s="951"/>
      <c r="I1183" s="951"/>
      <c r="J1183" s="951"/>
      <c r="K1183" s="951"/>
      <c r="L1183" s="951"/>
      <c r="M1183" s="951"/>
      <c r="N1183" s="659"/>
      <c r="O1183" s="951"/>
      <c r="P1183" s="951"/>
      <c r="Q1183" s="659"/>
      <c r="R1183" s="659"/>
      <c r="S1183" s="659"/>
      <c r="T1183" s="659"/>
      <c r="U1183" s="659"/>
      <c r="V1183" s="659"/>
      <c r="W1183" s="659"/>
      <c r="X1183" s="659"/>
      <c r="Y1183" s="659"/>
      <c r="Z1183" s="659"/>
      <c r="AA1183" s="659"/>
      <c r="AB1183" s="659"/>
      <c r="AC1183" s="659"/>
      <c r="AD1183" s="659"/>
      <c r="AE1183" s="659"/>
      <c r="AF1183" s="659"/>
      <c r="AG1183" s="659"/>
      <c r="AH1183" s="659"/>
      <c r="AI1183" s="659"/>
      <c r="AJ1183" s="659"/>
      <c r="AK1183" s="659"/>
      <c r="AL1183" s="659"/>
      <c r="AM1183" s="659"/>
      <c r="AN1183" s="659"/>
      <c r="AO1183" s="659"/>
      <c r="AP1183" s="659"/>
      <c r="AQ1183" s="746"/>
    </row>
    <row r="1184">
      <c r="A1184" s="703"/>
      <c r="B1184" s="1044"/>
      <c r="C1184" s="1005"/>
      <c r="D1184" s="645"/>
      <c r="E1184" s="645"/>
      <c r="F1184" s="951"/>
      <c r="G1184" s="951"/>
      <c r="H1184" s="951"/>
      <c r="I1184" s="951"/>
      <c r="J1184" s="951"/>
      <c r="K1184" s="951"/>
      <c r="L1184" s="951"/>
      <c r="M1184" s="951"/>
      <c r="N1184" s="659"/>
      <c r="O1184" s="951"/>
      <c r="P1184" s="951"/>
      <c r="Q1184" s="659"/>
      <c r="R1184" s="659"/>
      <c r="S1184" s="659"/>
      <c r="T1184" s="659"/>
      <c r="U1184" s="659"/>
      <c r="V1184" s="659"/>
      <c r="W1184" s="659"/>
      <c r="X1184" s="659"/>
      <c r="Y1184" s="659"/>
      <c r="Z1184" s="659"/>
      <c r="AA1184" s="659"/>
      <c r="AB1184" s="659"/>
      <c r="AC1184" s="659"/>
      <c r="AD1184" s="659"/>
      <c r="AE1184" s="659"/>
      <c r="AF1184" s="659"/>
      <c r="AG1184" s="659"/>
      <c r="AH1184" s="659"/>
      <c r="AI1184" s="659"/>
      <c r="AJ1184" s="659"/>
      <c r="AK1184" s="659"/>
      <c r="AL1184" s="659"/>
      <c r="AM1184" s="659"/>
      <c r="AN1184" s="659"/>
      <c r="AO1184" s="659"/>
      <c r="AP1184" s="659"/>
      <c r="AQ1184" s="746"/>
    </row>
    <row r="1185">
      <c r="A1185" s="703"/>
      <c r="B1185" s="1044"/>
      <c r="C1185" s="1005"/>
      <c r="D1185" s="645"/>
      <c r="E1185" s="645"/>
      <c r="F1185" s="951"/>
      <c r="G1185" s="951"/>
      <c r="H1185" s="951"/>
      <c r="I1185" s="951"/>
      <c r="J1185" s="951"/>
      <c r="K1185" s="951"/>
      <c r="L1185" s="951"/>
      <c r="M1185" s="951"/>
      <c r="N1185" s="659"/>
      <c r="O1185" s="951"/>
      <c r="P1185" s="951"/>
      <c r="Q1185" s="659"/>
      <c r="R1185" s="659"/>
      <c r="S1185" s="659"/>
      <c r="T1185" s="659"/>
      <c r="U1185" s="659"/>
      <c r="V1185" s="659"/>
      <c r="W1185" s="659"/>
      <c r="X1185" s="659"/>
      <c r="Y1185" s="659"/>
      <c r="Z1185" s="659"/>
      <c r="AA1185" s="659"/>
      <c r="AB1185" s="659"/>
      <c r="AC1185" s="659"/>
      <c r="AD1185" s="659"/>
      <c r="AE1185" s="659"/>
      <c r="AF1185" s="659"/>
      <c r="AG1185" s="659"/>
      <c r="AH1185" s="659"/>
      <c r="AI1185" s="659"/>
      <c r="AJ1185" s="659"/>
      <c r="AK1185" s="659"/>
      <c r="AL1185" s="659"/>
      <c r="AM1185" s="659"/>
      <c r="AN1185" s="659"/>
      <c r="AO1185" s="659"/>
      <c r="AP1185" s="659"/>
      <c r="AQ1185" s="746"/>
    </row>
    <row r="1186">
      <c r="A1186" s="703"/>
      <c r="B1186" s="1044"/>
      <c r="C1186" s="1005"/>
      <c r="D1186" s="645"/>
      <c r="E1186" s="645"/>
      <c r="F1186" s="951"/>
      <c r="G1186" s="951"/>
      <c r="H1186" s="951"/>
      <c r="I1186" s="951"/>
      <c r="J1186" s="951"/>
      <c r="K1186" s="951"/>
      <c r="L1186" s="951"/>
      <c r="M1186" s="951"/>
      <c r="N1186" s="659"/>
      <c r="O1186" s="951"/>
      <c r="P1186" s="951"/>
      <c r="Q1186" s="659"/>
      <c r="R1186" s="659"/>
      <c r="S1186" s="659"/>
      <c r="T1186" s="659"/>
      <c r="U1186" s="659"/>
      <c r="V1186" s="659"/>
      <c r="W1186" s="659"/>
      <c r="X1186" s="659"/>
      <c r="Y1186" s="659"/>
      <c r="Z1186" s="659"/>
      <c r="AA1186" s="659"/>
      <c r="AB1186" s="659"/>
      <c r="AC1186" s="659"/>
      <c r="AD1186" s="659"/>
      <c r="AE1186" s="659"/>
      <c r="AF1186" s="659"/>
      <c r="AG1186" s="659"/>
      <c r="AH1186" s="659"/>
      <c r="AI1186" s="659"/>
      <c r="AJ1186" s="659"/>
      <c r="AK1186" s="659"/>
      <c r="AL1186" s="659"/>
      <c r="AM1186" s="659"/>
      <c r="AN1186" s="659"/>
      <c r="AO1186" s="659"/>
      <c r="AP1186" s="659"/>
      <c r="AQ1186" s="746"/>
    </row>
    <row r="1187">
      <c r="A1187" s="703"/>
      <c r="B1187" s="1044"/>
      <c r="C1187" s="1005"/>
      <c r="D1187" s="645"/>
      <c r="E1187" s="645"/>
      <c r="F1187" s="951"/>
      <c r="G1187" s="951"/>
      <c r="H1187" s="951"/>
      <c r="I1187" s="951"/>
      <c r="J1187" s="951"/>
      <c r="K1187" s="951"/>
      <c r="L1187" s="951"/>
      <c r="M1187" s="951"/>
      <c r="N1187" s="659"/>
      <c r="O1187" s="951"/>
      <c r="P1187" s="951"/>
      <c r="Q1187" s="659"/>
      <c r="R1187" s="659"/>
      <c r="S1187" s="659"/>
      <c r="T1187" s="659"/>
      <c r="U1187" s="659"/>
      <c r="V1187" s="659"/>
      <c r="W1187" s="659"/>
      <c r="X1187" s="659"/>
      <c r="Y1187" s="659"/>
      <c r="Z1187" s="659"/>
      <c r="AA1187" s="659"/>
      <c r="AB1187" s="659"/>
      <c r="AC1187" s="659"/>
      <c r="AD1187" s="659"/>
      <c r="AE1187" s="659"/>
      <c r="AF1187" s="659"/>
      <c r="AG1187" s="659"/>
      <c r="AH1187" s="659"/>
      <c r="AI1187" s="659"/>
      <c r="AJ1187" s="659"/>
      <c r="AK1187" s="659"/>
      <c r="AL1187" s="659"/>
      <c r="AM1187" s="659"/>
      <c r="AN1187" s="659"/>
      <c r="AO1187" s="659"/>
      <c r="AP1187" s="659"/>
      <c r="AQ1187" s="746"/>
    </row>
    <row r="1188">
      <c r="A1188" s="703"/>
      <c r="B1188" s="1044"/>
      <c r="C1188" s="1005"/>
      <c r="D1188" s="645"/>
      <c r="E1188" s="645"/>
      <c r="F1188" s="951"/>
      <c r="G1188" s="951"/>
      <c r="H1188" s="951"/>
      <c r="I1188" s="951"/>
      <c r="J1188" s="951"/>
      <c r="K1188" s="951"/>
      <c r="L1188" s="951"/>
      <c r="M1188" s="951"/>
      <c r="N1188" s="659"/>
      <c r="O1188" s="951"/>
      <c r="P1188" s="951"/>
      <c r="Q1188" s="659"/>
      <c r="R1188" s="659"/>
      <c r="S1188" s="659"/>
      <c r="T1188" s="659"/>
      <c r="U1188" s="659"/>
      <c r="V1188" s="659"/>
      <c r="W1188" s="659"/>
      <c r="X1188" s="659"/>
      <c r="Y1188" s="659"/>
      <c r="Z1188" s="659"/>
      <c r="AA1188" s="659"/>
      <c r="AB1188" s="659"/>
      <c r="AC1188" s="659"/>
      <c r="AD1188" s="659"/>
      <c r="AE1188" s="659"/>
      <c r="AF1188" s="659"/>
      <c r="AG1188" s="659"/>
      <c r="AH1188" s="659"/>
      <c r="AI1188" s="659"/>
      <c r="AJ1188" s="659"/>
      <c r="AK1188" s="659"/>
      <c r="AL1188" s="659"/>
      <c r="AM1188" s="659"/>
      <c r="AN1188" s="659"/>
      <c r="AO1188" s="659"/>
      <c r="AP1188" s="659"/>
      <c r="AQ1188" s="746"/>
    </row>
    <row r="1189">
      <c r="A1189" s="703"/>
      <c r="B1189" s="1044"/>
      <c r="C1189" s="1005"/>
      <c r="D1189" s="645"/>
      <c r="E1189" s="645"/>
      <c r="F1189" s="951"/>
      <c r="G1189" s="951"/>
      <c r="H1189" s="951"/>
      <c r="I1189" s="951"/>
      <c r="J1189" s="951"/>
      <c r="K1189" s="951"/>
      <c r="L1189" s="951"/>
      <c r="M1189" s="951"/>
      <c r="N1189" s="659"/>
      <c r="O1189" s="951"/>
      <c r="P1189" s="951"/>
      <c r="Q1189" s="659"/>
      <c r="R1189" s="659"/>
      <c r="S1189" s="659"/>
      <c r="T1189" s="659"/>
      <c r="U1189" s="659"/>
      <c r="V1189" s="659"/>
      <c r="W1189" s="659"/>
      <c r="X1189" s="659"/>
      <c r="Y1189" s="659"/>
      <c r="Z1189" s="659"/>
      <c r="AA1189" s="659"/>
      <c r="AB1189" s="659"/>
      <c r="AC1189" s="659"/>
      <c r="AD1189" s="659"/>
      <c r="AE1189" s="659"/>
      <c r="AF1189" s="659"/>
      <c r="AG1189" s="659"/>
      <c r="AH1189" s="659"/>
      <c r="AI1189" s="659"/>
      <c r="AJ1189" s="659"/>
      <c r="AK1189" s="659"/>
      <c r="AL1189" s="659"/>
      <c r="AM1189" s="659"/>
      <c r="AN1189" s="659"/>
      <c r="AO1189" s="659"/>
      <c r="AP1189" s="659"/>
      <c r="AQ1189" s="746"/>
    </row>
    <row r="1190">
      <c r="A1190" s="703"/>
      <c r="B1190" s="1044"/>
      <c r="C1190" s="1005"/>
      <c r="D1190" s="645"/>
      <c r="E1190" s="645"/>
      <c r="F1190" s="951"/>
      <c r="G1190" s="951"/>
      <c r="H1190" s="951"/>
      <c r="I1190" s="951"/>
      <c r="J1190" s="951"/>
      <c r="K1190" s="951"/>
      <c r="L1190" s="951"/>
      <c r="M1190" s="951"/>
      <c r="N1190" s="659"/>
      <c r="O1190" s="951"/>
      <c r="P1190" s="951"/>
      <c r="Q1190" s="659"/>
      <c r="R1190" s="659"/>
      <c r="S1190" s="659"/>
      <c r="T1190" s="659"/>
      <c r="U1190" s="659"/>
      <c r="V1190" s="659"/>
      <c r="W1190" s="659"/>
      <c r="X1190" s="659"/>
      <c r="Y1190" s="659"/>
      <c r="Z1190" s="659"/>
      <c r="AA1190" s="659"/>
      <c r="AB1190" s="659"/>
      <c r="AC1190" s="659"/>
      <c r="AD1190" s="659"/>
      <c r="AE1190" s="659"/>
      <c r="AF1190" s="659"/>
      <c r="AG1190" s="659"/>
      <c r="AH1190" s="659"/>
      <c r="AI1190" s="659"/>
      <c r="AJ1190" s="659"/>
      <c r="AK1190" s="659"/>
      <c r="AL1190" s="659"/>
      <c r="AM1190" s="659"/>
      <c r="AN1190" s="659"/>
      <c r="AO1190" s="659"/>
      <c r="AP1190" s="659"/>
      <c r="AQ1190" s="746"/>
    </row>
    <row r="1191">
      <c r="A1191" s="703"/>
      <c r="B1191" s="1044"/>
      <c r="C1191" s="1005"/>
      <c r="D1191" s="645"/>
      <c r="E1191" s="645"/>
      <c r="F1191" s="951"/>
      <c r="G1191" s="951"/>
      <c r="H1191" s="951"/>
      <c r="I1191" s="951"/>
      <c r="J1191" s="951"/>
      <c r="K1191" s="951"/>
      <c r="L1191" s="951"/>
      <c r="M1191" s="951"/>
      <c r="N1191" s="659"/>
      <c r="O1191" s="951"/>
      <c r="P1191" s="951"/>
      <c r="Q1191" s="659"/>
      <c r="R1191" s="659"/>
      <c r="S1191" s="659"/>
      <c r="T1191" s="659"/>
      <c r="U1191" s="659"/>
      <c r="V1191" s="659"/>
      <c r="W1191" s="659"/>
      <c r="X1191" s="659"/>
      <c r="Y1191" s="659"/>
      <c r="Z1191" s="659"/>
      <c r="AA1191" s="659"/>
      <c r="AB1191" s="659"/>
      <c r="AC1191" s="659"/>
      <c r="AD1191" s="659"/>
      <c r="AE1191" s="659"/>
      <c r="AF1191" s="659"/>
      <c r="AG1191" s="659"/>
      <c r="AH1191" s="659"/>
      <c r="AI1191" s="659"/>
      <c r="AJ1191" s="659"/>
      <c r="AK1191" s="659"/>
      <c r="AL1191" s="659"/>
      <c r="AM1191" s="659"/>
      <c r="AN1191" s="659"/>
      <c r="AO1191" s="659"/>
      <c r="AP1191" s="659"/>
      <c r="AQ1191" s="746"/>
    </row>
    <row r="1192">
      <c r="A1192" s="703"/>
      <c r="B1192" s="1044"/>
      <c r="C1192" s="1005"/>
      <c r="D1192" s="645"/>
      <c r="E1192" s="645"/>
      <c r="F1192" s="951"/>
      <c r="G1192" s="951"/>
      <c r="H1192" s="951"/>
      <c r="I1192" s="951"/>
      <c r="J1192" s="951"/>
      <c r="K1192" s="951"/>
      <c r="L1192" s="951"/>
      <c r="M1192" s="951"/>
      <c r="N1192" s="659"/>
      <c r="O1192" s="951"/>
      <c r="P1192" s="951"/>
      <c r="Q1192" s="659"/>
      <c r="R1192" s="659"/>
      <c r="S1192" s="659"/>
      <c r="T1192" s="659"/>
      <c r="U1192" s="659"/>
      <c r="V1192" s="659"/>
      <c r="W1192" s="659"/>
      <c r="X1192" s="659"/>
      <c r="Y1192" s="659"/>
      <c r="Z1192" s="659"/>
      <c r="AA1192" s="659"/>
      <c r="AB1192" s="659"/>
      <c r="AC1192" s="659"/>
      <c r="AD1192" s="659"/>
      <c r="AE1192" s="659"/>
      <c r="AF1192" s="659"/>
      <c r="AG1192" s="659"/>
      <c r="AH1192" s="659"/>
      <c r="AI1192" s="659"/>
      <c r="AJ1192" s="659"/>
      <c r="AK1192" s="659"/>
      <c r="AL1192" s="659"/>
      <c r="AM1192" s="659"/>
      <c r="AN1192" s="659"/>
      <c r="AO1192" s="659"/>
      <c r="AP1192" s="659"/>
      <c r="AQ1192" s="746"/>
    </row>
    <row r="1193">
      <c r="A1193" s="703"/>
      <c r="B1193" s="1044"/>
      <c r="C1193" s="1005"/>
      <c r="D1193" s="645"/>
      <c r="E1193" s="645"/>
      <c r="F1193" s="951"/>
      <c r="G1193" s="951"/>
      <c r="H1193" s="951"/>
      <c r="I1193" s="951"/>
      <c r="J1193" s="951"/>
      <c r="K1193" s="951"/>
      <c r="L1193" s="951"/>
      <c r="M1193" s="951"/>
      <c r="N1193" s="659"/>
      <c r="O1193" s="951"/>
      <c r="P1193" s="951"/>
      <c r="Q1193" s="659"/>
      <c r="R1193" s="659"/>
      <c r="S1193" s="659"/>
      <c r="T1193" s="659"/>
      <c r="U1193" s="659"/>
      <c r="V1193" s="659"/>
      <c r="W1193" s="659"/>
      <c r="X1193" s="659"/>
      <c r="Y1193" s="659"/>
      <c r="Z1193" s="659"/>
      <c r="AA1193" s="659"/>
      <c r="AB1193" s="659"/>
      <c r="AC1193" s="659"/>
      <c r="AD1193" s="659"/>
      <c r="AE1193" s="659"/>
      <c r="AF1193" s="659"/>
      <c r="AG1193" s="659"/>
      <c r="AH1193" s="659"/>
      <c r="AI1193" s="659"/>
      <c r="AJ1193" s="659"/>
      <c r="AK1193" s="659"/>
      <c r="AL1193" s="659"/>
      <c r="AM1193" s="659"/>
      <c r="AN1193" s="659"/>
      <c r="AO1193" s="659"/>
      <c r="AP1193" s="659"/>
      <c r="AQ1193" s="746"/>
    </row>
    <row r="1194">
      <c r="A1194" s="703"/>
      <c r="B1194" s="1044"/>
      <c r="C1194" s="1005"/>
      <c r="D1194" s="645"/>
      <c r="E1194" s="645"/>
      <c r="F1194" s="951"/>
      <c r="G1194" s="951"/>
      <c r="H1194" s="951"/>
      <c r="I1194" s="951"/>
      <c r="J1194" s="951"/>
      <c r="K1194" s="951"/>
      <c r="L1194" s="951"/>
      <c r="M1194" s="951"/>
      <c r="N1194" s="659"/>
      <c r="O1194" s="951"/>
      <c r="P1194" s="951"/>
      <c r="Q1194" s="659"/>
      <c r="R1194" s="659"/>
      <c r="S1194" s="659"/>
      <c r="T1194" s="659"/>
      <c r="U1194" s="659"/>
      <c r="V1194" s="659"/>
      <c r="W1194" s="659"/>
      <c r="X1194" s="659"/>
      <c r="Y1194" s="659"/>
      <c r="Z1194" s="659"/>
      <c r="AA1194" s="659"/>
      <c r="AB1194" s="659"/>
      <c r="AC1194" s="659"/>
      <c r="AD1194" s="659"/>
      <c r="AE1194" s="659"/>
      <c r="AF1194" s="659"/>
      <c r="AG1194" s="659"/>
      <c r="AH1194" s="659"/>
      <c r="AI1194" s="659"/>
      <c r="AJ1194" s="659"/>
      <c r="AK1194" s="659"/>
      <c r="AL1194" s="659"/>
      <c r="AM1194" s="659"/>
      <c r="AN1194" s="659"/>
      <c r="AO1194" s="659"/>
      <c r="AP1194" s="659"/>
      <c r="AQ1194" s="746"/>
    </row>
    <row r="1195">
      <c r="A1195" s="703"/>
      <c r="B1195" s="1044"/>
      <c r="C1195" s="1005"/>
      <c r="D1195" s="645"/>
      <c r="E1195" s="645"/>
      <c r="F1195" s="951"/>
      <c r="G1195" s="951"/>
      <c r="H1195" s="951"/>
      <c r="I1195" s="951"/>
      <c r="J1195" s="951"/>
      <c r="K1195" s="951"/>
      <c r="L1195" s="951"/>
      <c r="M1195" s="951"/>
      <c r="N1195" s="659"/>
      <c r="O1195" s="951"/>
      <c r="P1195" s="951"/>
      <c r="Q1195" s="659"/>
      <c r="R1195" s="659"/>
      <c r="S1195" s="659"/>
      <c r="T1195" s="659"/>
      <c r="U1195" s="659"/>
      <c r="V1195" s="659"/>
      <c r="W1195" s="659"/>
      <c r="X1195" s="659"/>
      <c r="Y1195" s="659"/>
      <c r="Z1195" s="659"/>
      <c r="AA1195" s="659"/>
      <c r="AB1195" s="659"/>
      <c r="AC1195" s="659"/>
      <c r="AD1195" s="659"/>
      <c r="AE1195" s="659"/>
      <c r="AF1195" s="659"/>
      <c r="AG1195" s="659"/>
      <c r="AH1195" s="659"/>
      <c r="AI1195" s="659"/>
      <c r="AJ1195" s="659"/>
      <c r="AK1195" s="659"/>
      <c r="AL1195" s="659"/>
      <c r="AM1195" s="659"/>
      <c r="AN1195" s="659"/>
      <c r="AO1195" s="659"/>
      <c r="AP1195" s="659"/>
      <c r="AQ1195" s="746"/>
    </row>
    <row r="1196">
      <c r="A1196" s="703"/>
      <c r="B1196" s="1044"/>
      <c r="C1196" s="1005"/>
      <c r="D1196" s="645"/>
      <c r="E1196" s="645"/>
      <c r="F1196" s="951"/>
      <c r="G1196" s="951"/>
      <c r="H1196" s="951"/>
      <c r="I1196" s="951"/>
      <c r="J1196" s="951"/>
      <c r="K1196" s="951"/>
      <c r="L1196" s="951"/>
      <c r="M1196" s="951"/>
      <c r="N1196" s="659"/>
      <c r="O1196" s="951"/>
      <c r="P1196" s="951"/>
      <c r="Q1196" s="659"/>
      <c r="R1196" s="659"/>
      <c r="S1196" s="659"/>
      <c r="T1196" s="659"/>
      <c r="U1196" s="659"/>
      <c r="V1196" s="659"/>
      <c r="W1196" s="659"/>
      <c r="X1196" s="659"/>
      <c r="Y1196" s="659"/>
      <c r="Z1196" s="659"/>
      <c r="AA1196" s="659"/>
      <c r="AB1196" s="659"/>
      <c r="AC1196" s="659"/>
      <c r="AD1196" s="659"/>
      <c r="AE1196" s="659"/>
      <c r="AF1196" s="659"/>
      <c r="AG1196" s="659"/>
      <c r="AH1196" s="659"/>
      <c r="AI1196" s="659"/>
      <c r="AJ1196" s="659"/>
      <c r="AK1196" s="659"/>
      <c r="AL1196" s="659"/>
      <c r="AM1196" s="659"/>
      <c r="AN1196" s="659"/>
      <c r="AO1196" s="659"/>
      <c r="AP1196" s="659"/>
      <c r="AQ1196" s="746"/>
    </row>
    <row r="1197">
      <c r="A1197" s="703"/>
      <c r="B1197" s="1044"/>
      <c r="C1197" s="1005"/>
      <c r="D1197" s="645"/>
      <c r="E1197" s="645"/>
      <c r="F1197" s="951"/>
      <c r="G1197" s="951"/>
      <c r="H1197" s="951"/>
      <c r="I1197" s="951"/>
      <c r="J1197" s="951"/>
      <c r="K1197" s="951"/>
      <c r="L1197" s="951"/>
      <c r="M1197" s="951"/>
      <c r="N1197" s="659"/>
      <c r="O1197" s="951"/>
      <c r="P1197" s="951"/>
      <c r="Q1197" s="659"/>
      <c r="R1197" s="659"/>
      <c r="S1197" s="659"/>
      <c r="T1197" s="659"/>
      <c r="U1197" s="659"/>
      <c r="V1197" s="659"/>
      <c r="W1197" s="659"/>
      <c r="X1197" s="659"/>
      <c r="Y1197" s="659"/>
      <c r="Z1197" s="659"/>
      <c r="AA1197" s="659"/>
      <c r="AB1197" s="659"/>
      <c r="AC1197" s="659"/>
      <c r="AD1197" s="659"/>
      <c r="AE1197" s="659"/>
      <c r="AF1197" s="659"/>
      <c r="AG1197" s="659"/>
      <c r="AH1197" s="659"/>
      <c r="AI1197" s="659"/>
      <c r="AJ1197" s="659"/>
      <c r="AK1197" s="659"/>
      <c r="AL1197" s="659"/>
      <c r="AM1197" s="659"/>
      <c r="AN1197" s="659"/>
      <c r="AO1197" s="659"/>
      <c r="AP1197" s="659"/>
      <c r="AQ1197" s="746"/>
    </row>
    <row r="1198">
      <c r="A1198" s="703"/>
      <c r="B1198" s="1044"/>
      <c r="C1198" s="1005"/>
      <c r="D1198" s="645"/>
      <c r="E1198" s="645"/>
      <c r="F1198" s="951"/>
      <c r="G1198" s="951"/>
      <c r="H1198" s="951"/>
      <c r="I1198" s="951"/>
      <c r="J1198" s="951"/>
      <c r="K1198" s="951"/>
      <c r="L1198" s="951"/>
      <c r="M1198" s="951"/>
      <c r="N1198" s="659"/>
      <c r="O1198" s="951"/>
      <c r="P1198" s="951"/>
      <c r="Q1198" s="659"/>
      <c r="R1198" s="659"/>
      <c r="S1198" s="659"/>
      <c r="T1198" s="659"/>
      <c r="U1198" s="659"/>
      <c r="V1198" s="659"/>
      <c r="W1198" s="659"/>
      <c r="X1198" s="659"/>
      <c r="Y1198" s="659"/>
      <c r="Z1198" s="659"/>
      <c r="AA1198" s="659"/>
      <c r="AB1198" s="659"/>
      <c r="AC1198" s="659"/>
      <c r="AD1198" s="659"/>
      <c r="AE1198" s="659"/>
      <c r="AF1198" s="659"/>
      <c r="AG1198" s="659"/>
      <c r="AH1198" s="659"/>
      <c r="AI1198" s="659"/>
      <c r="AJ1198" s="659"/>
      <c r="AK1198" s="659"/>
      <c r="AL1198" s="659"/>
      <c r="AM1198" s="659"/>
      <c r="AN1198" s="659"/>
      <c r="AO1198" s="659"/>
      <c r="AP1198" s="659"/>
      <c r="AQ1198" s="746"/>
    </row>
    <row r="1199">
      <c r="A1199" s="703"/>
      <c r="B1199" s="1044"/>
      <c r="C1199" s="1005"/>
      <c r="D1199" s="645"/>
      <c r="E1199" s="645"/>
      <c r="F1199" s="951"/>
      <c r="G1199" s="951"/>
      <c r="H1199" s="951"/>
      <c r="I1199" s="951"/>
      <c r="J1199" s="951"/>
      <c r="K1199" s="951"/>
      <c r="L1199" s="951"/>
      <c r="M1199" s="951"/>
      <c r="N1199" s="659"/>
      <c r="O1199" s="951"/>
      <c r="P1199" s="951"/>
      <c r="Q1199" s="659"/>
      <c r="R1199" s="659"/>
      <c r="S1199" s="659"/>
      <c r="T1199" s="659"/>
      <c r="U1199" s="659"/>
      <c r="V1199" s="659"/>
      <c r="W1199" s="659"/>
      <c r="X1199" s="659"/>
      <c r="Y1199" s="659"/>
      <c r="Z1199" s="659"/>
      <c r="AA1199" s="659"/>
      <c r="AB1199" s="659"/>
      <c r="AC1199" s="659"/>
      <c r="AD1199" s="659"/>
      <c r="AE1199" s="659"/>
      <c r="AF1199" s="659"/>
      <c r="AG1199" s="659"/>
      <c r="AH1199" s="659"/>
      <c r="AI1199" s="659"/>
      <c r="AJ1199" s="659"/>
      <c r="AK1199" s="659"/>
      <c r="AL1199" s="659"/>
      <c r="AM1199" s="659"/>
      <c r="AN1199" s="659"/>
      <c r="AO1199" s="659"/>
      <c r="AP1199" s="659"/>
      <c r="AQ1199" s="746"/>
    </row>
    <row r="1200">
      <c r="A1200" s="703"/>
      <c r="B1200" s="1044"/>
      <c r="C1200" s="1005"/>
      <c r="D1200" s="645"/>
      <c r="E1200" s="645"/>
      <c r="F1200" s="951"/>
      <c r="G1200" s="951"/>
      <c r="H1200" s="951"/>
      <c r="I1200" s="951"/>
      <c r="J1200" s="951"/>
      <c r="K1200" s="951"/>
      <c r="L1200" s="951"/>
      <c r="M1200" s="951"/>
      <c r="N1200" s="659"/>
      <c r="O1200" s="951"/>
      <c r="P1200" s="951"/>
      <c r="Q1200" s="659"/>
      <c r="R1200" s="659"/>
      <c r="S1200" s="659"/>
      <c r="T1200" s="659"/>
      <c r="U1200" s="659"/>
      <c r="V1200" s="659"/>
      <c r="W1200" s="659"/>
      <c r="X1200" s="659"/>
      <c r="Y1200" s="659"/>
      <c r="Z1200" s="659"/>
      <c r="AA1200" s="659"/>
      <c r="AB1200" s="659"/>
      <c r="AC1200" s="659"/>
      <c r="AD1200" s="659"/>
      <c r="AE1200" s="659"/>
      <c r="AF1200" s="659"/>
      <c r="AG1200" s="659"/>
      <c r="AH1200" s="659"/>
      <c r="AI1200" s="659"/>
      <c r="AJ1200" s="659"/>
      <c r="AK1200" s="659"/>
      <c r="AL1200" s="659"/>
      <c r="AM1200" s="659"/>
      <c r="AN1200" s="659"/>
      <c r="AO1200" s="659"/>
      <c r="AP1200" s="659"/>
      <c r="AQ1200" s="746"/>
    </row>
    <row r="1201">
      <c r="A1201" s="703"/>
      <c r="B1201" s="1044"/>
      <c r="C1201" s="1005"/>
      <c r="D1201" s="645"/>
      <c r="E1201" s="645"/>
      <c r="F1201" s="951"/>
      <c r="G1201" s="951"/>
      <c r="H1201" s="951"/>
      <c r="I1201" s="951"/>
      <c r="J1201" s="951"/>
      <c r="K1201" s="951"/>
      <c r="L1201" s="951"/>
      <c r="M1201" s="951"/>
      <c r="N1201" s="659"/>
      <c r="O1201" s="951"/>
      <c r="P1201" s="951"/>
      <c r="Q1201" s="659"/>
      <c r="R1201" s="659"/>
      <c r="S1201" s="659"/>
      <c r="T1201" s="659"/>
      <c r="U1201" s="659"/>
      <c r="V1201" s="659"/>
      <c r="W1201" s="659"/>
      <c r="X1201" s="659"/>
      <c r="Y1201" s="659"/>
      <c r="Z1201" s="659"/>
      <c r="AA1201" s="659"/>
      <c r="AB1201" s="659"/>
      <c r="AC1201" s="659"/>
      <c r="AD1201" s="659"/>
      <c r="AE1201" s="659"/>
      <c r="AF1201" s="659"/>
      <c r="AG1201" s="659"/>
      <c r="AH1201" s="659"/>
      <c r="AI1201" s="659"/>
      <c r="AJ1201" s="659"/>
      <c r="AK1201" s="659"/>
      <c r="AL1201" s="659"/>
      <c r="AM1201" s="659"/>
      <c r="AN1201" s="659"/>
      <c r="AO1201" s="659"/>
      <c r="AP1201" s="659"/>
      <c r="AQ1201" s="746"/>
    </row>
    <row r="1202">
      <c r="A1202" s="703"/>
      <c r="B1202" s="1044"/>
      <c r="C1202" s="1005"/>
      <c r="D1202" s="645"/>
      <c r="E1202" s="645"/>
      <c r="F1202" s="951"/>
      <c r="G1202" s="951"/>
      <c r="H1202" s="951"/>
      <c r="I1202" s="951"/>
      <c r="J1202" s="951"/>
      <c r="K1202" s="951"/>
      <c r="L1202" s="951"/>
      <c r="M1202" s="951"/>
      <c r="N1202" s="659"/>
      <c r="O1202" s="951"/>
      <c r="P1202" s="951"/>
      <c r="Q1202" s="659"/>
      <c r="R1202" s="659"/>
      <c r="S1202" s="659"/>
      <c r="T1202" s="659"/>
      <c r="U1202" s="659"/>
      <c r="V1202" s="659"/>
      <c r="W1202" s="659"/>
      <c r="X1202" s="659"/>
      <c r="Y1202" s="659"/>
      <c r="Z1202" s="659"/>
      <c r="AA1202" s="659"/>
      <c r="AB1202" s="659"/>
      <c r="AC1202" s="659"/>
      <c r="AD1202" s="659"/>
      <c r="AE1202" s="659"/>
      <c r="AF1202" s="659"/>
      <c r="AG1202" s="659"/>
      <c r="AH1202" s="659"/>
      <c r="AI1202" s="659"/>
      <c r="AJ1202" s="659"/>
      <c r="AK1202" s="659"/>
      <c r="AL1202" s="659"/>
      <c r="AM1202" s="659"/>
      <c r="AN1202" s="659"/>
      <c r="AO1202" s="659"/>
      <c r="AP1202" s="659"/>
      <c r="AQ1202" s="746"/>
    </row>
    <row r="1203">
      <c r="A1203" s="703"/>
      <c r="B1203" s="1044"/>
      <c r="C1203" s="1005"/>
      <c r="D1203" s="645"/>
      <c r="E1203" s="645"/>
      <c r="F1203" s="951"/>
      <c r="G1203" s="951"/>
      <c r="H1203" s="951"/>
      <c r="I1203" s="951"/>
      <c r="J1203" s="951"/>
      <c r="K1203" s="951"/>
      <c r="L1203" s="951"/>
      <c r="M1203" s="951"/>
      <c r="N1203" s="659"/>
      <c r="O1203" s="951"/>
      <c r="P1203" s="951"/>
      <c r="Q1203" s="659"/>
      <c r="R1203" s="659"/>
      <c r="S1203" s="659"/>
      <c r="T1203" s="659"/>
      <c r="U1203" s="659"/>
      <c r="V1203" s="659"/>
      <c r="W1203" s="659"/>
      <c r="X1203" s="659"/>
      <c r="Y1203" s="659"/>
      <c r="Z1203" s="659"/>
      <c r="AA1203" s="659"/>
      <c r="AB1203" s="659"/>
      <c r="AC1203" s="659"/>
      <c r="AD1203" s="659"/>
      <c r="AE1203" s="659"/>
      <c r="AF1203" s="659"/>
      <c r="AG1203" s="659"/>
      <c r="AH1203" s="659"/>
      <c r="AI1203" s="659"/>
      <c r="AJ1203" s="659"/>
      <c r="AK1203" s="659"/>
      <c r="AL1203" s="659"/>
      <c r="AM1203" s="659"/>
      <c r="AN1203" s="659"/>
      <c r="AO1203" s="659"/>
      <c r="AP1203" s="659"/>
      <c r="AQ1203" s="746"/>
    </row>
    <row r="1204">
      <c r="A1204" s="703"/>
      <c r="B1204" s="1044"/>
      <c r="C1204" s="1005"/>
      <c r="D1204" s="645"/>
      <c r="E1204" s="645"/>
      <c r="F1204" s="951"/>
      <c r="G1204" s="951"/>
      <c r="H1204" s="951"/>
      <c r="I1204" s="951"/>
      <c r="J1204" s="951"/>
      <c r="K1204" s="951"/>
      <c r="L1204" s="951"/>
      <c r="M1204" s="951"/>
      <c r="N1204" s="659"/>
      <c r="O1204" s="951"/>
      <c r="P1204" s="951"/>
      <c r="Q1204" s="659"/>
      <c r="R1204" s="659"/>
      <c r="S1204" s="659"/>
      <c r="T1204" s="659"/>
      <c r="U1204" s="659"/>
      <c r="V1204" s="659"/>
      <c r="W1204" s="659"/>
      <c r="X1204" s="659"/>
      <c r="Y1204" s="659"/>
      <c r="Z1204" s="659"/>
      <c r="AA1204" s="659"/>
      <c r="AB1204" s="659"/>
      <c r="AC1204" s="659"/>
      <c r="AD1204" s="659"/>
      <c r="AE1204" s="659"/>
      <c r="AF1204" s="659"/>
      <c r="AG1204" s="659"/>
      <c r="AH1204" s="659"/>
      <c r="AI1204" s="659"/>
      <c r="AJ1204" s="659"/>
      <c r="AK1204" s="659"/>
      <c r="AL1204" s="659"/>
      <c r="AM1204" s="659"/>
      <c r="AN1204" s="659"/>
      <c r="AO1204" s="659"/>
      <c r="AP1204" s="659"/>
      <c r="AQ1204" s="746"/>
    </row>
    <row r="1205">
      <c r="A1205" s="703"/>
      <c r="B1205" s="1044"/>
      <c r="C1205" s="1005"/>
      <c r="D1205" s="645"/>
      <c r="E1205" s="645"/>
      <c r="F1205" s="951"/>
      <c r="G1205" s="951"/>
      <c r="H1205" s="951"/>
      <c r="I1205" s="951"/>
      <c r="J1205" s="951"/>
      <c r="K1205" s="951"/>
      <c r="L1205" s="951"/>
      <c r="M1205" s="951"/>
      <c r="N1205" s="659"/>
      <c r="O1205" s="951"/>
      <c r="P1205" s="951"/>
      <c r="Q1205" s="659"/>
      <c r="R1205" s="659"/>
      <c r="S1205" s="659"/>
      <c r="T1205" s="659"/>
      <c r="U1205" s="659"/>
      <c r="V1205" s="659"/>
      <c r="W1205" s="659"/>
      <c r="X1205" s="659"/>
      <c r="Y1205" s="659"/>
      <c r="Z1205" s="659"/>
      <c r="AA1205" s="659"/>
      <c r="AB1205" s="659"/>
      <c r="AC1205" s="659"/>
      <c r="AD1205" s="659"/>
      <c r="AE1205" s="659"/>
      <c r="AF1205" s="659"/>
      <c r="AG1205" s="659"/>
      <c r="AH1205" s="659"/>
      <c r="AI1205" s="659"/>
      <c r="AJ1205" s="659"/>
      <c r="AK1205" s="659"/>
      <c r="AL1205" s="659"/>
      <c r="AM1205" s="659"/>
      <c r="AN1205" s="659"/>
      <c r="AO1205" s="659"/>
      <c r="AP1205" s="659"/>
      <c r="AQ1205" s="746"/>
    </row>
    <row r="1206">
      <c r="A1206" s="703"/>
      <c r="B1206" s="1044"/>
      <c r="C1206" s="1005"/>
      <c r="D1206" s="645"/>
      <c r="E1206" s="645"/>
      <c r="F1206" s="951"/>
      <c r="G1206" s="951"/>
      <c r="H1206" s="951"/>
      <c r="I1206" s="951"/>
      <c r="J1206" s="951"/>
      <c r="K1206" s="951"/>
      <c r="L1206" s="951"/>
      <c r="M1206" s="951"/>
      <c r="N1206" s="659"/>
      <c r="O1206" s="951"/>
      <c r="P1206" s="951"/>
      <c r="Q1206" s="659"/>
      <c r="R1206" s="659"/>
      <c r="S1206" s="659"/>
      <c r="T1206" s="659"/>
      <c r="U1206" s="659"/>
      <c r="V1206" s="659"/>
      <c r="W1206" s="659"/>
      <c r="X1206" s="659"/>
      <c r="Y1206" s="659"/>
      <c r="Z1206" s="659"/>
      <c r="AA1206" s="659"/>
      <c r="AB1206" s="659"/>
      <c r="AC1206" s="659"/>
      <c r="AD1206" s="659"/>
      <c r="AE1206" s="659"/>
      <c r="AF1206" s="659"/>
      <c r="AG1206" s="659"/>
      <c r="AH1206" s="659"/>
      <c r="AI1206" s="659"/>
      <c r="AJ1206" s="659"/>
      <c r="AK1206" s="659"/>
      <c r="AL1206" s="659"/>
      <c r="AM1206" s="659"/>
      <c r="AN1206" s="659"/>
      <c r="AO1206" s="659"/>
      <c r="AP1206" s="659"/>
      <c r="AQ1206" s="746"/>
    </row>
    <row r="1207">
      <c r="A1207" s="703"/>
      <c r="B1207" s="1044"/>
      <c r="C1207" s="1005"/>
      <c r="D1207" s="645"/>
      <c r="E1207" s="645"/>
      <c r="F1207" s="951"/>
      <c r="G1207" s="951"/>
      <c r="H1207" s="951"/>
      <c r="I1207" s="951"/>
      <c r="J1207" s="951"/>
      <c r="K1207" s="951"/>
      <c r="L1207" s="951"/>
      <c r="M1207" s="951"/>
      <c r="N1207" s="659"/>
      <c r="O1207" s="951"/>
      <c r="P1207" s="951"/>
      <c r="Q1207" s="659"/>
      <c r="R1207" s="659"/>
      <c r="S1207" s="659"/>
      <c r="T1207" s="659"/>
      <c r="U1207" s="659"/>
      <c r="V1207" s="659"/>
      <c r="W1207" s="659"/>
      <c r="X1207" s="659"/>
      <c r="Y1207" s="659"/>
      <c r="Z1207" s="659"/>
      <c r="AA1207" s="659"/>
      <c r="AB1207" s="659"/>
      <c r="AC1207" s="659"/>
      <c r="AD1207" s="659"/>
      <c r="AE1207" s="659"/>
      <c r="AF1207" s="659"/>
      <c r="AG1207" s="659"/>
      <c r="AH1207" s="659"/>
      <c r="AI1207" s="659"/>
      <c r="AJ1207" s="659"/>
      <c r="AK1207" s="659"/>
      <c r="AL1207" s="659"/>
      <c r="AM1207" s="659"/>
      <c r="AN1207" s="659"/>
      <c r="AO1207" s="659"/>
      <c r="AP1207" s="659"/>
      <c r="AQ1207" s="746"/>
    </row>
    <row r="1208">
      <c r="A1208" s="703"/>
      <c r="B1208" s="1044"/>
      <c r="C1208" s="1005"/>
      <c r="D1208" s="645"/>
      <c r="E1208" s="645"/>
      <c r="F1208" s="951"/>
      <c r="G1208" s="951"/>
      <c r="H1208" s="951"/>
      <c r="I1208" s="951"/>
      <c r="J1208" s="951"/>
      <c r="K1208" s="951"/>
      <c r="L1208" s="951"/>
      <c r="M1208" s="951"/>
      <c r="N1208" s="659"/>
      <c r="O1208" s="951"/>
      <c r="P1208" s="951"/>
      <c r="Q1208" s="659"/>
      <c r="R1208" s="659"/>
      <c r="S1208" s="659"/>
      <c r="T1208" s="659"/>
      <c r="U1208" s="659"/>
      <c r="V1208" s="659"/>
      <c r="W1208" s="659"/>
      <c r="X1208" s="659"/>
      <c r="Y1208" s="659"/>
      <c r="Z1208" s="659"/>
      <c r="AA1208" s="659"/>
      <c r="AB1208" s="659"/>
      <c r="AC1208" s="659"/>
      <c r="AD1208" s="659"/>
      <c r="AE1208" s="659"/>
      <c r="AF1208" s="659"/>
      <c r="AG1208" s="659"/>
      <c r="AH1208" s="659"/>
      <c r="AI1208" s="659"/>
      <c r="AJ1208" s="659"/>
      <c r="AK1208" s="659"/>
      <c r="AL1208" s="659"/>
      <c r="AM1208" s="659"/>
      <c r="AN1208" s="659"/>
      <c r="AO1208" s="659"/>
      <c r="AP1208" s="659"/>
      <c r="AQ1208" s="746"/>
    </row>
    <row r="1209">
      <c r="A1209" s="703"/>
      <c r="B1209" s="1044"/>
      <c r="C1209" s="1005"/>
      <c r="D1209" s="645"/>
      <c r="E1209" s="645"/>
      <c r="F1209" s="951"/>
      <c r="G1209" s="951"/>
      <c r="H1209" s="951"/>
      <c r="I1209" s="951"/>
      <c r="J1209" s="951"/>
      <c r="K1209" s="951"/>
      <c r="L1209" s="951"/>
      <c r="M1209" s="951"/>
      <c r="N1209" s="659"/>
      <c r="O1209" s="951"/>
      <c r="P1209" s="951"/>
      <c r="Q1209" s="659"/>
      <c r="R1209" s="659"/>
      <c r="S1209" s="659"/>
      <c r="T1209" s="659"/>
      <c r="U1209" s="659"/>
      <c r="V1209" s="659"/>
      <c r="W1209" s="659"/>
      <c r="X1209" s="659"/>
      <c r="Y1209" s="659"/>
      <c r="Z1209" s="659"/>
      <c r="AA1209" s="659"/>
      <c r="AB1209" s="659"/>
      <c r="AC1209" s="659"/>
      <c r="AD1209" s="659"/>
      <c r="AE1209" s="659"/>
      <c r="AF1209" s="659"/>
      <c r="AG1209" s="659"/>
      <c r="AH1209" s="659"/>
      <c r="AI1209" s="659"/>
      <c r="AJ1209" s="659"/>
      <c r="AK1209" s="659"/>
      <c r="AL1209" s="659"/>
      <c r="AM1209" s="659"/>
      <c r="AN1209" s="659"/>
      <c r="AO1209" s="659"/>
      <c r="AP1209" s="659"/>
      <c r="AQ1209" s="746"/>
    </row>
    <row r="1210">
      <c r="A1210" s="703"/>
      <c r="B1210" s="1044"/>
      <c r="C1210" s="1005"/>
      <c r="D1210" s="645"/>
      <c r="E1210" s="645"/>
      <c r="F1210" s="951"/>
      <c r="G1210" s="951"/>
      <c r="H1210" s="951"/>
      <c r="I1210" s="951"/>
      <c r="J1210" s="951"/>
      <c r="K1210" s="951"/>
      <c r="L1210" s="951"/>
      <c r="M1210" s="951"/>
      <c r="N1210" s="659"/>
      <c r="O1210" s="951"/>
      <c r="P1210" s="951"/>
      <c r="Q1210" s="659"/>
      <c r="R1210" s="659"/>
      <c r="S1210" s="659"/>
      <c r="T1210" s="659"/>
      <c r="U1210" s="659"/>
      <c r="V1210" s="659"/>
      <c r="W1210" s="659"/>
      <c r="X1210" s="659"/>
      <c r="Y1210" s="659"/>
      <c r="Z1210" s="659"/>
      <c r="AA1210" s="659"/>
      <c r="AB1210" s="659"/>
      <c r="AC1210" s="659"/>
      <c r="AD1210" s="659"/>
      <c r="AE1210" s="659"/>
      <c r="AF1210" s="659"/>
      <c r="AG1210" s="659"/>
      <c r="AH1210" s="659"/>
      <c r="AI1210" s="659"/>
      <c r="AJ1210" s="659"/>
      <c r="AK1210" s="659"/>
      <c r="AL1210" s="659"/>
      <c r="AM1210" s="659"/>
      <c r="AN1210" s="659"/>
      <c r="AO1210" s="659"/>
      <c r="AP1210" s="659"/>
      <c r="AQ1210" s="746"/>
    </row>
    <row r="1211">
      <c r="A1211" s="703"/>
      <c r="B1211" s="1044"/>
      <c r="C1211" s="1005"/>
      <c r="D1211" s="645"/>
      <c r="E1211" s="645"/>
      <c r="F1211" s="951"/>
      <c r="G1211" s="951"/>
      <c r="H1211" s="951"/>
      <c r="I1211" s="951"/>
      <c r="J1211" s="951"/>
      <c r="K1211" s="951"/>
      <c r="L1211" s="951"/>
      <c r="M1211" s="951"/>
      <c r="N1211" s="659"/>
      <c r="O1211" s="951"/>
      <c r="P1211" s="951"/>
      <c r="Q1211" s="659"/>
      <c r="R1211" s="659"/>
      <c r="S1211" s="659"/>
      <c r="T1211" s="659"/>
      <c r="U1211" s="659"/>
      <c r="V1211" s="659"/>
      <c r="W1211" s="659"/>
      <c r="X1211" s="659"/>
      <c r="Y1211" s="659"/>
      <c r="Z1211" s="659"/>
      <c r="AA1211" s="659"/>
      <c r="AB1211" s="659"/>
      <c r="AC1211" s="659"/>
      <c r="AD1211" s="659"/>
      <c r="AE1211" s="659"/>
      <c r="AF1211" s="659"/>
      <c r="AG1211" s="659"/>
      <c r="AH1211" s="659"/>
      <c r="AI1211" s="659"/>
      <c r="AJ1211" s="659"/>
      <c r="AK1211" s="659"/>
      <c r="AL1211" s="659"/>
      <c r="AM1211" s="659"/>
      <c r="AN1211" s="659"/>
      <c r="AO1211" s="659"/>
      <c r="AP1211" s="659"/>
      <c r="AQ1211" s="746"/>
    </row>
    <row r="1212">
      <c r="A1212" s="703"/>
      <c r="B1212" s="1044"/>
      <c r="C1212" s="1005"/>
      <c r="D1212" s="645"/>
      <c r="E1212" s="645"/>
      <c r="F1212" s="951"/>
      <c r="G1212" s="951"/>
      <c r="H1212" s="951"/>
      <c r="I1212" s="951"/>
      <c r="J1212" s="951"/>
      <c r="K1212" s="951"/>
      <c r="L1212" s="951"/>
      <c r="M1212" s="951"/>
      <c r="N1212" s="659"/>
      <c r="O1212" s="951"/>
      <c r="P1212" s="951"/>
      <c r="Q1212" s="659"/>
      <c r="R1212" s="659"/>
      <c r="S1212" s="659"/>
      <c r="T1212" s="659"/>
      <c r="U1212" s="659"/>
      <c r="V1212" s="659"/>
      <c r="W1212" s="659"/>
      <c r="X1212" s="659"/>
      <c r="Y1212" s="659"/>
      <c r="Z1212" s="659"/>
      <c r="AA1212" s="659"/>
      <c r="AB1212" s="659"/>
      <c r="AC1212" s="659"/>
      <c r="AD1212" s="659"/>
      <c r="AE1212" s="659"/>
      <c r="AF1212" s="659"/>
      <c r="AG1212" s="659"/>
      <c r="AH1212" s="659"/>
      <c r="AI1212" s="659"/>
      <c r="AJ1212" s="659"/>
      <c r="AK1212" s="659"/>
      <c r="AL1212" s="659"/>
      <c r="AM1212" s="659"/>
      <c r="AN1212" s="659"/>
      <c r="AO1212" s="659"/>
      <c r="AP1212" s="659"/>
      <c r="AQ1212" s="746"/>
    </row>
    <row r="1213">
      <c r="A1213" s="703"/>
      <c r="B1213" s="1044"/>
      <c r="C1213" s="1005"/>
      <c r="D1213" s="645"/>
      <c r="E1213" s="645"/>
      <c r="F1213" s="951"/>
      <c r="G1213" s="951"/>
      <c r="H1213" s="951"/>
      <c r="I1213" s="951"/>
      <c r="J1213" s="951"/>
      <c r="K1213" s="951"/>
      <c r="L1213" s="951"/>
      <c r="M1213" s="951"/>
      <c r="N1213" s="659"/>
      <c r="O1213" s="951"/>
      <c r="P1213" s="951"/>
      <c r="Q1213" s="659"/>
      <c r="R1213" s="659"/>
      <c r="S1213" s="659"/>
      <c r="T1213" s="659"/>
      <c r="U1213" s="659"/>
      <c r="V1213" s="659"/>
      <c r="W1213" s="659"/>
      <c r="X1213" s="659"/>
      <c r="Y1213" s="659"/>
      <c r="Z1213" s="659"/>
      <c r="AA1213" s="659"/>
      <c r="AB1213" s="659"/>
      <c r="AC1213" s="659"/>
      <c r="AD1213" s="659"/>
      <c r="AE1213" s="659"/>
      <c r="AF1213" s="659"/>
      <c r="AG1213" s="659"/>
      <c r="AH1213" s="659"/>
      <c r="AI1213" s="659"/>
      <c r="AJ1213" s="659"/>
      <c r="AK1213" s="659"/>
      <c r="AL1213" s="659"/>
      <c r="AM1213" s="659"/>
      <c r="AN1213" s="659"/>
      <c r="AO1213" s="659"/>
      <c r="AP1213" s="659"/>
      <c r="AQ1213" s="746"/>
    </row>
    <row r="1214">
      <c r="A1214" s="703"/>
      <c r="B1214" s="1044"/>
      <c r="C1214" s="1005"/>
      <c r="D1214" s="645"/>
      <c r="E1214" s="645"/>
      <c r="F1214" s="951"/>
      <c r="G1214" s="951"/>
      <c r="H1214" s="951"/>
      <c r="I1214" s="951"/>
      <c r="J1214" s="951"/>
      <c r="K1214" s="951"/>
      <c r="L1214" s="951"/>
      <c r="M1214" s="951"/>
      <c r="N1214" s="659"/>
      <c r="O1214" s="951"/>
      <c r="P1214" s="951"/>
      <c r="Q1214" s="659"/>
      <c r="R1214" s="659"/>
      <c r="S1214" s="659"/>
      <c r="T1214" s="659"/>
      <c r="U1214" s="659"/>
      <c r="V1214" s="659"/>
      <c r="W1214" s="659"/>
      <c r="X1214" s="659"/>
      <c r="Y1214" s="659"/>
      <c r="Z1214" s="659"/>
      <c r="AA1214" s="659"/>
      <c r="AB1214" s="659"/>
      <c r="AC1214" s="659"/>
      <c r="AD1214" s="659"/>
      <c r="AE1214" s="659"/>
      <c r="AF1214" s="659"/>
      <c r="AG1214" s="659"/>
      <c r="AH1214" s="659"/>
      <c r="AI1214" s="659"/>
      <c r="AJ1214" s="659"/>
      <c r="AK1214" s="659"/>
      <c r="AL1214" s="659"/>
      <c r="AM1214" s="659"/>
      <c r="AN1214" s="659"/>
      <c r="AO1214" s="659"/>
      <c r="AP1214" s="659"/>
      <c r="AQ1214" s="746"/>
    </row>
    <row r="1215">
      <c r="A1215" s="703"/>
      <c r="B1215" s="1044"/>
      <c r="C1215" s="1005"/>
      <c r="D1215" s="645"/>
      <c r="E1215" s="645"/>
      <c r="F1215" s="951"/>
      <c r="G1215" s="951"/>
      <c r="H1215" s="951"/>
      <c r="I1215" s="951"/>
      <c r="J1215" s="951"/>
      <c r="K1215" s="951"/>
      <c r="L1215" s="951"/>
      <c r="M1215" s="951"/>
      <c r="N1215" s="659"/>
      <c r="O1215" s="951"/>
      <c r="P1215" s="951"/>
      <c r="Q1215" s="659"/>
      <c r="R1215" s="659"/>
      <c r="S1215" s="659"/>
      <c r="T1215" s="659"/>
      <c r="U1215" s="659"/>
      <c r="V1215" s="659"/>
      <c r="W1215" s="659"/>
      <c r="X1215" s="659"/>
      <c r="Y1215" s="659"/>
      <c r="Z1215" s="659"/>
      <c r="AA1215" s="659"/>
      <c r="AB1215" s="659"/>
      <c r="AC1215" s="659"/>
      <c r="AD1215" s="659"/>
      <c r="AE1215" s="659"/>
      <c r="AF1215" s="659"/>
      <c r="AG1215" s="659"/>
      <c r="AH1215" s="659"/>
      <c r="AI1215" s="659"/>
      <c r="AJ1215" s="659"/>
      <c r="AK1215" s="659"/>
      <c r="AL1215" s="659"/>
      <c r="AM1215" s="659"/>
      <c r="AN1215" s="659"/>
      <c r="AO1215" s="659"/>
      <c r="AP1215" s="659"/>
      <c r="AQ1215" s="746"/>
    </row>
    <row r="1216">
      <c r="A1216" s="703"/>
      <c r="B1216" s="1044"/>
      <c r="C1216" s="1005"/>
      <c r="D1216" s="645"/>
      <c r="E1216" s="645"/>
      <c r="F1216" s="951"/>
      <c r="G1216" s="951"/>
      <c r="H1216" s="951"/>
      <c r="I1216" s="951"/>
      <c r="J1216" s="951"/>
      <c r="K1216" s="951"/>
      <c r="L1216" s="951"/>
      <c r="M1216" s="951"/>
      <c r="N1216" s="659"/>
      <c r="O1216" s="951"/>
      <c r="P1216" s="951"/>
      <c r="Q1216" s="659"/>
      <c r="R1216" s="659"/>
      <c r="S1216" s="659"/>
      <c r="T1216" s="659"/>
      <c r="U1216" s="659"/>
      <c r="V1216" s="659"/>
      <c r="W1216" s="659"/>
      <c r="X1216" s="659"/>
      <c r="Y1216" s="659"/>
      <c r="Z1216" s="659"/>
      <c r="AA1216" s="659"/>
      <c r="AB1216" s="659"/>
      <c r="AC1216" s="659"/>
      <c r="AD1216" s="659"/>
      <c r="AE1216" s="659"/>
      <c r="AF1216" s="659"/>
      <c r="AG1216" s="659"/>
      <c r="AH1216" s="659"/>
      <c r="AI1216" s="659"/>
      <c r="AJ1216" s="659"/>
      <c r="AK1216" s="659"/>
      <c r="AL1216" s="659"/>
      <c r="AM1216" s="659"/>
      <c r="AN1216" s="659"/>
      <c r="AO1216" s="659"/>
      <c r="AP1216" s="659"/>
      <c r="AQ1216" s="746"/>
    </row>
    <row r="1217">
      <c r="A1217" s="703"/>
      <c r="B1217" s="1044"/>
      <c r="C1217" s="1005"/>
      <c r="D1217" s="645"/>
      <c r="E1217" s="645"/>
      <c r="F1217" s="951"/>
      <c r="G1217" s="951"/>
      <c r="H1217" s="951"/>
      <c r="I1217" s="951"/>
      <c r="J1217" s="951"/>
      <c r="K1217" s="951"/>
      <c r="L1217" s="951"/>
      <c r="M1217" s="951"/>
      <c r="N1217" s="659"/>
      <c r="O1217" s="951"/>
      <c r="P1217" s="951"/>
      <c r="Q1217" s="659"/>
      <c r="R1217" s="659"/>
      <c r="S1217" s="659"/>
      <c r="T1217" s="659"/>
      <c r="U1217" s="659"/>
      <c r="V1217" s="659"/>
      <c r="W1217" s="659"/>
      <c r="X1217" s="659"/>
      <c r="Y1217" s="659"/>
      <c r="Z1217" s="659"/>
      <c r="AA1217" s="659"/>
      <c r="AB1217" s="659"/>
      <c r="AC1217" s="659"/>
      <c r="AD1217" s="659"/>
      <c r="AE1217" s="659"/>
      <c r="AF1217" s="659"/>
      <c r="AG1217" s="659"/>
      <c r="AH1217" s="659"/>
      <c r="AI1217" s="659"/>
      <c r="AJ1217" s="659"/>
      <c r="AK1217" s="659"/>
      <c r="AL1217" s="659"/>
      <c r="AM1217" s="659"/>
      <c r="AN1217" s="659"/>
      <c r="AO1217" s="659"/>
      <c r="AP1217" s="659"/>
      <c r="AQ1217" s="746"/>
    </row>
    <row r="1218">
      <c r="A1218" s="703"/>
      <c r="B1218" s="1044"/>
      <c r="C1218" s="1005"/>
      <c r="D1218" s="645"/>
      <c r="E1218" s="645"/>
      <c r="F1218" s="951"/>
      <c r="G1218" s="951"/>
      <c r="H1218" s="951"/>
      <c r="I1218" s="951"/>
      <c r="J1218" s="951"/>
      <c r="K1218" s="951"/>
      <c r="L1218" s="951"/>
      <c r="M1218" s="951"/>
      <c r="N1218" s="659"/>
      <c r="O1218" s="951"/>
      <c r="P1218" s="951"/>
      <c r="Q1218" s="659"/>
      <c r="R1218" s="659"/>
      <c r="S1218" s="659"/>
      <c r="T1218" s="659"/>
      <c r="U1218" s="659"/>
      <c r="V1218" s="659"/>
      <c r="W1218" s="659"/>
      <c r="X1218" s="659"/>
      <c r="Y1218" s="659"/>
      <c r="Z1218" s="659"/>
      <c r="AA1218" s="659"/>
      <c r="AB1218" s="659"/>
      <c r="AC1218" s="659"/>
      <c r="AD1218" s="659"/>
      <c r="AE1218" s="659"/>
      <c r="AF1218" s="659"/>
      <c r="AG1218" s="659"/>
      <c r="AH1218" s="659"/>
      <c r="AI1218" s="659"/>
      <c r="AJ1218" s="659"/>
      <c r="AK1218" s="659"/>
      <c r="AL1218" s="659"/>
      <c r="AM1218" s="659"/>
      <c r="AN1218" s="659"/>
      <c r="AO1218" s="659"/>
      <c r="AP1218" s="659"/>
      <c r="AQ1218" s="746"/>
    </row>
    <row r="1219">
      <c r="A1219" s="703"/>
      <c r="B1219" s="1044"/>
      <c r="C1219" s="1005"/>
      <c r="D1219" s="645"/>
      <c r="E1219" s="645"/>
      <c r="F1219" s="951"/>
      <c r="G1219" s="951"/>
      <c r="H1219" s="951"/>
      <c r="I1219" s="951"/>
      <c r="J1219" s="951"/>
      <c r="K1219" s="951"/>
      <c r="L1219" s="951"/>
      <c r="M1219" s="951"/>
      <c r="N1219" s="659"/>
      <c r="O1219" s="951"/>
      <c r="P1219" s="951"/>
      <c r="Q1219" s="659"/>
      <c r="R1219" s="659"/>
      <c r="S1219" s="659"/>
      <c r="T1219" s="659"/>
      <c r="U1219" s="659"/>
      <c r="V1219" s="659"/>
      <c r="W1219" s="659"/>
      <c r="X1219" s="659"/>
      <c r="Y1219" s="659"/>
      <c r="Z1219" s="659"/>
      <c r="AA1219" s="659"/>
      <c r="AB1219" s="659"/>
      <c r="AC1219" s="659"/>
      <c r="AD1219" s="659"/>
      <c r="AE1219" s="659"/>
      <c r="AF1219" s="659"/>
      <c r="AG1219" s="659"/>
      <c r="AH1219" s="659"/>
      <c r="AI1219" s="659"/>
      <c r="AJ1219" s="659"/>
      <c r="AK1219" s="659"/>
      <c r="AL1219" s="659"/>
      <c r="AM1219" s="659"/>
      <c r="AN1219" s="659"/>
      <c r="AO1219" s="659"/>
      <c r="AP1219" s="659"/>
      <c r="AQ1219" s="746"/>
    </row>
    <row r="1220">
      <c r="A1220" s="703"/>
      <c r="B1220" s="1044"/>
      <c r="C1220" s="1005"/>
      <c r="D1220" s="645"/>
      <c r="E1220" s="645"/>
      <c r="F1220" s="951"/>
      <c r="G1220" s="951"/>
      <c r="H1220" s="951"/>
      <c r="I1220" s="951"/>
      <c r="J1220" s="951"/>
      <c r="K1220" s="951"/>
      <c r="L1220" s="951"/>
      <c r="M1220" s="951"/>
      <c r="N1220" s="659"/>
      <c r="O1220" s="951"/>
      <c r="P1220" s="951"/>
      <c r="Q1220" s="659"/>
      <c r="R1220" s="659"/>
      <c r="S1220" s="659"/>
      <c r="T1220" s="659"/>
      <c r="U1220" s="659"/>
      <c r="V1220" s="659"/>
      <c r="W1220" s="659"/>
      <c r="X1220" s="659"/>
      <c r="Y1220" s="659"/>
      <c r="Z1220" s="659"/>
      <c r="AA1220" s="659"/>
      <c r="AB1220" s="659"/>
      <c r="AC1220" s="659"/>
      <c r="AD1220" s="659"/>
      <c r="AE1220" s="659"/>
      <c r="AF1220" s="659"/>
      <c r="AG1220" s="659"/>
      <c r="AH1220" s="659"/>
      <c r="AI1220" s="659"/>
      <c r="AJ1220" s="659"/>
      <c r="AK1220" s="659"/>
      <c r="AL1220" s="659"/>
      <c r="AM1220" s="659"/>
      <c r="AN1220" s="659"/>
      <c r="AO1220" s="659"/>
      <c r="AP1220" s="659"/>
      <c r="AQ1220" s="746"/>
    </row>
    <row r="1221">
      <c r="A1221" s="703"/>
      <c r="B1221" s="1044"/>
      <c r="C1221" s="1005"/>
      <c r="D1221" s="645"/>
      <c r="E1221" s="645"/>
      <c r="F1221" s="951"/>
      <c r="G1221" s="951"/>
      <c r="H1221" s="951"/>
      <c r="I1221" s="951"/>
      <c r="J1221" s="951"/>
      <c r="K1221" s="951"/>
      <c r="L1221" s="951"/>
      <c r="M1221" s="951"/>
      <c r="N1221" s="659"/>
      <c r="O1221" s="951"/>
      <c r="P1221" s="951"/>
      <c r="Q1221" s="659"/>
      <c r="R1221" s="659"/>
      <c r="S1221" s="659"/>
      <c r="T1221" s="659"/>
      <c r="U1221" s="659"/>
      <c r="V1221" s="659"/>
      <c r="W1221" s="659"/>
      <c r="X1221" s="659"/>
      <c r="Y1221" s="659"/>
      <c r="Z1221" s="659"/>
      <c r="AA1221" s="659"/>
      <c r="AB1221" s="659"/>
      <c r="AC1221" s="659"/>
      <c r="AD1221" s="659"/>
      <c r="AE1221" s="659"/>
      <c r="AF1221" s="659"/>
      <c r="AG1221" s="659"/>
      <c r="AH1221" s="659"/>
      <c r="AI1221" s="659"/>
      <c r="AJ1221" s="659"/>
      <c r="AK1221" s="659"/>
      <c r="AL1221" s="659"/>
      <c r="AM1221" s="659"/>
      <c r="AN1221" s="659"/>
      <c r="AO1221" s="659"/>
      <c r="AP1221" s="659"/>
      <c r="AQ1221" s="746"/>
    </row>
    <row r="1222">
      <c r="A1222" s="703"/>
      <c r="B1222" s="1044"/>
      <c r="C1222" s="1005"/>
      <c r="D1222" s="645"/>
      <c r="E1222" s="645"/>
      <c r="F1222" s="951"/>
      <c r="G1222" s="951"/>
      <c r="H1222" s="951"/>
      <c r="I1222" s="951"/>
      <c r="J1222" s="951"/>
      <c r="K1222" s="951"/>
      <c r="L1222" s="951"/>
      <c r="M1222" s="951"/>
      <c r="N1222" s="659"/>
      <c r="O1222" s="951"/>
      <c r="P1222" s="951"/>
      <c r="Q1222" s="659"/>
      <c r="R1222" s="659"/>
      <c r="S1222" s="659"/>
      <c r="T1222" s="659"/>
      <c r="U1222" s="659"/>
      <c r="V1222" s="659"/>
      <c r="W1222" s="659"/>
      <c r="X1222" s="659"/>
      <c r="Y1222" s="659"/>
      <c r="Z1222" s="659"/>
      <c r="AA1222" s="659"/>
      <c r="AB1222" s="659"/>
      <c r="AC1222" s="659"/>
      <c r="AD1222" s="659"/>
      <c r="AE1222" s="659"/>
      <c r="AF1222" s="659"/>
      <c r="AG1222" s="659"/>
      <c r="AH1222" s="659"/>
      <c r="AI1222" s="659"/>
      <c r="AJ1222" s="659"/>
      <c r="AK1222" s="659"/>
      <c r="AL1222" s="659"/>
      <c r="AM1222" s="659"/>
      <c r="AN1222" s="659"/>
      <c r="AO1222" s="659"/>
      <c r="AP1222" s="659"/>
      <c r="AQ1222" s="746"/>
    </row>
    <row r="1223">
      <c r="A1223" s="703"/>
      <c r="B1223" s="1044"/>
      <c r="C1223" s="1005"/>
      <c r="D1223" s="645"/>
      <c r="E1223" s="645"/>
      <c r="F1223" s="951"/>
      <c r="G1223" s="951"/>
      <c r="H1223" s="951"/>
      <c r="I1223" s="951"/>
      <c r="J1223" s="951"/>
      <c r="K1223" s="951"/>
      <c r="L1223" s="951"/>
      <c r="M1223" s="951"/>
      <c r="N1223" s="659"/>
      <c r="O1223" s="951"/>
      <c r="P1223" s="951"/>
      <c r="Q1223" s="659"/>
      <c r="R1223" s="659"/>
      <c r="S1223" s="659"/>
      <c r="T1223" s="659"/>
      <c r="U1223" s="659"/>
      <c r="V1223" s="659"/>
      <c r="W1223" s="659"/>
      <c r="X1223" s="659"/>
      <c r="Y1223" s="659"/>
      <c r="Z1223" s="659"/>
      <c r="AA1223" s="659"/>
      <c r="AB1223" s="659"/>
      <c r="AC1223" s="659"/>
      <c r="AD1223" s="659"/>
      <c r="AE1223" s="659"/>
      <c r="AF1223" s="659"/>
      <c r="AG1223" s="659"/>
      <c r="AH1223" s="659"/>
      <c r="AI1223" s="659"/>
      <c r="AJ1223" s="659"/>
      <c r="AK1223" s="659"/>
      <c r="AL1223" s="659"/>
      <c r="AM1223" s="659"/>
      <c r="AN1223" s="659"/>
      <c r="AO1223" s="659"/>
      <c r="AP1223" s="659"/>
      <c r="AQ1223" s="746"/>
    </row>
    <row r="1224">
      <c r="A1224" s="703"/>
      <c r="B1224" s="1044"/>
      <c r="C1224" s="1005"/>
      <c r="D1224" s="645"/>
      <c r="E1224" s="645"/>
      <c r="F1224" s="951"/>
      <c r="G1224" s="951"/>
      <c r="H1224" s="951"/>
      <c r="I1224" s="951"/>
      <c r="J1224" s="951"/>
      <c r="K1224" s="951"/>
      <c r="L1224" s="951"/>
      <c r="M1224" s="951"/>
      <c r="N1224" s="659"/>
      <c r="O1224" s="951"/>
      <c r="P1224" s="951"/>
      <c r="Q1224" s="659"/>
      <c r="R1224" s="659"/>
      <c r="S1224" s="659"/>
      <c r="T1224" s="659"/>
      <c r="U1224" s="659"/>
      <c r="V1224" s="659"/>
      <c r="W1224" s="659"/>
      <c r="X1224" s="659"/>
      <c r="Y1224" s="659"/>
      <c r="Z1224" s="659"/>
      <c r="AA1224" s="659"/>
      <c r="AB1224" s="659"/>
      <c r="AC1224" s="659"/>
      <c r="AD1224" s="659"/>
      <c r="AE1224" s="659"/>
      <c r="AF1224" s="659"/>
      <c r="AG1224" s="659"/>
      <c r="AH1224" s="659"/>
      <c r="AI1224" s="659"/>
      <c r="AJ1224" s="659"/>
      <c r="AK1224" s="659"/>
      <c r="AL1224" s="659"/>
      <c r="AM1224" s="659"/>
      <c r="AN1224" s="659"/>
      <c r="AO1224" s="659"/>
      <c r="AP1224" s="659"/>
      <c r="AQ1224" s="746"/>
    </row>
    <row r="1225">
      <c r="A1225" s="703"/>
      <c r="B1225" s="1044"/>
      <c r="C1225" s="1005"/>
      <c r="D1225" s="645"/>
      <c r="E1225" s="645"/>
      <c r="F1225" s="951"/>
      <c r="G1225" s="951"/>
      <c r="H1225" s="951"/>
      <c r="I1225" s="951"/>
      <c r="J1225" s="951"/>
      <c r="K1225" s="951"/>
      <c r="L1225" s="951"/>
      <c r="M1225" s="951"/>
      <c r="N1225" s="659"/>
      <c r="O1225" s="951"/>
      <c r="P1225" s="951"/>
      <c r="Q1225" s="659"/>
      <c r="R1225" s="659"/>
      <c r="S1225" s="659"/>
      <c r="T1225" s="659"/>
      <c r="U1225" s="659"/>
      <c r="V1225" s="659"/>
      <c r="W1225" s="659"/>
      <c r="X1225" s="659"/>
      <c r="Y1225" s="659"/>
      <c r="Z1225" s="659"/>
      <c r="AA1225" s="659"/>
      <c r="AB1225" s="659"/>
      <c r="AC1225" s="659"/>
      <c r="AD1225" s="659"/>
      <c r="AE1225" s="659"/>
      <c r="AF1225" s="659"/>
      <c r="AG1225" s="659"/>
      <c r="AH1225" s="659"/>
      <c r="AI1225" s="659"/>
      <c r="AJ1225" s="659"/>
      <c r="AK1225" s="659"/>
      <c r="AL1225" s="659"/>
      <c r="AM1225" s="659"/>
      <c r="AN1225" s="659"/>
      <c r="AO1225" s="659"/>
      <c r="AP1225" s="659"/>
      <c r="AQ1225" s="746"/>
    </row>
    <row r="1226">
      <c r="A1226" s="703"/>
      <c r="B1226" s="1044"/>
      <c r="C1226" s="1005"/>
      <c r="D1226" s="645"/>
      <c r="E1226" s="645"/>
      <c r="F1226" s="951"/>
      <c r="G1226" s="951"/>
      <c r="H1226" s="951"/>
      <c r="I1226" s="951"/>
      <c r="J1226" s="951"/>
      <c r="K1226" s="951"/>
      <c r="L1226" s="951"/>
      <c r="M1226" s="951"/>
      <c r="N1226" s="659"/>
      <c r="O1226" s="951"/>
      <c r="P1226" s="951"/>
      <c r="Q1226" s="659"/>
      <c r="R1226" s="659"/>
      <c r="S1226" s="659"/>
      <c r="T1226" s="659"/>
      <c r="U1226" s="659"/>
      <c r="V1226" s="659"/>
      <c r="W1226" s="659"/>
      <c r="X1226" s="659"/>
      <c r="Y1226" s="659"/>
      <c r="Z1226" s="659"/>
      <c r="AA1226" s="659"/>
      <c r="AB1226" s="659"/>
      <c r="AC1226" s="659"/>
      <c r="AD1226" s="659"/>
      <c r="AE1226" s="659"/>
      <c r="AF1226" s="659"/>
      <c r="AG1226" s="659"/>
      <c r="AH1226" s="659"/>
      <c r="AI1226" s="659"/>
      <c r="AJ1226" s="659"/>
      <c r="AK1226" s="659"/>
      <c r="AL1226" s="659"/>
      <c r="AM1226" s="659"/>
      <c r="AN1226" s="659"/>
      <c r="AO1226" s="659"/>
      <c r="AP1226" s="659"/>
      <c r="AQ1226" s="746"/>
    </row>
    <row r="1227">
      <c r="A1227" s="703"/>
      <c r="B1227" s="1044"/>
      <c r="C1227" s="1005"/>
      <c r="D1227" s="645"/>
      <c r="E1227" s="645"/>
      <c r="F1227" s="951"/>
      <c r="G1227" s="951"/>
      <c r="H1227" s="951"/>
      <c r="I1227" s="951"/>
      <c r="J1227" s="951"/>
      <c r="K1227" s="951"/>
      <c r="L1227" s="951"/>
      <c r="M1227" s="951"/>
      <c r="N1227" s="659"/>
      <c r="O1227" s="951"/>
      <c r="P1227" s="951"/>
      <c r="Q1227" s="659"/>
      <c r="R1227" s="659"/>
      <c r="S1227" s="659"/>
      <c r="T1227" s="659"/>
      <c r="U1227" s="659"/>
      <c r="V1227" s="659"/>
      <c r="W1227" s="659"/>
      <c r="X1227" s="659"/>
      <c r="Y1227" s="659"/>
      <c r="Z1227" s="659"/>
      <c r="AA1227" s="659"/>
      <c r="AB1227" s="659"/>
      <c r="AC1227" s="659"/>
      <c r="AD1227" s="659"/>
      <c r="AE1227" s="659"/>
      <c r="AF1227" s="659"/>
      <c r="AG1227" s="659"/>
      <c r="AH1227" s="659"/>
      <c r="AI1227" s="659"/>
      <c r="AJ1227" s="659"/>
      <c r="AK1227" s="659"/>
      <c r="AL1227" s="659"/>
      <c r="AM1227" s="659"/>
      <c r="AN1227" s="659"/>
      <c r="AO1227" s="659"/>
      <c r="AP1227" s="659"/>
      <c r="AQ1227" s="746"/>
    </row>
    <row r="1228">
      <c r="A1228" s="703"/>
      <c r="B1228" s="1044"/>
      <c r="C1228" s="1005"/>
      <c r="D1228" s="645"/>
      <c r="E1228" s="645"/>
      <c r="F1228" s="951"/>
      <c r="G1228" s="951"/>
      <c r="H1228" s="951"/>
      <c r="I1228" s="951"/>
      <c r="J1228" s="951"/>
      <c r="K1228" s="951"/>
      <c r="L1228" s="951"/>
      <c r="M1228" s="951"/>
      <c r="N1228" s="659"/>
      <c r="O1228" s="951"/>
      <c r="P1228" s="951"/>
      <c r="Q1228" s="659"/>
      <c r="R1228" s="659"/>
      <c r="S1228" s="659"/>
      <c r="T1228" s="659"/>
      <c r="U1228" s="659"/>
      <c r="V1228" s="659"/>
      <c r="W1228" s="659"/>
      <c r="X1228" s="659"/>
      <c r="Y1228" s="659"/>
      <c r="Z1228" s="659"/>
      <c r="AA1228" s="659"/>
      <c r="AB1228" s="659"/>
      <c r="AC1228" s="659"/>
      <c r="AD1228" s="659"/>
      <c r="AE1228" s="659"/>
      <c r="AF1228" s="659"/>
      <c r="AG1228" s="659"/>
      <c r="AH1228" s="659"/>
      <c r="AI1228" s="659"/>
      <c r="AJ1228" s="659"/>
      <c r="AK1228" s="659"/>
      <c r="AL1228" s="659"/>
      <c r="AM1228" s="659"/>
      <c r="AN1228" s="659"/>
      <c r="AO1228" s="659"/>
      <c r="AP1228" s="659"/>
      <c r="AQ1228" s="746"/>
    </row>
    <row r="1229">
      <c r="A1229" s="703"/>
      <c r="B1229" s="1044"/>
      <c r="C1229" s="1005"/>
      <c r="D1229" s="645"/>
      <c r="E1229" s="645"/>
      <c r="F1229" s="951"/>
      <c r="G1229" s="951"/>
      <c r="H1229" s="951"/>
      <c r="I1229" s="951"/>
      <c r="J1229" s="951"/>
      <c r="K1229" s="951"/>
      <c r="L1229" s="951"/>
      <c r="M1229" s="951"/>
      <c r="N1229" s="659"/>
      <c r="O1229" s="951"/>
      <c r="P1229" s="951"/>
      <c r="Q1229" s="659"/>
      <c r="R1229" s="659"/>
      <c r="S1229" s="659"/>
      <c r="T1229" s="659"/>
      <c r="U1229" s="659"/>
      <c r="V1229" s="659"/>
      <c r="W1229" s="659"/>
      <c r="X1229" s="659"/>
      <c r="Y1229" s="659"/>
      <c r="Z1229" s="659"/>
      <c r="AA1229" s="659"/>
      <c r="AB1229" s="659"/>
      <c r="AC1229" s="659"/>
      <c r="AD1229" s="659"/>
      <c r="AE1229" s="659"/>
      <c r="AF1229" s="659"/>
      <c r="AG1229" s="659"/>
      <c r="AH1229" s="659"/>
      <c r="AI1229" s="659"/>
      <c r="AJ1229" s="659"/>
      <c r="AK1229" s="659"/>
      <c r="AL1229" s="659"/>
      <c r="AM1229" s="659"/>
      <c r="AN1229" s="659"/>
      <c r="AO1229" s="659"/>
      <c r="AP1229" s="659"/>
      <c r="AQ1229" s="746"/>
    </row>
    <row r="1230">
      <c r="A1230" s="703"/>
      <c r="B1230" s="1131"/>
      <c r="C1230" s="1005"/>
      <c r="D1230" s="645"/>
      <c r="E1230" s="645"/>
      <c r="F1230" s="951"/>
      <c r="G1230" s="951"/>
      <c r="H1230" s="951"/>
      <c r="I1230" s="951"/>
      <c r="J1230" s="951"/>
      <c r="K1230" s="951"/>
      <c r="L1230" s="951"/>
      <c r="M1230" s="951"/>
      <c r="N1230" s="659"/>
      <c r="O1230" s="951"/>
      <c r="P1230" s="951"/>
      <c r="Q1230" s="659"/>
      <c r="R1230" s="659"/>
      <c r="S1230" s="659"/>
      <c r="T1230" s="659"/>
      <c r="U1230" s="659"/>
      <c r="V1230" s="659"/>
      <c r="W1230" s="659"/>
      <c r="X1230" s="659"/>
      <c r="Y1230" s="659"/>
      <c r="Z1230" s="659"/>
      <c r="AA1230" s="659"/>
      <c r="AB1230" s="659"/>
      <c r="AC1230" s="659"/>
      <c r="AD1230" s="659"/>
      <c r="AE1230" s="659"/>
      <c r="AF1230" s="659"/>
      <c r="AG1230" s="659"/>
      <c r="AH1230" s="659"/>
      <c r="AI1230" s="659"/>
      <c r="AJ1230" s="659"/>
      <c r="AK1230" s="659"/>
      <c r="AL1230" s="659"/>
      <c r="AM1230" s="659"/>
      <c r="AN1230" s="659"/>
      <c r="AO1230" s="659"/>
      <c r="AP1230" s="659"/>
      <c r="AQ1230" s="746"/>
    </row>
    <row r="1231">
      <c r="A1231" s="703"/>
      <c r="B1231" s="1044"/>
      <c r="C1231" s="1005"/>
      <c r="D1231" s="645"/>
      <c r="E1231" s="645"/>
      <c r="F1231" s="951"/>
      <c r="G1231" s="951"/>
      <c r="H1231" s="951"/>
      <c r="I1231" s="951"/>
      <c r="J1231" s="951"/>
      <c r="K1231" s="951"/>
      <c r="L1231" s="951"/>
      <c r="M1231" s="951"/>
      <c r="N1231" s="659"/>
      <c r="O1231" s="951"/>
      <c r="P1231" s="951"/>
      <c r="Q1231" s="659"/>
      <c r="R1231" s="659"/>
      <c r="S1231" s="659"/>
      <c r="T1231" s="659"/>
      <c r="U1231" s="659"/>
      <c r="V1231" s="659"/>
      <c r="W1231" s="659"/>
      <c r="X1231" s="659"/>
      <c r="Y1231" s="659"/>
      <c r="Z1231" s="659"/>
      <c r="AA1231" s="659"/>
      <c r="AB1231" s="659"/>
      <c r="AC1231" s="659"/>
      <c r="AD1231" s="659"/>
      <c r="AE1231" s="659"/>
      <c r="AF1231" s="659"/>
      <c r="AG1231" s="659"/>
      <c r="AH1231" s="659"/>
      <c r="AI1231" s="659"/>
      <c r="AJ1231" s="659"/>
      <c r="AK1231" s="659"/>
      <c r="AL1231" s="659"/>
      <c r="AM1231" s="659"/>
      <c r="AN1231" s="659"/>
      <c r="AO1231" s="659"/>
      <c r="AP1231" s="659"/>
      <c r="AQ1231" s="746"/>
    </row>
    <row r="1232">
      <c r="A1232" s="703"/>
      <c r="B1232" s="1131"/>
      <c r="C1232" s="1005"/>
      <c r="D1232" s="645"/>
      <c r="E1232" s="645"/>
      <c r="F1232" s="951"/>
      <c r="G1232" s="951"/>
      <c r="H1232" s="951"/>
      <c r="I1232" s="951"/>
      <c r="J1232" s="951"/>
      <c r="K1232" s="951"/>
      <c r="L1232" s="951"/>
      <c r="M1232" s="951"/>
      <c r="N1232" s="659"/>
      <c r="O1232" s="951"/>
      <c r="P1232" s="951"/>
      <c r="Q1232" s="659"/>
      <c r="R1232" s="659"/>
      <c r="S1232" s="659"/>
      <c r="T1232" s="659"/>
      <c r="U1232" s="659"/>
      <c r="V1232" s="659"/>
      <c r="W1232" s="659"/>
      <c r="X1232" s="659"/>
      <c r="Y1232" s="659"/>
      <c r="Z1232" s="659"/>
      <c r="AA1232" s="659"/>
      <c r="AB1232" s="659"/>
      <c r="AC1232" s="659"/>
      <c r="AD1232" s="659"/>
      <c r="AE1232" s="659"/>
      <c r="AF1232" s="659"/>
      <c r="AG1232" s="659"/>
      <c r="AH1232" s="659"/>
      <c r="AI1232" s="659"/>
      <c r="AJ1232" s="659"/>
      <c r="AK1232" s="659"/>
      <c r="AL1232" s="659"/>
      <c r="AM1232" s="659"/>
      <c r="AN1232" s="659"/>
      <c r="AO1232" s="659"/>
      <c r="AP1232" s="659"/>
      <c r="AQ1232" s="746"/>
    </row>
    <row r="1233">
      <c r="A1233" s="703"/>
      <c r="B1233" s="1044"/>
      <c r="C1233" s="1005"/>
      <c r="D1233" s="645"/>
      <c r="E1233" s="645"/>
      <c r="F1233" s="951"/>
      <c r="G1233" s="951"/>
      <c r="H1233" s="951"/>
      <c r="I1233" s="951"/>
      <c r="J1233" s="951"/>
      <c r="K1233" s="951"/>
      <c r="L1233" s="951"/>
      <c r="M1233" s="951"/>
      <c r="N1233" s="659"/>
      <c r="O1233" s="951"/>
      <c r="P1233" s="951"/>
      <c r="Q1233" s="659"/>
      <c r="R1233" s="659"/>
      <c r="S1233" s="659"/>
      <c r="T1233" s="659"/>
      <c r="U1233" s="659"/>
      <c r="V1233" s="659"/>
      <c r="W1233" s="659"/>
      <c r="X1233" s="659"/>
      <c r="Y1233" s="659"/>
      <c r="Z1233" s="659"/>
      <c r="AA1233" s="659"/>
      <c r="AB1233" s="659"/>
      <c r="AC1233" s="659"/>
      <c r="AD1233" s="659"/>
      <c r="AE1233" s="659"/>
      <c r="AF1233" s="659"/>
      <c r="AG1233" s="659"/>
      <c r="AH1233" s="659"/>
      <c r="AI1233" s="659"/>
      <c r="AJ1233" s="659"/>
      <c r="AK1233" s="659"/>
      <c r="AL1233" s="659"/>
      <c r="AM1233" s="659"/>
      <c r="AN1233" s="659"/>
      <c r="AO1233" s="659"/>
      <c r="AP1233" s="659"/>
      <c r="AQ1233" s="746"/>
    </row>
    <row r="1234">
      <c r="A1234" s="703"/>
      <c r="B1234" s="1131"/>
      <c r="C1234" s="1005"/>
      <c r="D1234" s="645"/>
      <c r="E1234" s="645"/>
      <c r="F1234" s="951"/>
      <c r="G1234" s="951"/>
      <c r="H1234" s="951"/>
      <c r="I1234" s="951"/>
      <c r="J1234" s="951"/>
      <c r="K1234" s="951"/>
      <c r="L1234" s="951"/>
      <c r="M1234" s="951"/>
      <c r="N1234" s="659"/>
      <c r="O1234" s="951"/>
      <c r="P1234" s="951"/>
      <c r="Q1234" s="659"/>
      <c r="R1234" s="659"/>
      <c r="S1234" s="659"/>
      <c r="T1234" s="659"/>
      <c r="U1234" s="659"/>
      <c r="V1234" s="659"/>
      <c r="W1234" s="659"/>
      <c r="X1234" s="659"/>
      <c r="Y1234" s="659"/>
      <c r="Z1234" s="659"/>
      <c r="AA1234" s="659"/>
      <c r="AB1234" s="659"/>
      <c r="AC1234" s="659"/>
      <c r="AD1234" s="659"/>
      <c r="AE1234" s="659"/>
      <c r="AF1234" s="659"/>
      <c r="AG1234" s="659"/>
      <c r="AH1234" s="659"/>
      <c r="AI1234" s="659"/>
      <c r="AJ1234" s="659"/>
      <c r="AK1234" s="659"/>
      <c r="AL1234" s="659"/>
      <c r="AM1234" s="659"/>
      <c r="AN1234" s="659"/>
      <c r="AO1234" s="659"/>
      <c r="AP1234" s="659"/>
      <c r="AQ1234" s="746"/>
    </row>
    <row r="1235">
      <c r="A1235" s="703"/>
      <c r="B1235" s="1131"/>
      <c r="C1235" s="1005"/>
      <c r="D1235" s="645"/>
      <c r="E1235" s="645"/>
      <c r="F1235" s="951"/>
      <c r="G1235" s="951"/>
      <c r="H1235" s="951"/>
      <c r="I1235" s="951"/>
      <c r="J1235" s="951"/>
      <c r="K1235" s="951"/>
      <c r="L1235" s="951"/>
      <c r="M1235" s="951"/>
      <c r="N1235" s="659"/>
      <c r="O1235" s="951"/>
      <c r="P1235" s="951"/>
      <c r="Q1235" s="659"/>
      <c r="R1235" s="659"/>
      <c r="S1235" s="659"/>
      <c r="T1235" s="659"/>
      <c r="U1235" s="659"/>
      <c r="V1235" s="659"/>
      <c r="W1235" s="659"/>
      <c r="X1235" s="659"/>
      <c r="Y1235" s="659"/>
      <c r="Z1235" s="659"/>
      <c r="AA1235" s="659"/>
      <c r="AB1235" s="659"/>
      <c r="AC1235" s="659"/>
      <c r="AD1235" s="659"/>
      <c r="AE1235" s="659"/>
      <c r="AF1235" s="659"/>
      <c r="AG1235" s="659"/>
      <c r="AH1235" s="659"/>
      <c r="AI1235" s="659"/>
      <c r="AJ1235" s="659"/>
      <c r="AK1235" s="659"/>
      <c r="AL1235" s="659"/>
      <c r="AM1235" s="659"/>
      <c r="AN1235" s="659"/>
      <c r="AO1235" s="659"/>
      <c r="AP1235" s="659"/>
      <c r="AQ1235" s="746"/>
    </row>
    <row r="1236">
      <c r="A1236" s="703"/>
      <c r="B1236" s="1131"/>
      <c r="C1236" s="1005"/>
      <c r="D1236" s="645"/>
      <c r="E1236" s="645"/>
      <c r="F1236" s="951"/>
      <c r="G1236" s="951"/>
      <c r="H1236" s="951"/>
      <c r="I1236" s="951"/>
      <c r="J1236" s="951"/>
      <c r="K1236" s="951"/>
      <c r="L1236" s="951"/>
      <c r="M1236" s="951"/>
      <c r="N1236" s="659"/>
      <c r="O1236" s="951"/>
      <c r="P1236" s="951"/>
      <c r="Q1236" s="659"/>
      <c r="R1236" s="659"/>
      <c r="S1236" s="659"/>
      <c r="T1236" s="659"/>
      <c r="U1236" s="659"/>
      <c r="V1236" s="659"/>
      <c r="W1236" s="659"/>
      <c r="X1236" s="659"/>
      <c r="Y1236" s="659"/>
      <c r="Z1236" s="659"/>
      <c r="AA1236" s="659"/>
      <c r="AB1236" s="659"/>
      <c r="AC1236" s="659"/>
      <c r="AD1236" s="659"/>
      <c r="AE1236" s="659"/>
      <c r="AF1236" s="659"/>
      <c r="AG1236" s="659"/>
      <c r="AH1236" s="659"/>
      <c r="AI1236" s="659"/>
      <c r="AJ1236" s="659"/>
      <c r="AK1236" s="659"/>
      <c r="AL1236" s="659"/>
      <c r="AM1236" s="659"/>
      <c r="AN1236" s="659"/>
      <c r="AO1236" s="659"/>
      <c r="AP1236" s="659"/>
      <c r="AQ1236" s="746"/>
    </row>
    <row r="1237">
      <c r="A1237" s="703"/>
      <c r="B1237" s="1131"/>
      <c r="C1237" s="1005"/>
      <c r="D1237" s="645"/>
      <c r="E1237" s="645"/>
      <c r="F1237" s="951"/>
      <c r="G1237" s="951"/>
      <c r="H1237" s="951"/>
      <c r="I1237" s="951"/>
      <c r="J1237" s="951"/>
      <c r="K1237" s="951"/>
      <c r="L1237" s="951"/>
      <c r="M1237" s="951"/>
      <c r="N1237" s="659"/>
      <c r="O1237" s="951"/>
      <c r="P1237" s="951"/>
      <c r="Q1237" s="659"/>
      <c r="R1237" s="659"/>
      <c r="S1237" s="659"/>
      <c r="T1237" s="659"/>
      <c r="U1237" s="659"/>
      <c r="V1237" s="659"/>
      <c r="W1237" s="659"/>
      <c r="X1237" s="659"/>
      <c r="Y1237" s="659"/>
      <c r="Z1237" s="659"/>
      <c r="AA1237" s="659"/>
      <c r="AB1237" s="659"/>
      <c r="AC1237" s="659"/>
      <c r="AD1237" s="659"/>
      <c r="AE1237" s="659"/>
      <c r="AF1237" s="659"/>
      <c r="AG1237" s="659"/>
      <c r="AH1237" s="659"/>
      <c r="AI1237" s="659"/>
      <c r="AJ1237" s="659"/>
      <c r="AK1237" s="659"/>
      <c r="AL1237" s="659"/>
      <c r="AM1237" s="659"/>
      <c r="AN1237" s="659"/>
      <c r="AO1237" s="659"/>
      <c r="AP1237" s="659"/>
      <c r="AQ1237" s="746"/>
    </row>
    <row r="1238">
      <c r="A1238" s="703"/>
      <c r="B1238" s="1044"/>
      <c r="C1238" s="1005"/>
      <c r="D1238" s="645"/>
      <c r="E1238" s="645"/>
      <c r="F1238" s="951"/>
      <c r="G1238" s="951"/>
      <c r="H1238" s="951"/>
      <c r="I1238" s="951"/>
      <c r="J1238" s="951"/>
      <c r="K1238" s="951"/>
      <c r="L1238" s="951"/>
      <c r="M1238" s="951"/>
      <c r="N1238" s="659"/>
      <c r="O1238" s="951"/>
      <c r="P1238" s="951"/>
      <c r="Q1238" s="659"/>
      <c r="R1238" s="659"/>
      <c r="S1238" s="659"/>
      <c r="T1238" s="659"/>
      <c r="U1238" s="659"/>
      <c r="V1238" s="659"/>
      <c r="W1238" s="659"/>
      <c r="X1238" s="659"/>
      <c r="Y1238" s="659"/>
      <c r="Z1238" s="659"/>
      <c r="AA1238" s="659"/>
      <c r="AB1238" s="659"/>
      <c r="AC1238" s="659"/>
      <c r="AD1238" s="659"/>
      <c r="AE1238" s="659"/>
      <c r="AF1238" s="659"/>
      <c r="AG1238" s="659"/>
      <c r="AH1238" s="659"/>
      <c r="AI1238" s="659"/>
      <c r="AJ1238" s="659"/>
      <c r="AK1238" s="659"/>
      <c r="AL1238" s="659"/>
      <c r="AM1238" s="659"/>
      <c r="AN1238" s="659"/>
      <c r="AO1238" s="659"/>
      <c r="AP1238" s="659"/>
      <c r="AQ1238" s="746"/>
    </row>
    <row r="1239">
      <c r="A1239" s="703"/>
      <c r="B1239" s="1044"/>
      <c r="C1239" s="1005"/>
      <c r="D1239" s="645"/>
      <c r="E1239" s="645"/>
      <c r="F1239" s="951"/>
      <c r="G1239" s="951"/>
      <c r="H1239" s="951"/>
      <c r="I1239" s="951"/>
      <c r="J1239" s="951"/>
      <c r="K1239" s="951"/>
      <c r="L1239" s="951"/>
      <c r="M1239" s="951"/>
      <c r="N1239" s="659"/>
      <c r="O1239" s="951"/>
      <c r="P1239" s="951"/>
      <c r="Q1239" s="659"/>
      <c r="R1239" s="659"/>
      <c r="S1239" s="659"/>
      <c r="T1239" s="659"/>
      <c r="U1239" s="659"/>
      <c r="V1239" s="659"/>
      <c r="W1239" s="659"/>
      <c r="X1239" s="659"/>
      <c r="Y1239" s="659"/>
      <c r="Z1239" s="659"/>
      <c r="AA1239" s="659"/>
      <c r="AB1239" s="659"/>
      <c r="AC1239" s="659"/>
      <c r="AD1239" s="659"/>
      <c r="AE1239" s="659"/>
      <c r="AF1239" s="659"/>
      <c r="AG1239" s="659"/>
      <c r="AH1239" s="659"/>
      <c r="AI1239" s="659"/>
      <c r="AJ1239" s="659"/>
      <c r="AK1239" s="659"/>
      <c r="AL1239" s="659"/>
      <c r="AM1239" s="659"/>
      <c r="AN1239" s="659"/>
      <c r="AO1239" s="659"/>
      <c r="AP1239" s="659"/>
      <c r="AQ1239" s="746"/>
    </row>
    <row r="1240">
      <c r="A1240" s="703"/>
      <c r="B1240" s="1044"/>
      <c r="C1240" s="1005"/>
      <c r="D1240" s="645"/>
      <c r="E1240" s="645"/>
      <c r="F1240" s="951"/>
      <c r="G1240" s="951"/>
      <c r="H1240" s="951"/>
      <c r="I1240" s="951"/>
      <c r="J1240" s="951"/>
      <c r="K1240" s="951"/>
      <c r="L1240" s="951"/>
      <c r="M1240" s="951"/>
      <c r="N1240" s="659"/>
      <c r="O1240" s="951"/>
      <c r="P1240" s="951"/>
      <c r="Q1240" s="659"/>
      <c r="R1240" s="659"/>
      <c r="S1240" s="659"/>
      <c r="T1240" s="659"/>
      <c r="U1240" s="659"/>
      <c r="V1240" s="659"/>
      <c r="W1240" s="659"/>
      <c r="X1240" s="659"/>
      <c r="Y1240" s="659"/>
      <c r="Z1240" s="659"/>
      <c r="AA1240" s="659"/>
      <c r="AB1240" s="659"/>
      <c r="AC1240" s="659"/>
      <c r="AD1240" s="659"/>
      <c r="AE1240" s="659"/>
      <c r="AF1240" s="659"/>
      <c r="AG1240" s="659"/>
      <c r="AH1240" s="659"/>
      <c r="AI1240" s="659"/>
      <c r="AJ1240" s="659"/>
      <c r="AK1240" s="659"/>
      <c r="AL1240" s="659"/>
      <c r="AM1240" s="659"/>
      <c r="AN1240" s="659"/>
      <c r="AO1240" s="659"/>
      <c r="AP1240" s="659"/>
      <c r="AQ1240" s="746"/>
    </row>
    <row r="1241">
      <c r="A1241" s="703"/>
      <c r="B1241" s="1044"/>
      <c r="C1241" s="1005"/>
      <c r="D1241" s="645"/>
      <c r="E1241" s="645"/>
      <c r="F1241" s="951"/>
      <c r="G1241" s="951"/>
      <c r="H1241" s="951"/>
      <c r="I1241" s="951"/>
      <c r="J1241" s="951"/>
      <c r="K1241" s="951"/>
      <c r="L1241" s="951"/>
      <c r="M1241" s="951"/>
      <c r="N1241" s="659"/>
      <c r="O1241" s="951"/>
      <c r="P1241" s="951"/>
      <c r="Q1241" s="659"/>
      <c r="R1241" s="659"/>
      <c r="S1241" s="659"/>
      <c r="T1241" s="659"/>
      <c r="U1241" s="659"/>
      <c r="V1241" s="659"/>
      <c r="W1241" s="659"/>
      <c r="X1241" s="659"/>
      <c r="Y1241" s="659"/>
      <c r="Z1241" s="659"/>
      <c r="AA1241" s="659"/>
      <c r="AB1241" s="659"/>
      <c r="AC1241" s="659"/>
      <c r="AD1241" s="659"/>
      <c r="AE1241" s="659"/>
      <c r="AF1241" s="659"/>
      <c r="AG1241" s="659"/>
      <c r="AH1241" s="659"/>
      <c r="AI1241" s="659"/>
      <c r="AJ1241" s="659"/>
      <c r="AK1241" s="659"/>
      <c r="AL1241" s="659"/>
      <c r="AM1241" s="659"/>
      <c r="AN1241" s="659"/>
      <c r="AO1241" s="659"/>
      <c r="AP1241" s="659"/>
      <c r="AQ1241" s="746"/>
    </row>
    <row r="1242">
      <c r="A1242" s="703"/>
      <c r="B1242" s="1044"/>
      <c r="C1242" s="1005"/>
      <c r="D1242" s="645"/>
      <c r="E1242" s="645"/>
      <c r="F1242" s="951"/>
      <c r="G1242" s="951"/>
      <c r="H1242" s="951"/>
      <c r="I1242" s="951"/>
      <c r="J1242" s="951"/>
      <c r="K1242" s="951"/>
      <c r="L1242" s="951"/>
      <c r="M1242" s="951"/>
      <c r="N1242" s="659"/>
      <c r="O1242" s="951"/>
      <c r="P1242" s="951"/>
      <c r="Q1242" s="659"/>
      <c r="R1242" s="659"/>
      <c r="S1242" s="659"/>
      <c r="T1242" s="659"/>
      <c r="U1242" s="659"/>
      <c r="V1242" s="659"/>
      <c r="W1242" s="659"/>
      <c r="X1242" s="659"/>
      <c r="Y1242" s="659"/>
      <c r="Z1242" s="659"/>
      <c r="AA1242" s="659"/>
      <c r="AB1242" s="659"/>
      <c r="AC1242" s="659"/>
      <c r="AD1242" s="659"/>
      <c r="AE1242" s="659"/>
      <c r="AF1242" s="659"/>
      <c r="AG1242" s="659"/>
      <c r="AH1242" s="659"/>
      <c r="AI1242" s="659"/>
      <c r="AJ1242" s="659"/>
      <c r="AK1242" s="659"/>
      <c r="AL1242" s="659"/>
      <c r="AM1242" s="659"/>
      <c r="AN1242" s="659"/>
      <c r="AO1242" s="659"/>
      <c r="AP1242" s="659"/>
      <c r="AQ1242" s="746"/>
    </row>
    <row r="1243">
      <c r="A1243" s="703"/>
      <c r="B1243" s="1044"/>
      <c r="C1243" s="1005"/>
      <c r="D1243" s="645"/>
      <c r="E1243" s="645"/>
      <c r="F1243" s="951"/>
      <c r="G1243" s="951"/>
      <c r="H1243" s="951"/>
      <c r="I1243" s="951"/>
      <c r="J1243" s="951"/>
      <c r="K1243" s="951"/>
      <c r="L1243" s="951"/>
      <c r="M1243" s="951"/>
      <c r="N1243" s="659"/>
      <c r="O1243" s="951"/>
      <c r="P1243" s="951"/>
      <c r="Q1243" s="659"/>
      <c r="R1243" s="659"/>
      <c r="S1243" s="659"/>
      <c r="T1243" s="659"/>
      <c r="U1243" s="659"/>
      <c r="V1243" s="659"/>
      <c r="W1243" s="659"/>
      <c r="X1243" s="659"/>
      <c r="Y1243" s="659"/>
      <c r="Z1243" s="659"/>
      <c r="AA1243" s="659"/>
      <c r="AB1243" s="659"/>
      <c r="AC1243" s="659"/>
      <c r="AD1243" s="659"/>
      <c r="AE1243" s="659"/>
      <c r="AF1243" s="659"/>
      <c r="AG1243" s="659"/>
      <c r="AH1243" s="659"/>
      <c r="AI1243" s="659"/>
      <c r="AJ1243" s="659"/>
      <c r="AK1243" s="659"/>
      <c r="AL1243" s="659"/>
      <c r="AM1243" s="659"/>
      <c r="AN1243" s="659"/>
      <c r="AO1243" s="659"/>
      <c r="AP1243" s="659"/>
      <c r="AQ1243" s="746"/>
    </row>
    <row r="1244">
      <c r="A1244" s="703"/>
      <c r="B1244" s="1044"/>
      <c r="C1244" s="1005"/>
      <c r="D1244" s="645"/>
      <c r="E1244" s="645"/>
      <c r="F1244" s="951"/>
      <c r="G1244" s="951"/>
      <c r="H1244" s="951"/>
      <c r="I1244" s="951"/>
      <c r="J1244" s="951"/>
      <c r="K1244" s="951"/>
      <c r="L1244" s="951"/>
      <c r="M1244" s="951"/>
      <c r="N1244" s="659"/>
      <c r="O1244" s="951"/>
      <c r="P1244" s="951"/>
      <c r="Q1244" s="659"/>
      <c r="R1244" s="659"/>
      <c r="S1244" s="659"/>
      <c r="T1244" s="659"/>
      <c r="U1244" s="659"/>
      <c r="V1244" s="659"/>
      <c r="W1244" s="659"/>
      <c r="X1244" s="659"/>
      <c r="Y1244" s="659"/>
      <c r="Z1244" s="659"/>
      <c r="AA1244" s="659"/>
      <c r="AB1244" s="659"/>
      <c r="AC1244" s="659"/>
      <c r="AD1244" s="659"/>
      <c r="AE1244" s="659"/>
      <c r="AF1244" s="659"/>
      <c r="AG1244" s="659"/>
      <c r="AH1244" s="659"/>
      <c r="AI1244" s="659"/>
      <c r="AJ1244" s="659"/>
      <c r="AK1244" s="659"/>
      <c r="AL1244" s="659"/>
      <c r="AM1244" s="659"/>
      <c r="AN1244" s="659"/>
      <c r="AO1244" s="659"/>
      <c r="AP1244" s="659"/>
      <c r="AQ1244" s="746"/>
    </row>
    <row r="1245">
      <c r="A1245" s="703"/>
      <c r="B1245" s="1044"/>
      <c r="C1245" s="1005"/>
      <c r="D1245" s="645"/>
      <c r="E1245" s="645"/>
      <c r="F1245" s="951"/>
      <c r="G1245" s="951"/>
      <c r="H1245" s="951"/>
      <c r="I1245" s="951"/>
      <c r="J1245" s="951"/>
      <c r="K1245" s="951"/>
      <c r="L1245" s="951"/>
      <c r="M1245" s="951"/>
      <c r="N1245" s="659"/>
      <c r="O1245" s="951"/>
      <c r="P1245" s="951"/>
      <c r="Q1245" s="659"/>
      <c r="R1245" s="659"/>
      <c r="S1245" s="659"/>
      <c r="T1245" s="659"/>
      <c r="U1245" s="659"/>
      <c r="V1245" s="659"/>
      <c r="W1245" s="659"/>
      <c r="X1245" s="659"/>
      <c r="Y1245" s="659"/>
      <c r="Z1245" s="659"/>
      <c r="AA1245" s="659"/>
      <c r="AB1245" s="659"/>
      <c r="AC1245" s="659"/>
      <c r="AD1245" s="659"/>
      <c r="AE1245" s="659"/>
      <c r="AF1245" s="659"/>
      <c r="AG1245" s="659"/>
      <c r="AH1245" s="659"/>
      <c r="AI1245" s="659"/>
      <c r="AJ1245" s="659"/>
      <c r="AK1245" s="659"/>
      <c r="AL1245" s="659"/>
      <c r="AM1245" s="659"/>
      <c r="AN1245" s="659"/>
      <c r="AO1245" s="659"/>
      <c r="AP1245" s="659"/>
      <c r="AQ1245" s="746"/>
    </row>
    <row r="1246">
      <c r="A1246" s="703"/>
      <c r="B1246" s="1131"/>
      <c r="C1246" s="1005"/>
      <c r="D1246" s="645"/>
      <c r="E1246" s="645"/>
      <c r="F1246" s="951"/>
      <c r="G1246" s="951"/>
      <c r="H1246" s="951"/>
      <c r="I1246" s="951"/>
      <c r="J1246" s="951"/>
      <c r="K1246" s="951"/>
      <c r="L1246" s="951"/>
      <c r="M1246" s="951"/>
      <c r="N1246" s="659"/>
      <c r="O1246" s="951"/>
      <c r="P1246" s="951"/>
      <c r="Q1246" s="659"/>
      <c r="R1246" s="659"/>
      <c r="S1246" s="659"/>
      <c r="T1246" s="659"/>
      <c r="U1246" s="659"/>
      <c r="V1246" s="659"/>
      <c r="W1246" s="659"/>
      <c r="X1246" s="659"/>
      <c r="Y1246" s="659"/>
      <c r="Z1246" s="659"/>
      <c r="AA1246" s="659"/>
      <c r="AB1246" s="659"/>
      <c r="AC1246" s="659"/>
      <c r="AD1246" s="659"/>
      <c r="AE1246" s="659"/>
      <c r="AF1246" s="659"/>
      <c r="AG1246" s="659"/>
      <c r="AH1246" s="659"/>
      <c r="AI1246" s="659"/>
      <c r="AJ1246" s="659"/>
      <c r="AK1246" s="659"/>
      <c r="AL1246" s="659"/>
      <c r="AM1246" s="659"/>
      <c r="AN1246" s="659"/>
      <c r="AO1246" s="659"/>
      <c r="AP1246" s="659"/>
      <c r="AQ1246" s="746"/>
    </row>
    <row r="1247">
      <c r="A1247" s="703"/>
      <c r="B1247" s="1044"/>
      <c r="C1247" s="1005"/>
      <c r="D1247" s="645"/>
      <c r="E1247" s="645"/>
      <c r="F1247" s="951"/>
      <c r="G1247" s="951"/>
      <c r="H1247" s="951"/>
      <c r="I1247" s="951"/>
      <c r="J1247" s="951"/>
      <c r="K1247" s="951"/>
      <c r="L1247" s="951"/>
      <c r="M1247" s="951"/>
      <c r="N1247" s="659"/>
      <c r="O1247" s="951"/>
      <c r="P1247" s="951"/>
      <c r="Q1247" s="659"/>
      <c r="R1247" s="659"/>
      <c r="S1247" s="659"/>
      <c r="T1247" s="659"/>
      <c r="U1247" s="659"/>
      <c r="V1247" s="659"/>
      <c r="W1247" s="659"/>
      <c r="X1247" s="659"/>
      <c r="Y1247" s="659"/>
      <c r="Z1247" s="659"/>
      <c r="AA1247" s="659"/>
      <c r="AB1247" s="659"/>
      <c r="AC1247" s="659"/>
      <c r="AD1247" s="659"/>
      <c r="AE1247" s="659"/>
      <c r="AF1247" s="659"/>
      <c r="AG1247" s="659"/>
      <c r="AH1247" s="659"/>
      <c r="AI1247" s="659"/>
      <c r="AJ1247" s="659"/>
      <c r="AK1247" s="659"/>
      <c r="AL1247" s="659"/>
      <c r="AM1247" s="659"/>
      <c r="AN1247" s="659"/>
      <c r="AO1247" s="659"/>
      <c r="AP1247" s="659"/>
      <c r="AQ1247" s="746"/>
    </row>
    <row r="1248">
      <c r="A1248" s="703"/>
      <c r="B1248" s="1044"/>
      <c r="C1248" s="1005"/>
      <c r="D1248" s="645"/>
      <c r="E1248" s="645"/>
      <c r="F1248" s="951"/>
      <c r="G1248" s="951"/>
      <c r="H1248" s="951"/>
      <c r="I1248" s="951"/>
      <c r="J1248" s="951"/>
      <c r="K1248" s="951"/>
      <c r="L1248" s="951"/>
      <c r="M1248" s="951"/>
      <c r="N1248" s="659"/>
      <c r="O1248" s="951"/>
      <c r="P1248" s="951"/>
      <c r="Q1248" s="659"/>
      <c r="R1248" s="659"/>
      <c r="S1248" s="659"/>
      <c r="T1248" s="659"/>
      <c r="U1248" s="659"/>
      <c r="V1248" s="659"/>
      <c r="W1248" s="659"/>
      <c r="X1248" s="659"/>
      <c r="Y1248" s="659"/>
      <c r="Z1248" s="659"/>
      <c r="AA1248" s="659"/>
      <c r="AB1248" s="659"/>
      <c r="AC1248" s="659"/>
      <c r="AD1248" s="659"/>
      <c r="AE1248" s="659"/>
      <c r="AF1248" s="659"/>
      <c r="AG1248" s="659"/>
      <c r="AH1248" s="659"/>
      <c r="AI1248" s="659"/>
      <c r="AJ1248" s="659"/>
      <c r="AK1248" s="659"/>
      <c r="AL1248" s="659"/>
      <c r="AM1248" s="659"/>
      <c r="AN1248" s="659"/>
      <c r="AO1248" s="659"/>
      <c r="AP1248" s="659"/>
      <c r="AQ1248" s="746"/>
    </row>
    <row r="1249">
      <c r="A1249" s="703"/>
      <c r="B1249" s="1044"/>
      <c r="C1249" s="1005"/>
      <c r="D1249" s="645"/>
      <c r="E1249" s="645"/>
      <c r="F1249" s="951"/>
      <c r="G1249" s="951"/>
      <c r="H1249" s="951"/>
      <c r="I1249" s="951"/>
      <c r="J1249" s="951"/>
      <c r="K1249" s="951"/>
      <c r="L1249" s="951"/>
      <c r="M1249" s="951"/>
      <c r="N1249" s="659"/>
      <c r="O1249" s="951"/>
      <c r="P1249" s="951"/>
      <c r="Q1249" s="659"/>
      <c r="R1249" s="659"/>
      <c r="S1249" s="659"/>
      <c r="T1249" s="659"/>
      <c r="U1249" s="659"/>
      <c r="V1249" s="659"/>
      <c r="W1249" s="659"/>
      <c r="X1249" s="659"/>
      <c r="Y1249" s="659"/>
      <c r="Z1249" s="659"/>
      <c r="AA1249" s="659"/>
      <c r="AB1249" s="659"/>
      <c r="AC1249" s="659"/>
      <c r="AD1249" s="659"/>
      <c r="AE1249" s="659"/>
      <c r="AF1249" s="659"/>
      <c r="AG1249" s="659"/>
      <c r="AH1249" s="659"/>
      <c r="AI1249" s="659"/>
      <c r="AJ1249" s="659"/>
      <c r="AK1249" s="659"/>
      <c r="AL1249" s="659"/>
      <c r="AM1249" s="659"/>
      <c r="AN1249" s="659"/>
      <c r="AO1249" s="659"/>
      <c r="AP1249" s="659"/>
      <c r="AQ1249" s="746"/>
    </row>
    <row r="1250">
      <c r="A1250" s="703"/>
      <c r="B1250" s="1044"/>
      <c r="C1250" s="1005"/>
      <c r="D1250" s="645"/>
      <c r="E1250" s="645"/>
      <c r="F1250" s="951"/>
      <c r="G1250" s="951"/>
      <c r="H1250" s="951"/>
      <c r="I1250" s="951"/>
      <c r="J1250" s="951"/>
      <c r="K1250" s="951"/>
      <c r="L1250" s="951"/>
      <c r="M1250" s="951"/>
      <c r="N1250" s="659"/>
      <c r="O1250" s="951"/>
      <c r="P1250" s="951"/>
      <c r="Q1250" s="659"/>
      <c r="R1250" s="659"/>
      <c r="S1250" s="659"/>
      <c r="T1250" s="659"/>
      <c r="U1250" s="659"/>
      <c r="V1250" s="659"/>
      <c r="W1250" s="659"/>
      <c r="X1250" s="659"/>
      <c r="Y1250" s="659"/>
      <c r="Z1250" s="659"/>
      <c r="AA1250" s="659"/>
      <c r="AB1250" s="659"/>
      <c r="AC1250" s="659"/>
      <c r="AD1250" s="659"/>
      <c r="AE1250" s="659"/>
      <c r="AF1250" s="659"/>
      <c r="AG1250" s="659"/>
      <c r="AH1250" s="659"/>
      <c r="AI1250" s="659"/>
      <c r="AJ1250" s="659"/>
      <c r="AK1250" s="659"/>
      <c r="AL1250" s="659"/>
      <c r="AM1250" s="659"/>
      <c r="AN1250" s="659"/>
      <c r="AO1250" s="659"/>
      <c r="AP1250" s="659"/>
      <c r="AQ1250" s="746"/>
    </row>
    <row r="1251">
      <c r="A1251" s="703"/>
      <c r="B1251" s="1131"/>
      <c r="C1251" s="1005"/>
      <c r="D1251" s="645"/>
      <c r="E1251" s="645"/>
      <c r="F1251" s="951"/>
      <c r="G1251" s="951"/>
      <c r="H1251" s="951"/>
      <c r="I1251" s="951"/>
      <c r="J1251" s="951"/>
      <c r="K1251" s="951"/>
      <c r="L1251" s="951"/>
      <c r="M1251" s="951"/>
      <c r="N1251" s="659"/>
      <c r="O1251" s="951"/>
      <c r="P1251" s="951"/>
      <c r="Q1251" s="659"/>
      <c r="R1251" s="659"/>
      <c r="S1251" s="659"/>
      <c r="T1251" s="659"/>
      <c r="U1251" s="659"/>
      <c r="V1251" s="659"/>
      <c r="W1251" s="659"/>
      <c r="X1251" s="659"/>
      <c r="Y1251" s="659"/>
      <c r="Z1251" s="659"/>
      <c r="AA1251" s="659"/>
      <c r="AB1251" s="659"/>
      <c r="AC1251" s="659"/>
      <c r="AD1251" s="659"/>
      <c r="AE1251" s="659"/>
      <c r="AF1251" s="659"/>
      <c r="AG1251" s="659"/>
      <c r="AH1251" s="659"/>
      <c r="AI1251" s="659"/>
      <c r="AJ1251" s="659"/>
      <c r="AK1251" s="659"/>
      <c r="AL1251" s="659"/>
      <c r="AM1251" s="659"/>
      <c r="AN1251" s="659"/>
      <c r="AO1251" s="659"/>
      <c r="AP1251" s="659"/>
      <c r="AQ1251" s="746"/>
    </row>
    <row r="1252">
      <c r="A1252" s="703"/>
      <c r="B1252" s="1044"/>
      <c r="C1252" s="1005"/>
      <c r="D1252" s="645"/>
      <c r="E1252" s="645"/>
      <c r="F1252" s="951"/>
      <c r="G1252" s="951"/>
      <c r="H1252" s="951"/>
      <c r="I1252" s="951"/>
      <c r="J1252" s="951"/>
      <c r="K1252" s="951"/>
      <c r="L1252" s="951"/>
      <c r="M1252" s="951"/>
      <c r="N1252" s="659"/>
      <c r="O1252" s="951"/>
      <c r="P1252" s="951"/>
      <c r="Q1252" s="659"/>
      <c r="R1252" s="659"/>
      <c r="S1252" s="659"/>
      <c r="T1252" s="659"/>
      <c r="U1252" s="659"/>
      <c r="V1252" s="659"/>
      <c r="W1252" s="659"/>
      <c r="X1252" s="659"/>
      <c r="Y1252" s="659"/>
      <c r="Z1252" s="659"/>
      <c r="AA1252" s="659"/>
      <c r="AB1252" s="659"/>
      <c r="AC1252" s="659"/>
      <c r="AD1252" s="659"/>
      <c r="AE1252" s="659"/>
      <c r="AF1252" s="659"/>
      <c r="AG1252" s="659"/>
      <c r="AH1252" s="659"/>
      <c r="AI1252" s="659"/>
      <c r="AJ1252" s="659"/>
      <c r="AK1252" s="659"/>
      <c r="AL1252" s="659"/>
      <c r="AM1252" s="659"/>
      <c r="AN1252" s="659"/>
      <c r="AO1252" s="659"/>
      <c r="AP1252" s="659"/>
      <c r="AQ1252" s="746"/>
    </row>
    <row r="1253">
      <c r="A1253" s="703"/>
      <c r="B1253" s="1044"/>
      <c r="C1253" s="1005"/>
      <c r="D1253" s="645"/>
      <c r="E1253" s="645"/>
      <c r="F1253" s="951"/>
      <c r="G1253" s="951"/>
      <c r="H1253" s="951"/>
      <c r="I1253" s="951"/>
      <c r="J1253" s="951"/>
      <c r="K1253" s="951"/>
      <c r="L1253" s="951"/>
      <c r="M1253" s="951"/>
      <c r="N1253" s="659"/>
      <c r="O1253" s="951"/>
      <c r="P1253" s="951"/>
      <c r="Q1253" s="659"/>
      <c r="R1253" s="659"/>
      <c r="S1253" s="659"/>
      <c r="T1253" s="659"/>
      <c r="U1253" s="659"/>
      <c r="V1253" s="659"/>
      <c r="W1253" s="659"/>
      <c r="X1253" s="659"/>
      <c r="Y1253" s="659"/>
      <c r="Z1253" s="659"/>
      <c r="AA1253" s="659"/>
      <c r="AB1253" s="659"/>
      <c r="AC1253" s="659"/>
      <c r="AD1253" s="659"/>
      <c r="AE1253" s="659"/>
      <c r="AF1253" s="659"/>
      <c r="AG1253" s="659"/>
      <c r="AH1253" s="659"/>
      <c r="AI1253" s="659"/>
      <c r="AJ1253" s="659"/>
      <c r="AK1253" s="659"/>
      <c r="AL1253" s="659"/>
      <c r="AM1253" s="659"/>
      <c r="AN1253" s="659"/>
      <c r="AO1253" s="659"/>
      <c r="AP1253" s="659"/>
      <c r="AQ1253" s="746"/>
    </row>
    <row r="1254">
      <c r="A1254" s="703"/>
      <c r="B1254" s="1131"/>
      <c r="C1254" s="1005"/>
      <c r="D1254" s="645"/>
      <c r="E1254" s="645"/>
      <c r="F1254" s="951"/>
      <c r="G1254" s="951"/>
      <c r="H1254" s="951"/>
      <c r="I1254" s="951"/>
      <c r="J1254" s="951"/>
      <c r="K1254" s="951"/>
      <c r="L1254" s="951"/>
      <c r="M1254" s="951"/>
      <c r="N1254" s="659"/>
      <c r="O1254" s="951"/>
      <c r="P1254" s="951"/>
      <c r="Q1254" s="659"/>
      <c r="R1254" s="659"/>
      <c r="S1254" s="659"/>
      <c r="T1254" s="659"/>
      <c r="U1254" s="659"/>
      <c r="V1254" s="659"/>
      <c r="W1254" s="659"/>
      <c r="X1254" s="659"/>
      <c r="Y1254" s="659"/>
      <c r="Z1254" s="659"/>
      <c r="AA1254" s="659"/>
      <c r="AB1254" s="659"/>
      <c r="AC1254" s="659"/>
      <c r="AD1254" s="659"/>
      <c r="AE1254" s="659"/>
      <c r="AF1254" s="659"/>
      <c r="AG1254" s="659"/>
      <c r="AH1254" s="659"/>
      <c r="AI1254" s="659"/>
      <c r="AJ1254" s="659"/>
      <c r="AK1254" s="659"/>
      <c r="AL1254" s="659"/>
      <c r="AM1254" s="659"/>
      <c r="AN1254" s="659"/>
      <c r="AO1254" s="659"/>
      <c r="AP1254" s="659"/>
      <c r="AQ1254" s="746"/>
    </row>
    <row r="1255">
      <c r="A1255" s="703"/>
      <c r="B1255" s="1044"/>
      <c r="C1255" s="1005"/>
      <c r="D1255" s="645"/>
      <c r="E1255" s="645"/>
      <c r="F1255" s="951"/>
      <c r="G1255" s="951"/>
      <c r="H1255" s="951"/>
      <c r="I1255" s="951"/>
      <c r="J1255" s="951"/>
      <c r="K1255" s="951"/>
      <c r="L1255" s="951"/>
      <c r="M1255" s="951"/>
      <c r="N1255" s="659"/>
      <c r="O1255" s="951"/>
      <c r="P1255" s="951"/>
      <c r="Q1255" s="659"/>
      <c r="R1255" s="659"/>
      <c r="S1255" s="659"/>
      <c r="T1255" s="659"/>
      <c r="U1255" s="659"/>
      <c r="V1255" s="659"/>
      <c r="W1255" s="659"/>
      <c r="X1255" s="659"/>
      <c r="Y1255" s="659"/>
      <c r="Z1255" s="659"/>
      <c r="AA1255" s="659"/>
      <c r="AB1255" s="659"/>
      <c r="AC1255" s="659"/>
      <c r="AD1255" s="659"/>
      <c r="AE1255" s="659"/>
      <c r="AF1255" s="659"/>
      <c r="AG1255" s="659"/>
      <c r="AH1255" s="659"/>
      <c r="AI1255" s="659"/>
      <c r="AJ1255" s="659"/>
      <c r="AK1255" s="659"/>
      <c r="AL1255" s="659"/>
      <c r="AM1255" s="659"/>
      <c r="AN1255" s="659"/>
      <c r="AO1255" s="659"/>
      <c r="AP1255" s="659"/>
      <c r="AQ1255" s="746"/>
    </row>
    <row r="1256">
      <c r="A1256" s="703"/>
      <c r="B1256" s="1044"/>
      <c r="C1256" s="1005"/>
      <c r="D1256" s="645"/>
      <c r="E1256" s="645"/>
      <c r="F1256" s="951"/>
      <c r="G1256" s="951"/>
      <c r="H1256" s="951"/>
      <c r="I1256" s="951"/>
      <c r="J1256" s="951"/>
      <c r="K1256" s="951"/>
      <c r="L1256" s="951"/>
      <c r="M1256" s="951"/>
      <c r="N1256" s="659"/>
      <c r="O1256" s="951"/>
      <c r="P1256" s="951"/>
      <c r="Q1256" s="659"/>
      <c r="R1256" s="659"/>
      <c r="S1256" s="659"/>
      <c r="T1256" s="659"/>
      <c r="U1256" s="659"/>
      <c r="V1256" s="659"/>
      <c r="W1256" s="659"/>
      <c r="X1256" s="659"/>
      <c r="Y1256" s="659"/>
      <c r="Z1256" s="659"/>
      <c r="AA1256" s="659"/>
      <c r="AB1256" s="659"/>
      <c r="AC1256" s="659"/>
      <c r="AD1256" s="659"/>
      <c r="AE1256" s="659"/>
      <c r="AF1256" s="659"/>
      <c r="AG1256" s="659"/>
      <c r="AH1256" s="659"/>
      <c r="AI1256" s="659"/>
      <c r="AJ1256" s="659"/>
      <c r="AK1256" s="659"/>
      <c r="AL1256" s="659"/>
      <c r="AM1256" s="659"/>
      <c r="AN1256" s="659"/>
      <c r="AO1256" s="659"/>
      <c r="AP1256" s="659"/>
      <c r="AQ1256" s="746"/>
    </row>
    <row r="1257">
      <c r="A1257" s="703"/>
      <c r="B1257" s="1004"/>
      <c r="C1257" s="1005"/>
      <c r="D1257" s="645"/>
      <c r="E1257" s="645"/>
      <c r="F1257" s="951"/>
      <c r="G1257" s="951"/>
      <c r="H1257" s="951"/>
      <c r="I1257" s="951"/>
      <c r="J1257" s="951"/>
      <c r="K1257" s="951"/>
      <c r="L1257" s="951"/>
      <c r="M1257" s="951"/>
      <c r="N1257" s="659"/>
      <c r="O1257" s="951"/>
      <c r="P1257" s="951"/>
      <c r="Q1257" s="659"/>
      <c r="R1257" s="659"/>
      <c r="S1257" s="659"/>
      <c r="T1257" s="659"/>
      <c r="U1257" s="659"/>
      <c r="V1257" s="659"/>
      <c r="W1257" s="659"/>
      <c r="X1257" s="659"/>
      <c r="Y1257" s="659"/>
      <c r="Z1257" s="659"/>
      <c r="AA1257" s="659"/>
      <c r="AB1257" s="659"/>
      <c r="AC1257" s="659"/>
      <c r="AD1257" s="659"/>
      <c r="AE1257" s="659"/>
      <c r="AF1257" s="659"/>
      <c r="AG1257" s="659"/>
      <c r="AH1257" s="659"/>
      <c r="AI1257" s="659"/>
      <c r="AJ1257" s="659"/>
      <c r="AK1257" s="659"/>
      <c r="AL1257" s="659"/>
      <c r="AM1257" s="659"/>
      <c r="AN1257" s="659"/>
      <c r="AO1257" s="659"/>
      <c r="AP1257" s="659"/>
      <c r="AQ1257" s="746"/>
    </row>
    <row r="1258">
      <c r="A1258" s="703"/>
      <c r="B1258" s="1004"/>
      <c r="C1258" s="1005"/>
      <c r="D1258" s="645"/>
      <c r="E1258" s="645"/>
      <c r="F1258" s="951"/>
      <c r="G1258" s="951"/>
      <c r="H1258" s="951"/>
      <c r="I1258" s="951"/>
      <c r="J1258" s="951"/>
      <c r="K1258" s="951"/>
      <c r="L1258" s="951"/>
      <c r="M1258" s="951"/>
      <c r="N1258" s="659"/>
      <c r="O1258" s="951"/>
      <c r="P1258" s="951"/>
      <c r="Q1258" s="659"/>
      <c r="R1258" s="659"/>
      <c r="S1258" s="659"/>
      <c r="T1258" s="659"/>
      <c r="U1258" s="659"/>
      <c r="V1258" s="659"/>
      <c r="W1258" s="659"/>
      <c r="X1258" s="659"/>
      <c r="Y1258" s="659"/>
      <c r="Z1258" s="659"/>
      <c r="AA1258" s="659"/>
      <c r="AB1258" s="659"/>
      <c r="AC1258" s="659"/>
      <c r="AD1258" s="659"/>
      <c r="AE1258" s="659"/>
      <c r="AF1258" s="659"/>
      <c r="AG1258" s="659"/>
      <c r="AH1258" s="659"/>
      <c r="AI1258" s="659"/>
      <c r="AJ1258" s="659"/>
      <c r="AK1258" s="659"/>
      <c r="AL1258" s="659"/>
      <c r="AM1258" s="659"/>
      <c r="AN1258" s="659"/>
      <c r="AO1258" s="659"/>
      <c r="AP1258" s="659"/>
      <c r="AQ1258" s="746"/>
    </row>
    <row r="1259">
      <c r="A1259" s="703"/>
      <c r="B1259" s="1004"/>
      <c r="C1259" s="1005"/>
      <c r="D1259" s="645"/>
      <c r="E1259" s="645"/>
      <c r="F1259" s="951"/>
      <c r="G1259" s="951"/>
      <c r="H1259" s="951"/>
      <c r="I1259" s="951"/>
      <c r="J1259" s="951"/>
      <c r="K1259" s="951"/>
      <c r="L1259" s="951"/>
      <c r="M1259" s="951"/>
      <c r="N1259" s="659"/>
      <c r="O1259" s="951"/>
      <c r="P1259" s="951"/>
      <c r="Q1259" s="659"/>
      <c r="R1259" s="659"/>
      <c r="S1259" s="659"/>
      <c r="T1259" s="659"/>
      <c r="U1259" s="659"/>
      <c r="V1259" s="659"/>
      <c r="W1259" s="659"/>
      <c r="X1259" s="659"/>
      <c r="Y1259" s="659"/>
      <c r="Z1259" s="659"/>
      <c r="AA1259" s="659"/>
      <c r="AB1259" s="659"/>
      <c r="AC1259" s="659"/>
      <c r="AD1259" s="659"/>
      <c r="AE1259" s="659"/>
      <c r="AF1259" s="659"/>
      <c r="AG1259" s="659"/>
      <c r="AH1259" s="659"/>
      <c r="AI1259" s="659"/>
      <c r="AJ1259" s="659"/>
      <c r="AK1259" s="659"/>
      <c r="AL1259" s="659"/>
      <c r="AM1259" s="659"/>
      <c r="AN1259" s="659"/>
      <c r="AO1259" s="659"/>
      <c r="AP1259" s="659"/>
      <c r="AQ1259" s="746"/>
    </row>
    <row r="1260">
      <c r="A1260" s="703"/>
      <c r="B1260" s="1044"/>
      <c r="C1260" s="1005"/>
      <c r="D1260" s="645"/>
      <c r="E1260" s="645"/>
      <c r="F1260" s="951"/>
      <c r="G1260" s="951"/>
      <c r="H1260" s="951"/>
      <c r="I1260" s="951"/>
      <c r="J1260" s="951"/>
      <c r="K1260" s="951"/>
      <c r="L1260" s="951"/>
      <c r="M1260" s="951"/>
      <c r="N1260" s="659"/>
      <c r="O1260" s="951"/>
      <c r="P1260" s="951"/>
      <c r="Q1260" s="659"/>
      <c r="R1260" s="659"/>
      <c r="S1260" s="659"/>
      <c r="T1260" s="659"/>
      <c r="U1260" s="659"/>
      <c r="V1260" s="659"/>
      <c r="W1260" s="659"/>
      <c r="X1260" s="659"/>
      <c r="Y1260" s="659"/>
      <c r="Z1260" s="659"/>
      <c r="AA1260" s="659"/>
      <c r="AB1260" s="659"/>
      <c r="AC1260" s="659"/>
      <c r="AD1260" s="659"/>
      <c r="AE1260" s="659"/>
      <c r="AF1260" s="659"/>
      <c r="AG1260" s="659"/>
      <c r="AH1260" s="659"/>
      <c r="AI1260" s="659"/>
      <c r="AJ1260" s="659"/>
      <c r="AK1260" s="659"/>
      <c r="AL1260" s="659"/>
      <c r="AM1260" s="659"/>
      <c r="AN1260" s="659"/>
      <c r="AO1260" s="659"/>
      <c r="AP1260" s="659"/>
      <c r="AQ1260" s="746"/>
    </row>
    <row r="1261">
      <c r="A1261" s="703"/>
      <c r="B1261" s="1044"/>
      <c r="C1261" s="1005"/>
      <c r="D1261" s="645"/>
      <c r="E1261" s="645"/>
      <c r="F1261" s="951"/>
      <c r="G1261" s="951"/>
      <c r="H1261" s="951"/>
      <c r="I1261" s="951"/>
      <c r="J1261" s="951"/>
      <c r="K1261" s="951"/>
      <c r="L1261" s="951"/>
      <c r="M1261" s="951"/>
      <c r="N1261" s="659"/>
      <c r="O1261" s="951"/>
      <c r="P1261" s="951"/>
      <c r="Q1261" s="659"/>
      <c r="R1261" s="659"/>
      <c r="S1261" s="659"/>
      <c r="T1261" s="659"/>
      <c r="U1261" s="659"/>
      <c r="V1261" s="659"/>
      <c r="W1261" s="659"/>
      <c r="X1261" s="659"/>
      <c r="Y1261" s="659"/>
      <c r="Z1261" s="659"/>
      <c r="AA1261" s="659"/>
      <c r="AB1261" s="659"/>
      <c r="AC1261" s="659"/>
      <c r="AD1261" s="659"/>
      <c r="AE1261" s="659"/>
      <c r="AF1261" s="659"/>
      <c r="AG1261" s="659"/>
      <c r="AH1261" s="659"/>
      <c r="AI1261" s="659"/>
      <c r="AJ1261" s="659"/>
      <c r="AK1261" s="659"/>
      <c r="AL1261" s="659"/>
      <c r="AM1261" s="659"/>
      <c r="AN1261" s="659"/>
      <c r="AO1261" s="659"/>
      <c r="AP1261" s="659"/>
      <c r="AQ1261" s="746"/>
    </row>
    <row r="1262">
      <c r="A1262" s="703"/>
      <c r="B1262" s="1044"/>
      <c r="C1262" s="1005"/>
      <c r="D1262" s="645"/>
      <c r="E1262" s="645"/>
      <c r="F1262" s="951"/>
      <c r="G1262" s="951"/>
      <c r="H1262" s="951"/>
      <c r="I1262" s="951"/>
      <c r="J1262" s="951"/>
      <c r="K1262" s="951"/>
      <c r="L1262" s="951"/>
      <c r="M1262" s="951"/>
      <c r="N1262" s="659"/>
      <c r="O1262" s="951"/>
      <c r="P1262" s="951"/>
      <c r="Q1262" s="659"/>
      <c r="R1262" s="659"/>
      <c r="S1262" s="659"/>
      <c r="T1262" s="659"/>
      <c r="U1262" s="659"/>
      <c r="V1262" s="659"/>
      <c r="W1262" s="659"/>
      <c r="X1262" s="659"/>
      <c r="Y1262" s="659"/>
      <c r="Z1262" s="659"/>
      <c r="AA1262" s="659"/>
      <c r="AB1262" s="659"/>
      <c r="AC1262" s="659"/>
      <c r="AD1262" s="659"/>
      <c r="AE1262" s="659"/>
      <c r="AF1262" s="659"/>
      <c r="AG1262" s="659"/>
      <c r="AH1262" s="659"/>
      <c r="AI1262" s="659"/>
      <c r="AJ1262" s="659"/>
      <c r="AK1262" s="659"/>
      <c r="AL1262" s="659"/>
      <c r="AM1262" s="659"/>
      <c r="AN1262" s="659"/>
      <c r="AO1262" s="659"/>
      <c r="AP1262" s="659"/>
      <c r="AQ1262" s="746"/>
    </row>
    <row r="1263">
      <c r="A1263" s="703"/>
      <c r="B1263" s="1044"/>
      <c r="C1263" s="1005"/>
      <c r="D1263" s="645"/>
      <c r="E1263" s="645"/>
      <c r="F1263" s="951"/>
      <c r="G1263" s="951"/>
      <c r="H1263" s="951"/>
      <c r="I1263" s="951"/>
      <c r="J1263" s="951"/>
      <c r="K1263" s="951"/>
      <c r="L1263" s="951"/>
      <c r="M1263" s="951"/>
      <c r="N1263" s="659"/>
      <c r="O1263" s="951"/>
      <c r="P1263" s="951"/>
      <c r="Q1263" s="659"/>
      <c r="R1263" s="659"/>
      <c r="S1263" s="659"/>
      <c r="T1263" s="659"/>
      <c r="U1263" s="659"/>
      <c r="V1263" s="659"/>
      <c r="W1263" s="659"/>
      <c r="X1263" s="659"/>
      <c r="Y1263" s="659"/>
      <c r="Z1263" s="659"/>
      <c r="AA1263" s="659"/>
      <c r="AB1263" s="659"/>
      <c r="AC1263" s="659"/>
      <c r="AD1263" s="659"/>
      <c r="AE1263" s="659"/>
      <c r="AF1263" s="659"/>
      <c r="AG1263" s="659"/>
      <c r="AH1263" s="659"/>
      <c r="AI1263" s="659"/>
      <c r="AJ1263" s="659"/>
      <c r="AK1263" s="659"/>
      <c r="AL1263" s="659"/>
      <c r="AM1263" s="659"/>
      <c r="AN1263" s="659"/>
      <c r="AO1263" s="659"/>
      <c r="AP1263" s="659"/>
      <c r="AQ1263" s="746"/>
    </row>
    <row r="1264">
      <c r="A1264" s="703"/>
      <c r="B1264" s="1044"/>
      <c r="C1264" s="1005"/>
      <c r="D1264" s="645"/>
      <c r="E1264" s="645"/>
      <c r="F1264" s="951"/>
      <c r="G1264" s="951"/>
      <c r="H1264" s="951"/>
      <c r="I1264" s="951"/>
      <c r="J1264" s="951"/>
      <c r="K1264" s="951"/>
      <c r="L1264" s="951"/>
      <c r="M1264" s="951"/>
      <c r="N1264" s="659"/>
      <c r="O1264" s="951"/>
      <c r="P1264" s="951"/>
      <c r="Q1264" s="659"/>
      <c r="R1264" s="659"/>
      <c r="S1264" s="659"/>
      <c r="T1264" s="659"/>
      <c r="U1264" s="659"/>
      <c r="V1264" s="659"/>
      <c r="W1264" s="659"/>
      <c r="X1264" s="659"/>
      <c r="Y1264" s="659"/>
      <c r="Z1264" s="659"/>
      <c r="AA1264" s="659"/>
      <c r="AB1264" s="659"/>
      <c r="AC1264" s="659"/>
      <c r="AD1264" s="659"/>
      <c r="AE1264" s="659"/>
      <c r="AF1264" s="659"/>
      <c r="AG1264" s="659"/>
      <c r="AH1264" s="659"/>
      <c r="AI1264" s="659"/>
      <c r="AJ1264" s="659"/>
      <c r="AK1264" s="659"/>
      <c r="AL1264" s="659"/>
      <c r="AM1264" s="659"/>
      <c r="AN1264" s="659"/>
      <c r="AO1264" s="659"/>
      <c r="AP1264" s="659"/>
      <c r="AQ1264" s="746"/>
    </row>
    <row r="1265">
      <c r="A1265" s="703"/>
      <c r="B1265" s="1044"/>
      <c r="C1265" s="1005"/>
      <c r="D1265" s="645"/>
      <c r="E1265" s="645"/>
      <c r="F1265" s="951"/>
      <c r="G1265" s="951"/>
      <c r="H1265" s="951"/>
      <c r="I1265" s="951"/>
      <c r="J1265" s="951"/>
      <c r="K1265" s="951"/>
      <c r="L1265" s="951"/>
      <c r="M1265" s="951"/>
      <c r="N1265" s="659"/>
      <c r="O1265" s="951"/>
      <c r="P1265" s="951"/>
      <c r="Q1265" s="659"/>
      <c r="R1265" s="659"/>
      <c r="S1265" s="659"/>
      <c r="T1265" s="659"/>
      <c r="U1265" s="659"/>
      <c r="V1265" s="659"/>
      <c r="W1265" s="659"/>
      <c r="X1265" s="659"/>
      <c r="Y1265" s="659"/>
      <c r="Z1265" s="659"/>
      <c r="AA1265" s="659"/>
      <c r="AB1265" s="659"/>
      <c r="AC1265" s="659"/>
      <c r="AD1265" s="659"/>
      <c r="AE1265" s="659"/>
      <c r="AF1265" s="659"/>
      <c r="AG1265" s="659"/>
      <c r="AH1265" s="659"/>
      <c r="AI1265" s="659"/>
      <c r="AJ1265" s="659"/>
      <c r="AK1265" s="659"/>
      <c r="AL1265" s="659"/>
      <c r="AM1265" s="659"/>
      <c r="AN1265" s="659"/>
      <c r="AO1265" s="659"/>
      <c r="AP1265" s="659"/>
      <c r="AQ1265" s="746"/>
    </row>
    <row r="1266">
      <c r="A1266" s="703"/>
      <c r="B1266" s="1044"/>
      <c r="C1266" s="1005"/>
      <c r="D1266" s="645"/>
      <c r="E1266" s="645"/>
      <c r="F1266" s="951"/>
      <c r="G1266" s="951"/>
      <c r="H1266" s="951"/>
      <c r="I1266" s="951"/>
      <c r="J1266" s="951"/>
      <c r="K1266" s="951"/>
      <c r="L1266" s="951"/>
      <c r="M1266" s="951"/>
      <c r="N1266" s="659"/>
      <c r="O1266" s="951"/>
      <c r="P1266" s="951"/>
      <c r="Q1266" s="659"/>
      <c r="R1266" s="659"/>
      <c r="S1266" s="659"/>
      <c r="T1266" s="659"/>
      <c r="U1266" s="659"/>
      <c r="V1266" s="659"/>
      <c r="W1266" s="659"/>
      <c r="X1266" s="659"/>
      <c r="Y1266" s="659"/>
      <c r="Z1266" s="659"/>
      <c r="AA1266" s="659"/>
      <c r="AB1266" s="659"/>
      <c r="AC1266" s="659"/>
      <c r="AD1266" s="659"/>
      <c r="AE1266" s="659"/>
      <c r="AF1266" s="659"/>
      <c r="AG1266" s="659"/>
      <c r="AH1266" s="659"/>
      <c r="AI1266" s="659"/>
      <c r="AJ1266" s="659"/>
      <c r="AK1266" s="659"/>
      <c r="AL1266" s="659"/>
      <c r="AM1266" s="659"/>
      <c r="AN1266" s="659"/>
      <c r="AO1266" s="659"/>
      <c r="AP1266" s="659"/>
      <c r="AQ1266" s="746"/>
    </row>
    <row r="1267">
      <c r="A1267" s="703"/>
      <c r="B1267" s="1044"/>
      <c r="C1267" s="1005"/>
      <c r="D1267" s="645"/>
      <c r="E1267" s="645"/>
      <c r="F1267" s="951"/>
      <c r="G1267" s="951"/>
      <c r="H1267" s="951"/>
      <c r="I1267" s="951"/>
      <c r="J1267" s="951"/>
      <c r="K1267" s="951"/>
      <c r="L1267" s="951"/>
      <c r="M1267" s="951"/>
      <c r="N1267" s="659"/>
      <c r="O1267" s="951"/>
      <c r="P1267" s="951"/>
      <c r="Q1267" s="659"/>
      <c r="R1267" s="659"/>
      <c r="S1267" s="659"/>
      <c r="T1267" s="659"/>
      <c r="U1267" s="659"/>
      <c r="V1267" s="659"/>
      <c r="W1267" s="659"/>
      <c r="X1267" s="659"/>
      <c r="Y1267" s="659"/>
      <c r="Z1267" s="659"/>
      <c r="AA1267" s="659"/>
      <c r="AB1267" s="659"/>
      <c r="AC1267" s="659"/>
      <c r="AD1267" s="659"/>
      <c r="AE1267" s="659"/>
      <c r="AF1267" s="659"/>
      <c r="AG1267" s="659"/>
      <c r="AH1267" s="659"/>
      <c r="AI1267" s="659"/>
      <c r="AJ1267" s="659"/>
      <c r="AK1267" s="659"/>
      <c r="AL1267" s="659"/>
      <c r="AM1267" s="659"/>
      <c r="AN1267" s="659"/>
      <c r="AO1267" s="659"/>
      <c r="AP1267" s="659"/>
      <c r="AQ1267" s="746"/>
    </row>
    <row r="1268">
      <c r="A1268" s="703"/>
      <c r="B1268" s="1044"/>
      <c r="C1268" s="1005"/>
      <c r="D1268" s="645"/>
      <c r="E1268" s="645"/>
      <c r="F1268" s="951"/>
      <c r="G1268" s="951"/>
      <c r="H1268" s="951"/>
      <c r="I1268" s="951"/>
      <c r="J1268" s="951"/>
      <c r="K1268" s="951"/>
      <c r="L1268" s="951"/>
      <c r="M1268" s="951"/>
      <c r="N1268" s="659"/>
      <c r="O1268" s="951"/>
      <c r="P1268" s="951"/>
      <c r="Q1268" s="659"/>
      <c r="R1268" s="659"/>
      <c r="S1268" s="659"/>
      <c r="T1268" s="659"/>
      <c r="U1268" s="659"/>
      <c r="V1268" s="659"/>
      <c r="W1268" s="659"/>
      <c r="X1268" s="659"/>
      <c r="Y1268" s="659"/>
      <c r="Z1268" s="659"/>
      <c r="AA1268" s="659"/>
      <c r="AB1268" s="659"/>
      <c r="AC1268" s="659"/>
      <c r="AD1268" s="659"/>
      <c r="AE1268" s="659"/>
      <c r="AF1268" s="659"/>
      <c r="AG1268" s="659"/>
      <c r="AH1268" s="659"/>
      <c r="AI1268" s="659"/>
      <c r="AJ1268" s="659"/>
      <c r="AK1268" s="659"/>
      <c r="AL1268" s="659"/>
      <c r="AM1268" s="659"/>
      <c r="AN1268" s="659"/>
      <c r="AO1268" s="659"/>
      <c r="AP1268" s="659"/>
      <c r="AQ1268" s="746"/>
    </row>
    <row r="1269">
      <c r="A1269" s="703"/>
      <c r="B1269" s="1044"/>
      <c r="C1269" s="1005"/>
      <c r="D1269" s="645"/>
      <c r="E1269" s="645"/>
      <c r="F1269" s="951"/>
      <c r="G1269" s="951"/>
      <c r="H1269" s="951"/>
      <c r="I1269" s="951"/>
      <c r="J1269" s="951"/>
      <c r="K1269" s="951"/>
      <c r="L1269" s="951"/>
      <c r="M1269" s="951"/>
      <c r="N1269" s="659"/>
      <c r="O1269" s="951"/>
      <c r="P1269" s="951"/>
      <c r="Q1269" s="659"/>
      <c r="R1269" s="659"/>
      <c r="S1269" s="659"/>
      <c r="T1269" s="659"/>
      <c r="U1269" s="659"/>
      <c r="V1269" s="659"/>
      <c r="W1269" s="659"/>
      <c r="X1269" s="659"/>
      <c r="Y1269" s="659"/>
      <c r="Z1269" s="659"/>
      <c r="AA1269" s="659"/>
      <c r="AB1269" s="659"/>
      <c r="AC1269" s="659"/>
      <c r="AD1269" s="659"/>
      <c r="AE1269" s="659"/>
      <c r="AF1269" s="659"/>
      <c r="AG1269" s="659"/>
      <c r="AH1269" s="659"/>
      <c r="AI1269" s="659"/>
      <c r="AJ1269" s="659"/>
      <c r="AK1269" s="659"/>
      <c r="AL1269" s="659"/>
      <c r="AM1269" s="659"/>
      <c r="AN1269" s="659"/>
      <c r="AO1269" s="659"/>
      <c r="AP1269" s="659"/>
      <c r="AQ1269" s="746"/>
    </row>
    <row r="1270">
      <c r="A1270" s="703"/>
      <c r="B1270" s="1044"/>
      <c r="C1270" s="1005"/>
      <c r="D1270" s="645"/>
      <c r="E1270" s="645"/>
      <c r="F1270" s="951"/>
      <c r="G1270" s="951"/>
      <c r="H1270" s="951"/>
      <c r="I1270" s="951"/>
      <c r="J1270" s="951"/>
      <c r="K1270" s="951"/>
      <c r="L1270" s="951"/>
      <c r="M1270" s="951"/>
      <c r="N1270" s="659"/>
      <c r="O1270" s="951"/>
      <c r="P1270" s="951"/>
      <c r="Q1270" s="659"/>
      <c r="R1270" s="659"/>
      <c r="S1270" s="659"/>
      <c r="T1270" s="659"/>
      <c r="U1270" s="659"/>
      <c r="V1270" s="659"/>
      <c r="W1270" s="659"/>
      <c r="X1270" s="659"/>
      <c r="Y1270" s="659"/>
      <c r="Z1270" s="659"/>
      <c r="AA1270" s="659"/>
      <c r="AB1270" s="659"/>
      <c r="AC1270" s="659"/>
      <c r="AD1270" s="659"/>
      <c r="AE1270" s="659"/>
      <c r="AF1270" s="659"/>
      <c r="AG1270" s="659"/>
      <c r="AH1270" s="659"/>
      <c r="AI1270" s="659"/>
      <c r="AJ1270" s="659"/>
      <c r="AK1270" s="659"/>
      <c r="AL1270" s="659"/>
      <c r="AM1270" s="659"/>
      <c r="AN1270" s="659"/>
      <c r="AO1270" s="659"/>
      <c r="AP1270" s="659"/>
      <c r="AQ1270" s="746"/>
    </row>
    <row r="1271">
      <c r="A1271" s="703"/>
      <c r="B1271" s="1044"/>
      <c r="C1271" s="1005"/>
      <c r="D1271" s="645"/>
      <c r="E1271" s="645"/>
      <c r="F1271" s="951"/>
      <c r="G1271" s="951"/>
      <c r="H1271" s="951"/>
      <c r="I1271" s="951"/>
      <c r="J1271" s="951"/>
      <c r="K1271" s="951"/>
      <c r="L1271" s="951"/>
      <c r="M1271" s="951"/>
      <c r="N1271" s="659"/>
      <c r="O1271" s="951"/>
      <c r="P1271" s="951"/>
      <c r="Q1271" s="659"/>
      <c r="R1271" s="659"/>
      <c r="S1271" s="659"/>
      <c r="T1271" s="659"/>
      <c r="U1271" s="659"/>
      <c r="V1271" s="659"/>
      <c r="W1271" s="659"/>
      <c r="X1271" s="659"/>
      <c r="Y1271" s="659"/>
      <c r="Z1271" s="659"/>
      <c r="AA1271" s="659"/>
      <c r="AB1271" s="659"/>
      <c r="AC1271" s="659"/>
      <c r="AD1271" s="659"/>
      <c r="AE1271" s="659"/>
      <c r="AF1271" s="659"/>
      <c r="AG1271" s="659"/>
      <c r="AH1271" s="659"/>
      <c r="AI1271" s="659"/>
      <c r="AJ1271" s="659"/>
      <c r="AK1271" s="659"/>
      <c r="AL1271" s="659"/>
      <c r="AM1271" s="659"/>
      <c r="AN1271" s="659"/>
      <c r="AO1271" s="659"/>
      <c r="AP1271" s="659"/>
      <c r="AQ1271" s="746"/>
    </row>
    <row r="1272">
      <c r="A1272" s="703"/>
      <c r="B1272" s="1044"/>
      <c r="C1272" s="1005"/>
      <c r="D1272" s="645"/>
      <c r="E1272" s="645"/>
      <c r="F1272" s="951"/>
      <c r="G1272" s="951"/>
      <c r="H1272" s="951"/>
      <c r="I1272" s="951"/>
      <c r="J1272" s="951"/>
      <c r="K1272" s="951"/>
      <c r="L1272" s="951"/>
      <c r="M1272" s="951"/>
      <c r="N1272" s="659"/>
      <c r="O1272" s="951"/>
      <c r="P1272" s="951"/>
      <c r="Q1272" s="659"/>
      <c r="R1272" s="659"/>
      <c r="S1272" s="659"/>
      <c r="T1272" s="659"/>
      <c r="U1272" s="659"/>
      <c r="V1272" s="659"/>
      <c r="W1272" s="659"/>
      <c r="X1272" s="659"/>
      <c r="Y1272" s="659"/>
      <c r="Z1272" s="659"/>
      <c r="AA1272" s="659"/>
      <c r="AB1272" s="659"/>
      <c r="AC1272" s="659"/>
      <c r="AD1272" s="659"/>
      <c r="AE1272" s="659"/>
      <c r="AF1272" s="659"/>
      <c r="AG1272" s="659"/>
      <c r="AH1272" s="659"/>
      <c r="AI1272" s="659"/>
      <c r="AJ1272" s="659"/>
      <c r="AK1272" s="659"/>
      <c r="AL1272" s="659"/>
      <c r="AM1272" s="659"/>
      <c r="AN1272" s="659"/>
      <c r="AO1272" s="659"/>
      <c r="AP1272" s="659"/>
      <c r="AQ1272" s="746"/>
    </row>
    <row r="1273">
      <c r="A1273" s="703"/>
      <c r="B1273" s="1044"/>
      <c r="C1273" s="1005"/>
      <c r="D1273" s="645"/>
      <c r="E1273" s="645"/>
      <c r="F1273" s="951"/>
      <c r="G1273" s="951"/>
      <c r="H1273" s="951"/>
      <c r="I1273" s="951"/>
      <c r="J1273" s="951"/>
      <c r="K1273" s="951"/>
      <c r="L1273" s="951"/>
      <c r="M1273" s="951"/>
      <c r="N1273" s="659"/>
      <c r="O1273" s="951"/>
      <c r="P1273" s="951"/>
      <c r="Q1273" s="659"/>
      <c r="R1273" s="659"/>
      <c r="S1273" s="659"/>
      <c r="T1273" s="659"/>
      <c r="U1273" s="659"/>
      <c r="V1273" s="659"/>
      <c r="W1273" s="659"/>
      <c r="X1273" s="659"/>
      <c r="Y1273" s="659"/>
      <c r="Z1273" s="659"/>
      <c r="AA1273" s="659"/>
      <c r="AB1273" s="659"/>
      <c r="AC1273" s="659"/>
      <c r="AD1273" s="659"/>
      <c r="AE1273" s="659"/>
      <c r="AF1273" s="659"/>
      <c r="AG1273" s="659"/>
      <c r="AH1273" s="659"/>
      <c r="AI1273" s="659"/>
      <c r="AJ1273" s="659"/>
      <c r="AK1273" s="659"/>
      <c r="AL1273" s="659"/>
      <c r="AM1273" s="659"/>
      <c r="AN1273" s="659"/>
      <c r="AO1273" s="659"/>
      <c r="AP1273" s="659"/>
      <c r="AQ1273" s="746"/>
    </row>
    <row r="1274">
      <c r="A1274" s="703"/>
      <c r="B1274" s="1044"/>
      <c r="C1274" s="1005"/>
      <c r="D1274" s="645"/>
      <c r="E1274" s="645"/>
      <c r="F1274" s="951"/>
      <c r="G1274" s="951"/>
      <c r="H1274" s="951"/>
      <c r="I1274" s="951"/>
      <c r="J1274" s="951"/>
      <c r="K1274" s="951"/>
      <c r="L1274" s="951"/>
      <c r="M1274" s="951"/>
      <c r="N1274" s="659"/>
      <c r="O1274" s="951"/>
      <c r="P1274" s="951"/>
      <c r="Q1274" s="659"/>
      <c r="R1274" s="659"/>
      <c r="S1274" s="659"/>
      <c r="T1274" s="659"/>
      <c r="U1274" s="659"/>
      <c r="V1274" s="659"/>
      <c r="W1274" s="659"/>
      <c r="X1274" s="659"/>
      <c r="Y1274" s="659"/>
      <c r="Z1274" s="659"/>
      <c r="AA1274" s="659"/>
      <c r="AB1274" s="659"/>
      <c r="AC1274" s="659"/>
      <c r="AD1274" s="659"/>
      <c r="AE1274" s="659"/>
      <c r="AF1274" s="659"/>
      <c r="AG1274" s="659"/>
      <c r="AH1274" s="659"/>
      <c r="AI1274" s="659"/>
      <c r="AJ1274" s="659"/>
      <c r="AK1274" s="659"/>
      <c r="AL1274" s="659"/>
      <c r="AM1274" s="659"/>
      <c r="AN1274" s="659"/>
      <c r="AO1274" s="659"/>
      <c r="AP1274" s="659"/>
      <c r="AQ1274" s="746"/>
    </row>
    <row r="1275">
      <c r="A1275" s="703"/>
      <c r="B1275" s="1044"/>
      <c r="C1275" s="1005"/>
      <c r="D1275" s="645"/>
      <c r="E1275" s="645"/>
      <c r="F1275" s="951"/>
      <c r="G1275" s="951"/>
      <c r="H1275" s="951"/>
      <c r="I1275" s="951"/>
      <c r="J1275" s="951"/>
      <c r="K1275" s="951"/>
      <c r="L1275" s="951"/>
      <c r="M1275" s="951"/>
      <c r="N1275" s="659"/>
      <c r="O1275" s="951"/>
      <c r="P1275" s="951"/>
      <c r="Q1275" s="659"/>
      <c r="R1275" s="659"/>
      <c r="S1275" s="659"/>
      <c r="T1275" s="659"/>
      <c r="U1275" s="659"/>
      <c r="V1275" s="659"/>
      <c r="W1275" s="659"/>
      <c r="X1275" s="659"/>
      <c r="Y1275" s="659"/>
      <c r="Z1275" s="659"/>
      <c r="AA1275" s="659"/>
      <c r="AB1275" s="659"/>
      <c r="AC1275" s="659"/>
      <c r="AD1275" s="659"/>
      <c r="AE1275" s="659"/>
      <c r="AF1275" s="659"/>
      <c r="AG1275" s="659"/>
      <c r="AH1275" s="659"/>
      <c r="AI1275" s="659"/>
      <c r="AJ1275" s="659"/>
      <c r="AK1275" s="659"/>
      <c r="AL1275" s="659"/>
      <c r="AM1275" s="659"/>
      <c r="AN1275" s="659"/>
      <c r="AO1275" s="659"/>
      <c r="AP1275" s="659"/>
      <c r="AQ1275" s="746"/>
    </row>
    <row r="1276">
      <c r="A1276" s="703"/>
      <c r="B1276" s="1044"/>
      <c r="C1276" s="1005"/>
      <c r="D1276" s="645"/>
      <c r="E1276" s="645"/>
      <c r="F1276" s="951"/>
      <c r="G1276" s="951"/>
      <c r="H1276" s="951"/>
      <c r="I1276" s="951"/>
      <c r="J1276" s="951"/>
      <c r="K1276" s="951"/>
      <c r="L1276" s="951"/>
      <c r="M1276" s="951"/>
      <c r="N1276" s="659"/>
      <c r="O1276" s="951"/>
      <c r="P1276" s="951"/>
      <c r="Q1276" s="659"/>
      <c r="R1276" s="659"/>
      <c r="S1276" s="659"/>
      <c r="T1276" s="659"/>
      <c r="U1276" s="659"/>
      <c r="V1276" s="659"/>
      <c r="W1276" s="659"/>
      <c r="X1276" s="659"/>
      <c r="Y1276" s="659"/>
      <c r="Z1276" s="659"/>
      <c r="AA1276" s="659"/>
      <c r="AB1276" s="659"/>
      <c r="AC1276" s="659"/>
      <c r="AD1276" s="659"/>
      <c r="AE1276" s="659"/>
      <c r="AF1276" s="659"/>
      <c r="AG1276" s="659"/>
      <c r="AH1276" s="659"/>
      <c r="AI1276" s="659"/>
      <c r="AJ1276" s="659"/>
      <c r="AK1276" s="659"/>
      <c r="AL1276" s="659"/>
      <c r="AM1276" s="659"/>
      <c r="AN1276" s="659"/>
      <c r="AO1276" s="659"/>
      <c r="AP1276" s="659"/>
      <c r="AQ1276" s="746"/>
    </row>
    <row r="1277">
      <c r="A1277" s="703"/>
      <c r="B1277" s="1044"/>
      <c r="C1277" s="1005"/>
      <c r="D1277" s="645"/>
      <c r="E1277" s="645"/>
      <c r="F1277" s="951"/>
      <c r="G1277" s="951"/>
      <c r="H1277" s="951"/>
      <c r="I1277" s="951"/>
      <c r="J1277" s="951"/>
      <c r="K1277" s="951"/>
      <c r="L1277" s="951"/>
      <c r="M1277" s="951"/>
      <c r="N1277" s="659"/>
      <c r="O1277" s="951"/>
      <c r="P1277" s="951"/>
      <c r="Q1277" s="659"/>
      <c r="R1277" s="659"/>
      <c r="S1277" s="659"/>
      <c r="T1277" s="659"/>
      <c r="U1277" s="659"/>
      <c r="V1277" s="659"/>
      <c r="W1277" s="659"/>
      <c r="X1277" s="659"/>
      <c r="Y1277" s="659"/>
      <c r="Z1277" s="659"/>
      <c r="AA1277" s="659"/>
      <c r="AB1277" s="659"/>
      <c r="AC1277" s="659"/>
      <c r="AD1277" s="659"/>
      <c r="AE1277" s="659"/>
      <c r="AF1277" s="659"/>
      <c r="AG1277" s="659"/>
      <c r="AH1277" s="659"/>
      <c r="AI1277" s="659"/>
      <c r="AJ1277" s="659"/>
      <c r="AK1277" s="659"/>
      <c r="AL1277" s="659"/>
      <c r="AM1277" s="659"/>
      <c r="AN1277" s="659"/>
      <c r="AO1277" s="659"/>
      <c r="AP1277" s="659"/>
      <c r="AQ1277" s="746"/>
    </row>
    <row r="1278">
      <c r="A1278" s="703"/>
      <c r="B1278" s="1044"/>
      <c r="C1278" s="1005"/>
      <c r="D1278" s="645"/>
      <c r="E1278" s="645"/>
      <c r="F1278" s="951"/>
      <c r="G1278" s="951"/>
      <c r="H1278" s="951"/>
      <c r="I1278" s="951"/>
      <c r="J1278" s="951"/>
      <c r="K1278" s="951"/>
      <c r="L1278" s="951"/>
      <c r="M1278" s="951"/>
      <c r="N1278" s="659"/>
      <c r="O1278" s="951"/>
      <c r="P1278" s="951"/>
      <c r="Q1278" s="659"/>
      <c r="R1278" s="659"/>
      <c r="S1278" s="659"/>
      <c r="T1278" s="659"/>
      <c r="U1278" s="659"/>
      <c r="V1278" s="659"/>
      <c r="W1278" s="659"/>
      <c r="X1278" s="659"/>
      <c r="Y1278" s="659"/>
      <c r="Z1278" s="659"/>
      <c r="AA1278" s="659"/>
      <c r="AB1278" s="659"/>
      <c r="AC1278" s="659"/>
      <c r="AD1278" s="659"/>
      <c r="AE1278" s="659"/>
      <c r="AF1278" s="659"/>
      <c r="AG1278" s="659"/>
      <c r="AH1278" s="659"/>
      <c r="AI1278" s="659"/>
      <c r="AJ1278" s="659"/>
      <c r="AK1278" s="659"/>
      <c r="AL1278" s="659"/>
      <c r="AM1278" s="659"/>
      <c r="AN1278" s="659"/>
      <c r="AO1278" s="659"/>
      <c r="AP1278" s="659"/>
      <c r="AQ1278" s="746"/>
    </row>
    <row r="1279">
      <c r="A1279" s="703"/>
      <c r="B1279" s="1044"/>
      <c r="C1279" s="1005"/>
      <c r="D1279" s="645"/>
      <c r="E1279" s="645"/>
      <c r="F1279" s="951"/>
      <c r="G1279" s="951"/>
      <c r="H1279" s="951"/>
      <c r="I1279" s="951"/>
      <c r="J1279" s="951"/>
      <c r="K1279" s="951"/>
      <c r="L1279" s="951"/>
      <c r="M1279" s="951"/>
      <c r="N1279" s="659"/>
      <c r="O1279" s="951"/>
      <c r="P1279" s="951"/>
      <c r="Q1279" s="659"/>
      <c r="R1279" s="659"/>
      <c r="S1279" s="659"/>
      <c r="T1279" s="659"/>
      <c r="U1279" s="659"/>
      <c r="V1279" s="659"/>
      <c r="W1279" s="659"/>
      <c r="X1279" s="659"/>
      <c r="Y1279" s="659"/>
      <c r="Z1279" s="659"/>
      <c r="AA1279" s="659"/>
      <c r="AB1279" s="659"/>
      <c r="AC1279" s="659"/>
      <c r="AD1279" s="659"/>
      <c r="AE1279" s="659"/>
      <c r="AF1279" s="659"/>
      <c r="AG1279" s="659"/>
      <c r="AH1279" s="659"/>
      <c r="AI1279" s="659"/>
      <c r="AJ1279" s="659"/>
      <c r="AK1279" s="659"/>
      <c r="AL1279" s="659"/>
      <c r="AM1279" s="659"/>
      <c r="AN1279" s="659"/>
      <c r="AO1279" s="659"/>
      <c r="AP1279" s="659"/>
      <c r="AQ1279" s="746"/>
    </row>
    <row r="1280">
      <c r="A1280" s="703"/>
      <c r="B1280" s="1004" t="s">
        <v>992</v>
      </c>
      <c r="C1280" s="1005"/>
      <c r="D1280" s="645"/>
      <c r="E1280" s="645"/>
      <c r="F1280" s="951"/>
      <c r="G1280" s="951"/>
      <c r="H1280" s="951"/>
      <c r="I1280" s="951"/>
      <c r="J1280" s="951"/>
      <c r="K1280" s="951"/>
      <c r="L1280" s="951"/>
      <c r="M1280" s="951"/>
      <c r="N1280" s="659"/>
      <c r="O1280" s="951"/>
      <c r="P1280" s="951"/>
      <c r="Q1280" s="659"/>
      <c r="R1280" s="659"/>
      <c r="S1280" s="659"/>
      <c r="T1280" s="659"/>
      <c r="U1280" s="659"/>
      <c r="V1280" s="659"/>
      <c r="W1280" s="659"/>
      <c r="X1280" s="659"/>
      <c r="Y1280" s="659"/>
      <c r="Z1280" s="659"/>
      <c r="AA1280" s="659"/>
      <c r="AB1280" s="659"/>
      <c r="AC1280" s="659"/>
      <c r="AD1280" s="659"/>
      <c r="AE1280" s="659"/>
      <c r="AF1280" s="659"/>
      <c r="AG1280" s="659"/>
      <c r="AH1280" s="659"/>
      <c r="AI1280" s="659"/>
      <c r="AJ1280" s="659"/>
      <c r="AK1280" s="659"/>
      <c r="AL1280" s="659"/>
      <c r="AM1280" s="659"/>
      <c r="AN1280" s="659"/>
      <c r="AO1280" s="659"/>
      <c r="AP1280" s="659"/>
      <c r="AQ1280" s="746"/>
    </row>
    <row r="1281">
      <c r="A1281" s="703"/>
      <c r="B1281" s="1004" t="s">
        <v>993</v>
      </c>
      <c r="C1281" s="1005"/>
      <c r="D1281" s="645"/>
      <c r="E1281" s="645"/>
      <c r="F1281" s="951"/>
      <c r="G1281" s="951"/>
      <c r="H1281" s="951"/>
      <c r="I1281" s="951"/>
      <c r="J1281" s="951"/>
      <c r="K1281" s="951"/>
      <c r="L1281" s="951"/>
      <c r="M1281" s="951"/>
      <c r="N1281" s="659"/>
      <c r="O1281" s="951"/>
      <c r="P1281" s="951"/>
      <c r="Q1281" s="659"/>
      <c r="R1281" s="659"/>
      <c r="S1281" s="659"/>
      <c r="T1281" s="659"/>
      <c r="U1281" s="659"/>
      <c r="V1281" s="659"/>
      <c r="W1281" s="659"/>
      <c r="X1281" s="659"/>
      <c r="Y1281" s="659"/>
      <c r="Z1281" s="659"/>
      <c r="AA1281" s="659"/>
      <c r="AB1281" s="659"/>
      <c r="AC1281" s="659"/>
      <c r="AD1281" s="659"/>
      <c r="AE1281" s="659"/>
      <c r="AF1281" s="659"/>
      <c r="AG1281" s="659"/>
      <c r="AH1281" s="659"/>
      <c r="AI1281" s="659"/>
      <c r="AJ1281" s="659"/>
      <c r="AK1281" s="659"/>
      <c r="AL1281" s="659"/>
      <c r="AM1281" s="659"/>
      <c r="AN1281" s="659"/>
      <c r="AO1281" s="659"/>
      <c r="AP1281" s="659"/>
      <c r="AQ1281" s="746"/>
    </row>
    <row r="1282">
      <c r="A1282" s="703"/>
      <c r="B1282" s="1044" t="s">
        <v>994</v>
      </c>
      <c r="C1282" s="1005"/>
      <c r="D1282" s="645"/>
      <c r="E1282" s="645"/>
      <c r="F1282" s="951"/>
      <c r="G1282" s="951"/>
      <c r="H1282" s="951"/>
      <c r="I1282" s="951"/>
      <c r="J1282" s="951"/>
      <c r="K1282" s="951"/>
      <c r="L1282" s="951"/>
      <c r="M1282" s="951"/>
      <c r="N1282" s="659"/>
      <c r="O1282" s="951"/>
      <c r="P1282" s="951"/>
      <c r="Q1282" s="659"/>
      <c r="R1282" s="659"/>
      <c r="S1282" s="659"/>
      <c r="T1282" s="659"/>
      <c r="U1282" s="659"/>
      <c r="V1282" s="659"/>
      <c r="W1282" s="659"/>
      <c r="X1282" s="659"/>
      <c r="Y1282" s="659"/>
      <c r="Z1282" s="659"/>
      <c r="AA1282" s="659"/>
      <c r="AB1282" s="659"/>
      <c r="AC1282" s="659"/>
      <c r="AD1282" s="659"/>
      <c r="AE1282" s="659"/>
      <c r="AF1282" s="659"/>
      <c r="AG1282" s="659"/>
      <c r="AH1282" s="659"/>
      <c r="AI1282" s="659"/>
      <c r="AJ1282" s="659"/>
      <c r="AK1282" s="659"/>
      <c r="AL1282" s="659"/>
      <c r="AM1282" s="659"/>
      <c r="AN1282" s="659"/>
      <c r="AO1282" s="659"/>
      <c r="AP1282" s="659"/>
      <c r="AQ1282" s="746"/>
    </row>
    <row r="1283">
      <c r="A1283" s="703"/>
      <c r="B1283" s="1044" t="s">
        <v>995</v>
      </c>
      <c r="C1283" s="1005"/>
      <c r="D1283" s="645"/>
      <c r="E1283" s="645"/>
      <c r="F1283" s="951"/>
      <c r="G1283" s="951"/>
      <c r="H1283" s="951"/>
      <c r="I1283" s="951"/>
      <c r="J1283" s="951"/>
      <c r="K1283" s="951"/>
      <c r="L1283" s="951"/>
      <c r="M1283" s="951"/>
      <c r="N1283" s="659"/>
      <c r="O1283" s="951"/>
      <c r="P1283" s="951"/>
      <c r="Q1283" s="659"/>
      <c r="R1283" s="659"/>
      <c r="S1283" s="659"/>
      <c r="T1283" s="659"/>
      <c r="U1283" s="659"/>
      <c r="V1283" s="659"/>
      <c r="W1283" s="659"/>
      <c r="X1283" s="659"/>
      <c r="Y1283" s="659"/>
      <c r="Z1283" s="659"/>
      <c r="AA1283" s="659"/>
      <c r="AB1283" s="659"/>
      <c r="AC1283" s="659"/>
      <c r="AD1283" s="659"/>
      <c r="AE1283" s="659"/>
      <c r="AF1283" s="659"/>
      <c r="AG1283" s="659"/>
      <c r="AH1283" s="659"/>
      <c r="AI1283" s="659"/>
      <c r="AJ1283" s="659"/>
      <c r="AK1283" s="659"/>
      <c r="AL1283" s="659"/>
      <c r="AM1283" s="659"/>
      <c r="AN1283" s="659"/>
      <c r="AO1283" s="659"/>
      <c r="AP1283" s="659"/>
      <c r="AQ1283" s="746"/>
    </row>
    <row r="1284">
      <c r="A1284" s="703"/>
      <c r="B1284" s="1044" t="s">
        <v>996</v>
      </c>
      <c r="C1284" s="1005"/>
      <c r="D1284" s="645"/>
      <c r="E1284" s="645"/>
      <c r="F1284" s="951"/>
      <c r="G1284" s="951"/>
      <c r="H1284" s="951"/>
      <c r="I1284" s="951"/>
      <c r="J1284" s="951"/>
      <c r="K1284" s="951"/>
      <c r="L1284" s="951"/>
      <c r="M1284" s="951"/>
      <c r="N1284" s="659"/>
      <c r="O1284" s="951"/>
      <c r="P1284" s="951"/>
      <c r="Q1284" s="659"/>
      <c r="R1284" s="659"/>
      <c r="S1284" s="659"/>
      <c r="T1284" s="659"/>
      <c r="U1284" s="659"/>
      <c r="V1284" s="659"/>
      <c r="W1284" s="659"/>
      <c r="X1284" s="659"/>
      <c r="Y1284" s="659"/>
      <c r="Z1284" s="659"/>
      <c r="AA1284" s="659"/>
      <c r="AB1284" s="659"/>
      <c r="AC1284" s="659"/>
      <c r="AD1284" s="659"/>
      <c r="AE1284" s="659"/>
      <c r="AF1284" s="659"/>
      <c r="AG1284" s="659"/>
      <c r="AH1284" s="659"/>
      <c r="AI1284" s="659"/>
      <c r="AJ1284" s="659"/>
      <c r="AK1284" s="659"/>
      <c r="AL1284" s="659"/>
      <c r="AM1284" s="659"/>
      <c r="AN1284" s="659"/>
      <c r="AO1284" s="659"/>
      <c r="AP1284" s="659"/>
      <c r="AQ1284" s="746"/>
    </row>
    <row r="1285">
      <c r="A1285" s="703"/>
      <c r="B1285" s="1044" t="s">
        <v>997</v>
      </c>
      <c r="C1285" s="1005"/>
      <c r="D1285" s="645"/>
      <c r="E1285" s="645"/>
      <c r="F1285" s="951"/>
      <c r="G1285" s="951"/>
      <c r="H1285" s="951"/>
      <c r="I1285" s="951"/>
      <c r="J1285" s="951"/>
      <c r="K1285" s="951"/>
      <c r="L1285" s="951"/>
      <c r="M1285" s="951"/>
      <c r="N1285" s="659"/>
      <c r="O1285" s="951"/>
      <c r="P1285" s="951"/>
      <c r="Q1285" s="659"/>
      <c r="R1285" s="659"/>
      <c r="S1285" s="659"/>
      <c r="T1285" s="659"/>
      <c r="U1285" s="659"/>
      <c r="V1285" s="659"/>
      <c r="W1285" s="659"/>
      <c r="X1285" s="659"/>
      <c r="Y1285" s="659"/>
      <c r="Z1285" s="659"/>
      <c r="AA1285" s="659"/>
      <c r="AB1285" s="659"/>
      <c r="AC1285" s="659"/>
      <c r="AD1285" s="659"/>
      <c r="AE1285" s="659"/>
      <c r="AF1285" s="659"/>
      <c r="AG1285" s="659"/>
      <c r="AH1285" s="659"/>
      <c r="AI1285" s="659"/>
      <c r="AJ1285" s="659"/>
      <c r="AK1285" s="659"/>
      <c r="AL1285" s="659"/>
      <c r="AM1285" s="659"/>
      <c r="AN1285" s="659"/>
      <c r="AO1285" s="659"/>
      <c r="AP1285" s="659"/>
      <c r="AQ1285" s="746"/>
    </row>
  </sheetData>
  <autoFilter ref="$B$1:$C$1285">
    <sortState ref="B1:C1285">
      <sortCondition descending="1" ref="C1:C1285"/>
      <sortCondition ref="B1:B1285"/>
    </sortState>
  </autoFilter>
  <mergeCells count="3">
    <mergeCell ref="N1:S1"/>
    <mergeCell ref="F2:L2"/>
    <mergeCell ref="N60:S60"/>
  </mergeCells>
  <conditionalFormatting sqref="X1:AO1285">
    <cfRule type="cellIs" dxfId="29" priority="1" operator="equal">
      <formula>0.25</formula>
    </cfRule>
  </conditionalFormatting>
  <conditionalFormatting sqref="X1:AO1285">
    <cfRule type="cellIs" dxfId="25" priority="2" operator="equal">
      <formula>0</formula>
    </cfRule>
  </conditionalFormatting>
  <conditionalFormatting sqref="X1:AO1285">
    <cfRule type="cellIs" dxfId="30" priority="3" operator="equal">
      <formula>0.5</formula>
    </cfRule>
  </conditionalFormatting>
  <conditionalFormatting sqref="X1:AO1285">
    <cfRule type="cellIs" dxfId="31" priority="4" operator="equal">
      <formula>2</formula>
    </cfRule>
  </conditionalFormatting>
  <conditionalFormatting sqref="X1:AO1285">
    <cfRule type="cellIs" dxfId="32" priority="5" operator="equal">
      <formula>4</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38"/>
    <col customWidth="1" min="3" max="3" width="3.88"/>
    <col customWidth="1" min="4" max="4" width="5.13"/>
    <col customWidth="1" min="5" max="5" width="3.88"/>
    <col customWidth="1" min="6" max="6" width="15.13"/>
    <col customWidth="1" min="7" max="9" width="6.38"/>
    <col customWidth="1" min="10" max="17" width="4.5"/>
    <col customWidth="1" min="18" max="18" width="2.0"/>
    <col customWidth="1" min="19" max="19" width="3.88"/>
    <col customWidth="1" min="20" max="20" width="15.75"/>
    <col customWidth="1" min="21" max="39" width="3.88"/>
    <col customWidth="1" min="40" max="40" width="1.88"/>
    <col customWidth="1" min="41" max="41" width="15.63"/>
    <col customWidth="1" min="42" max="44" width="3.88"/>
    <col customWidth="1" min="45" max="46" width="1.38"/>
  </cols>
  <sheetData>
    <row r="1" ht="7.5" customHeight="1">
      <c r="A1" s="502"/>
      <c r="B1" s="504"/>
      <c r="C1" s="504"/>
      <c r="D1" s="504"/>
      <c r="E1" s="504"/>
      <c r="F1" s="504"/>
      <c r="G1" s="745"/>
      <c r="H1" s="745"/>
      <c r="I1" s="745"/>
      <c r="J1" s="504"/>
      <c r="K1" s="504"/>
      <c r="L1" s="504"/>
      <c r="M1" s="504"/>
      <c r="N1" s="504"/>
      <c r="O1" s="504"/>
      <c r="P1" s="504"/>
      <c r="Q1" s="504"/>
      <c r="R1" s="504"/>
      <c r="S1" s="504"/>
      <c r="T1" s="504"/>
      <c r="U1" s="504"/>
      <c r="V1" s="504"/>
      <c r="W1" s="504"/>
      <c r="X1" s="504"/>
      <c r="Y1" s="504"/>
      <c r="Z1" s="504"/>
      <c r="AA1" s="504"/>
      <c r="AB1" s="504"/>
      <c r="AC1" s="504"/>
      <c r="AD1" s="504"/>
      <c r="AE1" s="504"/>
      <c r="AF1" s="504"/>
      <c r="AG1" s="504"/>
      <c r="AH1" s="504"/>
      <c r="AI1" s="504"/>
      <c r="AJ1" s="504"/>
      <c r="AK1" s="504"/>
      <c r="AL1" s="504"/>
      <c r="AM1" s="504"/>
      <c r="AN1" s="504"/>
      <c r="AO1" s="504"/>
      <c r="AP1" s="504"/>
      <c r="AQ1" s="504"/>
      <c r="AR1" s="504"/>
      <c r="AS1" s="504"/>
      <c r="AT1" s="504"/>
    </row>
    <row r="2" ht="7.5" customHeight="1">
      <c r="A2" s="504"/>
      <c r="B2" s="508"/>
      <c r="C2" s="509"/>
      <c r="D2" s="509"/>
      <c r="E2" s="509"/>
      <c r="F2" s="509"/>
      <c r="G2" s="748"/>
      <c r="H2" s="748"/>
      <c r="I2" s="748"/>
      <c r="J2" s="509"/>
      <c r="K2" s="509"/>
      <c r="L2" s="509"/>
      <c r="M2" s="509"/>
      <c r="N2" s="509"/>
      <c r="O2" s="509"/>
      <c r="P2" s="509"/>
      <c r="Q2" s="509"/>
      <c r="R2" s="509"/>
      <c r="S2" s="509"/>
      <c r="T2" s="509"/>
      <c r="U2" s="509"/>
      <c r="V2" s="509"/>
      <c r="W2" s="509"/>
      <c r="X2" s="509"/>
      <c r="Y2" s="509"/>
      <c r="Z2" s="509"/>
      <c r="AA2" s="509"/>
      <c r="AB2" s="509"/>
      <c r="AC2" s="509"/>
      <c r="AD2" s="509"/>
      <c r="AE2" s="509"/>
      <c r="AF2" s="509"/>
      <c r="AG2" s="509"/>
      <c r="AH2" s="509"/>
      <c r="AI2" s="509"/>
      <c r="AJ2" s="509"/>
      <c r="AK2" s="509"/>
      <c r="AL2" s="509"/>
      <c r="AM2" s="509"/>
      <c r="AN2" s="509"/>
      <c r="AO2" s="509"/>
      <c r="AP2" s="509"/>
      <c r="AQ2" s="509"/>
      <c r="AR2" s="509"/>
      <c r="AS2" s="510"/>
      <c r="AT2" s="504"/>
    </row>
    <row r="3">
      <c r="A3" s="504"/>
      <c r="B3" s="514"/>
      <c r="C3" s="749" t="s">
        <v>390</v>
      </c>
      <c r="D3" s="750"/>
      <c r="E3" s="750"/>
      <c r="F3" s="750"/>
      <c r="G3" s="750"/>
      <c r="H3" s="750"/>
      <c r="I3" s="750"/>
      <c r="J3" s="750"/>
      <c r="K3" s="750"/>
      <c r="L3" s="750"/>
      <c r="M3" s="750"/>
      <c r="N3" s="750"/>
      <c r="O3" s="750"/>
      <c r="P3" s="750"/>
      <c r="Q3" s="750"/>
      <c r="R3" s="751"/>
      <c r="S3" s="752" t="s">
        <v>391</v>
      </c>
      <c r="T3" s="29"/>
      <c r="U3" s="29"/>
      <c r="V3" s="29"/>
      <c r="W3" s="31"/>
      <c r="X3" s="752" t="s">
        <v>393</v>
      </c>
      <c r="Y3" s="29"/>
      <c r="Z3" s="29"/>
      <c r="AA3" s="29"/>
      <c r="AB3" s="29"/>
      <c r="AC3" s="29"/>
      <c r="AD3" s="31"/>
      <c r="AE3" s="754"/>
      <c r="AF3" s="755" t="s">
        <v>270</v>
      </c>
      <c r="AG3" s="29"/>
      <c r="AH3" s="29"/>
      <c r="AI3" s="29"/>
      <c r="AJ3" s="29"/>
      <c r="AK3" s="29"/>
      <c r="AL3" s="31"/>
      <c r="AM3" s="751"/>
      <c r="AN3" s="751"/>
      <c r="AO3" s="752" t="s">
        <v>395</v>
      </c>
      <c r="AP3" s="29"/>
      <c r="AQ3" s="29"/>
      <c r="AR3" s="31"/>
      <c r="AS3" s="756"/>
      <c r="AT3" s="757"/>
    </row>
    <row r="4">
      <c r="A4" s="504"/>
      <c r="B4" s="514"/>
      <c r="C4" s="759" t="s">
        <v>396</v>
      </c>
      <c r="D4" s="760"/>
      <c r="E4" s="761" t="s">
        <v>73</v>
      </c>
      <c r="F4" s="760"/>
      <c r="G4" s="762" t="s">
        <v>74</v>
      </c>
      <c r="H4" s="763"/>
      <c r="I4" s="760"/>
      <c r="J4" s="764" t="s">
        <v>75</v>
      </c>
      <c r="K4" s="764" t="s">
        <v>76</v>
      </c>
      <c r="L4" s="764" t="s">
        <v>77</v>
      </c>
      <c r="M4" s="766" t="s">
        <v>78</v>
      </c>
      <c r="N4" s="767" t="s">
        <v>75</v>
      </c>
      <c r="O4" s="764" t="s">
        <v>76</v>
      </c>
      <c r="P4" s="764" t="s">
        <v>77</v>
      </c>
      <c r="Q4" s="761" t="s">
        <v>78</v>
      </c>
      <c r="R4" s="727"/>
      <c r="S4" s="771" t="s">
        <v>71</v>
      </c>
      <c r="T4" s="772" t="s">
        <v>400</v>
      </c>
      <c r="U4" s="772" t="s">
        <v>401</v>
      </c>
      <c r="V4" s="773" t="s">
        <v>402</v>
      </c>
      <c r="W4" s="773" t="s">
        <v>78</v>
      </c>
      <c r="X4" s="774">
        <v>1.0</v>
      </c>
      <c r="Y4" s="774">
        <v>2.0</v>
      </c>
      <c r="Z4" s="774">
        <v>3.0</v>
      </c>
      <c r="AA4" s="774">
        <v>4.0</v>
      </c>
      <c r="AB4" s="774">
        <v>5.0</v>
      </c>
      <c r="AC4" s="774">
        <v>6.0</v>
      </c>
      <c r="AD4" s="774">
        <v>7.0</v>
      </c>
      <c r="AE4" s="775"/>
      <c r="AF4" s="776">
        <v>1.0</v>
      </c>
      <c r="AG4" s="776">
        <v>2.0</v>
      </c>
      <c r="AH4" s="776">
        <v>3.0</v>
      </c>
      <c r="AI4" s="776">
        <v>4.0</v>
      </c>
      <c r="AJ4" s="776">
        <v>5.0</v>
      </c>
      <c r="AK4" s="776">
        <v>6.0</v>
      </c>
      <c r="AL4" s="778">
        <v>7.0</v>
      </c>
      <c r="AM4" s="727"/>
      <c r="AN4" s="727"/>
      <c r="AO4" s="771" t="s">
        <v>400</v>
      </c>
      <c r="AP4" s="780" t="s">
        <v>401</v>
      </c>
      <c r="AQ4" s="781" t="s">
        <v>402</v>
      </c>
      <c r="AR4" s="771" t="s">
        <v>78</v>
      </c>
      <c r="AS4" s="782"/>
      <c r="AT4" s="502"/>
    </row>
    <row r="5">
      <c r="A5" s="504"/>
      <c r="B5" s="514"/>
      <c r="C5" s="784" t="str">
        <f>Source!$G$3</f>
        <v>Ryan Tidey</v>
      </c>
      <c r="D5" s="785" t="str">
        <f>Source!$I$3</f>
        <v>RT</v>
      </c>
      <c r="E5" s="785" t="str">
        <f t="array" ref="E5:E100">IFERROR(VLOOKUP(F5:F100,{Pokedex!$I$2:$I102,Pokedex!$H$2:$H102},2,FALSE),"")</f>
        <v/>
      </c>
      <c r="F5" s="789" t="str">
        <f t="array" ref="F5:F16">Teams!$D$5:$D$16</f>
        <v>Chien-Pao</v>
      </c>
      <c r="G5" s="791"/>
      <c r="H5" s="791"/>
      <c r="I5" s="791"/>
      <c r="J5" s="785">
        <f>COUNTIF(Stats!$C$6:$BN$47,F5)</f>
        <v>5</v>
      </c>
      <c r="K5" s="789">
        <f>SUMIF(Stats!$C$6:$BN$47,F5,Stats!$D$6:$BN$47)</f>
        <v>8</v>
      </c>
      <c r="L5" s="785">
        <f>SUMIF(Stats!$C$6:$BN$47,F5,Stats!$E$6:$BN$47)</f>
        <v>4</v>
      </c>
      <c r="M5" s="792">
        <f t="shared" ref="M5:M100" si="2">K5-L5</f>
        <v>4</v>
      </c>
      <c r="N5" s="794">
        <f>COUNTIF('Playoff Stats'!$C$6:$BN$47,F5)</f>
        <v>3</v>
      </c>
      <c r="O5" s="785">
        <f>COUNTIF('Playoff Stats'!$C$6:$BN$47,G5)</f>
        <v>0</v>
      </c>
      <c r="P5" s="785">
        <f>SUMIF(Stats!$C$6:$BN$47,J5,Stats!$E$6:$BN$47)</f>
        <v>0</v>
      </c>
      <c r="Q5" s="795">
        <f t="shared" ref="Q5:Q100" si="3">O5-P5</f>
        <v>0</v>
      </c>
      <c r="R5" s="515"/>
      <c r="S5" s="796">
        <v>1.0</v>
      </c>
      <c r="T5" s="800" t="str">
        <f t="array" ref="T5:T12">Source!G3:G10</f>
        <v>Ryan Tidey</v>
      </c>
      <c r="U5" s="800">
        <f t="shared" ref="U5:U12" si="4">(countif(X5:AD5,"W"))</f>
        <v>1</v>
      </c>
      <c r="V5" s="801">
        <f t="shared" ref="V5:V12" si="5">(countif(X5:AD5,"L"))</f>
        <v>4</v>
      </c>
      <c r="W5" s="802">
        <f t="shared" ref="W5:W12" si="6">SUM(AF5:AL5)</f>
        <v>-2</v>
      </c>
      <c r="X5" s="804" t="str">
        <f t="shared" ref="X5:AD5" si="1">IFS(AF5=0,"",AF5&gt;0,"W",AF5&lt;0,"L")</f>
        <v>W</v>
      </c>
      <c r="Y5" s="805" t="str">
        <f t="shared" si="1"/>
        <v>L</v>
      </c>
      <c r="Z5" s="805" t="str">
        <f t="shared" si="1"/>
        <v>L</v>
      </c>
      <c r="AA5" s="805" t="str">
        <f t="shared" si="1"/>
        <v>L</v>
      </c>
      <c r="AB5" s="805" t="str">
        <f t="shared" si="1"/>
        <v/>
      </c>
      <c r="AC5" s="805" t="str">
        <f t="shared" si="1"/>
        <v>L</v>
      </c>
      <c r="AD5" s="805" t="str">
        <f t="shared" si="1"/>
        <v/>
      </c>
      <c r="AE5" s="806"/>
      <c r="AF5" s="810">
        <f t="array" ref="AF5:AF12">iferror(vlookup($T5:$T12,{Schedule!$C7:$C10,Schedule!$E7:$E10;Schedule!$G7:$G10,Schedule!$F7:$F10},2,false),"")</f>
        <v>6</v>
      </c>
      <c r="AG5" s="810">
        <f t="array" ref="AG5:AG12">iferror(vlookup($T5:$T12,{Schedule!$C13:$C16,Schedule!$E13:$E16;Schedule!$G13:$G16,Schedule!$F13:$F16},2,false),"")</f>
        <v>-2</v>
      </c>
      <c r="AH5" s="810">
        <f t="array" ref="AH5:AH12">iferror(vlookup($T5:$T12,{Schedule!$C19:$C22,Schedule!$E19:$E22;Schedule!$G19:$G22,Schedule!$F19:$F22},2,false),"")</f>
        <v>-3</v>
      </c>
      <c r="AI5" s="810">
        <f t="array" ref="AI5:AI12">iferror(vlookup($T5:$T12,{Schedule!$C25:$C28,Schedule!$E25:$E28;Schedule!$G25:$G28,Schedule!$F25:$F28},2,false),"")</f>
        <v>-2</v>
      </c>
      <c r="AJ5" s="810">
        <f t="array" ref="AJ5:AJ12">iferror(vlookup($T5:$T12,{Schedule!$C31:$C34,Schedule!$E31:$E34;Schedule!$G31:$G34,Schedule!$F31:$F34},2,false),"")</f>
        <v>0</v>
      </c>
      <c r="AK5" s="810">
        <f t="array" ref="AK5:AK12">iferror(vlookup($T5:$T12,{Schedule!$C37:$C40,Schedule!$E37:$E40;Schedule!$G37:$G40,Schedule!$F37:$F40},2,false),"")</f>
        <v>-1</v>
      </c>
      <c r="AL5" s="811">
        <f t="array" ref="AL5:AL12">iferror(vlookup($T5:$T12,{Schedule!$C43:$C46,Schedule!$E43:$E46;Schedule!$G43:$G46,Schedule!$F43:$F46},2,false),"")</f>
        <v>0</v>
      </c>
      <c r="AM5" s="727"/>
      <c r="AN5" s="727"/>
      <c r="AO5" s="812" t="str">
        <f t="array" ref="AO5:AR12">sort(T5:W12,2,false,3,true,4,false,5,false) </f>
        <v>Ian Heslin</v>
      </c>
      <c r="AP5" s="812">
        <v>7.0</v>
      </c>
      <c r="AQ5" s="813">
        <v>0.0</v>
      </c>
      <c r="AR5" s="814">
        <v>30.0</v>
      </c>
      <c r="AS5" s="516"/>
      <c r="AT5" s="504"/>
    </row>
    <row r="6">
      <c r="A6" s="504"/>
      <c r="B6" s="514"/>
      <c r="C6" s="401"/>
      <c r="D6" s="785" t="str">
        <f>Source!$I$3</f>
        <v>RT</v>
      </c>
      <c r="E6" s="785"/>
      <c r="F6" s="789" t="s">
        <v>176</v>
      </c>
      <c r="G6" s="815"/>
      <c r="H6" s="815"/>
      <c r="I6" s="815"/>
      <c r="J6" s="785">
        <f>COUNTIF(Stats!$C$6:$BN$47,F6)</f>
        <v>5</v>
      </c>
      <c r="K6" s="789">
        <f>SUMIF(Stats!$C$6:$BN$47,F6,Stats!$D$6:$BN$47)</f>
        <v>0</v>
      </c>
      <c r="L6" s="785">
        <f>SUMIF(Stats!$C$6:$BN$47,F6,Stats!$E$6:$BN$47)</f>
        <v>4</v>
      </c>
      <c r="M6" s="792">
        <f t="shared" si="2"/>
        <v>-4</v>
      </c>
      <c r="N6" s="794">
        <f>COUNTIF('Playoff Stats'!$C$6:$BV$47,F6)</f>
        <v>2</v>
      </c>
      <c r="O6" s="789">
        <f>SUMIF('Playoff Stats'!$C$6:$BV$47,F6,'Playoff Stats'!$D$6:$BV$47)</f>
        <v>1</v>
      </c>
      <c r="P6" s="785">
        <f>SUMIF('Playoff Stats'!$C$6:$BN$47,F6,'Playoff Stats'!$E$6:$BN$47)</f>
        <v>1</v>
      </c>
      <c r="Q6" s="795">
        <f t="shared" si="3"/>
        <v>0</v>
      </c>
      <c r="R6" s="515"/>
      <c r="S6" s="822">
        <v>2.0</v>
      </c>
      <c r="T6" s="824" t="s">
        <v>184</v>
      </c>
      <c r="U6" s="824">
        <f t="shared" si="4"/>
        <v>2</v>
      </c>
      <c r="V6" s="814">
        <f t="shared" si="5"/>
        <v>3</v>
      </c>
      <c r="W6" s="826">
        <f t="shared" si="6"/>
        <v>-7</v>
      </c>
      <c r="X6" s="829" t="str">
        <f t="shared" ref="X6:AD6" si="7">IFS(AF6=0,"",AF6&gt;0,"W",AF6&lt;0,"L")</f>
        <v>W</v>
      </c>
      <c r="Y6" s="831" t="str">
        <f t="shared" si="7"/>
        <v>W</v>
      </c>
      <c r="Z6" s="831" t="str">
        <f t="shared" si="7"/>
        <v>L</v>
      </c>
      <c r="AA6" s="831" t="str">
        <f t="shared" si="7"/>
        <v>L</v>
      </c>
      <c r="AB6" s="831" t="str">
        <f t="shared" si="7"/>
        <v/>
      </c>
      <c r="AC6" s="831" t="str">
        <f t="shared" si="7"/>
        <v>L</v>
      </c>
      <c r="AD6" s="831" t="str">
        <f t="shared" si="7"/>
        <v/>
      </c>
      <c r="AE6" s="806"/>
      <c r="AF6" s="833">
        <v>4.0</v>
      </c>
      <c r="AG6" s="833">
        <v>2.0</v>
      </c>
      <c r="AH6" s="833">
        <v>-3.0</v>
      </c>
      <c r="AI6" s="833">
        <v>-5.0</v>
      </c>
      <c r="AJ6" s="833">
        <v>0.0</v>
      </c>
      <c r="AK6" s="833">
        <v>-5.0</v>
      </c>
      <c r="AL6" s="826">
        <v>0.0</v>
      </c>
      <c r="AM6" s="515"/>
      <c r="AN6" s="515"/>
      <c r="AO6" s="835" t="s">
        <v>194</v>
      </c>
      <c r="AP6" s="835">
        <v>5.0</v>
      </c>
      <c r="AQ6" s="836">
        <v>1.0</v>
      </c>
      <c r="AR6" s="814">
        <v>12.0</v>
      </c>
      <c r="AS6" s="516"/>
      <c r="AT6" s="504"/>
    </row>
    <row r="7">
      <c r="A7" s="504"/>
      <c r="B7" s="514"/>
      <c r="C7" s="401"/>
      <c r="D7" s="785" t="str">
        <f>Source!$I$3</f>
        <v>RT</v>
      </c>
      <c r="E7" s="785"/>
      <c r="F7" s="789" t="s">
        <v>88</v>
      </c>
      <c r="G7" s="815"/>
      <c r="H7" s="815"/>
      <c r="I7" s="815"/>
      <c r="J7" s="785">
        <f>COUNTIF(Stats!$C$6:$BN$47,F7)</f>
        <v>5</v>
      </c>
      <c r="K7" s="789">
        <f>SUMIF(Stats!$C$6:$BN$47,F7,Stats!$D$6:$BN$47)</f>
        <v>7</v>
      </c>
      <c r="L7" s="785">
        <f>SUMIF(Stats!$C$6:$BN$47,F7,Stats!$E$6:$BN$47)</f>
        <v>4</v>
      </c>
      <c r="M7" s="792">
        <f t="shared" si="2"/>
        <v>3</v>
      </c>
      <c r="N7" s="794">
        <f>COUNTIF('Playoff Stats'!$C$6:$BV$47,F7)</f>
        <v>3</v>
      </c>
      <c r="O7" s="789">
        <f>SUMIF('Playoff Stats'!$C$6:$BV$47,F7,'Playoff Stats'!$D$6:$BV$47)</f>
        <v>3</v>
      </c>
      <c r="P7" s="785">
        <f>SUMIF('Playoff Stats'!$C$6:$BN$47,F7,'Playoff Stats'!$E$6:$BN$47)</f>
        <v>3</v>
      </c>
      <c r="Q7" s="795">
        <f t="shared" si="3"/>
        <v>0</v>
      </c>
      <c r="R7" s="515"/>
      <c r="S7" s="822">
        <v>3.0</v>
      </c>
      <c r="T7" s="824" t="s">
        <v>190</v>
      </c>
      <c r="U7" s="824">
        <f t="shared" si="4"/>
        <v>7</v>
      </c>
      <c r="V7" s="814">
        <f t="shared" si="5"/>
        <v>0</v>
      </c>
      <c r="W7" s="826">
        <f t="shared" si="6"/>
        <v>30</v>
      </c>
      <c r="X7" s="829" t="str">
        <f t="shared" ref="X7:AD7" si="8">IFS(AF7=0,"",AF7&gt;0,"W",AF7&lt;0,"L")</f>
        <v>W</v>
      </c>
      <c r="Y7" s="831" t="str">
        <f t="shared" si="8"/>
        <v>W</v>
      </c>
      <c r="Z7" s="831" t="str">
        <f t="shared" si="8"/>
        <v>W</v>
      </c>
      <c r="AA7" s="831" t="str">
        <f t="shared" si="8"/>
        <v>W</v>
      </c>
      <c r="AB7" s="831" t="str">
        <f t="shared" si="8"/>
        <v>W</v>
      </c>
      <c r="AC7" s="831" t="str">
        <f t="shared" si="8"/>
        <v>W</v>
      </c>
      <c r="AD7" s="831" t="str">
        <f t="shared" si="8"/>
        <v>W</v>
      </c>
      <c r="AE7" s="806"/>
      <c r="AF7" s="833">
        <v>4.0</v>
      </c>
      <c r="AG7" s="833">
        <v>4.0</v>
      </c>
      <c r="AH7" s="833">
        <v>3.0</v>
      </c>
      <c r="AI7" s="833">
        <v>5.0</v>
      </c>
      <c r="AJ7" s="833">
        <v>6.0</v>
      </c>
      <c r="AK7" s="833">
        <v>5.0</v>
      </c>
      <c r="AL7" s="826">
        <v>3.0</v>
      </c>
      <c r="AM7" s="515"/>
      <c r="AN7" s="727"/>
      <c r="AO7" s="835" t="s">
        <v>196</v>
      </c>
      <c r="AP7" s="835">
        <v>4.0</v>
      </c>
      <c r="AQ7" s="836">
        <v>3.0</v>
      </c>
      <c r="AR7" s="814">
        <v>3.0</v>
      </c>
      <c r="AS7" s="516"/>
      <c r="AT7" s="504"/>
    </row>
    <row r="8">
      <c r="A8" s="504"/>
      <c r="B8" s="514"/>
      <c r="C8" s="401"/>
      <c r="D8" s="785" t="str">
        <f>Source!$I$3</f>
        <v>RT</v>
      </c>
      <c r="E8" s="785"/>
      <c r="F8" s="789" t="s">
        <v>191</v>
      </c>
      <c r="G8" s="791" t="s">
        <v>192</v>
      </c>
      <c r="H8" s="791" t="s">
        <v>163</v>
      </c>
      <c r="I8" s="791" t="s">
        <v>193</v>
      </c>
      <c r="J8" s="785">
        <f>COUNTIF(Stats!$C$6:$BN$47,F8)</f>
        <v>4</v>
      </c>
      <c r="K8" s="789">
        <f>SUMIF(Stats!$C$6:$BN$47,F8,Stats!$D$6:$BN$47)</f>
        <v>1</v>
      </c>
      <c r="L8" s="785">
        <f>SUMIF(Stats!$C$6:$BN$47,F8,Stats!$E$6:$BN$47)</f>
        <v>3</v>
      </c>
      <c r="M8" s="792">
        <f t="shared" si="2"/>
        <v>-2</v>
      </c>
      <c r="N8" s="794">
        <f>COUNTIF('Playoff Stats'!$C$6:$BV$47,F8)</f>
        <v>1</v>
      </c>
      <c r="O8" s="789">
        <f>SUMIF('Playoff Stats'!$C$6:$BV$47,F8,'Playoff Stats'!$D$6:$BV$47)</f>
        <v>2</v>
      </c>
      <c r="P8" s="785">
        <f>SUMIF('Playoff Stats'!$C$6:$BN$47,F8,'Playoff Stats'!$E$6:$BN$47)</f>
        <v>1</v>
      </c>
      <c r="Q8" s="795">
        <f t="shared" si="3"/>
        <v>1</v>
      </c>
      <c r="R8" s="515"/>
      <c r="S8" s="822">
        <v>4.0</v>
      </c>
      <c r="T8" s="824" t="s">
        <v>196</v>
      </c>
      <c r="U8" s="824">
        <f t="shared" si="4"/>
        <v>4</v>
      </c>
      <c r="V8" s="814">
        <f t="shared" si="5"/>
        <v>3</v>
      </c>
      <c r="W8" s="826">
        <f t="shared" si="6"/>
        <v>3</v>
      </c>
      <c r="X8" s="829" t="str">
        <f t="shared" ref="X8:AD8" si="9">IFS(AF8=0,"",AF8&gt;0,"W",AF8&lt;0,"L")</f>
        <v>L</v>
      </c>
      <c r="Y8" s="831" t="str">
        <f t="shared" si="9"/>
        <v>W</v>
      </c>
      <c r="Z8" s="831" t="str">
        <f t="shared" si="9"/>
        <v>W</v>
      </c>
      <c r="AA8" s="831" t="str">
        <f t="shared" si="9"/>
        <v>W</v>
      </c>
      <c r="AB8" s="831" t="str">
        <f t="shared" si="9"/>
        <v>L</v>
      </c>
      <c r="AC8" s="831" t="str">
        <f t="shared" si="9"/>
        <v>W</v>
      </c>
      <c r="AD8" s="831" t="str">
        <f t="shared" si="9"/>
        <v>L</v>
      </c>
      <c r="AE8" s="806"/>
      <c r="AF8" s="833">
        <v>-3.0</v>
      </c>
      <c r="AG8" s="833">
        <v>6.0</v>
      </c>
      <c r="AH8" s="833">
        <v>3.0</v>
      </c>
      <c r="AI8" s="833">
        <v>2.0</v>
      </c>
      <c r="AJ8" s="833">
        <v>-3.0</v>
      </c>
      <c r="AK8" s="833">
        <v>1.0</v>
      </c>
      <c r="AL8" s="826">
        <v>-3.0</v>
      </c>
      <c r="AM8" s="515"/>
      <c r="AN8" s="515"/>
      <c r="AO8" s="835" t="s">
        <v>198</v>
      </c>
      <c r="AP8" s="835">
        <v>2.0</v>
      </c>
      <c r="AQ8" s="836">
        <v>2.0</v>
      </c>
      <c r="AR8" s="814">
        <v>-3.0</v>
      </c>
      <c r="AS8" s="516"/>
      <c r="AT8" s="504"/>
    </row>
    <row r="9">
      <c r="A9" s="504"/>
      <c r="B9" s="514"/>
      <c r="C9" s="401"/>
      <c r="D9" s="785" t="str">
        <f>Source!$I$3</f>
        <v>RT</v>
      </c>
      <c r="E9" s="785"/>
      <c r="F9" s="785" t="s">
        <v>124</v>
      </c>
      <c r="G9" s="870"/>
      <c r="H9" s="870"/>
      <c r="I9" s="870"/>
      <c r="J9" s="785">
        <f>COUNTIF(Stats!$C$6:$BN$47,F9)</f>
        <v>4</v>
      </c>
      <c r="K9" s="789">
        <f>SUMIF(Stats!$C$6:$BN$47,F9,Stats!$D$6:$BN$47)</f>
        <v>3</v>
      </c>
      <c r="L9" s="785">
        <f>SUMIF(Stats!$C$6:$BN$47,F9,Stats!$E$6:$BN$47)</f>
        <v>3</v>
      </c>
      <c r="M9" s="792">
        <f t="shared" si="2"/>
        <v>0</v>
      </c>
      <c r="N9" s="794">
        <f>COUNTIF('Playoff Stats'!$C$6:$BV$47,F9)</f>
        <v>2</v>
      </c>
      <c r="O9" s="789">
        <f>SUMIF('Playoff Stats'!$C$6:$BV$47,F9,'Playoff Stats'!$D$6:$BV$47)</f>
        <v>2</v>
      </c>
      <c r="P9" s="785">
        <f>SUMIF('Playoff Stats'!$C$6:$BN$47,F9,'Playoff Stats'!$E$6:$BN$47)</f>
        <v>1</v>
      </c>
      <c r="Q9" s="795">
        <f t="shared" si="3"/>
        <v>1</v>
      </c>
      <c r="R9" s="515"/>
      <c r="S9" s="822">
        <v>5.0</v>
      </c>
      <c r="T9" s="824" t="s">
        <v>204</v>
      </c>
      <c r="U9" s="824">
        <f t="shared" si="4"/>
        <v>1</v>
      </c>
      <c r="V9" s="814">
        <f t="shared" si="5"/>
        <v>4</v>
      </c>
      <c r="W9" s="826">
        <f t="shared" si="6"/>
        <v>-10</v>
      </c>
      <c r="X9" s="829" t="str">
        <f t="shared" ref="X9:AD9" si="10">IFS(AF9=0,"",AF9&gt;0,"W",AF9&lt;0,"L")</f>
        <v>L</v>
      </c>
      <c r="Y9" s="831" t="str">
        <f t="shared" si="10"/>
        <v>L</v>
      </c>
      <c r="Z9" s="831" t="str">
        <f t="shared" si="10"/>
        <v>L</v>
      </c>
      <c r="AA9" s="831" t="str">
        <f t="shared" si="10"/>
        <v>W</v>
      </c>
      <c r="AB9" s="831" t="str">
        <f t="shared" si="10"/>
        <v/>
      </c>
      <c r="AC9" s="831" t="str">
        <f t="shared" si="10"/>
        <v>L</v>
      </c>
      <c r="AD9" s="831" t="str">
        <f t="shared" si="10"/>
        <v/>
      </c>
      <c r="AE9" s="806"/>
      <c r="AF9" s="833">
        <v>-6.0</v>
      </c>
      <c r="AG9" s="833">
        <v>-4.0</v>
      </c>
      <c r="AH9" s="833">
        <v>-2.0</v>
      </c>
      <c r="AI9" s="833">
        <v>3.0</v>
      </c>
      <c r="AJ9" s="833">
        <v>0.0</v>
      </c>
      <c r="AK9" s="833">
        <v>-1.0</v>
      </c>
      <c r="AL9" s="826">
        <v>0.0</v>
      </c>
      <c r="AM9" s="515"/>
      <c r="AN9" s="515"/>
      <c r="AO9" s="835" t="s">
        <v>184</v>
      </c>
      <c r="AP9" s="835">
        <v>2.0</v>
      </c>
      <c r="AQ9" s="836">
        <v>3.0</v>
      </c>
      <c r="AR9" s="814">
        <v>-7.0</v>
      </c>
      <c r="AS9" s="516"/>
      <c r="AT9" s="504"/>
    </row>
    <row r="10">
      <c r="A10" s="504"/>
      <c r="B10" s="514"/>
      <c r="C10" s="401"/>
      <c r="D10" s="785" t="str">
        <f>Source!$I$3</f>
        <v>RT</v>
      </c>
      <c r="E10" s="785"/>
      <c r="F10" s="785" t="s">
        <v>206</v>
      </c>
      <c r="G10" s="886" t="s">
        <v>163</v>
      </c>
      <c r="H10" s="886" t="s">
        <v>140</v>
      </c>
      <c r="I10" s="886" t="s">
        <v>171</v>
      </c>
      <c r="J10" s="785">
        <f>COUNTIF(Stats!$C$6:$BN$47,F10)</f>
        <v>1</v>
      </c>
      <c r="K10" s="789">
        <f>SUMIF(Stats!$C$6:$BN$47,F10,Stats!$D$6:$BN$47)</f>
        <v>0</v>
      </c>
      <c r="L10" s="785">
        <f>SUMIF(Stats!$C$6:$BN$47,F10,Stats!$E$6:$BN$47)</f>
        <v>1</v>
      </c>
      <c r="M10" s="792">
        <f t="shared" si="2"/>
        <v>-1</v>
      </c>
      <c r="N10" s="794">
        <f>COUNTIF('Playoff Stats'!$C$6:$BV$47,F10)</f>
        <v>1</v>
      </c>
      <c r="O10" s="789">
        <f>SUMIF('Playoff Stats'!$C$6:$BV$47,F10,'Playoff Stats'!$D$6:$BV$47)</f>
        <v>1</v>
      </c>
      <c r="P10" s="785">
        <f>SUMIF('Playoff Stats'!$C$6:$BN$47,F10,'Playoff Stats'!$E$6:$BN$47)</f>
        <v>1</v>
      </c>
      <c r="Q10" s="795">
        <f t="shared" si="3"/>
        <v>0</v>
      </c>
      <c r="R10" s="515"/>
      <c r="S10" s="822">
        <v>6.0</v>
      </c>
      <c r="T10" s="824" t="s">
        <v>187</v>
      </c>
      <c r="U10" s="824">
        <f t="shared" si="4"/>
        <v>0</v>
      </c>
      <c r="V10" s="814">
        <f t="shared" si="5"/>
        <v>5</v>
      </c>
      <c r="W10" s="826">
        <f t="shared" si="6"/>
        <v>-22</v>
      </c>
      <c r="X10" s="829" t="str">
        <f t="shared" ref="X10:AD10" si="11">IFS(AF10=0,"",AF10&gt;0,"W",AF10&lt;0,"L")</f>
        <v>L</v>
      </c>
      <c r="Y10" s="831" t="str">
        <f t="shared" si="11"/>
        <v>L</v>
      </c>
      <c r="Z10" s="831" t="str">
        <f t="shared" si="11"/>
        <v>L</v>
      </c>
      <c r="AA10" s="831" t="str">
        <f t="shared" si="11"/>
        <v>L</v>
      </c>
      <c r="AB10" s="831" t="str">
        <f t="shared" si="11"/>
        <v>L</v>
      </c>
      <c r="AC10" s="831" t="str">
        <f t="shared" si="11"/>
        <v/>
      </c>
      <c r="AD10" s="831" t="str">
        <f t="shared" si="11"/>
        <v/>
      </c>
      <c r="AE10" s="806"/>
      <c r="AF10" s="833">
        <v>-3.0</v>
      </c>
      <c r="AG10" s="833">
        <v>-6.0</v>
      </c>
      <c r="AH10" s="833">
        <v>-4.0</v>
      </c>
      <c r="AI10" s="833">
        <v>-3.0</v>
      </c>
      <c r="AJ10" s="833">
        <v>-6.0</v>
      </c>
      <c r="AK10" s="833">
        <v>0.0</v>
      </c>
      <c r="AL10" s="826">
        <v>0.0</v>
      </c>
      <c r="AM10" s="515"/>
      <c r="AN10" s="727"/>
      <c r="AO10" s="835" t="s">
        <v>313</v>
      </c>
      <c r="AP10" s="835">
        <v>1.0</v>
      </c>
      <c r="AQ10" s="836">
        <v>4.0</v>
      </c>
      <c r="AR10" s="814">
        <v>-2.0</v>
      </c>
      <c r="AS10" s="516"/>
      <c r="AT10" s="504"/>
    </row>
    <row r="11">
      <c r="A11" s="504"/>
      <c r="B11" s="514"/>
      <c r="C11" s="401"/>
      <c r="D11" s="785" t="str">
        <f>Source!$I$3</f>
        <v>RT</v>
      </c>
      <c r="E11" s="785"/>
      <c r="F11" s="785" t="s">
        <v>146</v>
      </c>
      <c r="G11" s="870"/>
      <c r="H11" s="870"/>
      <c r="I11" s="870"/>
      <c r="J11" s="785">
        <f>COUNTIF(Stats!$C$6:$BN$47,F11)</f>
        <v>3</v>
      </c>
      <c r="K11" s="789">
        <f>SUMIF(Stats!$C$6:$BN$47,F11,Stats!$D$6:$BN$47)</f>
        <v>2</v>
      </c>
      <c r="L11" s="785">
        <f>SUMIF(Stats!$C$6:$BN$47,F11,Stats!$E$6:$BN$47)</f>
        <v>3</v>
      </c>
      <c r="M11" s="792">
        <f t="shared" si="2"/>
        <v>-1</v>
      </c>
      <c r="N11" s="794">
        <f>COUNTIF('Playoff Stats'!$C$6:$BV$47,F11)</f>
        <v>1</v>
      </c>
      <c r="O11" s="789">
        <f>SUMIF('Playoff Stats'!$C$6:$BV$47,F11,'Playoff Stats'!$D$6:$BV$47)</f>
        <v>1</v>
      </c>
      <c r="P11" s="785">
        <f>SUMIF('Playoff Stats'!$C$6:$BN$47,F11,'Playoff Stats'!$E$6:$BN$47)</f>
        <v>0</v>
      </c>
      <c r="Q11" s="795">
        <f t="shared" si="3"/>
        <v>1</v>
      </c>
      <c r="R11" s="515"/>
      <c r="S11" s="822">
        <v>7.0</v>
      </c>
      <c r="T11" s="824" t="s">
        <v>194</v>
      </c>
      <c r="U11" s="824">
        <f t="shared" si="4"/>
        <v>5</v>
      </c>
      <c r="V11" s="814">
        <f t="shared" si="5"/>
        <v>1</v>
      </c>
      <c r="W11" s="826">
        <f t="shared" si="6"/>
        <v>12</v>
      </c>
      <c r="X11" s="829" t="str">
        <f t="shared" ref="X11:AD11" si="12">IFS(AF11=0,"",AF11&gt;0,"W",AF11&lt;0,"L")</f>
        <v>L</v>
      </c>
      <c r="Y11" s="831" t="str">
        <f t="shared" si="12"/>
        <v>W</v>
      </c>
      <c r="Z11" s="831" t="str">
        <f t="shared" si="12"/>
        <v>W</v>
      </c>
      <c r="AA11" s="831" t="str">
        <f t="shared" si="12"/>
        <v>W</v>
      </c>
      <c r="AB11" s="831" t="str">
        <f t="shared" si="12"/>
        <v>W</v>
      </c>
      <c r="AC11" s="831" t="str">
        <f t="shared" si="12"/>
        <v>W</v>
      </c>
      <c r="AD11" s="831" t="str">
        <f t="shared" si="12"/>
        <v/>
      </c>
      <c r="AE11" s="806"/>
      <c r="AF11" s="833">
        <v>-4.0</v>
      </c>
      <c r="AG11" s="833">
        <v>3.0</v>
      </c>
      <c r="AH11" s="833">
        <v>4.0</v>
      </c>
      <c r="AI11" s="833">
        <v>5.0</v>
      </c>
      <c r="AJ11" s="833">
        <v>3.0</v>
      </c>
      <c r="AK11" s="833">
        <v>1.0</v>
      </c>
      <c r="AL11" s="826">
        <v>0.0</v>
      </c>
      <c r="AM11" s="515"/>
      <c r="AN11" s="515"/>
      <c r="AO11" s="835" t="s">
        <v>204</v>
      </c>
      <c r="AP11" s="835">
        <v>1.0</v>
      </c>
      <c r="AQ11" s="836">
        <v>4.0</v>
      </c>
      <c r="AR11" s="814">
        <v>-10.0</v>
      </c>
      <c r="AS11" s="516"/>
      <c r="AT11" s="504"/>
    </row>
    <row r="12">
      <c r="A12" s="504"/>
      <c r="B12" s="514"/>
      <c r="C12" s="401"/>
      <c r="D12" s="785" t="str">
        <f>Source!$I$3</f>
        <v>RT</v>
      </c>
      <c r="E12" s="785"/>
      <c r="F12" s="785" t="s">
        <v>180</v>
      </c>
      <c r="G12" s="886" t="s">
        <v>181</v>
      </c>
      <c r="H12" s="886" t="s">
        <v>182</v>
      </c>
      <c r="I12" s="886" t="s">
        <v>171</v>
      </c>
      <c r="J12" s="785">
        <f>COUNTIF(Stats!$C$6:$BN$47,F12)</f>
        <v>3</v>
      </c>
      <c r="K12" s="789">
        <f>SUMIF(Stats!$C$6:$BN$47,F12,Stats!$D$6:$BN$47)</f>
        <v>1</v>
      </c>
      <c r="L12" s="785">
        <f>SUMIF(Stats!$C$6:$BN$47,F12,Stats!$E$6:$BN$47)</f>
        <v>2</v>
      </c>
      <c r="M12" s="792">
        <f t="shared" si="2"/>
        <v>-1</v>
      </c>
      <c r="N12" s="794">
        <f>COUNTIF('Playoff Stats'!$C$6:$BV$47,F12)</f>
        <v>2</v>
      </c>
      <c r="O12" s="789">
        <f>SUMIF('Playoff Stats'!$C$6:$BV$47,F12,'Playoff Stats'!$D$6:$BV$47)</f>
        <v>2</v>
      </c>
      <c r="P12" s="785">
        <f>SUMIF('Playoff Stats'!$C$6:$BN$47,F12,'Playoff Stats'!$E$6:$BN$47)</f>
        <v>2</v>
      </c>
      <c r="Q12" s="795">
        <f t="shared" si="3"/>
        <v>0</v>
      </c>
      <c r="R12" s="515"/>
      <c r="S12" s="898">
        <v>8.0</v>
      </c>
      <c r="T12" s="900" t="s">
        <v>198</v>
      </c>
      <c r="U12" s="900">
        <f t="shared" si="4"/>
        <v>2</v>
      </c>
      <c r="V12" s="902">
        <f t="shared" si="5"/>
        <v>2</v>
      </c>
      <c r="W12" s="904">
        <f t="shared" si="6"/>
        <v>-3</v>
      </c>
      <c r="X12" s="905" t="str">
        <f t="shared" ref="X12:AD12" si="13">IFS(AF12=0,"",AF12&gt;0,"W",AF12&lt;0,"L")</f>
        <v>W</v>
      </c>
      <c r="Y12" s="906" t="str">
        <f t="shared" si="13"/>
        <v>L</v>
      </c>
      <c r="Z12" s="906" t="str">
        <f t="shared" si="13"/>
        <v>W</v>
      </c>
      <c r="AA12" s="906" t="str">
        <f t="shared" si="13"/>
        <v>L</v>
      </c>
      <c r="AB12" s="906" t="str">
        <f t="shared" si="13"/>
        <v/>
      </c>
      <c r="AC12" s="906" t="str">
        <f t="shared" si="13"/>
        <v/>
      </c>
      <c r="AD12" s="906" t="str">
        <f t="shared" si="13"/>
        <v/>
      </c>
      <c r="AE12" s="806"/>
      <c r="AF12" s="642">
        <v>3.0</v>
      </c>
      <c r="AG12" s="642">
        <v>-3.0</v>
      </c>
      <c r="AH12" s="642">
        <v>2.0</v>
      </c>
      <c r="AI12" s="642">
        <v>-5.0</v>
      </c>
      <c r="AJ12" s="642">
        <v>0.0</v>
      </c>
      <c r="AK12" s="642">
        <v>0.0</v>
      </c>
      <c r="AL12" s="904">
        <v>0.0</v>
      </c>
      <c r="AM12" s="515"/>
      <c r="AN12" s="727"/>
      <c r="AO12" s="907" t="s">
        <v>187</v>
      </c>
      <c r="AP12" s="907">
        <v>0.0</v>
      </c>
      <c r="AQ12" s="908">
        <v>5.0</v>
      </c>
      <c r="AR12" s="902">
        <v>-22.0</v>
      </c>
      <c r="AS12" s="516"/>
      <c r="AT12" s="504"/>
    </row>
    <row r="13">
      <c r="A13" s="504"/>
      <c r="B13" s="514"/>
      <c r="C13" s="401"/>
      <c r="D13" s="785" t="str">
        <f>Source!$I$3</f>
        <v>RT</v>
      </c>
      <c r="E13" s="785"/>
      <c r="F13" s="785" t="s">
        <v>197</v>
      </c>
      <c r="G13" s="886"/>
      <c r="H13" s="870"/>
      <c r="I13" s="870"/>
      <c r="J13" s="785">
        <f>COUNTIF(Stats!$C$6:$BN$47,F13)</f>
        <v>0</v>
      </c>
      <c r="K13" s="789">
        <f>SUMIF(Stats!$C$6:$BN$47,F13,Stats!$D$6:$BN$47)</f>
        <v>0</v>
      </c>
      <c r="L13" s="785">
        <f>SUMIF(Stats!$C$6:$BN$47,F13,Stats!$E$6:$BN$47)</f>
        <v>0</v>
      </c>
      <c r="M13" s="792">
        <f t="shared" si="2"/>
        <v>0</v>
      </c>
      <c r="N13" s="794">
        <f>COUNTIF('Playoff Stats'!$C$6:$BV$47,F13)</f>
        <v>0</v>
      </c>
      <c r="O13" s="789">
        <f>SUMIF('Playoff Stats'!$C$6:$BV$47,F13,'Playoff Stats'!$D$6:$BV$47)</f>
        <v>0</v>
      </c>
      <c r="P13" s="785">
        <f>SUMIF('Playoff Stats'!$C$6:$BN$47,F13,'Playoff Stats'!$E$6:$BN$47)</f>
        <v>0</v>
      </c>
      <c r="Q13" s="795">
        <f t="shared" si="3"/>
        <v>0</v>
      </c>
      <c r="R13" s="515"/>
      <c r="S13" s="727"/>
      <c r="T13" s="515"/>
      <c r="U13" s="515"/>
      <c r="V13" s="515"/>
      <c r="W13" s="515"/>
      <c r="X13" s="912"/>
      <c r="Y13" s="912"/>
      <c r="Z13" s="912"/>
      <c r="AA13" s="912"/>
      <c r="AB13" s="912"/>
      <c r="AC13" s="912"/>
      <c r="AD13" s="912"/>
      <c r="AE13" s="912"/>
      <c r="AF13" s="515"/>
      <c r="AG13" s="515"/>
      <c r="AH13" s="515"/>
      <c r="AI13" s="515"/>
      <c r="AJ13" s="515"/>
      <c r="AK13" s="515"/>
      <c r="AL13" s="515"/>
      <c r="AM13" s="515"/>
      <c r="AN13" s="727"/>
      <c r="AO13" s="515"/>
      <c r="AP13" s="515"/>
      <c r="AQ13" s="515"/>
      <c r="AR13" s="515"/>
      <c r="AS13" s="516"/>
      <c r="AT13" s="504"/>
    </row>
    <row r="14">
      <c r="A14" s="504"/>
      <c r="B14" s="514"/>
      <c r="C14" s="401"/>
      <c r="D14" s="785" t="str">
        <f>Source!$I$3</f>
        <v>RT</v>
      </c>
      <c r="E14" s="785"/>
      <c r="F14" s="785" t="s">
        <v>199</v>
      </c>
      <c r="G14" s="870"/>
      <c r="H14" s="870"/>
      <c r="I14" s="870"/>
      <c r="J14" s="785">
        <f>COUNTIF(Stats!$C$6:$BN$47,F14)</f>
        <v>0</v>
      </c>
      <c r="K14" s="789">
        <f>SUMIF(Stats!$C$6:$BN$47,F14,Stats!$D$6:$BN$47)</f>
        <v>0</v>
      </c>
      <c r="L14" s="785">
        <f>SUMIF(Stats!$C$6:$BN$47,F14,Stats!$E$6:$BN$47)</f>
        <v>0</v>
      </c>
      <c r="M14" s="792">
        <f t="shared" si="2"/>
        <v>0</v>
      </c>
      <c r="N14" s="794">
        <f>COUNTIF('Playoff Stats'!$C$6:$BV$47,F14)</f>
        <v>0</v>
      </c>
      <c r="O14" s="789">
        <f>SUMIF('Playoff Stats'!$C$6:$BV$47,F14,'Playoff Stats'!$D$6:$BV$47)</f>
        <v>0</v>
      </c>
      <c r="P14" s="785">
        <f>SUMIF('Playoff Stats'!$C$6:$BN$47,F14,'Playoff Stats'!$E$6:$BN$47)</f>
        <v>0</v>
      </c>
      <c r="Q14" s="795">
        <f t="shared" si="3"/>
        <v>0</v>
      </c>
      <c r="R14" s="515"/>
      <c r="S14" s="752" t="s">
        <v>444</v>
      </c>
      <c r="T14" s="29"/>
      <c r="U14" s="29"/>
      <c r="V14" s="29"/>
      <c r="W14" s="31"/>
      <c r="X14" s="752" t="s">
        <v>393</v>
      </c>
      <c r="Y14" s="29"/>
      <c r="Z14" s="29"/>
      <c r="AA14" s="29"/>
      <c r="AB14" s="29"/>
      <c r="AC14" s="29"/>
      <c r="AD14" s="29"/>
      <c r="AE14" s="31"/>
      <c r="AF14" s="919" t="s">
        <v>270</v>
      </c>
      <c r="AG14" s="129"/>
      <c r="AH14" s="129"/>
      <c r="AI14" s="129"/>
      <c r="AJ14" s="129"/>
      <c r="AK14" s="129"/>
      <c r="AL14" s="129"/>
      <c r="AM14" s="131"/>
      <c r="AN14" s="727"/>
      <c r="AO14" s="752" t="s">
        <v>395</v>
      </c>
      <c r="AP14" s="29"/>
      <c r="AQ14" s="29"/>
      <c r="AR14" s="31"/>
      <c r="AS14" s="516"/>
      <c r="AT14" s="504"/>
    </row>
    <row r="15">
      <c r="A15" s="504"/>
      <c r="B15" s="514"/>
      <c r="C15" s="401"/>
      <c r="D15" s="785" t="str">
        <f>Source!$I$3</f>
        <v>RT</v>
      </c>
      <c r="E15" s="785"/>
      <c r="F15" s="785"/>
      <c r="G15" s="870"/>
      <c r="H15" s="870"/>
      <c r="I15" s="870"/>
      <c r="J15" s="785">
        <f>COUNTIF(Stats!$C$6:$BN$47,F15)</f>
        <v>0</v>
      </c>
      <c r="K15" s="789">
        <f>SUMIF(Stats!$C$6:$BN$47,F15,Stats!$D$6:$BN$47)</f>
        <v>0</v>
      </c>
      <c r="L15" s="785">
        <f>SUMIF(Stats!$C$6:$BN$47,F15,Stats!$E$6:$BN$47)</f>
        <v>0</v>
      </c>
      <c r="M15" s="792">
        <f t="shared" si="2"/>
        <v>0</v>
      </c>
      <c r="N15" s="794">
        <f>COUNTIF('Playoff Stats'!$C$6:$BV$47,F15)</f>
        <v>0</v>
      </c>
      <c r="O15" s="789">
        <f>SUMIF('Playoff Stats'!$C$6:$BV$47,F15,'Playoff Stats'!$D$6:$BV$47)</f>
        <v>0</v>
      </c>
      <c r="P15" s="785">
        <f>SUMIF('Playoff Stats'!$C$6:$BN$47,F15,'Playoff Stats'!$E$6:$BN$47)</f>
        <v>0</v>
      </c>
      <c r="Q15" s="795">
        <f t="shared" si="3"/>
        <v>0</v>
      </c>
      <c r="R15" s="515"/>
      <c r="S15" s="771" t="s">
        <v>71</v>
      </c>
      <c r="T15" s="772" t="s">
        <v>400</v>
      </c>
      <c r="U15" s="772" t="s">
        <v>401</v>
      </c>
      <c r="V15" s="773" t="s">
        <v>402</v>
      </c>
      <c r="W15" s="773" t="s">
        <v>78</v>
      </c>
      <c r="X15" s="776" t="s">
        <v>427</v>
      </c>
      <c r="Y15" s="776" t="s">
        <v>432</v>
      </c>
      <c r="Z15" s="776" t="s">
        <v>435</v>
      </c>
      <c r="AA15" s="776" t="s">
        <v>438</v>
      </c>
      <c r="AB15" s="776" t="s">
        <v>440</v>
      </c>
      <c r="AC15" s="776" t="s">
        <v>443</v>
      </c>
      <c r="AD15" s="776" t="s">
        <v>446</v>
      </c>
      <c r="AE15" s="778" t="s">
        <v>447</v>
      </c>
      <c r="AF15" s="776" t="s">
        <v>427</v>
      </c>
      <c r="AG15" s="776" t="s">
        <v>432</v>
      </c>
      <c r="AH15" s="776" t="s">
        <v>435</v>
      </c>
      <c r="AI15" s="776" t="s">
        <v>438</v>
      </c>
      <c r="AJ15" s="776" t="s">
        <v>440</v>
      </c>
      <c r="AK15" s="776" t="s">
        <v>443</v>
      </c>
      <c r="AL15" s="776" t="s">
        <v>446</v>
      </c>
      <c r="AM15" s="778" t="s">
        <v>447</v>
      </c>
      <c r="AN15" s="515"/>
      <c r="AO15" s="771" t="s">
        <v>400</v>
      </c>
      <c r="AP15" s="780" t="s">
        <v>401</v>
      </c>
      <c r="AQ15" s="781" t="s">
        <v>402</v>
      </c>
      <c r="AR15" s="771" t="s">
        <v>78</v>
      </c>
      <c r="AS15" s="516"/>
      <c r="AT15" s="504"/>
    </row>
    <row r="16">
      <c r="A16" s="504"/>
      <c r="B16" s="514"/>
      <c r="C16" s="925"/>
      <c r="D16" s="785" t="str">
        <f>Source!$I$3</f>
        <v>RT</v>
      </c>
      <c r="E16" s="785"/>
      <c r="F16" s="785"/>
      <c r="G16" s="886"/>
      <c r="H16" s="870"/>
      <c r="I16" s="870"/>
      <c r="J16" s="785">
        <f>COUNTIF(Stats!$C$6:$BN$47,F16)</f>
        <v>0</v>
      </c>
      <c r="K16" s="789">
        <f>SUMIF(Stats!$C$6:$BN$47,F16,Stats!$D$6:$BN$47)</f>
        <v>0</v>
      </c>
      <c r="L16" s="785">
        <f>SUMIF(Stats!$C$6:$BN$47,F16,Stats!$E$6:$BN$47)</f>
        <v>0</v>
      </c>
      <c r="M16" s="792">
        <f t="shared" si="2"/>
        <v>0</v>
      </c>
      <c r="N16" s="794">
        <f>COUNTIF('Playoff Stats'!$C$6:$BV$47,F16)</f>
        <v>0</v>
      </c>
      <c r="O16" s="789">
        <f>SUMIF('Playoff Stats'!$C$6:$BV$47,F16,'Playoff Stats'!$D$6:$BV$47)</f>
        <v>0</v>
      </c>
      <c r="P16" s="785">
        <f>SUMIF('Playoff Stats'!$C$6:$BN$47,F16,'Playoff Stats'!$E$6:$BN$47)</f>
        <v>0</v>
      </c>
      <c r="Q16" s="795">
        <f t="shared" si="3"/>
        <v>0</v>
      </c>
      <c r="R16" s="515"/>
      <c r="S16" s="796">
        <v>1.0</v>
      </c>
      <c r="T16" s="800" t="str">
        <f t="array" ref="T16:T23">AO5:AO12</f>
        <v>Ian Heslin</v>
      </c>
      <c r="U16" s="800">
        <f t="shared" ref="U16:U23" si="15">(countif(X16:AE16,"W"))</f>
        <v>3</v>
      </c>
      <c r="V16" s="800">
        <f t="shared" ref="V16:V23" si="16">(countif(X16:AE16,"L"))</f>
        <v>1</v>
      </c>
      <c r="W16" s="801">
        <f t="shared" ref="W16:W23" si="17">SUM(AF16:AM16)</f>
        <v>12</v>
      </c>
      <c r="X16" s="805" t="str">
        <f t="shared" ref="X16:AE16" si="14">IFS(AF16=0,"",AF16&gt;0,"W",AF16&lt;0,"L")</f>
        <v>W</v>
      </c>
      <c r="Y16" s="805" t="str">
        <f t="shared" si="14"/>
        <v>W</v>
      </c>
      <c r="Z16" s="805" t="str">
        <f t="shared" si="14"/>
        <v/>
      </c>
      <c r="AA16" s="805" t="str">
        <f t="shared" si="14"/>
        <v>L</v>
      </c>
      <c r="AB16" s="805" t="str">
        <f t="shared" si="14"/>
        <v/>
      </c>
      <c r="AC16" s="805" t="str">
        <f t="shared" si="14"/>
        <v/>
      </c>
      <c r="AD16" s="805" t="str">
        <f t="shared" si="14"/>
        <v>W</v>
      </c>
      <c r="AE16" s="954" t="str">
        <f t="shared" si="14"/>
        <v/>
      </c>
      <c r="AF16" s="961">
        <f t="array" ref="AF16:AF23">iferror(vlookup($T16:$T23,{'Playoff Schedule'!$C7:$C10,'Playoff Schedule'!$E7:$E10;'Playoff Schedule'!$G7:$G10,'Playoff Schedule'!$F7:$F10},2,false),"")</f>
        <v>6</v>
      </c>
      <c r="AG16" s="833">
        <f t="array" ref="AG16:AG23">iferror(vlookup($T16:$T23,{'Playoff Schedule'!$C13:$C14,'Playoff Schedule'!$E13:$E14;'Playoff Schedule'!$G13:$G14,'Playoff Schedule'!$F13:$F14},2,false),"")</f>
        <v>4</v>
      </c>
      <c r="AH16" s="833" t="str">
        <f t="array" ref="AH16:AH23">iferror(vlookup($T16:$T23,{'Playoff Schedule'!$C17:$C18,'Playoff Schedule'!$E17:$E18;'Playoff Schedule'!$G17:$G18,'Playoff Schedule'!$F17:$F18},2,false),"")</f>
        <v/>
      </c>
      <c r="AI16" s="833">
        <f t="array" ref="AI16:AI23">iferror(vlookup($T16:$T23,{'Playoff Schedule'!$C21,'Playoff Schedule'!$E21;'Playoff Schedule'!$G21,'Playoff Schedule'!$F21},2,false),"")</f>
        <v>-1</v>
      </c>
      <c r="AJ16" s="833" t="str">
        <f t="array" ref="AJ16:AJ23">iferror(vlookup($T16:$T23,{'Playoff Schedule'!$C24:$C25,'Playoff Schedule'!$E24:$E25;'Playoff Schedule'!$G24:$G25,'Playoff Schedule'!$F24:$F25},2,false),"")</f>
        <v/>
      </c>
      <c r="AK16" s="833" t="str">
        <f t="array" ref="AK16:AK23">iferror(vlookup($T16:$T23,{'Playoff Schedule'!$C28,'Playoff Schedule'!$E28;'Playoff Schedule'!$G28,'Playoff Schedule'!$F28},2,false),"")</f>
        <v/>
      </c>
      <c r="AL16" s="833">
        <f t="array" ref="AL16:AL23">iferror(vlookup($T16:$T23,{'Playoff Schedule'!$C31,'Playoff Schedule'!$E31;'Playoff Schedule'!$G31,'Playoff Schedule'!$F31},2,false),"")</f>
        <v>3</v>
      </c>
      <c r="AM16" s="826">
        <f t="array" ref="AM16:AM23">iferror(vlookup($T16:$T23,{'Playoff Schedule'!$C34,'Playoff Schedule'!$E34;'Playoff Schedule'!$G34,'Playoff Schedule'!$F34},2,false),"")</f>
        <v>0</v>
      </c>
      <c r="AN16" s="727"/>
      <c r="AO16" s="812" t="str">
        <f t="array" ref="AO16:AR23">sort(T16:W23,2,false,3,true,4,false,5,false) </f>
        <v>Ian Heslin</v>
      </c>
      <c r="AP16" s="812">
        <v>3.0</v>
      </c>
      <c r="AQ16" s="813">
        <v>1.0</v>
      </c>
      <c r="AR16" s="814">
        <v>12.0</v>
      </c>
      <c r="AS16" s="516"/>
      <c r="AT16" s="504"/>
    </row>
    <row r="17">
      <c r="A17" s="504"/>
      <c r="B17" s="514"/>
      <c r="C17" s="784" t="str">
        <f>Source!$G$4</f>
        <v>Marcus</v>
      </c>
      <c r="D17" s="785" t="str">
        <f>Source!$I$4</f>
        <v>PM</v>
      </c>
      <c r="E17" s="785"/>
      <c r="F17" s="789" t="str">
        <f t="array" ref="F17:F28">Teams!$K$5:$K$16</f>
        <v>Dragapult</v>
      </c>
      <c r="G17" s="815"/>
      <c r="H17" s="815"/>
      <c r="I17" s="815"/>
      <c r="J17" s="785">
        <f>COUNTIF(Stats!$C$6:$BN$47,F17)</f>
        <v>2</v>
      </c>
      <c r="K17" s="789">
        <f>SUMIF(Stats!$C$6:$BN$47,F17,Stats!$D$6:$BN$47)</f>
        <v>0</v>
      </c>
      <c r="L17" s="785">
        <f>SUMIF(Stats!$C$6:$BN$47,F17,Stats!$E$6:$BN$47)</f>
        <v>2</v>
      </c>
      <c r="M17" s="792">
        <f t="shared" si="2"/>
        <v>-2</v>
      </c>
      <c r="N17" s="794">
        <f>COUNTIF('Playoff Stats'!$C$6:$BV$47,F17)</f>
        <v>0</v>
      </c>
      <c r="O17" s="789">
        <f>SUMIF('Playoff Stats'!$C$6:$BV$47,F17,'Playoff Stats'!$D$6:$BV$47)</f>
        <v>0</v>
      </c>
      <c r="P17" s="785">
        <f>SUMIF('Playoff Stats'!$C$6:$BN$47,F17,'Playoff Stats'!$E$6:$BN$47)</f>
        <v>0</v>
      </c>
      <c r="Q17" s="795">
        <f t="shared" si="3"/>
        <v>0</v>
      </c>
      <c r="R17" s="515"/>
      <c r="S17" s="822">
        <v>2.0</v>
      </c>
      <c r="T17" s="824" t="s">
        <v>194</v>
      </c>
      <c r="U17" s="824">
        <f t="shared" si="15"/>
        <v>0</v>
      </c>
      <c r="V17" s="824">
        <f t="shared" si="16"/>
        <v>2</v>
      </c>
      <c r="W17" s="814">
        <f t="shared" si="17"/>
        <v>-7</v>
      </c>
      <c r="X17" s="831" t="str">
        <f t="shared" ref="X17:AE17" si="18">IFS(AF17=0,"",AF17&gt;0,"W",AF17&lt;0,"L")</f>
        <v>L</v>
      </c>
      <c r="Y17" s="831" t="str">
        <f t="shared" si="18"/>
        <v/>
      </c>
      <c r="Z17" s="831" t="str">
        <f t="shared" si="18"/>
        <v>L</v>
      </c>
      <c r="AA17" s="831" t="str">
        <f t="shared" si="18"/>
        <v/>
      </c>
      <c r="AB17" s="831" t="str">
        <f t="shared" si="18"/>
        <v/>
      </c>
      <c r="AC17" s="831" t="str">
        <f t="shared" si="18"/>
        <v/>
      </c>
      <c r="AD17" s="831" t="str">
        <f t="shared" si="18"/>
        <v/>
      </c>
      <c r="AE17" s="963" t="str">
        <f t="shared" si="18"/>
        <v/>
      </c>
      <c r="AF17" s="833">
        <v>-3.0</v>
      </c>
      <c r="AG17" s="833"/>
      <c r="AH17" s="833">
        <v>-4.0</v>
      </c>
      <c r="AI17" s="833"/>
      <c r="AJ17" s="833"/>
      <c r="AK17" s="833"/>
      <c r="AL17" s="833"/>
      <c r="AM17" s="826"/>
      <c r="AN17" s="515"/>
      <c r="AO17" s="835" t="s">
        <v>198</v>
      </c>
      <c r="AP17" s="835">
        <v>3.0</v>
      </c>
      <c r="AQ17" s="836">
        <v>2.0</v>
      </c>
      <c r="AR17" s="814">
        <v>3.0</v>
      </c>
      <c r="AS17" s="516"/>
      <c r="AT17" s="504"/>
    </row>
    <row r="18">
      <c r="A18" s="504"/>
      <c r="B18" s="514"/>
      <c r="C18" s="401"/>
      <c r="D18" s="785" t="str">
        <f>Source!$I$4</f>
        <v>PM</v>
      </c>
      <c r="E18" s="785"/>
      <c r="F18" s="789" t="s">
        <v>123</v>
      </c>
      <c r="G18" s="815"/>
      <c r="H18" s="815"/>
      <c r="I18" s="815"/>
      <c r="J18" s="785">
        <f>COUNTIF(Stats!$C$6:$BN$47,F18)</f>
        <v>3</v>
      </c>
      <c r="K18" s="789">
        <f>SUMIF(Stats!$C$6:$BN$47,F18,Stats!$D$6:$BN$47)</f>
        <v>3</v>
      </c>
      <c r="L18" s="785">
        <f>SUMIF(Stats!$C$6:$BN$47,F18,Stats!$E$6:$BN$47)</f>
        <v>2</v>
      </c>
      <c r="M18" s="792">
        <f t="shared" si="2"/>
        <v>1</v>
      </c>
      <c r="N18" s="794">
        <f>COUNTIF('Playoff Stats'!$C$6:$BV$47,F18)</f>
        <v>1</v>
      </c>
      <c r="O18" s="789">
        <f>SUMIF('Playoff Stats'!$C$6:$BV$47,F18,'Playoff Stats'!$D$6:$BV$47)</f>
        <v>1</v>
      </c>
      <c r="P18" s="785">
        <f>SUMIF('Playoff Stats'!$C$6:$BN$47,F18,'Playoff Stats'!$E$6:$BN$47)</f>
        <v>1</v>
      </c>
      <c r="Q18" s="795">
        <f t="shared" si="3"/>
        <v>0</v>
      </c>
      <c r="R18" s="515"/>
      <c r="S18" s="822">
        <v>3.0</v>
      </c>
      <c r="T18" s="824" t="s">
        <v>196</v>
      </c>
      <c r="U18" s="824">
        <f t="shared" si="15"/>
        <v>2</v>
      </c>
      <c r="V18" s="824">
        <f t="shared" si="16"/>
        <v>2</v>
      </c>
      <c r="W18" s="814">
        <f t="shared" si="17"/>
        <v>-1</v>
      </c>
      <c r="X18" s="831" t="str">
        <f t="shared" ref="X18:AE18" si="19">IFS(AF18=0,"",AF18&gt;0,"W",AF18&lt;0,"L")</f>
        <v>L</v>
      </c>
      <c r="Y18" s="831" t="str">
        <f t="shared" si="19"/>
        <v/>
      </c>
      <c r="Z18" s="831" t="str">
        <f t="shared" si="19"/>
        <v>W</v>
      </c>
      <c r="AA18" s="831" t="str">
        <f t="shared" si="19"/>
        <v/>
      </c>
      <c r="AB18" s="831" t="str">
        <f t="shared" si="19"/>
        <v>W</v>
      </c>
      <c r="AC18" s="831" t="str">
        <f t="shared" si="19"/>
        <v>L</v>
      </c>
      <c r="AD18" s="831" t="str">
        <f t="shared" si="19"/>
        <v/>
      </c>
      <c r="AE18" s="963" t="str">
        <f t="shared" si="19"/>
        <v/>
      </c>
      <c r="AF18" s="833">
        <v>-3.0</v>
      </c>
      <c r="AG18" s="833"/>
      <c r="AH18" s="833">
        <v>4.0</v>
      </c>
      <c r="AI18" s="833"/>
      <c r="AJ18" s="833">
        <v>2.0</v>
      </c>
      <c r="AK18" s="833">
        <v>-4.0</v>
      </c>
      <c r="AL18" s="833"/>
      <c r="AM18" s="826"/>
      <c r="AN18" s="515"/>
      <c r="AO18" s="835" t="s">
        <v>313</v>
      </c>
      <c r="AP18" s="835">
        <v>2.0</v>
      </c>
      <c r="AQ18" s="836">
        <v>0.0</v>
      </c>
      <c r="AR18" s="814">
        <v>4.0</v>
      </c>
      <c r="AS18" s="516"/>
      <c r="AT18" s="504"/>
    </row>
    <row r="19">
      <c r="A19" s="504"/>
      <c r="B19" s="514"/>
      <c r="C19" s="401"/>
      <c r="D19" s="785" t="str">
        <f>Source!$I$4</f>
        <v>PM</v>
      </c>
      <c r="E19" s="785"/>
      <c r="F19" s="789" t="s">
        <v>156</v>
      </c>
      <c r="G19" s="815"/>
      <c r="H19" s="815"/>
      <c r="I19" s="815"/>
      <c r="J19" s="785">
        <f>COUNTIF(Stats!$C$6:$BN$47,F19)</f>
        <v>5</v>
      </c>
      <c r="K19" s="789">
        <f>SUMIF(Stats!$C$6:$BN$47,F19,Stats!$D$6:$BN$47)</f>
        <v>2</v>
      </c>
      <c r="L19" s="785">
        <f>SUMIF(Stats!$C$6:$BN$47,F19,Stats!$E$6:$BN$47)</f>
        <v>4</v>
      </c>
      <c r="M19" s="792">
        <f t="shared" si="2"/>
        <v>-2</v>
      </c>
      <c r="N19" s="794">
        <f>COUNTIF('Playoff Stats'!$C$6:$BV$47,F19)</f>
        <v>1</v>
      </c>
      <c r="O19" s="789">
        <f>SUMIF('Playoff Stats'!$C$6:$BV$47,F19,'Playoff Stats'!$D$6:$BV$47)</f>
        <v>0</v>
      </c>
      <c r="P19" s="785">
        <f>SUMIF('Playoff Stats'!$C$6:$BN$47,F19,'Playoff Stats'!$E$6:$BN$47)</f>
        <v>1</v>
      </c>
      <c r="Q19" s="795">
        <f t="shared" si="3"/>
        <v>-1</v>
      </c>
      <c r="R19" s="515"/>
      <c r="S19" s="822">
        <v>4.0</v>
      </c>
      <c r="T19" s="824" t="s">
        <v>198</v>
      </c>
      <c r="U19" s="824">
        <f t="shared" si="15"/>
        <v>3</v>
      </c>
      <c r="V19" s="824">
        <f t="shared" si="16"/>
        <v>2</v>
      </c>
      <c r="W19" s="814">
        <f t="shared" si="17"/>
        <v>3</v>
      </c>
      <c r="X19" s="831" t="str">
        <f t="shared" ref="X19:AE19" si="20">IFS(AF19=0,"",AF19&gt;0,"W",AF19&lt;0,"L")</f>
        <v>W</v>
      </c>
      <c r="Y19" s="831" t="str">
        <f t="shared" si="20"/>
        <v>L</v>
      </c>
      <c r="Z19" s="831" t="str">
        <f t="shared" si="20"/>
        <v/>
      </c>
      <c r="AA19" s="831" t="str">
        <f t="shared" si="20"/>
        <v/>
      </c>
      <c r="AB19" s="831" t="str">
        <f t="shared" si="20"/>
        <v>W</v>
      </c>
      <c r="AC19" s="831" t="str">
        <f t="shared" si="20"/>
        <v>W</v>
      </c>
      <c r="AD19" s="831" t="str">
        <f t="shared" si="20"/>
        <v>L</v>
      </c>
      <c r="AE19" s="963" t="str">
        <f t="shared" si="20"/>
        <v/>
      </c>
      <c r="AF19" s="833">
        <v>5.0</v>
      </c>
      <c r="AG19" s="833">
        <v>-4.0</v>
      </c>
      <c r="AH19" s="833"/>
      <c r="AI19" s="833"/>
      <c r="AJ19" s="833">
        <v>1.0</v>
      </c>
      <c r="AK19" s="833">
        <v>4.0</v>
      </c>
      <c r="AL19" s="833">
        <v>-3.0</v>
      </c>
      <c r="AM19" s="826"/>
      <c r="AN19" s="727"/>
      <c r="AO19" s="835" t="s">
        <v>196</v>
      </c>
      <c r="AP19" s="835">
        <v>2.0</v>
      </c>
      <c r="AQ19" s="836">
        <v>2.0</v>
      </c>
      <c r="AR19" s="814">
        <v>-1.0</v>
      </c>
      <c r="AS19" s="516"/>
      <c r="AT19" s="504"/>
    </row>
    <row r="20">
      <c r="A20" s="504"/>
      <c r="B20" s="514"/>
      <c r="C20" s="401"/>
      <c r="D20" s="785" t="str">
        <f>Source!$I$4</f>
        <v>PM</v>
      </c>
      <c r="E20" s="785"/>
      <c r="F20" s="789" t="s">
        <v>102</v>
      </c>
      <c r="G20" s="815"/>
      <c r="H20" s="815"/>
      <c r="I20" s="815"/>
      <c r="J20" s="785">
        <f>COUNTIF(Stats!$C$6:$BN$47,F20)</f>
        <v>3</v>
      </c>
      <c r="K20" s="789">
        <f>SUMIF(Stats!$C$6:$BN$47,F20,Stats!$D$6:$BN$47)</f>
        <v>5</v>
      </c>
      <c r="L20" s="785">
        <f>SUMIF(Stats!$C$6:$BN$47,F20,Stats!$E$6:$BN$47)</f>
        <v>2</v>
      </c>
      <c r="M20" s="792">
        <f t="shared" si="2"/>
        <v>3</v>
      </c>
      <c r="N20" s="794">
        <f>COUNTIF('Playoff Stats'!$C$6:$BV$47,F20)</f>
        <v>0</v>
      </c>
      <c r="O20" s="789">
        <f>SUMIF('Playoff Stats'!$C$6:$BV$47,F20,'Playoff Stats'!$D$6:$BV$47)</f>
        <v>0</v>
      </c>
      <c r="P20" s="785">
        <f>SUMIF('Playoff Stats'!$C$6:$BN$47,F20,'Playoff Stats'!$E$6:$BN$47)</f>
        <v>0</v>
      </c>
      <c r="Q20" s="795">
        <f t="shared" si="3"/>
        <v>0</v>
      </c>
      <c r="R20" s="515"/>
      <c r="S20" s="822">
        <v>5.0</v>
      </c>
      <c r="T20" s="824" t="s">
        <v>184</v>
      </c>
      <c r="U20" s="824">
        <f t="shared" si="15"/>
        <v>1</v>
      </c>
      <c r="V20" s="824">
        <f t="shared" si="16"/>
        <v>2</v>
      </c>
      <c r="W20" s="814">
        <f t="shared" si="17"/>
        <v>-5</v>
      </c>
      <c r="X20" s="831" t="str">
        <f t="shared" ref="X20:AE20" si="21">IFS(AF20=0,"",AF20&gt;0,"W",AF20&lt;0,"L")</f>
        <v>L</v>
      </c>
      <c r="Y20" s="831" t="str">
        <f t="shared" si="21"/>
        <v/>
      </c>
      <c r="Z20" s="831" t="str">
        <f t="shared" si="21"/>
        <v>W</v>
      </c>
      <c r="AA20" s="831" t="str">
        <f t="shared" si="21"/>
        <v/>
      </c>
      <c r="AB20" s="831" t="str">
        <f t="shared" si="21"/>
        <v>L</v>
      </c>
      <c r="AC20" s="831" t="str">
        <f t="shared" si="21"/>
        <v/>
      </c>
      <c r="AD20" s="831" t="str">
        <f t="shared" si="21"/>
        <v/>
      </c>
      <c r="AE20" s="963" t="str">
        <f t="shared" si="21"/>
        <v/>
      </c>
      <c r="AF20" s="833">
        <v>-5.0</v>
      </c>
      <c r="AG20" s="833"/>
      <c r="AH20" s="833">
        <v>1.0</v>
      </c>
      <c r="AI20" s="833"/>
      <c r="AJ20" s="833">
        <v>-1.0</v>
      </c>
      <c r="AK20" s="833"/>
      <c r="AL20" s="833"/>
      <c r="AM20" s="826"/>
      <c r="AN20" s="727"/>
      <c r="AO20" s="835" t="s">
        <v>204</v>
      </c>
      <c r="AP20" s="835">
        <v>1.0</v>
      </c>
      <c r="AQ20" s="836">
        <v>2.0</v>
      </c>
      <c r="AR20" s="814">
        <v>0.0</v>
      </c>
      <c r="AS20" s="516"/>
      <c r="AT20" s="504"/>
    </row>
    <row r="21">
      <c r="A21" s="504"/>
      <c r="B21" s="514"/>
      <c r="C21" s="401"/>
      <c r="D21" s="785" t="str">
        <f>Source!$I$4</f>
        <v>PM</v>
      </c>
      <c r="E21" s="785"/>
      <c r="F21" s="785" t="s">
        <v>161</v>
      </c>
      <c r="G21" s="886" t="s">
        <v>162</v>
      </c>
      <c r="H21" s="886" t="s">
        <v>163</v>
      </c>
      <c r="I21" s="886" t="s">
        <v>164</v>
      </c>
      <c r="J21" s="785">
        <f>COUNTIF(Stats!$C$6:$BN$47,F21)</f>
        <v>1</v>
      </c>
      <c r="K21" s="789">
        <f>SUMIF(Stats!$C$6:$BN$47,F21,Stats!$D$6:$BN$47)</f>
        <v>1</v>
      </c>
      <c r="L21" s="785">
        <f>SUMIF(Stats!$C$6:$BN$47,F21,Stats!$E$6:$BN$47)</f>
        <v>1</v>
      </c>
      <c r="M21" s="792">
        <f t="shared" si="2"/>
        <v>0</v>
      </c>
      <c r="N21" s="794">
        <f>COUNTIF('Playoff Stats'!$C$6:$BV$47,F21)</f>
        <v>0</v>
      </c>
      <c r="O21" s="789">
        <f>SUMIF('Playoff Stats'!$C$6:$BV$47,F21,'Playoff Stats'!$D$6:$BV$47)</f>
        <v>0</v>
      </c>
      <c r="P21" s="785">
        <f>SUMIF('Playoff Stats'!$C$6:$BN$47,F21,'Playoff Stats'!$E$6:$BN$47)</f>
        <v>0</v>
      </c>
      <c r="Q21" s="795">
        <f t="shared" si="3"/>
        <v>0</v>
      </c>
      <c r="R21" s="515"/>
      <c r="S21" s="822">
        <v>6.0</v>
      </c>
      <c r="T21" s="824" t="s">
        <v>313</v>
      </c>
      <c r="U21" s="824">
        <f t="shared" si="15"/>
        <v>2</v>
      </c>
      <c r="V21" s="824">
        <f t="shared" si="16"/>
        <v>0</v>
      </c>
      <c r="W21" s="814">
        <f t="shared" si="17"/>
        <v>4</v>
      </c>
      <c r="X21" s="831" t="str">
        <f t="shared" ref="X21:AE21" si="22">IFS(AF21=0,"",AF21&gt;0,"W",AF21&lt;0,"L")</f>
        <v>W</v>
      </c>
      <c r="Y21" s="831" t="str">
        <f t="shared" si="22"/>
        <v/>
      </c>
      <c r="Z21" s="831" t="str">
        <f t="shared" si="22"/>
        <v/>
      </c>
      <c r="AA21" s="831" t="str">
        <f t="shared" si="22"/>
        <v>W</v>
      </c>
      <c r="AB21" s="831" t="str">
        <f t="shared" si="22"/>
        <v/>
      </c>
      <c r="AC21" s="831" t="str">
        <f t="shared" si="22"/>
        <v/>
      </c>
      <c r="AD21" s="831" t="str">
        <f t="shared" si="22"/>
        <v/>
      </c>
      <c r="AE21" s="963" t="str">
        <f t="shared" si="22"/>
        <v/>
      </c>
      <c r="AF21" s="833">
        <v>3.0</v>
      </c>
      <c r="AG21" s="833">
        <v>0.0</v>
      </c>
      <c r="AH21" s="833"/>
      <c r="AI21" s="833">
        <v>1.0</v>
      </c>
      <c r="AJ21" s="833"/>
      <c r="AK21" s="833"/>
      <c r="AL21" s="833"/>
      <c r="AM21" s="826">
        <v>0.0</v>
      </c>
      <c r="AN21" s="727"/>
      <c r="AO21" s="835" t="s">
        <v>184</v>
      </c>
      <c r="AP21" s="835">
        <v>1.0</v>
      </c>
      <c r="AQ21" s="836">
        <v>2.0</v>
      </c>
      <c r="AR21" s="814">
        <v>-5.0</v>
      </c>
      <c r="AS21" s="516"/>
      <c r="AT21" s="504"/>
    </row>
    <row r="22">
      <c r="A22" s="504"/>
      <c r="B22" s="514"/>
      <c r="C22" s="401"/>
      <c r="D22" s="785" t="str">
        <f>Source!$I$4</f>
        <v>PM</v>
      </c>
      <c r="E22" s="785"/>
      <c r="F22" s="785" t="s">
        <v>211</v>
      </c>
      <c r="G22" s="886" t="s">
        <v>140</v>
      </c>
      <c r="H22" s="886" t="s">
        <v>93</v>
      </c>
      <c r="I22" s="886" t="s">
        <v>227</v>
      </c>
      <c r="J22" s="785">
        <f>COUNTIF(Stats!$C$6:$BN$47,F22)</f>
        <v>1</v>
      </c>
      <c r="K22" s="789">
        <f>SUMIF(Stats!$C$6:$BN$47,F22,Stats!$D$6:$BN$47)</f>
        <v>0</v>
      </c>
      <c r="L22" s="785">
        <f>SUMIF(Stats!$C$6:$BN$47,F22,Stats!$E$6:$BN$47)</f>
        <v>1</v>
      </c>
      <c r="M22" s="792">
        <f t="shared" si="2"/>
        <v>-1</v>
      </c>
      <c r="N22" s="794">
        <f>COUNTIF('Playoff Stats'!$C$6:$BV$47,F22)</f>
        <v>0</v>
      </c>
      <c r="O22" s="789">
        <f>SUMIF('Playoff Stats'!$C$6:$BV$47,F22,'Playoff Stats'!$D$6:$BV$47)</f>
        <v>0</v>
      </c>
      <c r="P22" s="785">
        <f>SUMIF('Playoff Stats'!$C$6:$BN$47,F22,'Playoff Stats'!$E$6:$BN$47)</f>
        <v>0</v>
      </c>
      <c r="Q22" s="795">
        <f t="shared" si="3"/>
        <v>0</v>
      </c>
      <c r="R22" s="515"/>
      <c r="S22" s="822">
        <v>7.0</v>
      </c>
      <c r="T22" s="824" t="s">
        <v>204</v>
      </c>
      <c r="U22" s="824">
        <f t="shared" si="15"/>
        <v>1</v>
      </c>
      <c r="V22" s="824">
        <f t="shared" si="16"/>
        <v>2</v>
      </c>
      <c r="W22" s="814">
        <f t="shared" si="17"/>
        <v>0</v>
      </c>
      <c r="X22" s="831" t="str">
        <f t="shared" ref="X22:AE22" si="23">IFS(AF22=0,"",AF22&gt;0,"W",AF22&lt;0,"L")</f>
        <v>W</v>
      </c>
      <c r="Y22" s="831" t="str">
        <f t="shared" si="23"/>
        <v>L</v>
      </c>
      <c r="Z22" s="831" t="str">
        <f t="shared" si="23"/>
        <v/>
      </c>
      <c r="AA22" s="831" t="str">
        <f t="shared" si="23"/>
        <v/>
      </c>
      <c r="AB22" s="831" t="str">
        <f t="shared" si="23"/>
        <v>L</v>
      </c>
      <c r="AC22" s="831" t="str">
        <f t="shared" si="23"/>
        <v/>
      </c>
      <c r="AD22" s="831" t="str">
        <f t="shared" si="23"/>
        <v/>
      </c>
      <c r="AE22" s="963" t="str">
        <f t="shared" si="23"/>
        <v/>
      </c>
      <c r="AF22" s="833">
        <v>3.0</v>
      </c>
      <c r="AG22" s="833">
        <v>-1.0</v>
      </c>
      <c r="AH22" s="833"/>
      <c r="AI22" s="833"/>
      <c r="AJ22" s="833">
        <v>-2.0</v>
      </c>
      <c r="AK22" s="833"/>
      <c r="AL22" s="833"/>
      <c r="AM22" s="826"/>
      <c r="AN22" s="515"/>
      <c r="AO22" s="835" t="s">
        <v>194</v>
      </c>
      <c r="AP22" s="835">
        <v>0.0</v>
      </c>
      <c r="AQ22" s="836">
        <v>2.0</v>
      </c>
      <c r="AR22" s="814">
        <v>-7.0</v>
      </c>
      <c r="AS22" s="516"/>
      <c r="AT22" s="504"/>
    </row>
    <row r="23">
      <c r="A23" s="504"/>
      <c r="B23" s="514"/>
      <c r="C23" s="401"/>
      <c r="D23" s="785" t="str">
        <f>Source!$I$4</f>
        <v>PM</v>
      </c>
      <c r="E23" s="785"/>
      <c r="F23" s="785" t="s">
        <v>185</v>
      </c>
      <c r="G23" s="886"/>
      <c r="H23" s="886"/>
      <c r="I23" s="886"/>
      <c r="J23" s="785">
        <f>COUNTIF(Stats!$C$6:$BN$47,F23)</f>
        <v>3</v>
      </c>
      <c r="K23" s="789">
        <f>SUMIF(Stats!$C$6:$BN$47,F23,Stats!$D$6:$BN$47)</f>
        <v>1</v>
      </c>
      <c r="L23" s="785">
        <f>SUMIF(Stats!$C$6:$BN$47,F23,Stats!$E$6:$BN$47)</f>
        <v>3</v>
      </c>
      <c r="M23" s="792">
        <f t="shared" si="2"/>
        <v>-2</v>
      </c>
      <c r="N23" s="794">
        <f>COUNTIF('Playoff Stats'!$C$6:$BV$47,F23)</f>
        <v>0</v>
      </c>
      <c r="O23" s="789">
        <f>SUMIF('Playoff Stats'!$C$6:$BV$47,F23,'Playoff Stats'!$D$6:$BV$47)</f>
        <v>0</v>
      </c>
      <c r="P23" s="785">
        <f>SUMIF('Playoff Stats'!$C$6:$BN$47,F23,'Playoff Stats'!$E$6:$BN$47)</f>
        <v>0</v>
      </c>
      <c r="Q23" s="795">
        <f t="shared" si="3"/>
        <v>0</v>
      </c>
      <c r="R23" s="515"/>
      <c r="S23" s="898">
        <v>8.0</v>
      </c>
      <c r="T23" s="900" t="s">
        <v>187</v>
      </c>
      <c r="U23" s="900">
        <f t="shared" si="15"/>
        <v>0</v>
      </c>
      <c r="V23" s="900">
        <f t="shared" si="16"/>
        <v>2</v>
      </c>
      <c r="W23" s="902">
        <f t="shared" si="17"/>
        <v>-7</v>
      </c>
      <c r="X23" s="906" t="str">
        <f t="shared" ref="X23:AE23" si="24">IFS(AF23=0,"",AF23&gt;0,"W",AF23&lt;0,"L")</f>
        <v>L</v>
      </c>
      <c r="Y23" s="906" t="str">
        <f t="shared" si="24"/>
        <v/>
      </c>
      <c r="Z23" s="906" t="str">
        <f t="shared" si="24"/>
        <v>L</v>
      </c>
      <c r="AA23" s="906" t="str">
        <f t="shared" si="24"/>
        <v/>
      </c>
      <c r="AB23" s="906" t="str">
        <f t="shared" si="24"/>
        <v/>
      </c>
      <c r="AC23" s="906" t="str">
        <f t="shared" si="24"/>
        <v/>
      </c>
      <c r="AD23" s="906" t="str">
        <f t="shared" si="24"/>
        <v/>
      </c>
      <c r="AE23" s="970" t="str">
        <f t="shared" si="24"/>
        <v/>
      </c>
      <c r="AF23" s="642">
        <v>-6.0</v>
      </c>
      <c r="AG23" s="642"/>
      <c r="AH23" s="642">
        <v>-1.0</v>
      </c>
      <c r="AI23" s="642"/>
      <c r="AJ23" s="642"/>
      <c r="AK23" s="642"/>
      <c r="AL23" s="642"/>
      <c r="AM23" s="904"/>
      <c r="AN23" s="515"/>
      <c r="AO23" s="907" t="s">
        <v>187</v>
      </c>
      <c r="AP23" s="907">
        <v>0.0</v>
      </c>
      <c r="AQ23" s="908">
        <v>2.0</v>
      </c>
      <c r="AR23" s="902">
        <v>-7.0</v>
      </c>
      <c r="AS23" s="516"/>
      <c r="AT23" s="504"/>
    </row>
    <row r="24">
      <c r="A24" s="504"/>
      <c r="B24" s="514"/>
      <c r="C24" s="401"/>
      <c r="D24" s="785" t="str">
        <f>Source!$I$4</f>
        <v>PM</v>
      </c>
      <c r="E24" s="785"/>
      <c r="F24" s="785" t="s">
        <v>224</v>
      </c>
      <c r="G24" s="870"/>
      <c r="H24" s="870"/>
      <c r="I24" s="870"/>
      <c r="J24" s="785">
        <f>COUNTIF(Stats!$C$6:$BN$47,F24)</f>
        <v>1</v>
      </c>
      <c r="K24" s="789">
        <f>SUMIF(Stats!$C$6:$BN$47,F24,Stats!$D$6:$BN$47)</f>
        <v>0</v>
      </c>
      <c r="L24" s="785">
        <f>SUMIF(Stats!$C$6:$BN$47,F24,Stats!$E$6:$BN$47)</f>
        <v>1</v>
      </c>
      <c r="M24" s="792">
        <f t="shared" si="2"/>
        <v>-1</v>
      </c>
      <c r="N24" s="794">
        <f>COUNTIF('Playoff Stats'!$C$6:$BV$47,F24)</f>
        <v>1</v>
      </c>
      <c r="O24" s="789">
        <f>SUMIF('Playoff Stats'!$C$6:$BV$47,F24,'Playoff Stats'!$D$6:$BV$47)</f>
        <v>0</v>
      </c>
      <c r="P24" s="785">
        <f>SUMIF('Playoff Stats'!$C$6:$BN$47,F24,'Playoff Stats'!$E$6:$BN$47)</f>
        <v>1</v>
      </c>
      <c r="Q24" s="795">
        <f t="shared" si="3"/>
        <v>-1</v>
      </c>
      <c r="R24" s="515"/>
      <c r="S24" s="727"/>
      <c r="T24" s="515"/>
      <c r="U24" s="515"/>
      <c r="V24" s="515"/>
      <c r="W24" s="515"/>
      <c r="X24" s="515"/>
      <c r="Y24" s="515"/>
      <c r="Z24" s="515"/>
      <c r="AA24" s="515"/>
      <c r="AB24" s="515"/>
      <c r="AC24" s="515"/>
      <c r="AD24" s="515"/>
      <c r="AE24" s="515"/>
      <c r="AF24" s="515"/>
      <c r="AG24" s="515"/>
      <c r="AH24" s="515"/>
      <c r="AI24" s="515"/>
      <c r="AJ24" s="515"/>
      <c r="AK24" s="515"/>
      <c r="AL24" s="515"/>
      <c r="AM24" s="515"/>
      <c r="AN24" s="515"/>
      <c r="AO24" s="515"/>
      <c r="AP24" s="515"/>
      <c r="AQ24" s="515"/>
      <c r="AR24" s="515"/>
      <c r="AS24" s="516"/>
      <c r="AT24" s="504"/>
    </row>
    <row r="25">
      <c r="A25" s="504"/>
      <c r="B25" s="514"/>
      <c r="C25" s="401"/>
      <c r="D25" s="785" t="str">
        <f>Source!$I$4</f>
        <v>PM</v>
      </c>
      <c r="E25" s="785"/>
      <c r="F25" s="785" t="s">
        <v>109</v>
      </c>
      <c r="G25" s="870"/>
      <c r="H25" s="870"/>
      <c r="I25" s="870"/>
      <c r="J25" s="785">
        <f>COUNTIF(Stats!$C$6:$BN$47,F25)</f>
        <v>3</v>
      </c>
      <c r="K25" s="789">
        <f>SUMIF(Stats!$C$6:$BN$47,F25,Stats!$D$6:$BN$47)</f>
        <v>4</v>
      </c>
      <c r="L25" s="785">
        <f>SUMIF(Stats!$C$6:$BN$47,F25,Stats!$E$6:$BN$47)</f>
        <v>3</v>
      </c>
      <c r="M25" s="792">
        <f t="shared" si="2"/>
        <v>1</v>
      </c>
      <c r="N25" s="794">
        <f>COUNTIF('Playoff Stats'!$C$6:$BV$47,F25)</f>
        <v>1</v>
      </c>
      <c r="O25" s="789">
        <f>SUMIF('Playoff Stats'!$C$6:$BV$47,F25,'Playoff Stats'!$D$6:$BV$47)</f>
        <v>0</v>
      </c>
      <c r="P25" s="785">
        <f>SUMIF('Playoff Stats'!$C$6:$BN$47,F25,'Playoff Stats'!$E$6:$BN$47)</f>
        <v>1</v>
      </c>
      <c r="Q25" s="795">
        <f t="shared" si="3"/>
        <v>-1</v>
      </c>
      <c r="R25" s="515"/>
      <c r="S25" s="727"/>
      <c r="T25" s="515"/>
      <c r="U25" s="515"/>
      <c r="V25" s="515"/>
      <c r="W25" s="515"/>
      <c r="X25" s="515"/>
      <c r="Y25" s="515"/>
      <c r="Z25" s="515"/>
      <c r="AA25" s="515"/>
      <c r="AB25" s="515"/>
      <c r="AC25" s="515"/>
      <c r="AD25" s="515"/>
      <c r="AE25" s="515"/>
      <c r="AF25" s="515"/>
      <c r="AG25" s="515"/>
      <c r="AH25" s="515"/>
      <c r="AI25" s="515"/>
      <c r="AJ25" s="515"/>
      <c r="AK25" s="515"/>
      <c r="AL25" s="515"/>
      <c r="AM25" s="515"/>
      <c r="AN25" s="515"/>
      <c r="AO25" s="752" t="s">
        <v>543</v>
      </c>
      <c r="AP25" s="29"/>
      <c r="AQ25" s="29"/>
      <c r="AR25" s="31"/>
      <c r="AS25" s="516"/>
      <c r="AT25" s="504"/>
    </row>
    <row r="26">
      <c r="A26" s="504"/>
      <c r="B26" s="514"/>
      <c r="C26" s="401"/>
      <c r="D26" s="785" t="str">
        <f>Source!$I$4</f>
        <v>PM</v>
      </c>
      <c r="E26" s="785"/>
      <c r="F26" s="785" t="s">
        <v>229</v>
      </c>
      <c r="G26" s="870"/>
      <c r="H26" s="870"/>
      <c r="I26" s="870"/>
      <c r="J26" s="785">
        <f>COUNTIF(Stats!$C$6:$BN$47,F26)</f>
        <v>2</v>
      </c>
      <c r="K26" s="789">
        <f>SUMIF(Stats!$C$6:$BN$47,F26,Stats!$D$6:$BN$47)</f>
        <v>0</v>
      </c>
      <c r="L26" s="785">
        <f>SUMIF(Stats!$C$6:$BN$47,F26,Stats!$E$6:$BN$47)</f>
        <v>2</v>
      </c>
      <c r="M26" s="792">
        <f t="shared" si="2"/>
        <v>-2</v>
      </c>
      <c r="N26" s="794">
        <f>COUNTIF('Playoff Stats'!$C$6:$BV$47,F26)</f>
        <v>1</v>
      </c>
      <c r="O26" s="789">
        <f>SUMIF('Playoff Stats'!$C$6:$BV$47,F26,'Playoff Stats'!$D$6:$BV$47)</f>
        <v>0</v>
      </c>
      <c r="P26" s="785">
        <f>SUMIF('Playoff Stats'!$C$6:$BN$47,F26,'Playoff Stats'!$E$6:$BN$47)</f>
        <v>1</v>
      </c>
      <c r="Q26" s="795">
        <f t="shared" si="3"/>
        <v>-1</v>
      </c>
      <c r="R26" s="515"/>
      <c r="S26" s="727"/>
      <c r="T26" s="515"/>
      <c r="U26" s="515"/>
      <c r="V26" s="515"/>
      <c r="W26" s="515"/>
      <c r="X26" s="515"/>
      <c r="Y26" s="515"/>
      <c r="Z26" s="515"/>
      <c r="AA26" s="515"/>
      <c r="AB26" s="515"/>
      <c r="AC26" s="515"/>
      <c r="AD26" s="515"/>
      <c r="AE26" s="515"/>
      <c r="AF26" s="515"/>
      <c r="AG26" s="515"/>
      <c r="AH26" s="515"/>
      <c r="AI26" s="515"/>
      <c r="AJ26" s="515"/>
      <c r="AK26" s="515"/>
      <c r="AL26" s="515"/>
      <c r="AM26" s="515"/>
      <c r="AN26" s="515"/>
      <c r="AO26" s="771" t="s">
        <v>400</v>
      </c>
      <c r="AP26" s="780" t="s">
        <v>401</v>
      </c>
      <c r="AQ26" s="781" t="s">
        <v>402</v>
      </c>
      <c r="AR26" s="773" t="s">
        <v>78</v>
      </c>
      <c r="AS26" s="516"/>
      <c r="AT26" s="504"/>
    </row>
    <row r="27">
      <c r="A27" s="504"/>
      <c r="B27" s="514"/>
      <c r="C27" s="401"/>
      <c r="D27" s="785" t="str">
        <f>Source!$I$4</f>
        <v>PM</v>
      </c>
      <c r="E27" s="785"/>
      <c r="F27" s="785"/>
      <c r="G27" s="870"/>
      <c r="H27" s="870"/>
      <c r="I27" s="870"/>
      <c r="J27" s="785">
        <f>COUNTIF(Stats!$C$6:$BN$47,F27)</f>
        <v>0</v>
      </c>
      <c r="K27" s="789">
        <f>SUMIF(Stats!$C$6:$BN$47,F27,Stats!$D$6:$BN$47)</f>
        <v>0</v>
      </c>
      <c r="L27" s="785">
        <f>SUMIF(Stats!$C$6:$BN$47,F27,Stats!$E$6:$BN$47)</f>
        <v>0</v>
      </c>
      <c r="M27" s="792">
        <f t="shared" si="2"/>
        <v>0</v>
      </c>
      <c r="N27" s="794">
        <f>COUNTIF('Playoff Stats'!$C$6:$BV$47,F27)</f>
        <v>0</v>
      </c>
      <c r="O27" s="789">
        <f>SUMIF('Playoff Stats'!$C$6:$BV$47,F27,'Playoff Stats'!$D$6:$BV$47)</f>
        <v>0</v>
      </c>
      <c r="P27" s="785">
        <f>SUMIF('Playoff Stats'!$C$6:$BN$47,F27,'Playoff Stats'!$E$6:$BN$47)</f>
        <v>0</v>
      </c>
      <c r="Q27" s="795">
        <f t="shared" si="3"/>
        <v>0</v>
      </c>
      <c r="R27" s="515"/>
      <c r="S27" s="727"/>
      <c r="T27" s="971" t="s">
        <v>554</v>
      </c>
      <c r="U27" s="31"/>
      <c r="V27" s="515"/>
      <c r="W27" s="515"/>
      <c r="X27" s="515"/>
      <c r="Y27" s="515"/>
      <c r="Z27" s="515"/>
      <c r="AA27" s="515"/>
      <c r="AB27" s="515"/>
      <c r="AC27" s="515"/>
      <c r="AD27" s="515"/>
      <c r="AE27" s="515"/>
      <c r="AF27" s="515"/>
      <c r="AG27" s="515"/>
      <c r="AH27" s="515"/>
      <c r="AI27" s="515"/>
      <c r="AJ27" s="515"/>
      <c r="AK27" s="515"/>
      <c r="AL27" s="515"/>
      <c r="AM27" s="515"/>
      <c r="AN27" s="515"/>
      <c r="AO27" s="800" t="str">
        <f t="array" ref="AO27:AO34">AO5:AO12</f>
        <v>Ian Heslin</v>
      </c>
      <c r="AP27" s="800">
        <f t="shared" ref="AP27:AR27" si="25">AP5+U16</f>
        <v>10</v>
      </c>
      <c r="AQ27" s="813">
        <f t="shared" si="25"/>
        <v>1</v>
      </c>
      <c r="AR27" s="801">
        <f t="shared" si="25"/>
        <v>42</v>
      </c>
      <c r="AS27" s="516"/>
      <c r="AT27" s="504"/>
    </row>
    <row r="28">
      <c r="A28" s="504"/>
      <c r="B28" s="514"/>
      <c r="C28" s="925"/>
      <c r="D28" s="785" t="str">
        <f>Source!$I$4</f>
        <v>PM</v>
      </c>
      <c r="E28" s="785"/>
      <c r="F28" s="785"/>
      <c r="G28" s="870"/>
      <c r="H28" s="870"/>
      <c r="I28" s="870"/>
      <c r="J28" s="785">
        <f>COUNTIF(Stats!$C$6:$BN$47,F28)</f>
        <v>0</v>
      </c>
      <c r="K28" s="789">
        <f>SUMIF(Stats!$C$6:$BN$47,F28,Stats!$D$6:$BN$47)</f>
        <v>0</v>
      </c>
      <c r="L28" s="785">
        <f>SUMIF(Stats!$C$6:$BN$47,F28,Stats!$E$6:$BN$47)</f>
        <v>0</v>
      </c>
      <c r="M28" s="792">
        <f t="shared" si="2"/>
        <v>0</v>
      </c>
      <c r="N28" s="794">
        <f>COUNTIF('Playoff Stats'!$C$6:$BV$47,F28)</f>
        <v>0</v>
      </c>
      <c r="O28" s="789">
        <f>SUMIF('Playoff Stats'!$C$6:$BV$47,F28,'Playoff Stats'!$D$6:$BV$47)</f>
        <v>0</v>
      </c>
      <c r="P28" s="785">
        <f>SUMIF('Playoff Stats'!$C$6:$BN$47,F28,'Playoff Stats'!$E$6:$BN$47)</f>
        <v>0</v>
      </c>
      <c r="Q28" s="795">
        <f t="shared" si="3"/>
        <v>0</v>
      </c>
      <c r="R28" s="515"/>
      <c r="S28" s="727"/>
      <c r="T28" s="975" t="s">
        <v>136</v>
      </c>
      <c r="U28" s="826"/>
      <c r="V28" s="515"/>
      <c r="W28" s="515"/>
      <c r="X28" s="515"/>
      <c r="Y28" s="515"/>
      <c r="Z28" s="515"/>
      <c r="AA28" s="515"/>
      <c r="AB28" s="515"/>
      <c r="AC28" s="515"/>
      <c r="AD28" s="515"/>
      <c r="AE28" s="515"/>
      <c r="AF28" s="515"/>
      <c r="AG28" s="515"/>
      <c r="AH28" s="515"/>
      <c r="AI28" s="515"/>
      <c r="AJ28" s="515"/>
      <c r="AK28" s="515"/>
      <c r="AL28" s="515"/>
      <c r="AM28" s="515"/>
      <c r="AN28" s="515"/>
      <c r="AO28" s="824" t="s">
        <v>194</v>
      </c>
      <c r="AP28" s="824">
        <f t="shared" ref="AP28:AR28" si="26">AP6+U17</f>
        <v>5</v>
      </c>
      <c r="AQ28" s="836">
        <f t="shared" si="26"/>
        <v>3</v>
      </c>
      <c r="AR28" s="814">
        <f t="shared" si="26"/>
        <v>5</v>
      </c>
      <c r="AS28" s="516"/>
      <c r="AT28" s="504"/>
    </row>
    <row r="29">
      <c r="A29" s="504"/>
      <c r="B29" s="514"/>
      <c r="C29" s="784" t="str">
        <f>Source!$G$5</f>
        <v>Ian Heslin</v>
      </c>
      <c r="D29" s="785" t="str">
        <f>Source!$I$5</f>
        <v>RIP</v>
      </c>
      <c r="E29" s="785"/>
      <c r="F29" s="789" t="str">
        <f t="array" ref="F29:F40">Teams!$R$5:$R$16</f>
        <v>Annihilape</v>
      </c>
      <c r="G29" s="815"/>
      <c r="H29" s="815"/>
      <c r="I29" s="815"/>
      <c r="J29" s="785">
        <f>COUNTIF(Stats!$C$6:$BN$47,F29)</f>
        <v>2</v>
      </c>
      <c r="K29" s="789">
        <f>SUMIF(Stats!$C$6:$BN$47,F29,Stats!$D$6:$BN$47)</f>
        <v>3</v>
      </c>
      <c r="L29" s="785">
        <f>SUMIF(Stats!$C$6:$BN$47,F29,Stats!$E$6:$BN$47)</f>
        <v>0</v>
      </c>
      <c r="M29" s="792">
        <f t="shared" si="2"/>
        <v>3</v>
      </c>
      <c r="N29" s="794">
        <f>COUNTIF('Playoff Stats'!$C$6:$BV$47,F29)</f>
        <v>0</v>
      </c>
      <c r="O29" s="789">
        <f>SUMIF('Playoff Stats'!$C$6:$BV$47,F29,'Playoff Stats'!$D$6:$BV$47)</f>
        <v>0</v>
      </c>
      <c r="P29" s="785">
        <f>SUMIF('Playoff Stats'!$C$6:$BN$47,F29,'Playoff Stats'!$E$6:$BN$47)</f>
        <v>0</v>
      </c>
      <c r="Q29" s="795">
        <f t="shared" si="3"/>
        <v>0</v>
      </c>
      <c r="R29" s="515"/>
      <c r="S29" s="727"/>
      <c r="T29" s="975" t="s">
        <v>341</v>
      </c>
      <c r="U29" s="826"/>
      <c r="V29" s="515"/>
      <c r="W29" s="515"/>
      <c r="X29" s="515"/>
      <c r="Y29" s="515"/>
      <c r="Z29" s="515"/>
      <c r="AA29" s="515"/>
      <c r="AB29" s="515"/>
      <c r="AC29" s="515"/>
      <c r="AD29" s="515"/>
      <c r="AE29" s="515"/>
      <c r="AF29" s="515"/>
      <c r="AG29" s="515"/>
      <c r="AH29" s="515"/>
      <c r="AI29" s="515"/>
      <c r="AJ29" s="515"/>
      <c r="AK29" s="515"/>
      <c r="AL29" s="515"/>
      <c r="AM29" s="515"/>
      <c r="AN29" s="515"/>
      <c r="AO29" s="824" t="s">
        <v>196</v>
      </c>
      <c r="AP29" s="824">
        <f t="shared" ref="AP29:AR29" si="27">AP7+U18</f>
        <v>6</v>
      </c>
      <c r="AQ29" s="836">
        <f t="shared" si="27"/>
        <v>5</v>
      </c>
      <c r="AR29" s="814">
        <f t="shared" si="27"/>
        <v>2</v>
      </c>
      <c r="AS29" s="516"/>
      <c r="AT29" s="504"/>
    </row>
    <row r="30">
      <c r="A30" s="504"/>
      <c r="B30" s="514"/>
      <c r="C30" s="401"/>
      <c r="D30" s="785" t="str">
        <f>Source!$I$5</f>
        <v>RIP</v>
      </c>
      <c r="E30" s="785"/>
      <c r="F30" s="789" t="s">
        <v>96</v>
      </c>
      <c r="G30" s="815"/>
      <c r="H30" s="815"/>
      <c r="I30" s="815"/>
      <c r="J30" s="785">
        <f>COUNTIF(Stats!$C$6:$BN$47,F30)</f>
        <v>6</v>
      </c>
      <c r="K30" s="789">
        <f>SUMIF(Stats!$C$6:$BN$47,F30,Stats!$D$6:$BN$47)</f>
        <v>6</v>
      </c>
      <c r="L30" s="785">
        <f>SUMIF(Stats!$C$6:$BN$47,F30,Stats!$E$6:$BN$47)</f>
        <v>3</v>
      </c>
      <c r="M30" s="792">
        <f t="shared" si="2"/>
        <v>3</v>
      </c>
      <c r="N30" s="794">
        <f>COUNTIF('Playoff Stats'!$C$6:$BV$47,F30)</f>
        <v>4</v>
      </c>
      <c r="O30" s="789">
        <f>SUMIF('Playoff Stats'!$C$6:$BV$47,F30,'Playoff Stats'!$D$6:$BV$47)</f>
        <v>2</v>
      </c>
      <c r="P30" s="785">
        <f>SUMIF('Playoff Stats'!$C$6:$BN$47,F30,'Playoff Stats'!$E$6:$BN$47)</f>
        <v>1</v>
      </c>
      <c r="Q30" s="795">
        <f t="shared" si="3"/>
        <v>1</v>
      </c>
      <c r="R30" s="515"/>
      <c r="S30" s="727"/>
      <c r="T30" s="975" t="s">
        <v>128</v>
      </c>
      <c r="U30" s="826"/>
      <c r="V30" s="515"/>
      <c r="W30" s="515"/>
      <c r="X30" s="515"/>
      <c r="Y30" s="515"/>
      <c r="Z30" s="515"/>
      <c r="AA30" s="515"/>
      <c r="AB30" s="515"/>
      <c r="AC30" s="515"/>
      <c r="AD30" s="515"/>
      <c r="AE30" s="515"/>
      <c r="AF30" s="515"/>
      <c r="AG30" s="515"/>
      <c r="AH30" s="515"/>
      <c r="AI30" s="515"/>
      <c r="AJ30" s="515"/>
      <c r="AK30" s="515"/>
      <c r="AL30" s="515"/>
      <c r="AM30" s="515"/>
      <c r="AN30" s="515"/>
      <c r="AO30" s="824" t="s">
        <v>198</v>
      </c>
      <c r="AP30" s="824">
        <f t="shared" ref="AP30:AR30" si="28">AP8+U19</f>
        <v>5</v>
      </c>
      <c r="AQ30" s="836">
        <f t="shared" si="28"/>
        <v>4</v>
      </c>
      <c r="AR30" s="814">
        <f t="shared" si="28"/>
        <v>0</v>
      </c>
      <c r="AS30" s="516"/>
      <c r="AT30" s="504"/>
    </row>
    <row r="31">
      <c r="A31" s="504"/>
      <c r="B31" s="514"/>
      <c r="C31" s="401"/>
      <c r="D31" s="785" t="str">
        <f>Source!$I$5</f>
        <v>RIP</v>
      </c>
      <c r="E31" s="785"/>
      <c r="F31" s="789" t="s">
        <v>99</v>
      </c>
      <c r="G31" s="815"/>
      <c r="H31" s="815"/>
      <c r="I31" s="815"/>
      <c r="J31" s="785">
        <f>COUNTIF(Stats!$C$6:$BN$47,F31)</f>
        <v>5</v>
      </c>
      <c r="K31" s="789">
        <f>SUMIF(Stats!$C$6:$BN$47,F31,Stats!$D$6:$BN$47)</f>
        <v>5</v>
      </c>
      <c r="L31" s="785">
        <f>SUMIF(Stats!$C$6:$BN$47,F31,Stats!$E$6:$BN$47)</f>
        <v>0</v>
      </c>
      <c r="M31" s="792">
        <f t="shared" si="2"/>
        <v>5</v>
      </c>
      <c r="N31" s="794">
        <f>COUNTIF('Playoff Stats'!$C$6:$BV$47,F31)</f>
        <v>2</v>
      </c>
      <c r="O31" s="789">
        <f>SUMIF('Playoff Stats'!$C$6:$BV$47,F31,'Playoff Stats'!$D$6:$BV$47)</f>
        <v>0</v>
      </c>
      <c r="P31" s="785">
        <f>SUMIF('Playoff Stats'!$C$6:$BN$47,F31,'Playoff Stats'!$E$6:$BN$47)</f>
        <v>1</v>
      </c>
      <c r="Q31" s="795">
        <f t="shared" si="3"/>
        <v>-1</v>
      </c>
      <c r="R31" s="515"/>
      <c r="S31" s="727"/>
      <c r="T31" s="975" t="s">
        <v>178</v>
      </c>
      <c r="U31" s="826"/>
      <c r="V31" s="515"/>
      <c r="W31" s="515"/>
      <c r="X31" s="515"/>
      <c r="Y31" s="515"/>
      <c r="Z31" s="515"/>
      <c r="AA31" s="515"/>
      <c r="AB31" s="515"/>
      <c r="AC31" s="515"/>
      <c r="AD31" s="515"/>
      <c r="AE31" s="515"/>
      <c r="AF31" s="515"/>
      <c r="AG31" s="515"/>
      <c r="AH31" s="515"/>
      <c r="AI31" s="515"/>
      <c r="AJ31" s="515"/>
      <c r="AK31" s="515"/>
      <c r="AL31" s="515"/>
      <c r="AM31" s="515"/>
      <c r="AN31" s="515"/>
      <c r="AO31" s="824" t="s">
        <v>184</v>
      </c>
      <c r="AP31" s="824">
        <f t="shared" ref="AP31:AR31" si="29">AP9+U20</f>
        <v>3</v>
      </c>
      <c r="AQ31" s="836">
        <f t="shared" si="29"/>
        <v>5</v>
      </c>
      <c r="AR31" s="814">
        <f t="shared" si="29"/>
        <v>-12</v>
      </c>
      <c r="AS31" s="516"/>
      <c r="AT31" s="504"/>
    </row>
    <row r="32">
      <c r="A32" s="504"/>
      <c r="B32" s="514"/>
      <c r="C32" s="401"/>
      <c r="D32" s="785" t="str">
        <f>Source!$I$5</f>
        <v>RIP</v>
      </c>
      <c r="E32" s="785"/>
      <c r="F32" s="789" t="s">
        <v>129</v>
      </c>
      <c r="G32" s="815"/>
      <c r="H32" s="815"/>
      <c r="I32" s="815"/>
      <c r="J32" s="785">
        <f>COUNTIF(Stats!$C$6:$BN$47,F32)</f>
        <v>1</v>
      </c>
      <c r="K32" s="789">
        <f>SUMIF(Stats!$C$6:$BN$47,F32,Stats!$D$6:$BN$47)</f>
        <v>0</v>
      </c>
      <c r="L32" s="785">
        <f>SUMIF(Stats!$C$6:$BN$47,F32,Stats!$E$6:$BN$47)</f>
        <v>1</v>
      </c>
      <c r="M32" s="792">
        <f t="shared" si="2"/>
        <v>-1</v>
      </c>
      <c r="N32" s="794">
        <f>COUNTIF('Playoff Stats'!$C$6:$BV$47,F32)</f>
        <v>1</v>
      </c>
      <c r="O32" s="789">
        <f>SUMIF('Playoff Stats'!$C$6:$BV$47,F32,'Playoff Stats'!$D$6:$BV$47)</f>
        <v>0</v>
      </c>
      <c r="P32" s="785">
        <f>SUMIF('Playoff Stats'!$C$6:$BN$47,F32,'Playoff Stats'!$E$6:$BN$47)</f>
        <v>1</v>
      </c>
      <c r="Q32" s="795">
        <f t="shared" si="3"/>
        <v>-1</v>
      </c>
      <c r="R32" s="515"/>
      <c r="S32" s="727"/>
      <c r="T32" s="975" t="s">
        <v>80</v>
      </c>
      <c r="U32" s="826"/>
      <c r="V32" s="515"/>
      <c r="W32" s="515"/>
      <c r="X32" s="515"/>
      <c r="Y32" s="515"/>
      <c r="Z32" s="515"/>
      <c r="AA32" s="515"/>
      <c r="AB32" s="515"/>
      <c r="AC32" s="515"/>
      <c r="AD32" s="515"/>
      <c r="AE32" s="515"/>
      <c r="AF32" s="515"/>
      <c r="AG32" s="515"/>
      <c r="AH32" s="515"/>
      <c r="AI32" s="515"/>
      <c r="AJ32" s="515"/>
      <c r="AK32" s="515"/>
      <c r="AL32" s="515"/>
      <c r="AM32" s="515"/>
      <c r="AN32" s="515"/>
      <c r="AO32" s="824" t="s">
        <v>313</v>
      </c>
      <c r="AP32" s="824">
        <f t="shared" ref="AP32:AR32" si="30">AP10+U21</f>
        <v>3</v>
      </c>
      <c r="AQ32" s="836">
        <f t="shared" si="30"/>
        <v>4</v>
      </c>
      <c r="AR32" s="814">
        <f t="shared" si="30"/>
        <v>2</v>
      </c>
      <c r="AS32" s="516"/>
      <c r="AT32" s="504"/>
    </row>
    <row r="33">
      <c r="A33" s="504"/>
      <c r="B33" s="514"/>
      <c r="C33" s="401"/>
      <c r="D33" s="785" t="str">
        <f>Source!$I$5</f>
        <v>RIP</v>
      </c>
      <c r="E33" s="785"/>
      <c r="F33" s="785" t="s">
        <v>121</v>
      </c>
      <c r="G33" s="870"/>
      <c r="H33" s="870"/>
      <c r="I33" s="870"/>
      <c r="J33" s="785">
        <f>COUNTIF(Stats!$C$6:$BN$47,F33)</f>
        <v>3</v>
      </c>
      <c r="K33" s="789">
        <f>SUMIF(Stats!$C$6:$BN$47,F33,Stats!$D$6:$BN$47)</f>
        <v>3</v>
      </c>
      <c r="L33" s="785">
        <f>SUMIF(Stats!$C$6:$BN$47,F33,Stats!$E$6:$BN$47)</f>
        <v>1</v>
      </c>
      <c r="M33" s="792">
        <f t="shared" si="2"/>
        <v>2</v>
      </c>
      <c r="N33" s="794">
        <f>COUNTIF('Playoff Stats'!$C$6:$BV$47,F33)</f>
        <v>1</v>
      </c>
      <c r="O33" s="789">
        <f>SUMIF('Playoff Stats'!$C$6:$BV$47,F33,'Playoff Stats'!$D$6:$BV$47)</f>
        <v>1</v>
      </c>
      <c r="P33" s="785">
        <f>SUMIF('Playoff Stats'!$C$6:$BN$47,F33,'Playoff Stats'!$E$6:$BN$47)</f>
        <v>1</v>
      </c>
      <c r="Q33" s="795">
        <f t="shared" si="3"/>
        <v>0</v>
      </c>
      <c r="R33" s="515"/>
      <c r="S33" s="727"/>
      <c r="T33" s="975" t="s">
        <v>342</v>
      </c>
      <c r="U33" s="826"/>
      <c r="V33" s="515"/>
      <c r="W33" s="515"/>
      <c r="X33" s="515"/>
      <c r="Y33" s="515"/>
      <c r="Z33" s="515"/>
      <c r="AA33" s="515"/>
      <c r="AB33" s="515"/>
      <c r="AC33" s="515"/>
      <c r="AD33" s="515"/>
      <c r="AE33" s="515"/>
      <c r="AF33" s="515"/>
      <c r="AG33" s="515"/>
      <c r="AH33" s="515"/>
      <c r="AI33" s="515"/>
      <c r="AJ33" s="515"/>
      <c r="AK33" s="515"/>
      <c r="AL33" s="515"/>
      <c r="AM33" s="515"/>
      <c r="AN33" s="515"/>
      <c r="AO33" s="824" t="s">
        <v>204</v>
      </c>
      <c r="AP33" s="824">
        <f t="shared" ref="AP33:AR33" si="31">AP11+U22</f>
        <v>2</v>
      </c>
      <c r="AQ33" s="836">
        <f t="shared" si="31"/>
        <v>6</v>
      </c>
      <c r="AR33" s="814">
        <f t="shared" si="31"/>
        <v>-10</v>
      </c>
      <c r="AS33" s="516"/>
      <c r="AT33" s="504"/>
    </row>
    <row r="34">
      <c r="A34" s="504"/>
      <c r="B34" s="514"/>
      <c r="C34" s="401"/>
      <c r="D34" s="785" t="str">
        <f>Source!$I$5</f>
        <v>RIP</v>
      </c>
      <c r="E34" s="785"/>
      <c r="F34" s="785" t="s">
        <v>79</v>
      </c>
      <c r="G34" s="886" t="s">
        <v>80</v>
      </c>
      <c r="H34" s="886" t="s">
        <v>81</v>
      </c>
      <c r="I34" s="886" t="s">
        <v>82</v>
      </c>
      <c r="J34" s="785">
        <f>COUNTIF(Stats!$C$6:$BN$47,F34)</f>
        <v>6</v>
      </c>
      <c r="K34" s="789">
        <f>SUMIF(Stats!$C$6:$BN$47,F34,Stats!$D$6:$BN$47)</f>
        <v>9</v>
      </c>
      <c r="L34" s="785">
        <f>SUMIF(Stats!$C$6:$BN$47,F34,Stats!$E$6:$BN$47)</f>
        <v>2</v>
      </c>
      <c r="M34" s="792">
        <f t="shared" si="2"/>
        <v>7</v>
      </c>
      <c r="N34" s="794">
        <f>COUNTIF('Playoff Stats'!$C$6:$BV$47,F34)</f>
        <v>4</v>
      </c>
      <c r="O34" s="789">
        <f>SUMIF('Playoff Stats'!$C$6:$BV$47,F34,'Playoff Stats'!$D$6:$BV$47)</f>
        <v>16</v>
      </c>
      <c r="P34" s="785">
        <f>SUMIF('Playoff Stats'!$C$6:$BN$47,F34,'Playoff Stats'!$E$6:$BN$47)</f>
        <v>2</v>
      </c>
      <c r="Q34" s="795">
        <f t="shared" si="3"/>
        <v>14</v>
      </c>
      <c r="R34" s="515"/>
      <c r="S34" s="727"/>
      <c r="T34" s="975" t="s">
        <v>343</v>
      </c>
      <c r="U34" s="826"/>
      <c r="V34" s="515"/>
      <c r="W34" s="515"/>
      <c r="X34" s="515"/>
      <c r="Y34" s="515"/>
      <c r="Z34" s="515"/>
      <c r="AA34" s="515"/>
      <c r="AB34" s="515"/>
      <c r="AC34" s="515"/>
      <c r="AD34" s="515"/>
      <c r="AE34" s="515"/>
      <c r="AF34" s="515"/>
      <c r="AG34" s="515"/>
      <c r="AH34" s="515"/>
      <c r="AI34" s="515"/>
      <c r="AJ34" s="515"/>
      <c r="AK34" s="515"/>
      <c r="AL34" s="515"/>
      <c r="AM34" s="515"/>
      <c r="AN34" s="515"/>
      <c r="AO34" s="900" t="s">
        <v>187</v>
      </c>
      <c r="AP34" s="824">
        <f t="shared" ref="AP34:AR34" si="32">AP12+U23</f>
        <v>0</v>
      </c>
      <c r="AQ34" s="836">
        <f t="shared" si="32"/>
        <v>7</v>
      </c>
      <c r="AR34" s="814">
        <f t="shared" si="32"/>
        <v>-29</v>
      </c>
      <c r="AS34" s="516"/>
      <c r="AT34" s="504"/>
    </row>
    <row r="35">
      <c r="A35" s="504"/>
      <c r="B35" s="514"/>
      <c r="C35" s="401"/>
      <c r="D35" s="785" t="str">
        <f>Source!$I$5</f>
        <v>RIP</v>
      </c>
      <c r="E35" s="785"/>
      <c r="F35" s="785" t="s">
        <v>144</v>
      </c>
      <c r="G35" s="870"/>
      <c r="H35" s="870"/>
      <c r="I35" s="870"/>
      <c r="J35" s="785">
        <f>COUNTIF(Stats!$C$6:$BN$47,F35)</f>
        <v>6</v>
      </c>
      <c r="K35" s="789">
        <f>SUMIF(Stats!$C$6:$BN$47,F35,Stats!$D$6:$BN$47)</f>
        <v>2</v>
      </c>
      <c r="L35" s="785">
        <f>SUMIF(Stats!$C$6:$BN$47,F35,Stats!$E$6:$BN$47)</f>
        <v>2</v>
      </c>
      <c r="M35" s="792">
        <f t="shared" si="2"/>
        <v>0</v>
      </c>
      <c r="N35" s="794">
        <f>COUNTIF('Playoff Stats'!$C$6:$BV$47,F35)</f>
        <v>4</v>
      </c>
      <c r="O35" s="789">
        <f>SUMIF('Playoff Stats'!$C$6:$BV$47,F35,'Playoff Stats'!$D$6:$BV$47)</f>
        <v>3</v>
      </c>
      <c r="P35" s="785">
        <f>SUMIF('Playoff Stats'!$C$6:$BN$47,F35,'Playoff Stats'!$E$6:$BN$47)</f>
        <v>1</v>
      </c>
      <c r="Q35" s="795">
        <f t="shared" si="3"/>
        <v>2</v>
      </c>
      <c r="R35" s="515"/>
      <c r="S35" s="727"/>
      <c r="T35" s="975" t="s">
        <v>215</v>
      </c>
      <c r="U35" s="826"/>
      <c r="V35" s="515"/>
      <c r="W35" s="515"/>
      <c r="X35" s="515"/>
      <c r="Y35" s="515"/>
      <c r="Z35" s="515"/>
      <c r="AA35" s="515"/>
      <c r="AB35" s="515"/>
      <c r="AC35" s="515"/>
      <c r="AD35" s="515"/>
      <c r="AE35" s="515"/>
      <c r="AF35" s="515"/>
      <c r="AG35" s="515"/>
      <c r="AH35" s="515"/>
      <c r="AI35" s="515"/>
      <c r="AJ35" s="515"/>
      <c r="AK35" s="515"/>
      <c r="AL35" s="515"/>
      <c r="AM35" s="515"/>
      <c r="AN35" s="515"/>
      <c r="AO35" s="515"/>
      <c r="AP35" s="515"/>
      <c r="AQ35" s="515"/>
      <c r="AR35" s="515"/>
      <c r="AS35" s="516"/>
      <c r="AT35" s="504"/>
    </row>
    <row r="36">
      <c r="A36" s="504"/>
      <c r="B36" s="514"/>
      <c r="C36" s="401"/>
      <c r="D36" s="785" t="str">
        <f>Source!$I$5</f>
        <v>RIP</v>
      </c>
      <c r="E36" s="785"/>
      <c r="F36" s="785" t="s">
        <v>159</v>
      </c>
      <c r="G36" s="886"/>
      <c r="H36" s="886"/>
      <c r="I36" s="886"/>
      <c r="J36" s="785">
        <f>COUNTIF(Stats!$C$6:$BN$47,F36)</f>
        <v>1</v>
      </c>
      <c r="K36" s="789">
        <f>SUMIF(Stats!$C$6:$BN$47,F36,Stats!$D$6:$BN$47)</f>
        <v>1</v>
      </c>
      <c r="L36" s="785">
        <f>SUMIF(Stats!$C$6:$BN$47,F36,Stats!$E$6:$BN$47)</f>
        <v>0</v>
      </c>
      <c r="M36" s="792">
        <f t="shared" si="2"/>
        <v>1</v>
      </c>
      <c r="N36" s="794">
        <f>COUNTIF('Playoff Stats'!$C$6:$BV$47,F36)</f>
        <v>3</v>
      </c>
      <c r="O36" s="789">
        <f>SUMIF('Playoff Stats'!$C$6:$BV$47,F36,'Playoff Stats'!$D$6:$BV$47)</f>
        <v>0</v>
      </c>
      <c r="P36" s="785">
        <f>SUMIF('Playoff Stats'!$C$6:$BN$47,F36,'Playoff Stats'!$E$6:$BN$47)</f>
        <v>2</v>
      </c>
      <c r="Q36" s="795">
        <f t="shared" si="3"/>
        <v>-2</v>
      </c>
      <c r="R36" s="515"/>
      <c r="S36" s="727"/>
      <c r="T36" s="975" t="s">
        <v>82</v>
      </c>
      <c r="U36" s="826"/>
      <c r="V36" s="515"/>
      <c r="W36" s="515"/>
      <c r="X36" s="515"/>
      <c r="Y36" s="515"/>
      <c r="Z36" s="515"/>
      <c r="AA36" s="515"/>
      <c r="AB36" s="515"/>
      <c r="AC36" s="515"/>
      <c r="AD36" s="515"/>
      <c r="AE36" s="515"/>
      <c r="AF36" s="515"/>
      <c r="AG36" s="515"/>
      <c r="AH36" s="515"/>
      <c r="AI36" s="515"/>
      <c r="AJ36" s="515"/>
      <c r="AK36" s="515"/>
      <c r="AL36" s="515"/>
      <c r="AM36" s="515"/>
      <c r="AN36" s="515"/>
      <c r="AO36" s="515"/>
      <c r="AP36" s="515"/>
      <c r="AQ36" s="515"/>
      <c r="AR36" s="515"/>
      <c r="AS36" s="516"/>
      <c r="AT36" s="504"/>
    </row>
    <row r="37">
      <c r="A37" s="504"/>
      <c r="B37" s="514"/>
      <c r="C37" s="401"/>
      <c r="D37" s="785" t="str">
        <f>Source!$I$5</f>
        <v>RIP</v>
      </c>
      <c r="E37" s="785"/>
      <c r="F37" s="785" t="s">
        <v>135</v>
      </c>
      <c r="G37" s="886" t="s">
        <v>127</v>
      </c>
      <c r="H37" s="886" t="s">
        <v>81</v>
      </c>
      <c r="I37" s="886" t="s">
        <v>136</v>
      </c>
      <c r="J37" s="785">
        <f>COUNTIF(Stats!$C$6:$BN$47,F37)</f>
        <v>3</v>
      </c>
      <c r="K37" s="789">
        <f>SUMIF(Stats!$C$6:$BN$47,F37,Stats!$D$6:$BN$47)</f>
        <v>2</v>
      </c>
      <c r="L37" s="785">
        <f>SUMIF(Stats!$C$6:$BN$47,F37,Stats!$E$6:$BN$47)</f>
        <v>1</v>
      </c>
      <c r="M37" s="792">
        <f t="shared" si="2"/>
        <v>1</v>
      </c>
      <c r="N37" s="794">
        <f>COUNTIF('Playoff Stats'!$C$6:$BV$47,F37)</f>
        <v>3</v>
      </c>
      <c r="O37" s="789">
        <f>SUMIF('Playoff Stats'!$C$6:$BV$47,F37,'Playoff Stats'!$D$6:$BV$47)</f>
        <v>1</v>
      </c>
      <c r="P37" s="785">
        <f>SUMIF('Playoff Stats'!$C$6:$BN$47,F37,'Playoff Stats'!$E$6:$BN$47)</f>
        <v>2</v>
      </c>
      <c r="Q37" s="795">
        <f t="shared" si="3"/>
        <v>-1</v>
      </c>
      <c r="R37" s="515"/>
      <c r="S37" s="515"/>
      <c r="T37" s="975" t="s">
        <v>150</v>
      </c>
      <c r="U37" s="826"/>
      <c r="V37" s="515"/>
      <c r="W37" s="515"/>
      <c r="X37" s="515"/>
      <c r="Y37" s="515"/>
      <c r="Z37" s="515"/>
      <c r="AA37" s="515"/>
      <c r="AB37" s="515"/>
      <c r="AC37" s="515"/>
      <c r="AD37" s="515"/>
      <c r="AE37" s="515"/>
      <c r="AF37" s="515"/>
      <c r="AG37" s="515"/>
      <c r="AH37" s="515"/>
      <c r="AI37" s="515"/>
      <c r="AJ37" s="515"/>
      <c r="AK37" s="515"/>
      <c r="AL37" s="515"/>
      <c r="AM37" s="515"/>
      <c r="AN37" s="515"/>
      <c r="AO37" s="515"/>
      <c r="AP37" s="515"/>
      <c r="AQ37" s="515"/>
      <c r="AR37" s="515"/>
      <c r="AS37" s="516"/>
      <c r="AT37" s="504"/>
    </row>
    <row r="38">
      <c r="A38" s="504"/>
      <c r="B38" s="514"/>
      <c r="C38" s="401"/>
      <c r="D38" s="785" t="str">
        <f>Source!$I$5</f>
        <v>RIP</v>
      </c>
      <c r="E38" s="785"/>
      <c r="F38" s="785" t="s">
        <v>201</v>
      </c>
      <c r="G38" s="886"/>
      <c r="H38" s="886"/>
      <c r="I38" s="886"/>
      <c r="J38" s="785">
        <f>COUNTIF(Stats!$C$6:$BN$47,F38)</f>
        <v>0</v>
      </c>
      <c r="K38" s="789">
        <f>SUMIF(Stats!$C$6:$BN$47,F38,Stats!$D$6:$BN$47)</f>
        <v>0</v>
      </c>
      <c r="L38" s="785">
        <f>SUMIF(Stats!$C$6:$BN$47,F38,Stats!$E$6:$BN$47)</f>
        <v>0</v>
      </c>
      <c r="M38" s="792">
        <f t="shared" si="2"/>
        <v>0</v>
      </c>
      <c r="N38" s="794">
        <f>COUNTIF('Playoff Stats'!$C$6:$BV$47,F38)</f>
        <v>0</v>
      </c>
      <c r="O38" s="789">
        <f>SUMIF('Playoff Stats'!$C$6:$BV$47,F38,'Playoff Stats'!$D$6:$BV$47)</f>
        <v>0</v>
      </c>
      <c r="P38" s="785">
        <f>SUMIF('Playoff Stats'!$C$6:$BN$47,F38,'Playoff Stats'!$E$6:$BN$47)</f>
        <v>0</v>
      </c>
      <c r="Q38" s="795">
        <f t="shared" si="3"/>
        <v>0</v>
      </c>
      <c r="R38" s="515"/>
      <c r="S38" s="751"/>
      <c r="T38" s="978" t="s">
        <v>81</v>
      </c>
      <c r="U38" s="979"/>
      <c r="V38" s="751"/>
      <c r="W38" s="751"/>
      <c r="X38" s="751"/>
      <c r="Y38" s="751"/>
      <c r="Z38" s="751"/>
      <c r="AA38" s="751"/>
      <c r="AB38" s="751"/>
      <c r="AC38" s="751"/>
      <c r="AD38" s="751"/>
      <c r="AE38" s="751"/>
      <c r="AF38" s="751"/>
      <c r="AG38" s="751"/>
      <c r="AH38" s="751"/>
      <c r="AI38" s="751"/>
      <c r="AJ38" s="751"/>
      <c r="AK38" s="751"/>
      <c r="AL38" s="751"/>
      <c r="AM38" s="751"/>
      <c r="AN38" s="751"/>
      <c r="AO38" s="751"/>
      <c r="AP38" s="751"/>
      <c r="AQ38" s="751"/>
      <c r="AR38" s="515"/>
      <c r="AS38" s="516"/>
      <c r="AT38" s="504"/>
    </row>
    <row r="39">
      <c r="A39" s="504"/>
      <c r="B39" s="514"/>
      <c r="C39" s="401"/>
      <c r="D39" s="785" t="str">
        <f>Source!$I$5</f>
        <v>RIP</v>
      </c>
      <c r="E39" s="785"/>
      <c r="F39" s="785"/>
      <c r="G39" s="870"/>
      <c r="H39" s="870"/>
      <c r="I39" s="870"/>
      <c r="J39" s="785">
        <f>COUNTIF(Stats!$C$6:$BN$47,F39)</f>
        <v>0</v>
      </c>
      <c r="K39" s="789">
        <f>SUMIF(Stats!$C$6:$BN$47,F39,Stats!$D$6:$BN$47)</f>
        <v>0</v>
      </c>
      <c r="L39" s="785">
        <f>SUMIF(Stats!$C$6:$BN$47,F39,Stats!$E$6:$BN$47)</f>
        <v>0</v>
      </c>
      <c r="M39" s="792">
        <f t="shared" si="2"/>
        <v>0</v>
      </c>
      <c r="N39" s="794">
        <f>COUNTIF('Playoff Stats'!$C$6:$BV$47,F39)</f>
        <v>0</v>
      </c>
      <c r="O39" s="789">
        <f>SUMIF('Playoff Stats'!$C$6:$BV$47,F39,'Playoff Stats'!$D$6:$BV$47)</f>
        <v>0</v>
      </c>
      <c r="P39" s="785">
        <f>SUMIF('Playoff Stats'!$C$6:$BN$47,F39,'Playoff Stats'!$E$6:$BN$47)</f>
        <v>0</v>
      </c>
      <c r="Q39" s="795">
        <f t="shared" si="3"/>
        <v>0</v>
      </c>
      <c r="R39" s="515"/>
      <c r="S39" s="751"/>
      <c r="T39" s="978" t="s">
        <v>209</v>
      </c>
      <c r="U39" s="979"/>
      <c r="V39" s="751"/>
      <c r="W39" s="751"/>
      <c r="X39" s="751"/>
      <c r="Y39" s="751"/>
      <c r="Z39" s="751"/>
      <c r="AA39" s="751"/>
      <c r="AB39" s="751"/>
      <c r="AC39" s="751"/>
      <c r="AD39" s="751"/>
      <c r="AE39" s="751"/>
      <c r="AF39" s="751"/>
      <c r="AG39" s="751"/>
      <c r="AH39" s="751"/>
      <c r="AI39" s="751"/>
      <c r="AJ39" s="751"/>
      <c r="AK39" s="751"/>
      <c r="AL39" s="751"/>
      <c r="AM39" s="751"/>
      <c r="AN39" s="751"/>
      <c r="AO39" s="751"/>
      <c r="AP39" s="751"/>
      <c r="AQ39" s="751"/>
      <c r="AR39" s="515"/>
      <c r="AS39" s="516"/>
      <c r="AT39" s="504"/>
    </row>
    <row r="40">
      <c r="A40" s="504"/>
      <c r="B40" s="514"/>
      <c r="C40" s="925"/>
      <c r="D40" s="785" t="str">
        <f>Source!$I$5</f>
        <v>RIP</v>
      </c>
      <c r="E40" s="785"/>
      <c r="F40" s="785"/>
      <c r="G40" s="870"/>
      <c r="H40" s="870"/>
      <c r="I40" s="870"/>
      <c r="J40" s="785">
        <f>COUNTIF(Stats!$C$6:$BN$47,F40)</f>
        <v>0</v>
      </c>
      <c r="K40" s="789">
        <f>SUMIF(Stats!$C$6:$BN$47,F40,Stats!$D$6:$BN$47)</f>
        <v>0</v>
      </c>
      <c r="L40" s="785">
        <f>SUMIF(Stats!$C$6:$BN$47,F40,Stats!$E$6:$BN$47)</f>
        <v>0</v>
      </c>
      <c r="M40" s="792">
        <f t="shared" si="2"/>
        <v>0</v>
      </c>
      <c r="N40" s="794">
        <f>COUNTIF('Playoff Stats'!$C$6:$BV$47,F40)</f>
        <v>0</v>
      </c>
      <c r="O40" s="789">
        <f>SUMIF('Playoff Stats'!$C$6:$BV$47,F40,'Playoff Stats'!$D$6:$BV$47)</f>
        <v>0</v>
      </c>
      <c r="P40" s="785">
        <f>SUMIF('Playoff Stats'!$C$6:$BN$47,F40,'Playoff Stats'!$E$6:$BN$47)</f>
        <v>0</v>
      </c>
      <c r="Q40" s="795">
        <f t="shared" si="3"/>
        <v>0</v>
      </c>
      <c r="R40" s="515"/>
      <c r="S40" s="751"/>
      <c r="T40" s="978" t="s">
        <v>203</v>
      </c>
      <c r="U40" s="979"/>
      <c r="V40" s="751"/>
      <c r="W40" s="751"/>
      <c r="X40" s="751"/>
      <c r="Y40" s="751"/>
      <c r="Z40" s="751"/>
      <c r="AA40" s="751"/>
      <c r="AB40" s="751"/>
      <c r="AC40" s="751"/>
      <c r="AD40" s="751"/>
      <c r="AE40" s="751"/>
      <c r="AF40" s="751"/>
      <c r="AG40" s="751"/>
      <c r="AH40" s="751"/>
      <c r="AI40" s="751"/>
      <c r="AJ40" s="751"/>
      <c r="AK40" s="751"/>
      <c r="AL40" s="751"/>
      <c r="AM40" s="751"/>
      <c r="AN40" s="751"/>
      <c r="AO40" s="751"/>
      <c r="AP40" s="751"/>
      <c r="AQ40" s="751"/>
      <c r="AR40" s="515"/>
      <c r="AS40" s="516"/>
      <c r="AT40" s="504"/>
    </row>
    <row r="41">
      <c r="A41" s="504"/>
      <c r="B41" s="514"/>
      <c r="C41" s="784" t="str">
        <f>Source!$G$6</f>
        <v>Ryan Evans</v>
      </c>
      <c r="D41" s="785" t="str">
        <f>Source!$I$6</f>
        <v>RE</v>
      </c>
      <c r="E41" s="785"/>
      <c r="F41" s="789" t="str">
        <f t="array" ref="F41:F52">Teams!$Y$5:$Y$16</f>
        <v>Darkrai</v>
      </c>
      <c r="G41" s="791"/>
      <c r="H41" s="815"/>
      <c r="I41" s="815"/>
      <c r="J41" s="785">
        <f>COUNTIF(Stats!$C$6:$BN$47,F41)</f>
        <v>1</v>
      </c>
      <c r="K41" s="789">
        <f>SUMIF(Stats!$C$6:$BN$47,F41,Stats!$D$6:$BN$47)</f>
        <v>0</v>
      </c>
      <c r="L41" s="785">
        <f>SUMIF(Stats!$C$6:$BN$47,F41,Stats!$E$6:$BN$47)</f>
        <v>1</v>
      </c>
      <c r="M41" s="792">
        <f t="shared" si="2"/>
        <v>-1</v>
      </c>
      <c r="N41" s="794">
        <f>COUNTIF('Playoff Stats'!$C$6:$BV$47,F41)</f>
        <v>0</v>
      </c>
      <c r="O41" s="789">
        <f>SUMIF('Playoff Stats'!$C$6:$BV$47,F41,'Playoff Stats'!$D$6:$BV$47)</f>
        <v>0</v>
      </c>
      <c r="P41" s="785">
        <f>SUMIF('Playoff Stats'!$C$6:$BN$47,F41,'Playoff Stats'!$E$6:$BN$47)</f>
        <v>0</v>
      </c>
      <c r="Q41" s="795">
        <f t="shared" si="3"/>
        <v>0</v>
      </c>
      <c r="R41" s="515"/>
      <c r="S41" s="751"/>
      <c r="T41" s="978" t="s">
        <v>344</v>
      </c>
      <c r="U41" s="979"/>
      <c r="V41" s="751"/>
      <c r="W41" s="751"/>
      <c r="X41" s="751"/>
      <c r="Y41" s="751"/>
      <c r="Z41" s="751"/>
      <c r="AA41" s="751"/>
      <c r="AB41" s="751"/>
      <c r="AC41" s="751"/>
      <c r="AD41" s="751"/>
      <c r="AE41" s="751"/>
      <c r="AF41" s="751"/>
      <c r="AG41" s="751"/>
      <c r="AH41" s="751"/>
      <c r="AI41" s="751"/>
      <c r="AJ41" s="751"/>
      <c r="AK41" s="751"/>
      <c r="AL41" s="751"/>
      <c r="AM41" s="751"/>
      <c r="AN41" s="751"/>
      <c r="AO41" s="751"/>
      <c r="AP41" s="751"/>
      <c r="AQ41" s="751"/>
      <c r="AR41" s="515"/>
      <c r="AS41" s="516"/>
      <c r="AT41" s="504"/>
    </row>
    <row r="42">
      <c r="A42" s="504"/>
      <c r="B42" s="514"/>
      <c r="C42" s="401"/>
      <c r="D42" s="785" t="str">
        <f>Source!$I$6</f>
        <v>RE</v>
      </c>
      <c r="E42" s="785"/>
      <c r="F42" s="789" t="s">
        <v>143</v>
      </c>
      <c r="G42" s="815"/>
      <c r="H42" s="815"/>
      <c r="I42" s="815"/>
      <c r="J42" s="785">
        <f>COUNTIF(Stats!$C$6:$BN$47,F42)</f>
        <v>1</v>
      </c>
      <c r="K42" s="789">
        <f>SUMIF(Stats!$C$6:$BN$47,F42,Stats!$D$6:$BN$47)</f>
        <v>0</v>
      </c>
      <c r="L42" s="785">
        <f>SUMIF(Stats!$C$6:$BN$47,F42,Stats!$E$6:$BN$47)</f>
        <v>1</v>
      </c>
      <c r="M42" s="792">
        <f t="shared" si="2"/>
        <v>-1</v>
      </c>
      <c r="N42" s="794">
        <f>COUNTIF('Playoff Stats'!$C$6:$BV$47,F42)</f>
        <v>0</v>
      </c>
      <c r="O42" s="789">
        <f>SUMIF('Playoff Stats'!$C$6:$BV$47,F42,'Playoff Stats'!$D$6:$BV$47)</f>
        <v>0</v>
      </c>
      <c r="P42" s="785">
        <f>SUMIF('Playoff Stats'!$C$6:$BN$47,F42,'Playoff Stats'!$E$6:$BN$47)</f>
        <v>0</v>
      </c>
      <c r="Q42" s="795">
        <f t="shared" si="3"/>
        <v>0</v>
      </c>
      <c r="R42" s="515"/>
      <c r="S42" s="751"/>
      <c r="T42" s="978" t="s">
        <v>345</v>
      </c>
      <c r="U42" s="979"/>
      <c r="V42" s="751"/>
      <c r="W42" s="751"/>
      <c r="X42" s="751"/>
      <c r="Y42" s="751"/>
      <c r="Z42" s="751"/>
      <c r="AA42" s="751"/>
      <c r="AB42" s="751"/>
      <c r="AC42" s="751"/>
      <c r="AD42" s="751"/>
      <c r="AE42" s="751"/>
      <c r="AF42" s="751"/>
      <c r="AG42" s="751"/>
      <c r="AH42" s="751"/>
      <c r="AI42" s="751"/>
      <c r="AJ42" s="751"/>
      <c r="AK42" s="751"/>
      <c r="AL42" s="751"/>
      <c r="AM42" s="751"/>
      <c r="AN42" s="751"/>
      <c r="AO42" s="751"/>
      <c r="AP42" s="751"/>
      <c r="AQ42" s="751"/>
      <c r="AR42" s="515"/>
      <c r="AS42" s="516"/>
      <c r="AT42" s="504"/>
    </row>
    <row r="43">
      <c r="A43" s="504"/>
      <c r="B43" s="514"/>
      <c r="C43" s="401"/>
      <c r="D43" s="785" t="str">
        <f>Source!$I$6</f>
        <v>RE</v>
      </c>
      <c r="E43" s="785"/>
      <c r="F43" s="789" t="s">
        <v>113</v>
      </c>
      <c r="G43" s="815"/>
      <c r="H43" s="815"/>
      <c r="I43" s="815"/>
      <c r="J43" s="785">
        <f>COUNTIF(Stats!$C$6:$BN$47,F43)</f>
        <v>5</v>
      </c>
      <c r="K43" s="789">
        <f>SUMIF(Stats!$C$6:$BN$47,F43,Stats!$D$6:$BN$47)</f>
        <v>4</v>
      </c>
      <c r="L43" s="785">
        <f>SUMIF(Stats!$C$6:$BN$47,F43,Stats!$E$6:$BN$47)</f>
        <v>3</v>
      </c>
      <c r="M43" s="792">
        <f t="shared" si="2"/>
        <v>1</v>
      </c>
      <c r="N43" s="794">
        <f>COUNTIF('Playoff Stats'!$C$6:$BV$47,F43)</f>
        <v>4</v>
      </c>
      <c r="O43" s="789">
        <f>SUMIF('Playoff Stats'!$C$6:$BV$47,F43,'Playoff Stats'!$D$6:$BV$47)</f>
        <v>10</v>
      </c>
      <c r="P43" s="785">
        <f>SUMIF('Playoff Stats'!$C$6:$BN$47,F43,'Playoff Stats'!$E$6:$BN$47)</f>
        <v>3</v>
      </c>
      <c r="Q43" s="795">
        <f t="shared" si="3"/>
        <v>7</v>
      </c>
      <c r="R43" s="515"/>
      <c r="S43" s="751"/>
      <c r="T43" s="978" t="s">
        <v>346</v>
      </c>
      <c r="U43" s="979"/>
      <c r="V43" s="751"/>
      <c r="W43" s="751"/>
      <c r="X43" s="751"/>
      <c r="Y43" s="751"/>
      <c r="Z43" s="751"/>
      <c r="AA43" s="751"/>
      <c r="AB43" s="751"/>
      <c r="AC43" s="751"/>
      <c r="AD43" s="751"/>
      <c r="AE43" s="751"/>
      <c r="AF43" s="751"/>
      <c r="AG43" s="751"/>
      <c r="AH43" s="751"/>
      <c r="AI43" s="751"/>
      <c r="AJ43" s="751"/>
      <c r="AK43" s="751"/>
      <c r="AL43" s="751"/>
      <c r="AM43" s="751"/>
      <c r="AN43" s="751"/>
      <c r="AO43" s="751"/>
      <c r="AP43" s="751"/>
      <c r="AQ43" s="751"/>
      <c r="AR43" s="515"/>
      <c r="AS43" s="516"/>
      <c r="AT43" s="504"/>
    </row>
    <row r="44">
      <c r="A44" s="504"/>
      <c r="B44" s="514"/>
      <c r="C44" s="401"/>
      <c r="D44" s="785" t="str">
        <f>Source!$I$6</f>
        <v>RE</v>
      </c>
      <c r="E44" s="785"/>
      <c r="F44" s="789" t="s">
        <v>119</v>
      </c>
      <c r="G44" s="815"/>
      <c r="H44" s="815"/>
      <c r="I44" s="815"/>
      <c r="J44" s="785">
        <f>COUNTIF(Stats!$C$6:$BN$47,F44)</f>
        <v>2</v>
      </c>
      <c r="K44" s="789">
        <f>SUMIF(Stats!$C$6:$BN$47,F44,Stats!$D$6:$BN$47)</f>
        <v>3</v>
      </c>
      <c r="L44" s="785">
        <f>SUMIF(Stats!$C$6:$BN$47,F44,Stats!$E$6:$BN$47)</f>
        <v>1</v>
      </c>
      <c r="M44" s="792">
        <f t="shared" si="2"/>
        <v>2</v>
      </c>
      <c r="N44" s="794">
        <f>COUNTIF('Playoff Stats'!$C$6:$BV$47,F44)</f>
        <v>0</v>
      </c>
      <c r="O44" s="789">
        <f>SUMIF('Playoff Stats'!$C$6:$BV$47,F44,'Playoff Stats'!$D$6:$BV$47)</f>
        <v>0</v>
      </c>
      <c r="P44" s="785">
        <f>SUMIF('Playoff Stats'!$C$6:$BN$47,F44,'Playoff Stats'!$E$6:$BN$47)</f>
        <v>0</v>
      </c>
      <c r="Q44" s="795">
        <f t="shared" si="3"/>
        <v>0</v>
      </c>
      <c r="R44" s="515"/>
      <c r="S44" s="751"/>
      <c r="T44" s="978" t="s">
        <v>193</v>
      </c>
      <c r="U44" s="979"/>
      <c r="V44" s="751"/>
      <c r="W44" s="751"/>
      <c r="X44" s="751"/>
      <c r="Y44" s="751"/>
      <c r="Z44" s="751"/>
      <c r="AA44" s="751"/>
      <c r="AB44" s="751"/>
      <c r="AC44" s="751"/>
      <c r="AD44" s="751"/>
      <c r="AE44" s="751"/>
      <c r="AF44" s="751"/>
      <c r="AG44" s="751"/>
      <c r="AH44" s="751"/>
      <c r="AI44" s="751"/>
      <c r="AJ44" s="751"/>
      <c r="AK44" s="751"/>
      <c r="AL44" s="751"/>
      <c r="AM44" s="751"/>
      <c r="AN44" s="751"/>
      <c r="AO44" s="751"/>
      <c r="AP44" s="751"/>
      <c r="AQ44" s="751"/>
      <c r="AR44" s="515"/>
      <c r="AS44" s="516"/>
      <c r="AT44" s="504"/>
    </row>
    <row r="45">
      <c r="A45" s="504"/>
      <c r="B45" s="514"/>
      <c r="C45" s="401"/>
      <c r="D45" s="785" t="str">
        <f>Source!$I$6</f>
        <v>RE</v>
      </c>
      <c r="E45" s="785"/>
      <c r="F45" s="785" t="s">
        <v>130</v>
      </c>
      <c r="G45" s="870"/>
      <c r="H45" s="870"/>
      <c r="I45" s="870"/>
      <c r="J45" s="785">
        <f>COUNTIF(Stats!$C$6:$BN$47,F45)</f>
        <v>5</v>
      </c>
      <c r="K45" s="789">
        <f>SUMIF(Stats!$C$6:$BN$47,F45,Stats!$D$6:$BN$47)</f>
        <v>3</v>
      </c>
      <c r="L45" s="785">
        <f>SUMIF(Stats!$C$6:$BN$47,F45,Stats!$E$6:$BN$47)</f>
        <v>3</v>
      </c>
      <c r="M45" s="792">
        <f t="shared" si="2"/>
        <v>0</v>
      </c>
      <c r="N45" s="794">
        <f>COUNTIF('Playoff Stats'!$C$6:$BV$47,F45)</f>
        <v>4</v>
      </c>
      <c r="O45" s="789">
        <f>SUMIF('Playoff Stats'!$C$6:$BV$47,F45,'Playoff Stats'!$D$6:$BV$47)</f>
        <v>3</v>
      </c>
      <c r="P45" s="785">
        <f>SUMIF('Playoff Stats'!$C$6:$BN$47,F45,'Playoff Stats'!$E$6:$BN$47)</f>
        <v>2</v>
      </c>
      <c r="Q45" s="795">
        <f t="shared" si="3"/>
        <v>1</v>
      </c>
      <c r="R45" s="515"/>
      <c r="S45" s="751"/>
      <c r="T45" s="978" t="s">
        <v>127</v>
      </c>
      <c r="U45" s="979"/>
      <c r="V45" s="751"/>
      <c r="W45" s="751"/>
      <c r="X45" s="751"/>
      <c r="Y45" s="751"/>
      <c r="Z45" s="751"/>
      <c r="AA45" s="751"/>
      <c r="AB45" s="751"/>
      <c r="AC45" s="751"/>
      <c r="AD45" s="751"/>
      <c r="AE45" s="751"/>
      <c r="AF45" s="751"/>
      <c r="AG45" s="751"/>
      <c r="AH45" s="751"/>
      <c r="AI45" s="751"/>
      <c r="AJ45" s="751"/>
      <c r="AK45" s="751"/>
      <c r="AL45" s="751"/>
      <c r="AM45" s="751"/>
      <c r="AN45" s="751"/>
      <c r="AO45" s="751"/>
      <c r="AP45" s="751"/>
      <c r="AQ45" s="751"/>
      <c r="AR45" s="515"/>
      <c r="AS45" s="516"/>
      <c r="AT45" s="504"/>
    </row>
    <row r="46">
      <c r="A46" s="504"/>
      <c r="B46" s="514"/>
      <c r="C46" s="401"/>
      <c r="D46" s="785" t="str">
        <f>Source!$I$6</f>
        <v>RE</v>
      </c>
      <c r="E46" s="785"/>
      <c r="F46" s="785" t="s">
        <v>126</v>
      </c>
      <c r="G46" s="886" t="s">
        <v>81</v>
      </c>
      <c r="H46" s="886" t="s">
        <v>127</v>
      </c>
      <c r="I46" s="886" t="s">
        <v>128</v>
      </c>
      <c r="J46" s="785">
        <f>COUNTIF(Stats!$C$6:$BN$47,F46)</f>
        <v>4</v>
      </c>
      <c r="K46" s="789">
        <f>SUMIF(Stats!$C$6:$BN$47,F46,Stats!$D$6:$BN$47)</f>
        <v>3</v>
      </c>
      <c r="L46" s="785">
        <f>SUMIF(Stats!$C$6:$BN$47,F46,Stats!$E$6:$BN$47)</f>
        <v>3</v>
      </c>
      <c r="M46" s="792">
        <f t="shared" si="2"/>
        <v>0</v>
      </c>
      <c r="N46" s="794">
        <f>COUNTIF('Playoff Stats'!$C$6:$BV$47,F46)</f>
        <v>4</v>
      </c>
      <c r="O46" s="789">
        <f>SUMIF('Playoff Stats'!$C$6:$BV$47,F46,'Playoff Stats'!$D$6:$BV$47)</f>
        <v>1</v>
      </c>
      <c r="P46" s="785">
        <f>SUMIF('Playoff Stats'!$C$6:$BN$47,F46,'Playoff Stats'!$E$6:$BN$47)</f>
        <v>3</v>
      </c>
      <c r="Q46" s="795">
        <f t="shared" si="3"/>
        <v>-2</v>
      </c>
      <c r="R46" s="515"/>
      <c r="S46" s="751"/>
      <c r="T46" s="980" t="s">
        <v>672</v>
      </c>
      <c r="U46" s="981"/>
      <c r="V46" s="751"/>
      <c r="W46" s="751"/>
      <c r="X46" s="751"/>
      <c r="Y46" s="751"/>
      <c r="Z46" s="751"/>
      <c r="AA46" s="751"/>
      <c r="AB46" s="751"/>
      <c r="AC46" s="751"/>
      <c r="AD46" s="751"/>
      <c r="AE46" s="751"/>
      <c r="AF46" s="751"/>
      <c r="AG46" s="751"/>
      <c r="AH46" s="751"/>
      <c r="AI46" s="751"/>
      <c r="AJ46" s="751"/>
      <c r="AK46" s="751"/>
      <c r="AL46" s="751"/>
      <c r="AM46" s="751"/>
      <c r="AN46" s="751"/>
      <c r="AO46" s="751"/>
      <c r="AP46" s="751"/>
      <c r="AQ46" s="751"/>
      <c r="AR46" s="515"/>
      <c r="AS46" s="516"/>
      <c r="AT46" s="504"/>
    </row>
    <row r="47">
      <c r="A47" s="504"/>
      <c r="B47" s="514"/>
      <c r="C47" s="401"/>
      <c r="D47" s="785" t="str">
        <f>Source!$I$6</f>
        <v>RE</v>
      </c>
      <c r="E47" s="785"/>
      <c r="F47" s="785" t="s">
        <v>202</v>
      </c>
      <c r="G47" s="886" t="s">
        <v>139</v>
      </c>
      <c r="H47" s="886" t="s">
        <v>203</v>
      </c>
      <c r="I47" s="886" t="s">
        <v>92</v>
      </c>
      <c r="J47" s="785">
        <f>COUNTIF(Stats!$C$6:$BN$47,F47)</f>
        <v>0</v>
      </c>
      <c r="K47" s="789">
        <f>SUMIF(Stats!$C$6:$BN$47,F47,Stats!$D$6:$BN$47)</f>
        <v>0</v>
      </c>
      <c r="L47" s="785">
        <f>SUMIF(Stats!$C$6:$BN$47,F47,Stats!$E$6:$BN$47)</f>
        <v>0</v>
      </c>
      <c r="M47" s="792">
        <f t="shared" si="2"/>
        <v>0</v>
      </c>
      <c r="N47" s="794">
        <f>COUNTIF('Playoff Stats'!$C$6:$BV$47,F47)</f>
        <v>1</v>
      </c>
      <c r="O47" s="789">
        <f>SUMIF('Playoff Stats'!$C$6:$BV$47,F47,'Playoff Stats'!$D$6:$BV$47)</f>
        <v>0</v>
      </c>
      <c r="P47" s="785">
        <f>SUMIF('Playoff Stats'!$C$6:$BN$47,F47,'Playoff Stats'!$E$6:$BN$47)</f>
        <v>1</v>
      </c>
      <c r="Q47" s="795">
        <f t="shared" si="3"/>
        <v>-1</v>
      </c>
      <c r="R47" s="515"/>
      <c r="S47" s="751"/>
      <c r="T47" s="751"/>
      <c r="U47" s="751"/>
      <c r="V47" s="751"/>
      <c r="W47" s="751"/>
      <c r="X47" s="751"/>
      <c r="Y47" s="751"/>
      <c r="Z47" s="751"/>
      <c r="AA47" s="751"/>
      <c r="AB47" s="751"/>
      <c r="AC47" s="751"/>
      <c r="AD47" s="751"/>
      <c r="AE47" s="751"/>
      <c r="AF47" s="751"/>
      <c r="AG47" s="751"/>
      <c r="AH47" s="751"/>
      <c r="AI47" s="751"/>
      <c r="AJ47" s="751"/>
      <c r="AK47" s="751"/>
      <c r="AL47" s="751"/>
      <c r="AM47" s="751"/>
      <c r="AN47" s="751"/>
      <c r="AO47" s="751"/>
      <c r="AP47" s="751"/>
      <c r="AQ47" s="751"/>
      <c r="AR47" s="515"/>
      <c r="AS47" s="516"/>
      <c r="AT47" s="504"/>
    </row>
    <row r="48">
      <c r="A48" s="504"/>
      <c r="B48" s="514"/>
      <c r="C48" s="401"/>
      <c r="D48" s="785" t="str">
        <f>Source!$I$6</f>
        <v>RE</v>
      </c>
      <c r="E48" s="785"/>
      <c r="F48" s="785" t="s">
        <v>85</v>
      </c>
      <c r="G48" s="870"/>
      <c r="H48" s="870"/>
      <c r="I48" s="870"/>
      <c r="J48" s="785">
        <f>COUNTIF(Stats!$C$6:$BN$47,F48)</f>
        <v>5</v>
      </c>
      <c r="K48" s="789">
        <f>SUMIF(Stats!$C$6:$BN$47,F48,Stats!$D$6:$BN$47)</f>
        <v>9</v>
      </c>
      <c r="L48" s="785">
        <f>SUMIF(Stats!$C$6:$BN$47,F48,Stats!$E$6:$BN$47)</f>
        <v>4</v>
      </c>
      <c r="M48" s="792">
        <f t="shared" si="2"/>
        <v>5</v>
      </c>
      <c r="N48" s="794">
        <f>COUNTIF('Playoff Stats'!$C$6:$BV$47,F48)</f>
        <v>3</v>
      </c>
      <c r="O48" s="789">
        <f>SUMIF('Playoff Stats'!$C$6:$BV$47,F48,'Playoff Stats'!$D$6:$BV$47)</f>
        <v>0</v>
      </c>
      <c r="P48" s="785">
        <f>SUMIF('Playoff Stats'!$C$6:$BN$47,F48,'Playoff Stats'!$E$6:$BN$47)</f>
        <v>3</v>
      </c>
      <c r="Q48" s="795">
        <f t="shared" si="3"/>
        <v>-3</v>
      </c>
      <c r="R48" s="515"/>
      <c r="S48" s="751"/>
      <c r="T48" s="751"/>
      <c r="U48" s="751"/>
      <c r="V48" s="751"/>
      <c r="W48" s="751"/>
      <c r="X48" s="751"/>
      <c r="Y48" s="751"/>
      <c r="Z48" s="751"/>
      <c r="AA48" s="751"/>
      <c r="AB48" s="751"/>
      <c r="AC48" s="751"/>
      <c r="AD48" s="751"/>
      <c r="AE48" s="751"/>
      <c r="AF48" s="751"/>
      <c r="AG48" s="751"/>
      <c r="AH48" s="751"/>
      <c r="AI48" s="751"/>
      <c r="AJ48" s="751"/>
      <c r="AK48" s="751"/>
      <c r="AL48" s="751"/>
      <c r="AM48" s="751"/>
      <c r="AN48" s="751"/>
      <c r="AO48" s="751"/>
      <c r="AP48" s="751"/>
      <c r="AQ48" s="751"/>
      <c r="AR48" s="515"/>
      <c r="AS48" s="516"/>
      <c r="AT48" s="504"/>
    </row>
    <row r="49">
      <c r="A49" s="504"/>
      <c r="B49" s="514"/>
      <c r="C49" s="401"/>
      <c r="D49" s="785" t="str">
        <f>Source!$I$6</f>
        <v>RE</v>
      </c>
      <c r="E49" s="785"/>
      <c r="F49" s="785" t="s">
        <v>195</v>
      </c>
      <c r="G49" s="886"/>
      <c r="H49" s="886"/>
      <c r="I49" s="870"/>
      <c r="J49" s="785">
        <f>COUNTIF(Stats!$C$6:$BN$47,F49)</f>
        <v>6</v>
      </c>
      <c r="K49" s="789">
        <f>SUMIF(Stats!$C$6:$BN$47,F49,Stats!$D$6:$BN$47)</f>
        <v>1</v>
      </c>
      <c r="L49" s="785">
        <f>SUMIF(Stats!$C$6:$BN$47,F49,Stats!$E$6:$BN$47)</f>
        <v>4</v>
      </c>
      <c r="M49" s="792">
        <f t="shared" si="2"/>
        <v>-3</v>
      </c>
      <c r="N49" s="794">
        <f>COUNTIF('Playoff Stats'!$C$6:$BV$47,F49)</f>
        <v>4</v>
      </c>
      <c r="O49" s="789">
        <f>SUMIF('Playoff Stats'!$C$6:$BV$47,F49,'Playoff Stats'!$D$6:$BV$47)</f>
        <v>0</v>
      </c>
      <c r="P49" s="785">
        <f>SUMIF('Playoff Stats'!$C$6:$BN$47,F49,'Playoff Stats'!$E$6:$BN$47)</f>
        <v>3</v>
      </c>
      <c r="Q49" s="795">
        <f t="shared" si="3"/>
        <v>-3</v>
      </c>
      <c r="R49" s="515"/>
      <c r="S49" s="751"/>
      <c r="T49" s="751"/>
      <c r="U49" s="751"/>
      <c r="V49" s="751"/>
      <c r="W49" s="751"/>
      <c r="X49" s="751"/>
      <c r="Y49" s="751"/>
      <c r="Z49" s="751"/>
      <c r="AA49" s="751"/>
      <c r="AB49" s="751"/>
      <c r="AC49" s="751"/>
      <c r="AD49" s="751"/>
      <c r="AE49" s="751"/>
      <c r="AF49" s="751"/>
      <c r="AG49" s="751"/>
      <c r="AH49" s="751"/>
      <c r="AI49" s="751"/>
      <c r="AJ49" s="751"/>
      <c r="AK49" s="751"/>
      <c r="AL49" s="751"/>
      <c r="AM49" s="751"/>
      <c r="AN49" s="751"/>
      <c r="AO49" s="751"/>
      <c r="AP49" s="751"/>
      <c r="AQ49" s="751"/>
      <c r="AR49" s="515"/>
      <c r="AS49" s="516"/>
      <c r="AT49" s="504"/>
    </row>
    <row r="50">
      <c r="A50" s="504"/>
      <c r="B50" s="514"/>
      <c r="C50" s="401"/>
      <c r="D50" s="785" t="str">
        <f>Source!$I$6</f>
        <v>RE</v>
      </c>
      <c r="E50" s="785"/>
      <c r="F50" s="785" t="s">
        <v>114</v>
      </c>
      <c r="G50" s="886"/>
      <c r="H50" s="886"/>
      <c r="I50" s="886"/>
      <c r="J50" s="785">
        <f>COUNTIF(Stats!$C$6:$BN$47,F50)</f>
        <v>5</v>
      </c>
      <c r="K50" s="789">
        <f>SUMIF(Stats!$C$6:$BN$47,F50,Stats!$D$6:$BN$47)</f>
        <v>4</v>
      </c>
      <c r="L50" s="785">
        <f>SUMIF(Stats!$C$6:$BN$47,F50,Stats!$E$6:$BN$47)</f>
        <v>3</v>
      </c>
      <c r="M50" s="792">
        <f t="shared" si="2"/>
        <v>1</v>
      </c>
      <c r="N50" s="794">
        <f>COUNTIF('Playoff Stats'!$C$6:$BV$47,F50)</f>
        <v>4</v>
      </c>
      <c r="O50" s="789">
        <f>SUMIF('Playoff Stats'!$C$6:$BV$47,F50,'Playoff Stats'!$D$6:$BV$47)</f>
        <v>3</v>
      </c>
      <c r="P50" s="785">
        <f>SUMIF('Playoff Stats'!$C$6:$BN$47,F50,'Playoff Stats'!$E$6:$BN$47)</f>
        <v>3</v>
      </c>
      <c r="Q50" s="795">
        <f t="shared" si="3"/>
        <v>0</v>
      </c>
      <c r="R50" s="515"/>
      <c r="S50" s="751"/>
      <c r="T50" s="751"/>
      <c r="U50" s="751"/>
      <c r="V50" s="751"/>
      <c r="W50" s="751"/>
      <c r="X50" s="751"/>
      <c r="Y50" s="751"/>
      <c r="Z50" s="751"/>
      <c r="AA50" s="751"/>
      <c r="AB50" s="751"/>
      <c r="AC50" s="751"/>
      <c r="AD50" s="751"/>
      <c r="AE50" s="751"/>
      <c r="AF50" s="751"/>
      <c r="AG50" s="751"/>
      <c r="AH50" s="751"/>
      <c r="AI50" s="751"/>
      <c r="AJ50" s="751"/>
      <c r="AK50" s="751"/>
      <c r="AL50" s="751"/>
      <c r="AM50" s="751"/>
      <c r="AN50" s="751"/>
      <c r="AO50" s="751"/>
      <c r="AP50" s="751"/>
      <c r="AQ50" s="751"/>
      <c r="AR50" s="515"/>
      <c r="AS50" s="516"/>
      <c r="AT50" s="504"/>
    </row>
    <row r="51">
      <c r="A51" s="504"/>
      <c r="B51" s="514"/>
      <c r="C51" s="401"/>
      <c r="D51" s="785" t="str">
        <f>Source!$I$6</f>
        <v>RE</v>
      </c>
      <c r="E51" s="785"/>
      <c r="F51" s="785"/>
      <c r="G51" s="870"/>
      <c r="H51" s="870"/>
      <c r="I51" s="870"/>
      <c r="J51" s="785">
        <f>COUNTIF(Stats!$C$6:$BN$47,F51)</f>
        <v>0</v>
      </c>
      <c r="K51" s="789">
        <f>SUMIF(Stats!$C$6:$BN$47,F51,Stats!$D$6:$BN$47)</f>
        <v>0</v>
      </c>
      <c r="L51" s="785">
        <f>SUMIF(Stats!$C$6:$BN$47,F51,Stats!$E$6:$BN$47)</f>
        <v>0</v>
      </c>
      <c r="M51" s="792">
        <f t="shared" si="2"/>
        <v>0</v>
      </c>
      <c r="N51" s="794">
        <f>COUNTIF('Playoff Stats'!$C$6:$BV$47,F51)</f>
        <v>0</v>
      </c>
      <c r="O51" s="789">
        <f>SUMIF('Playoff Stats'!$C$6:$BV$47,F51,'Playoff Stats'!$D$6:$BV$47)</f>
        <v>0</v>
      </c>
      <c r="P51" s="785">
        <f>SUMIF('Playoff Stats'!$C$6:$BN$47,F51,'Playoff Stats'!$E$6:$BN$47)</f>
        <v>0</v>
      </c>
      <c r="Q51" s="795">
        <f t="shared" si="3"/>
        <v>0</v>
      </c>
      <c r="R51" s="515"/>
      <c r="S51" s="751"/>
      <c r="T51" s="751"/>
      <c r="U51" s="751"/>
      <c r="V51" s="751"/>
      <c r="W51" s="751"/>
      <c r="X51" s="751"/>
      <c r="Y51" s="751"/>
      <c r="Z51" s="751"/>
      <c r="AA51" s="751"/>
      <c r="AB51" s="751"/>
      <c r="AC51" s="751"/>
      <c r="AD51" s="751"/>
      <c r="AE51" s="751"/>
      <c r="AF51" s="751"/>
      <c r="AG51" s="751"/>
      <c r="AH51" s="751"/>
      <c r="AI51" s="751"/>
      <c r="AJ51" s="751"/>
      <c r="AK51" s="751"/>
      <c r="AL51" s="751"/>
      <c r="AM51" s="751"/>
      <c r="AN51" s="751"/>
      <c r="AO51" s="751"/>
      <c r="AP51" s="751"/>
      <c r="AQ51" s="751"/>
      <c r="AR51" s="515"/>
      <c r="AS51" s="516"/>
      <c r="AT51" s="504"/>
    </row>
    <row r="52">
      <c r="A52" s="504"/>
      <c r="B52" s="514"/>
      <c r="C52" s="925"/>
      <c r="D52" s="785" t="str">
        <f>Source!$I$6</f>
        <v>RE</v>
      </c>
      <c r="E52" s="785"/>
      <c r="F52" s="785"/>
      <c r="G52" s="870"/>
      <c r="H52" s="870"/>
      <c r="I52" s="870"/>
      <c r="J52" s="785">
        <f>COUNTIF(Stats!$C$6:$BN$47,F52)</f>
        <v>0</v>
      </c>
      <c r="K52" s="789">
        <f>SUMIF(Stats!$C$6:$BN$47,F52,Stats!$D$6:$BN$47)</f>
        <v>0</v>
      </c>
      <c r="L52" s="785">
        <f>SUMIF(Stats!$C$6:$BN$47,F52,Stats!$E$6:$BN$47)</f>
        <v>0</v>
      </c>
      <c r="M52" s="792">
        <f t="shared" si="2"/>
        <v>0</v>
      </c>
      <c r="N52" s="794">
        <f>COUNTIF('Playoff Stats'!$C$6:$BV$47,F52)</f>
        <v>0</v>
      </c>
      <c r="O52" s="789">
        <f>SUMIF('Playoff Stats'!$C$6:$BV$47,F52,'Playoff Stats'!$D$6:$BV$47)</f>
        <v>0</v>
      </c>
      <c r="P52" s="785">
        <f>SUMIF('Playoff Stats'!$C$6:$BN$47,F52,'Playoff Stats'!$E$6:$BN$47)</f>
        <v>0</v>
      </c>
      <c r="Q52" s="795">
        <f t="shared" si="3"/>
        <v>0</v>
      </c>
      <c r="R52" s="515"/>
      <c r="S52" s="751"/>
      <c r="T52" s="751"/>
      <c r="U52" s="751"/>
      <c r="V52" s="751"/>
      <c r="W52" s="751"/>
      <c r="X52" s="751"/>
      <c r="Y52" s="751"/>
      <c r="Z52" s="751"/>
      <c r="AA52" s="751"/>
      <c r="AB52" s="751"/>
      <c r="AC52" s="751"/>
      <c r="AD52" s="751"/>
      <c r="AE52" s="751"/>
      <c r="AF52" s="751"/>
      <c r="AG52" s="751"/>
      <c r="AH52" s="751"/>
      <c r="AI52" s="751"/>
      <c r="AJ52" s="751"/>
      <c r="AK52" s="751"/>
      <c r="AL52" s="751"/>
      <c r="AM52" s="751"/>
      <c r="AN52" s="751"/>
      <c r="AO52" s="751"/>
      <c r="AP52" s="751"/>
      <c r="AQ52" s="751"/>
      <c r="AR52" s="515"/>
      <c r="AS52" s="516"/>
      <c r="AT52" s="504"/>
    </row>
    <row r="53">
      <c r="A53" s="504"/>
      <c r="B53" s="514"/>
      <c r="C53" s="784" t="str">
        <f>Source!$G$7</f>
        <v>Tyler Gottfredsen</v>
      </c>
      <c r="D53" s="785" t="str">
        <f>Source!$I$7</f>
        <v>TG</v>
      </c>
      <c r="E53" s="785"/>
      <c r="F53" s="789" t="str">
        <f t="array" ref="F53:F64">Teams!$D$21:$D$32</f>
        <v>Iron Valiant</v>
      </c>
      <c r="G53" s="815"/>
      <c r="H53" s="815"/>
      <c r="I53" s="815"/>
      <c r="J53" s="785">
        <f>COUNTIF(Stats!$C$6:$BN$47,F53)</f>
        <v>3</v>
      </c>
      <c r="K53" s="789">
        <f>SUMIF(Stats!$C$6:$BN$47,F53,Stats!$D$6:$BN$47)</f>
        <v>1</v>
      </c>
      <c r="L53" s="785">
        <f>SUMIF(Stats!$C$6:$BN$47,F53,Stats!$E$6:$BN$47)</f>
        <v>3</v>
      </c>
      <c r="M53" s="792">
        <f t="shared" si="2"/>
        <v>-2</v>
      </c>
      <c r="N53" s="794">
        <f>COUNTIF('Playoff Stats'!$C$6:$BV$47,F53)</f>
        <v>3</v>
      </c>
      <c r="O53" s="789">
        <f>SUMIF('Playoff Stats'!$C$6:$BV$47,F53,'Playoff Stats'!$D$6:$BV$47)</f>
        <v>3</v>
      </c>
      <c r="P53" s="785">
        <f>SUMIF('Playoff Stats'!$C$6:$BN$47,F53,'Playoff Stats'!$E$6:$BN$47)</f>
        <v>3</v>
      </c>
      <c r="Q53" s="795">
        <f t="shared" si="3"/>
        <v>0</v>
      </c>
      <c r="R53" s="515"/>
      <c r="S53" s="751"/>
      <c r="T53" s="751"/>
      <c r="U53" s="751"/>
      <c r="V53" s="751"/>
      <c r="W53" s="751"/>
      <c r="X53" s="751"/>
      <c r="Y53" s="751"/>
      <c r="Z53" s="751"/>
      <c r="AA53" s="751"/>
      <c r="AB53" s="751"/>
      <c r="AC53" s="751"/>
      <c r="AD53" s="751"/>
      <c r="AE53" s="751"/>
      <c r="AF53" s="751"/>
      <c r="AG53" s="751"/>
      <c r="AH53" s="751"/>
      <c r="AI53" s="751"/>
      <c r="AJ53" s="751"/>
      <c r="AK53" s="751"/>
      <c r="AL53" s="751"/>
      <c r="AM53" s="751"/>
      <c r="AN53" s="751"/>
      <c r="AO53" s="751"/>
      <c r="AP53" s="751"/>
      <c r="AQ53" s="751"/>
      <c r="AR53" s="515"/>
      <c r="AS53" s="516"/>
      <c r="AT53" s="504"/>
    </row>
    <row r="54">
      <c r="A54" s="504"/>
      <c r="B54" s="514"/>
      <c r="C54" s="401"/>
      <c r="D54" s="785" t="str">
        <f>Source!$I$7</f>
        <v>TG</v>
      </c>
      <c r="E54" s="785"/>
      <c r="F54" s="789" t="s">
        <v>112</v>
      </c>
      <c r="G54" s="815"/>
      <c r="H54" s="815"/>
      <c r="I54" s="815"/>
      <c r="J54" s="785">
        <f>COUNTIF(Stats!$C$6:$BN$47,F54)</f>
        <v>3</v>
      </c>
      <c r="K54" s="789">
        <f>SUMIF(Stats!$C$6:$BN$47,F54,Stats!$D$6:$BN$47)</f>
        <v>4</v>
      </c>
      <c r="L54" s="785">
        <f>SUMIF(Stats!$C$6:$BN$47,F54,Stats!$E$6:$BN$47)</f>
        <v>3</v>
      </c>
      <c r="M54" s="792">
        <f t="shared" si="2"/>
        <v>1</v>
      </c>
      <c r="N54" s="794">
        <f>COUNTIF('Playoff Stats'!$C$6:$BV$47,F54)</f>
        <v>1</v>
      </c>
      <c r="O54" s="789">
        <f>SUMIF('Playoff Stats'!$C$6:$BV$47,F54,'Playoff Stats'!$D$6:$BV$47)</f>
        <v>0</v>
      </c>
      <c r="P54" s="785">
        <f>SUMIF('Playoff Stats'!$C$6:$BN$47,F54,'Playoff Stats'!$E$6:$BN$47)</f>
        <v>1</v>
      </c>
      <c r="Q54" s="795">
        <f t="shared" si="3"/>
        <v>-1</v>
      </c>
      <c r="R54" s="515"/>
      <c r="S54" s="751"/>
      <c r="T54" s="751"/>
      <c r="U54" s="751"/>
      <c r="V54" s="751"/>
      <c r="W54" s="751"/>
      <c r="X54" s="751"/>
      <c r="Y54" s="751"/>
      <c r="Z54" s="751"/>
      <c r="AA54" s="751"/>
      <c r="AB54" s="751"/>
      <c r="AC54" s="751"/>
      <c r="AD54" s="751"/>
      <c r="AE54" s="751"/>
      <c r="AF54" s="751"/>
      <c r="AG54" s="751"/>
      <c r="AH54" s="751"/>
      <c r="AI54" s="751"/>
      <c r="AJ54" s="751"/>
      <c r="AK54" s="751"/>
      <c r="AL54" s="751"/>
      <c r="AM54" s="751"/>
      <c r="AN54" s="751"/>
      <c r="AO54" s="751"/>
      <c r="AP54" s="751"/>
      <c r="AQ54" s="751"/>
      <c r="AR54" s="515"/>
      <c r="AS54" s="516"/>
      <c r="AT54" s="504"/>
    </row>
    <row r="55">
      <c r="A55" s="504"/>
      <c r="B55" s="514"/>
      <c r="C55" s="401"/>
      <c r="D55" s="785" t="str">
        <f>Source!$I$7</f>
        <v>TG</v>
      </c>
      <c r="E55" s="785"/>
      <c r="F55" s="789" t="s">
        <v>175</v>
      </c>
      <c r="G55" s="815"/>
      <c r="H55" s="815"/>
      <c r="I55" s="815"/>
      <c r="J55" s="785">
        <f>COUNTIF(Stats!$C$6:$BN$47,F55)</f>
        <v>2</v>
      </c>
      <c r="K55" s="789">
        <f>SUMIF(Stats!$C$6:$BN$47,F55,Stats!$D$6:$BN$47)</f>
        <v>1</v>
      </c>
      <c r="L55" s="785">
        <f>SUMIF(Stats!$C$6:$BN$47,F55,Stats!$E$6:$BN$47)</f>
        <v>2</v>
      </c>
      <c r="M55" s="792">
        <f t="shared" si="2"/>
        <v>-1</v>
      </c>
      <c r="N55" s="794">
        <f>COUNTIF('Playoff Stats'!$C$6:$BV$47,F55)</f>
        <v>0</v>
      </c>
      <c r="O55" s="789">
        <f>SUMIF('Playoff Stats'!$C$6:$BV$47,F55,'Playoff Stats'!$D$6:$BV$47)</f>
        <v>0</v>
      </c>
      <c r="P55" s="785">
        <f>SUMIF('Playoff Stats'!$C$6:$BN$47,F55,'Playoff Stats'!$E$6:$BN$47)</f>
        <v>0</v>
      </c>
      <c r="Q55" s="795">
        <f t="shared" si="3"/>
        <v>0</v>
      </c>
      <c r="R55" s="515"/>
      <c r="S55" s="751"/>
      <c r="T55" s="751"/>
      <c r="U55" s="751"/>
      <c r="V55" s="751"/>
      <c r="W55" s="751"/>
      <c r="X55" s="751"/>
      <c r="Y55" s="751"/>
      <c r="Z55" s="751"/>
      <c r="AA55" s="751"/>
      <c r="AB55" s="751"/>
      <c r="AC55" s="751"/>
      <c r="AD55" s="751"/>
      <c r="AE55" s="751"/>
      <c r="AF55" s="751"/>
      <c r="AG55" s="751"/>
      <c r="AH55" s="751"/>
      <c r="AI55" s="751"/>
      <c r="AJ55" s="751"/>
      <c r="AK55" s="751"/>
      <c r="AL55" s="751"/>
      <c r="AM55" s="751"/>
      <c r="AN55" s="751"/>
      <c r="AO55" s="751"/>
      <c r="AP55" s="751"/>
      <c r="AQ55" s="751"/>
      <c r="AR55" s="515"/>
      <c r="AS55" s="516"/>
      <c r="AT55" s="504"/>
    </row>
    <row r="56">
      <c r="A56" s="504"/>
      <c r="B56" s="514"/>
      <c r="C56" s="401"/>
      <c r="D56" s="785" t="str">
        <f>Source!$I$7</f>
        <v>TG</v>
      </c>
      <c r="E56" s="785"/>
      <c r="F56" s="789" t="s">
        <v>244</v>
      </c>
      <c r="G56" s="815"/>
      <c r="H56" s="815"/>
      <c r="I56" s="815"/>
      <c r="J56" s="785">
        <f>COUNTIF(Stats!$C$6:$BN$47,F56)</f>
        <v>4</v>
      </c>
      <c r="K56" s="789">
        <f>SUMIF(Stats!$C$6:$BN$47,F56,Stats!$D$6:$BN$47)</f>
        <v>0</v>
      </c>
      <c r="L56" s="785">
        <f>SUMIF(Stats!$C$6:$BN$47,F56,Stats!$E$6:$BN$47)</f>
        <v>4</v>
      </c>
      <c r="M56" s="792">
        <f t="shared" si="2"/>
        <v>-4</v>
      </c>
      <c r="N56" s="794">
        <f>COUNTIF('Playoff Stats'!$C$6:$BV$47,F56)</f>
        <v>2</v>
      </c>
      <c r="O56" s="789">
        <f>SUMIF('Playoff Stats'!$C$6:$BV$47,F56,'Playoff Stats'!$D$6:$BV$47)</f>
        <v>0</v>
      </c>
      <c r="P56" s="785">
        <f>SUMIF('Playoff Stats'!$C$6:$BN$47,F56,'Playoff Stats'!$E$6:$BN$47)</f>
        <v>1</v>
      </c>
      <c r="Q56" s="795">
        <f t="shared" si="3"/>
        <v>-1</v>
      </c>
      <c r="R56" s="515"/>
      <c r="S56" s="751"/>
      <c r="T56" s="751"/>
      <c r="U56" s="751"/>
      <c r="V56" s="751"/>
      <c r="W56" s="751"/>
      <c r="X56" s="751"/>
      <c r="Y56" s="751"/>
      <c r="Z56" s="751"/>
      <c r="AA56" s="751"/>
      <c r="AB56" s="751"/>
      <c r="AC56" s="751"/>
      <c r="AD56" s="751"/>
      <c r="AE56" s="751"/>
      <c r="AF56" s="751"/>
      <c r="AG56" s="751"/>
      <c r="AH56" s="751"/>
      <c r="AI56" s="751"/>
      <c r="AJ56" s="751"/>
      <c r="AK56" s="751"/>
      <c r="AL56" s="751"/>
      <c r="AM56" s="751"/>
      <c r="AN56" s="751"/>
      <c r="AO56" s="751"/>
      <c r="AP56" s="751"/>
      <c r="AQ56" s="751"/>
      <c r="AR56" s="515"/>
      <c r="AS56" s="516"/>
      <c r="AT56" s="504"/>
    </row>
    <row r="57">
      <c r="A57" s="504"/>
      <c r="B57" s="514"/>
      <c r="C57" s="401"/>
      <c r="D57" s="785" t="str">
        <f>Source!$I$7</f>
        <v>TG</v>
      </c>
      <c r="E57" s="785"/>
      <c r="F57" s="785" t="s">
        <v>222</v>
      </c>
      <c r="G57" s="886" t="s">
        <v>163</v>
      </c>
      <c r="H57" s="886" t="s">
        <v>223</v>
      </c>
      <c r="I57" s="886" t="s">
        <v>93</v>
      </c>
      <c r="J57" s="785">
        <f>COUNTIF(Stats!$C$6:$BN$47,F57)</f>
        <v>1</v>
      </c>
      <c r="K57" s="789">
        <f>SUMIF(Stats!$C$6:$BN$47,F57,Stats!$D$6:$BN$47)</f>
        <v>0</v>
      </c>
      <c r="L57" s="785">
        <f>SUMIF(Stats!$C$6:$BN$47,F57,Stats!$E$6:$BN$47)</f>
        <v>0</v>
      </c>
      <c r="M57" s="792">
        <f t="shared" si="2"/>
        <v>0</v>
      </c>
      <c r="N57" s="794">
        <f>COUNTIF('Playoff Stats'!$C$6:$BV$47,F57)</f>
        <v>1</v>
      </c>
      <c r="O57" s="789">
        <f>SUMIF('Playoff Stats'!$C$6:$BV$47,F57,'Playoff Stats'!$D$6:$BV$47)</f>
        <v>1</v>
      </c>
      <c r="P57" s="785">
        <f>SUMIF('Playoff Stats'!$C$6:$BN$47,F57,'Playoff Stats'!$E$6:$BN$47)</f>
        <v>0</v>
      </c>
      <c r="Q57" s="795">
        <f t="shared" si="3"/>
        <v>1</v>
      </c>
      <c r="R57" s="515"/>
      <c r="S57" s="751"/>
      <c r="T57" s="751"/>
      <c r="U57" s="751"/>
      <c r="V57" s="751"/>
      <c r="W57" s="751"/>
      <c r="X57" s="751"/>
      <c r="Y57" s="751"/>
      <c r="Z57" s="751"/>
      <c r="AA57" s="751"/>
      <c r="AB57" s="751"/>
      <c r="AC57" s="751"/>
      <c r="AD57" s="751"/>
      <c r="AE57" s="751"/>
      <c r="AF57" s="751"/>
      <c r="AG57" s="751"/>
      <c r="AH57" s="751"/>
      <c r="AI57" s="751"/>
      <c r="AJ57" s="751"/>
      <c r="AK57" s="751"/>
      <c r="AL57" s="751"/>
      <c r="AM57" s="751"/>
      <c r="AN57" s="751"/>
      <c r="AO57" s="751"/>
      <c r="AP57" s="751"/>
      <c r="AQ57" s="751"/>
      <c r="AR57" s="515"/>
      <c r="AS57" s="516"/>
      <c r="AT57" s="504"/>
    </row>
    <row r="58">
      <c r="A58" s="504"/>
      <c r="B58" s="514"/>
      <c r="C58" s="401"/>
      <c r="D58" s="785" t="str">
        <f>Source!$I$7</f>
        <v>TG</v>
      </c>
      <c r="E58" s="785"/>
      <c r="F58" s="785" t="s">
        <v>153</v>
      </c>
      <c r="G58" s="870"/>
      <c r="H58" s="870"/>
      <c r="I58" s="870"/>
      <c r="J58" s="785">
        <f>COUNTIF(Stats!$C$6:$BN$47,F58)</f>
        <v>4</v>
      </c>
      <c r="K58" s="789">
        <f>SUMIF(Stats!$C$6:$BN$47,F58,Stats!$D$6:$BN$47)</f>
        <v>2</v>
      </c>
      <c r="L58" s="785">
        <f>SUMIF(Stats!$C$6:$BN$47,F58,Stats!$E$6:$BN$47)</f>
        <v>3</v>
      </c>
      <c r="M58" s="792">
        <f t="shared" si="2"/>
        <v>-1</v>
      </c>
      <c r="N58" s="794">
        <f>COUNTIF('Playoff Stats'!$C$6:$BV$47,F58)</f>
        <v>2</v>
      </c>
      <c r="O58" s="789">
        <f>SUMIF('Playoff Stats'!$C$6:$BV$47,F58,'Playoff Stats'!$D$6:$BV$47)</f>
        <v>1</v>
      </c>
      <c r="P58" s="785">
        <f>SUMIF('Playoff Stats'!$C$6:$BN$47,F58,'Playoff Stats'!$E$6:$BN$47)</f>
        <v>2</v>
      </c>
      <c r="Q58" s="795">
        <f t="shared" si="3"/>
        <v>-1</v>
      </c>
      <c r="R58" s="515"/>
      <c r="S58" s="751"/>
      <c r="T58" s="751"/>
      <c r="U58" s="751"/>
      <c r="V58" s="751"/>
      <c r="W58" s="751"/>
      <c r="X58" s="751"/>
      <c r="Y58" s="751"/>
      <c r="Z58" s="751"/>
      <c r="AA58" s="751"/>
      <c r="AB58" s="751"/>
      <c r="AC58" s="751"/>
      <c r="AD58" s="751"/>
      <c r="AE58" s="751"/>
      <c r="AF58" s="751"/>
      <c r="AG58" s="751"/>
      <c r="AH58" s="751"/>
      <c r="AI58" s="751"/>
      <c r="AJ58" s="751"/>
      <c r="AK58" s="751"/>
      <c r="AL58" s="751"/>
      <c r="AM58" s="751"/>
      <c r="AN58" s="751"/>
      <c r="AO58" s="751"/>
      <c r="AP58" s="751"/>
      <c r="AQ58" s="751"/>
      <c r="AR58" s="515"/>
      <c r="AS58" s="516"/>
      <c r="AT58" s="504"/>
    </row>
    <row r="59">
      <c r="A59" s="504"/>
      <c r="B59" s="514"/>
      <c r="C59" s="401"/>
      <c r="D59" s="785" t="str">
        <f>Source!$I$7</f>
        <v>TG</v>
      </c>
      <c r="E59" s="785"/>
      <c r="F59" s="785" t="s">
        <v>165</v>
      </c>
      <c r="G59" s="870"/>
      <c r="H59" s="870"/>
      <c r="I59" s="870"/>
      <c r="J59" s="785">
        <f>COUNTIF(Stats!$C$6:$BN$47,F59)</f>
        <v>1</v>
      </c>
      <c r="K59" s="789">
        <f>SUMIF(Stats!$C$6:$BN$47,F59,Stats!$D$6:$BN$47)</f>
        <v>1</v>
      </c>
      <c r="L59" s="785">
        <f>SUMIF(Stats!$C$6:$BN$47,F59,Stats!$E$6:$BN$47)</f>
        <v>1</v>
      </c>
      <c r="M59" s="792">
        <f t="shared" si="2"/>
        <v>0</v>
      </c>
      <c r="N59" s="794">
        <f>COUNTIF('Playoff Stats'!$C$6:$BV$47,F59)</f>
        <v>3</v>
      </c>
      <c r="O59" s="789">
        <f>SUMIF('Playoff Stats'!$C$6:$BV$47,F59,'Playoff Stats'!$D$6:$BV$47)</f>
        <v>1</v>
      </c>
      <c r="P59" s="785">
        <f>SUMIF('Playoff Stats'!$C$6:$BN$47,F59,'Playoff Stats'!$E$6:$BN$47)</f>
        <v>2</v>
      </c>
      <c r="Q59" s="795">
        <f t="shared" si="3"/>
        <v>-1</v>
      </c>
      <c r="R59" s="515"/>
      <c r="S59" s="751"/>
      <c r="T59" s="751"/>
      <c r="U59" s="751"/>
      <c r="V59" s="751"/>
      <c r="W59" s="751"/>
      <c r="X59" s="751"/>
      <c r="Y59" s="751"/>
      <c r="Z59" s="751"/>
      <c r="AA59" s="751"/>
      <c r="AB59" s="751"/>
      <c r="AC59" s="751"/>
      <c r="AD59" s="751"/>
      <c r="AE59" s="751"/>
      <c r="AF59" s="751"/>
      <c r="AG59" s="751"/>
      <c r="AH59" s="751"/>
      <c r="AI59" s="751"/>
      <c r="AJ59" s="751"/>
      <c r="AK59" s="751"/>
      <c r="AL59" s="751"/>
      <c r="AM59" s="751"/>
      <c r="AN59" s="751"/>
      <c r="AO59" s="751"/>
      <c r="AP59" s="751"/>
      <c r="AQ59" s="751"/>
      <c r="AR59" s="515"/>
      <c r="AS59" s="516"/>
      <c r="AT59" s="504"/>
    </row>
    <row r="60">
      <c r="A60" s="504"/>
      <c r="B60" s="514"/>
      <c r="C60" s="401"/>
      <c r="D60" s="785" t="str">
        <f>Source!$I$7</f>
        <v>TG</v>
      </c>
      <c r="E60" s="785"/>
      <c r="F60" s="785" t="s">
        <v>235</v>
      </c>
      <c r="G60" s="886" t="s">
        <v>192</v>
      </c>
      <c r="H60" s="886" t="s">
        <v>182</v>
      </c>
      <c r="I60" s="886" t="s">
        <v>173</v>
      </c>
      <c r="J60" s="785">
        <f>COUNTIF(Stats!$C$6:$BN$47,F60)</f>
        <v>2</v>
      </c>
      <c r="K60" s="789">
        <f>SUMIF(Stats!$C$6:$BN$47,F60,Stats!$D$6:$BN$47)</f>
        <v>0</v>
      </c>
      <c r="L60" s="785">
        <f>SUMIF(Stats!$C$6:$BN$47,F60,Stats!$E$6:$BN$47)</f>
        <v>2</v>
      </c>
      <c r="M60" s="792">
        <f t="shared" si="2"/>
        <v>-2</v>
      </c>
      <c r="N60" s="794">
        <f>COUNTIF('Playoff Stats'!$C$6:$BV$47,F60)</f>
        <v>0</v>
      </c>
      <c r="O60" s="789">
        <f>SUMIF('Playoff Stats'!$C$6:$BV$47,F60,'Playoff Stats'!$D$6:$BV$47)</f>
        <v>0</v>
      </c>
      <c r="P60" s="785">
        <f>SUMIF('Playoff Stats'!$C$6:$BN$47,F60,'Playoff Stats'!$E$6:$BN$47)</f>
        <v>0</v>
      </c>
      <c r="Q60" s="795">
        <f t="shared" si="3"/>
        <v>0</v>
      </c>
      <c r="R60" s="515"/>
      <c r="S60" s="751"/>
      <c r="T60" s="751"/>
      <c r="U60" s="751"/>
      <c r="V60" s="751"/>
      <c r="W60" s="751"/>
      <c r="X60" s="751"/>
      <c r="Y60" s="751"/>
      <c r="Z60" s="751"/>
      <c r="AA60" s="751"/>
      <c r="AB60" s="751"/>
      <c r="AC60" s="751"/>
      <c r="AD60" s="751"/>
      <c r="AE60" s="751"/>
      <c r="AF60" s="751"/>
      <c r="AG60" s="751"/>
      <c r="AH60" s="751"/>
      <c r="AI60" s="751"/>
      <c r="AJ60" s="751"/>
      <c r="AK60" s="751"/>
      <c r="AL60" s="751"/>
      <c r="AM60" s="751"/>
      <c r="AN60" s="751"/>
      <c r="AO60" s="751"/>
      <c r="AP60" s="751"/>
      <c r="AQ60" s="751"/>
      <c r="AR60" s="515"/>
      <c r="AS60" s="516"/>
      <c r="AT60" s="504"/>
    </row>
    <row r="61">
      <c r="A61" s="504"/>
      <c r="B61" s="514"/>
      <c r="C61" s="401"/>
      <c r="D61" s="785" t="str">
        <f>Source!$I$7</f>
        <v>TG</v>
      </c>
      <c r="E61" s="785"/>
      <c r="F61" s="785" t="s">
        <v>205</v>
      </c>
      <c r="G61" s="886" t="s">
        <v>173</v>
      </c>
      <c r="H61" s="886" t="s">
        <v>171</v>
      </c>
      <c r="I61" s="886" t="s">
        <v>140</v>
      </c>
      <c r="J61" s="785">
        <f>COUNTIF(Stats!$C$6:$BN$47,F61)</f>
        <v>0</v>
      </c>
      <c r="K61" s="789">
        <f>SUMIF(Stats!$C$6:$BN$47,F61,Stats!$D$6:$BN$47)</f>
        <v>0</v>
      </c>
      <c r="L61" s="785">
        <f>SUMIF(Stats!$C$6:$BN$47,F61,Stats!$E$6:$BN$47)</f>
        <v>0</v>
      </c>
      <c r="M61" s="792">
        <f t="shared" si="2"/>
        <v>0</v>
      </c>
      <c r="N61" s="794">
        <f>COUNTIF('Playoff Stats'!$C$6:$BV$47,F61)</f>
        <v>2</v>
      </c>
      <c r="O61" s="789">
        <f>SUMIF('Playoff Stats'!$C$6:$BV$47,F61,'Playoff Stats'!$D$6:$BV$47)</f>
        <v>4</v>
      </c>
      <c r="P61" s="785">
        <f>SUMIF('Playoff Stats'!$C$6:$BN$47,F61,'Playoff Stats'!$E$6:$BN$47)</f>
        <v>2</v>
      </c>
      <c r="Q61" s="795">
        <f t="shared" si="3"/>
        <v>2</v>
      </c>
      <c r="R61" s="515"/>
      <c r="S61" s="751"/>
      <c r="T61" s="751"/>
      <c r="U61" s="751"/>
      <c r="V61" s="751"/>
      <c r="W61" s="751"/>
      <c r="X61" s="751"/>
      <c r="Y61" s="751"/>
      <c r="Z61" s="751"/>
      <c r="AA61" s="751"/>
      <c r="AB61" s="751"/>
      <c r="AC61" s="751"/>
      <c r="AD61" s="751"/>
      <c r="AE61" s="751"/>
      <c r="AF61" s="751"/>
      <c r="AG61" s="751"/>
      <c r="AH61" s="751"/>
      <c r="AI61" s="751"/>
      <c r="AJ61" s="751"/>
      <c r="AK61" s="751"/>
      <c r="AL61" s="751"/>
      <c r="AM61" s="751"/>
      <c r="AN61" s="751"/>
      <c r="AO61" s="751"/>
      <c r="AP61" s="751"/>
      <c r="AQ61" s="751"/>
      <c r="AR61" s="515"/>
      <c r="AS61" s="516"/>
      <c r="AT61" s="504"/>
    </row>
    <row r="62">
      <c r="A62" s="504"/>
      <c r="B62" s="514"/>
      <c r="C62" s="401"/>
      <c r="D62" s="785" t="str">
        <f>Source!$I$7</f>
        <v>TG</v>
      </c>
      <c r="E62" s="785"/>
      <c r="F62" s="785" t="s">
        <v>131</v>
      </c>
      <c r="G62" s="870"/>
      <c r="H62" s="870"/>
      <c r="I62" s="870"/>
      <c r="J62" s="785">
        <f>COUNTIF(Stats!$C$6:$BN$47,F62)</f>
        <v>1</v>
      </c>
      <c r="K62" s="789">
        <f>SUMIF(Stats!$C$6:$BN$47,F62,Stats!$D$6:$BN$47)</f>
        <v>2</v>
      </c>
      <c r="L62" s="785">
        <f>SUMIF(Stats!$C$6:$BN$47,F62,Stats!$E$6:$BN$47)</f>
        <v>0</v>
      </c>
      <c r="M62" s="792">
        <f t="shared" si="2"/>
        <v>2</v>
      </c>
      <c r="N62" s="794">
        <f>COUNTIF('Playoff Stats'!$C$6:$BV$47,F62)</f>
        <v>0</v>
      </c>
      <c r="O62" s="789">
        <f>SUMIF('Playoff Stats'!$C$6:$BV$47,F62,'Playoff Stats'!$D$6:$BV$47)</f>
        <v>0</v>
      </c>
      <c r="P62" s="785">
        <f>SUMIF('Playoff Stats'!$C$6:$BN$47,F62,'Playoff Stats'!$E$6:$BN$47)</f>
        <v>0</v>
      </c>
      <c r="Q62" s="795">
        <f t="shared" si="3"/>
        <v>0</v>
      </c>
      <c r="R62" s="515"/>
      <c r="S62" s="751"/>
      <c r="T62" s="751"/>
      <c r="U62" s="751"/>
      <c r="V62" s="751"/>
      <c r="W62" s="751"/>
      <c r="X62" s="751"/>
      <c r="Y62" s="751"/>
      <c r="Z62" s="751"/>
      <c r="AA62" s="751"/>
      <c r="AB62" s="751"/>
      <c r="AC62" s="751"/>
      <c r="AD62" s="751"/>
      <c r="AE62" s="751"/>
      <c r="AF62" s="751"/>
      <c r="AG62" s="751"/>
      <c r="AH62" s="751"/>
      <c r="AI62" s="751"/>
      <c r="AJ62" s="751"/>
      <c r="AK62" s="751"/>
      <c r="AL62" s="751"/>
      <c r="AM62" s="751"/>
      <c r="AN62" s="751"/>
      <c r="AO62" s="751"/>
      <c r="AP62" s="751"/>
      <c r="AQ62" s="751"/>
      <c r="AR62" s="515"/>
      <c r="AS62" s="516"/>
      <c r="AT62" s="504"/>
    </row>
    <row r="63">
      <c r="A63" s="504"/>
      <c r="B63" s="514"/>
      <c r="C63" s="401"/>
      <c r="D63" s="785" t="str">
        <f>Source!$I$7</f>
        <v>TG</v>
      </c>
      <c r="E63" s="785"/>
      <c r="F63" s="785"/>
      <c r="G63" s="870"/>
      <c r="H63" s="870"/>
      <c r="I63" s="870"/>
      <c r="J63" s="785">
        <f>COUNTIF(Stats!$C$6:$BN$47,F63)</f>
        <v>0</v>
      </c>
      <c r="K63" s="789">
        <f>SUMIF(Stats!$C$6:$BN$47,F63,Stats!$D$6:$BN$47)</f>
        <v>0</v>
      </c>
      <c r="L63" s="785">
        <f>SUMIF(Stats!$C$6:$BN$47,F63,Stats!$E$6:$BN$47)</f>
        <v>0</v>
      </c>
      <c r="M63" s="792">
        <f t="shared" si="2"/>
        <v>0</v>
      </c>
      <c r="N63" s="794">
        <f>COUNTIF('Playoff Stats'!$C$6:$BV$47,F63)</f>
        <v>0</v>
      </c>
      <c r="O63" s="789">
        <f>SUMIF('Playoff Stats'!$C$6:$BV$47,F63,'Playoff Stats'!$D$6:$BV$47)</f>
        <v>0</v>
      </c>
      <c r="P63" s="785">
        <f>SUMIF('Playoff Stats'!$C$6:$BN$47,F63,'Playoff Stats'!$E$6:$BN$47)</f>
        <v>0</v>
      </c>
      <c r="Q63" s="795">
        <f t="shared" si="3"/>
        <v>0</v>
      </c>
      <c r="R63" s="515"/>
      <c r="S63" s="751"/>
      <c r="T63" s="751"/>
      <c r="U63" s="751"/>
      <c r="V63" s="751"/>
      <c r="W63" s="751"/>
      <c r="X63" s="751"/>
      <c r="Y63" s="751"/>
      <c r="Z63" s="751"/>
      <c r="AA63" s="751"/>
      <c r="AB63" s="751"/>
      <c r="AC63" s="751"/>
      <c r="AD63" s="751"/>
      <c r="AE63" s="751"/>
      <c r="AF63" s="751"/>
      <c r="AG63" s="751"/>
      <c r="AH63" s="751"/>
      <c r="AI63" s="751"/>
      <c r="AJ63" s="751"/>
      <c r="AK63" s="751"/>
      <c r="AL63" s="751"/>
      <c r="AM63" s="751"/>
      <c r="AN63" s="751"/>
      <c r="AO63" s="751"/>
      <c r="AP63" s="751"/>
      <c r="AQ63" s="751"/>
      <c r="AR63" s="515"/>
      <c r="AS63" s="516"/>
      <c r="AT63" s="504"/>
    </row>
    <row r="64">
      <c r="A64" s="504"/>
      <c r="B64" s="514"/>
      <c r="C64" s="925"/>
      <c r="D64" s="785" t="str">
        <f>Source!$I$7</f>
        <v>TG</v>
      </c>
      <c r="E64" s="785"/>
      <c r="F64" s="785"/>
      <c r="G64" s="870"/>
      <c r="H64" s="870"/>
      <c r="I64" s="870"/>
      <c r="J64" s="785">
        <f>COUNTIF(Stats!$C$6:$BN$47,F64)</f>
        <v>0</v>
      </c>
      <c r="K64" s="789">
        <f>SUMIF(Stats!$C$6:$BN$47,F64,Stats!$D$6:$BN$47)</f>
        <v>0</v>
      </c>
      <c r="L64" s="785">
        <f>SUMIF(Stats!$C$6:$BN$47,F64,Stats!$E$6:$BN$47)</f>
        <v>0</v>
      </c>
      <c r="M64" s="792">
        <f t="shared" si="2"/>
        <v>0</v>
      </c>
      <c r="N64" s="794">
        <f>COUNTIF('Playoff Stats'!$C$6:$BV$47,F64)</f>
        <v>0</v>
      </c>
      <c r="O64" s="789">
        <f>SUMIF('Playoff Stats'!$C$6:$BV$47,F64,'Playoff Stats'!$D$6:$BV$47)</f>
        <v>0</v>
      </c>
      <c r="P64" s="785">
        <f>SUMIF('Playoff Stats'!$C$6:$BN$47,F64,'Playoff Stats'!$E$6:$BN$47)</f>
        <v>0</v>
      </c>
      <c r="Q64" s="795">
        <f t="shared" si="3"/>
        <v>0</v>
      </c>
      <c r="R64" s="515"/>
      <c r="S64" s="751"/>
      <c r="T64" s="751"/>
      <c r="U64" s="751"/>
      <c r="V64" s="751"/>
      <c r="W64" s="751"/>
      <c r="X64" s="751"/>
      <c r="Y64" s="751"/>
      <c r="Z64" s="751"/>
      <c r="AA64" s="751"/>
      <c r="AB64" s="751"/>
      <c r="AC64" s="751"/>
      <c r="AD64" s="751"/>
      <c r="AE64" s="751"/>
      <c r="AF64" s="751"/>
      <c r="AG64" s="751"/>
      <c r="AH64" s="751"/>
      <c r="AI64" s="751"/>
      <c r="AJ64" s="751"/>
      <c r="AK64" s="751"/>
      <c r="AL64" s="751"/>
      <c r="AM64" s="751"/>
      <c r="AN64" s="751"/>
      <c r="AO64" s="751"/>
      <c r="AP64" s="751"/>
      <c r="AQ64" s="751"/>
      <c r="AR64" s="515"/>
      <c r="AS64" s="516"/>
      <c r="AT64" s="504"/>
    </row>
    <row r="65">
      <c r="A65" s="504"/>
      <c r="B65" s="514"/>
      <c r="C65" s="784" t="str">
        <f>Source!$G$8</f>
        <v>Dick Hansen</v>
      </c>
      <c r="D65" s="785" t="str">
        <f>Source!$I$8</f>
        <v>DH</v>
      </c>
      <c r="E65" s="785"/>
      <c r="F65" s="789" t="str">
        <f t="array" ref="F65:F76">Teams!$K$21:$K$32</f>
        <v>Garchomp</v>
      </c>
      <c r="G65" s="815"/>
      <c r="H65" s="815"/>
      <c r="I65" s="815"/>
      <c r="J65" s="785">
        <f>COUNTIF(Stats!$C$6:$BN$47,F65)</f>
        <v>5</v>
      </c>
      <c r="K65" s="789">
        <f>SUMIF(Stats!$C$6:$BN$47,F65,Stats!$D$6:$BN$47)</f>
        <v>0</v>
      </c>
      <c r="L65" s="785">
        <f>SUMIF(Stats!$C$6:$BN$47,F65,Stats!$E$6:$BN$47)</f>
        <v>4</v>
      </c>
      <c r="M65" s="792">
        <f t="shared" si="2"/>
        <v>-4</v>
      </c>
      <c r="N65" s="794">
        <f>COUNTIF('Playoff Stats'!$C$6:$BV$47,F65)</f>
        <v>1</v>
      </c>
      <c r="O65" s="789">
        <f>SUMIF('Playoff Stats'!$C$6:$BV$47,F65,'Playoff Stats'!$D$6:$BV$47)</f>
        <v>0</v>
      </c>
      <c r="P65" s="785">
        <f>SUMIF('Playoff Stats'!$C$6:$BN$47,F65,'Playoff Stats'!$E$6:$BN$47)</f>
        <v>1</v>
      </c>
      <c r="Q65" s="795">
        <f t="shared" si="3"/>
        <v>-1</v>
      </c>
      <c r="R65" s="515"/>
      <c r="S65" s="751"/>
      <c r="T65" s="751"/>
      <c r="U65" s="751"/>
      <c r="V65" s="751"/>
      <c r="W65" s="751"/>
      <c r="X65" s="751"/>
      <c r="Y65" s="751"/>
      <c r="Z65" s="751"/>
      <c r="AA65" s="751"/>
      <c r="AB65" s="751"/>
      <c r="AC65" s="751"/>
      <c r="AD65" s="751"/>
      <c r="AE65" s="751"/>
      <c r="AF65" s="751"/>
      <c r="AG65" s="751"/>
      <c r="AH65" s="751"/>
      <c r="AI65" s="751"/>
      <c r="AJ65" s="751"/>
      <c r="AK65" s="751"/>
      <c r="AL65" s="751"/>
      <c r="AM65" s="751"/>
      <c r="AN65" s="751"/>
      <c r="AO65" s="751"/>
      <c r="AP65" s="751"/>
      <c r="AQ65" s="751"/>
      <c r="AR65" s="515"/>
      <c r="AS65" s="516"/>
      <c r="AT65" s="504"/>
    </row>
    <row r="66">
      <c r="A66" s="504"/>
      <c r="B66" s="514"/>
      <c r="C66" s="401"/>
      <c r="D66" s="785" t="str">
        <f>Source!$I$8</f>
        <v>DH</v>
      </c>
      <c r="E66" s="785"/>
      <c r="F66" s="789" t="s">
        <v>243</v>
      </c>
      <c r="G66" s="815"/>
      <c r="H66" s="815"/>
      <c r="I66" s="815"/>
      <c r="J66" s="785">
        <f>COUNTIF(Stats!$C$6:$BN$47,F66)</f>
        <v>4</v>
      </c>
      <c r="K66" s="789">
        <f>SUMIF(Stats!$C$6:$BN$47,F66,Stats!$D$6:$BN$47)</f>
        <v>0</v>
      </c>
      <c r="L66" s="785">
        <f>SUMIF(Stats!$C$6:$BN$47,F66,Stats!$E$6:$BN$47)</f>
        <v>3</v>
      </c>
      <c r="M66" s="792">
        <f t="shared" si="2"/>
        <v>-3</v>
      </c>
      <c r="N66" s="794">
        <f>COUNTIF('Playoff Stats'!$C$6:$BV$47,F66)</f>
        <v>1</v>
      </c>
      <c r="O66" s="789">
        <f>SUMIF('Playoff Stats'!$C$6:$BV$47,F66,'Playoff Stats'!$D$6:$BV$47)</f>
        <v>0</v>
      </c>
      <c r="P66" s="785">
        <f>SUMIF('Playoff Stats'!$C$6:$BN$47,F66,'Playoff Stats'!$E$6:$BN$47)</f>
        <v>1</v>
      </c>
      <c r="Q66" s="795">
        <f t="shared" si="3"/>
        <v>-1</v>
      </c>
      <c r="R66" s="515"/>
      <c r="S66" s="751"/>
      <c r="T66" s="751"/>
      <c r="U66" s="751"/>
      <c r="V66" s="751"/>
      <c r="W66" s="751"/>
      <c r="X66" s="751"/>
      <c r="Y66" s="751"/>
      <c r="Z66" s="751"/>
      <c r="AA66" s="751"/>
      <c r="AB66" s="751"/>
      <c r="AC66" s="751"/>
      <c r="AD66" s="751"/>
      <c r="AE66" s="751"/>
      <c r="AF66" s="751"/>
      <c r="AG66" s="751"/>
      <c r="AH66" s="751"/>
      <c r="AI66" s="751"/>
      <c r="AJ66" s="751"/>
      <c r="AK66" s="751"/>
      <c r="AL66" s="751"/>
      <c r="AM66" s="751"/>
      <c r="AN66" s="751"/>
      <c r="AO66" s="751"/>
      <c r="AP66" s="751"/>
      <c r="AQ66" s="751"/>
      <c r="AR66" s="515"/>
      <c r="AS66" s="516"/>
      <c r="AT66" s="504"/>
    </row>
    <row r="67">
      <c r="A67" s="504"/>
      <c r="B67" s="514"/>
      <c r="C67" s="401"/>
      <c r="D67" s="785" t="str">
        <f>Source!$I$8</f>
        <v>DH</v>
      </c>
      <c r="E67" s="785"/>
      <c r="F67" s="789" t="s">
        <v>237</v>
      </c>
      <c r="G67" s="815"/>
      <c r="H67" s="815"/>
      <c r="I67" s="815"/>
      <c r="J67" s="785">
        <f>COUNTIF(Stats!$C$6:$BN$47,F67)</f>
        <v>2</v>
      </c>
      <c r="K67" s="789">
        <f>SUMIF(Stats!$C$6:$BN$47,F67,Stats!$D$6:$BN$47)</f>
        <v>0</v>
      </c>
      <c r="L67" s="785">
        <f>SUMIF(Stats!$C$6:$BN$47,F67,Stats!$E$6:$BN$47)</f>
        <v>2</v>
      </c>
      <c r="M67" s="792">
        <f t="shared" si="2"/>
        <v>-2</v>
      </c>
      <c r="N67" s="794">
        <f>COUNTIF('Playoff Stats'!$C$6:$BV$47,F67)</f>
        <v>0</v>
      </c>
      <c r="O67" s="789">
        <f>SUMIF('Playoff Stats'!$C$6:$BV$47,F67,'Playoff Stats'!$D$6:$BV$47)</f>
        <v>0</v>
      </c>
      <c r="P67" s="785">
        <f>SUMIF('Playoff Stats'!$C$6:$BN$47,F67,'Playoff Stats'!$E$6:$BN$47)</f>
        <v>0</v>
      </c>
      <c r="Q67" s="795">
        <f t="shared" si="3"/>
        <v>0</v>
      </c>
      <c r="R67" s="515"/>
      <c r="S67" s="751"/>
      <c r="T67" s="751"/>
      <c r="U67" s="751"/>
      <c r="V67" s="751"/>
      <c r="W67" s="751"/>
      <c r="X67" s="751"/>
      <c r="Y67" s="751"/>
      <c r="Z67" s="751"/>
      <c r="AA67" s="751"/>
      <c r="AB67" s="751"/>
      <c r="AC67" s="751"/>
      <c r="AD67" s="751"/>
      <c r="AE67" s="751"/>
      <c r="AF67" s="751"/>
      <c r="AG67" s="751"/>
      <c r="AH67" s="751"/>
      <c r="AI67" s="751"/>
      <c r="AJ67" s="751"/>
      <c r="AK67" s="751"/>
      <c r="AL67" s="751"/>
      <c r="AM67" s="751"/>
      <c r="AN67" s="751"/>
      <c r="AO67" s="751"/>
      <c r="AP67" s="751"/>
      <c r="AQ67" s="751"/>
      <c r="AR67" s="515"/>
      <c r="AS67" s="516"/>
      <c r="AT67" s="504"/>
    </row>
    <row r="68">
      <c r="A68" s="504"/>
      <c r="B68" s="514"/>
      <c r="C68" s="401"/>
      <c r="D68" s="785" t="str">
        <f>Source!$I$8</f>
        <v>DH</v>
      </c>
      <c r="E68" s="785"/>
      <c r="F68" s="789" t="s">
        <v>208</v>
      </c>
      <c r="G68" s="791" t="s">
        <v>150</v>
      </c>
      <c r="H68" s="791" t="s">
        <v>136</v>
      </c>
      <c r="I68" s="791" t="s">
        <v>209</v>
      </c>
      <c r="J68" s="785">
        <f>COUNTIF(Stats!$C$6:$BN$47,F68)</f>
        <v>0</v>
      </c>
      <c r="K68" s="789">
        <f>SUMIF(Stats!$C$6:$BN$47,F68,Stats!$D$6:$BN$47)</f>
        <v>0</v>
      </c>
      <c r="L68" s="785">
        <f>SUMIF(Stats!$C$6:$BN$47,F68,Stats!$E$6:$BN$47)</f>
        <v>0</v>
      </c>
      <c r="M68" s="792">
        <f t="shared" si="2"/>
        <v>0</v>
      </c>
      <c r="N68" s="794">
        <f>COUNTIF('Playoff Stats'!$C$6:$BV$47,F68)</f>
        <v>0</v>
      </c>
      <c r="O68" s="789">
        <f>SUMIF('Playoff Stats'!$C$6:$BV$47,F68,'Playoff Stats'!$D$6:$BV$47)</f>
        <v>0</v>
      </c>
      <c r="P68" s="785">
        <f>SUMIF('Playoff Stats'!$C$6:$BN$47,F68,'Playoff Stats'!$E$6:$BN$47)</f>
        <v>0</v>
      </c>
      <c r="Q68" s="795">
        <f t="shared" si="3"/>
        <v>0</v>
      </c>
      <c r="R68" s="515"/>
      <c r="S68" s="751"/>
      <c r="T68" s="751"/>
      <c r="U68" s="751"/>
      <c r="V68" s="751"/>
      <c r="W68" s="751"/>
      <c r="X68" s="751"/>
      <c r="Y68" s="751"/>
      <c r="Z68" s="751"/>
      <c r="AA68" s="751"/>
      <c r="AB68" s="751"/>
      <c r="AC68" s="751"/>
      <c r="AD68" s="751"/>
      <c r="AE68" s="751"/>
      <c r="AF68" s="751"/>
      <c r="AG68" s="751"/>
      <c r="AH68" s="751"/>
      <c r="AI68" s="751"/>
      <c r="AJ68" s="751"/>
      <c r="AK68" s="751"/>
      <c r="AL68" s="751"/>
      <c r="AM68" s="751"/>
      <c r="AN68" s="751"/>
      <c r="AO68" s="751"/>
      <c r="AP68" s="751"/>
      <c r="AQ68" s="751"/>
      <c r="AR68" s="515"/>
      <c r="AS68" s="516"/>
      <c r="AT68" s="504"/>
    </row>
    <row r="69">
      <c r="A69" s="504"/>
      <c r="B69" s="514"/>
      <c r="C69" s="401"/>
      <c r="D69" s="785" t="str">
        <f>Source!$I$8</f>
        <v>DH</v>
      </c>
      <c r="E69" s="785"/>
      <c r="F69" s="785" t="s">
        <v>245</v>
      </c>
      <c r="G69" s="870"/>
      <c r="H69" s="870"/>
      <c r="I69" s="870"/>
      <c r="J69" s="785">
        <f>COUNTIF(Stats!$C$6:$BN$47,F69)</f>
        <v>4</v>
      </c>
      <c r="K69" s="789">
        <f>SUMIF(Stats!$C$6:$BN$47,F69,Stats!$D$6:$BN$47)</f>
        <v>0</v>
      </c>
      <c r="L69" s="785">
        <f>SUMIF(Stats!$C$6:$BN$47,F69,Stats!$E$6:$BN$47)</f>
        <v>4</v>
      </c>
      <c r="M69" s="792">
        <f t="shared" si="2"/>
        <v>-4</v>
      </c>
      <c r="N69" s="794">
        <f>COUNTIF('Playoff Stats'!$C$6:$BV$47,F69)</f>
        <v>0</v>
      </c>
      <c r="O69" s="789">
        <f>SUMIF('Playoff Stats'!$C$6:$BV$47,F69,'Playoff Stats'!$D$6:$BV$47)</f>
        <v>0</v>
      </c>
      <c r="P69" s="785">
        <f>SUMIF('Playoff Stats'!$C$6:$BN$47,F69,'Playoff Stats'!$E$6:$BN$47)</f>
        <v>0</v>
      </c>
      <c r="Q69" s="795">
        <f t="shared" si="3"/>
        <v>0</v>
      </c>
      <c r="R69" s="515"/>
      <c r="S69" s="751"/>
      <c r="T69" s="751"/>
      <c r="U69" s="751"/>
      <c r="V69" s="751"/>
      <c r="W69" s="751"/>
      <c r="X69" s="751"/>
      <c r="Y69" s="751"/>
      <c r="Z69" s="751"/>
      <c r="AA69" s="751"/>
      <c r="AB69" s="751"/>
      <c r="AC69" s="751"/>
      <c r="AD69" s="751"/>
      <c r="AE69" s="751"/>
      <c r="AF69" s="751"/>
      <c r="AG69" s="751"/>
      <c r="AH69" s="751"/>
      <c r="AI69" s="751"/>
      <c r="AJ69" s="751"/>
      <c r="AK69" s="751"/>
      <c r="AL69" s="751"/>
      <c r="AM69" s="751"/>
      <c r="AN69" s="751"/>
      <c r="AO69" s="751"/>
      <c r="AP69" s="751"/>
      <c r="AQ69" s="751"/>
      <c r="AR69" s="515"/>
      <c r="AS69" s="516"/>
      <c r="AT69" s="504"/>
    </row>
    <row r="70">
      <c r="A70" s="504"/>
      <c r="B70" s="514"/>
      <c r="C70" s="401"/>
      <c r="D70" s="785" t="str">
        <f>Source!$I$8</f>
        <v>DH</v>
      </c>
      <c r="E70" s="785"/>
      <c r="F70" s="785" t="s">
        <v>149</v>
      </c>
      <c r="G70" s="989" t="s">
        <v>128</v>
      </c>
      <c r="H70" s="990" t="s">
        <v>150</v>
      </c>
      <c r="I70" s="990" t="s">
        <v>81</v>
      </c>
      <c r="J70" s="785">
        <f>COUNTIF(Stats!$C$6:$BN$47,F70)</f>
        <v>3</v>
      </c>
      <c r="K70" s="789">
        <f>SUMIF(Stats!$C$6:$BN$47,F70,Stats!$D$6:$BN$47)</f>
        <v>2</v>
      </c>
      <c r="L70" s="785">
        <f>SUMIF(Stats!$C$6:$BN$47,F70,Stats!$E$6:$BN$47)</f>
        <v>3</v>
      </c>
      <c r="M70" s="792">
        <f t="shared" si="2"/>
        <v>-1</v>
      </c>
      <c r="N70" s="794">
        <f>COUNTIF('Playoff Stats'!$C$6:$BV$47,F70)</f>
        <v>1</v>
      </c>
      <c r="O70" s="789">
        <f>SUMIF('Playoff Stats'!$C$6:$BV$47,F70,'Playoff Stats'!$D$6:$BV$47)</f>
        <v>0</v>
      </c>
      <c r="P70" s="785">
        <f>SUMIF('Playoff Stats'!$C$6:$BN$47,F70,'Playoff Stats'!$E$6:$BN$47)</f>
        <v>1</v>
      </c>
      <c r="Q70" s="795">
        <f t="shared" si="3"/>
        <v>-1</v>
      </c>
      <c r="R70" s="515"/>
      <c r="S70" s="751"/>
      <c r="T70" s="751"/>
      <c r="U70" s="751"/>
      <c r="V70" s="751"/>
      <c r="W70" s="751"/>
      <c r="X70" s="751"/>
      <c r="Y70" s="751"/>
      <c r="Z70" s="751"/>
      <c r="AA70" s="751"/>
      <c r="AB70" s="751"/>
      <c r="AC70" s="751"/>
      <c r="AD70" s="751"/>
      <c r="AE70" s="751"/>
      <c r="AF70" s="751"/>
      <c r="AG70" s="751"/>
      <c r="AH70" s="751"/>
      <c r="AI70" s="751"/>
      <c r="AJ70" s="751"/>
      <c r="AK70" s="751"/>
      <c r="AL70" s="751"/>
      <c r="AM70" s="751"/>
      <c r="AN70" s="751"/>
      <c r="AO70" s="751"/>
      <c r="AP70" s="751"/>
      <c r="AQ70" s="751"/>
      <c r="AR70" s="515"/>
      <c r="AS70" s="516"/>
      <c r="AT70" s="504"/>
    </row>
    <row r="71" ht="15.75" customHeight="1">
      <c r="A71" s="504"/>
      <c r="B71" s="514"/>
      <c r="C71" s="401"/>
      <c r="D71" s="785" t="str">
        <f>Source!$I$8</f>
        <v>DH</v>
      </c>
      <c r="E71" s="785"/>
      <c r="F71" s="785" t="s">
        <v>210</v>
      </c>
      <c r="G71" s="992"/>
      <c r="H71" s="993"/>
      <c r="I71" s="993"/>
      <c r="J71" s="785">
        <f>COUNTIF(Stats!$C$6:$BN$47,F71)</f>
        <v>0</v>
      </c>
      <c r="K71" s="789">
        <f>SUMIF(Stats!$C$6:$BN$47,F71,Stats!$D$6:$BN$47)</f>
        <v>0</v>
      </c>
      <c r="L71" s="785">
        <f>SUMIF(Stats!$C$6:$BN$47,F71,Stats!$E$6:$BN$47)</f>
        <v>0</v>
      </c>
      <c r="M71" s="792">
        <f t="shared" si="2"/>
        <v>0</v>
      </c>
      <c r="N71" s="794">
        <f>COUNTIF('Playoff Stats'!$C$6:$BV$47,F71)</f>
        <v>0</v>
      </c>
      <c r="O71" s="789">
        <f>SUMIF('Playoff Stats'!$C$6:$BV$47,F71,'Playoff Stats'!$D$6:$BV$47)</f>
        <v>0</v>
      </c>
      <c r="P71" s="785">
        <f>SUMIF('Playoff Stats'!$C$6:$BN$47,F71,'Playoff Stats'!$E$6:$BN$47)</f>
        <v>0</v>
      </c>
      <c r="Q71" s="795">
        <f t="shared" si="3"/>
        <v>0</v>
      </c>
      <c r="R71" s="515"/>
      <c r="S71" s="424"/>
      <c r="T71" s="424"/>
      <c r="U71" s="424"/>
      <c r="V71" s="424"/>
      <c r="W71" s="424"/>
      <c r="X71" s="424"/>
      <c r="Y71" s="424"/>
      <c r="Z71" s="424"/>
      <c r="AA71" s="424"/>
      <c r="AB71" s="424"/>
      <c r="AC71" s="424"/>
      <c r="AD71" s="424"/>
      <c r="AE71" s="424"/>
      <c r="AF71" s="424"/>
      <c r="AG71" s="424"/>
      <c r="AH71" s="424"/>
      <c r="AI71" s="424"/>
      <c r="AJ71" s="424"/>
      <c r="AK71" s="424"/>
      <c r="AL71" s="424"/>
      <c r="AM71" s="424"/>
      <c r="AN71" s="424"/>
      <c r="AO71" s="424"/>
      <c r="AP71" s="424"/>
      <c r="AQ71" s="424"/>
      <c r="AR71" s="424"/>
      <c r="AS71" s="516"/>
      <c r="AT71" s="504"/>
    </row>
    <row r="72" ht="15.75" customHeight="1">
      <c r="A72" s="504"/>
      <c r="B72" s="514"/>
      <c r="C72" s="401"/>
      <c r="D72" s="785" t="str">
        <f>Source!$I$8</f>
        <v>DH</v>
      </c>
      <c r="E72" s="785"/>
      <c r="F72" s="785" t="s">
        <v>241</v>
      </c>
      <c r="G72" s="994"/>
      <c r="H72" s="995"/>
      <c r="I72" s="995"/>
      <c r="J72" s="785">
        <f>COUNTIF(Stats!$C$6:$BN$47,F72)</f>
        <v>3</v>
      </c>
      <c r="K72" s="789">
        <f>SUMIF(Stats!$C$6:$BN$47,F72,Stats!$D$6:$BN$47)</f>
        <v>0</v>
      </c>
      <c r="L72" s="785">
        <f>SUMIF(Stats!$C$6:$BN$47,F72,Stats!$E$6:$BN$47)</f>
        <v>3</v>
      </c>
      <c r="M72" s="792">
        <f t="shared" si="2"/>
        <v>-3</v>
      </c>
      <c r="N72" s="794">
        <f>COUNTIF('Playoff Stats'!$C$6:$BV$47,F72)</f>
        <v>1</v>
      </c>
      <c r="O72" s="789">
        <f>SUMIF('Playoff Stats'!$C$6:$BV$47,F72,'Playoff Stats'!$D$6:$BV$47)</f>
        <v>0</v>
      </c>
      <c r="P72" s="785">
        <f>SUMIF('Playoff Stats'!$C$6:$BN$47,F72,'Playoff Stats'!$E$6:$BN$47)</f>
        <v>1</v>
      </c>
      <c r="Q72" s="795">
        <f t="shared" si="3"/>
        <v>-1</v>
      </c>
      <c r="R72" s="515"/>
      <c r="S72" s="424"/>
      <c r="T72" s="424"/>
      <c r="U72" s="424"/>
      <c r="V72" s="424"/>
      <c r="W72" s="424"/>
      <c r="X72" s="424"/>
      <c r="Y72" s="424"/>
      <c r="Z72" s="424"/>
      <c r="AA72" s="424"/>
      <c r="AB72" s="424"/>
      <c r="AC72" s="424"/>
      <c r="AD72" s="424"/>
      <c r="AE72" s="424"/>
      <c r="AF72" s="424"/>
      <c r="AG72" s="424"/>
      <c r="AH72" s="424"/>
      <c r="AI72" s="424"/>
      <c r="AJ72" s="424"/>
      <c r="AK72" s="424"/>
      <c r="AL72" s="424"/>
      <c r="AM72" s="424"/>
      <c r="AN72" s="424"/>
      <c r="AO72" s="424"/>
      <c r="AP72" s="424"/>
      <c r="AQ72" s="424"/>
      <c r="AR72" s="424"/>
      <c r="AS72" s="516"/>
      <c r="AT72" s="504"/>
    </row>
    <row r="73" ht="15.75" customHeight="1">
      <c r="A73" s="504"/>
      <c r="B73" s="514"/>
      <c r="C73" s="401"/>
      <c r="D73" s="785" t="str">
        <f>Source!$I$8</f>
        <v>DH</v>
      </c>
      <c r="E73" s="785"/>
      <c r="F73" s="785" t="s">
        <v>155</v>
      </c>
      <c r="G73" s="994"/>
      <c r="H73" s="995"/>
      <c r="I73" s="995"/>
      <c r="J73" s="785">
        <f>COUNTIF(Stats!$C$6:$BN$47,F73)</f>
        <v>4</v>
      </c>
      <c r="K73" s="789">
        <f>SUMIF(Stats!$C$6:$BN$47,F73,Stats!$D$6:$BN$47)</f>
        <v>2</v>
      </c>
      <c r="L73" s="785">
        <f>SUMIF(Stats!$C$6:$BN$47,F73,Stats!$E$6:$BN$47)</f>
        <v>4</v>
      </c>
      <c r="M73" s="792">
        <f t="shared" si="2"/>
        <v>-2</v>
      </c>
      <c r="N73" s="794">
        <f>COUNTIF('Playoff Stats'!$C$6:$BV$47,F73)</f>
        <v>1</v>
      </c>
      <c r="O73" s="789">
        <f>SUMIF('Playoff Stats'!$C$6:$BV$47,F73,'Playoff Stats'!$D$6:$BV$47)</f>
        <v>0</v>
      </c>
      <c r="P73" s="785">
        <f>SUMIF('Playoff Stats'!$C$6:$BN$47,F73,'Playoff Stats'!$E$6:$BN$47)</f>
        <v>1</v>
      </c>
      <c r="Q73" s="795">
        <f t="shared" si="3"/>
        <v>-1</v>
      </c>
      <c r="R73" s="515"/>
      <c r="S73" s="424"/>
      <c r="T73" s="424"/>
      <c r="U73" s="424"/>
      <c r="V73" s="424"/>
      <c r="W73" s="424"/>
      <c r="X73" s="424"/>
      <c r="Y73" s="424"/>
      <c r="Z73" s="424"/>
      <c r="AA73" s="424"/>
      <c r="AB73" s="424"/>
      <c r="AC73" s="424"/>
      <c r="AD73" s="424"/>
      <c r="AE73" s="424"/>
      <c r="AF73" s="424"/>
      <c r="AG73" s="424"/>
      <c r="AH73" s="424"/>
      <c r="AI73" s="424"/>
      <c r="AJ73" s="424"/>
      <c r="AK73" s="424"/>
      <c r="AL73" s="424"/>
      <c r="AM73" s="424"/>
      <c r="AN73" s="424"/>
      <c r="AO73" s="424"/>
      <c r="AP73" s="424"/>
      <c r="AQ73" s="424"/>
      <c r="AR73" s="424"/>
      <c r="AS73" s="516"/>
      <c r="AT73" s="504"/>
    </row>
    <row r="74" ht="15.75" customHeight="1">
      <c r="A74" s="504"/>
      <c r="B74" s="514"/>
      <c r="C74" s="401"/>
      <c r="D74" s="785" t="str">
        <f>Source!$I$8</f>
        <v>DH</v>
      </c>
      <c r="E74" s="785"/>
      <c r="F74" s="785" t="s">
        <v>177</v>
      </c>
      <c r="G74" s="996" t="s">
        <v>178</v>
      </c>
      <c r="H74" s="997" t="s">
        <v>81</v>
      </c>
      <c r="I74" s="997" t="s">
        <v>82</v>
      </c>
      <c r="J74" s="785">
        <f>COUNTIF(Stats!$C$6:$BN$47,F74)</f>
        <v>2</v>
      </c>
      <c r="K74" s="789">
        <f>SUMIF(Stats!$C$6:$BN$47,F74,Stats!$D$6:$BN$47)</f>
        <v>1</v>
      </c>
      <c r="L74" s="785">
        <f>SUMIF(Stats!$C$6:$BN$47,F74,Stats!$E$6:$BN$47)</f>
        <v>2</v>
      </c>
      <c r="M74" s="792">
        <f t="shared" si="2"/>
        <v>-1</v>
      </c>
      <c r="N74" s="794">
        <f>COUNTIF('Playoff Stats'!$C$6:$BV$47,F74)</f>
        <v>1</v>
      </c>
      <c r="O74" s="789">
        <f>SUMIF('Playoff Stats'!$C$6:$BV$47,F74,'Playoff Stats'!$D$6:$BV$47)</f>
        <v>0</v>
      </c>
      <c r="P74" s="785">
        <f>SUMIF('Playoff Stats'!$C$6:$BN$47,F74,'Playoff Stats'!$E$6:$BN$47)</f>
        <v>1</v>
      </c>
      <c r="Q74" s="795">
        <f t="shared" si="3"/>
        <v>-1</v>
      </c>
      <c r="R74" s="515"/>
      <c r="S74" s="424"/>
      <c r="T74" s="424"/>
      <c r="U74" s="424"/>
      <c r="V74" s="424"/>
      <c r="W74" s="424"/>
      <c r="X74" s="424"/>
      <c r="Y74" s="424"/>
      <c r="Z74" s="424"/>
      <c r="AA74" s="424"/>
      <c r="AB74" s="424"/>
      <c r="AC74" s="424"/>
      <c r="AD74" s="424"/>
      <c r="AE74" s="424"/>
      <c r="AF74" s="424"/>
      <c r="AG74" s="424"/>
      <c r="AH74" s="424"/>
      <c r="AI74" s="424"/>
      <c r="AJ74" s="424"/>
      <c r="AK74" s="424"/>
      <c r="AL74" s="424"/>
      <c r="AM74" s="424"/>
      <c r="AN74" s="424"/>
      <c r="AO74" s="424"/>
      <c r="AP74" s="424"/>
      <c r="AQ74" s="424"/>
      <c r="AR74" s="424"/>
      <c r="AS74" s="516"/>
      <c r="AT74" s="504"/>
    </row>
    <row r="75" ht="15.75" customHeight="1">
      <c r="A75" s="504"/>
      <c r="B75" s="514"/>
      <c r="C75" s="401"/>
      <c r="D75" s="785" t="str">
        <f>Source!$I$8</f>
        <v>DH</v>
      </c>
      <c r="E75" s="785"/>
      <c r="F75" s="785"/>
      <c r="G75" s="870"/>
      <c r="H75" s="870"/>
      <c r="I75" s="870"/>
      <c r="J75" s="785">
        <f>COUNTIF(Stats!$C$6:$BN$47,F75)</f>
        <v>0</v>
      </c>
      <c r="K75" s="789">
        <f>SUMIF(Stats!$C$6:$BN$47,F75,Stats!$D$6:$BN$47)</f>
        <v>0</v>
      </c>
      <c r="L75" s="785">
        <f>SUMIF(Stats!$C$6:$BN$47,F75,Stats!$E$6:$BN$47)</f>
        <v>0</v>
      </c>
      <c r="M75" s="792">
        <f t="shared" si="2"/>
        <v>0</v>
      </c>
      <c r="N75" s="794">
        <f>COUNTIF('Playoff Stats'!$C$6:$BV$47,F75)</f>
        <v>0</v>
      </c>
      <c r="O75" s="789">
        <f>SUMIF('Playoff Stats'!$C$6:$BV$47,F75,'Playoff Stats'!$D$6:$BV$47)</f>
        <v>0</v>
      </c>
      <c r="P75" s="785">
        <f>SUMIF('Playoff Stats'!$C$6:$BN$47,F75,'Playoff Stats'!$E$6:$BN$47)</f>
        <v>0</v>
      </c>
      <c r="Q75" s="795">
        <f t="shared" si="3"/>
        <v>0</v>
      </c>
      <c r="R75" s="515"/>
      <c r="S75" s="424"/>
      <c r="T75" s="424"/>
      <c r="U75" s="424"/>
      <c r="V75" s="424"/>
      <c r="W75" s="424"/>
      <c r="X75" s="424"/>
      <c r="Y75" s="424"/>
      <c r="Z75" s="424"/>
      <c r="AA75" s="424"/>
      <c r="AB75" s="424"/>
      <c r="AC75" s="424"/>
      <c r="AD75" s="424"/>
      <c r="AE75" s="424"/>
      <c r="AF75" s="424"/>
      <c r="AG75" s="424"/>
      <c r="AH75" s="424"/>
      <c r="AI75" s="424"/>
      <c r="AJ75" s="424"/>
      <c r="AK75" s="424"/>
      <c r="AL75" s="424"/>
      <c r="AM75" s="424"/>
      <c r="AN75" s="424"/>
      <c r="AO75" s="424"/>
      <c r="AP75" s="424"/>
      <c r="AQ75" s="424"/>
      <c r="AR75" s="424"/>
      <c r="AS75" s="516"/>
      <c r="AT75" s="504"/>
    </row>
    <row r="76" ht="15.75" customHeight="1">
      <c r="A76" s="504"/>
      <c r="B76" s="514"/>
      <c r="C76" s="925"/>
      <c r="D76" s="785" t="str">
        <f>Source!$I$8</f>
        <v>DH</v>
      </c>
      <c r="E76" s="785"/>
      <c r="F76" s="785"/>
      <c r="G76" s="870"/>
      <c r="H76" s="870"/>
      <c r="I76" s="870"/>
      <c r="J76" s="785">
        <f>COUNTIF(Stats!$C$6:$BN$47,F76)</f>
        <v>0</v>
      </c>
      <c r="K76" s="789">
        <f>SUMIF(Stats!$C$6:$BN$47,F76,Stats!$D$6:$BN$47)</f>
        <v>0</v>
      </c>
      <c r="L76" s="785">
        <f>SUMIF(Stats!$C$6:$BN$47,F76,Stats!$E$6:$BN$47)</f>
        <v>0</v>
      </c>
      <c r="M76" s="792">
        <f t="shared" si="2"/>
        <v>0</v>
      </c>
      <c r="N76" s="794">
        <f>COUNTIF('Playoff Stats'!$C$6:$BV$47,F76)</f>
        <v>0</v>
      </c>
      <c r="O76" s="789">
        <f>SUMIF('Playoff Stats'!$C$6:$BV$47,F76,'Playoff Stats'!$D$6:$BV$47)</f>
        <v>0</v>
      </c>
      <c r="P76" s="785">
        <f>SUMIF('Playoff Stats'!$C$6:$BN$47,F76,'Playoff Stats'!$E$6:$BN$47)</f>
        <v>0</v>
      </c>
      <c r="Q76" s="795">
        <f t="shared" si="3"/>
        <v>0</v>
      </c>
      <c r="R76" s="515"/>
      <c r="S76" s="424"/>
      <c r="T76" s="424"/>
      <c r="U76" s="424"/>
      <c r="V76" s="424"/>
      <c r="W76" s="424"/>
      <c r="X76" s="424"/>
      <c r="Y76" s="424"/>
      <c r="Z76" s="424"/>
      <c r="AA76" s="424"/>
      <c r="AB76" s="424"/>
      <c r="AC76" s="424"/>
      <c r="AD76" s="424"/>
      <c r="AE76" s="424"/>
      <c r="AF76" s="424"/>
      <c r="AG76" s="424"/>
      <c r="AH76" s="424"/>
      <c r="AI76" s="424"/>
      <c r="AJ76" s="424"/>
      <c r="AK76" s="424"/>
      <c r="AL76" s="424"/>
      <c r="AM76" s="424"/>
      <c r="AN76" s="424"/>
      <c r="AO76" s="424"/>
      <c r="AP76" s="424"/>
      <c r="AQ76" s="424"/>
      <c r="AR76" s="424"/>
      <c r="AS76" s="516"/>
      <c r="AT76" s="504"/>
    </row>
    <row r="77" ht="15.75" customHeight="1">
      <c r="A77" s="504"/>
      <c r="B77" s="514"/>
      <c r="C77" s="784" t="str">
        <f>Source!$G$9</f>
        <v>Jackson McLoughlin</v>
      </c>
      <c r="D77" s="785" t="str">
        <f>Source!$I$9</f>
        <v>JM</v>
      </c>
      <c r="E77" s="785"/>
      <c r="F77" s="789" t="str">
        <f t="array" ref="F77:F88">Teams!$R$21:$R$32</f>
        <v>ogerpon-wellspring</v>
      </c>
      <c r="G77" s="815"/>
      <c r="H77" s="815"/>
      <c r="I77" s="815"/>
      <c r="J77" s="785">
        <f>COUNTIF(Stats!$C$6:$BN$47,F77)</f>
        <v>1</v>
      </c>
      <c r="K77" s="789">
        <f>SUMIF(Stats!$C$6:$BN$47,F77,Stats!$D$6:$BN$47)</f>
        <v>1</v>
      </c>
      <c r="L77" s="785">
        <f>SUMIF(Stats!$C$6:$BN$47,F77,Stats!$E$6:$BN$47)</f>
        <v>1</v>
      </c>
      <c r="M77" s="792">
        <f t="shared" si="2"/>
        <v>0</v>
      </c>
      <c r="N77" s="794">
        <f>COUNTIF('Playoff Stats'!$C$6:$BV$47,F77)</f>
        <v>2</v>
      </c>
      <c r="O77" s="789">
        <f>SUMIF('Playoff Stats'!$C$6:$BV$47,F77,'Playoff Stats'!$D$6:$BV$47)</f>
        <v>0</v>
      </c>
      <c r="P77" s="785">
        <f>SUMIF('Playoff Stats'!$C$6:$BN$47,F77,'Playoff Stats'!$E$6:$BN$47)</f>
        <v>2</v>
      </c>
      <c r="Q77" s="795">
        <f t="shared" si="3"/>
        <v>-2</v>
      </c>
      <c r="R77" s="515"/>
      <c r="S77" s="424"/>
      <c r="T77" s="424"/>
      <c r="U77" s="424"/>
      <c r="V77" s="424"/>
      <c r="W77" s="424"/>
      <c r="X77" s="424"/>
      <c r="Y77" s="424"/>
      <c r="Z77" s="424"/>
      <c r="AA77" s="424"/>
      <c r="AB77" s="424"/>
      <c r="AC77" s="424"/>
      <c r="AD77" s="424"/>
      <c r="AE77" s="424"/>
      <c r="AF77" s="424"/>
      <c r="AG77" s="424"/>
      <c r="AH77" s="424"/>
      <c r="AI77" s="424"/>
      <c r="AJ77" s="424"/>
      <c r="AK77" s="424"/>
      <c r="AL77" s="424"/>
      <c r="AM77" s="424"/>
      <c r="AN77" s="424"/>
      <c r="AO77" s="424"/>
      <c r="AP77" s="424"/>
      <c r="AQ77" s="424"/>
      <c r="AR77" s="424"/>
      <c r="AS77" s="516"/>
      <c r="AT77" s="504"/>
    </row>
    <row r="78" ht="15.75" customHeight="1">
      <c r="A78" s="504"/>
      <c r="B78" s="514"/>
      <c r="C78" s="401"/>
      <c r="D78" s="785" t="str">
        <f>Source!$I$9</f>
        <v>JM</v>
      </c>
      <c r="E78" s="785"/>
      <c r="F78" s="789" t="s">
        <v>104</v>
      </c>
      <c r="G78" s="815"/>
      <c r="H78" s="815"/>
      <c r="I78" s="815"/>
      <c r="J78" s="785">
        <f>COUNTIF(Stats!$C$6:$BN$47,F78)</f>
        <v>5</v>
      </c>
      <c r="K78" s="789">
        <f>SUMIF(Stats!$C$6:$BN$47,F78,Stats!$D$6:$BN$47)</f>
        <v>5</v>
      </c>
      <c r="L78" s="785">
        <f>SUMIF(Stats!$C$6:$BN$47,F78,Stats!$E$6:$BN$47)</f>
        <v>5</v>
      </c>
      <c r="M78" s="792">
        <f t="shared" si="2"/>
        <v>0</v>
      </c>
      <c r="N78" s="794">
        <f>COUNTIF('Playoff Stats'!$C$6:$BV$47,F78)</f>
        <v>2</v>
      </c>
      <c r="O78" s="789">
        <f>SUMIF('Playoff Stats'!$C$6:$BV$47,F78,'Playoff Stats'!$D$6:$BV$47)</f>
        <v>0</v>
      </c>
      <c r="P78" s="785">
        <f>SUMIF('Playoff Stats'!$C$6:$BN$47,F78,'Playoff Stats'!$E$6:$BN$47)</f>
        <v>2</v>
      </c>
      <c r="Q78" s="795">
        <f t="shared" si="3"/>
        <v>-2</v>
      </c>
      <c r="R78" s="515"/>
      <c r="S78" s="424"/>
      <c r="T78" s="424"/>
      <c r="U78" s="424"/>
      <c r="V78" s="424"/>
      <c r="W78" s="424"/>
      <c r="X78" s="424"/>
      <c r="Y78" s="424"/>
      <c r="Z78" s="424"/>
      <c r="AA78" s="424"/>
      <c r="AB78" s="424"/>
      <c r="AC78" s="424"/>
      <c r="AD78" s="424"/>
      <c r="AE78" s="424"/>
      <c r="AF78" s="424"/>
      <c r="AG78" s="424"/>
      <c r="AH78" s="424"/>
      <c r="AI78" s="424"/>
      <c r="AJ78" s="424"/>
      <c r="AK78" s="424"/>
      <c r="AL78" s="424"/>
      <c r="AM78" s="424"/>
      <c r="AN78" s="424"/>
      <c r="AO78" s="424"/>
      <c r="AP78" s="424"/>
      <c r="AQ78" s="424"/>
      <c r="AR78" s="424"/>
      <c r="AS78" s="516"/>
      <c r="AT78" s="504"/>
    </row>
    <row r="79" ht="15.75" customHeight="1">
      <c r="A79" s="504"/>
      <c r="B79" s="514"/>
      <c r="C79" s="401"/>
      <c r="D79" s="785" t="str">
        <f>Source!$I$9</f>
        <v>JM</v>
      </c>
      <c r="E79" s="785"/>
      <c r="F79" s="789" t="s">
        <v>97</v>
      </c>
      <c r="G79" s="815"/>
      <c r="H79" s="815"/>
      <c r="I79" s="815"/>
      <c r="J79" s="785">
        <f>COUNTIF(Stats!$C$6:$BN$47,F79)</f>
        <v>6</v>
      </c>
      <c r="K79" s="789">
        <f>SUMIF(Stats!$C$6:$BN$47,F79,Stats!$D$6:$BN$47)</f>
        <v>6</v>
      </c>
      <c r="L79" s="785">
        <f>SUMIF(Stats!$C$6:$BN$47,F79,Stats!$E$6:$BN$47)</f>
        <v>4</v>
      </c>
      <c r="M79" s="792">
        <f t="shared" si="2"/>
        <v>2</v>
      </c>
      <c r="N79" s="794">
        <f>COUNTIF('Playoff Stats'!$C$6:$BV$47,F79)</f>
        <v>0</v>
      </c>
      <c r="O79" s="789">
        <f>SUMIF('Playoff Stats'!$C$6:$BV$47,F79,'Playoff Stats'!$D$6:$BV$47)</f>
        <v>0</v>
      </c>
      <c r="P79" s="785">
        <f>SUMIF('Playoff Stats'!$C$6:$BN$47,F79,'Playoff Stats'!$E$6:$BN$47)</f>
        <v>0</v>
      </c>
      <c r="Q79" s="795">
        <f t="shared" si="3"/>
        <v>0</v>
      </c>
      <c r="R79" s="515"/>
      <c r="S79" s="424"/>
      <c r="T79" s="424"/>
      <c r="U79" s="424"/>
      <c r="V79" s="424"/>
      <c r="W79" s="424"/>
      <c r="X79" s="424"/>
      <c r="Y79" s="424"/>
      <c r="Z79" s="424"/>
      <c r="AA79" s="424"/>
      <c r="AB79" s="424"/>
      <c r="AC79" s="424"/>
      <c r="AD79" s="424"/>
      <c r="AE79" s="424"/>
      <c r="AF79" s="424"/>
      <c r="AG79" s="424"/>
      <c r="AH79" s="424"/>
      <c r="AI79" s="424"/>
      <c r="AJ79" s="424"/>
      <c r="AK79" s="424"/>
      <c r="AL79" s="424"/>
      <c r="AM79" s="424"/>
      <c r="AN79" s="424"/>
      <c r="AO79" s="424"/>
      <c r="AP79" s="424"/>
      <c r="AQ79" s="424"/>
      <c r="AR79" s="424"/>
      <c r="AS79" s="516"/>
      <c r="AT79" s="504"/>
    </row>
    <row r="80" ht="15.75" customHeight="1">
      <c r="A80" s="504"/>
      <c r="B80" s="514"/>
      <c r="C80" s="401"/>
      <c r="D80" s="785" t="str">
        <f>Source!$I$9</f>
        <v>JM</v>
      </c>
      <c r="E80" s="785"/>
      <c r="F80" s="789" t="s">
        <v>170</v>
      </c>
      <c r="G80" s="791" t="s">
        <v>171</v>
      </c>
      <c r="H80" s="791" t="s">
        <v>172</v>
      </c>
      <c r="I80" s="791" t="s">
        <v>173</v>
      </c>
      <c r="J80" s="785">
        <f>COUNTIF(Stats!$C$6:$BN$47,F80)</f>
        <v>3</v>
      </c>
      <c r="K80" s="789">
        <f>SUMIF(Stats!$C$6:$BN$47,F80,Stats!$D$6:$BN$47)</f>
        <v>1</v>
      </c>
      <c r="L80" s="785">
        <f>SUMIF(Stats!$C$6:$BN$47,F80,Stats!$E$6:$BN$47)</f>
        <v>1</v>
      </c>
      <c r="M80" s="792">
        <f t="shared" si="2"/>
        <v>0</v>
      </c>
      <c r="N80" s="794">
        <f>COUNTIF('Playoff Stats'!$C$6:$BV$47,F80)</f>
        <v>1</v>
      </c>
      <c r="O80" s="789">
        <f>SUMIF('Playoff Stats'!$C$6:$BV$47,F80,'Playoff Stats'!$D$6:$BV$47)</f>
        <v>1</v>
      </c>
      <c r="P80" s="785">
        <f>SUMIF('Playoff Stats'!$C$6:$BN$47,F80,'Playoff Stats'!$E$6:$BN$47)</f>
        <v>1</v>
      </c>
      <c r="Q80" s="795">
        <f t="shared" si="3"/>
        <v>0</v>
      </c>
      <c r="R80" s="515"/>
      <c r="S80" s="424"/>
      <c r="T80" s="424"/>
      <c r="U80" s="424"/>
      <c r="V80" s="424"/>
      <c r="W80" s="424"/>
      <c r="X80" s="424"/>
      <c r="Y80" s="424"/>
      <c r="Z80" s="424"/>
      <c r="AA80" s="424"/>
      <c r="AB80" s="424"/>
      <c r="AC80" s="424"/>
      <c r="AD80" s="424"/>
      <c r="AE80" s="424"/>
      <c r="AF80" s="424"/>
      <c r="AG80" s="424"/>
      <c r="AH80" s="424"/>
      <c r="AI80" s="424"/>
      <c r="AJ80" s="424"/>
      <c r="AK80" s="424"/>
      <c r="AL80" s="424"/>
      <c r="AM80" s="424"/>
      <c r="AN80" s="424"/>
      <c r="AO80" s="424"/>
      <c r="AP80" s="424"/>
      <c r="AQ80" s="424"/>
      <c r="AR80" s="424"/>
      <c r="AS80" s="516"/>
      <c r="AT80" s="504"/>
    </row>
    <row r="81" ht="15.75" customHeight="1">
      <c r="A81" s="504"/>
      <c r="B81" s="514"/>
      <c r="C81" s="401"/>
      <c r="D81" s="785" t="str">
        <f>Source!$I$9</f>
        <v>JM</v>
      </c>
      <c r="E81" s="785"/>
      <c r="F81" s="785" t="s">
        <v>168</v>
      </c>
      <c r="G81" s="870"/>
      <c r="H81" s="870"/>
      <c r="I81" s="870"/>
      <c r="J81" s="785">
        <f>COUNTIF(Stats!$C$6:$BN$47,F81)</f>
        <v>1</v>
      </c>
      <c r="K81" s="789">
        <f>SUMIF(Stats!$C$6:$BN$47,F81,Stats!$D$6:$BN$47)</f>
        <v>1</v>
      </c>
      <c r="L81" s="785">
        <f>SUMIF(Stats!$C$6:$BN$47,F81,Stats!$E$6:$BN$47)</f>
        <v>1</v>
      </c>
      <c r="M81" s="792">
        <f t="shared" si="2"/>
        <v>0</v>
      </c>
      <c r="N81" s="794">
        <f>COUNTIF('Playoff Stats'!$C$6:$BV$47,F81)</f>
        <v>1</v>
      </c>
      <c r="O81" s="789">
        <f>SUMIF('Playoff Stats'!$C$6:$BV$47,F81,'Playoff Stats'!$D$6:$BV$47)</f>
        <v>0</v>
      </c>
      <c r="P81" s="785">
        <f>SUMIF('Playoff Stats'!$C$6:$BN$47,F81,'Playoff Stats'!$E$6:$BN$47)</f>
        <v>1</v>
      </c>
      <c r="Q81" s="795">
        <f t="shared" si="3"/>
        <v>-1</v>
      </c>
      <c r="R81" s="515"/>
      <c r="S81" s="424"/>
      <c r="T81" s="424"/>
      <c r="U81" s="424"/>
      <c r="V81" s="424"/>
      <c r="W81" s="424"/>
      <c r="X81" s="424"/>
      <c r="Y81" s="424"/>
      <c r="Z81" s="424"/>
      <c r="AA81" s="424"/>
      <c r="AB81" s="424"/>
      <c r="AC81" s="424"/>
      <c r="AD81" s="424"/>
      <c r="AE81" s="424"/>
      <c r="AF81" s="424"/>
      <c r="AG81" s="424"/>
      <c r="AH81" s="424"/>
      <c r="AI81" s="424"/>
      <c r="AJ81" s="424"/>
      <c r="AK81" s="424"/>
      <c r="AL81" s="424"/>
      <c r="AM81" s="424"/>
      <c r="AN81" s="424"/>
      <c r="AO81" s="424"/>
      <c r="AP81" s="424"/>
      <c r="AQ81" s="424"/>
      <c r="AR81" s="424"/>
      <c r="AS81" s="516"/>
      <c r="AT81" s="504"/>
    </row>
    <row r="82" ht="15.75" customHeight="1">
      <c r="A82" s="504"/>
      <c r="B82" s="514"/>
      <c r="C82" s="401"/>
      <c r="D82" s="785" t="str">
        <f>Source!$I$9</f>
        <v>JM</v>
      </c>
      <c r="E82" s="785"/>
      <c r="F82" s="785" t="s">
        <v>91</v>
      </c>
      <c r="G82" s="886" t="s">
        <v>92</v>
      </c>
      <c r="H82" s="886" t="s">
        <v>93</v>
      </c>
      <c r="I82" s="886" t="s">
        <v>81</v>
      </c>
      <c r="J82" s="785">
        <f>COUNTIF(Stats!$C$6:$BN$47,F82)</f>
        <v>3</v>
      </c>
      <c r="K82" s="789">
        <f>SUMIF(Stats!$C$6:$BN$47,F82,Stats!$D$6:$BN$47)</f>
        <v>6</v>
      </c>
      <c r="L82" s="785">
        <f>SUMIF(Stats!$C$6:$BN$47,F82,Stats!$E$6:$BN$47)</f>
        <v>2</v>
      </c>
      <c r="M82" s="792">
        <f t="shared" si="2"/>
        <v>4</v>
      </c>
      <c r="N82" s="794">
        <f>COUNTIF('Playoff Stats'!$C$6:$BV$47,F82)</f>
        <v>0</v>
      </c>
      <c r="O82" s="789">
        <f>SUMIF('Playoff Stats'!$C$6:$BV$47,F82,'Playoff Stats'!$D$6:$BV$47)</f>
        <v>0</v>
      </c>
      <c r="P82" s="785">
        <f>SUMIF('Playoff Stats'!$C$6:$BN$47,F82,'Playoff Stats'!$E$6:$BN$47)</f>
        <v>0</v>
      </c>
      <c r="Q82" s="795">
        <f t="shared" si="3"/>
        <v>0</v>
      </c>
      <c r="R82" s="515"/>
      <c r="S82" s="424"/>
      <c r="T82" s="424"/>
      <c r="U82" s="424"/>
      <c r="V82" s="424"/>
      <c r="W82" s="424"/>
      <c r="X82" s="424"/>
      <c r="Y82" s="424"/>
      <c r="Z82" s="424"/>
      <c r="AA82" s="424"/>
      <c r="AB82" s="424"/>
      <c r="AC82" s="424"/>
      <c r="AD82" s="424"/>
      <c r="AE82" s="424"/>
      <c r="AF82" s="424"/>
      <c r="AG82" s="424"/>
      <c r="AH82" s="424"/>
      <c r="AI82" s="424"/>
      <c r="AJ82" s="424"/>
      <c r="AK82" s="424"/>
      <c r="AL82" s="424"/>
      <c r="AM82" s="424"/>
      <c r="AN82" s="424"/>
      <c r="AO82" s="424"/>
      <c r="AP82" s="424"/>
      <c r="AQ82" s="424"/>
      <c r="AR82" s="424"/>
      <c r="AS82" s="516"/>
      <c r="AT82" s="504"/>
    </row>
    <row r="83" ht="15.75" customHeight="1">
      <c r="A83" s="504"/>
      <c r="B83" s="514"/>
      <c r="C83" s="401"/>
      <c r="D83" s="785" t="str">
        <f>Source!$I$9</f>
        <v>JM</v>
      </c>
      <c r="E83" s="785"/>
      <c r="F83" s="785" t="s">
        <v>142</v>
      </c>
      <c r="G83" s="870"/>
      <c r="H83" s="870"/>
      <c r="I83" s="870"/>
      <c r="J83" s="785">
        <f>COUNTIF(Stats!$C$6:$BN$47,F83)</f>
        <v>4</v>
      </c>
      <c r="K83" s="789">
        <f>SUMIF(Stats!$C$6:$BN$47,F83,Stats!$D$6:$BN$47)</f>
        <v>2</v>
      </c>
      <c r="L83" s="785">
        <f>SUMIF(Stats!$C$6:$BN$47,F83,Stats!$E$6:$BN$47)</f>
        <v>2</v>
      </c>
      <c r="M83" s="792">
        <f t="shared" si="2"/>
        <v>0</v>
      </c>
      <c r="N83" s="794">
        <f>COUNTIF('Playoff Stats'!$C$6:$BV$47,F83)</f>
        <v>2</v>
      </c>
      <c r="O83" s="789">
        <f>SUMIF('Playoff Stats'!$C$6:$BV$47,F83,'Playoff Stats'!$D$6:$BV$47)</f>
        <v>0</v>
      </c>
      <c r="P83" s="785">
        <f>SUMIF('Playoff Stats'!$C$6:$BN$47,F83,'Playoff Stats'!$E$6:$BN$47)</f>
        <v>2</v>
      </c>
      <c r="Q83" s="795">
        <f t="shared" si="3"/>
        <v>-2</v>
      </c>
      <c r="R83" s="515"/>
      <c r="S83" s="424"/>
      <c r="T83" s="424"/>
      <c r="U83" s="424"/>
      <c r="V83" s="424"/>
      <c r="W83" s="424"/>
      <c r="X83" s="424"/>
      <c r="Y83" s="424"/>
      <c r="Z83" s="424"/>
      <c r="AA83" s="424"/>
      <c r="AB83" s="424"/>
      <c r="AC83" s="424"/>
      <c r="AD83" s="424"/>
      <c r="AE83" s="424"/>
      <c r="AF83" s="424"/>
      <c r="AG83" s="424"/>
      <c r="AH83" s="424"/>
      <c r="AI83" s="424"/>
      <c r="AJ83" s="424"/>
      <c r="AK83" s="424"/>
      <c r="AL83" s="424"/>
      <c r="AM83" s="424"/>
      <c r="AN83" s="424"/>
      <c r="AO83" s="424"/>
      <c r="AP83" s="424"/>
      <c r="AQ83" s="424"/>
      <c r="AR83" s="424"/>
      <c r="AS83" s="516"/>
      <c r="AT83" s="504"/>
    </row>
    <row r="84" ht="15.75" customHeight="1">
      <c r="A84" s="504"/>
      <c r="B84" s="514"/>
      <c r="C84" s="401"/>
      <c r="D84" s="785" t="str">
        <f>Source!$I$9</f>
        <v>JM</v>
      </c>
      <c r="E84" s="785"/>
      <c r="F84" s="785" t="s">
        <v>90</v>
      </c>
      <c r="G84" s="870"/>
      <c r="H84" s="870"/>
      <c r="I84" s="870"/>
      <c r="J84" s="785">
        <f>COUNTIF(Stats!$C$6:$BN$47,F84)</f>
        <v>5</v>
      </c>
      <c r="K84" s="789">
        <f>SUMIF(Stats!$C$6:$BN$47,F84,Stats!$D$6:$BN$47)</f>
        <v>6</v>
      </c>
      <c r="L84" s="785">
        <f>SUMIF(Stats!$C$6:$BN$47,F84,Stats!$E$6:$BN$47)</f>
        <v>0</v>
      </c>
      <c r="M84" s="792">
        <f t="shared" si="2"/>
        <v>6</v>
      </c>
      <c r="N84" s="794">
        <f>COUNTIF('Playoff Stats'!$C$6:$BV$47,F84)</f>
        <v>1</v>
      </c>
      <c r="O84" s="789">
        <f>SUMIF('Playoff Stats'!$C$6:$BV$47,F84,'Playoff Stats'!$D$6:$BV$47)</f>
        <v>0</v>
      </c>
      <c r="P84" s="785">
        <f>SUMIF('Playoff Stats'!$C$6:$BN$47,F84,'Playoff Stats'!$E$6:$BN$47)</f>
        <v>1</v>
      </c>
      <c r="Q84" s="795">
        <f t="shared" si="3"/>
        <v>-1</v>
      </c>
      <c r="R84" s="515"/>
      <c r="S84" s="424"/>
      <c r="T84" s="424"/>
      <c r="U84" s="424"/>
      <c r="V84" s="424"/>
      <c r="W84" s="424"/>
      <c r="X84" s="424"/>
      <c r="Y84" s="424"/>
      <c r="Z84" s="424"/>
      <c r="AA84" s="424"/>
      <c r="AB84" s="424"/>
      <c r="AC84" s="424"/>
      <c r="AD84" s="424"/>
      <c r="AE84" s="424"/>
      <c r="AF84" s="424"/>
      <c r="AG84" s="424"/>
      <c r="AH84" s="424"/>
      <c r="AI84" s="424"/>
      <c r="AJ84" s="424"/>
      <c r="AK84" s="424"/>
      <c r="AL84" s="424"/>
      <c r="AM84" s="424"/>
      <c r="AN84" s="424"/>
      <c r="AO84" s="424"/>
      <c r="AP84" s="424"/>
      <c r="AQ84" s="424"/>
      <c r="AR84" s="424"/>
      <c r="AS84" s="516"/>
      <c r="AT84" s="504"/>
    </row>
    <row r="85" ht="15.75" customHeight="1">
      <c r="A85" s="504"/>
      <c r="B85" s="514"/>
      <c r="C85" s="401"/>
      <c r="D85" s="785" t="str">
        <f>Source!$I$9</f>
        <v>JM</v>
      </c>
      <c r="E85" s="785"/>
      <c r="F85" s="785" t="s">
        <v>214</v>
      </c>
      <c r="G85" s="886" t="s">
        <v>82</v>
      </c>
      <c r="H85" s="886" t="s">
        <v>193</v>
      </c>
      <c r="I85" s="886" t="s">
        <v>215</v>
      </c>
      <c r="J85" s="785">
        <f>COUNTIF(Stats!$C$6:$BN$47,F85)</f>
        <v>0</v>
      </c>
      <c r="K85" s="789">
        <f>SUMIF(Stats!$C$6:$BN$47,F85,Stats!$D$6:$BN$47)</f>
        <v>0</v>
      </c>
      <c r="L85" s="785">
        <f>SUMIF(Stats!$C$6:$BN$47,F85,Stats!$E$6:$BN$47)</f>
        <v>0</v>
      </c>
      <c r="M85" s="792">
        <f t="shared" si="2"/>
        <v>0</v>
      </c>
      <c r="N85" s="794">
        <f>COUNTIF('Playoff Stats'!$C$6:$BV$47,F85)</f>
        <v>1</v>
      </c>
      <c r="O85" s="789">
        <f>SUMIF('Playoff Stats'!$C$6:$BV$47,F85,'Playoff Stats'!$D$6:$BV$47)</f>
        <v>0</v>
      </c>
      <c r="P85" s="785">
        <f>SUMIF('Playoff Stats'!$C$6:$BN$47,F85,'Playoff Stats'!$E$6:$BN$47)</f>
        <v>1</v>
      </c>
      <c r="Q85" s="795">
        <f t="shared" si="3"/>
        <v>-1</v>
      </c>
      <c r="R85" s="515"/>
      <c r="S85" s="424"/>
      <c r="T85" s="424"/>
      <c r="U85" s="424"/>
      <c r="V85" s="424"/>
      <c r="W85" s="424"/>
      <c r="X85" s="424"/>
      <c r="Y85" s="424"/>
      <c r="Z85" s="424"/>
      <c r="AA85" s="424"/>
      <c r="AB85" s="424"/>
      <c r="AC85" s="424"/>
      <c r="AD85" s="424"/>
      <c r="AE85" s="424"/>
      <c r="AF85" s="424"/>
      <c r="AG85" s="424"/>
      <c r="AH85" s="424"/>
      <c r="AI85" s="424"/>
      <c r="AJ85" s="424"/>
      <c r="AK85" s="424"/>
      <c r="AL85" s="424"/>
      <c r="AM85" s="424"/>
      <c r="AN85" s="424"/>
      <c r="AO85" s="424"/>
      <c r="AP85" s="424"/>
      <c r="AQ85" s="424"/>
      <c r="AR85" s="424"/>
      <c r="AS85" s="516"/>
      <c r="AT85" s="504"/>
    </row>
    <row r="86" ht="15.75" customHeight="1">
      <c r="A86" s="504"/>
      <c r="B86" s="514"/>
      <c r="C86" s="401"/>
      <c r="D86" s="785" t="str">
        <f>Source!$I$9</f>
        <v>JM</v>
      </c>
      <c r="E86" s="785"/>
      <c r="F86" s="785" t="s">
        <v>132</v>
      </c>
      <c r="G86" s="870"/>
      <c r="H86" s="870"/>
      <c r="I86" s="870"/>
      <c r="J86" s="785">
        <f>COUNTIF(Stats!$C$6:$BN$47,F86)</f>
        <v>2</v>
      </c>
      <c r="K86" s="789">
        <f>SUMIF(Stats!$C$6:$BN$47,F86,Stats!$D$6:$BN$47)</f>
        <v>2</v>
      </c>
      <c r="L86" s="785">
        <f>SUMIF(Stats!$C$6:$BN$47,F86,Stats!$E$6:$BN$47)</f>
        <v>1</v>
      </c>
      <c r="M86" s="792">
        <f t="shared" si="2"/>
        <v>1</v>
      </c>
      <c r="N86" s="794">
        <f>COUNTIF('Playoff Stats'!$C$6:$BV$47,F86)</f>
        <v>1</v>
      </c>
      <c r="O86" s="789">
        <f>SUMIF('Playoff Stats'!$C$6:$BV$47,F86,'Playoff Stats'!$D$6:$BV$47)</f>
        <v>2</v>
      </c>
      <c r="P86" s="785">
        <f>SUMIF('Playoff Stats'!$C$6:$BN$47,F86,'Playoff Stats'!$E$6:$BN$47)</f>
        <v>1</v>
      </c>
      <c r="Q86" s="795">
        <f t="shared" si="3"/>
        <v>1</v>
      </c>
      <c r="R86" s="515"/>
      <c r="S86" s="424"/>
      <c r="T86" s="424"/>
      <c r="U86" s="424"/>
      <c r="V86" s="424"/>
      <c r="W86" s="424"/>
      <c r="X86" s="424"/>
      <c r="Y86" s="424"/>
      <c r="Z86" s="424"/>
      <c r="AA86" s="424"/>
      <c r="AB86" s="424"/>
      <c r="AC86" s="424"/>
      <c r="AD86" s="424"/>
      <c r="AE86" s="424"/>
      <c r="AF86" s="424"/>
      <c r="AG86" s="424"/>
      <c r="AH86" s="424"/>
      <c r="AI86" s="424"/>
      <c r="AJ86" s="424"/>
      <c r="AK86" s="424"/>
      <c r="AL86" s="424"/>
      <c r="AM86" s="424"/>
      <c r="AN86" s="424"/>
      <c r="AO86" s="424"/>
      <c r="AP86" s="424"/>
      <c r="AQ86" s="424"/>
      <c r="AR86" s="424"/>
      <c r="AS86" s="516"/>
      <c r="AT86" s="504"/>
    </row>
    <row r="87" ht="15.75" customHeight="1">
      <c r="A87" s="504"/>
      <c r="B87" s="514"/>
      <c r="C87" s="401"/>
      <c r="D87" s="785" t="str">
        <f>Source!$I$9</f>
        <v>JM</v>
      </c>
      <c r="E87" s="785"/>
      <c r="F87" s="785"/>
      <c r="G87" s="870"/>
      <c r="H87" s="870"/>
      <c r="I87" s="870"/>
      <c r="J87" s="785">
        <f>COUNTIF(Stats!$C$6:$BN$47,F87)</f>
        <v>0</v>
      </c>
      <c r="K87" s="789">
        <f>SUMIF(Stats!$C$6:$BN$47,F87,Stats!$D$6:$BN$47)</f>
        <v>0</v>
      </c>
      <c r="L87" s="785">
        <f>SUMIF(Stats!$C$6:$BN$47,F87,Stats!$E$6:$BN$47)</f>
        <v>0</v>
      </c>
      <c r="M87" s="792">
        <f t="shared" si="2"/>
        <v>0</v>
      </c>
      <c r="N87" s="794">
        <f>COUNTIF('Playoff Stats'!$C$6:$BV$47,F87)</f>
        <v>0</v>
      </c>
      <c r="O87" s="789">
        <f>SUMIF('Playoff Stats'!$C$6:$BV$47,F87,'Playoff Stats'!$D$6:$BV$47)</f>
        <v>0</v>
      </c>
      <c r="P87" s="785">
        <f>SUMIF('Playoff Stats'!$C$6:$BN$47,F87,'Playoff Stats'!$E$6:$BN$47)</f>
        <v>0</v>
      </c>
      <c r="Q87" s="795">
        <f t="shared" si="3"/>
        <v>0</v>
      </c>
      <c r="R87" s="515"/>
      <c r="S87" s="424"/>
      <c r="T87" s="424"/>
      <c r="U87" s="424"/>
      <c r="V87" s="424"/>
      <c r="W87" s="424"/>
      <c r="X87" s="424"/>
      <c r="Y87" s="424"/>
      <c r="Z87" s="424"/>
      <c r="AA87" s="424"/>
      <c r="AB87" s="424"/>
      <c r="AC87" s="424"/>
      <c r="AD87" s="424"/>
      <c r="AE87" s="424"/>
      <c r="AF87" s="424"/>
      <c r="AG87" s="424"/>
      <c r="AH87" s="424"/>
      <c r="AI87" s="424"/>
      <c r="AJ87" s="424"/>
      <c r="AK87" s="424"/>
      <c r="AL87" s="424"/>
      <c r="AM87" s="424"/>
      <c r="AN87" s="424"/>
      <c r="AO87" s="424"/>
      <c r="AP87" s="424"/>
      <c r="AQ87" s="424"/>
      <c r="AR87" s="424"/>
      <c r="AS87" s="516"/>
      <c r="AT87" s="504"/>
    </row>
    <row r="88" ht="15.75" customHeight="1">
      <c r="A88" s="504"/>
      <c r="B88" s="514"/>
      <c r="C88" s="925"/>
      <c r="D88" s="785" t="str">
        <f>Source!$I$9</f>
        <v>JM</v>
      </c>
      <c r="E88" s="785"/>
      <c r="F88" s="785"/>
      <c r="G88" s="870"/>
      <c r="H88" s="870"/>
      <c r="I88" s="870"/>
      <c r="J88" s="785">
        <f>COUNTIF(Stats!$C$6:$BN$47,F88)</f>
        <v>0</v>
      </c>
      <c r="K88" s="789">
        <f>SUMIF(Stats!$C$6:$BN$47,F88,Stats!$D$6:$BN$47)</f>
        <v>0</v>
      </c>
      <c r="L88" s="785">
        <f>SUMIF(Stats!$C$6:$BN$47,F88,Stats!$E$6:$BN$47)</f>
        <v>0</v>
      </c>
      <c r="M88" s="792">
        <f t="shared" si="2"/>
        <v>0</v>
      </c>
      <c r="N88" s="794">
        <f>COUNTIF('Playoff Stats'!$C$6:$BV$47,F88)</f>
        <v>0</v>
      </c>
      <c r="O88" s="789">
        <f>SUMIF('Playoff Stats'!$C$6:$BV$47,F88,'Playoff Stats'!$D$6:$BV$47)</f>
        <v>0</v>
      </c>
      <c r="P88" s="785">
        <f>SUMIF('Playoff Stats'!$C$6:$BN$47,F88,'Playoff Stats'!$E$6:$BN$47)</f>
        <v>0</v>
      </c>
      <c r="Q88" s="795">
        <f t="shared" si="3"/>
        <v>0</v>
      </c>
      <c r="R88" s="515"/>
      <c r="S88" s="424"/>
      <c r="T88" s="424"/>
      <c r="U88" s="424"/>
      <c r="V88" s="424"/>
      <c r="W88" s="424"/>
      <c r="X88" s="424"/>
      <c r="Y88" s="424"/>
      <c r="Z88" s="424"/>
      <c r="AA88" s="424"/>
      <c r="AB88" s="424"/>
      <c r="AC88" s="424"/>
      <c r="AD88" s="424"/>
      <c r="AE88" s="424"/>
      <c r="AF88" s="424"/>
      <c r="AG88" s="424"/>
      <c r="AH88" s="424"/>
      <c r="AI88" s="424"/>
      <c r="AJ88" s="424"/>
      <c r="AK88" s="424"/>
      <c r="AL88" s="424"/>
      <c r="AM88" s="424"/>
      <c r="AN88" s="424"/>
      <c r="AO88" s="424"/>
      <c r="AP88" s="424"/>
      <c r="AQ88" s="424"/>
      <c r="AR88" s="424"/>
      <c r="AS88" s="516"/>
      <c r="AT88" s="504"/>
    </row>
    <row r="89" ht="15.75" customHeight="1">
      <c r="A89" s="504"/>
      <c r="B89" s="514"/>
      <c r="C89" s="784" t="str">
        <f>Source!$G$10</f>
        <v>Zach VanSickle</v>
      </c>
      <c r="D89" s="785" t="str">
        <f>Source!$I$10</f>
        <v>ZV</v>
      </c>
      <c r="E89" s="785"/>
      <c r="F89" s="789" t="str">
        <f t="array" ref="F89:F100">Teams!$Y$21:$Y$32</f>
        <v>Great Tusk</v>
      </c>
      <c r="G89" s="815"/>
      <c r="H89" s="815"/>
      <c r="I89" s="815"/>
      <c r="J89" s="785">
        <f>COUNTIF(Stats!$C$6:$BN$47,F89)</f>
        <v>3</v>
      </c>
      <c r="K89" s="789">
        <f>SUMIF(Stats!$C$6:$BN$47,F89,Stats!$D$6:$BN$47)</f>
        <v>2</v>
      </c>
      <c r="L89" s="785">
        <f>SUMIF(Stats!$C$6:$BN$47,F89,Stats!$E$6:$BN$47)</f>
        <v>2</v>
      </c>
      <c r="M89" s="792">
        <f t="shared" si="2"/>
        <v>0</v>
      </c>
      <c r="N89" s="794">
        <f>COUNTIF('Playoff Stats'!$C$6:$BV$47,F89)</f>
        <v>3</v>
      </c>
      <c r="O89" s="789">
        <f>SUMIF('Playoff Stats'!$C$6:$BV$47,F89,'Playoff Stats'!$D$6:$BV$47)</f>
        <v>1</v>
      </c>
      <c r="P89" s="785">
        <f>SUMIF('Playoff Stats'!$C$6:$BN$47,F89,'Playoff Stats'!$E$6:$BN$47)</f>
        <v>3</v>
      </c>
      <c r="Q89" s="795">
        <f t="shared" si="3"/>
        <v>-2</v>
      </c>
      <c r="R89" s="515"/>
      <c r="S89" s="424"/>
      <c r="T89" s="424"/>
      <c r="U89" s="424"/>
      <c r="V89" s="424"/>
      <c r="W89" s="424"/>
      <c r="X89" s="424"/>
      <c r="Y89" s="424"/>
      <c r="Z89" s="424"/>
      <c r="AA89" s="424"/>
      <c r="AB89" s="424"/>
      <c r="AC89" s="424"/>
      <c r="AD89" s="424"/>
      <c r="AE89" s="424"/>
      <c r="AF89" s="424"/>
      <c r="AG89" s="424"/>
      <c r="AH89" s="424"/>
      <c r="AI89" s="424"/>
      <c r="AJ89" s="424"/>
      <c r="AK89" s="424"/>
      <c r="AL89" s="424"/>
      <c r="AM89" s="424"/>
      <c r="AN89" s="424"/>
      <c r="AO89" s="424"/>
      <c r="AP89" s="424"/>
      <c r="AQ89" s="424"/>
      <c r="AR89" s="424"/>
      <c r="AS89" s="516"/>
      <c r="AT89" s="504"/>
    </row>
    <row r="90" ht="15.75" customHeight="1">
      <c r="A90" s="504"/>
      <c r="B90" s="514"/>
      <c r="C90" s="401"/>
      <c r="D90" s="785" t="str">
        <f>Source!$I$10</f>
        <v>ZV</v>
      </c>
      <c r="E90" s="785"/>
      <c r="F90" s="789" t="s">
        <v>118</v>
      </c>
      <c r="G90" s="815"/>
      <c r="H90" s="815"/>
      <c r="I90" s="815"/>
      <c r="J90" s="785">
        <f>COUNTIF(Stats!$C$6:$BN$47,F90)</f>
        <v>1</v>
      </c>
      <c r="K90" s="789">
        <f>SUMIF(Stats!$C$6:$BN$47,F90,Stats!$D$6:$BN$47)</f>
        <v>3</v>
      </c>
      <c r="L90" s="785">
        <f>SUMIF(Stats!$C$6:$BN$47,F90,Stats!$E$6:$BN$47)</f>
        <v>1</v>
      </c>
      <c r="M90" s="792">
        <f t="shared" si="2"/>
        <v>2</v>
      </c>
      <c r="N90" s="794">
        <f>COUNTIF('Playoff Stats'!$C$6:$BV$47,F90)</f>
        <v>4</v>
      </c>
      <c r="O90" s="789">
        <f>SUMIF('Playoff Stats'!$C$6:$BV$47,F90,'Playoff Stats'!$D$6:$BV$47)</f>
        <v>10</v>
      </c>
      <c r="P90" s="785">
        <f>SUMIF('Playoff Stats'!$C$6:$BN$47,F90,'Playoff Stats'!$E$6:$BN$47)</f>
        <v>2</v>
      </c>
      <c r="Q90" s="795">
        <f t="shared" si="3"/>
        <v>8</v>
      </c>
      <c r="R90" s="515"/>
      <c r="S90" s="424"/>
      <c r="T90" s="424"/>
      <c r="U90" s="424"/>
      <c r="V90" s="424"/>
      <c r="W90" s="424"/>
      <c r="X90" s="424"/>
      <c r="Y90" s="424"/>
      <c r="Z90" s="424"/>
      <c r="AA90" s="424"/>
      <c r="AB90" s="424"/>
      <c r="AC90" s="424"/>
      <c r="AD90" s="424"/>
      <c r="AE90" s="424"/>
      <c r="AF90" s="424"/>
      <c r="AG90" s="424"/>
      <c r="AH90" s="424"/>
      <c r="AI90" s="424"/>
      <c r="AJ90" s="424"/>
      <c r="AK90" s="424"/>
      <c r="AL90" s="424"/>
      <c r="AM90" s="424"/>
      <c r="AN90" s="424"/>
      <c r="AO90" s="424"/>
      <c r="AP90" s="424"/>
      <c r="AQ90" s="424"/>
      <c r="AR90" s="424"/>
      <c r="AS90" s="516"/>
      <c r="AT90" s="504"/>
    </row>
    <row r="91" ht="15.75" customHeight="1">
      <c r="A91" s="504"/>
      <c r="B91" s="514"/>
      <c r="C91" s="401"/>
      <c r="D91" s="785" t="str">
        <f>Source!$I$10</f>
        <v>ZV</v>
      </c>
      <c r="E91" s="785"/>
      <c r="F91" s="789" t="s">
        <v>225</v>
      </c>
      <c r="G91" s="791" t="s">
        <v>139</v>
      </c>
      <c r="H91" s="791" t="s">
        <v>171</v>
      </c>
      <c r="I91" s="791" t="s">
        <v>173</v>
      </c>
      <c r="J91" s="785">
        <f>COUNTIF(Stats!$C$6:$BN$47,F91)</f>
        <v>1</v>
      </c>
      <c r="K91" s="789">
        <f>SUMIF(Stats!$C$6:$BN$47,F91,Stats!$D$6:$BN$47)</f>
        <v>0</v>
      </c>
      <c r="L91" s="785">
        <f>SUMIF(Stats!$C$6:$BN$47,F91,Stats!$E$6:$BN$47)</f>
        <v>0</v>
      </c>
      <c r="M91" s="792">
        <f t="shared" si="2"/>
        <v>0</v>
      </c>
      <c r="N91" s="794">
        <f>COUNTIF('Playoff Stats'!$C$6:$BV$47,F91)</f>
        <v>3</v>
      </c>
      <c r="O91" s="789">
        <f>SUMIF('Playoff Stats'!$C$6:$BV$47,F91,'Playoff Stats'!$D$6:$BV$47)</f>
        <v>0</v>
      </c>
      <c r="P91" s="785">
        <f>SUMIF('Playoff Stats'!$C$6:$BN$47,F91,'Playoff Stats'!$E$6:$BN$47)</f>
        <v>2</v>
      </c>
      <c r="Q91" s="795">
        <f t="shared" si="3"/>
        <v>-2</v>
      </c>
      <c r="R91" s="515"/>
      <c r="S91" s="424"/>
      <c r="T91" s="424"/>
      <c r="U91" s="424"/>
      <c r="V91" s="424"/>
      <c r="W91" s="424"/>
      <c r="X91" s="424"/>
      <c r="Y91" s="424"/>
      <c r="Z91" s="424"/>
      <c r="AA91" s="424"/>
      <c r="AB91" s="424"/>
      <c r="AC91" s="424"/>
      <c r="AD91" s="424"/>
      <c r="AE91" s="424"/>
      <c r="AF91" s="424"/>
      <c r="AG91" s="424"/>
      <c r="AH91" s="424"/>
      <c r="AI91" s="424"/>
      <c r="AJ91" s="424"/>
      <c r="AK91" s="424"/>
      <c r="AL91" s="424"/>
      <c r="AM91" s="424"/>
      <c r="AN91" s="424"/>
      <c r="AO91" s="424"/>
      <c r="AP91" s="424"/>
      <c r="AQ91" s="424"/>
      <c r="AR91" s="424"/>
      <c r="AS91" s="516"/>
      <c r="AT91" s="504"/>
    </row>
    <row r="92" ht="15.75" customHeight="1">
      <c r="A92" s="504"/>
      <c r="B92" s="514"/>
      <c r="C92" s="401"/>
      <c r="D92" s="785" t="str">
        <f>Source!$I$10</f>
        <v>ZV</v>
      </c>
      <c r="E92" s="785"/>
      <c r="F92" s="789" t="s">
        <v>107</v>
      </c>
      <c r="G92" s="791"/>
      <c r="H92" s="791"/>
      <c r="I92" s="791"/>
      <c r="J92" s="785">
        <f>COUNTIF(Stats!$C$6:$BN$47,F92)</f>
        <v>3</v>
      </c>
      <c r="K92" s="789">
        <f>SUMIF(Stats!$C$6:$BN$47,F92,Stats!$D$6:$BN$47)</f>
        <v>4</v>
      </c>
      <c r="L92" s="785">
        <f>SUMIF(Stats!$C$6:$BN$47,F92,Stats!$E$6:$BN$47)</f>
        <v>1</v>
      </c>
      <c r="M92" s="792">
        <f t="shared" si="2"/>
        <v>3</v>
      </c>
      <c r="N92" s="794">
        <f>COUNTIF('Playoff Stats'!$C$6:$BV$47,F92)</f>
        <v>1</v>
      </c>
      <c r="O92" s="789">
        <f>SUMIF('Playoff Stats'!$C$6:$BV$47,F92,'Playoff Stats'!$D$6:$BV$47)</f>
        <v>0</v>
      </c>
      <c r="P92" s="785">
        <f>SUMIF('Playoff Stats'!$C$6:$BN$47,F92,'Playoff Stats'!$E$6:$BN$47)</f>
        <v>1</v>
      </c>
      <c r="Q92" s="795">
        <f t="shared" si="3"/>
        <v>-1</v>
      </c>
      <c r="R92" s="515"/>
      <c r="S92" s="424"/>
      <c r="T92" s="424"/>
      <c r="U92" s="424"/>
      <c r="V92" s="424"/>
      <c r="W92" s="424"/>
      <c r="X92" s="424"/>
      <c r="Y92" s="424"/>
      <c r="Z92" s="424"/>
      <c r="AA92" s="424"/>
      <c r="AB92" s="424"/>
      <c r="AC92" s="424"/>
      <c r="AD92" s="424"/>
      <c r="AE92" s="424"/>
      <c r="AF92" s="424"/>
      <c r="AG92" s="424"/>
      <c r="AH92" s="424"/>
      <c r="AI92" s="424"/>
      <c r="AJ92" s="424"/>
      <c r="AK92" s="424"/>
      <c r="AL92" s="424"/>
      <c r="AM92" s="424"/>
      <c r="AN92" s="424"/>
      <c r="AO92" s="424"/>
      <c r="AP92" s="424"/>
      <c r="AQ92" s="424"/>
      <c r="AR92" s="424"/>
      <c r="AS92" s="516"/>
      <c r="AT92" s="504"/>
    </row>
    <row r="93" ht="15.75" customHeight="1">
      <c r="A93" s="504"/>
      <c r="B93" s="514"/>
      <c r="C93" s="401"/>
      <c r="D93" s="785" t="str">
        <f>Source!$I$10</f>
        <v>ZV</v>
      </c>
      <c r="E93" s="785"/>
      <c r="F93" s="785" t="s">
        <v>133</v>
      </c>
      <c r="G93" s="870"/>
      <c r="H93" s="870"/>
      <c r="I93" s="870"/>
      <c r="J93" s="785">
        <f>COUNTIF(Stats!$C$6:$BN$47,F93)</f>
        <v>2</v>
      </c>
      <c r="K93" s="789">
        <f>SUMIF(Stats!$C$6:$BN$47,F93,Stats!$D$6:$BN$47)</f>
        <v>2</v>
      </c>
      <c r="L93" s="785">
        <f>SUMIF(Stats!$C$6:$BN$47,F93,Stats!$E$6:$BN$47)</f>
        <v>1</v>
      </c>
      <c r="M93" s="792">
        <f t="shared" si="2"/>
        <v>1</v>
      </c>
      <c r="N93" s="794">
        <f>COUNTIF('Playoff Stats'!$C$6:$BV$47,F93)</f>
        <v>1</v>
      </c>
      <c r="O93" s="789">
        <f>SUMIF('Playoff Stats'!$C$6:$BV$47,F93,'Playoff Stats'!$D$6:$BV$47)</f>
        <v>1</v>
      </c>
      <c r="P93" s="785">
        <f>SUMIF('Playoff Stats'!$C$6:$BN$47,F93,'Playoff Stats'!$E$6:$BN$47)</f>
        <v>1</v>
      </c>
      <c r="Q93" s="795">
        <f t="shared" si="3"/>
        <v>0</v>
      </c>
      <c r="R93" s="515"/>
      <c r="S93" s="424"/>
      <c r="T93" s="424"/>
      <c r="U93" s="424"/>
      <c r="V93" s="424"/>
      <c r="W93" s="424"/>
      <c r="X93" s="424"/>
      <c r="Y93" s="424"/>
      <c r="Z93" s="424"/>
      <c r="AA93" s="424"/>
      <c r="AB93" s="424"/>
      <c r="AC93" s="424"/>
      <c r="AD93" s="424"/>
      <c r="AE93" s="424"/>
      <c r="AF93" s="424"/>
      <c r="AG93" s="424"/>
      <c r="AH93" s="424"/>
      <c r="AI93" s="424"/>
      <c r="AJ93" s="424"/>
      <c r="AK93" s="424"/>
      <c r="AL93" s="424"/>
      <c r="AM93" s="424"/>
      <c r="AN93" s="424"/>
      <c r="AO93" s="424"/>
      <c r="AP93" s="424"/>
      <c r="AQ93" s="424"/>
      <c r="AR93" s="424"/>
      <c r="AS93" s="516"/>
      <c r="AT93" s="504"/>
    </row>
    <row r="94" ht="15.75" customHeight="1">
      <c r="A94" s="504"/>
      <c r="B94" s="514"/>
      <c r="C94" s="401"/>
      <c r="D94" s="785" t="str">
        <f>Source!$I$10</f>
        <v>ZV</v>
      </c>
      <c r="E94" s="785"/>
      <c r="F94" s="785" t="s">
        <v>188</v>
      </c>
      <c r="G94" s="870"/>
      <c r="H94" s="870"/>
      <c r="I94" s="870"/>
      <c r="J94" s="785">
        <f>COUNTIF(Stats!$C$6:$BN$47,F94)</f>
        <v>3</v>
      </c>
      <c r="K94" s="789">
        <f>SUMIF(Stats!$C$6:$BN$47,F94,Stats!$D$6:$BN$47)</f>
        <v>1</v>
      </c>
      <c r="L94" s="785">
        <f>SUMIF(Stats!$C$6:$BN$47,F94,Stats!$E$6:$BN$47)</f>
        <v>3</v>
      </c>
      <c r="M94" s="792">
        <f t="shared" si="2"/>
        <v>-2</v>
      </c>
      <c r="N94" s="794">
        <f>COUNTIF('Playoff Stats'!$C$6:$BV$47,F94)</f>
        <v>2</v>
      </c>
      <c r="O94" s="789">
        <f>SUMIF('Playoff Stats'!$C$6:$BV$47,F94,'Playoff Stats'!$D$6:$BV$47)</f>
        <v>2</v>
      </c>
      <c r="P94" s="785">
        <f>SUMIF('Playoff Stats'!$C$6:$BN$47,F94,'Playoff Stats'!$E$6:$BN$47)</f>
        <v>2</v>
      </c>
      <c r="Q94" s="795">
        <f t="shared" si="3"/>
        <v>0</v>
      </c>
      <c r="R94" s="515"/>
      <c r="S94" s="424"/>
      <c r="T94" s="424"/>
      <c r="U94" s="424"/>
      <c r="V94" s="424"/>
      <c r="W94" s="424"/>
      <c r="X94" s="424"/>
      <c r="Y94" s="424"/>
      <c r="Z94" s="424"/>
      <c r="AA94" s="424"/>
      <c r="AB94" s="424"/>
      <c r="AC94" s="424"/>
      <c r="AD94" s="424"/>
      <c r="AE94" s="424"/>
      <c r="AF94" s="424"/>
      <c r="AG94" s="424"/>
      <c r="AH94" s="424"/>
      <c r="AI94" s="424"/>
      <c r="AJ94" s="424"/>
      <c r="AK94" s="424"/>
      <c r="AL94" s="424"/>
      <c r="AM94" s="424"/>
      <c r="AN94" s="424"/>
      <c r="AO94" s="424"/>
      <c r="AP94" s="424"/>
      <c r="AQ94" s="424"/>
      <c r="AR94" s="424"/>
      <c r="AS94" s="516"/>
      <c r="AT94" s="504"/>
    </row>
    <row r="95" ht="15.75" customHeight="1">
      <c r="A95" s="504"/>
      <c r="B95" s="514"/>
      <c r="C95" s="401"/>
      <c r="D95" s="785" t="str">
        <f>Source!$I$10</f>
        <v>ZV</v>
      </c>
      <c r="E95" s="785"/>
      <c r="F95" s="785" t="s">
        <v>238</v>
      </c>
      <c r="G95" s="870"/>
      <c r="H95" s="870"/>
      <c r="I95" s="870"/>
      <c r="J95" s="785">
        <f>COUNTIF(Stats!$C$6:$BN$47,F95)</f>
        <v>2</v>
      </c>
      <c r="K95" s="789">
        <f>SUMIF(Stats!$C$6:$BN$47,F95,Stats!$D$6:$BN$47)</f>
        <v>0</v>
      </c>
      <c r="L95" s="785">
        <f>SUMIF(Stats!$C$6:$BN$47,F95,Stats!$E$6:$BN$47)</f>
        <v>2</v>
      </c>
      <c r="M95" s="792">
        <f t="shared" si="2"/>
        <v>-2</v>
      </c>
      <c r="N95" s="794">
        <f>COUNTIF('Playoff Stats'!$C$6:$BV$47,F95)</f>
        <v>4</v>
      </c>
      <c r="O95" s="789">
        <f>SUMIF('Playoff Stats'!$C$6:$BV$47,F95,'Playoff Stats'!$D$6:$BV$47)</f>
        <v>2</v>
      </c>
      <c r="P95" s="785">
        <f>SUMIF('Playoff Stats'!$C$6:$BN$47,F95,'Playoff Stats'!$E$6:$BN$47)</f>
        <v>2</v>
      </c>
      <c r="Q95" s="795">
        <f t="shared" si="3"/>
        <v>0</v>
      </c>
      <c r="R95" s="515"/>
      <c r="S95" s="424"/>
      <c r="T95" s="424"/>
      <c r="U95" s="424"/>
      <c r="V95" s="424"/>
      <c r="W95" s="424"/>
      <c r="X95" s="424"/>
      <c r="Y95" s="424"/>
      <c r="Z95" s="424"/>
      <c r="AA95" s="424"/>
      <c r="AB95" s="424"/>
      <c r="AC95" s="424"/>
      <c r="AD95" s="424"/>
      <c r="AE95" s="424"/>
      <c r="AF95" s="424"/>
      <c r="AG95" s="424"/>
      <c r="AH95" s="424"/>
      <c r="AI95" s="424"/>
      <c r="AJ95" s="424"/>
      <c r="AK95" s="424"/>
      <c r="AL95" s="424"/>
      <c r="AM95" s="424"/>
      <c r="AN95" s="424"/>
      <c r="AO95" s="424"/>
      <c r="AP95" s="424"/>
      <c r="AQ95" s="424"/>
      <c r="AR95" s="424"/>
      <c r="AS95" s="516"/>
      <c r="AT95" s="504"/>
    </row>
    <row r="96" ht="15.75" customHeight="1">
      <c r="A96" s="504"/>
      <c r="B96" s="514"/>
      <c r="C96" s="401"/>
      <c r="D96" s="785" t="str">
        <f>Source!$I$10</f>
        <v>ZV</v>
      </c>
      <c r="E96" s="785"/>
      <c r="F96" s="785" t="s">
        <v>239</v>
      </c>
      <c r="G96" s="870"/>
      <c r="H96" s="870"/>
      <c r="I96" s="870"/>
      <c r="J96" s="785">
        <f>COUNTIF(Stats!$C$6:$BN$47,F96)</f>
        <v>2</v>
      </c>
      <c r="K96" s="789">
        <f>SUMIF(Stats!$C$6:$BN$47,F96,Stats!$D$6:$BN$47)</f>
        <v>0</v>
      </c>
      <c r="L96" s="785">
        <f>SUMIF(Stats!$C$6:$BN$47,F96,Stats!$E$6:$BN$47)</f>
        <v>2</v>
      </c>
      <c r="M96" s="792">
        <f t="shared" si="2"/>
        <v>-2</v>
      </c>
      <c r="N96" s="794">
        <f>COUNTIF('Playoff Stats'!$C$6:$BV$47,F96)</f>
        <v>2</v>
      </c>
      <c r="O96" s="789">
        <f>SUMIF('Playoff Stats'!$C$6:$BV$47,F96,'Playoff Stats'!$D$6:$BV$47)</f>
        <v>0</v>
      </c>
      <c r="P96" s="785">
        <f>SUMIF('Playoff Stats'!$C$6:$BN$47,F96,'Playoff Stats'!$E$6:$BN$47)</f>
        <v>1</v>
      </c>
      <c r="Q96" s="795">
        <f t="shared" si="3"/>
        <v>-1</v>
      </c>
      <c r="R96" s="515"/>
      <c r="S96" s="424"/>
      <c r="T96" s="424"/>
      <c r="U96" s="424"/>
      <c r="V96" s="424"/>
      <c r="W96" s="424"/>
      <c r="X96" s="424"/>
      <c r="Y96" s="424"/>
      <c r="Z96" s="424"/>
      <c r="AA96" s="424"/>
      <c r="AB96" s="424"/>
      <c r="AC96" s="424"/>
      <c r="AD96" s="424"/>
      <c r="AE96" s="424"/>
      <c r="AF96" s="424"/>
      <c r="AG96" s="424"/>
      <c r="AH96" s="424"/>
      <c r="AI96" s="424"/>
      <c r="AJ96" s="424"/>
      <c r="AK96" s="424"/>
      <c r="AL96" s="424"/>
      <c r="AM96" s="424"/>
      <c r="AN96" s="424"/>
      <c r="AO96" s="424"/>
      <c r="AP96" s="424"/>
      <c r="AQ96" s="424"/>
      <c r="AR96" s="424"/>
      <c r="AS96" s="516"/>
      <c r="AT96" s="504"/>
    </row>
    <row r="97" ht="15.75" customHeight="1">
      <c r="A97" s="504"/>
      <c r="B97" s="514"/>
      <c r="C97" s="401"/>
      <c r="D97" s="785" t="str">
        <f>Source!$I$10</f>
        <v>ZV</v>
      </c>
      <c r="E97" s="785"/>
      <c r="F97" s="785" t="s">
        <v>138</v>
      </c>
      <c r="G97" s="886" t="s">
        <v>92</v>
      </c>
      <c r="H97" s="886" t="s">
        <v>139</v>
      </c>
      <c r="I97" s="886" t="s">
        <v>140</v>
      </c>
      <c r="J97" s="785">
        <f>COUNTIF(Stats!$C$6:$BN$47,F97)</f>
        <v>3</v>
      </c>
      <c r="K97" s="789">
        <f>SUMIF(Stats!$C$6:$BN$47,F97,Stats!$D$6:$BN$47)</f>
        <v>2</v>
      </c>
      <c r="L97" s="785">
        <f>SUMIF(Stats!$C$6:$BN$47,F97,Stats!$E$6:$BN$47)</f>
        <v>2</v>
      </c>
      <c r="M97" s="792">
        <f t="shared" si="2"/>
        <v>0</v>
      </c>
      <c r="N97" s="794">
        <f>COUNTIF('Playoff Stats'!$C$6:$BV$47,F97)</f>
        <v>2</v>
      </c>
      <c r="O97" s="789">
        <f>SUMIF('Playoff Stats'!$C$6:$BV$47,F97,'Playoff Stats'!$D$6:$BV$47)</f>
        <v>1</v>
      </c>
      <c r="P97" s="785">
        <f>SUMIF('Playoff Stats'!$C$6:$BN$47,F97,'Playoff Stats'!$E$6:$BN$47)</f>
        <v>0</v>
      </c>
      <c r="Q97" s="795">
        <f t="shared" si="3"/>
        <v>1</v>
      </c>
      <c r="R97" s="515"/>
      <c r="S97" s="424"/>
      <c r="T97" s="424"/>
      <c r="U97" s="424"/>
      <c r="V97" s="424"/>
      <c r="W97" s="424"/>
      <c r="X97" s="424"/>
      <c r="Y97" s="424"/>
      <c r="Z97" s="424"/>
      <c r="AA97" s="424"/>
      <c r="AB97" s="424"/>
      <c r="AC97" s="424"/>
      <c r="AD97" s="424"/>
      <c r="AE97" s="424"/>
      <c r="AF97" s="424"/>
      <c r="AG97" s="424"/>
      <c r="AH97" s="424"/>
      <c r="AI97" s="424"/>
      <c r="AJ97" s="424"/>
      <c r="AK97" s="424"/>
      <c r="AL97" s="424"/>
      <c r="AM97" s="424"/>
      <c r="AN97" s="424"/>
      <c r="AO97" s="424"/>
      <c r="AP97" s="424"/>
      <c r="AQ97" s="424"/>
      <c r="AR97" s="424"/>
      <c r="AS97" s="516"/>
      <c r="AT97" s="504"/>
    </row>
    <row r="98" ht="15.75" customHeight="1">
      <c r="A98" s="504"/>
      <c r="B98" s="514"/>
      <c r="C98" s="401"/>
      <c r="D98" s="785" t="str">
        <f>Source!$I$10</f>
        <v>ZV</v>
      </c>
      <c r="E98" s="785"/>
      <c r="F98" s="785" t="s">
        <v>217</v>
      </c>
      <c r="G98" s="886" t="s">
        <v>139</v>
      </c>
      <c r="H98" s="886" t="s">
        <v>163</v>
      </c>
      <c r="I98" s="886" t="s">
        <v>171</v>
      </c>
      <c r="J98" s="785">
        <f>COUNTIF(Stats!$C$6:$BN$47,F98)</f>
        <v>0</v>
      </c>
      <c r="K98" s="789">
        <f>SUMIF(Stats!$C$6:$BN$47,F98,Stats!$D$6:$BN$47)</f>
        <v>0</v>
      </c>
      <c r="L98" s="785">
        <f>SUMIF(Stats!$C$6:$BN$47,F98,Stats!$E$6:$BN$47)</f>
        <v>0</v>
      </c>
      <c r="M98" s="792">
        <f t="shared" si="2"/>
        <v>0</v>
      </c>
      <c r="N98" s="794">
        <f>COUNTIF('Playoff Stats'!$C$6:$BV$47,F98)</f>
        <v>0</v>
      </c>
      <c r="O98" s="789">
        <f>SUMIF('Playoff Stats'!$C$6:$BV$47,F98,'Playoff Stats'!$D$6:$BV$47)</f>
        <v>0</v>
      </c>
      <c r="P98" s="785">
        <f>SUMIF('Playoff Stats'!$C$6:$BN$47,F98,'Playoff Stats'!$E$6:$BN$47)</f>
        <v>0</v>
      </c>
      <c r="Q98" s="795">
        <f t="shared" si="3"/>
        <v>0</v>
      </c>
      <c r="R98" s="515"/>
      <c r="S98" s="424"/>
      <c r="T98" s="424"/>
      <c r="U98" s="424"/>
      <c r="V98" s="424"/>
      <c r="W98" s="424"/>
      <c r="X98" s="424"/>
      <c r="Y98" s="424"/>
      <c r="Z98" s="424"/>
      <c r="AA98" s="424"/>
      <c r="AB98" s="424"/>
      <c r="AC98" s="424"/>
      <c r="AD98" s="424"/>
      <c r="AE98" s="424"/>
      <c r="AF98" s="424"/>
      <c r="AG98" s="424"/>
      <c r="AH98" s="424"/>
      <c r="AI98" s="424"/>
      <c r="AJ98" s="424"/>
      <c r="AK98" s="424"/>
      <c r="AL98" s="424"/>
      <c r="AM98" s="424"/>
      <c r="AN98" s="424"/>
      <c r="AO98" s="424"/>
      <c r="AP98" s="424"/>
      <c r="AQ98" s="424"/>
      <c r="AR98" s="424"/>
      <c r="AS98" s="516"/>
      <c r="AT98" s="504"/>
    </row>
    <row r="99" ht="15.75" customHeight="1">
      <c r="A99" s="504"/>
      <c r="B99" s="514"/>
      <c r="C99" s="401"/>
      <c r="D99" s="785" t="str">
        <f>Source!$I$10</f>
        <v>ZV</v>
      </c>
      <c r="E99" s="785"/>
      <c r="F99" s="785" t="s">
        <v>218</v>
      </c>
      <c r="G99" s="886" t="s">
        <v>219</v>
      </c>
      <c r="H99" s="886" t="s">
        <v>219</v>
      </c>
      <c r="I99" s="886" t="s">
        <v>219</v>
      </c>
      <c r="J99" s="785">
        <f>COUNTIF(Stats!$C$6:$BN$47,F99)</f>
        <v>0</v>
      </c>
      <c r="K99" s="789">
        <f>SUMIF(Stats!$C$6:$BN$47,F99,Stats!$D$6:$BN$47)</f>
        <v>0</v>
      </c>
      <c r="L99" s="785">
        <f>SUMIF(Stats!$C$6:$BN$47,F99,Stats!$E$6:$BN$47)</f>
        <v>0</v>
      </c>
      <c r="M99" s="792">
        <f t="shared" si="2"/>
        <v>0</v>
      </c>
      <c r="N99" s="794">
        <f>COUNTIF('Playoff Stats'!$C$6:$BV$47,F99)</f>
        <v>0</v>
      </c>
      <c r="O99" s="789">
        <f>SUMIF('Playoff Stats'!$C$6:$BV$47,F99,'Playoff Stats'!$D$6:$BV$47)</f>
        <v>0</v>
      </c>
      <c r="P99" s="785">
        <f>SUMIF('Playoff Stats'!$C$6:$BN$47,F99,'Playoff Stats'!$E$6:$BN$47)</f>
        <v>0</v>
      </c>
      <c r="Q99" s="795">
        <f t="shared" si="3"/>
        <v>0</v>
      </c>
      <c r="R99" s="515"/>
      <c r="S99" s="424"/>
      <c r="T99" s="424"/>
      <c r="U99" s="424"/>
      <c r="V99" s="424"/>
      <c r="W99" s="424"/>
      <c r="X99" s="424"/>
      <c r="Y99" s="424"/>
      <c r="Z99" s="424"/>
      <c r="AA99" s="424"/>
      <c r="AB99" s="424"/>
      <c r="AC99" s="424"/>
      <c r="AD99" s="424"/>
      <c r="AE99" s="424"/>
      <c r="AF99" s="424"/>
      <c r="AG99" s="424"/>
      <c r="AH99" s="424"/>
      <c r="AI99" s="424"/>
      <c r="AJ99" s="424"/>
      <c r="AK99" s="424"/>
      <c r="AL99" s="424"/>
      <c r="AM99" s="424"/>
      <c r="AN99" s="424"/>
      <c r="AO99" s="424"/>
      <c r="AP99" s="424"/>
      <c r="AQ99" s="424"/>
      <c r="AR99" s="424"/>
      <c r="AS99" s="516"/>
      <c r="AT99" s="504"/>
    </row>
    <row r="100" ht="15.75" customHeight="1">
      <c r="A100" s="504"/>
      <c r="B100" s="514"/>
      <c r="C100" s="925"/>
      <c r="D100" s="785" t="str">
        <f>Source!$I$10</f>
        <v>ZV</v>
      </c>
      <c r="E100" s="785"/>
      <c r="F100" s="785" t="s">
        <v>221</v>
      </c>
      <c r="G100" s="886"/>
      <c r="H100" s="886"/>
      <c r="I100" s="886"/>
      <c r="J100" s="785">
        <f>COUNTIF(Stats!$C$6:$BN$47,F100)</f>
        <v>0</v>
      </c>
      <c r="K100" s="789">
        <f>SUMIF(Stats!$C$6:$BN$47,F100,Stats!$D$6:$BN$47)</f>
        <v>0</v>
      </c>
      <c r="L100" s="785">
        <f>SUMIF(Stats!$C$6:$BN$47,F100,Stats!$E$6:$BN$47)</f>
        <v>0</v>
      </c>
      <c r="M100" s="792">
        <f t="shared" si="2"/>
        <v>0</v>
      </c>
      <c r="N100" s="794">
        <f>COUNTIF('Playoff Stats'!$C$6:$BV$47,F100)</f>
        <v>0</v>
      </c>
      <c r="O100" s="789">
        <f>SUMIF('Playoff Stats'!$C$6:$BV$47,F100,'Playoff Stats'!$D$6:$BV$47)</f>
        <v>0</v>
      </c>
      <c r="P100" s="785">
        <f>SUMIF('Playoff Stats'!$C$6:$BN$47,F100,'Playoff Stats'!$E$6:$BN$47)</f>
        <v>0</v>
      </c>
      <c r="Q100" s="795">
        <f t="shared" si="3"/>
        <v>0</v>
      </c>
      <c r="R100" s="515"/>
      <c r="S100" s="424"/>
      <c r="T100" s="424"/>
      <c r="U100" s="424"/>
      <c r="V100" s="424"/>
      <c r="W100" s="424"/>
      <c r="X100" s="424"/>
      <c r="Y100" s="424"/>
      <c r="Z100" s="424"/>
      <c r="AA100" s="424"/>
      <c r="AB100" s="424"/>
      <c r="AC100" s="424"/>
      <c r="AD100" s="424"/>
      <c r="AE100" s="424"/>
      <c r="AF100" s="424"/>
      <c r="AG100" s="424"/>
      <c r="AH100" s="424"/>
      <c r="AI100" s="424"/>
      <c r="AJ100" s="424"/>
      <c r="AK100" s="424"/>
      <c r="AL100" s="424"/>
      <c r="AM100" s="424"/>
      <c r="AN100" s="424"/>
      <c r="AO100" s="424"/>
      <c r="AP100" s="424"/>
      <c r="AQ100" s="424"/>
      <c r="AR100" s="424"/>
      <c r="AS100" s="516"/>
      <c r="AT100" s="504"/>
    </row>
    <row r="101" ht="7.5" customHeight="1">
      <c r="A101" s="504"/>
      <c r="B101" s="722"/>
      <c r="C101" s="723"/>
      <c r="D101" s="723"/>
      <c r="E101" s="723"/>
      <c r="F101" s="723"/>
      <c r="G101" s="1007"/>
      <c r="H101" s="1007"/>
      <c r="I101" s="1007"/>
      <c r="J101" s="723"/>
      <c r="K101" s="723"/>
      <c r="L101" s="723"/>
      <c r="M101" s="723"/>
      <c r="N101" s="723"/>
      <c r="O101" s="723"/>
      <c r="P101" s="723"/>
      <c r="Q101" s="723"/>
      <c r="R101" s="723"/>
      <c r="S101" s="1008"/>
      <c r="T101" s="1008"/>
      <c r="U101" s="1008"/>
      <c r="V101" s="1008"/>
      <c r="W101" s="1008"/>
      <c r="X101" s="1008"/>
      <c r="Y101" s="1008"/>
      <c r="Z101" s="1008"/>
      <c r="AA101" s="1008"/>
      <c r="AB101" s="1008"/>
      <c r="AC101" s="1008"/>
      <c r="AD101" s="1008"/>
      <c r="AE101" s="1008"/>
      <c r="AF101" s="1008"/>
      <c r="AG101" s="1008"/>
      <c r="AH101" s="1008"/>
      <c r="AI101" s="1008"/>
      <c r="AJ101" s="1008"/>
      <c r="AK101" s="1008"/>
      <c r="AL101" s="1008"/>
      <c r="AM101" s="1008"/>
      <c r="AN101" s="1008"/>
      <c r="AO101" s="1008"/>
      <c r="AP101" s="1008"/>
      <c r="AQ101" s="1008"/>
      <c r="AR101" s="1008"/>
      <c r="AS101" s="728"/>
      <c r="AT101" s="504"/>
    </row>
    <row r="102" ht="7.5" customHeight="1">
      <c r="A102" s="504"/>
      <c r="B102" s="504"/>
      <c r="C102" s="504"/>
      <c r="D102" s="504"/>
      <c r="E102" s="504"/>
      <c r="F102" s="504"/>
      <c r="G102" s="745"/>
      <c r="H102" s="745"/>
      <c r="I102" s="745"/>
      <c r="J102" s="504"/>
      <c r="K102" s="504"/>
      <c r="L102" s="504"/>
      <c r="M102" s="504"/>
      <c r="N102" s="504"/>
      <c r="O102" s="504"/>
      <c r="P102" s="504"/>
      <c r="Q102" s="504"/>
      <c r="R102" s="504"/>
      <c r="S102" s="1009"/>
      <c r="T102" s="1009"/>
      <c r="U102" s="1009"/>
      <c r="V102" s="1009"/>
      <c r="W102" s="1009"/>
      <c r="X102" s="1009"/>
      <c r="Y102" s="1009"/>
      <c r="Z102" s="1009"/>
      <c r="AA102" s="1009"/>
      <c r="AB102" s="1009"/>
      <c r="AC102" s="1009"/>
      <c r="AD102" s="1009"/>
      <c r="AE102" s="1009"/>
      <c r="AF102" s="1009"/>
      <c r="AG102" s="1009"/>
      <c r="AH102" s="1009"/>
      <c r="AI102" s="1009"/>
      <c r="AJ102" s="1009"/>
      <c r="AK102" s="1009"/>
      <c r="AL102" s="1009"/>
      <c r="AM102" s="1009"/>
      <c r="AN102" s="1009"/>
      <c r="AO102" s="1009"/>
      <c r="AP102" s="1009"/>
      <c r="AQ102" s="1009"/>
      <c r="AR102" s="1009"/>
      <c r="AS102" s="504"/>
      <c r="AT102" s="504"/>
    </row>
  </sheetData>
  <mergeCells count="22">
    <mergeCell ref="C3:Q3"/>
    <mergeCell ref="S3:W3"/>
    <mergeCell ref="X3:AD3"/>
    <mergeCell ref="AF3:AL3"/>
    <mergeCell ref="AO3:AR3"/>
    <mergeCell ref="E4:F4"/>
    <mergeCell ref="G4:I4"/>
    <mergeCell ref="S14:W14"/>
    <mergeCell ref="T27:U27"/>
    <mergeCell ref="C29:C40"/>
    <mergeCell ref="C41:C52"/>
    <mergeCell ref="C53:C64"/>
    <mergeCell ref="C65:C76"/>
    <mergeCell ref="C77:C88"/>
    <mergeCell ref="C89:C100"/>
    <mergeCell ref="C4:D4"/>
    <mergeCell ref="C5:C16"/>
    <mergeCell ref="X14:AE14"/>
    <mergeCell ref="AF14:AM14"/>
    <mergeCell ref="AO14:AR14"/>
    <mergeCell ref="C17:C28"/>
    <mergeCell ref="AO25:AR25"/>
  </mergeCells>
  <dataValidations>
    <dataValidation type="list" allowBlank="1" showDropDown="1" showErrorMessage="1" sqref="G5:I100">
      <formula1>Data!$T$28:$T$46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7.0"/>
    <col customWidth="1" min="3" max="5" width="15.13"/>
    <col customWidth="1" min="6" max="6" width="1.38"/>
    <col customWidth="1" min="7" max="7" width="3.25"/>
    <col customWidth="1" min="8" max="8" width="4.13"/>
    <col customWidth="1" min="9" max="9" width="15.13"/>
    <col customWidth="1" min="10" max="11" width="6.38"/>
    <col customWidth="1" min="12" max="20" width="3.88"/>
    <col customWidth="1" min="21" max="38" width="7.0"/>
    <col customWidth="1" min="39" max="41" width="12.63"/>
    <col customWidth="1" min="42" max="42" width="1.38"/>
    <col customWidth="1" min="43" max="44" width="12.13"/>
    <col customWidth="1" min="45" max="45" width="1.38"/>
  </cols>
  <sheetData>
    <row r="1">
      <c r="A1" s="921" t="s">
        <v>228</v>
      </c>
      <c r="B1" s="923" t="s">
        <v>448</v>
      </c>
      <c r="C1" s="924" t="s">
        <v>449</v>
      </c>
      <c r="D1" s="653" t="s">
        <v>450</v>
      </c>
      <c r="E1" s="926" t="s">
        <v>451</v>
      </c>
      <c r="F1" s="921"/>
      <c r="G1" s="927" t="s">
        <v>452</v>
      </c>
      <c r="H1" s="928" t="s">
        <v>453</v>
      </c>
      <c r="I1" s="929" t="s">
        <v>454</v>
      </c>
      <c r="J1" s="653" t="s">
        <v>455</v>
      </c>
      <c r="K1" s="925"/>
      <c r="L1" s="924" t="s">
        <v>456</v>
      </c>
      <c r="M1" s="924" t="s">
        <v>457</v>
      </c>
      <c r="N1" s="924" t="s">
        <v>458</v>
      </c>
      <c r="O1" s="924" t="s">
        <v>460</v>
      </c>
      <c r="P1" s="924" t="s">
        <v>461</v>
      </c>
      <c r="Q1" s="924" t="s">
        <v>462</v>
      </c>
      <c r="R1" s="924">
        <v>0.0</v>
      </c>
      <c r="S1" s="924">
        <v>252.0</v>
      </c>
      <c r="T1" s="924" t="s">
        <v>463</v>
      </c>
      <c r="U1" s="653" t="s">
        <v>136</v>
      </c>
      <c r="V1" s="653" t="s">
        <v>341</v>
      </c>
      <c r="W1" s="653" t="s">
        <v>128</v>
      </c>
      <c r="X1" s="653" t="s">
        <v>178</v>
      </c>
      <c r="Y1" s="653" t="s">
        <v>80</v>
      </c>
      <c r="Z1" s="653" t="s">
        <v>342</v>
      </c>
      <c r="AA1" s="653" t="s">
        <v>343</v>
      </c>
      <c r="AB1" s="653" t="s">
        <v>215</v>
      </c>
      <c r="AC1" s="653" t="s">
        <v>82</v>
      </c>
      <c r="AD1" s="653" t="s">
        <v>150</v>
      </c>
      <c r="AE1" s="653" t="s">
        <v>81</v>
      </c>
      <c r="AF1" s="653" t="s">
        <v>209</v>
      </c>
      <c r="AG1" s="653" t="s">
        <v>203</v>
      </c>
      <c r="AH1" s="653" t="s">
        <v>344</v>
      </c>
      <c r="AI1" s="653" t="s">
        <v>345</v>
      </c>
      <c r="AJ1" s="653" t="s">
        <v>346</v>
      </c>
      <c r="AK1" s="653" t="s">
        <v>193</v>
      </c>
      <c r="AL1" s="653" t="s">
        <v>127</v>
      </c>
      <c r="AM1" s="924" t="s">
        <v>464</v>
      </c>
      <c r="AN1" s="931" t="s">
        <v>465</v>
      </c>
      <c r="AO1" s="932" t="s">
        <v>466</v>
      </c>
      <c r="AP1" s="933"/>
      <c r="AQ1" s="934" t="s">
        <v>467</v>
      </c>
      <c r="AR1" s="935" t="s">
        <v>468</v>
      </c>
      <c r="AS1" s="933"/>
    </row>
    <row r="2" ht="15.75" customHeight="1">
      <c r="A2" s="936"/>
      <c r="B2" s="937" t="s">
        <v>216</v>
      </c>
      <c r="C2" s="938" t="s">
        <v>216</v>
      </c>
      <c r="D2" s="938" t="s">
        <v>216</v>
      </c>
      <c r="E2" s="939" t="s">
        <v>216</v>
      </c>
      <c r="F2" s="940"/>
      <c r="G2" s="941"/>
      <c r="H2" s="943" t="s">
        <v>216</v>
      </c>
      <c r="I2" s="938" t="s">
        <v>216</v>
      </c>
      <c r="J2" s="938" t="s">
        <v>216</v>
      </c>
      <c r="K2" s="938" t="s">
        <v>216</v>
      </c>
      <c r="L2" s="944" t="s">
        <v>216</v>
      </c>
      <c r="M2" s="945" t="s">
        <v>216</v>
      </c>
      <c r="N2" s="945" t="s">
        <v>216</v>
      </c>
      <c r="O2" s="945" t="s">
        <v>216</v>
      </c>
      <c r="P2" s="945" t="s">
        <v>216</v>
      </c>
      <c r="Q2" s="945" t="s">
        <v>216</v>
      </c>
      <c r="R2" s="945" t="s">
        <v>216</v>
      </c>
      <c r="S2" s="945" t="s">
        <v>216</v>
      </c>
      <c r="T2" s="945" t="s">
        <v>216</v>
      </c>
      <c r="U2" s="945" t="s">
        <v>216</v>
      </c>
      <c r="V2" s="945" t="s">
        <v>216</v>
      </c>
      <c r="W2" s="945" t="s">
        <v>216</v>
      </c>
      <c r="X2" s="945" t="s">
        <v>216</v>
      </c>
      <c r="Y2" s="945" t="s">
        <v>216</v>
      </c>
      <c r="Z2" s="945" t="s">
        <v>216</v>
      </c>
      <c r="AA2" s="945" t="s">
        <v>216</v>
      </c>
      <c r="AB2" s="945" t="s">
        <v>216</v>
      </c>
      <c r="AC2" s="945" t="s">
        <v>216</v>
      </c>
      <c r="AD2" s="945" t="s">
        <v>216</v>
      </c>
      <c r="AE2" s="945" t="s">
        <v>216</v>
      </c>
      <c r="AF2" s="945" t="s">
        <v>216</v>
      </c>
      <c r="AG2" s="945" t="s">
        <v>216</v>
      </c>
      <c r="AH2" s="945" t="s">
        <v>216</v>
      </c>
      <c r="AI2" s="945" t="s">
        <v>216</v>
      </c>
      <c r="AJ2" s="945" t="s">
        <v>216</v>
      </c>
      <c r="AK2" s="945" t="s">
        <v>216</v>
      </c>
      <c r="AL2" s="945" t="s">
        <v>216</v>
      </c>
      <c r="AM2" s="938" t="s">
        <v>216</v>
      </c>
      <c r="AN2" s="938" t="s">
        <v>216</v>
      </c>
      <c r="AO2" s="939" t="s">
        <v>216</v>
      </c>
      <c r="AP2" s="936"/>
      <c r="AQ2" s="946" t="s">
        <v>216</v>
      </c>
      <c r="AR2" s="947" t="s">
        <v>216</v>
      </c>
      <c r="AS2" s="936"/>
    </row>
    <row r="3" ht="15.75" customHeight="1">
      <c r="A3" s="936"/>
      <c r="B3" s="948" t="s">
        <v>471</v>
      </c>
      <c r="C3" s="950" t="s">
        <v>472</v>
      </c>
      <c r="D3" s="950" t="s">
        <v>472</v>
      </c>
      <c r="E3" s="952" t="s">
        <v>472</v>
      </c>
      <c r="F3" s="940"/>
      <c r="G3" s="953"/>
      <c r="H3" s="955" t="str">
        <f t="array" ref="H3:H1264">IMAGE("https://raw.githubusercontent.com/Autumnchi/coloured-box-sprites/main/"&amp;C3:C1264&amp;".png",3)</f>
        <v/>
      </c>
      <c r="I3" s="956" t="s">
        <v>474</v>
      </c>
      <c r="J3" s="957" t="s">
        <v>209</v>
      </c>
      <c r="K3" s="958" t="s">
        <v>178</v>
      </c>
      <c r="L3" s="959">
        <v>45.0</v>
      </c>
      <c r="M3" s="960">
        <v>49.0</v>
      </c>
      <c r="N3" s="960">
        <v>49.0</v>
      </c>
      <c r="O3" s="960">
        <v>65.0</v>
      </c>
      <c r="P3" s="960">
        <v>65.0</v>
      </c>
      <c r="Q3" s="960">
        <v>45.0</v>
      </c>
      <c r="R3" s="960">
        <f t="array" ref="R3:R1264">IF(Q3:Q1264="","",Q3:Q1264*2+36)</f>
        <v>126</v>
      </c>
      <c r="S3" s="960">
        <f t="array" ref="S3:S1264">IF(Q3:Q1264="","",Q3:Q1264*2+99)</f>
        <v>189</v>
      </c>
      <c r="T3" s="960">
        <f t="array" ref="T3:T1264">IF(Q3:Q1264="","",ROUNDDOWN((Q3:Q1264*2+99)*1.1,0))</f>
        <v>207</v>
      </c>
      <c r="U3" s="960">
        <f t="array" ref="U3">HLOOKUP($J3,'Type Chart'!$C$2:$T$20,2,false)*HLOOKUP($K3,'Type Chart'!$C$2:$U$20,2,false)</f>
        <v>1</v>
      </c>
      <c r="V3" s="960">
        <f t="array" ref="V3">HLOOKUP($J3,'Type Chart'!$C$2:$T$20,3,false)*HLOOKUP($K3,'Type Chart'!$C$2:$U$20,3,false)</f>
        <v>0.5</v>
      </c>
      <c r="W3" s="960">
        <f t="array" ref="W3">HLOOKUP($J3,'Type Chart'!$C$2:$T$20,4,false)*HLOOKUP($K3,'Type Chart'!$C$2:$U$20,4,false)</f>
        <v>2</v>
      </c>
      <c r="X3" s="960">
        <f t="array" ref="X3">HLOOKUP($J3,'Type Chart'!$C$2:$T$20,5,false)*HLOOKUP($K3,'Type Chart'!$C$2:$U$20,5,false)</f>
        <v>1</v>
      </c>
      <c r="Y3" s="960">
        <f t="array" ref="Y3">HLOOKUP($J3,'Type Chart'!$C$2:$T$20,6,false)*HLOOKUP($K3,'Type Chart'!$C$2:$U$20,6,false)</f>
        <v>1</v>
      </c>
      <c r="Z3" s="960">
        <f t="array" ref="Z3">HLOOKUP($J3,'Type Chart'!$C$2:$T$20,7,false)*HLOOKUP($K3,'Type Chart'!$C$2:$U$20,7,false)</f>
        <v>1</v>
      </c>
      <c r="AA3" s="960">
        <f t="array" ref="AA3">HLOOKUP($J3,'Type Chart'!$C$2:$T$20,8,false)*HLOOKUP($K3,'Type Chart'!$C$2:$U$20,8,false)</f>
        <v>1</v>
      </c>
      <c r="AB3" s="960">
        <f t="array" ref="AB3">HLOOKUP($J3,'Type Chart'!$C$2:$T$20,9,false)*HLOOKUP($K3,'Type Chart'!$C$2:$U$20,9,false)</f>
        <v>1</v>
      </c>
      <c r="AC3" s="960">
        <f t="array" ref="AC3">HLOOKUP($J3,'Type Chart'!$C$2:$T$20,10,false)*HLOOKUP($K3,'Type Chart'!$C$2:$U$20,10,false)</f>
        <v>1</v>
      </c>
      <c r="AD3" s="960">
        <f t="array" ref="AD3">HLOOKUP($J3,'Type Chart'!$C$2:$T$20,11,false)*HLOOKUP($K3,'Type Chart'!$C$2:$U$20,11,false)</f>
        <v>2</v>
      </c>
      <c r="AE3" s="960">
        <f t="array" ref="AE3">HLOOKUP($J3,'Type Chart'!$C$2:$T$20,12,false)*HLOOKUP($K3,'Type Chart'!$C$2:$U$20,12,false)</f>
        <v>0.5</v>
      </c>
      <c r="AF3" s="960">
        <f t="array" ref="AF3">HLOOKUP($J3,'Type Chart'!$C$2:$T$20,13,false)*HLOOKUP($K3,'Type Chart'!$C$2:$U$20,13,false)</f>
        <v>0.25</v>
      </c>
      <c r="AG3" s="960">
        <f t="array" ref="AG3">HLOOKUP($J3,'Type Chart'!$C$2:$T$20,14,false)*HLOOKUP($K3,'Type Chart'!$C$2:$U$20,14,false)</f>
        <v>0.5</v>
      </c>
      <c r="AH3" s="960">
        <f t="array" ref="AH3">HLOOKUP($J3,'Type Chart'!$C$2:$T$20,15,false)*HLOOKUP($K3,'Type Chart'!$C$2:$U$20,15,false)</f>
        <v>2</v>
      </c>
      <c r="AI3" s="960">
        <f t="array" ref="AI3">HLOOKUP($J3,'Type Chart'!$C$2:$T$20,16,false)*HLOOKUP($K3,'Type Chart'!$C$2:$U$20,16,false)</f>
        <v>2</v>
      </c>
      <c r="AJ3" s="960">
        <f t="array" ref="AJ3">HLOOKUP($J3,'Type Chart'!$C$2:$T$20,17,false)*HLOOKUP($K3,'Type Chart'!$C$2:$U$20,17,false)</f>
        <v>1</v>
      </c>
      <c r="AK3" s="960">
        <f t="array" ref="AK3">HLOOKUP($J3,'Type Chart'!$C$2:$T$20,18,false)*HLOOKUP($K3,'Type Chart'!$C$2:$U$20,18,false)</f>
        <v>1</v>
      </c>
      <c r="AL3" s="960">
        <f t="array" ref="AL3">HLOOKUP($J3,'Type Chart'!$C$2:$T$20,19,false)*HLOOKUP($K3,'Type Chart'!$C$2:$U$20,19,false)</f>
        <v>0.5</v>
      </c>
      <c r="AM3" s="964" t="s">
        <v>522</v>
      </c>
      <c r="AN3" s="965"/>
      <c r="AO3" s="966" t="s">
        <v>524</v>
      </c>
      <c r="AP3" s="936"/>
      <c r="AQ3" s="967"/>
      <c r="AR3" s="968"/>
      <c r="AS3" s="936"/>
    </row>
    <row r="4" ht="15.75" customHeight="1">
      <c r="A4" s="936"/>
      <c r="B4" s="948" t="s">
        <v>525</v>
      </c>
      <c r="C4" s="950" t="s">
        <v>526</v>
      </c>
      <c r="D4" s="950" t="s">
        <v>526</v>
      </c>
      <c r="E4" s="952" t="s">
        <v>526</v>
      </c>
      <c r="F4" s="940"/>
      <c r="G4" s="953"/>
      <c r="H4" s="969"/>
      <c r="I4" s="956" t="s">
        <v>528</v>
      </c>
      <c r="J4" s="957" t="s">
        <v>209</v>
      </c>
      <c r="K4" s="958" t="s">
        <v>178</v>
      </c>
      <c r="L4" s="959">
        <v>60.0</v>
      </c>
      <c r="M4" s="960">
        <v>62.0</v>
      </c>
      <c r="N4" s="960">
        <v>63.0</v>
      </c>
      <c r="O4" s="960">
        <v>80.0</v>
      </c>
      <c r="P4" s="960">
        <v>80.0</v>
      </c>
      <c r="Q4" s="960">
        <v>60.0</v>
      </c>
      <c r="R4" s="960">
        <v>156.0</v>
      </c>
      <c r="S4" s="960">
        <v>219.0</v>
      </c>
      <c r="T4" s="960">
        <v>240.0</v>
      </c>
      <c r="U4" s="960">
        <f t="array" ref="U4">HLOOKUP($J4,'Type Chart'!$C$2:$T$20,2,false)*HLOOKUP($K4,'Type Chart'!$C$2:$U$20,2,false)</f>
        <v>1</v>
      </c>
      <c r="V4" s="960">
        <f t="array" ref="V4">HLOOKUP($J4,'Type Chart'!$C$2:$T$20,3,false)*HLOOKUP($K4,'Type Chart'!$C$2:$U$20,3,false)</f>
        <v>0.5</v>
      </c>
      <c r="W4" s="960">
        <f t="array" ref="W4">HLOOKUP($J4,'Type Chart'!$C$2:$T$20,4,false)*HLOOKUP($K4,'Type Chart'!$C$2:$U$20,4,false)</f>
        <v>2</v>
      </c>
      <c r="X4" s="960">
        <f t="array" ref="X4">HLOOKUP($J4,'Type Chart'!$C$2:$T$20,5,false)*HLOOKUP($K4,'Type Chart'!$C$2:$U$20,5,false)</f>
        <v>1</v>
      </c>
      <c r="Y4" s="960">
        <f t="array" ref="Y4">HLOOKUP($J4,'Type Chart'!$C$2:$T$20,6,false)*HLOOKUP($K4,'Type Chart'!$C$2:$U$20,6,false)</f>
        <v>1</v>
      </c>
      <c r="Z4" s="960">
        <f t="array" ref="Z4">HLOOKUP($J4,'Type Chart'!$C$2:$T$20,7,false)*HLOOKUP($K4,'Type Chart'!$C$2:$U$20,7,false)</f>
        <v>1</v>
      </c>
      <c r="AA4" s="960">
        <f t="array" ref="AA4">HLOOKUP($J4,'Type Chart'!$C$2:$T$20,8,false)*HLOOKUP($K4,'Type Chart'!$C$2:$U$20,8,false)</f>
        <v>1</v>
      </c>
      <c r="AB4" s="960">
        <f t="array" ref="AB4">HLOOKUP($J4,'Type Chart'!$C$2:$T$20,9,false)*HLOOKUP($K4,'Type Chart'!$C$2:$U$20,9,false)</f>
        <v>1</v>
      </c>
      <c r="AC4" s="960">
        <f t="array" ref="AC4">HLOOKUP($J4,'Type Chart'!$C$2:$T$20,10,false)*HLOOKUP($K4,'Type Chart'!$C$2:$U$20,10,false)</f>
        <v>1</v>
      </c>
      <c r="AD4" s="960">
        <f t="array" ref="AD4">HLOOKUP($J4,'Type Chart'!$C$2:$T$20,11,false)*HLOOKUP($K4,'Type Chart'!$C$2:$U$20,11,false)</f>
        <v>2</v>
      </c>
      <c r="AE4" s="960">
        <f t="array" ref="AE4">HLOOKUP($J4,'Type Chart'!$C$2:$T$20,12,false)*HLOOKUP($K4,'Type Chart'!$C$2:$U$20,12,false)</f>
        <v>0.5</v>
      </c>
      <c r="AF4" s="960">
        <f t="array" ref="AF4">HLOOKUP($J4,'Type Chart'!$C$2:$T$20,13,false)*HLOOKUP($K4,'Type Chart'!$C$2:$U$20,13,false)</f>
        <v>0.25</v>
      </c>
      <c r="AG4" s="960">
        <f t="array" ref="AG4">HLOOKUP($J4,'Type Chart'!$C$2:$T$20,14,false)*HLOOKUP($K4,'Type Chart'!$C$2:$U$20,14,false)</f>
        <v>0.5</v>
      </c>
      <c r="AH4" s="960">
        <f t="array" ref="AH4">HLOOKUP($J4,'Type Chart'!$C$2:$T$20,15,false)*HLOOKUP($K4,'Type Chart'!$C$2:$U$20,15,false)</f>
        <v>2</v>
      </c>
      <c r="AI4" s="960">
        <f t="array" ref="AI4">HLOOKUP($J4,'Type Chart'!$C$2:$T$20,16,false)*HLOOKUP($K4,'Type Chart'!$C$2:$U$20,16,false)</f>
        <v>2</v>
      </c>
      <c r="AJ4" s="960">
        <f t="array" ref="AJ4">HLOOKUP($J4,'Type Chart'!$C$2:$T$20,17,false)*HLOOKUP($K4,'Type Chart'!$C$2:$U$20,17,false)</f>
        <v>1</v>
      </c>
      <c r="AK4" s="960">
        <f t="array" ref="AK4">HLOOKUP($J4,'Type Chart'!$C$2:$T$20,18,false)*HLOOKUP($K4,'Type Chart'!$C$2:$U$20,18,false)</f>
        <v>1</v>
      </c>
      <c r="AL4" s="960">
        <f t="array" ref="AL4">HLOOKUP($J4,'Type Chart'!$C$2:$T$20,19,false)*HLOOKUP($K4,'Type Chart'!$C$2:$U$20,19,false)</f>
        <v>0.5</v>
      </c>
      <c r="AM4" s="964" t="s">
        <v>522</v>
      </c>
      <c r="AN4" s="965"/>
      <c r="AO4" s="966" t="s">
        <v>524</v>
      </c>
      <c r="AP4" s="936"/>
      <c r="AQ4" s="967"/>
      <c r="AR4" s="968"/>
      <c r="AS4" s="936"/>
    </row>
    <row r="5" ht="15.75" customHeight="1">
      <c r="A5" s="936"/>
      <c r="B5" s="948" t="s">
        <v>610</v>
      </c>
      <c r="C5" s="950" t="s">
        <v>611</v>
      </c>
      <c r="D5" s="950" t="s">
        <v>611</v>
      </c>
      <c r="E5" s="952" t="s">
        <v>611</v>
      </c>
      <c r="F5" s="940"/>
      <c r="G5" s="953"/>
      <c r="H5" s="969"/>
      <c r="I5" s="956" t="s">
        <v>312</v>
      </c>
      <c r="J5" s="957" t="s">
        <v>209</v>
      </c>
      <c r="K5" s="958" t="s">
        <v>178</v>
      </c>
      <c r="L5" s="959">
        <v>80.0</v>
      </c>
      <c r="M5" s="960">
        <v>82.0</v>
      </c>
      <c r="N5" s="960">
        <v>83.0</v>
      </c>
      <c r="O5" s="960">
        <v>100.0</v>
      </c>
      <c r="P5" s="960">
        <v>100.0</v>
      </c>
      <c r="Q5" s="960">
        <v>80.0</v>
      </c>
      <c r="R5" s="960">
        <v>196.0</v>
      </c>
      <c r="S5" s="960">
        <v>259.0</v>
      </c>
      <c r="T5" s="960">
        <v>284.0</v>
      </c>
      <c r="U5" s="960">
        <f t="array" ref="U5">HLOOKUP($J5,'Type Chart'!$C$2:$T$20,2,false)*HLOOKUP($K5,'Type Chart'!$C$2:$U$20,2,false)</f>
        <v>1</v>
      </c>
      <c r="V5" s="960">
        <f t="array" ref="V5">HLOOKUP($J5,'Type Chart'!$C$2:$T$20,3,false)*HLOOKUP($K5,'Type Chart'!$C$2:$U$20,3,false)</f>
        <v>0.5</v>
      </c>
      <c r="W5" s="960">
        <f t="array" ref="W5">HLOOKUP($J5,'Type Chart'!$C$2:$T$20,4,false)*HLOOKUP($K5,'Type Chart'!$C$2:$U$20,4,false)</f>
        <v>2</v>
      </c>
      <c r="X5" s="960">
        <f t="array" ref="X5">HLOOKUP($J5,'Type Chart'!$C$2:$T$20,5,false)*HLOOKUP($K5,'Type Chart'!$C$2:$U$20,5,false)</f>
        <v>1</v>
      </c>
      <c r="Y5" s="960">
        <f t="array" ref="Y5">HLOOKUP($J5,'Type Chart'!$C$2:$T$20,6,false)*HLOOKUP($K5,'Type Chart'!$C$2:$U$20,6,false)</f>
        <v>1</v>
      </c>
      <c r="Z5" s="960">
        <f t="array" ref="Z5">HLOOKUP($J5,'Type Chart'!$C$2:$T$20,7,false)*HLOOKUP($K5,'Type Chart'!$C$2:$U$20,7,false)</f>
        <v>1</v>
      </c>
      <c r="AA5" s="960">
        <f t="array" ref="AA5">HLOOKUP($J5,'Type Chart'!$C$2:$T$20,8,false)*HLOOKUP($K5,'Type Chart'!$C$2:$U$20,8,false)</f>
        <v>1</v>
      </c>
      <c r="AB5" s="960">
        <f t="array" ref="AB5">HLOOKUP($J5,'Type Chart'!$C$2:$T$20,9,false)*HLOOKUP($K5,'Type Chart'!$C$2:$U$20,9,false)</f>
        <v>1</v>
      </c>
      <c r="AC5" s="960">
        <f t="array" ref="AC5">HLOOKUP($J5,'Type Chart'!$C$2:$T$20,10,false)*HLOOKUP($K5,'Type Chart'!$C$2:$U$20,10,false)</f>
        <v>1</v>
      </c>
      <c r="AD5" s="960">
        <f t="array" ref="AD5">HLOOKUP($J5,'Type Chart'!$C$2:$T$20,11,false)*HLOOKUP($K5,'Type Chart'!$C$2:$U$20,11,false)</f>
        <v>2</v>
      </c>
      <c r="AE5" s="960">
        <f t="array" ref="AE5">HLOOKUP($J5,'Type Chart'!$C$2:$T$20,12,false)*HLOOKUP($K5,'Type Chart'!$C$2:$U$20,12,false)</f>
        <v>0.5</v>
      </c>
      <c r="AF5" s="960">
        <f t="array" ref="AF5">HLOOKUP($J5,'Type Chart'!$C$2:$T$20,13,false)*HLOOKUP($K5,'Type Chart'!$C$2:$U$20,13,false)</f>
        <v>0.25</v>
      </c>
      <c r="AG5" s="960">
        <f t="array" ref="AG5">HLOOKUP($J5,'Type Chart'!$C$2:$T$20,14,false)*HLOOKUP($K5,'Type Chart'!$C$2:$U$20,14,false)</f>
        <v>0.5</v>
      </c>
      <c r="AH5" s="960">
        <f t="array" ref="AH5">HLOOKUP($J5,'Type Chart'!$C$2:$T$20,15,false)*HLOOKUP($K5,'Type Chart'!$C$2:$U$20,15,false)</f>
        <v>2</v>
      </c>
      <c r="AI5" s="960">
        <f t="array" ref="AI5">HLOOKUP($J5,'Type Chart'!$C$2:$T$20,16,false)*HLOOKUP($K5,'Type Chart'!$C$2:$U$20,16,false)</f>
        <v>2</v>
      </c>
      <c r="AJ5" s="960">
        <f t="array" ref="AJ5">HLOOKUP($J5,'Type Chart'!$C$2:$T$20,17,false)*HLOOKUP($K5,'Type Chart'!$C$2:$U$20,17,false)</f>
        <v>1</v>
      </c>
      <c r="AK5" s="960">
        <f t="array" ref="AK5">HLOOKUP($J5,'Type Chart'!$C$2:$T$20,18,false)*HLOOKUP($K5,'Type Chart'!$C$2:$U$20,18,false)</f>
        <v>1</v>
      </c>
      <c r="AL5" s="960">
        <f t="array" ref="AL5">HLOOKUP($J5,'Type Chart'!$C$2:$T$20,19,false)*HLOOKUP($K5,'Type Chart'!$C$2:$U$20,19,false)</f>
        <v>0.5</v>
      </c>
      <c r="AM5" s="964" t="s">
        <v>522</v>
      </c>
      <c r="AN5" s="965"/>
      <c r="AO5" s="966" t="s">
        <v>524</v>
      </c>
      <c r="AP5" s="936"/>
      <c r="AQ5" s="967"/>
      <c r="AR5" s="968"/>
      <c r="AS5" s="936"/>
    </row>
    <row r="6" ht="15.75" customHeight="1">
      <c r="A6" s="936"/>
      <c r="B6" s="948" t="s">
        <v>683</v>
      </c>
      <c r="C6" s="950" t="s">
        <v>684</v>
      </c>
      <c r="D6" s="950" t="s">
        <v>684</v>
      </c>
      <c r="E6" s="952" t="s">
        <v>684</v>
      </c>
      <c r="F6" s="940"/>
      <c r="G6" s="953"/>
      <c r="H6" s="969"/>
      <c r="I6" s="956" t="s">
        <v>686</v>
      </c>
      <c r="J6" s="957" t="s">
        <v>209</v>
      </c>
      <c r="K6" s="958" t="s">
        <v>178</v>
      </c>
      <c r="L6" s="959">
        <v>80.0</v>
      </c>
      <c r="M6" s="960">
        <v>100.0</v>
      </c>
      <c r="N6" s="960">
        <v>123.0</v>
      </c>
      <c r="O6" s="960">
        <v>122.0</v>
      </c>
      <c r="P6" s="960">
        <v>120.0</v>
      </c>
      <c r="Q6" s="960">
        <v>80.0</v>
      </c>
      <c r="R6" s="960">
        <v>196.0</v>
      </c>
      <c r="S6" s="960">
        <v>259.0</v>
      </c>
      <c r="T6" s="960">
        <v>284.0</v>
      </c>
      <c r="U6" s="960">
        <f t="array" ref="U6">HLOOKUP($J6,'Type Chart'!$C$2:$T$20,2,false)*HLOOKUP($K6,'Type Chart'!$C$2:$U$20,2,false)</f>
        <v>1</v>
      </c>
      <c r="V6" s="960">
        <f t="array" ref="V6">HLOOKUP($J6,'Type Chart'!$C$2:$T$20,3,false)*HLOOKUP($K6,'Type Chart'!$C$2:$U$20,3,false)</f>
        <v>0.5</v>
      </c>
      <c r="W6" s="960">
        <f t="array" ref="W6">HLOOKUP($J6,'Type Chart'!$C$2:$T$20,4,false)*HLOOKUP($K6,'Type Chart'!$C$2:$U$20,4,false)</f>
        <v>2</v>
      </c>
      <c r="X6" s="960">
        <f t="array" ref="X6">HLOOKUP($J6,'Type Chart'!$C$2:$T$20,5,false)*HLOOKUP($K6,'Type Chart'!$C$2:$U$20,5,false)</f>
        <v>1</v>
      </c>
      <c r="Y6" s="960">
        <f t="array" ref="Y6">HLOOKUP($J6,'Type Chart'!$C$2:$T$20,6,false)*HLOOKUP($K6,'Type Chart'!$C$2:$U$20,6,false)</f>
        <v>1</v>
      </c>
      <c r="Z6" s="960">
        <f t="array" ref="Z6">HLOOKUP($J6,'Type Chart'!$C$2:$T$20,7,false)*HLOOKUP($K6,'Type Chart'!$C$2:$U$20,7,false)</f>
        <v>1</v>
      </c>
      <c r="AA6" s="960">
        <f t="array" ref="AA6">HLOOKUP($J6,'Type Chart'!$C$2:$T$20,8,false)*HLOOKUP($K6,'Type Chart'!$C$2:$U$20,8,false)</f>
        <v>1</v>
      </c>
      <c r="AB6" s="960">
        <f t="array" ref="AB6">HLOOKUP($J6,'Type Chart'!$C$2:$T$20,9,false)*HLOOKUP($K6,'Type Chart'!$C$2:$U$20,9,false)</f>
        <v>1</v>
      </c>
      <c r="AC6" s="960">
        <f t="array" ref="AC6">HLOOKUP($J6,'Type Chart'!$C$2:$T$20,10,false)*HLOOKUP($K6,'Type Chart'!$C$2:$U$20,10,false)</f>
        <v>1</v>
      </c>
      <c r="AD6" s="960">
        <f t="array" ref="AD6">HLOOKUP($J6,'Type Chart'!$C$2:$T$20,11,false)*HLOOKUP($K6,'Type Chart'!$C$2:$U$20,11,false)</f>
        <v>2</v>
      </c>
      <c r="AE6" s="960">
        <f t="array" ref="AE6">HLOOKUP($J6,'Type Chart'!$C$2:$T$20,12,false)*HLOOKUP($K6,'Type Chart'!$C$2:$U$20,12,false)</f>
        <v>0.5</v>
      </c>
      <c r="AF6" s="960">
        <f t="array" ref="AF6">HLOOKUP($J6,'Type Chart'!$C$2:$T$20,13,false)*HLOOKUP($K6,'Type Chart'!$C$2:$U$20,13,false)</f>
        <v>0.25</v>
      </c>
      <c r="AG6" s="960">
        <f t="array" ref="AG6">HLOOKUP($J6,'Type Chart'!$C$2:$T$20,14,false)*HLOOKUP($K6,'Type Chart'!$C$2:$U$20,14,false)</f>
        <v>0.5</v>
      </c>
      <c r="AH6" s="960">
        <f t="array" ref="AH6">HLOOKUP($J6,'Type Chart'!$C$2:$T$20,15,false)*HLOOKUP($K6,'Type Chart'!$C$2:$U$20,15,false)</f>
        <v>2</v>
      </c>
      <c r="AI6" s="960">
        <f t="array" ref="AI6">HLOOKUP($J6,'Type Chart'!$C$2:$T$20,16,false)*HLOOKUP($K6,'Type Chart'!$C$2:$U$20,16,false)</f>
        <v>2</v>
      </c>
      <c r="AJ6" s="960">
        <f t="array" ref="AJ6">HLOOKUP($J6,'Type Chart'!$C$2:$T$20,17,false)*HLOOKUP($K6,'Type Chart'!$C$2:$U$20,17,false)</f>
        <v>1</v>
      </c>
      <c r="AK6" s="960">
        <f t="array" ref="AK6">HLOOKUP($J6,'Type Chart'!$C$2:$T$20,18,false)*HLOOKUP($K6,'Type Chart'!$C$2:$U$20,18,false)</f>
        <v>1</v>
      </c>
      <c r="AL6" s="960">
        <f t="array" ref="AL6">HLOOKUP($J6,'Type Chart'!$C$2:$T$20,19,false)*HLOOKUP($K6,'Type Chart'!$C$2:$U$20,19,false)</f>
        <v>0.5</v>
      </c>
      <c r="AM6" s="964" t="s">
        <v>760</v>
      </c>
      <c r="AN6" s="965"/>
      <c r="AO6" s="966"/>
      <c r="AP6" s="936"/>
      <c r="AQ6" s="967"/>
      <c r="AR6" s="968"/>
      <c r="AS6" s="936"/>
    </row>
    <row r="7" ht="15.75" customHeight="1">
      <c r="A7" s="936"/>
      <c r="B7" s="948" t="s">
        <v>762</v>
      </c>
      <c r="C7" s="950" t="s">
        <v>763</v>
      </c>
      <c r="D7" s="950" t="s">
        <v>763</v>
      </c>
      <c r="E7" s="952" t="s">
        <v>763</v>
      </c>
      <c r="F7" s="940"/>
      <c r="G7" s="953"/>
      <c r="H7" s="969"/>
      <c r="I7" s="956" t="s">
        <v>764</v>
      </c>
      <c r="J7" s="982" t="s">
        <v>150</v>
      </c>
      <c r="K7" s="984" t="s">
        <v>216</v>
      </c>
      <c r="L7" s="959">
        <v>39.0</v>
      </c>
      <c r="M7" s="960">
        <v>52.0</v>
      </c>
      <c r="N7" s="960">
        <v>43.0</v>
      </c>
      <c r="O7" s="960">
        <v>60.0</v>
      </c>
      <c r="P7" s="960">
        <v>50.0</v>
      </c>
      <c r="Q7" s="960">
        <v>65.0</v>
      </c>
      <c r="R7" s="960">
        <v>166.0</v>
      </c>
      <c r="S7" s="960">
        <v>229.0</v>
      </c>
      <c r="T7" s="960">
        <v>251.0</v>
      </c>
      <c r="U7" s="960">
        <f t="array" ref="U7">HLOOKUP($J7,'Type Chart'!$C$2:$T$20,2,false)*HLOOKUP($K7,'Type Chart'!$C$2:$U$20,2,false)</f>
        <v>1</v>
      </c>
      <c r="V7" s="960">
        <f t="array" ref="V7">HLOOKUP($J7,'Type Chart'!$C$2:$T$20,3,false)*HLOOKUP($K7,'Type Chart'!$C$2:$U$20,3,false)</f>
        <v>1</v>
      </c>
      <c r="W7" s="960">
        <f t="array" ref="W7">HLOOKUP($J7,'Type Chart'!$C$2:$T$20,4,false)*HLOOKUP($K7,'Type Chart'!$C$2:$U$20,4,false)</f>
        <v>1</v>
      </c>
      <c r="X7" s="960">
        <f t="array" ref="X7">HLOOKUP($J7,'Type Chart'!$C$2:$T$20,5,false)*HLOOKUP($K7,'Type Chart'!$C$2:$U$20,5,false)</f>
        <v>1</v>
      </c>
      <c r="Y7" s="960">
        <f t="array" ref="Y7">HLOOKUP($J7,'Type Chart'!$C$2:$T$20,6,false)*HLOOKUP($K7,'Type Chart'!$C$2:$U$20,6,false)</f>
        <v>2</v>
      </c>
      <c r="Z7" s="986">
        <f t="array" ref="Z7">HLOOKUP($J7,'Type Chart'!$C$2:$T$20,7,false)*HLOOKUP($K7,'Type Chart'!$C$2:$U$20,7,false)</f>
        <v>2</v>
      </c>
      <c r="AA7" s="960">
        <f t="array" ref="AA7">HLOOKUP($J7,'Type Chart'!$C$2:$T$20,8,false)*HLOOKUP($K7,'Type Chart'!$C$2:$U$20,8,false)</f>
        <v>0.5</v>
      </c>
      <c r="AB7" s="960">
        <f t="array" ref="AB7">HLOOKUP($J7,'Type Chart'!$C$2:$T$20,9,false)*HLOOKUP($K7,'Type Chart'!$C$2:$U$20,9,false)</f>
        <v>1</v>
      </c>
      <c r="AC7" s="960">
        <f t="array" ref="AC7">HLOOKUP($J7,'Type Chart'!$C$2:$T$20,10,false)*HLOOKUP($K7,'Type Chart'!$C$2:$U$20,10,false)</f>
        <v>0.5</v>
      </c>
      <c r="AD7" s="960">
        <f t="array" ref="AD7">HLOOKUP($J7,'Type Chart'!$C$2:$T$20,11,false)*HLOOKUP($K7,'Type Chart'!$C$2:$U$20,11,false)</f>
        <v>0.5</v>
      </c>
      <c r="AE7" s="960">
        <f t="array" ref="AE7">HLOOKUP($J7,'Type Chart'!$C$2:$T$20,12,false)*HLOOKUP($K7,'Type Chart'!$C$2:$U$20,12,false)</f>
        <v>2</v>
      </c>
      <c r="AF7" s="960">
        <f t="array" ref="AF7">HLOOKUP($J7,'Type Chart'!$C$2:$T$20,13,false)*HLOOKUP($K7,'Type Chart'!$C$2:$U$20,13,false)</f>
        <v>0.5</v>
      </c>
      <c r="AG7" s="960">
        <f t="array" ref="AG7">HLOOKUP($J7,'Type Chart'!$C$2:$T$20,14,false)*HLOOKUP($K7,'Type Chart'!$C$2:$U$20,14,false)</f>
        <v>1</v>
      </c>
      <c r="AH7" s="960">
        <f t="array" ref="AH7">HLOOKUP($J7,'Type Chart'!$C$2:$T$20,15,false)*HLOOKUP($K7,'Type Chart'!$C$2:$U$20,15,false)</f>
        <v>1</v>
      </c>
      <c r="AI7" s="960">
        <f t="array" ref="AI7">HLOOKUP($J7,'Type Chart'!$C$2:$T$20,16,false)*HLOOKUP($K7,'Type Chart'!$C$2:$U$20,16,false)</f>
        <v>0.5</v>
      </c>
      <c r="AJ7" s="960">
        <f t="array" ref="AJ7">HLOOKUP($J7,'Type Chart'!$C$2:$T$20,17,false)*HLOOKUP($K7,'Type Chart'!$C$2:$U$20,17,false)</f>
        <v>1</v>
      </c>
      <c r="AK7" s="960">
        <f t="array" ref="AK7">HLOOKUP($J7,'Type Chart'!$C$2:$T$20,18,false)*HLOOKUP($K7,'Type Chart'!$C$2:$U$20,18,false)</f>
        <v>1</v>
      </c>
      <c r="AL7" s="960">
        <f t="array" ref="AL7">HLOOKUP($J7,'Type Chart'!$C$2:$T$20,19,false)*HLOOKUP($K7,'Type Chart'!$C$2:$U$20,19,false)</f>
        <v>0.5</v>
      </c>
      <c r="AM7" s="964" t="s">
        <v>830</v>
      </c>
      <c r="AN7" s="965"/>
      <c r="AO7" s="966" t="s">
        <v>831</v>
      </c>
      <c r="AP7" s="936"/>
      <c r="AQ7" s="967"/>
      <c r="AR7" s="968"/>
      <c r="AS7" s="936"/>
    </row>
    <row r="8" ht="15.75" customHeight="1">
      <c r="A8" s="936"/>
      <c r="B8" s="948" t="s">
        <v>833</v>
      </c>
      <c r="C8" s="950" t="s">
        <v>834</v>
      </c>
      <c r="D8" s="950" t="s">
        <v>834</v>
      </c>
      <c r="E8" s="952" t="s">
        <v>834</v>
      </c>
      <c r="F8" s="940"/>
      <c r="G8" s="953"/>
      <c r="H8" s="969"/>
      <c r="I8" s="998" t="s">
        <v>835</v>
      </c>
      <c r="J8" s="982" t="s">
        <v>150</v>
      </c>
      <c r="K8" s="984" t="s">
        <v>216</v>
      </c>
      <c r="L8" s="959">
        <v>58.0</v>
      </c>
      <c r="M8" s="960">
        <v>64.0</v>
      </c>
      <c r="N8" s="960">
        <v>58.0</v>
      </c>
      <c r="O8" s="960">
        <v>80.0</v>
      </c>
      <c r="P8" s="960">
        <v>65.0</v>
      </c>
      <c r="Q8" s="960">
        <v>80.0</v>
      </c>
      <c r="R8" s="960">
        <v>196.0</v>
      </c>
      <c r="S8" s="960">
        <v>259.0</v>
      </c>
      <c r="T8" s="960">
        <v>284.0</v>
      </c>
      <c r="U8" s="960">
        <f t="array" ref="U8">HLOOKUP($J8,'Type Chart'!$C$2:$T$20,2,false)*HLOOKUP($K8,'Type Chart'!$C$2:$U$20,2,false)</f>
        <v>1</v>
      </c>
      <c r="V8" s="960">
        <f t="array" ref="V8">HLOOKUP($J8,'Type Chart'!$C$2:$T$20,3,false)*HLOOKUP($K8,'Type Chart'!$C$2:$U$20,3,false)</f>
        <v>1</v>
      </c>
      <c r="W8" s="960">
        <f t="array" ref="W8">HLOOKUP($J8,'Type Chart'!$C$2:$T$20,4,false)*HLOOKUP($K8,'Type Chart'!$C$2:$U$20,4,false)</f>
        <v>1</v>
      </c>
      <c r="X8" s="960">
        <f t="array" ref="X8">HLOOKUP($J8,'Type Chart'!$C$2:$T$20,5,false)*HLOOKUP($K8,'Type Chart'!$C$2:$U$20,5,false)</f>
        <v>1</v>
      </c>
      <c r="Y8" s="960">
        <f t="array" ref="Y8">HLOOKUP($J8,'Type Chart'!$C$2:$T$20,6,false)*HLOOKUP($K8,'Type Chart'!$C$2:$U$20,6,false)</f>
        <v>2</v>
      </c>
      <c r="Z8" s="960">
        <f t="array" ref="Z8">HLOOKUP($J8,'Type Chart'!$C$2:$T$20,7,false)*HLOOKUP($K8,'Type Chart'!$C$2:$U$20,7,false)</f>
        <v>2</v>
      </c>
      <c r="AA8" s="960">
        <f t="array" ref="AA8">HLOOKUP($J8,'Type Chart'!$C$2:$T$20,8,false)*HLOOKUP($K8,'Type Chart'!$C$2:$U$20,8,false)</f>
        <v>0.5</v>
      </c>
      <c r="AB8" s="960">
        <f t="array" ref="AB8">HLOOKUP($J8,'Type Chart'!$C$2:$T$20,9,false)*HLOOKUP($K8,'Type Chart'!$C$2:$U$20,9,false)</f>
        <v>1</v>
      </c>
      <c r="AC8" s="960">
        <f t="array" ref="AC8">HLOOKUP($J8,'Type Chart'!$C$2:$T$20,10,false)*HLOOKUP($K8,'Type Chart'!$C$2:$U$20,10,false)</f>
        <v>0.5</v>
      </c>
      <c r="AD8" s="960">
        <f t="array" ref="AD8">HLOOKUP($J8,'Type Chart'!$C$2:$T$20,11,false)*HLOOKUP($K8,'Type Chart'!$C$2:$U$20,11,false)</f>
        <v>0.5</v>
      </c>
      <c r="AE8" s="960">
        <f t="array" ref="AE8">HLOOKUP($J8,'Type Chart'!$C$2:$T$20,12,false)*HLOOKUP($K8,'Type Chart'!$C$2:$U$20,12,false)</f>
        <v>2</v>
      </c>
      <c r="AF8" s="960">
        <f t="array" ref="AF8">HLOOKUP($J8,'Type Chart'!$C$2:$T$20,13,false)*HLOOKUP($K8,'Type Chart'!$C$2:$U$20,13,false)</f>
        <v>0.5</v>
      </c>
      <c r="AG8" s="960">
        <f t="array" ref="AG8">HLOOKUP($J8,'Type Chart'!$C$2:$T$20,14,false)*HLOOKUP($K8,'Type Chart'!$C$2:$U$20,14,false)</f>
        <v>1</v>
      </c>
      <c r="AH8" s="960">
        <f t="array" ref="AH8">HLOOKUP($J8,'Type Chart'!$C$2:$T$20,15,false)*HLOOKUP($K8,'Type Chart'!$C$2:$U$20,15,false)</f>
        <v>1</v>
      </c>
      <c r="AI8" s="960">
        <f t="array" ref="AI8">HLOOKUP($J8,'Type Chart'!$C$2:$T$20,16,false)*HLOOKUP($K8,'Type Chart'!$C$2:$U$20,16,false)</f>
        <v>0.5</v>
      </c>
      <c r="AJ8" s="960">
        <f t="array" ref="AJ8">HLOOKUP($J8,'Type Chart'!$C$2:$T$20,17,false)*HLOOKUP($K8,'Type Chart'!$C$2:$U$20,17,false)</f>
        <v>1</v>
      </c>
      <c r="AK8" s="960">
        <f t="array" ref="AK8">HLOOKUP($J8,'Type Chart'!$C$2:$T$20,18,false)*HLOOKUP($K8,'Type Chart'!$C$2:$U$20,18,false)</f>
        <v>1</v>
      </c>
      <c r="AL8" s="960">
        <f t="array" ref="AL8">HLOOKUP($J8,'Type Chart'!$C$2:$T$20,19,false)*HLOOKUP($K8,'Type Chart'!$C$2:$U$20,19,false)</f>
        <v>0.5</v>
      </c>
      <c r="AM8" s="964" t="s">
        <v>830</v>
      </c>
      <c r="AN8" s="965"/>
      <c r="AO8" s="966" t="s">
        <v>831</v>
      </c>
      <c r="AP8" s="936"/>
      <c r="AQ8" s="967"/>
      <c r="AR8" s="968"/>
      <c r="AS8" s="936"/>
    </row>
    <row r="9" ht="15.75" customHeight="1">
      <c r="A9" s="936"/>
      <c r="B9" s="948" t="s">
        <v>892</v>
      </c>
      <c r="C9" s="950" t="s">
        <v>893</v>
      </c>
      <c r="D9" s="950" t="s">
        <v>893</v>
      </c>
      <c r="E9" s="952" t="s">
        <v>893</v>
      </c>
      <c r="F9" s="940"/>
      <c r="G9" s="953"/>
      <c r="H9" s="969"/>
      <c r="I9" s="956" t="s">
        <v>673</v>
      </c>
      <c r="J9" s="982" t="s">
        <v>150</v>
      </c>
      <c r="K9" s="1001" t="s">
        <v>128</v>
      </c>
      <c r="L9" s="959">
        <v>78.0</v>
      </c>
      <c r="M9" s="960">
        <v>84.0</v>
      </c>
      <c r="N9" s="960">
        <v>78.0</v>
      </c>
      <c r="O9" s="960">
        <v>109.0</v>
      </c>
      <c r="P9" s="960">
        <v>85.0</v>
      </c>
      <c r="Q9" s="960">
        <v>100.0</v>
      </c>
      <c r="R9" s="960">
        <v>236.0</v>
      </c>
      <c r="S9" s="960">
        <v>299.0</v>
      </c>
      <c r="T9" s="960">
        <v>328.0</v>
      </c>
      <c r="U9" s="960">
        <f t="array" ref="U9">HLOOKUP($J9,'Type Chart'!$C$2:$T$20,2,false)*HLOOKUP($K9,'Type Chart'!$C$2:$U$20,2,false)</f>
        <v>1</v>
      </c>
      <c r="V9" s="960">
        <f t="array" ref="V9">HLOOKUP($J9,'Type Chart'!$C$2:$T$20,3,false)*HLOOKUP($K9,'Type Chart'!$C$2:$U$20,3,false)</f>
        <v>0.5</v>
      </c>
      <c r="W9" s="960">
        <f t="array" ref="W9">HLOOKUP($J9,'Type Chart'!$C$2:$T$20,4,false)*HLOOKUP($K9,'Type Chart'!$C$2:$U$20,4,false)</f>
        <v>1</v>
      </c>
      <c r="X9" s="960">
        <f t="array" ref="X9">HLOOKUP($J9,'Type Chart'!$C$2:$T$20,5,false)*HLOOKUP($K9,'Type Chart'!$C$2:$U$20,5,false)</f>
        <v>1</v>
      </c>
      <c r="Y9" s="960">
        <f t="array" ref="Y9">HLOOKUP($J9,'Type Chart'!$C$2:$T$20,6,false)*HLOOKUP($K9,'Type Chart'!$C$2:$U$20,6,false)</f>
        <v>0</v>
      </c>
      <c r="Z9" s="960">
        <f t="array" ref="Z9">HLOOKUP($J9,'Type Chart'!$C$2:$T$20,7,false)*HLOOKUP($K9,'Type Chart'!$C$2:$U$20,7,false)</f>
        <v>4</v>
      </c>
      <c r="AA9" s="960">
        <f t="array" ref="AA9">HLOOKUP($J9,'Type Chart'!$C$2:$T$20,8,false)*HLOOKUP($K9,'Type Chart'!$C$2:$U$20,8,false)</f>
        <v>0.25</v>
      </c>
      <c r="AB9" s="960">
        <f t="array" ref="AB9">HLOOKUP($J9,'Type Chart'!$C$2:$T$20,9,false)*HLOOKUP($K9,'Type Chart'!$C$2:$U$20,9,false)</f>
        <v>1</v>
      </c>
      <c r="AC9" s="960">
        <f t="array" ref="AC9">HLOOKUP($J9,'Type Chart'!$C$2:$T$20,10,false)*HLOOKUP($K9,'Type Chart'!$C$2:$U$20,10,false)</f>
        <v>0.5</v>
      </c>
      <c r="AD9" s="960">
        <f t="array" ref="AD9">HLOOKUP($J9,'Type Chart'!$C$2:$T$20,11,false)*HLOOKUP($K9,'Type Chart'!$C$2:$U$20,11,false)</f>
        <v>0.5</v>
      </c>
      <c r="AE9" s="960">
        <f t="array" ref="AE9">HLOOKUP($J9,'Type Chart'!$C$2:$T$20,12,false)*HLOOKUP($K9,'Type Chart'!$C$2:$U$20,12,false)</f>
        <v>2</v>
      </c>
      <c r="AF9" s="960">
        <f t="array" ref="AF9">HLOOKUP($J9,'Type Chart'!$C$2:$T$20,13,false)*HLOOKUP($K9,'Type Chart'!$C$2:$U$20,13,false)</f>
        <v>0.25</v>
      </c>
      <c r="AG9" s="960">
        <f t="array" ref="AG9">HLOOKUP($J9,'Type Chart'!$C$2:$T$20,14,false)*HLOOKUP($K9,'Type Chart'!$C$2:$U$20,14,false)</f>
        <v>2</v>
      </c>
      <c r="AH9" s="960">
        <f t="array" ref="AH9">HLOOKUP($J9,'Type Chart'!$C$2:$T$20,15,false)*HLOOKUP($K9,'Type Chart'!$C$2:$U$20,15,false)</f>
        <v>1</v>
      </c>
      <c r="AI9" s="960">
        <f t="array" ref="AI9">HLOOKUP($J9,'Type Chart'!$C$2:$T$20,16,false)*HLOOKUP($K9,'Type Chart'!$C$2:$U$20,16,false)</f>
        <v>1</v>
      </c>
      <c r="AJ9" s="960">
        <f t="array" ref="AJ9">HLOOKUP($J9,'Type Chart'!$C$2:$T$20,17,false)*HLOOKUP($K9,'Type Chart'!$C$2:$U$20,17,false)</f>
        <v>1</v>
      </c>
      <c r="AK9" s="960">
        <f t="array" ref="AK9">HLOOKUP($J9,'Type Chart'!$C$2:$T$20,18,false)*HLOOKUP($K9,'Type Chart'!$C$2:$U$20,18,false)</f>
        <v>1</v>
      </c>
      <c r="AL9" s="960">
        <f t="array" ref="AL9">HLOOKUP($J9,'Type Chart'!$C$2:$T$20,19,false)*HLOOKUP($K9,'Type Chart'!$C$2:$U$20,19,false)</f>
        <v>0.5</v>
      </c>
      <c r="AM9" s="964" t="s">
        <v>830</v>
      </c>
      <c r="AN9" s="965"/>
      <c r="AO9" s="966" t="s">
        <v>831</v>
      </c>
      <c r="AP9" s="936"/>
      <c r="AQ9" s="967"/>
      <c r="AR9" s="968"/>
      <c r="AS9" s="936"/>
    </row>
    <row r="10" ht="15.75" customHeight="1">
      <c r="A10" s="936"/>
      <c r="B10" s="948" t="s">
        <v>908</v>
      </c>
      <c r="C10" s="950" t="s">
        <v>909</v>
      </c>
      <c r="D10" s="950" t="s">
        <v>910</v>
      </c>
      <c r="E10" s="952" t="s">
        <v>909</v>
      </c>
      <c r="F10" s="940"/>
      <c r="G10" s="953"/>
      <c r="H10" s="969"/>
      <c r="I10" s="956" t="s">
        <v>911</v>
      </c>
      <c r="J10" s="982" t="s">
        <v>150</v>
      </c>
      <c r="K10" s="1006" t="s">
        <v>346</v>
      </c>
      <c r="L10" s="959">
        <v>78.0</v>
      </c>
      <c r="M10" s="960">
        <v>130.0</v>
      </c>
      <c r="N10" s="960">
        <v>111.0</v>
      </c>
      <c r="O10" s="960">
        <v>130.0</v>
      </c>
      <c r="P10" s="960">
        <v>85.0</v>
      </c>
      <c r="Q10" s="960">
        <v>100.0</v>
      </c>
      <c r="R10" s="960">
        <v>236.0</v>
      </c>
      <c r="S10" s="960">
        <v>299.0</v>
      </c>
      <c r="T10" s="960">
        <v>328.0</v>
      </c>
      <c r="U10" s="960">
        <f t="array" ref="U10">HLOOKUP($J10,'Type Chart'!$C$2:$T$20,2,false)*HLOOKUP($K10,'Type Chart'!$C$2:$U$20,2,false)</f>
        <v>1</v>
      </c>
      <c r="V10" s="960">
        <f t="array" ref="V10">HLOOKUP($J10,'Type Chart'!$C$2:$T$20,3,false)*HLOOKUP($K10,'Type Chart'!$C$2:$U$20,3,false)</f>
        <v>1</v>
      </c>
      <c r="W10" s="960">
        <f t="array" ref="W10">HLOOKUP($J10,'Type Chart'!$C$2:$T$20,4,false)*HLOOKUP($K10,'Type Chart'!$C$2:$U$20,4,false)</f>
        <v>1</v>
      </c>
      <c r="X10" s="960">
        <f t="array" ref="X10">HLOOKUP($J10,'Type Chart'!$C$2:$T$20,5,false)*HLOOKUP($K10,'Type Chart'!$C$2:$U$20,5,false)</f>
        <v>1</v>
      </c>
      <c r="Y10" s="960">
        <f t="array" ref="Y10">HLOOKUP($J10,'Type Chart'!$C$2:$T$20,6,false)*HLOOKUP($K10,'Type Chart'!$C$2:$U$20,6,false)</f>
        <v>2</v>
      </c>
      <c r="Z10" s="960">
        <f t="array" ref="Z10">HLOOKUP($J10,'Type Chart'!$C$2:$T$20,7,false)*HLOOKUP($K10,'Type Chart'!$C$2:$U$20,7,false)</f>
        <v>2</v>
      </c>
      <c r="AA10" s="960">
        <f t="array" ref="AA10">HLOOKUP($J10,'Type Chart'!$C$2:$T$20,8,false)*HLOOKUP($K10,'Type Chart'!$C$2:$U$20,8,false)</f>
        <v>0.5</v>
      </c>
      <c r="AB10" s="960">
        <f t="array" ref="AB10">HLOOKUP($J10,'Type Chart'!$C$2:$T$20,9,false)*HLOOKUP($K10,'Type Chart'!$C$2:$U$20,9,false)</f>
        <v>1</v>
      </c>
      <c r="AC10" s="960">
        <f t="array" ref="AC10">HLOOKUP($J10,'Type Chart'!$C$2:$T$20,10,false)*HLOOKUP($K10,'Type Chart'!$C$2:$U$20,10,false)</f>
        <v>0.5</v>
      </c>
      <c r="AD10" s="960">
        <f t="array" ref="AD10">HLOOKUP($J10,'Type Chart'!$C$2:$T$20,11,false)*HLOOKUP($K10,'Type Chart'!$C$2:$U$20,11,false)</f>
        <v>0.25</v>
      </c>
      <c r="AE10" s="960">
        <f t="array" ref="AE10">HLOOKUP($J10,'Type Chart'!$C$2:$T$20,12,false)*HLOOKUP($K10,'Type Chart'!$C$2:$U$20,12,false)</f>
        <v>1</v>
      </c>
      <c r="AF10" s="960">
        <f t="array" ref="AF10">HLOOKUP($J10,'Type Chart'!$C$2:$T$20,13,false)*HLOOKUP($K10,'Type Chart'!$C$2:$U$20,13,false)</f>
        <v>0.25</v>
      </c>
      <c r="AG10" s="960">
        <f t="array" ref="AG10">HLOOKUP($J10,'Type Chart'!$C$2:$T$20,14,false)*HLOOKUP($K10,'Type Chart'!$C$2:$U$20,14,false)</f>
        <v>0.5</v>
      </c>
      <c r="AH10" s="960">
        <f t="array" ref="AH10">HLOOKUP($J10,'Type Chart'!$C$2:$T$20,15,false)*HLOOKUP($K10,'Type Chart'!$C$2:$U$20,15,false)</f>
        <v>1</v>
      </c>
      <c r="AI10" s="960">
        <f t="array" ref="AI10">HLOOKUP($J10,'Type Chart'!$C$2:$T$20,16,false)*HLOOKUP($K10,'Type Chart'!$C$2:$U$20,16,false)</f>
        <v>1</v>
      </c>
      <c r="AJ10" s="960">
        <f t="array" ref="AJ10">HLOOKUP($J10,'Type Chart'!$C$2:$T$20,17,false)*HLOOKUP($K10,'Type Chart'!$C$2:$U$20,17,false)</f>
        <v>2</v>
      </c>
      <c r="AK10" s="960">
        <f t="array" ref="AK10">HLOOKUP($J10,'Type Chart'!$C$2:$T$20,18,false)*HLOOKUP($K10,'Type Chart'!$C$2:$U$20,18,false)</f>
        <v>1</v>
      </c>
      <c r="AL10" s="960">
        <f t="array" ref="AL10">HLOOKUP($J10,'Type Chart'!$C$2:$T$20,19,false)*HLOOKUP($K10,'Type Chart'!$C$2:$U$20,19,false)</f>
        <v>1</v>
      </c>
      <c r="AM10" s="964" t="s">
        <v>932</v>
      </c>
      <c r="AN10" s="965"/>
      <c r="AO10" s="966"/>
      <c r="AP10" s="936"/>
      <c r="AQ10" s="967"/>
      <c r="AR10" s="968"/>
      <c r="AS10" s="936"/>
    </row>
    <row r="11" ht="15.75" customHeight="1">
      <c r="A11" s="936"/>
      <c r="B11" s="948" t="s">
        <v>933</v>
      </c>
      <c r="C11" s="950" t="s">
        <v>934</v>
      </c>
      <c r="D11" s="950" t="s">
        <v>935</v>
      </c>
      <c r="E11" s="952" t="s">
        <v>934</v>
      </c>
      <c r="F11" s="940"/>
      <c r="G11" s="953"/>
      <c r="H11" s="969"/>
      <c r="I11" s="956" t="s">
        <v>936</v>
      </c>
      <c r="J11" s="982" t="s">
        <v>150</v>
      </c>
      <c r="K11" s="1001" t="s">
        <v>128</v>
      </c>
      <c r="L11" s="959">
        <v>78.0</v>
      </c>
      <c r="M11" s="960">
        <v>104.0</v>
      </c>
      <c r="N11" s="960">
        <v>78.0</v>
      </c>
      <c r="O11" s="960">
        <v>159.0</v>
      </c>
      <c r="P11" s="960">
        <v>115.0</v>
      </c>
      <c r="Q11" s="960">
        <v>100.0</v>
      </c>
      <c r="R11" s="960">
        <v>236.0</v>
      </c>
      <c r="S11" s="960">
        <v>299.0</v>
      </c>
      <c r="T11" s="960">
        <v>328.0</v>
      </c>
      <c r="U11" s="960">
        <f t="array" ref="U11">HLOOKUP($J11,'Type Chart'!$C$2:$T$20,2,false)*HLOOKUP($K11,'Type Chart'!$C$2:$U$20,2,false)</f>
        <v>1</v>
      </c>
      <c r="V11" s="960">
        <f t="array" ref="V11">HLOOKUP($J11,'Type Chart'!$C$2:$T$20,3,false)*HLOOKUP($K11,'Type Chart'!$C$2:$U$20,3,false)</f>
        <v>0.5</v>
      </c>
      <c r="W11" s="960">
        <f t="array" ref="W11">HLOOKUP($J11,'Type Chart'!$C$2:$T$20,4,false)*HLOOKUP($K11,'Type Chart'!$C$2:$U$20,4,false)</f>
        <v>1</v>
      </c>
      <c r="X11" s="960">
        <f t="array" ref="X11">HLOOKUP($J11,'Type Chart'!$C$2:$T$20,5,false)*HLOOKUP($K11,'Type Chart'!$C$2:$U$20,5,false)</f>
        <v>1</v>
      </c>
      <c r="Y11" s="960">
        <f t="array" ref="Y11">HLOOKUP($J11,'Type Chart'!$C$2:$T$20,6,false)*HLOOKUP($K11,'Type Chart'!$C$2:$U$20,6,false)</f>
        <v>0</v>
      </c>
      <c r="Z11" s="960">
        <f t="array" ref="Z11">HLOOKUP($J11,'Type Chart'!$C$2:$T$20,7,false)*HLOOKUP($K11,'Type Chart'!$C$2:$U$20,7,false)</f>
        <v>4</v>
      </c>
      <c r="AA11" s="960">
        <f t="array" ref="AA11">HLOOKUP($J11,'Type Chart'!$C$2:$T$20,8,false)*HLOOKUP($K11,'Type Chart'!$C$2:$U$20,8,false)</f>
        <v>0.25</v>
      </c>
      <c r="AB11" s="960">
        <f t="array" ref="AB11">HLOOKUP($J11,'Type Chart'!$C$2:$T$20,9,false)*HLOOKUP($K11,'Type Chart'!$C$2:$U$20,9,false)</f>
        <v>1</v>
      </c>
      <c r="AC11" s="960">
        <f t="array" ref="AC11">HLOOKUP($J11,'Type Chart'!$C$2:$T$20,10,false)*HLOOKUP($K11,'Type Chart'!$C$2:$U$20,10,false)</f>
        <v>0.5</v>
      </c>
      <c r="AD11" s="960">
        <f t="array" ref="AD11">HLOOKUP($J11,'Type Chart'!$C$2:$T$20,11,false)*HLOOKUP($K11,'Type Chart'!$C$2:$U$20,11,false)</f>
        <v>0.5</v>
      </c>
      <c r="AE11" s="960">
        <f t="array" ref="AE11">HLOOKUP($J11,'Type Chart'!$C$2:$T$20,12,false)*HLOOKUP($K11,'Type Chart'!$C$2:$U$20,12,false)</f>
        <v>2</v>
      </c>
      <c r="AF11" s="960">
        <f t="array" ref="AF11">HLOOKUP($J11,'Type Chart'!$C$2:$T$20,13,false)*HLOOKUP($K11,'Type Chart'!$C$2:$U$20,13,false)</f>
        <v>0.25</v>
      </c>
      <c r="AG11" s="960">
        <f t="array" ref="AG11">HLOOKUP($J11,'Type Chart'!$C$2:$T$20,14,false)*HLOOKUP($K11,'Type Chart'!$C$2:$U$20,14,false)</f>
        <v>2</v>
      </c>
      <c r="AH11" s="960">
        <f t="array" ref="AH11">HLOOKUP($J11,'Type Chart'!$C$2:$T$20,15,false)*HLOOKUP($K11,'Type Chart'!$C$2:$U$20,15,false)</f>
        <v>1</v>
      </c>
      <c r="AI11" s="960">
        <f t="array" ref="AI11">HLOOKUP($J11,'Type Chart'!$C$2:$T$20,16,false)*HLOOKUP($K11,'Type Chart'!$C$2:$U$20,16,false)</f>
        <v>1</v>
      </c>
      <c r="AJ11" s="960">
        <f t="array" ref="AJ11">HLOOKUP($J11,'Type Chart'!$C$2:$T$20,17,false)*HLOOKUP($K11,'Type Chart'!$C$2:$U$20,17,false)</f>
        <v>1</v>
      </c>
      <c r="AK11" s="960">
        <f t="array" ref="AK11">HLOOKUP($J11,'Type Chart'!$C$2:$T$20,18,false)*HLOOKUP($K11,'Type Chart'!$C$2:$U$20,18,false)</f>
        <v>1</v>
      </c>
      <c r="AL11" s="960">
        <f t="array" ref="AL11">HLOOKUP($J11,'Type Chart'!$C$2:$T$20,19,false)*HLOOKUP($K11,'Type Chart'!$C$2:$U$20,19,false)</f>
        <v>0.5</v>
      </c>
      <c r="AM11" s="964" t="s">
        <v>952</v>
      </c>
      <c r="AN11" s="965"/>
      <c r="AO11" s="966"/>
      <c r="AP11" s="936"/>
      <c r="AQ11" s="967"/>
      <c r="AR11" s="968"/>
      <c r="AS11" s="936"/>
    </row>
    <row r="12" ht="15.75" customHeight="1">
      <c r="A12" s="936"/>
      <c r="B12" s="948" t="s">
        <v>953</v>
      </c>
      <c r="C12" s="950" t="s">
        <v>954</v>
      </c>
      <c r="D12" s="950" t="s">
        <v>954</v>
      </c>
      <c r="E12" s="952" t="s">
        <v>954</v>
      </c>
      <c r="F12" s="940"/>
      <c r="G12" s="953"/>
      <c r="H12" s="969"/>
      <c r="I12" s="956" t="s">
        <v>955</v>
      </c>
      <c r="J12" s="1056" t="s">
        <v>81</v>
      </c>
      <c r="K12" s="984" t="s">
        <v>216</v>
      </c>
      <c r="L12" s="959">
        <v>44.0</v>
      </c>
      <c r="M12" s="960">
        <v>48.0</v>
      </c>
      <c r="N12" s="960">
        <v>65.0</v>
      </c>
      <c r="O12" s="960">
        <v>50.0</v>
      </c>
      <c r="P12" s="960">
        <v>64.0</v>
      </c>
      <c r="Q12" s="960">
        <v>43.0</v>
      </c>
      <c r="R12" s="960">
        <v>122.0</v>
      </c>
      <c r="S12" s="960">
        <v>185.0</v>
      </c>
      <c r="T12" s="960">
        <v>203.0</v>
      </c>
      <c r="U12" s="960">
        <f t="array" ref="U12">HLOOKUP($J12,'Type Chart'!$C$2:$T$20,2,false)*HLOOKUP($K12,'Type Chart'!$C$2:$U$20,2,false)</f>
        <v>1</v>
      </c>
      <c r="V12" s="960">
        <f t="array" ref="V12">HLOOKUP($J12,'Type Chart'!$C$2:$T$20,3,false)*HLOOKUP($K12,'Type Chart'!$C$2:$U$20,3,false)</f>
        <v>1</v>
      </c>
      <c r="W12" s="960">
        <f t="array" ref="W12">HLOOKUP($J12,'Type Chart'!$C$2:$T$20,4,false)*HLOOKUP($K12,'Type Chart'!$C$2:$U$20,4,false)</f>
        <v>1</v>
      </c>
      <c r="X12" s="960">
        <f t="array" ref="X12">HLOOKUP($J12,'Type Chart'!$C$2:$T$20,5,false)*HLOOKUP($K12,'Type Chart'!$C$2:$U$20,5,false)</f>
        <v>1</v>
      </c>
      <c r="Y12" s="960">
        <f t="array" ref="Y12">HLOOKUP($J12,'Type Chart'!$C$2:$T$20,6,false)*HLOOKUP($K12,'Type Chart'!$C$2:$U$20,6,false)</f>
        <v>1</v>
      </c>
      <c r="Z12" s="960">
        <f t="array" ref="Z12">HLOOKUP($J12,'Type Chart'!$C$2:$T$20,7,false)*HLOOKUP($K12,'Type Chart'!$C$2:$U$20,7,false)</f>
        <v>1</v>
      </c>
      <c r="AA12" s="960">
        <f t="array" ref="AA12">HLOOKUP($J12,'Type Chart'!$C$2:$T$20,8,false)*HLOOKUP($K12,'Type Chart'!$C$2:$U$20,8,false)</f>
        <v>1</v>
      </c>
      <c r="AB12" s="960">
        <f t="array" ref="AB12">HLOOKUP($J12,'Type Chart'!$C$2:$T$20,9,false)*HLOOKUP($K12,'Type Chart'!$C$2:$U$20,9,false)</f>
        <v>1</v>
      </c>
      <c r="AC12" s="960">
        <f t="array" ref="AC12">HLOOKUP($J12,'Type Chart'!$C$2:$T$20,10,false)*HLOOKUP($K12,'Type Chart'!$C$2:$U$20,10,false)</f>
        <v>0.5</v>
      </c>
      <c r="AD12" s="960">
        <f t="array" ref="AD12">HLOOKUP($J12,'Type Chart'!$C$2:$T$20,11,false)*HLOOKUP($K12,'Type Chart'!$C$2:$U$20,11,false)</f>
        <v>0.5</v>
      </c>
      <c r="AE12" s="960">
        <f t="array" ref="AE12">HLOOKUP($J12,'Type Chart'!$C$2:$T$20,12,false)*HLOOKUP($K12,'Type Chart'!$C$2:$U$20,12,false)</f>
        <v>0.5</v>
      </c>
      <c r="AF12" s="960">
        <f t="array" ref="AF12">HLOOKUP($J12,'Type Chart'!$C$2:$T$20,13,false)*HLOOKUP($K12,'Type Chart'!$C$2:$U$20,13,false)</f>
        <v>2</v>
      </c>
      <c r="AG12" s="960">
        <f t="array" ref="AG12">HLOOKUP($J12,'Type Chart'!$C$2:$T$20,14,false)*HLOOKUP($K12,'Type Chart'!$C$2:$U$20,14,false)</f>
        <v>2</v>
      </c>
      <c r="AH12" s="960">
        <f t="array" ref="AH12">HLOOKUP($J12,'Type Chart'!$C$2:$T$20,15,false)*HLOOKUP($K12,'Type Chart'!$C$2:$U$20,15,false)</f>
        <v>1</v>
      </c>
      <c r="AI12" s="960">
        <f t="array" ref="AI12">HLOOKUP($J12,'Type Chart'!$C$2:$T$20,16,false)*HLOOKUP($K12,'Type Chart'!$C$2:$U$20,16,false)</f>
        <v>0.5</v>
      </c>
      <c r="AJ12" s="960">
        <f t="array" ref="AJ12">HLOOKUP($J12,'Type Chart'!$C$2:$T$20,17,false)*HLOOKUP($K12,'Type Chart'!$C$2:$U$20,17,false)</f>
        <v>1</v>
      </c>
      <c r="AK12" s="960">
        <f t="array" ref="AK12">HLOOKUP($J12,'Type Chart'!$C$2:$T$20,18,false)*HLOOKUP($K12,'Type Chart'!$C$2:$U$20,18,false)</f>
        <v>1</v>
      </c>
      <c r="AL12" s="960">
        <f t="array" ref="AL12">HLOOKUP($J12,'Type Chart'!$C$2:$T$20,19,false)*HLOOKUP($K12,'Type Chart'!$C$2:$U$20,19,false)</f>
        <v>1</v>
      </c>
      <c r="AM12" s="964" t="s">
        <v>959</v>
      </c>
      <c r="AN12" s="965"/>
      <c r="AO12" s="966" t="s">
        <v>960</v>
      </c>
      <c r="AP12" s="936"/>
      <c r="AQ12" s="967"/>
      <c r="AR12" s="968"/>
      <c r="AS12" s="936"/>
    </row>
    <row r="13" ht="15.75" customHeight="1">
      <c r="A13" s="1099"/>
      <c r="B13" s="948" t="s">
        <v>961</v>
      </c>
      <c r="C13" s="950" t="s">
        <v>962</v>
      </c>
      <c r="D13" s="950" t="s">
        <v>962</v>
      </c>
      <c r="E13" s="952" t="s">
        <v>962</v>
      </c>
      <c r="F13" s="940"/>
      <c r="G13" s="953"/>
      <c r="H13" s="969"/>
      <c r="I13" s="956" t="s">
        <v>963</v>
      </c>
      <c r="J13" s="1056" t="s">
        <v>81</v>
      </c>
      <c r="K13" s="984" t="s">
        <v>216</v>
      </c>
      <c r="L13" s="959">
        <v>59.0</v>
      </c>
      <c r="M13" s="960">
        <v>63.0</v>
      </c>
      <c r="N13" s="960">
        <v>80.0</v>
      </c>
      <c r="O13" s="960">
        <v>65.0</v>
      </c>
      <c r="P13" s="960">
        <v>80.0</v>
      </c>
      <c r="Q13" s="960">
        <v>58.0</v>
      </c>
      <c r="R13" s="960">
        <v>152.0</v>
      </c>
      <c r="S13" s="960">
        <v>215.0</v>
      </c>
      <c r="T13" s="960">
        <v>236.0</v>
      </c>
      <c r="U13" s="960">
        <f t="array" ref="U13">HLOOKUP($J13,'Type Chart'!$C$2:$T$20,2,false)*HLOOKUP($K13,'Type Chart'!$C$2:$U$20,2,false)</f>
        <v>1</v>
      </c>
      <c r="V13" s="960">
        <f t="array" ref="V13">HLOOKUP($J13,'Type Chart'!$C$2:$T$20,3,false)*HLOOKUP($K13,'Type Chart'!$C$2:$U$20,3,false)</f>
        <v>1</v>
      </c>
      <c r="W13" s="960">
        <f t="array" ref="W13">HLOOKUP($J13,'Type Chart'!$C$2:$T$20,4,false)*HLOOKUP($K13,'Type Chart'!$C$2:$U$20,4,false)</f>
        <v>1</v>
      </c>
      <c r="X13" s="960">
        <f t="array" ref="X13">HLOOKUP($J13,'Type Chart'!$C$2:$T$20,5,false)*HLOOKUP($K13,'Type Chart'!$C$2:$U$20,5,false)</f>
        <v>1</v>
      </c>
      <c r="Y13" s="960">
        <f t="array" ref="Y13">HLOOKUP($J13,'Type Chart'!$C$2:$T$20,6,false)*HLOOKUP($K13,'Type Chart'!$C$2:$U$20,6,false)</f>
        <v>1</v>
      </c>
      <c r="Z13" s="960">
        <f t="array" ref="Z13">HLOOKUP($J13,'Type Chart'!$C$2:$T$20,7,false)*HLOOKUP($K13,'Type Chart'!$C$2:$U$20,7,false)</f>
        <v>1</v>
      </c>
      <c r="AA13" s="960">
        <f t="array" ref="AA13">HLOOKUP($J13,'Type Chart'!$C$2:$T$20,8,false)*HLOOKUP($K13,'Type Chart'!$C$2:$U$20,8,false)</f>
        <v>1</v>
      </c>
      <c r="AB13" s="960">
        <f t="array" ref="AB13">HLOOKUP($J13,'Type Chart'!$C$2:$T$20,9,false)*HLOOKUP($K13,'Type Chart'!$C$2:$U$20,9,false)</f>
        <v>1</v>
      </c>
      <c r="AC13" s="960">
        <f t="array" ref="AC13">HLOOKUP($J13,'Type Chart'!$C$2:$T$20,10,false)*HLOOKUP($K13,'Type Chart'!$C$2:$U$20,10,false)</f>
        <v>0.5</v>
      </c>
      <c r="AD13" s="960">
        <f t="array" ref="AD13">HLOOKUP($J13,'Type Chart'!$C$2:$T$20,11,false)*HLOOKUP($K13,'Type Chart'!$C$2:$U$20,11,false)</f>
        <v>0.5</v>
      </c>
      <c r="AE13" s="960">
        <f t="array" ref="AE13">HLOOKUP($J13,'Type Chart'!$C$2:$T$20,12,false)*HLOOKUP($K13,'Type Chart'!$C$2:$U$20,12,false)</f>
        <v>0.5</v>
      </c>
      <c r="AF13" s="960">
        <f t="array" ref="AF13">HLOOKUP($J13,'Type Chart'!$C$2:$T$20,13,false)*HLOOKUP($K13,'Type Chart'!$C$2:$U$20,13,false)</f>
        <v>2</v>
      </c>
      <c r="AG13" s="960">
        <f t="array" ref="AG13">HLOOKUP($J13,'Type Chart'!$C$2:$T$20,14,false)*HLOOKUP($K13,'Type Chart'!$C$2:$U$20,14,false)</f>
        <v>2</v>
      </c>
      <c r="AH13" s="960">
        <f t="array" ref="AH13">HLOOKUP($J13,'Type Chart'!$C$2:$T$20,15,false)*HLOOKUP($K13,'Type Chart'!$C$2:$U$20,15,false)</f>
        <v>1</v>
      </c>
      <c r="AI13" s="960">
        <f t="array" ref="AI13">HLOOKUP($J13,'Type Chart'!$C$2:$T$20,16,false)*HLOOKUP($K13,'Type Chart'!$C$2:$U$20,16,false)</f>
        <v>0.5</v>
      </c>
      <c r="AJ13" s="960">
        <f t="array" ref="AJ13">HLOOKUP($J13,'Type Chart'!$C$2:$T$20,17,false)*HLOOKUP($K13,'Type Chart'!$C$2:$U$20,17,false)</f>
        <v>1</v>
      </c>
      <c r="AK13" s="960">
        <f t="array" ref="AK13">HLOOKUP($J13,'Type Chart'!$C$2:$T$20,18,false)*HLOOKUP($K13,'Type Chart'!$C$2:$U$20,18,false)</f>
        <v>1</v>
      </c>
      <c r="AL13" s="960">
        <f t="array" ref="AL13">HLOOKUP($J13,'Type Chart'!$C$2:$T$20,19,false)*HLOOKUP($K13,'Type Chart'!$C$2:$U$20,19,false)</f>
        <v>1</v>
      </c>
      <c r="AM13" s="1145" t="s">
        <v>959</v>
      </c>
      <c r="AN13" s="965"/>
      <c r="AO13" s="1146" t="s">
        <v>960</v>
      </c>
      <c r="AP13" s="936"/>
      <c r="AQ13" s="967"/>
      <c r="AR13" s="968"/>
      <c r="AS13" s="936"/>
    </row>
    <row r="14" ht="15.75" customHeight="1">
      <c r="A14" s="936"/>
      <c r="B14" s="948" t="s">
        <v>973</v>
      </c>
      <c r="C14" s="950" t="s">
        <v>974</v>
      </c>
      <c r="D14" s="950" t="s">
        <v>974</v>
      </c>
      <c r="E14" s="1147" t="s">
        <v>974</v>
      </c>
      <c r="F14" s="940"/>
      <c r="G14" s="953"/>
      <c r="H14" s="969"/>
      <c r="I14" s="998" t="s">
        <v>500</v>
      </c>
      <c r="J14" s="1056" t="s">
        <v>81</v>
      </c>
      <c r="K14" s="984" t="s">
        <v>216</v>
      </c>
      <c r="L14" s="959">
        <v>79.0</v>
      </c>
      <c r="M14" s="960">
        <v>83.0</v>
      </c>
      <c r="N14" s="960">
        <v>100.0</v>
      </c>
      <c r="O14" s="960">
        <v>85.0</v>
      </c>
      <c r="P14" s="960">
        <v>105.0</v>
      </c>
      <c r="Q14" s="960">
        <v>78.0</v>
      </c>
      <c r="R14" s="960">
        <v>192.0</v>
      </c>
      <c r="S14" s="960">
        <v>255.0</v>
      </c>
      <c r="T14" s="960">
        <v>280.0</v>
      </c>
      <c r="U14" s="960">
        <f t="array" ref="U14">HLOOKUP($J14,'Type Chart'!$C$2:$T$20,2,false)*HLOOKUP($K14,'Type Chart'!$C$2:$U$20,2,false)</f>
        <v>1</v>
      </c>
      <c r="V14" s="960">
        <f t="array" ref="V14">HLOOKUP($J14,'Type Chart'!$C$2:$T$20,3,false)*HLOOKUP($K14,'Type Chart'!$C$2:$U$20,3,false)</f>
        <v>1</v>
      </c>
      <c r="W14" s="960">
        <f t="array" ref="W14">HLOOKUP($J14,'Type Chart'!$C$2:$T$20,4,false)*HLOOKUP($K14,'Type Chart'!$C$2:$U$20,4,false)</f>
        <v>1</v>
      </c>
      <c r="X14" s="960">
        <f t="array" ref="X14">HLOOKUP($J14,'Type Chart'!$C$2:$T$20,5,false)*HLOOKUP($K14,'Type Chart'!$C$2:$U$20,5,false)</f>
        <v>1</v>
      </c>
      <c r="Y14" s="960">
        <f t="array" ref="Y14">HLOOKUP($J14,'Type Chart'!$C$2:$T$20,6,false)*HLOOKUP($K14,'Type Chart'!$C$2:$U$20,6,false)</f>
        <v>1</v>
      </c>
      <c r="Z14" s="960">
        <f t="array" ref="Z14">HLOOKUP($J14,'Type Chart'!$C$2:$T$20,7,false)*HLOOKUP($K14,'Type Chart'!$C$2:$U$20,7,false)</f>
        <v>1</v>
      </c>
      <c r="AA14" s="960">
        <f t="array" ref="AA14">HLOOKUP($J14,'Type Chart'!$C$2:$T$20,8,false)*HLOOKUP($K14,'Type Chart'!$C$2:$U$20,8,false)</f>
        <v>1</v>
      </c>
      <c r="AB14" s="960">
        <f t="array" ref="AB14">HLOOKUP($J14,'Type Chart'!$C$2:$T$20,9,false)*HLOOKUP($K14,'Type Chart'!$C$2:$U$20,9,false)</f>
        <v>1</v>
      </c>
      <c r="AC14" s="960">
        <f t="array" ref="AC14">HLOOKUP($J14,'Type Chart'!$C$2:$T$20,10,false)*HLOOKUP($K14,'Type Chart'!$C$2:$U$20,10,false)</f>
        <v>0.5</v>
      </c>
      <c r="AD14" s="960">
        <f t="array" ref="AD14">HLOOKUP($J14,'Type Chart'!$C$2:$T$20,11,false)*HLOOKUP($K14,'Type Chart'!$C$2:$U$20,11,false)</f>
        <v>0.5</v>
      </c>
      <c r="AE14" s="960">
        <f t="array" ref="AE14">HLOOKUP($J14,'Type Chart'!$C$2:$T$20,12,false)*HLOOKUP($K14,'Type Chart'!$C$2:$U$20,12,false)</f>
        <v>0.5</v>
      </c>
      <c r="AF14" s="960">
        <f t="array" ref="AF14">HLOOKUP($J14,'Type Chart'!$C$2:$T$20,13,false)*HLOOKUP($K14,'Type Chart'!$C$2:$U$20,13,false)</f>
        <v>2</v>
      </c>
      <c r="AG14" s="960">
        <f t="array" ref="AG14">HLOOKUP($J14,'Type Chart'!$C$2:$T$20,14,false)*HLOOKUP($K14,'Type Chart'!$C$2:$U$20,14,false)</f>
        <v>2</v>
      </c>
      <c r="AH14" s="960">
        <f t="array" ref="AH14">HLOOKUP($J14,'Type Chart'!$C$2:$T$20,15,false)*HLOOKUP($K14,'Type Chart'!$C$2:$U$20,15,false)</f>
        <v>1</v>
      </c>
      <c r="AI14" s="960">
        <f t="array" ref="AI14">HLOOKUP($J14,'Type Chart'!$C$2:$T$20,16,false)*HLOOKUP($K14,'Type Chart'!$C$2:$U$20,16,false)</f>
        <v>0.5</v>
      </c>
      <c r="AJ14" s="960">
        <f t="array" ref="AJ14">HLOOKUP($J14,'Type Chart'!$C$2:$T$20,17,false)*HLOOKUP($K14,'Type Chart'!$C$2:$U$20,17,false)</f>
        <v>1</v>
      </c>
      <c r="AK14" s="960">
        <f t="array" ref="AK14">HLOOKUP($J14,'Type Chart'!$C$2:$T$20,18,false)*HLOOKUP($K14,'Type Chart'!$C$2:$U$20,18,false)</f>
        <v>1</v>
      </c>
      <c r="AL14" s="960">
        <f t="array" ref="AL14">HLOOKUP($J14,'Type Chart'!$C$2:$T$20,19,false)*HLOOKUP($K14,'Type Chart'!$C$2:$U$20,19,false)</f>
        <v>1</v>
      </c>
      <c r="AM14" s="964" t="s">
        <v>959</v>
      </c>
      <c r="AN14" s="965"/>
      <c r="AO14" s="966" t="s">
        <v>960</v>
      </c>
      <c r="AP14" s="936"/>
      <c r="AQ14" s="967"/>
      <c r="AR14" s="968"/>
      <c r="AS14" s="936"/>
    </row>
    <row r="15" ht="15.75" customHeight="1">
      <c r="A15" s="936"/>
      <c r="B15" s="948" t="s">
        <v>977</v>
      </c>
      <c r="C15" s="950" t="s">
        <v>978</v>
      </c>
      <c r="D15" s="950" t="s">
        <v>978</v>
      </c>
      <c r="E15" s="1147" t="s">
        <v>978</v>
      </c>
      <c r="F15" s="940"/>
      <c r="G15" s="953"/>
      <c r="H15" s="969"/>
      <c r="I15" s="998" t="s">
        <v>979</v>
      </c>
      <c r="J15" s="1056" t="s">
        <v>81</v>
      </c>
      <c r="K15" s="984" t="s">
        <v>216</v>
      </c>
      <c r="L15" s="959">
        <v>79.0</v>
      </c>
      <c r="M15" s="960">
        <v>103.0</v>
      </c>
      <c r="N15" s="960">
        <v>120.0</v>
      </c>
      <c r="O15" s="960">
        <v>135.0</v>
      </c>
      <c r="P15" s="960">
        <v>115.0</v>
      </c>
      <c r="Q15" s="960">
        <v>78.0</v>
      </c>
      <c r="R15" s="960">
        <v>192.0</v>
      </c>
      <c r="S15" s="960">
        <v>255.0</v>
      </c>
      <c r="T15" s="960">
        <v>280.0</v>
      </c>
      <c r="U15" s="960">
        <f t="array" ref="U15">HLOOKUP($J15,'Type Chart'!$C$2:$T$20,2,false)*HLOOKUP($K15,'Type Chart'!$C$2:$U$20,2,false)</f>
        <v>1</v>
      </c>
      <c r="V15" s="960">
        <f t="array" ref="V15">HLOOKUP($J15,'Type Chart'!$C$2:$T$20,3,false)*HLOOKUP($K15,'Type Chart'!$C$2:$U$20,3,false)</f>
        <v>1</v>
      </c>
      <c r="W15" s="960">
        <f t="array" ref="W15">HLOOKUP($J15,'Type Chart'!$C$2:$T$20,4,false)*HLOOKUP($K15,'Type Chart'!$C$2:$U$20,4,false)</f>
        <v>1</v>
      </c>
      <c r="X15" s="960">
        <f t="array" ref="X15">HLOOKUP($J15,'Type Chart'!$C$2:$T$20,5,false)*HLOOKUP($K15,'Type Chart'!$C$2:$U$20,5,false)</f>
        <v>1</v>
      </c>
      <c r="Y15" s="960">
        <f t="array" ref="Y15">HLOOKUP($J15,'Type Chart'!$C$2:$T$20,6,false)*HLOOKUP($K15,'Type Chart'!$C$2:$U$20,6,false)</f>
        <v>1</v>
      </c>
      <c r="Z15" s="960">
        <f t="array" ref="Z15">HLOOKUP($J15,'Type Chart'!$C$2:$T$20,7,false)*HLOOKUP($K15,'Type Chart'!$C$2:$U$20,7,false)</f>
        <v>1</v>
      </c>
      <c r="AA15" s="960">
        <f t="array" ref="AA15">HLOOKUP($J15,'Type Chart'!$C$2:$T$20,8,false)*HLOOKUP($K15,'Type Chart'!$C$2:$U$20,8,false)</f>
        <v>1</v>
      </c>
      <c r="AB15" s="960">
        <f t="array" ref="AB15">HLOOKUP($J15,'Type Chart'!$C$2:$T$20,9,false)*HLOOKUP($K15,'Type Chart'!$C$2:$U$20,9,false)</f>
        <v>1</v>
      </c>
      <c r="AC15" s="960">
        <f t="array" ref="AC15">HLOOKUP($J15,'Type Chart'!$C$2:$T$20,10,false)*HLOOKUP($K15,'Type Chart'!$C$2:$U$20,10,false)</f>
        <v>0.5</v>
      </c>
      <c r="AD15" s="960">
        <f t="array" ref="AD15">HLOOKUP($J15,'Type Chart'!$C$2:$T$20,11,false)*HLOOKUP($K15,'Type Chart'!$C$2:$U$20,11,false)</f>
        <v>0.5</v>
      </c>
      <c r="AE15" s="960">
        <f t="array" ref="AE15">HLOOKUP($J15,'Type Chart'!$C$2:$T$20,12,false)*HLOOKUP($K15,'Type Chart'!$C$2:$U$20,12,false)</f>
        <v>0.5</v>
      </c>
      <c r="AF15" s="960">
        <f t="array" ref="AF15">HLOOKUP($J15,'Type Chart'!$C$2:$T$20,13,false)*HLOOKUP($K15,'Type Chart'!$C$2:$U$20,13,false)</f>
        <v>2</v>
      </c>
      <c r="AG15" s="960">
        <f t="array" ref="AG15">HLOOKUP($J15,'Type Chart'!$C$2:$T$20,14,false)*HLOOKUP($K15,'Type Chart'!$C$2:$U$20,14,false)</f>
        <v>2</v>
      </c>
      <c r="AH15" s="960">
        <f t="array" ref="AH15">HLOOKUP($J15,'Type Chart'!$C$2:$T$20,15,false)*HLOOKUP($K15,'Type Chart'!$C$2:$U$20,15,false)</f>
        <v>1</v>
      </c>
      <c r="AI15" s="960">
        <f t="array" ref="AI15">HLOOKUP($J15,'Type Chart'!$C$2:$T$20,16,false)*HLOOKUP($K15,'Type Chart'!$C$2:$U$20,16,false)</f>
        <v>0.5</v>
      </c>
      <c r="AJ15" s="960">
        <f t="array" ref="AJ15">HLOOKUP($J15,'Type Chart'!$C$2:$T$20,17,false)*HLOOKUP($K15,'Type Chart'!$C$2:$U$20,17,false)</f>
        <v>1</v>
      </c>
      <c r="AK15" s="960">
        <f t="array" ref="AK15">HLOOKUP($J15,'Type Chart'!$C$2:$T$20,18,false)*HLOOKUP($K15,'Type Chart'!$C$2:$U$20,18,false)</f>
        <v>1</v>
      </c>
      <c r="AL15" s="960">
        <f t="array" ref="AL15">HLOOKUP($J15,'Type Chart'!$C$2:$T$20,19,false)*HLOOKUP($K15,'Type Chart'!$C$2:$U$20,19,false)</f>
        <v>1</v>
      </c>
      <c r="AM15" s="964" t="s">
        <v>983</v>
      </c>
      <c r="AN15" s="965"/>
      <c r="AO15" s="966"/>
      <c r="AP15" s="936"/>
      <c r="AQ15" s="967"/>
      <c r="AR15" s="968"/>
      <c r="AS15" s="936"/>
    </row>
    <row r="16" ht="15.75" customHeight="1">
      <c r="A16" s="936"/>
      <c r="B16" s="948" t="s">
        <v>984</v>
      </c>
      <c r="C16" s="950" t="s">
        <v>985</v>
      </c>
      <c r="D16" s="950" t="s">
        <v>985</v>
      </c>
      <c r="E16" s="1147" t="s">
        <v>985</v>
      </c>
      <c r="F16" s="940"/>
      <c r="G16" s="953"/>
      <c r="H16" s="969"/>
      <c r="I16" s="998" t="s">
        <v>986</v>
      </c>
      <c r="J16" s="1180" t="s">
        <v>343</v>
      </c>
      <c r="K16" s="984" t="s">
        <v>216</v>
      </c>
      <c r="L16" s="959">
        <v>45.0</v>
      </c>
      <c r="M16" s="960">
        <v>30.0</v>
      </c>
      <c r="N16" s="960">
        <v>35.0</v>
      </c>
      <c r="O16" s="960">
        <v>20.0</v>
      </c>
      <c r="P16" s="960">
        <v>20.0</v>
      </c>
      <c r="Q16" s="960">
        <v>45.0</v>
      </c>
      <c r="R16" s="960">
        <v>126.0</v>
      </c>
      <c r="S16" s="960">
        <v>189.0</v>
      </c>
      <c r="T16" s="960">
        <v>207.0</v>
      </c>
      <c r="U16" s="960">
        <f t="array" ref="U16">HLOOKUP($J16,'Type Chart'!$C$2:$T$20,2,false)*HLOOKUP($K16,'Type Chart'!$C$2:$U$20,2,false)</f>
        <v>1</v>
      </c>
      <c r="V16" s="960">
        <f t="array" ref="V16">HLOOKUP($J16,'Type Chart'!$C$2:$T$20,3,false)*HLOOKUP($K16,'Type Chart'!$C$2:$U$20,3,false)</f>
        <v>0.5</v>
      </c>
      <c r="W16" s="960">
        <f t="array" ref="W16">HLOOKUP($J16,'Type Chart'!$C$2:$T$20,4,false)*HLOOKUP($K16,'Type Chart'!$C$2:$U$20,4,false)</f>
        <v>2</v>
      </c>
      <c r="X16" s="960">
        <f t="array" ref="X16">HLOOKUP($J16,'Type Chart'!$C$2:$T$20,5,false)*HLOOKUP($K16,'Type Chart'!$C$2:$U$20,5,false)</f>
        <v>1</v>
      </c>
      <c r="Y16" s="960">
        <f t="array" ref="Y16">HLOOKUP($J16,'Type Chart'!$C$2:$T$20,6,false)*HLOOKUP($K16,'Type Chart'!$C$2:$U$20,6,false)</f>
        <v>0.5</v>
      </c>
      <c r="Z16" s="960">
        <f t="array" ref="Z16">HLOOKUP($J16,'Type Chart'!$C$2:$T$20,7,false)*HLOOKUP($K16,'Type Chart'!$C$2:$U$20,7,false)</f>
        <v>2</v>
      </c>
      <c r="AA16" s="960">
        <f t="array" ref="AA16">HLOOKUP($J16,'Type Chart'!$C$2:$T$20,8,false)*HLOOKUP($K16,'Type Chart'!$C$2:$U$20,8,false)</f>
        <v>1</v>
      </c>
      <c r="AB16" s="960">
        <f t="array" ref="AB16">HLOOKUP($J16,'Type Chart'!$C$2:$T$20,9,false)*HLOOKUP($K16,'Type Chart'!$C$2:$U$20,9,false)</f>
        <v>1</v>
      </c>
      <c r="AC16" s="960">
        <f t="array" ref="AC16">HLOOKUP($J16,'Type Chart'!$C$2:$T$20,10,false)*HLOOKUP($K16,'Type Chart'!$C$2:$U$20,10,false)</f>
        <v>1</v>
      </c>
      <c r="AD16" s="960">
        <f t="array" ref="AD16">HLOOKUP($J16,'Type Chart'!$C$2:$T$20,11,false)*HLOOKUP($K16,'Type Chart'!$C$2:$U$20,11,false)</f>
        <v>2</v>
      </c>
      <c r="AE16" s="960">
        <f t="array" ref="AE16">HLOOKUP($J16,'Type Chart'!$C$2:$T$20,12,false)*HLOOKUP($K16,'Type Chart'!$C$2:$U$20,12,false)</f>
        <v>1</v>
      </c>
      <c r="AF16" s="960">
        <f t="array" ref="AF16">HLOOKUP($J16,'Type Chart'!$C$2:$T$20,13,false)*HLOOKUP($K16,'Type Chart'!$C$2:$U$20,13,false)</f>
        <v>0.5</v>
      </c>
      <c r="AG16" s="960">
        <f t="array" ref="AG16">HLOOKUP($J16,'Type Chart'!$C$2:$T$20,14,false)*HLOOKUP($K16,'Type Chart'!$C$2:$U$20,14,false)</f>
        <v>1</v>
      </c>
      <c r="AH16" s="960">
        <f t="array" ref="AH16">HLOOKUP($J16,'Type Chart'!$C$2:$T$20,15,false)*HLOOKUP($K16,'Type Chart'!$C$2:$U$20,15,false)</f>
        <v>1</v>
      </c>
      <c r="AI16" s="960">
        <f t="array" ref="AI16">HLOOKUP($J16,'Type Chart'!$C$2:$T$20,16,false)*HLOOKUP($K16,'Type Chart'!$C$2:$U$20,16,false)</f>
        <v>1</v>
      </c>
      <c r="AJ16" s="960">
        <f t="array" ref="AJ16">HLOOKUP($J16,'Type Chart'!$C$2:$T$20,17,false)*HLOOKUP($K16,'Type Chart'!$C$2:$U$20,17,false)</f>
        <v>1</v>
      </c>
      <c r="AK16" s="960">
        <f t="array" ref="AK16">HLOOKUP($J16,'Type Chart'!$C$2:$T$20,18,false)*HLOOKUP($K16,'Type Chart'!$C$2:$U$20,18,false)</f>
        <v>1</v>
      </c>
      <c r="AL16" s="960">
        <f t="array" ref="AL16">HLOOKUP($J16,'Type Chart'!$C$2:$T$20,19,false)*HLOOKUP($K16,'Type Chart'!$C$2:$U$20,19,false)</f>
        <v>1</v>
      </c>
      <c r="AM16" s="964" t="s">
        <v>987</v>
      </c>
      <c r="AN16" s="965"/>
      <c r="AO16" s="966" t="s">
        <v>988</v>
      </c>
      <c r="AP16" s="936"/>
      <c r="AQ16" s="967"/>
      <c r="AR16" s="968"/>
      <c r="AS16" s="936"/>
    </row>
    <row r="17" ht="15.75" customHeight="1">
      <c r="A17" s="936"/>
      <c r="B17" s="948" t="s">
        <v>989</v>
      </c>
      <c r="C17" s="950" t="s">
        <v>990</v>
      </c>
      <c r="D17" s="950" t="s">
        <v>990</v>
      </c>
      <c r="E17" s="1147" t="s">
        <v>990</v>
      </c>
      <c r="F17" s="940"/>
      <c r="G17" s="953"/>
      <c r="H17" s="969"/>
      <c r="I17" s="998" t="s">
        <v>991</v>
      </c>
      <c r="J17" s="1180" t="s">
        <v>343</v>
      </c>
      <c r="K17" s="984" t="s">
        <v>216</v>
      </c>
      <c r="L17" s="959">
        <v>50.0</v>
      </c>
      <c r="M17" s="960">
        <v>20.0</v>
      </c>
      <c r="N17" s="960">
        <v>55.0</v>
      </c>
      <c r="O17" s="960">
        <v>25.0</v>
      </c>
      <c r="P17" s="960">
        <v>25.0</v>
      </c>
      <c r="Q17" s="960">
        <v>30.0</v>
      </c>
      <c r="R17" s="960">
        <v>96.0</v>
      </c>
      <c r="S17" s="960">
        <v>159.0</v>
      </c>
      <c r="T17" s="960">
        <v>174.0</v>
      </c>
      <c r="U17" s="960">
        <f t="array" ref="U17">HLOOKUP($J17,'Type Chart'!$C$2:$T$20,2,false)*HLOOKUP($K17,'Type Chart'!$C$2:$U$20,2,false)</f>
        <v>1</v>
      </c>
      <c r="V17" s="960">
        <f t="array" ref="V17">HLOOKUP($J17,'Type Chart'!$C$2:$T$20,3,false)*HLOOKUP($K17,'Type Chart'!$C$2:$U$20,3,false)</f>
        <v>0.5</v>
      </c>
      <c r="W17" s="960">
        <f t="array" ref="W17">HLOOKUP($J17,'Type Chart'!$C$2:$T$20,4,false)*HLOOKUP($K17,'Type Chart'!$C$2:$U$20,4,false)</f>
        <v>2</v>
      </c>
      <c r="X17" s="960">
        <f t="array" ref="X17">HLOOKUP($J17,'Type Chart'!$C$2:$T$20,5,false)*HLOOKUP($K17,'Type Chart'!$C$2:$U$20,5,false)</f>
        <v>1</v>
      </c>
      <c r="Y17" s="960">
        <f t="array" ref="Y17">HLOOKUP($J17,'Type Chart'!$C$2:$T$20,6,false)*HLOOKUP($K17,'Type Chart'!$C$2:$U$20,6,false)</f>
        <v>0.5</v>
      </c>
      <c r="Z17" s="960">
        <f t="array" ref="Z17">HLOOKUP($J17,'Type Chart'!$C$2:$T$20,7,false)*HLOOKUP($K17,'Type Chart'!$C$2:$U$20,7,false)</f>
        <v>2</v>
      </c>
      <c r="AA17" s="960">
        <f t="array" ref="AA17">HLOOKUP($J17,'Type Chart'!$C$2:$T$20,8,false)*HLOOKUP($K17,'Type Chart'!$C$2:$U$20,8,false)</f>
        <v>1</v>
      </c>
      <c r="AB17" s="960">
        <f t="array" ref="AB17">HLOOKUP($J17,'Type Chart'!$C$2:$T$20,9,false)*HLOOKUP($K17,'Type Chart'!$C$2:$U$20,9,false)</f>
        <v>1</v>
      </c>
      <c r="AC17" s="960">
        <f t="array" ref="AC17">HLOOKUP($J17,'Type Chart'!$C$2:$T$20,10,false)*HLOOKUP($K17,'Type Chart'!$C$2:$U$20,10,false)</f>
        <v>1</v>
      </c>
      <c r="AD17" s="960">
        <f t="array" ref="AD17">HLOOKUP($J17,'Type Chart'!$C$2:$T$20,11,false)*HLOOKUP($K17,'Type Chart'!$C$2:$U$20,11,false)</f>
        <v>2</v>
      </c>
      <c r="AE17" s="960">
        <f t="array" ref="AE17">HLOOKUP($J17,'Type Chart'!$C$2:$T$20,12,false)*HLOOKUP($K17,'Type Chart'!$C$2:$U$20,12,false)</f>
        <v>1</v>
      </c>
      <c r="AF17" s="960">
        <f t="array" ref="AF17">HLOOKUP($J17,'Type Chart'!$C$2:$T$20,13,false)*HLOOKUP($K17,'Type Chart'!$C$2:$U$20,13,false)</f>
        <v>0.5</v>
      </c>
      <c r="AG17" s="960">
        <f t="array" ref="AG17">HLOOKUP($J17,'Type Chart'!$C$2:$T$20,14,false)*HLOOKUP($K17,'Type Chart'!$C$2:$U$20,14,false)</f>
        <v>1</v>
      </c>
      <c r="AH17" s="960">
        <f t="array" ref="AH17">HLOOKUP($J17,'Type Chart'!$C$2:$T$20,15,false)*HLOOKUP($K17,'Type Chart'!$C$2:$U$20,15,false)</f>
        <v>1</v>
      </c>
      <c r="AI17" s="960">
        <f t="array" ref="AI17">HLOOKUP($J17,'Type Chart'!$C$2:$T$20,16,false)*HLOOKUP($K17,'Type Chart'!$C$2:$U$20,16,false)</f>
        <v>1</v>
      </c>
      <c r="AJ17" s="960">
        <f t="array" ref="AJ17">HLOOKUP($J17,'Type Chart'!$C$2:$T$20,17,false)*HLOOKUP($K17,'Type Chart'!$C$2:$U$20,17,false)</f>
        <v>1</v>
      </c>
      <c r="AK17" s="960">
        <f t="array" ref="AK17">HLOOKUP($J17,'Type Chart'!$C$2:$T$20,18,false)*HLOOKUP($K17,'Type Chart'!$C$2:$U$20,18,false)</f>
        <v>1</v>
      </c>
      <c r="AL17" s="960">
        <f t="array" ref="AL17">HLOOKUP($J17,'Type Chart'!$C$2:$T$20,19,false)*HLOOKUP($K17,'Type Chart'!$C$2:$U$20,19,false)</f>
        <v>1</v>
      </c>
      <c r="AM17" s="964" t="s">
        <v>998</v>
      </c>
      <c r="AN17" s="965"/>
      <c r="AO17" s="966"/>
      <c r="AP17" s="936"/>
      <c r="AQ17" s="967"/>
      <c r="AR17" s="968"/>
      <c r="AS17" s="936"/>
    </row>
    <row r="18" ht="15.75" customHeight="1">
      <c r="A18" s="936"/>
      <c r="B18" s="948" t="s">
        <v>999</v>
      </c>
      <c r="C18" s="950" t="s">
        <v>1000</v>
      </c>
      <c r="D18" s="950" t="s">
        <v>1000</v>
      </c>
      <c r="E18" s="1147" t="s">
        <v>1000</v>
      </c>
      <c r="F18" s="940"/>
      <c r="G18" s="953"/>
      <c r="H18" s="969"/>
      <c r="I18" s="998" t="s">
        <v>1001</v>
      </c>
      <c r="J18" s="1180" t="s">
        <v>343</v>
      </c>
      <c r="K18" s="1001" t="s">
        <v>128</v>
      </c>
      <c r="L18" s="959">
        <v>60.0</v>
      </c>
      <c r="M18" s="960">
        <v>45.0</v>
      </c>
      <c r="N18" s="960">
        <v>50.0</v>
      </c>
      <c r="O18" s="960">
        <v>90.0</v>
      </c>
      <c r="P18" s="960">
        <v>80.0</v>
      </c>
      <c r="Q18" s="960">
        <v>70.0</v>
      </c>
      <c r="R18" s="960">
        <v>176.0</v>
      </c>
      <c r="S18" s="960">
        <v>239.0</v>
      </c>
      <c r="T18" s="960">
        <v>262.0</v>
      </c>
      <c r="U18" s="960">
        <f t="array" ref="U18">HLOOKUP($J18,'Type Chart'!$C$2:$T$20,2,false)*HLOOKUP($K18,'Type Chart'!$C$2:$U$20,2,false)</f>
        <v>1</v>
      </c>
      <c r="V18" s="960">
        <f t="array" ref="V18">HLOOKUP($J18,'Type Chart'!$C$2:$T$20,3,false)*HLOOKUP($K18,'Type Chart'!$C$2:$U$20,3,false)</f>
        <v>0.25</v>
      </c>
      <c r="W18" s="960">
        <f t="array" ref="W18">HLOOKUP($J18,'Type Chart'!$C$2:$T$20,4,false)*HLOOKUP($K18,'Type Chart'!$C$2:$U$20,4,false)</f>
        <v>2</v>
      </c>
      <c r="X18" s="960">
        <f t="array" ref="X18">HLOOKUP($J18,'Type Chart'!$C$2:$T$20,5,false)*HLOOKUP($K18,'Type Chart'!$C$2:$U$20,5,false)</f>
        <v>1</v>
      </c>
      <c r="Y18" s="960">
        <f t="array" ref="Y18">HLOOKUP($J18,'Type Chart'!$C$2:$T$20,6,false)*HLOOKUP($K18,'Type Chart'!$C$2:$U$20,6,false)</f>
        <v>0</v>
      </c>
      <c r="Z18" s="960">
        <f t="array" ref="Z18">HLOOKUP($J18,'Type Chart'!$C$2:$T$20,7,false)*HLOOKUP($K18,'Type Chart'!$C$2:$U$20,7,false)</f>
        <v>4</v>
      </c>
      <c r="AA18" s="960">
        <f t="array" ref="AA18">HLOOKUP($J18,'Type Chart'!$C$2:$T$20,8,false)*HLOOKUP($K18,'Type Chart'!$C$2:$U$20,8,false)</f>
        <v>0.5</v>
      </c>
      <c r="AB18" s="960">
        <f t="array" ref="AB18">HLOOKUP($J18,'Type Chart'!$C$2:$T$20,9,false)*HLOOKUP($K18,'Type Chart'!$C$2:$U$20,9,false)</f>
        <v>1</v>
      </c>
      <c r="AC18" s="960">
        <f t="array" ref="AC18">HLOOKUP($J18,'Type Chart'!$C$2:$T$20,10,false)*HLOOKUP($K18,'Type Chart'!$C$2:$U$20,10,false)</f>
        <v>1</v>
      </c>
      <c r="AD18" s="960">
        <f t="array" ref="AD18">HLOOKUP($J18,'Type Chart'!$C$2:$T$20,11,false)*HLOOKUP($K18,'Type Chart'!$C$2:$U$20,11,false)</f>
        <v>2</v>
      </c>
      <c r="AE18" s="960">
        <f t="array" ref="AE18">HLOOKUP($J18,'Type Chart'!$C$2:$T$20,12,false)*HLOOKUP($K18,'Type Chart'!$C$2:$U$20,12,false)</f>
        <v>1</v>
      </c>
      <c r="AF18" s="960">
        <f t="array" ref="AF18">HLOOKUP($J18,'Type Chart'!$C$2:$T$20,13,false)*HLOOKUP($K18,'Type Chart'!$C$2:$U$20,13,false)</f>
        <v>0.25</v>
      </c>
      <c r="AG18" s="960">
        <f t="array" ref="AG18">HLOOKUP($J18,'Type Chart'!$C$2:$T$20,14,false)*HLOOKUP($K18,'Type Chart'!$C$2:$U$20,14,false)</f>
        <v>2</v>
      </c>
      <c r="AH18" s="960">
        <f t="array" ref="AH18">HLOOKUP($J18,'Type Chart'!$C$2:$T$20,15,false)*HLOOKUP($K18,'Type Chart'!$C$2:$U$20,15,false)</f>
        <v>1</v>
      </c>
      <c r="AI18" s="960">
        <f t="array" ref="AI18">HLOOKUP($J18,'Type Chart'!$C$2:$T$20,16,false)*HLOOKUP($K18,'Type Chart'!$C$2:$U$20,16,false)</f>
        <v>2</v>
      </c>
      <c r="AJ18" s="960">
        <f t="array" ref="AJ18">HLOOKUP($J18,'Type Chart'!$C$2:$T$20,17,false)*HLOOKUP($K18,'Type Chart'!$C$2:$U$20,17,false)</f>
        <v>1</v>
      </c>
      <c r="AK18" s="960">
        <f t="array" ref="AK18">HLOOKUP($J18,'Type Chart'!$C$2:$T$20,18,false)*HLOOKUP($K18,'Type Chart'!$C$2:$U$20,18,false)</f>
        <v>1</v>
      </c>
      <c r="AL18" s="960">
        <f t="array" ref="AL18">HLOOKUP($J18,'Type Chart'!$C$2:$T$20,19,false)*HLOOKUP($K18,'Type Chart'!$C$2:$U$20,19,false)</f>
        <v>1</v>
      </c>
      <c r="AM18" s="964" t="s">
        <v>1002</v>
      </c>
      <c r="AN18" s="965"/>
      <c r="AO18" s="966" t="s">
        <v>1003</v>
      </c>
      <c r="AP18" s="936"/>
      <c r="AQ18" s="967"/>
      <c r="AR18" s="968"/>
      <c r="AS18" s="936"/>
    </row>
    <row r="19" ht="15.75" customHeight="1">
      <c r="A19" s="936"/>
      <c r="B19" s="948" t="s">
        <v>1004</v>
      </c>
      <c r="C19" s="950" t="s">
        <v>1005</v>
      </c>
      <c r="D19" s="950" t="s">
        <v>1005</v>
      </c>
      <c r="E19" s="1147" t="s">
        <v>1005</v>
      </c>
      <c r="F19" s="940"/>
      <c r="G19" s="953"/>
      <c r="H19" s="969"/>
      <c r="I19" s="998" t="s">
        <v>1006</v>
      </c>
      <c r="J19" s="1180" t="s">
        <v>343</v>
      </c>
      <c r="K19" s="958" t="s">
        <v>178</v>
      </c>
      <c r="L19" s="959">
        <v>40.0</v>
      </c>
      <c r="M19" s="960">
        <v>35.0</v>
      </c>
      <c r="N19" s="960">
        <v>30.0</v>
      </c>
      <c r="O19" s="960">
        <v>20.0</v>
      </c>
      <c r="P19" s="960">
        <v>20.0</v>
      </c>
      <c r="Q19" s="960">
        <v>50.0</v>
      </c>
      <c r="R19" s="960">
        <v>136.0</v>
      </c>
      <c r="S19" s="960">
        <v>199.0</v>
      </c>
      <c r="T19" s="960">
        <v>218.0</v>
      </c>
      <c r="U19" s="960">
        <f t="array" ref="U19">HLOOKUP($J19,'Type Chart'!$C$2:$T$20,2,false)*HLOOKUP($K19,'Type Chart'!$C$2:$U$20,2,false)</f>
        <v>1</v>
      </c>
      <c r="V19" s="960">
        <f t="array" ref="V19">HLOOKUP($J19,'Type Chart'!$C$2:$T$20,3,false)*HLOOKUP($K19,'Type Chart'!$C$2:$U$20,3,false)</f>
        <v>0.25</v>
      </c>
      <c r="W19" s="960">
        <f t="array" ref="W19">HLOOKUP($J19,'Type Chart'!$C$2:$T$20,4,false)*HLOOKUP($K19,'Type Chart'!$C$2:$U$20,4,false)</f>
        <v>2</v>
      </c>
      <c r="X19" s="960">
        <f t="array" ref="X19">HLOOKUP($J19,'Type Chart'!$C$2:$T$20,5,false)*HLOOKUP($K19,'Type Chart'!$C$2:$U$20,5,false)</f>
        <v>0.5</v>
      </c>
      <c r="Y19" s="960">
        <f t="array" ref="Y19">HLOOKUP($J19,'Type Chart'!$C$2:$T$20,6,false)*HLOOKUP($K19,'Type Chart'!$C$2:$U$20,6,false)</f>
        <v>1</v>
      </c>
      <c r="Z19" s="960">
        <f t="array" ref="Z19">HLOOKUP($J19,'Type Chart'!$C$2:$T$20,7,false)*HLOOKUP($K19,'Type Chart'!$C$2:$U$20,7,false)</f>
        <v>2</v>
      </c>
      <c r="AA19" s="960">
        <f t="array" ref="AA19">HLOOKUP($J19,'Type Chart'!$C$2:$T$20,8,false)*HLOOKUP($K19,'Type Chart'!$C$2:$U$20,8,false)</f>
        <v>0.5</v>
      </c>
      <c r="AB19" s="960">
        <f t="array" ref="AB19">HLOOKUP($J19,'Type Chart'!$C$2:$T$20,9,false)*HLOOKUP($K19,'Type Chart'!$C$2:$U$20,9,false)</f>
        <v>1</v>
      </c>
      <c r="AC19" s="960">
        <f t="array" ref="AC19">HLOOKUP($J19,'Type Chart'!$C$2:$T$20,10,false)*HLOOKUP($K19,'Type Chart'!$C$2:$U$20,10,false)</f>
        <v>1</v>
      </c>
      <c r="AD19" s="960">
        <f t="array" ref="AD19">HLOOKUP($J19,'Type Chart'!$C$2:$T$20,11,false)*HLOOKUP($K19,'Type Chart'!$C$2:$U$20,11,false)</f>
        <v>2</v>
      </c>
      <c r="AE19" s="960">
        <f t="array" ref="AE19">HLOOKUP($J19,'Type Chart'!$C$2:$T$20,12,false)*HLOOKUP($K19,'Type Chart'!$C$2:$U$20,12,false)</f>
        <v>1</v>
      </c>
      <c r="AF19" s="960">
        <f t="array" ref="AF19">HLOOKUP($J19,'Type Chart'!$C$2:$T$20,13,false)*HLOOKUP($K19,'Type Chart'!$C$2:$U$20,13,false)</f>
        <v>0.25</v>
      </c>
      <c r="AG19" s="960">
        <f t="array" ref="AG19">HLOOKUP($J19,'Type Chart'!$C$2:$T$20,14,false)*HLOOKUP($K19,'Type Chart'!$C$2:$U$20,14,false)</f>
        <v>1</v>
      </c>
      <c r="AH19" s="960">
        <f t="array" ref="AH19">HLOOKUP($J19,'Type Chart'!$C$2:$T$20,15,false)*HLOOKUP($K19,'Type Chart'!$C$2:$U$20,15,false)</f>
        <v>2</v>
      </c>
      <c r="AI19" s="960">
        <f t="array" ref="AI19">HLOOKUP($J19,'Type Chart'!$C$2:$T$20,16,false)*HLOOKUP($K19,'Type Chart'!$C$2:$U$20,16,false)</f>
        <v>1</v>
      </c>
      <c r="AJ19" s="960">
        <f t="array" ref="AJ19">HLOOKUP($J19,'Type Chart'!$C$2:$T$20,17,false)*HLOOKUP($K19,'Type Chart'!$C$2:$U$20,17,false)</f>
        <v>1</v>
      </c>
      <c r="AK19" s="960">
        <f t="array" ref="AK19">HLOOKUP($J19,'Type Chart'!$C$2:$T$20,18,false)*HLOOKUP($K19,'Type Chart'!$C$2:$U$20,18,false)</f>
        <v>1</v>
      </c>
      <c r="AL19" s="960">
        <f t="array" ref="AL19">HLOOKUP($J19,'Type Chart'!$C$2:$T$20,19,false)*HLOOKUP($K19,'Type Chart'!$C$2:$U$20,19,false)</f>
        <v>0.5</v>
      </c>
      <c r="AM19" s="964" t="s">
        <v>987</v>
      </c>
      <c r="AN19" s="965"/>
      <c r="AO19" s="966" t="s">
        <v>988</v>
      </c>
      <c r="AP19" s="936"/>
      <c r="AQ19" s="967"/>
      <c r="AR19" s="968"/>
      <c r="AS19" s="936"/>
    </row>
    <row r="20" ht="15.75" customHeight="1">
      <c r="A20" s="936"/>
      <c r="B20" s="948" t="s">
        <v>1007</v>
      </c>
      <c r="C20" s="950" t="s">
        <v>1008</v>
      </c>
      <c r="D20" s="950" t="s">
        <v>1008</v>
      </c>
      <c r="E20" s="1147" t="s">
        <v>1008</v>
      </c>
      <c r="F20" s="940"/>
      <c r="G20" s="953"/>
      <c r="H20" s="969"/>
      <c r="I20" s="998" t="s">
        <v>1009</v>
      </c>
      <c r="J20" s="1180" t="s">
        <v>343</v>
      </c>
      <c r="K20" s="958" t="s">
        <v>178</v>
      </c>
      <c r="L20" s="959">
        <v>45.0</v>
      </c>
      <c r="M20" s="960">
        <v>25.0</v>
      </c>
      <c r="N20" s="960">
        <v>50.0</v>
      </c>
      <c r="O20" s="960">
        <v>25.0</v>
      </c>
      <c r="P20" s="960">
        <v>25.0</v>
      </c>
      <c r="Q20" s="960">
        <v>35.0</v>
      </c>
      <c r="R20" s="960">
        <v>106.0</v>
      </c>
      <c r="S20" s="960">
        <v>169.0</v>
      </c>
      <c r="T20" s="960">
        <v>185.0</v>
      </c>
      <c r="U20" s="960">
        <f t="array" ref="U20">HLOOKUP($J20,'Type Chart'!$C$2:$T$20,2,false)*HLOOKUP($K20,'Type Chart'!$C$2:$U$20,2,false)</f>
        <v>1</v>
      </c>
      <c r="V20" s="960">
        <f t="array" ref="V20">HLOOKUP($J20,'Type Chart'!$C$2:$T$20,3,false)*HLOOKUP($K20,'Type Chart'!$C$2:$U$20,3,false)</f>
        <v>0.25</v>
      </c>
      <c r="W20" s="960">
        <f t="array" ref="W20">HLOOKUP($J20,'Type Chart'!$C$2:$T$20,4,false)*HLOOKUP($K20,'Type Chart'!$C$2:$U$20,4,false)</f>
        <v>2</v>
      </c>
      <c r="X20" s="960">
        <f t="array" ref="X20">HLOOKUP($J20,'Type Chart'!$C$2:$T$20,5,false)*HLOOKUP($K20,'Type Chart'!$C$2:$U$20,5,false)</f>
        <v>0.5</v>
      </c>
      <c r="Y20" s="960">
        <f t="array" ref="Y20">HLOOKUP($J20,'Type Chart'!$C$2:$T$20,6,false)*HLOOKUP($K20,'Type Chart'!$C$2:$U$20,6,false)</f>
        <v>1</v>
      </c>
      <c r="Z20" s="960">
        <f t="array" ref="Z20">HLOOKUP($J20,'Type Chart'!$C$2:$T$20,7,false)*HLOOKUP($K20,'Type Chart'!$C$2:$U$20,7,false)</f>
        <v>2</v>
      </c>
      <c r="AA20" s="960">
        <f t="array" ref="AA20">HLOOKUP($J20,'Type Chart'!$C$2:$T$20,8,false)*HLOOKUP($K20,'Type Chart'!$C$2:$U$20,8,false)</f>
        <v>0.5</v>
      </c>
      <c r="AB20" s="960">
        <f t="array" ref="AB20">HLOOKUP($J20,'Type Chart'!$C$2:$T$20,9,false)*HLOOKUP($K20,'Type Chart'!$C$2:$U$20,9,false)</f>
        <v>1</v>
      </c>
      <c r="AC20" s="960">
        <f t="array" ref="AC20">HLOOKUP($J20,'Type Chart'!$C$2:$T$20,10,false)*HLOOKUP($K20,'Type Chart'!$C$2:$U$20,10,false)</f>
        <v>1</v>
      </c>
      <c r="AD20" s="960">
        <f t="array" ref="AD20">HLOOKUP($J20,'Type Chart'!$C$2:$T$20,11,false)*HLOOKUP($K20,'Type Chart'!$C$2:$U$20,11,false)</f>
        <v>2</v>
      </c>
      <c r="AE20" s="960">
        <f t="array" ref="AE20">HLOOKUP($J20,'Type Chart'!$C$2:$T$20,12,false)*HLOOKUP($K20,'Type Chart'!$C$2:$U$20,12,false)</f>
        <v>1</v>
      </c>
      <c r="AF20" s="960">
        <f t="array" ref="AF20">HLOOKUP($J20,'Type Chart'!$C$2:$T$20,13,false)*HLOOKUP($K20,'Type Chart'!$C$2:$U$20,13,false)</f>
        <v>0.25</v>
      </c>
      <c r="AG20" s="960">
        <f t="array" ref="AG20">HLOOKUP($J20,'Type Chart'!$C$2:$T$20,14,false)*HLOOKUP($K20,'Type Chart'!$C$2:$U$20,14,false)</f>
        <v>1</v>
      </c>
      <c r="AH20" s="960">
        <f t="array" ref="AH20">HLOOKUP($J20,'Type Chart'!$C$2:$T$20,15,false)*HLOOKUP($K20,'Type Chart'!$C$2:$U$20,15,false)</f>
        <v>2</v>
      </c>
      <c r="AI20" s="960">
        <f t="array" ref="AI20">HLOOKUP($J20,'Type Chart'!$C$2:$T$20,16,false)*HLOOKUP($K20,'Type Chart'!$C$2:$U$20,16,false)</f>
        <v>1</v>
      </c>
      <c r="AJ20" s="960">
        <f t="array" ref="AJ20">HLOOKUP($J20,'Type Chart'!$C$2:$T$20,17,false)*HLOOKUP($K20,'Type Chart'!$C$2:$U$20,17,false)</f>
        <v>1</v>
      </c>
      <c r="AK20" s="960">
        <f t="array" ref="AK20">HLOOKUP($J20,'Type Chart'!$C$2:$T$20,18,false)*HLOOKUP($K20,'Type Chart'!$C$2:$U$20,18,false)</f>
        <v>1</v>
      </c>
      <c r="AL20" s="960">
        <f t="array" ref="AL20">HLOOKUP($J20,'Type Chart'!$C$2:$T$20,19,false)*HLOOKUP($K20,'Type Chart'!$C$2:$U$20,19,false)</f>
        <v>0.5</v>
      </c>
      <c r="AM20" s="964" t="s">
        <v>998</v>
      </c>
      <c r="AN20" s="965"/>
      <c r="AO20" s="966"/>
      <c r="AP20" s="936"/>
      <c r="AQ20" s="967"/>
      <c r="AR20" s="968"/>
      <c r="AS20" s="936"/>
    </row>
    <row r="21" ht="15.75" customHeight="1">
      <c r="A21" s="936"/>
      <c r="B21" s="948" t="s">
        <v>1010</v>
      </c>
      <c r="C21" s="950" t="s">
        <v>1011</v>
      </c>
      <c r="D21" s="950" t="s">
        <v>1011</v>
      </c>
      <c r="E21" s="1147" t="s">
        <v>1011</v>
      </c>
      <c r="F21" s="940"/>
      <c r="G21" s="953"/>
      <c r="H21" s="969"/>
      <c r="I21" s="998" t="s">
        <v>1012</v>
      </c>
      <c r="J21" s="1180" t="s">
        <v>343</v>
      </c>
      <c r="K21" s="958" t="s">
        <v>178</v>
      </c>
      <c r="L21" s="959">
        <v>65.0</v>
      </c>
      <c r="M21" s="960">
        <v>90.0</v>
      </c>
      <c r="N21" s="960">
        <v>40.0</v>
      </c>
      <c r="O21" s="960">
        <v>45.0</v>
      </c>
      <c r="P21" s="960">
        <v>80.0</v>
      </c>
      <c r="Q21" s="960">
        <v>75.0</v>
      </c>
      <c r="R21" s="960">
        <v>186.0</v>
      </c>
      <c r="S21" s="960">
        <v>249.0</v>
      </c>
      <c r="T21" s="960">
        <v>273.0</v>
      </c>
      <c r="U21" s="960">
        <f t="array" ref="U21">HLOOKUP($J21,'Type Chart'!$C$2:$T$20,2,false)*HLOOKUP($K21,'Type Chart'!$C$2:$U$20,2,false)</f>
        <v>1</v>
      </c>
      <c r="V21" s="960">
        <f t="array" ref="V21">HLOOKUP($J21,'Type Chart'!$C$2:$T$20,3,false)*HLOOKUP($K21,'Type Chart'!$C$2:$U$20,3,false)</f>
        <v>0.25</v>
      </c>
      <c r="W21" s="960">
        <f t="array" ref="W21">HLOOKUP($J21,'Type Chart'!$C$2:$T$20,4,false)*HLOOKUP($K21,'Type Chart'!$C$2:$U$20,4,false)</f>
        <v>2</v>
      </c>
      <c r="X21" s="960">
        <f t="array" ref="X21">HLOOKUP($J21,'Type Chart'!$C$2:$T$20,5,false)*HLOOKUP($K21,'Type Chart'!$C$2:$U$20,5,false)</f>
        <v>0.5</v>
      </c>
      <c r="Y21" s="960">
        <f t="array" ref="Y21">HLOOKUP($J21,'Type Chart'!$C$2:$T$20,6,false)*HLOOKUP($K21,'Type Chart'!$C$2:$U$20,6,false)</f>
        <v>1</v>
      </c>
      <c r="Z21" s="960">
        <f t="array" ref="Z21">HLOOKUP($J21,'Type Chart'!$C$2:$T$20,7,false)*HLOOKUP($K21,'Type Chart'!$C$2:$U$20,7,false)</f>
        <v>2</v>
      </c>
      <c r="AA21" s="960">
        <f t="array" ref="AA21">HLOOKUP($J21,'Type Chart'!$C$2:$T$20,8,false)*HLOOKUP($K21,'Type Chart'!$C$2:$U$20,8,false)</f>
        <v>0.5</v>
      </c>
      <c r="AB21" s="960">
        <f t="array" ref="AB21">HLOOKUP($J21,'Type Chart'!$C$2:$T$20,9,false)*HLOOKUP($K21,'Type Chart'!$C$2:$U$20,9,false)</f>
        <v>1</v>
      </c>
      <c r="AC21" s="960">
        <f t="array" ref="AC21">HLOOKUP($J21,'Type Chart'!$C$2:$T$20,10,false)*HLOOKUP($K21,'Type Chart'!$C$2:$U$20,10,false)</f>
        <v>1</v>
      </c>
      <c r="AD21" s="960">
        <f t="array" ref="AD21">HLOOKUP($J21,'Type Chart'!$C$2:$T$20,11,false)*HLOOKUP($K21,'Type Chart'!$C$2:$U$20,11,false)</f>
        <v>2</v>
      </c>
      <c r="AE21" s="960">
        <f t="array" ref="AE21">HLOOKUP($J21,'Type Chart'!$C$2:$T$20,12,false)*HLOOKUP($K21,'Type Chart'!$C$2:$U$20,12,false)</f>
        <v>1</v>
      </c>
      <c r="AF21" s="960">
        <f t="array" ref="AF21">HLOOKUP($J21,'Type Chart'!$C$2:$T$20,13,false)*HLOOKUP($K21,'Type Chart'!$C$2:$U$20,13,false)</f>
        <v>0.25</v>
      </c>
      <c r="AG21" s="960">
        <f t="array" ref="AG21">HLOOKUP($J21,'Type Chart'!$C$2:$T$20,14,false)*HLOOKUP($K21,'Type Chart'!$C$2:$U$20,14,false)</f>
        <v>1</v>
      </c>
      <c r="AH21" s="960">
        <f t="array" ref="AH21">HLOOKUP($J21,'Type Chart'!$C$2:$T$20,15,false)*HLOOKUP($K21,'Type Chart'!$C$2:$U$20,15,false)</f>
        <v>2</v>
      </c>
      <c r="AI21" s="960">
        <f t="array" ref="AI21">HLOOKUP($J21,'Type Chart'!$C$2:$T$20,16,false)*HLOOKUP($K21,'Type Chart'!$C$2:$U$20,16,false)</f>
        <v>1</v>
      </c>
      <c r="AJ21" s="960">
        <f t="array" ref="AJ21">HLOOKUP($J21,'Type Chart'!$C$2:$T$20,17,false)*HLOOKUP($K21,'Type Chart'!$C$2:$U$20,17,false)</f>
        <v>1</v>
      </c>
      <c r="AK21" s="960">
        <f t="array" ref="AK21">HLOOKUP($J21,'Type Chart'!$C$2:$T$20,18,false)*HLOOKUP($K21,'Type Chart'!$C$2:$U$20,18,false)</f>
        <v>1</v>
      </c>
      <c r="AL21" s="960">
        <f t="array" ref="AL21">HLOOKUP($J21,'Type Chart'!$C$2:$T$20,19,false)*HLOOKUP($K21,'Type Chart'!$C$2:$U$20,19,false)</f>
        <v>0.5</v>
      </c>
      <c r="AM21" s="964" t="s">
        <v>1013</v>
      </c>
      <c r="AN21" s="965"/>
      <c r="AO21" s="966" t="s">
        <v>1014</v>
      </c>
      <c r="AP21" s="936"/>
      <c r="AQ21" s="967"/>
      <c r="AR21" s="968"/>
      <c r="AS21" s="936"/>
    </row>
    <row r="22" ht="15.75" customHeight="1">
      <c r="A22" s="936"/>
      <c r="B22" s="948" t="s">
        <v>1015</v>
      </c>
      <c r="C22" s="950" t="s">
        <v>1016</v>
      </c>
      <c r="D22" s="950" t="s">
        <v>1016</v>
      </c>
      <c r="E22" s="1147" t="s">
        <v>1016</v>
      </c>
      <c r="F22" s="940"/>
      <c r="G22" s="953"/>
      <c r="H22" s="969"/>
      <c r="I22" s="998" t="s">
        <v>1017</v>
      </c>
      <c r="J22" s="1180" t="s">
        <v>343</v>
      </c>
      <c r="K22" s="958" t="s">
        <v>178</v>
      </c>
      <c r="L22" s="959">
        <v>65.0</v>
      </c>
      <c r="M22" s="960">
        <v>150.0</v>
      </c>
      <c r="N22" s="960">
        <v>40.0</v>
      </c>
      <c r="O22" s="960">
        <v>15.0</v>
      </c>
      <c r="P22" s="960">
        <v>80.0</v>
      </c>
      <c r="Q22" s="960">
        <v>145.0</v>
      </c>
      <c r="R22" s="960">
        <v>326.0</v>
      </c>
      <c r="S22" s="960">
        <v>389.0</v>
      </c>
      <c r="T22" s="960">
        <v>427.0</v>
      </c>
      <c r="U22" s="960">
        <f t="array" ref="U22">HLOOKUP($J22,'Type Chart'!$C$2:$T$20,2,false)*HLOOKUP($K22,'Type Chart'!$C$2:$U$20,2,false)</f>
        <v>1</v>
      </c>
      <c r="V22" s="960">
        <f t="array" ref="V22">HLOOKUP($J22,'Type Chart'!$C$2:$T$20,3,false)*HLOOKUP($K22,'Type Chart'!$C$2:$U$20,3,false)</f>
        <v>0.25</v>
      </c>
      <c r="W22" s="960">
        <f t="array" ref="W22">HLOOKUP($J22,'Type Chart'!$C$2:$T$20,4,false)*HLOOKUP($K22,'Type Chart'!$C$2:$U$20,4,false)</f>
        <v>2</v>
      </c>
      <c r="X22" s="960">
        <f t="array" ref="X22">HLOOKUP($J22,'Type Chart'!$C$2:$T$20,5,false)*HLOOKUP($K22,'Type Chart'!$C$2:$U$20,5,false)</f>
        <v>0.5</v>
      </c>
      <c r="Y22" s="960">
        <f t="array" ref="Y22">HLOOKUP($J22,'Type Chart'!$C$2:$T$20,6,false)*HLOOKUP($K22,'Type Chart'!$C$2:$U$20,6,false)</f>
        <v>1</v>
      </c>
      <c r="Z22" s="960">
        <f t="array" ref="Z22">HLOOKUP($J22,'Type Chart'!$C$2:$T$20,7,false)*HLOOKUP($K22,'Type Chart'!$C$2:$U$20,7,false)</f>
        <v>2</v>
      </c>
      <c r="AA22" s="960">
        <f t="array" ref="AA22">HLOOKUP($J22,'Type Chart'!$C$2:$T$20,8,false)*HLOOKUP($K22,'Type Chart'!$C$2:$U$20,8,false)</f>
        <v>0.5</v>
      </c>
      <c r="AB22" s="960">
        <f t="array" ref="AB22">HLOOKUP($J22,'Type Chart'!$C$2:$T$20,9,false)*HLOOKUP($K22,'Type Chart'!$C$2:$U$20,9,false)</f>
        <v>1</v>
      </c>
      <c r="AC22" s="960">
        <f t="array" ref="AC22">HLOOKUP($J22,'Type Chart'!$C$2:$T$20,10,false)*HLOOKUP($K22,'Type Chart'!$C$2:$U$20,10,false)</f>
        <v>1</v>
      </c>
      <c r="AD22" s="960">
        <f t="array" ref="AD22">HLOOKUP($J22,'Type Chart'!$C$2:$T$20,11,false)*HLOOKUP($K22,'Type Chart'!$C$2:$U$20,11,false)</f>
        <v>2</v>
      </c>
      <c r="AE22" s="960">
        <f t="array" ref="AE22">HLOOKUP($J22,'Type Chart'!$C$2:$T$20,12,false)*HLOOKUP($K22,'Type Chart'!$C$2:$U$20,12,false)</f>
        <v>1</v>
      </c>
      <c r="AF22" s="960">
        <f t="array" ref="AF22">HLOOKUP($J22,'Type Chart'!$C$2:$T$20,13,false)*HLOOKUP($K22,'Type Chart'!$C$2:$U$20,13,false)</f>
        <v>0.25</v>
      </c>
      <c r="AG22" s="960">
        <f t="array" ref="AG22">HLOOKUP($J22,'Type Chart'!$C$2:$T$20,14,false)*HLOOKUP($K22,'Type Chart'!$C$2:$U$20,14,false)</f>
        <v>1</v>
      </c>
      <c r="AH22" s="960">
        <f t="array" ref="AH22">HLOOKUP($J22,'Type Chart'!$C$2:$T$20,15,false)*HLOOKUP($K22,'Type Chart'!$C$2:$U$20,15,false)</f>
        <v>2</v>
      </c>
      <c r="AI22" s="960">
        <f t="array" ref="AI22">HLOOKUP($J22,'Type Chart'!$C$2:$T$20,16,false)*HLOOKUP($K22,'Type Chart'!$C$2:$U$20,16,false)</f>
        <v>1</v>
      </c>
      <c r="AJ22" s="960">
        <f t="array" ref="AJ22">HLOOKUP($J22,'Type Chart'!$C$2:$T$20,17,false)*HLOOKUP($K22,'Type Chart'!$C$2:$U$20,17,false)</f>
        <v>1</v>
      </c>
      <c r="AK22" s="960">
        <f t="array" ref="AK22">HLOOKUP($J22,'Type Chart'!$C$2:$T$20,18,false)*HLOOKUP($K22,'Type Chart'!$C$2:$U$20,18,false)</f>
        <v>1</v>
      </c>
      <c r="AL22" s="960">
        <f t="array" ref="AL22">HLOOKUP($J22,'Type Chart'!$C$2:$T$20,19,false)*HLOOKUP($K22,'Type Chart'!$C$2:$U$20,19,false)</f>
        <v>0.5</v>
      </c>
      <c r="AM22" s="964" t="s">
        <v>1018</v>
      </c>
      <c r="AN22" s="965"/>
      <c r="AO22" s="966"/>
      <c r="AP22" s="936"/>
      <c r="AQ22" s="967"/>
      <c r="AR22" s="968"/>
      <c r="AS22" s="936"/>
    </row>
    <row r="23" ht="15.75" customHeight="1">
      <c r="A23" s="936"/>
      <c r="B23" s="948" t="s">
        <v>1019</v>
      </c>
      <c r="C23" s="950" t="s">
        <v>1020</v>
      </c>
      <c r="D23" s="950" t="s">
        <v>1020</v>
      </c>
      <c r="E23" s="1147" t="s">
        <v>1020</v>
      </c>
      <c r="F23" s="940"/>
      <c r="G23" s="953"/>
      <c r="H23" s="969"/>
      <c r="I23" s="998" t="s">
        <v>1021</v>
      </c>
      <c r="J23" s="1194" t="s">
        <v>136</v>
      </c>
      <c r="K23" s="1001" t="s">
        <v>128</v>
      </c>
      <c r="L23" s="959">
        <v>40.0</v>
      </c>
      <c r="M23" s="960">
        <v>45.0</v>
      </c>
      <c r="N23" s="960">
        <v>40.0</v>
      </c>
      <c r="O23" s="960">
        <v>35.0</v>
      </c>
      <c r="P23" s="960">
        <v>35.0</v>
      </c>
      <c r="Q23" s="960">
        <v>56.0</v>
      </c>
      <c r="R23" s="960">
        <v>148.0</v>
      </c>
      <c r="S23" s="960">
        <v>211.0</v>
      </c>
      <c r="T23" s="960">
        <v>232.0</v>
      </c>
      <c r="U23" s="960">
        <f t="array" ref="U23">HLOOKUP($J23,'Type Chart'!$C$2:$T$20,2,false)*HLOOKUP($K23,'Type Chart'!$C$2:$U$20,2,false)</f>
        <v>1</v>
      </c>
      <c r="V23" s="960">
        <f t="array" ref="V23">HLOOKUP($J23,'Type Chart'!$C$2:$T$20,3,false)*HLOOKUP($K23,'Type Chart'!$C$2:$U$20,3,false)</f>
        <v>1</v>
      </c>
      <c r="W23" s="960">
        <f t="array" ref="W23">HLOOKUP($J23,'Type Chart'!$C$2:$T$20,4,false)*HLOOKUP($K23,'Type Chart'!$C$2:$U$20,4,false)</f>
        <v>1</v>
      </c>
      <c r="X23" s="960">
        <f t="array" ref="X23">HLOOKUP($J23,'Type Chart'!$C$2:$T$20,5,false)*HLOOKUP($K23,'Type Chart'!$C$2:$U$20,5,false)</f>
        <v>1</v>
      </c>
      <c r="Y23" s="960">
        <f t="array" ref="Y23">HLOOKUP($J23,'Type Chart'!$C$2:$T$20,6,false)*HLOOKUP($K23,'Type Chart'!$C$2:$U$20,6,false)</f>
        <v>0</v>
      </c>
      <c r="Z23" s="960">
        <f t="array" ref="Z23">HLOOKUP($J23,'Type Chart'!$C$2:$T$20,7,false)*HLOOKUP($K23,'Type Chart'!$C$2:$U$20,7,false)</f>
        <v>2</v>
      </c>
      <c r="AA23" s="960">
        <f t="array" ref="AA23">HLOOKUP($J23,'Type Chart'!$C$2:$T$20,8,false)*HLOOKUP($K23,'Type Chart'!$C$2:$U$20,8,false)</f>
        <v>0.5</v>
      </c>
      <c r="AB23" s="960">
        <f t="array" ref="AB23">HLOOKUP($J23,'Type Chart'!$C$2:$T$20,9,false)*HLOOKUP($K23,'Type Chart'!$C$2:$U$20,9,false)</f>
        <v>0</v>
      </c>
      <c r="AC23" s="960">
        <f t="array" ref="AC23">HLOOKUP($J23,'Type Chart'!$C$2:$T$20,10,false)*HLOOKUP($K23,'Type Chart'!$C$2:$U$20,10,false)</f>
        <v>1</v>
      </c>
      <c r="AD23" s="960">
        <f t="array" ref="AD23">HLOOKUP($J23,'Type Chart'!$C$2:$T$20,11,false)*HLOOKUP($K23,'Type Chart'!$C$2:$U$20,11,false)</f>
        <v>1</v>
      </c>
      <c r="AE23" s="960">
        <f t="array" ref="AE23">HLOOKUP($J23,'Type Chart'!$C$2:$T$20,12,false)*HLOOKUP($K23,'Type Chart'!$C$2:$U$20,12,false)</f>
        <v>1</v>
      </c>
      <c r="AF23" s="960">
        <f t="array" ref="AF23">HLOOKUP($J23,'Type Chart'!$C$2:$T$20,13,false)*HLOOKUP($K23,'Type Chart'!$C$2:$U$20,13,false)</f>
        <v>0.5</v>
      </c>
      <c r="AG23" s="960">
        <f t="array" ref="AG23">HLOOKUP($J23,'Type Chart'!$C$2:$T$20,14,false)*HLOOKUP($K23,'Type Chart'!$C$2:$U$20,14,false)</f>
        <v>2</v>
      </c>
      <c r="AH23" s="960">
        <f t="array" ref="AH23">HLOOKUP($J23,'Type Chart'!$C$2:$T$20,15,false)*HLOOKUP($K23,'Type Chart'!$C$2:$U$20,15,false)</f>
        <v>1</v>
      </c>
      <c r="AI23" s="960">
        <f t="array" ref="AI23">HLOOKUP($J23,'Type Chart'!$C$2:$T$20,16,false)*HLOOKUP($K23,'Type Chart'!$C$2:$U$20,16,false)</f>
        <v>2</v>
      </c>
      <c r="AJ23" s="960">
        <f t="array" ref="AJ23">HLOOKUP($J23,'Type Chart'!$C$2:$T$20,17,false)*HLOOKUP($K23,'Type Chart'!$C$2:$U$20,17,false)</f>
        <v>1</v>
      </c>
      <c r="AK23" s="960">
        <f t="array" ref="AK23">HLOOKUP($J23,'Type Chart'!$C$2:$T$20,18,false)*HLOOKUP($K23,'Type Chart'!$C$2:$U$20,18,false)</f>
        <v>1</v>
      </c>
      <c r="AL23" s="960">
        <f t="array" ref="AL23">HLOOKUP($J23,'Type Chart'!$C$2:$T$20,19,false)*HLOOKUP($K23,'Type Chart'!$C$2:$U$20,19,false)</f>
        <v>1</v>
      </c>
      <c r="AM23" s="964" t="s">
        <v>1022</v>
      </c>
      <c r="AN23" s="965" t="s">
        <v>1023</v>
      </c>
      <c r="AO23" s="966" t="s">
        <v>1024</v>
      </c>
      <c r="AP23" s="936"/>
      <c r="AQ23" s="967"/>
      <c r="AR23" s="968"/>
      <c r="AS23" s="936"/>
    </row>
    <row r="24" ht="15.75" customHeight="1">
      <c r="A24" s="936"/>
      <c r="B24" s="948" t="s">
        <v>1025</v>
      </c>
      <c r="C24" s="950" t="s">
        <v>1026</v>
      </c>
      <c r="D24" s="950" t="s">
        <v>1026</v>
      </c>
      <c r="E24" s="1147" t="s">
        <v>1026</v>
      </c>
      <c r="F24" s="940"/>
      <c r="G24" s="953"/>
      <c r="H24" s="969"/>
      <c r="I24" s="998" t="s">
        <v>1027</v>
      </c>
      <c r="J24" s="1194" t="s">
        <v>136</v>
      </c>
      <c r="K24" s="1001" t="s">
        <v>128</v>
      </c>
      <c r="L24" s="959">
        <v>63.0</v>
      </c>
      <c r="M24" s="960">
        <v>60.0</v>
      </c>
      <c r="N24" s="960">
        <v>55.0</v>
      </c>
      <c r="O24" s="960">
        <v>50.0</v>
      </c>
      <c r="P24" s="960">
        <v>50.0</v>
      </c>
      <c r="Q24" s="960">
        <v>71.0</v>
      </c>
      <c r="R24" s="960">
        <v>178.0</v>
      </c>
      <c r="S24" s="960">
        <v>241.0</v>
      </c>
      <c r="T24" s="960">
        <v>265.0</v>
      </c>
      <c r="U24" s="960">
        <f t="array" ref="U24">HLOOKUP($J24,'Type Chart'!$C$2:$T$20,2,false)*HLOOKUP($K24,'Type Chart'!$C$2:$U$20,2,false)</f>
        <v>1</v>
      </c>
      <c r="V24" s="960">
        <f t="array" ref="V24">HLOOKUP($J24,'Type Chart'!$C$2:$T$20,3,false)*HLOOKUP($K24,'Type Chart'!$C$2:$U$20,3,false)</f>
        <v>1</v>
      </c>
      <c r="W24" s="960">
        <f t="array" ref="W24">HLOOKUP($J24,'Type Chart'!$C$2:$T$20,4,false)*HLOOKUP($K24,'Type Chart'!$C$2:$U$20,4,false)</f>
        <v>1</v>
      </c>
      <c r="X24" s="960">
        <f t="array" ref="X24">HLOOKUP($J24,'Type Chart'!$C$2:$T$20,5,false)*HLOOKUP($K24,'Type Chart'!$C$2:$U$20,5,false)</f>
        <v>1</v>
      </c>
      <c r="Y24" s="960">
        <f t="array" ref="Y24">HLOOKUP($J24,'Type Chart'!$C$2:$T$20,6,false)*HLOOKUP($K24,'Type Chart'!$C$2:$U$20,6,false)</f>
        <v>0</v>
      </c>
      <c r="Z24" s="960">
        <f t="array" ref="Z24">HLOOKUP($J24,'Type Chart'!$C$2:$T$20,7,false)*HLOOKUP($K24,'Type Chart'!$C$2:$U$20,7,false)</f>
        <v>2</v>
      </c>
      <c r="AA24" s="960">
        <f t="array" ref="AA24">HLOOKUP($J24,'Type Chart'!$C$2:$T$20,8,false)*HLOOKUP($K24,'Type Chart'!$C$2:$U$20,8,false)</f>
        <v>0.5</v>
      </c>
      <c r="AB24" s="960">
        <f t="array" ref="AB24">HLOOKUP($J24,'Type Chart'!$C$2:$T$20,9,false)*HLOOKUP($K24,'Type Chart'!$C$2:$U$20,9,false)</f>
        <v>0</v>
      </c>
      <c r="AC24" s="960">
        <f t="array" ref="AC24">HLOOKUP($J24,'Type Chart'!$C$2:$T$20,10,false)*HLOOKUP($K24,'Type Chart'!$C$2:$U$20,10,false)</f>
        <v>1</v>
      </c>
      <c r="AD24" s="960">
        <f t="array" ref="AD24">HLOOKUP($J24,'Type Chart'!$C$2:$T$20,11,false)*HLOOKUP($K24,'Type Chart'!$C$2:$U$20,11,false)</f>
        <v>1</v>
      </c>
      <c r="AE24" s="960">
        <f t="array" ref="AE24">HLOOKUP($J24,'Type Chart'!$C$2:$T$20,12,false)*HLOOKUP($K24,'Type Chart'!$C$2:$U$20,12,false)</f>
        <v>1</v>
      </c>
      <c r="AF24" s="960">
        <f t="array" ref="AF24">HLOOKUP($J24,'Type Chart'!$C$2:$T$20,13,false)*HLOOKUP($K24,'Type Chart'!$C$2:$U$20,13,false)</f>
        <v>0.5</v>
      </c>
      <c r="AG24" s="960">
        <f t="array" ref="AG24">HLOOKUP($J24,'Type Chart'!$C$2:$T$20,14,false)*HLOOKUP($K24,'Type Chart'!$C$2:$U$20,14,false)</f>
        <v>2</v>
      </c>
      <c r="AH24" s="960">
        <f t="array" ref="AH24">HLOOKUP($J24,'Type Chart'!$C$2:$T$20,15,false)*HLOOKUP($K24,'Type Chart'!$C$2:$U$20,15,false)</f>
        <v>1</v>
      </c>
      <c r="AI24" s="960">
        <f t="array" ref="AI24">HLOOKUP($J24,'Type Chart'!$C$2:$T$20,16,false)*HLOOKUP($K24,'Type Chart'!$C$2:$U$20,16,false)</f>
        <v>2</v>
      </c>
      <c r="AJ24" s="960">
        <f t="array" ref="AJ24">HLOOKUP($J24,'Type Chart'!$C$2:$T$20,17,false)*HLOOKUP($K24,'Type Chart'!$C$2:$U$20,17,false)</f>
        <v>1</v>
      </c>
      <c r="AK24" s="960">
        <f t="array" ref="AK24">HLOOKUP($J24,'Type Chart'!$C$2:$T$20,18,false)*HLOOKUP($K24,'Type Chart'!$C$2:$U$20,18,false)</f>
        <v>1</v>
      </c>
      <c r="AL24" s="960">
        <f t="array" ref="AL24">HLOOKUP($J24,'Type Chart'!$C$2:$T$20,19,false)*HLOOKUP($K24,'Type Chart'!$C$2:$U$20,19,false)</f>
        <v>1</v>
      </c>
      <c r="AM24" s="964" t="s">
        <v>1022</v>
      </c>
      <c r="AN24" s="965" t="s">
        <v>1023</v>
      </c>
      <c r="AO24" s="966" t="s">
        <v>1024</v>
      </c>
      <c r="AP24" s="936"/>
      <c r="AQ24" s="967"/>
      <c r="AR24" s="968"/>
      <c r="AS24" s="936"/>
    </row>
    <row r="25" ht="15.75" customHeight="1">
      <c r="A25" s="936"/>
      <c r="B25" s="948" t="s">
        <v>1028</v>
      </c>
      <c r="C25" s="950" t="s">
        <v>1029</v>
      </c>
      <c r="D25" s="950" t="s">
        <v>1029</v>
      </c>
      <c r="E25" s="1147" t="s">
        <v>1029</v>
      </c>
      <c r="F25" s="940"/>
      <c r="G25" s="953"/>
      <c r="H25" s="969"/>
      <c r="I25" s="998" t="s">
        <v>1030</v>
      </c>
      <c r="J25" s="1194" t="s">
        <v>136</v>
      </c>
      <c r="K25" s="1001" t="s">
        <v>128</v>
      </c>
      <c r="L25" s="959">
        <v>83.0</v>
      </c>
      <c r="M25" s="960">
        <v>80.0</v>
      </c>
      <c r="N25" s="960">
        <v>75.0</v>
      </c>
      <c r="O25" s="960">
        <v>70.0</v>
      </c>
      <c r="P25" s="960">
        <v>70.0</v>
      </c>
      <c r="Q25" s="960">
        <v>101.0</v>
      </c>
      <c r="R25" s="960">
        <v>238.0</v>
      </c>
      <c r="S25" s="960">
        <v>301.0</v>
      </c>
      <c r="T25" s="960">
        <v>331.0</v>
      </c>
      <c r="U25" s="960">
        <f t="array" ref="U25">HLOOKUP($J25,'Type Chart'!$C$2:$T$20,2,false)*HLOOKUP($K25,'Type Chart'!$C$2:$U$20,2,false)</f>
        <v>1</v>
      </c>
      <c r="V25" s="960">
        <f t="array" ref="V25">HLOOKUP($J25,'Type Chart'!$C$2:$T$20,3,false)*HLOOKUP($K25,'Type Chart'!$C$2:$U$20,3,false)</f>
        <v>1</v>
      </c>
      <c r="W25" s="960">
        <f t="array" ref="W25">HLOOKUP($J25,'Type Chart'!$C$2:$T$20,4,false)*HLOOKUP($K25,'Type Chart'!$C$2:$U$20,4,false)</f>
        <v>1</v>
      </c>
      <c r="X25" s="960">
        <f t="array" ref="X25">HLOOKUP($J25,'Type Chart'!$C$2:$T$20,5,false)*HLOOKUP($K25,'Type Chart'!$C$2:$U$20,5,false)</f>
        <v>1</v>
      </c>
      <c r="Y25" s="960">
        <f t="array" ref="Y25">HLOOKUP($J25,'Type Chart'!$C$2:$T$20,6,false)*HLOOKUP($K25,'Type Chart'!$C$2:$U$20,6,false)</f>
        <v>0</v>
      </c>
      <c r="Z25" s="960">
        <f t="array" ref="Z25">HLOOKUP($J25,'Type Chart'!$C$2:$T$20,7,false)*HLOOKUP($K25,'Type Chart'!$C$2:$U$20,7,false)</f>
        <v>2</v>
      </c>
      <c r="AA25" s="960">
        <f t="array" ref="AA25">HLOOKUP($J25,'Type Chart'!$C$2:$T$20,8,false)*HLOOKUP($K25,'Type Chart'!$C$2:$U$20,8,false)</f>
        <v>0.5</v>
      </c>
      <c r="AB25" s="960">
        <f t="array" ref="AB25">HLOOKUP($J25,'Type Chart'!$C$2:$T$20,9,false)*HLOOKUP($K25,'Type Chart'!$C$2:$U$20,9,false)</f>
        <v>0</v>
      </c>
      <c r="AC25" s="960">
        <f t="array" ref="AC25">HLOOKUP($J25,'Type Chart'!$C$2:$T$20,10,false)*HLOOKUP($K25,'Type Chart'!$C$2:$U$20,10,false)</f>
        <v>1</v>
      </c>
      <c r="AD25" s="960">
        <f t="array" ref="AD25">HLOOKUP($J25,'Type Chart'!$C$2:$T$20,11,false)*HLOOKUP($K25,'Type Chart'!$C$2:$U$20,11,false)</f>
        <v>1</v>
      </c>
      <c r="AE25" s="960">
        <f t="array" ref="AE25">HLOOKUP($J25,'Type Chart'!$C$2:$T$20,12,false)*HLOOKUP($K25,'Type Chart'!$C$2:$U$20,12,false)</f>
        <v>1</v>
      </c>
      <c r="AF25" s="960">
        <f t="array" ref="AF25">HLOOKUP($J25,'Type Chart'!$C$2:$T$20,13,false)*HLOOKUP($K25,'Type Chart'!$C$2:$U$20,13,false)</f>
        <v>0.5</v>
      </c>
      <c r="AG25" s="960">
        <f t="array" ref="AG25">HLOOKUP($J25,'Type Chart'!$C$2:$T$20,14,false)*HLOOKUP($K25,'Type Chart'!$C$2:$U$20,14,false)</f>
        <v>2</v>
      </c>
      <c r="AH25" s="960">
        <f t="array" ref="AH25">HLOOKUP($J25,'Type Chart'!$C$2:$T$20,15,false)*HLOOKUP($K25,'Type Chart'!$C$2:$U$20,15,false)</f>
        <v>1</v>
      </c>
      <c r="AI25" s="960">
        <f t="array" ref="AI25">HLOOKUP($J25,'Type Chart'!$C$2:$T$20,16,false)*HLOOKUP($K25,'Type Chart'!$C$2:$U$20,16,false)</f>
        <v>2</v>
      </c>
      <c r="AJ25" s="960">
        <f t="array" ref="AJ25">HLOOKUP($J25,'Type Chart'!$C$2:$T$20,17,false)*HLOOKUP($K25,'Type Chart'!$C$2:$U$20,17,false)</f>
        <v>1</v>
      </c>
      <c r="AK25" s="960">
        <f t="array" ref="AK25">HLOOKUP($J25,'Type Chart'!$C$2:$T$20,18,false)*HLOOKUP($K25,'Type Chart'!$C$2:$U$20,18,false)</f>
        <v>1</v>
      </c>
      <c r="AL25" s="960">
        <f t="array" ref="AL25">HLOOKUP($J25,'Type Chart'!$C$2:$T$20,19,false)*HLOOKUP($K25,'Type Chart'!$C$2:$U$20,19,false)</f>
        <v>1</v>
      </c>
      <c r="AM25" s="964" t="s">
        <v>1022</v>
      </c>
      <c r="AN25" s="965" t="s">
        <v>1023</v>
      </c>
      <c r="AO25" s="966" t="s">
        <v>1024</v>
      </c>
      <c r="AP25" s="936"/>
      <c r="AQ25" s="967"/>
      <c r="AR25" s="968"/>
      <c r="AS25" s="936"/>
    </row>
    <row r="26" ht="15.75" customHeight="1">
      <c r="A26" s="936"/>
      <c r="B26" s="948" t="s">
        <v>1031</v>
      </c>
      <c r="C26" s="950" t="s">
        <v>1032</v>
      </c>
      <c r="D26" s="950" t="s">
        <v>1032</v>
      </c>
      <c r="E26" s="1147" t="s">
        <v>1032</v>
      </c>
      <c r="F26" s="940"/>
      <c r="G26" s="953"/>
      <c r="H26" s="969"/>
      <c r="I26" s="998" t="s">
        <v>1033</v>
      </c>
      <c r="J26" s="1194" t="s">
        <v>136</v>
      </c>
      <c r="K26" s="1001" t="s">
        <v>128</v>
      </c>
      <c r="L26" s="959">
        <v>83.0</v>
      </c>
      <c r="M26" s="960">
        <v>80.0</v>
      </c>
      <c r="N26" s="960">
        <v>80.0</v>
      </c>
      <c r="O26" s="960">
        <v>135.0</v>
      </c>
      <c r="P26" s="960">
        <v>80.0</v>
      </c>
      <c r="Q26" s="960">
        <v>121.0</v>
      </c>
      <c r="R26" s="960">
        <v>278.0</v>
      </c>
      <c r="S26" s="960">
        <v>341.0</v>
      </c>
      <c r="T26" s="960">
        <v>375.0</v>
      </c>
      <c r="U26" s="960">
        <f t="array" ref="U26">HLOOKUP($J26,'Type Chart'!$C$2:$T$20,2,false)*HLOOKUP($K26,'Type Chart'!$C$2:$U$20,2,false)</f>
        <v>1</v>
      </c>
      <c r="V26" s="960">
        <f t="array" ref="V26">HLOOKUP($J26,'Type Chart'!$C$2:$T$20,3,false)*HLOOKUP($K26,'Type Chart'!$C$2:$U$20,3,false)</f>
        <v>1</v>
      </c>
      <c r="W26" s="960">
        <f t="array" ref="W26">HLOOKUP($J26,'Type Chart'!$C$2:$T$20,4,false)*HLOOKUP($K26,'Type Chart'!$C$2:$U$20,4,false)</f>
        <v>1</v>
      </c>
      <c r="X26" s="960">
        <f t="array" ref="X26">HLOOKUP($J26,'Type Chart'!$C$2:$T$20,5,false)*HLOOKUP($K26,'Type Chart'!$C$2:$U$20,5,false)</f>
        <v>1</v>
      </c>
      <c r="Y26" s="960">
        <f t="array" ref="Y26">HLOOKUP($J26,'Type Chart'!$C$2:$T$20,6,false)*HLOOKUP($K26,'Type Chart'!$C$2:$U$20,6,false)</f>
        <v>0</v>
      </c>
      <c r="Z26" s="960">
        <f t="array" ref="Z26">HLOOKUP($J26,'Type Chart'!$C$2:$T$20,7,false)*HLOOKUP($K26,'Type Chart'!$C$2:$U$20,7,false)</f>
        <v>2</v>
      </c>
      <c r="AA26" s="960">
        <f t="array" ref="AA26">HLOOKUP($J26,'Type Chart'!$C$2:$T$20,8,false)*HLOOKUP($K26,'Type Chart'!$C$2:$U$20,8,false)</f>
        <v>0.5</v>
      </c>
      <c r="AB26" s="960">
        <f t="array" ref="AB26">HLOOKUP($J26,'Type Chart'!$C$2:$T$20,9,false)*HLOOKUP($K26,'Type Chart'!$C$2:$U$20,9,false)</f>
        <v>0</v>
      </c>
      <c r="AC26" s="960">
        <f t="array" ref="AC26">HLOOKUP($J26,'Type Chart'!$C$2:$T$20,10,false)*HLOOKUP($K26,'Type Chart'!$C$2:$U$20,10,false)</f>
        <v>1</v>
      </c>
      <c r="AD26" s="960">
        <f t="array" ref="AD26">HLOOKUP($J26,'Type Chart'!$C$2:$T$20,11,false)*HLOOKUP($K26,'Type Chart'!$C$2:$U$20,11,false)</f>
        <v>1</v>
      </c>
      <c r="AE26" s="960">
        <f t="array" ref="AE26">HLOOKUP($J26,'Type Chart'!$C$2:$T$20,12,false)*HLOOKUP($K26,'Type Chart'!$C$2:$U$20,12,false)</f>
        <v>1</v>
      </c>
      <c r="AF26" s="960">
        <f t="array" ref="AF26">HLOOKUP($J26,'Type Chart'!$C$2:$T$20,13,false)*HLOOKUP($K26,'Type Chart'!$C$2:$U$20,13,false)</f>
        <v>0.5</v>
      </c>
      <c r="AG26" s="960">
        <f t="array" ref="AG26">HLOOKUP($J26,'Type Chart'!$C$2:$T$20,14,false)*HLOOKUP($K26,'Type Chart'!$C$2:$U$20,14,false)</f>
        <v>2</v>
      </c>
      <c r="AH26" s="960">
        <f t="array" ref="AH26">HLOOKUP($J26,'Type Chart'!$C$2:$T$20,15,false)*HLOOKUP($K26,'Type Chart'!$C$2:$U$20,15,false)</f>
        <v>1</v>
      </c>
      <c r="AI26" s="960">
        <f t="array" ref="AI26">HLOOKUP($J26,'Type Chart'!$C$2:$T$20,16,false)*HLOOKUP($K26,'Type Chart'!$C$2:$U$20,16,false)</f>
        <v>2</v>
      </c>
      <c r="AJ26" s="960">
        <f t="array" ref="AJ26">HLOOKUP($J26,'Type Chart'!$C$2:$T$20,17,false)*HLOOKUP($K26,'Type Chart'!$C$2:$U$20,17,false)</f>
        <v>1</v>
      </c>
      <c r="AK26" s="960">
        <f t="array" ref="AK26">HLOOKUP($J26,'Type Chart'!$C$2:$T$20,18,false)*HLOOKUP($K26,'Type Chart'!$C$2:$U$20,18,false)</f>
        <v>1</v>
      </c>
      <c r="AL26" s="960">
        <f t="array" ref="AL26">HLOOKUP($J26,'Type Chart'!$C$2:$T$20,19,false)*HLOOKUP($K26,'Type Chart'!$C$2:$U$20,19,false)</f>
        <v>1</v>
      </c>
      <c r="AM26" s="964" t="s">
        <v>1034</v>
      </c>
      <c r="AN26" s="965"/>
      <c r="AO26" s="966"/>
      <c r="AP26" s="936"/>
      <c r="AQ26" s="967"/>
      <c r="AR26" s="968"/>
      <c r="AS26" s="936"/>
    </row>
    <row r="27" ht="15.75" customHeight="1">
      <c r="A27" s="936"/>
      <c r="B27" s="948" t="s">
        <v>1035</v>
      </c>
      <c r="C27" s="950" t="s">
        <v>1036</v>
      </c>
      <c r="D27" s="950" t="s">
        <v>1036</v>
      </c>
      <c r="E27" s="1147" t="s">
        <v>1036</v>
      </c>
      <c r="F27" s="940"/>
      <c r="G27" s="953"/>
      <c r="H27" s="969"/>
      <c r="I27" s="998" t="s">
        <v>1037</v>
      </c>
      <c r="J27" s="1194" t="s">
        <v>136</v>
      </c>
      <c r="K27" s="984" t="s">
        <v>216</v>
      </c>
      <c r="L27" s="959">
        <v>30.0</v>
      </c>
      <c r="M27" s="960">
        <v>56.0</v>
      </c>
      <c r="N27" s="960">
        <v>35.0</v>
      </c>
      <c r="O27" s="960">
        <v>25.0</v>
      </c>
      <c r="P27" s="960">
        <v>35.0</v>
      </c>
      <c r="Q27" s="960">
        <v>72.0</v>
      </c>
      <c r="R27" s="960">
        <v>180.0</v>
      </c>
      <c r="S27" s="960">
        <v>243.0</v>
      </c>
      <c r="T27" s="960">
        <v>267.0</v>
      </c>
      <c r="U27" s="960">
        <f t="array" ref="U27">HLOOKUP($J27,'Type Chart'!$C$2:$T$20,2,false)*HLOOKUP($K27,'Type Chart'!$C$2:$U$20,2,false)</f>
        <v>1</v>
      </c>
      <c r="V27" s="960">
        <f t="array" ref="V27">HLOOKUP($J27,'Type Chart'!$C$2:$T$20,3,false)*HLOOKUP($K27,'Type Chart'!$C$2:$U$20,3,false)</f>
        <v>2</v>
      </c>
      <c r="W27" s="960">
        <f t="array" ref="W27">HLOOKUP($J27,'Type Chart'!$C$2:$T$20,4,false)*HLOOKUP($K27,'Type Chart'!$C$2:$U$20,4,false)</f>
        <v>1</v>
      </c>
      <c r="X27" s="960">
        <f t="array" ref="X27">HLOOKUP($J27,'Type Chart'!$C$2:$T$20,5,false)*HLOOKUP($K27,'Type Chart'!$C$2:$U$20,5,false)</f>
        <v>1</v>
      </c>
      <c r="Y27" s="960">
        <f t="array" ref="Y27">HLOOKUP($J27,'Type Chart'!$C$2:$T$20,6,false)*HLOOKUP($K27,'Type Chart'!$C$2:$U$20,6,false)</f>
        <v>1</v>
      </c>
      <c r="Z27" s="960">
        <f t="array" ref="Z27">HLOOKUP($J27,'Type Chart'!$C$2:$T$20,7,false)*HLOOKUP($K27,'Type Chart'!$C$2:$U$20,7,false)</f>
        <v>1</v>
      </c>
      <c r="AA27" s="960">
        <f t="array" ref="AA27">HLOOKUP($J27,'Type Chart'!$C$2:$T$20,8,false)*HLOOKUP($K27,'Type Chart'!$C$2:$U$20,8,false)</f>
        <v>1</v>
      </c>
      <c r="AB27" s="960">
        <f t="array" ref="AB27">HLOOKUP($J27,'Type Chart'!$C$2:$T$20,9,false)*HLOOKUP($K27,'Type Chart'!$C$2:$U$20,9,false)</f>
        <v>0</v>
      </c>
      <c r="AC27" s="960">
        <f t="array" ref="AC27">HLOOKUP($J27,'Type Chart'!$C$2:$T$20,10,false)*HLOOKUP($K27,'Type Chart'!$C$2:$U$20,10,false)</f>
        <v>1</v>
      </c>
      <c r="AD27" s="960">
        <f t="array" ref="AD27">HLOOKUP($J27,'Type Chart'!$C$2:$T$20,11,false)*HLOOKUP($K27,'Type Chart'!$C$2:$U$20,11,false)</f>
        <v>1</v>
      </c>
      <c r="AE27" s="960">
        <f t="array" ref="AE27">HLOOKUP($J27,'Type Chart'!$C$2:$T$20,12,false)*HLOOKUP($K27,'Type Chart'!$C$2:$U$20,12,false)</f>
        <v>1</v>
      </c>
      <c r="AF27" s="960">
        <f t="array" ref="AF27">HLOOKUP($J27,'Type Chart'!$C$2:$T$20,13,false)*HLOOKUP($K27,'Type Chart'!$C$2:$U$20,13,false)</f>
        <v>1</v>
      </c>
      <c r="AG27" s="960">
        <f t="array" ref="AG27">HLOOKUP($J27,'Type Chart'!$C$2:$T$20,14,false)*HLOOKUP($K27,'Type Chart'!$C$2:$U$20,14,false)</f>
        <v>1</v>
      </c>
      <c r="AH27" s="960">
        <f t="array" ref="AH27">HLOOKUP($J27,'Type Chart'!$C$2:$T$20,15,false)*HLOOKUP($K27,'Type Chart'!$C$2:$U$20,15,false)</f>
        <v>1</v>
      </c>
      <c r="AI27" s="960">
        <f t="array" ref="AI27">HLOOKUP($J27,'Type Chart'!$C$2:$T$20,16,false)*HLOOKUP($K27,'Type Chart'!$C$2:$U$20,16,false)</f>
        <v>1</v>
      </c>
      <c r="AJ27" s="960">
        <f t="array" ref="AJ27">HLOOKUP($J27,'Type Chart'!$C$2:$T$20,17,false)*HLOOKUP($K27,'Type Chart'!$C$2:$U$20,17,false)</f>
        <v>1</v>
      </c>
      <c r="AK27" s="960">
        <f t="array" ref="AK27">HLOOKUP($J27,'Type Chart'!$C$2:$T$20,18,false)*HLOOKUP($K27,'Type Chart'!$C$2:$U$20,18,false)</f>
        <v>1</v>
      </c>
      <c r="AL27" s="960">
        <f t="array" ref="AL27">HLOOKUP($J27,'Type Chart'!$C$2:$T$20,19,false)*HLOOKUP($K27,'Type Chart'!$C$2:$U$20,19,false)</f>
        <v>1</v>
      </c>
      <c r="AM27" s="964" t="s">
        <v>988</v>
      </c>
      <c r="AN27" s="965" t="s">
        <v>1038</v>
      </c>
      <c r="AO27" s="966" t="s">
        <v>1039</v>
      </c>
      <c r="AP27" s="936"/>
      <c r="AQ27" s="967"/>
      <c r="AR27" s="968"/>
      <c r="AS27" s="936"/>
    </row>
    <row r="28" ht="15.75" customHeight="1">
      <c r="A28" s="936"/>
      <c r="B28" s="948" t="s">
        <v>1040</v>
      </c>
      <c r="C28" s="950" t="s">
        <v>1041</v>
      </c>
      <c r="D28" s="950" t="s">
        <v>1041</v>
      </c>
      <c r="E28" s="1147" t="s">
        <v>1042</v>
      </c>
      <c r="F28" s="940"/>
      <c r="G28" s="953"/>
      <c r="H28" s="969"/>
      <c r="I28" s="998" t="s">
        <v>1043</v>
      </c>
      <c r="J28" s="1195" t="s">
        <v>193</v>
      </c>
      <c r="K28" s="1194" t="s">
        <v>136</v>
      </c>
      <c r="L28" s="959">
        <v>30.0</v>
      </c>
      <c r="M28" s="960">
        <v>56.0</v>
      </c>
      <c r="N28" s="960">
        <v>35.0</v>
      </c>
      <c r="O28" s="960">
        <v>25.0</v>
      </c>
      <c r="P28" s="960">
        <v>35.0</v>
      </c>
      <c r="Q28" s="960">
        <v>72.0</v>
      </c>
      <c r="R28" s="960">
        <v>180.0</v>
      </c>
      <c r="S28" s="960">
        <v>243.0</v>
      </c>
      <c r="T28" s="960">
        <v>267.0</v>
      </c>
      <c r="U28" s="960">
        <f t="array" ref="U28">HLOOKUP($J28,'Type Chart'!$C$2:$T$20,2,false)*HLOOKUP($K28,'Type Chart'!$C$2:$U$20,2,false)</f>
        <v>1</v>
      </c>
      <c r="V28" s="960">
        <f t="array" ref="V28">HLOOKUP($J28,'Type Chart'!$C$2:$T$20,3,false)*HLOOKUP($K28,'Type Chart'!$C$2:$U$20,3,false)</f>
        <v>4</v>
      </c>
      <c r="W28" s="960">
        <f t="array" ref="W28">HLOOKUP($J28,'Type Chart'!$C$2:$T$20,4,false)*HLOOKUP($K28,'Type Chart'!$C$2:$U$20,4,false)</f>
        <v>1</v>
      </c>
      <c r="X28" s="960">
        <f t="array" ref="X28">HLOOKUP($J28,'Type Chart'!$C$2:$T$20,5,false)*HLOOKUP($K28,'Type Chart'!$C$2:$U$20,5,false)</f>
        <v>1</v>
      </c>
      <c r="Y28" s="960">
        <f t="array" ref="Y28">HLOOKUP($J28,'Type Chart'!$C$2:$T$20,6,false)*HLOOKUP($K28,'Type Chart'!$C$2:$U$20,6,false)</f>
        <v>1</v>
      </c>
      <c r="Z28" s="960">
        <f t="array" ref="Z28">HLOOKUP($J28,'Type Chart'!$C$2:$T$20,7,false)*HLOOKUP($K28,'Type Chart'!$C$2:$U$20,7,false)</f>
        <v>1</v>
      </c>
      <c r="AA28" s="960">
        <f t="array" ref="AA28">HLOOKUP($J28,'Type Chart'!$C$2:$T$20,8,false)*HLOOKUP($K28,'Type Chart'!$C$2:$U$20,8,false)</f>
        <v>2</v>
      </c>
      <c r="AB28" s="960">
        <f t="array" ref="AB28">HLOOKUP($J28,'Type Chart'!$C$2:$T$20,9,false)*HLOOKUP($K28,'Type Chart'!$C$2:$U$20,9,false)</f>
        <v>0</v>
      </c>
      <c r="AC28" s="960">
        <f t="array" ref="AC28">HLOOKUP($J28,'Type Chart'!$C$2:$T$20,10,false)*HLOOKUP($K28,'Type Chart'!$C$2:$U$20,10,false)</f>
        <v>1</v>
      </c>
      <c r="AD28" s="960">
        <f t="array" ref="AD28">HLOOKUP($J28,'Type Chart'!$C$2:$T$20,11,false)*HLOOKUP($K28,'Type Chart'!$C$2:$U$20,11,false)</f>
        <v>1</v>
      </c>
      <c r="AE28" s="960">
        <f t="array" ref="AE28">HLOOKUP($J28,'Type Chart'!$C$2:$T$20,12,false)*HLOOKUP($K28,'Type Chart'!$C$2:$U$20,12,false)</f>
        <v>1</v>
      </c>
      <c r="AF28" s="960">
        <f t="array" ref="AF28">HLOOKUP($J28,'Type Chart'!$C$2:$T$20,13,false)*HLOOKUP($K28,'Type Chart'!$C$2:$U$20,13,false)</f>
        <v>1</v>
      </c>
      <c r="AG28" s="960">
        <f t="array" ref="AG28">HLOOKUP($J28,'Type Chart'!$C$2:$T$20,14,false)*HLOOKUP($K28,'Type Chart'!$C$2:$U$20,14,false)</f>
        <v>1</v>
      </c>
      <c r="AH28" s="960">
        <f t="array" ref="AH28">HLOOKUP($J28,'Type Chart'!$C$2:$T$20,15,false)*HLOOKUP($K28,'Type Chart'!$C$2:$U$20,15,false)</f>
        <v>0</v>
      </c>
      <c r="AI28" s="960">
        <f t="array" ref="AI28">HLOOKUP($J28,'Type Chart'!$C$2:$T$20,16,false)*HLOOKUP($K28,'Type Chart'!$C$2:$U$20,16,false)</f>
        <v>1</v>
      </c>
      <c r="AJ28" s="960">
        <f t="array" ref="AJ28">HLOOKUP($J28,'Type Chart'!$C$2:$T$20,17,false)*HLOOKUP($K28,'Type Chart'!$C$2:$U$20,17,false)</f>
        <v>1</v>
      </c>
      <c r="AK28" s="960">
        <f t="array" ref="AK28">HLOOKUP($J28,'Type Chart'!$C$2:$T$20,18,false)*HLOOKUP($K28,'Type Chart'!$C$2:$U$20,18,false)</f>
        <v>0.5</v>
      </c>
      <c r="AL28" s="960">
        <f t="array" ref="AL28">HLOOKUP($J28,'Type Chart'!$C$2:$T$20,19,false)*HLOOKUP($K28,'Type Chart'!$C$2:$U$20,19,false)</f>
        <v>2</v>
      </c>
      <c r="AM28" s="964" t="s">
        <v>1044</v>
      </c>
      <c r="AN28" s="965" t="s">
        <v>1039</v>
      </c>
      <c r="AO28" s="966" t="s">
        <v>760</v>
      </c>
      <c r="AP28" s="936"/>
      <c r="AQ28" s="967"/>
      <c r="AR28" s="968"/>
      <c r="AS28" s="936"/>
    </row>
    <row r="29" ht="15.75" customHeight="1">
      <c r="A29" s="936"/>
      <c r="B29" s="948" t="s">
        <v>1045</v>
      </c>
      <c r="C29" s="950" t="s">
        <v>1046</v>
      </c>
      <c r="D29" s="950" t="s">
        <v>1046</v>
      </c>
      <c r="E29" s="1147" t="s">
        <v>1046</v>
      </c>
      <c r="F29" s="940"/>
      <c r="G29" s="953"/>
      <c r="H29" s="969"/>
      <c r="I29" s="998" t="s">
        <v>1047</v>
      </c>
      <c r="J29" s="1194" t="s">
        <v>136</v>
      </c>
      <c r="K29" s="984" t="s">
        <v>216</v>
      </c>
      <c r="L29" s="959">
        <v>55.0</v>
      </c>
      <c r="M29" s="960">
        <v>81.0</v>
      </c>
      <c r="N29" s="960">
        <v>60.0</v>
      </c>
      <c r="O29" s="960">
        <v>50.0</v>
      </c>
      <c r="P29" s="960">
        <v>70.0</v>
      </c>
      <c r="Q29" s="960">
        <v>97.0</v>
      </c>
      <c r="R29" s="960">
        <v>230.0</v>
      </c>
      <c r="S29" s="960">
        <v>293.0</v>
      </c>
      <c r="T29" s="960">
        <v>322.0</v>
      </c>
      <c r="U29" s="960">
        <f t="array" ref="U29">HLOOKUP($J29,'Type Chart'!$C$2:$T$20,2,false)*HLOOKUP($K29,'Type Chart'!$C$2:$U$20,2,false)</f>
        <v>1</v>
      </c>
      <c r="V29" s="960">
        <f t="array" ref="V29">HLOOKUP($J29,'Type Chart'!$C$2:$T$20,3,false)*HLOOKUP($K29,'Type Chart'!$C$2:$U$20,3,false)</f>
        <v>2</v>
      </c>
      <c r="W29" s="960">
        <f t="array" ref="W29">HLOOKUP($J29,'Type Chart'!$C$2:$T$20,4,false)*HLOOKUP($K29,'Type Chart'!$C$2:$U$20,4,false)</f>
        <v>1</v>
      </c>
      <c r="X29" s="960">
        <f t="array" ref="X29">HLOOKUP($J29,'Type Chart'!$C$2:$T$20,5,false)*HLOOKUP($K29,'Type Chart'!$C$2:$U$20,5,false)</f>
        <v>1</v>
      </c>
      <c r="Y29" s="960">
        <f t="array" ref="Y29">HLOOKUP($J29,'Type Chart'!$C$2:$T$20,6,false)*HLOOKUP($K29,'Type Chart'!$C$2:$U$20,6,false)</f>
        <v>1</v>
      </c>
      <c r="Z29" s="960">
        <f t="array" ref="Z29">HLOOKUP($J29,'Type Chart'!$C$2:$T$20,7,false)*HLOOKUP($K29,'Type Chart'!$C$2:$U$20,7,false)</f>
        <v>1</v>
      </c>
      <c r="AA29" s="960">
        <f t="array" ref="AA29">HLOOKUP($J29,'Type Chart'!$C$2:$T$20,8,false)*HLOOKUP($K29,'Type Chart'!$C$2:$U$20,8,false)</f>
        <v>1</v>
      </c>
      <c r="AB29" s="960">
        <f t="array" ref="AB29">HLOOKUP($J29,'Type Chart'!$C$2:$T$20,9,false)*HLOOKUP($K29,'Type Chart'!$C$2:$U$20,9,false)</f>
        <v>0</v>
      </c>
      <c r="AC29" s="960">
        <f t="array" ref="AC29">HLOOKUP($J29,'Type Chart'!$C$2:$T$20,10,false)*HLOOKUP($K29,'Type Chart'!$C$2:$U$20,10,false)</f>
        <v>1</v>
      </c>
      <c r="AD29" s="960">
        <f t="array" ref="AD29">HLOOKUP($J29,'Type Chart'!$C$2:$T$20,11,false)*HLOOKUP($K29,'Type Chart'!$C$2:$U$20,11,false)</f>
        <v>1</v>
      </c>
      <c r="AE29" s="960">
        <f t="array" ref="AE29">HLOOKUP($J29,'Type Chart'!$C$2:$T$20,12,false)*HLOOKUP($K29,'Type Chart'!$C$2:$U$20,12,false)</f>
        <v>1</v>
      </c>
      <c r="AF29" s="960">
        <f t="array" ref="AF29">HLOOKUP($J29,'Type Chart'!$C$2:$T$20,13,false)*HLOOKUP($K29,'Type Chart'!$C$2:$U$20,13,false)</f>
        <v>1</v>
      </c>
      <c r="AG29" s="960">
        <f t="array" ref="AG29">HLOOKUP($J29,'Type Chart'!$C$2:$T$20,14,false)*HLOOKUP($K29,'Type Chart'!$C$2:$U$20,14,false)</f>
        <v>1</v>
      </c>
      <c r="AH29" s="960">
        <f t="array" ref="AH29">HLOOKUP($J29,'Type Chart'!$C$2:$T$20,15,false)*HLOOKUP($K29,'Type Chart'!$C$2:$U$20,15,false)</f>
        <v>1</v>
      </c>
      <c r="AI29" s="960">
        <f t="array" ref="AI29">HLOOKUP($J29,'Type Chart'!$C$2:$T$20,16,false)*HLOOKUP($K29,'Type Chart'!$C$2:$U$20,16,false)</f>
        <v>1</v>
      </c>
      <c r="AJ29" s="960">
        <f t="array" ref="AJ29">HLOOKUP($J29,'Type Chart'!$C$2:$T$20,17,false)*HLOOKUP($K29,'Type Chart'!$C$2:$U$20,17,false)</f>
        <v>1</v>
      </c>
      <c r="AK29" s="960">
        <f t="array" ref="AK29">HLOOKUP($J29,'Type Chart'!$C$2:$T$20,18,false)*HLOOKUP($K29,'Type Chart'!$C$2:$U$20,18,false)</f>
        <v>1</v>
      </c>
      <c r="AL29" s="960">
        <f t="array" ref="AL29">HLOOKUP($J29,'Type Chart'!$C$2:$T$20,19,false)*HLOOKUP($K29,'Type Chart'!$C$2:$U$20,19,false)</f>
        <v>1</v>
      </c>
      <c r="AM29" s="964" t="s">
        <v>988</v>
      </c>
      <c r="AN29" s="965" t="s">
        <v>1038</v>
      </c>
      <c r="AO29" s="966" t="s">
        <v>1039</v>
      </c>
      <c r="AP29" s="936"/>
      <c r="AQ29" s="967"/>
      <c r="AR29" s="968"/>
      <c r="AS29" s="936"/>
    </row>
    <row r="30" ht="15.75" customHeight="1">
      <c r="A30" s="936"/>
      <c r="B30" s="948" t="s">
        <v>1048</v>
      </c>
      <c r="C30" s="950" t="s">
        <v>1049</v>
      </c>
      <c r="D30" s="950" t="s">
        <v>1049</v>
      </c>
      <c r="E30" s="1147" t="s">
        <v>1050</v>
      </c>
      <c r="F30" s="940"/>
      <c r="G30" s="953"/>
      <c r="H30" s="969"/>
      <c r="I30" s="998" t="s">
        <v>1051</v>
      </c>
      <c r="J30" s="1195" t="s">
        <v>193</v>
      </c>
      <c r="K30" s="1194" t="s">
        <v>136</v>
      </c>
      <c r="L30" s="959">
        <v>75.0</v>
      </c>
      <c r="M30" s="960">
        <v>71.0</v>
      </c>
      <c r="N30" s="960">
        <v>70.0</v>
      </c>
      <c r="O30" s="960">
        <v>40.0</v>
      </c>
      <c r="P30" s="960">
        <v>80.0</v>
      </c>
      <c r="Q30" s="960">
        <v>77.0</v>
      </c>
      <c r="R30" s="960">
        <v>190.0</v>
      </c>
      <c r="S30" s="960">
        <v>253.0</v>
      </c>
      <c r="T30" s="960">
        <v>278.0</v>
      </c>
      <c r="U30" s="960">
        <f t="array" ref="U30">HLOOKUP($J30,'Type Chart'!$C$2:$T$20,2,false)*HLOOKUP($K30,'Type Chart'!$C$2:$U$20,2,false)</f>
        <v>1</v>
      </c>
      <c r="V30" s="960">
        <f t="array" ref="V30">HLOOKUP($J30,'Type Chart'!$C$2:$T$20,3,false)*HLOOKUP($K30,'Type Chart'!$C$2:$U$20,3,false)</f>
        <v>4</v>
      </c>
      <c r="W30" s="960">
        <f t="array" ref="W30">HLOOKUP($J30,'Type Chart'!$C$2:$T$20,4,false)*HLOOKUP($K30,'Type Chart'!$C$2:$U$20,4,false)</f>
        <v>1</v>
      </c>
      <c r="X30" s="960">
        <f t="array" ref="X30">HLOOKUP($J30,'Type Chart'!$C$2:$T$20,5,false)*HLOOKUP($K30,'Type Chart'!$C$2:$U$20,5,false)</f>
        <v>1</v>
      </c>
      <c r="Y30" s="960">
        <f t="array" ref="Y30">HLOOKUP($J30,'Type Chart'!$C$2:$T$20,6,false)*HLOOKUP($K30,'Type Chart'!$C$2:$U$20,6,false)</f>
        <v>1</v>
      </c>
      <c r="Z30" s="960">
        <f t="array" ref="Z30">HLOOKUP($J30,'Type Chart'!$C$2:$T$20,7,false)*HLOOKUP($K30,'Type Chart'!$C$2:$U$20,7,false)</f>
        <v>1</v>
      </c>
      <c r="AA30" s="960">
        <f t="array" ref="AA30">HLOOKUP($J30,'Type Chart'!$C$2:$T$20,8,false)*HLOOKUP($K30,'Type Chart'!$C$2:$U$20,8,false)</f>
        <v>2</v>
      </c>
      <c r="AB30" s="960">
        <f t="array" ref="AB30">HLOOKUP($J30,'Type Chart'!$C$2:$T$20,9,false)*HLOOKUP($K30,'Type Chart'!$C$2:$U$20,9,false)</f>
        <v>0</v>
      </c>
      <c r="AC30" s="960">
        <f t="array" ref="AC30">HLOOKUP($J30,'Type Chart'!$C$2:$T$20,10,false)*HLOOKUP($K30,'Type Chart'!$C$2:$U$20,10,false)</f>
        <v>1</v>
      </c>
      <c r="AD30" s="960">
        <f t="array" ref="AD30">HLOOKUP($J30,'Type Chart'!$C$2:$T$20,11,false)*HLOOKUP($K30,'Type Chart'!$C$2:$U$20,11,false)</f>
        <v>1</v>
      </c>
      <c r="AE30" s="960">
        <f t="array" ref="AE30">HLOOKUP($J30,'Type Chart'!$C$2:$T$20,12,false)*HLOOKUP($K30,'Type Chart'!$C$2:$U$20,12,false)</f>
        <v>1</v>
      </c>
      <c r="AF30" s="960">
        <f t="array" ref="AF30">HLOOKUP($J30,'Type Chart'!$C$2:$T$20,13,false)*HLOOKUP($K30,'Type Chart'!$C$2:$U$20,13,false)</f>
        <v>1</v>
      </c>
      <c r="AG30" s="960">
        <f t="array" ref="AG30">HLOOKUP($J30,'Type Chart'!$C$2:$T$20,14,false)*HLOOKUP($K30,'Type Chart'!$C$2:$U$20,14,false)</f>
        <v>1</v>
      </c>
      <c r="AH30" s="960">
        <f t="array" ref="AH30">HLOOKUP($J30,'Type Chart'!$C$2:$T$20,15,false)*HLOOKUP($K30,'Type Chart'!$C$2:$U$20,15,false)</f>
        <v>0</v>
      </c>
      <c r="AI30" s="960">
        <f t="array" ref="AI30">HLOOKUP($J30,'Type Chart'!$C$2:$T$20,16,false)*HLOOKUP($K30,'Type Chart'!$C$2:$U$20,16,false)</f>
        <v>1</v>
      </c>
      <c r="AJ30" s="960">
        <f t="array" ref="AJ30">HLOOKUP($J30,'Type Chart'!$C$2:$T$20,17,false)*HLOOKUP($K30,'Type Chart'!$C$2:$U$20,17,false)</f>
        <v>1</v>
      </c>
      <c r="AK30" s="960">
        <f t="array" ref="AK30">HLOOKUP($J30,'Type Chart'!$C$2:$T$20,18,false)*HLOOKUP($K30,'Type Chart'!$C$2:$U$20,18,false)</f>
        <v>0.5</v>
      </c>
      <c r="AL30" s="960">
        <f t="array" ref="AL30">HLOOKUP($J30,'Type Chart'!$C$2:$T$20,19,false)*HLOOKUP($K30,'Type Chart'!$C$2:$U$20,19,false)</f>
        <v>2</v>
      </c>
      <c r="AM30" s="964" t="s">
        <v>1044</v>
      </c>
      <c r="AN30" s="965" t="s">
        <v>1039</v>
      </c>
      <c r="AO30" s="966" t="s">
        <v>760</v>
      </c>
      <c r="AP30" s="936"/>
      <c r="AQ30" s="967"/>
      <c r="AR30" s="968"/>
      <c r="AS30" s="936"/>
    </row>
    <row r="31" ht="15.75" customHeight="1">
      <c r="A31" s="936"/>
      <c r="B31" s="948" t="s">
        <v>1052</v>
      </c>
      <c r="C31" s="950" t="s">
        <v>1053</v>
      </c>
      <c r="D31" s="950" t="s">
        <v>1053</v>
      </c>
      <c r="E31" s="1147" t="s">
        <v>1053</v>
      </c>
      <c r="F31" s="940"/>
      <c r="G31" s="953"/>
      <c r="H31" s="969"/>
      <c r="I31" s="998" t="s">
        <v>1054</v>
      </c>
      <c r="J31" s="1194" t="s">
        <v>136</v>
      </c>
      <c r="K31" s="1001" t="s">
        <v>128</v>
      </c>
      <c r="L31" s="959">
        <v>40.0</v>
      </c>
      <c r="M31" s="960">
        <v>60.0</v>
      </c>
      <c r="N31" s="960">
        <v>30.0</v>
      </c>
      <c r="O31" s="960">
        <v>31.0</v>
      </c>
      <c r="P31" s="960">
        <v>31.0</v>
      </c>
      <c r="Q31" s="960">
        <v>70.0</v>
      </c>
      <c r="R31" s="960">
        <v>176.0</v>
      </c>
      <c r="S31" s="960">
        <v>239.0</v>
      </c>
      <c r="T31" s="960">
        <v>262.0</v>
      </c>
      <c r="U31" s="960">
        <f t="array" ref="U31">HLOOKUP($J31,'Type Chart'!$C$2:$T$20,2,false)*HLOOKUP($K31,'Type Chart'!$C$2:$U$20,2,false)</f>
        <v>1</v>
      </c>
      <c r="V31" s="960">
        <f t="array" ref="V31">HLOOKUP($J31,'Type Chart'!$C$2:$T$20,3,false)*HLOOKUP($K31,'Type Chart'!$C$2:$U$20,3,false)</f>
        <v>1</v>
      </c>
      <c r="W31" s="960">
        <f t="array" ref="W31">HLOOKUP($J31,'Type Chart'!$C$2:$T$20,4,false)*HLOOKUP($K31,'Type Chart'!$C$2:$U$20,4,false)</f>
        <v>1</v>
      </c>
      <c r="X31" s="960">
        <f t="array" ref="X31">HLOOKUP($J31,'Type Chart'!$C$2:$T$20,5,false)*HLOOKUP($K31,'Type Chart'!$C$2:$U$20,5,false)</f>
        <v>1</v>
      </c>
      <c r="Y31" s="960">
        <f t="array" ref="Y31">HLOOKUP($J31,'Type Chart'!$C$2:$T$20,6,false)*HLOOKUP($K31,'Type Chart'!$C$2:$U$20,6,false)</f>
        <v>0</v>
      </c>
      <c r="Z31" s="960">
        <f t="array" ref="Z31">HLOOKUP($J31,'Type Chart'!$C$2:$T$20,7,false)*HLOOKUP($K31,'Type Chart'!$C$2:$U$20,7,false)</f>
        <v>2</v>
      </c>
      <c r="AA31" s="960">
        <f t="array" ref="AA31">HLOOKUP($J31,'Type Chart'!$C$2:$T$20,8,false)*HLOOKUP($K31,'Type Chart'!$C$2:$U$20,8,false)</f>
        <v>0.5</v>
      </c>
      <c r="AB31" s="960">
        <f t="array" ref="AB31">HLOOKUP($J31,'Type Chart'!$C$2:$T$20,9,false)*HLOOKUP($K31,'Type Chart'!$C$2:$U$20,9,false)</f>
        <v>0</v>
      </c>
      <c r="AC31" s="960">
        <f t="array" ref="AC31">HLOOKUP($J31,'Type Chart'!$C$2:$T$20,10,false)*HLOOKUP($K31,'Type Chart'!$C$2:$U$20,10,false)</f>
        <v>1</v>
      </c>
      <c r="AD31" s="960">
        <f t="array" ref="AD31">HLOOKUP($J31,'Type Chart'!$C$2:$T$20,11,false)*HLOOKUP($K31,'Type Chart'!$C$2:$U$20,11,false)</f>
        <v>1</v>
      </c>
      <c r="AE31" s="960">
        <f t="array" ref="AE31">HLOOKUP($J31,'Type Chart'!$C$2:$T$20,12,false)*HLOOKUP($K31,'Type Chart'!$C$2:$U$20,12,false)</f>
        <v>1</v>
      </c>
      <c r="AF31" s="960">
        <f t="array" ref="AF31">HLOOKUP($J31,'Type Chart'!$C$2:$T$20,13,false)*HLOOKUP($K31,'Type Chart'!$C$2:$U$20,13,false)</f>
        <v>0.5</v>
      </c>
      <c r="AG31" s="960">
        <f t="array" ref="AG31">HLOOKUP($J31,'Type Chart'!$C$2:$T$20,14,false)*HLOOKUP($K31,'Type Chart'!$C$2:$U$20,14,false)</f>
        <v>2</v>
      </c>
      <c r="AH31" s="960">
        <f t="array" ref="AH31">HLOOKUP($J31,'Type Chart'!$C$2:$T$20,15,false)*HLOOKUP($K31,'Type Chart'!$C$2:$U$20,15,false)</f>
        <v>1</v>
      </c>
      <c r="AI31" s="960">
        <f t="array" ref="AI31">HLOOKUP($J31,'Type Chart'!$C$2:$T$20,16,false)*HLOOKUP($K31,'Type Chart'!$C$2:$U$20,16,false)</f>
        <v>2</v>
      </c>
      <c r="AJ31" s="960">
        <f t="array" ref="AJ31">HLOOKUP($J31,'Type Chart'!$C$2:$T$20,17,false)*HLOOKUP($K31,'Type Chart'!$C$2:$U$20,17,false)</f>
        <v>1</v>
      </c>
      <c r="AK31" s="960">
        <f t="array" ref="AK31">HLOOKUP($J31,'Type Chart'!$C$2:$T$20,18,false)*HLOOKUP($K31,'Type Chart'!$C$2:$U$20,18,false)</f>
        <v>1</v>
      </c>
      <c r="AL31" s="960">
        <f t="array" ref="AL31">HLOOKUP($J31,'Type Chart'!$C$2:$T$20,19,false)*HLOOKUP($K31,'Type Chart'!$C$2:$U$20,19,false)</f>
        <v>1</v>
      </c>
      <c r="AM31" s="964" t="s">
        <v>1022</v>
      </c>
      <c r="AN31" s="965"/>
      <c r="AO31" s="966" t="s">
        <v>1014</v>
      </c>
      <c r="AP31" s="936"/>
      <c r="AQ31" s="967"/>
      <c r="AR31" s="968"/>
      <c r="AS31" s="936"/>
    </row>
    <row r="32" ht="15.75" customHeight="1">
      <c r="A32" s="936"/>
      <c r="B32" s="948" t="s">
        <v>1055</v>
      </c>
      <c r="C32" s="950" t="s">
        <v>1056</v>
      </c>
      <c r="D32" s="950" t="s">
        <v>1056</v>
      </c>
      <c r="E32" s="952" t="s">
        <v>1056</v>
      </c>
      <c r="F32" s="940"/>
      <c r="G32" s="953"/>
      <c r="H32" s="969"/>
      <c r="I32" s="956" t="s">
        <v>1057</v>
      </c>
      <c r="J32" s="1194" t="s">
        <v>136</v>
      </c>
      <c r="K32" s="1001" t="s">
        <v>128</v>
      </c>
      <c r="L32" s="959">
        <v>65.0</v>
      </c>
      <c r="M32" s="960">
        <v>90.0</v>
      </c>
      <c r="N32" s="960">
        <v>65.0</v>
      </c>
      <c r="O32" s="960">
        <v>61.0</v>
      </c>
      <c r="P32" s="960">
        <v>61.0</v>
      </c>
      <c r="Q32" s="960">
        <v>100.0</v>
      </c>
      <c r="R32" s="960">
        <v>236.0</v>
      </c>
      <c r="S32" s="960">
        <v>299.0</v>
      </c>
      <c r="T32" s="960">
        <v>328.0</v>
      </c>
      <c r="U32" s="960">
        <f t="array" ref="U32">HLOOKUP($J32,'Type Chart'!$C$2:$T$20,2,false)*HLOOKUP($K32,'Type Chart'!$C$2:$U$20,2,false)</f>
        <v>1</v>
      </c>
      <c r="V32" s="960">
        <f t="array" ref="V32">HLOOKUP($J32,'Type Chart'!$C$2:$T$20,3,false)*HLOOKUP($K32,'Type Chart'!$C$2:$U$20,3,false)</f>
        <v>1</v>
      </c>
      <c r="W32" s="960">
        <f t="array" ref="W32">HLOOKUP($J32,'Type Chart'!$C$2:$T$20,4,false)*HLOOKUP($K32,'Type Chart'!$C$2:$U$20,4,false)</f>
        <v>1</v>
      </c>
      <c r="X32" s="960">
        <f t="array" ref="X32">HLOOKUP($J32,'Type Chart'!$C$2:$T$20,5,false)*HLOOKUP($K32,'Type Chart'!$C$2:$U$20,5,false)</f>
        <v>1</v>
      </c>
      <c r="Y32" s="960">
        <f t="array" ref="Y32">HLOOKUP($J32,'Type Chart'!$C$2:$T$20,6,false)*HLOOKUP($K32,'Type Chart'!$C$2:$U$20,6,false)</f>
        <v>0</v>
      </c>
      <c r="Z32" s="960">
        <f t="array" ref="Z32">HLOOKUP($J32,'Type Chart'!$C$2:$T$20,7,false)*HLOOKUP($K32,'Type Chart'!$C$2:$U$20,7,false)</f>
        <v>2</v>
      </c>
      <c r="AA32" s="960">
        <f t="array" ref="AA32">HLOOKUP($J32,'Type Chart'!$C$2:$T$20,8,false)*HLOOKUP($K32,'Type Chart'!$C$2:$U$20,8,false)</f>
        <v>0.5</v>
      </c>
      <c r="AB32" s="960">
        <f t="array" ref="AB32">HLOOKUP($J32,'Type Chart'!$C$2:$T$20,9,false)*HLOOKUP($K32,'Type Chart'!$C$2:$U$20,9,false)</f>
        <v>0</v>
      </c>
      <c r="AC32" s="960">
        <f t="array" ref="AC32">HLOOKUP($J32,'Type Chart'!$C$2:$T$20,10,false)*HLOOKUP($K32,'Type Chart'!$C$2:$U$20,10,false)</f>
        <v>1</v>
      </c>
      <c r="AD32" s="960">
        <f t="array" ref="AD32">HLOOKUP($J32,'Type Chart'!$C$2:$T$20,11,false)*HLOOKUP($K32,'Type Chart'!$C$2:$U$20,11,false)</f>
        <v>1</v>
      </c>
      <c r="AE32" s="960">
        <f t="array" ref="AE32">HLOOKUP($J32,'Type Chart'!$C$2:$T$20,12,false)*HLOOKUP($K32,'Type Chart'!$C$2:$U$20,12,false)</f>
        <v>1</v>
      </c>
      <c r="AF32" s="960">
        <f t="array" ref="AF32">HLOOKUP($J32,'Type Chart'!$C$2:$T$20,13,false)*HLOOKUP($K32,'Type Chart'!$C$2:$U$20,13,false)</f>
        <v>0.5</v>
      </c>
      <c r="AG32" s="960">
        <f t="array" ref="AG32">HLOOKUP($J32,'Type Chart'!$C$2:$T$20,14,false)*HLOOKUP($K32,'Type Chart'!$C$2:$U$20,14,false)</f>
        <v>2</v>
      </c>
      <c r="AH32" s="960">
        <f t="array" ref="AH32">HLOOKUP($J32,'Type Chart'!$C$2:$T$20,15,false)*HLOOKUP($K32,'Type Chart'!$C$2:$U$20,15,false)</f>
        <v>1</v>
      </c>
      <c r="AI32" s="960">
        <f t="array" ref="AI32">HLOOKUP($J32,'Type Chart'!$C$2:$T$20,16,false)*HLOOKUP($K32,'Type Chart'!$C$2:$U$20,16,false)</f>
        <v>2</v>
      </c>
      <c r="AJ32" s="960">
        <f t="array" ref="AJ32">HLOOKUP($J32,'Type Chart'!$C$2:$T$20,17,false)*HLOOKUP($K32,'Type Chart'!$C$2:$U$20,17,false)</f>
        <v>1</v>
      </c>
      <c r="AK32" s="960">
        <f t="array" ref="AK32">HLOOKUP($J32,'Type Chart'!$C$2:$T$20,18,false)*HLOOKUP($K32,'Type Chart'!$C$2:$U$20,18,false)</f>
        <v>1</v>
      </c>
      <c r="AL32" s="960">
        <f t="array" ref="AL32">HLOOKUP($J32,'Type Chart'!$C$2:$T$20,19,false)*HLOOKUP($K32,'Type Chart'!$C$2:$U$20,19,false)</f>
        <v>1</v>
      </c>
      <c r="AM32" s="964" t="s">
        <v>1022</v>
      </c>
      <c r="AN32" s="965"/>
      <c r="AO32" s="966" t="s">
        <v>1014</v>
      </c>
      <c r="AP32" s="936"/>
      <c r="AQ32" s="967"/>
      <c r="AR32" s="968"/>
      <c r="AS32" s="936"/>
    </row>
    <row r="33" ht="15.75" customHeight="1">
      <c r="A33" s="936"/>
      <c r="B33" s="948" t="s">
        <v>1058</v>
      </c>
      <c r="C33" s="950" t="s">
        <v>1059</v>
      </c>
      <c r="D33" s="950" t="s">
        <v>1059</v>
      </c>
      <c r="E33" s="952" t="s">
        <v>1059</v>
      </c>
      <c r="F33" s="940"/>
      <c r="G33" s="953"/>
      <c r="H33" s="969"/>
      <c r="I33" s="998" t="s">
        <v>1060</v>
      </c>
      <c r="J33" s="958" t="s">
        <v>178</v>
      </c>
      <c r="K33" s="984" t="s">
        <v>216</v>
      </c>
      <c r="L33" s="959">
        <v>35.0</v>
      </c>
      <c r="M33" s="960">
        <v>60.0</v>
      </c>
      <c r="N33" s="960">
        <v>44.0</v>
      </c>
      <c r="O33" s="960">
        <v>40.0</v>
      </c>
      <c r="P33" s="960">
        <v>54.0</v>
      </c>
      <c r="Q33" s="960">
        <v>55.0</v>
      </c>
      <c r="R33" s="960">
        <v>146.0</v>
      </c>
      <c r="S33" s="960">
        <v>209.0</v>
      </c>
      <c r="T33" s="960">
        <v>229.0</v>
      </c>
      <c r="U33" s="960">
        <f t="array" ref="U33">HLOOKUP($J33,'Type Chart'!$C$2:$T$20,2,false)*HLOOKUP($K33,'Type Chart'!$C$2:$U$20,2,false)</f>
        <v>1</v>
      </c>
      <c r="V33" s="960">
        <f t="array" ref="V33">HLOOKUP($J33,'Type Chart'!$C$2:$T$20,3,false)*HLOOKUP($K33,'Type Chart'!$C$2:$U$20,3,false)</f>
        <v>0.5</v>
      </c>
      <c r="W33" s="960">
        <f t="array" ref="W33">HLOOKUP($J33,'Type Chart'!$C$2:$T$20,4,false)*HLOOKUP($K33,'Type Chart'!$C$2:$U$20,4,false)</f>
        <v>1</v>
      </c>
      <c r="X33" s="960">
        <f t="array" ref="X33">HLOOKUP($J33,'Type Chart'!$C$2:$T$20,5,false)*HLOOKUP($K33,'Type Chart'!$C$2:$U$20,5,false)</f>
        <v>0.5</v>
      </c>
      <c r="Y33" s="960">
        <f t="array" ref="Y33">HLOOKUP($J33,'Type Chart'!$C$2:$T$20,6,false)*HLOOKUP($K33,'Type Chart'!$C$2:$U$20,6,false)</f>
        <v>2</v>
      </c>
      <c r="Z33" s="960">
        <f t="array" ref="Z33">HLOOKUP($J33,'Type Chart'!$C$2:$T$20,7,false)*HLOOKUP($K33,'Type Chart'!$C$2:$U$20,7,false)</f>
        <v>1</v>
      </c>
      <c r="AA33" s="960">
        <f t="array" ref="AA33">HLOOKUP($J33,'Type Chart'!$C$2:$T$20,8,false)*HLOOKUP($K33,'Type Chart'!$C$2:$U$20,8,false)</f>
        <v>0.5</v>
      </c>
      <c r="AB33" s="960">
        <f t="array" ref="AB33">HLOOKUP($J33,'Type Chart'!$C$2:$T$20,9,false)*HLOOKUP($K33,'Type Chart'!$C$2:$U$20,9,false)</f>
        <v>1</v>
      </c>
      <c r="AC33" s="960">
        <f t="array" ref="AC33">HLOOKUP($J33,'Type Chart'!$C$2:$T$20,10,false)*HLOOKUP($K33,'Type Chart'!$C$2:$U$20,10,false)</f>
        <v>1</v>
      </c>
      <c r="AD33" s="960">
        <f t="array" ref="AD33">HLOOKUP($J33,'Type Chart'!$C$2:$T$20,11,false)*HLOOKUP($K33,'Type Chart'!$C$2:$U$20,11,false)</f>
        <v>1</v>
      </c>
      <c r="AE33" s="960">
        <f t="array" ref="AE33">HLOOKUP($J33,'Type Chart'!$C$2:$T$20,12,false)*HLOOKUP($K33,'Type Chart'!$C$2:$U$20,12,false)</f>
        <v>1</v>
      </c>
      <c r="AF33" s="960">
        <f t="array" ref="AF33">HLOOKUP($J33,'Type Chart'!$C$2:$T$20,13,false)*HLOOKUP($K33,'Type Chart'!$C$2:$U$20,13,false)</f>
        <v>0.5</v>
      </c>
      <c r="AG33" s="960">
        <f t="array" ref="AG33">HLOOKUP($J33,'Type Chart'!$C$2:$T$20,14,false)*HLOOKUP($K33,'Type Chart'!$C$2:$U$20,14,false)</f>
        <v>1</v>
      </c>
      <c r="AH33" s="960">
        <f t="array" ref="AH33">HLOOKUP($J33,'Type Chart'!$C$2:$T$20,15,false)*HLOOKUP($K33,'Type Chart'!$C$2:$U$20,15,false)</f>
        <v>2</v>
      </c>
      <c r="AI33" s="960">
        <f t="array" ref="AI33">HLOOKUP($J33,'Type Chart'!$C$2:$T$20,16,false)*HLOOKUP($K33,'Type Chart'!$C$2:$U$20,16,false)</f>
        <v>1</v>
      </c>
      <c r="AJ33" s="960">
        <f t="array" ref="AJ33">HLOOKUP($J33,'Type Chart'!$C$2:$T$20,17,false)*HLOOKUP($K33,'Type Chart'!$C$2:$U$20,17,false)</f>
        <v>1</v>
      </c>
      <c r="AK33" s="960">
        <f t="array" ref="AK33">HLOOKUP($J33,'Type Chart'!$C$2:$T$20,18,false)*HLOOKUP($K33,'Type Chart'!$C$2:$U$20,18,false)</f>
        <v>1</v>
      </c>
      <c r="AL33" s="960">
        <f t="array" ref="AL33">HLOOKUP($J33,'Type Chart'!$C$2:$T$20,19,false)*HLOOKUP($K33,'Type Chart'!$C$2:$U$20,19,false)</f>
        <v>0.5</v>
      </c>
      <c r="AM33" s="964" t="s">
        <v>1061</v>
      </c>
      <c r="AN33" s="965" t="s">
        <v>998</v>
      </c>
      <c r="AO33" s="966" t="s">
        <v>1062</v>
      </c>
      <c r="AP33" s="936"/>
      <c r="AQ33" s="967"/>
      <c r="AR33" s="968"/>
      <c r="AS33" s="936"/>
    </row>
    <row r="34" ht="15.75" customHeight="1">
      <c r="A34" s="936"/>
      <c r="B34" s="948" t="s">
        <v>1063</v>
      </c>
      <c r="C34" s="950" t="s">
        <v>1064</v>
      </c>
      <c r="D34" s="950" t="s">
        <v>1064</v>
      </c>
      <c r="E34" s="952" t="s">
        <v>1064</v>
      </c>
      <c r="F34" s="940"/>
      <c r="G34" s="953"/>
      <c r="H34" s="969"/>
      <c r="I34" s="956" t="s">
        <v>780</v>
      </c>
      <c r="J34" s="958" t="s">
        <v>178</v>
      </c>
      <c r="K34" s="984" t="s">
        <v>216</v>
      </c>
      <c r="L34" s="959">
        <v>60.0</v>
      </c>
      <c r="M34" s="960">
        <v>95.0</v>
      </c>
      <c r="N34" s="960">
        <v>69.0</v>
      </c>
      <c r="O34" s="960">
        <v>65.0</v>
      </c>
      <c r="P34" s="960">
        <v>79.0</v>
      </c>
      <c r="Q34" s="960">
        <v>80.0</v>
      </c>
      <c r="R34" s="960">
        <v>196.0</v>
      </c>
      <c r="S34" s="960">
        <v>259.0</v>
      </c>
      <c r="T34" s="960">
        <v>284.0</v>
      </c>
      <c r="U34" s="960">
        <f t="array" ref="U34">HLOOKUP($J34,'Type Chart'!$C$2:$T$20,2,false)*HLOOKUP($K34,'Type Chart'!$C$2:$U$20,2,false)</f>
        <v>1</v>
      </c>
      <c r="V34" s="960">
        <f t="array" ref="V34">HLOOKUP($J34,'Type Chart'!$C$2:$T$20,3,false)*HLOOKUP($K34,'Type Chart'!$C$2:$U$20,3,false)</f>
        <v>0.5</v>
      </c>
      <c r="W34" s="960">
        <f t="array" ref="W34">HLOOKUP($J34,'Type Chart'!$C$2:$T$20,4,false)*HLOOKUP($K34,'Type Chart'!$C$2:$U$20,4,false)</f>
        <v>1</v>
      </c>
      <c r="X34" s="960">
        <f t="array" ref="X34">HLOOKUP($J34,'Type Chart'!$C$2:$T$20,5,false)*HLOOKUP($K34,'Type Chart'!$C$2:$U$20,5,false)</f>
        <v>0.5</v>
      </c>
      <c r="Y34" s="960">
        <f t="array" ref="Y34">HLOOKUP($J34,'Type Chart'!$C$2:$T$20,6,false)*HLOOKUP($K34,'Type Chart'!$C$2:$U$20,6,false)</f>
        <v>2</v>
      </c>
      <c r="Z34" s="960">
        <f t="array" ref="Z34">HLOOKUP($J34,'Type Chart'!$C$2:$T$20,7,false)*HLOOKUP($K34,'Type Chart'!$C$2:$U$20,7,false)</f>
        <v>1</v>
      </c>
      <c r="AA34" s="960">
        <f t="array" ref="AA34">HLOOKUP($J34,'Type Chart'!$C$2:$T$20,8,false)*HLOOKUP($K34,'Type Chart'!$C$2:$U$20,8,false)</f>
        <v>0.5</v>
      </c>
      <c r="AB34" s="960">
        <f t="array" ref="AB34">HLOOKUP($J34,'Type Chart'!$C$2:$T$20,9,false)*HLOOKUP($K34,'Type Chart'!$C$2:$U$20,9,false)</f>
        <v>1</v>
      </c>
      <c r="AC34" s="960">
        <f t="array" ref="AC34">HLOOKUP($J34,'Type Chart'!$C$2:$T$20,10,false)*HLOOKUP($K34,'Type Chart'!$C$2:$U$20,10,false)</f>
        <v>1</v>
      </c>
      <c r="AD34" s="960">
        <f t="array" ref="AD34">HLOOKUP($J34,'Type Chart'!$C$2:$T$20,11,false)*HLOOKUP($K34,'Type Chart'!$C$2:$U$20,11,false)</f>
        <v>1</v>
      </c>
      <c r="AE34" s="960">
        <f t="array" ref="AE34">HLOOKUP($J34,'Type Chart'!$C$2:$T$20,12,false)*HLOOKUP($K34,'Type Chart'!$C$2:$U$20,12,false)</f>
        <v>1</v>
      </c>
      <c r="AF34" s="960">
        <f t="array" ref="AF34">HLOOKUP($J34,'Type Chart'!$C$2:$T$20,13,false)*HLOOKUP($K34,'Type Chart'!$C$2:$U$20,13,false)</f>
        <v>0.5</v>
      </c>
      <c r="AG34" s="960">
        <f t="array" ref="AG34">HLOOKUP($J34,'Type Chart'!$C$2:$T$20,14,false)*HLOOKUP($K34,'Type Chart'!$C$2:$U$20,14,false)</f>
        <v>1</v>
      </c>
      <c r="AH34" s="960">
        <f t="array" ref="AH34">HLOOKUP($J34,'Type Chart'!$C$2:$T$20,15,false)*HLOOKUP($K34,'Type Chart'!$C$2:$U$20,15,false)</f>
        <v>2</v>
      </c>
      <c r="AI34" s="960">
        <f t="array" ref="AI34">HLOOKUP($J34,'Type Chart'!$C$2:$T$20,16,false)*HLOOKUP($K34,'Type Chart'!$C$2:$U$20,16,false)</f>
        <v>1</v>
      </c>
      <c r="AJ34" s="960">
        <f t="array" ref="AJ34">HLOOKUP($J34,'Type Chart'!$C$2:$T$20,17,false)*HLOOKUP($K34,'Type Chart'!$C$2:$U$20,17,false)</f>
        <v>1</v>
      </c>
      <c r="AK34" s="960">
        <f t="array" ref="AK34">HLOOKUP($J34,'Type Chart'!$C$2:$T$20,18,false)*HLOOKUP($K34,'Type Chart'!$C$2:$U$20,18,false)</f>
        <v>1</v>
      </c>
      <c r="AL34" s="960">
        <f t="array" ref="AL34">HLOOKUP($J34,'Type Chart'!$C$2:$T$20,19,false)*HLOOKUP($K34,'Type Chart'!$C$2:$U$20,19,false)</f>
        <v>0.5</v>
      </c>
      <c r="AM34" s="964" t="s">
        <v>1061</v>
      </c>
      <c r="AN34" s="965" t="s">
        <v>998</v>
      </c>
      <c r="AO34" s="966" t="s">
        <v>1062</v>
      </c>
      <c r="AP34" s="936"/>
      <c r="AQ34" s="967"/>
      <c r="AR34" s="968"/>
      <c r="AS34" s="936"/>
    </row>
    <row r="35" ht="15.75" customHeight="1">
      <c r="A35" s="936"/>
      <c r="B35" s="948" t="s">
        <v>1065</v>
      </c>
      <c r="C35" s="950" t="s">
        <v>1066</v>
      </c>
      <c r="D35" s="950" t="s">
        <v>1066</v>
      </c>
      <c r="E35" s="952" t="s">
        <v>1066</v>
      </c>
      <c r="F35" s="940"/>
      <c r="G35" s="953"/>
      <c r="H35" s="969"/>
      <c r="I35" s="956" t="s">
        <v>854</v>
      </c>
      <c r="J35" s="1196" t="s">
        <v>203</v>
      </c>
      <c r="K35" s="984" t="s">
        <v>216</v>
      </c>
      <c r="L35" s="959">
        <v>35.0</v>
      </c>
      <c r="M35" s="960">
        <v>55.0</v>
      </c>
      <c r="N35" s="960">
        <v>40.0</v>
      </c>
      <c r="O35" s="960">
        <v>50.0</v>
      </c>
      <c r="P35" s="960">
        <v>50.0</v>
      </c>
      <c r="Q35" s="960">
        <v>90.0</v>
      </c>
      <c r="R35" s="960">
        <v>216.0</v>
      </c>
      <c r="S35" s="960">
        <v>279.0</v>
      </c>
      <c r="T35" s="960">
        <v>306.0</v>
      </c>
      <c r="U35" s="960">
        <f t="array" ref="U35">HLOOKUP($J35,'Type Chart'!$C$2:$T$20,2,false)*HLOOKUP($K35,'Type Chart'!$C$2:$U$20,2,false)</f>
        <v>1</v>
      </c>
      <c r="V35" s="960">
        <f t="array" ref="V35">HLOOKUP($J35,'Type Chart'!$C$2:$T$20,3,false)*HLOOKUP($K35,'Type Chart'!$C$2:$U$20,3,false)</f>
        <v>1</v>
      </c>
      <c r="W35" s="960">
        <f t="array" ref="W35">HLOOKUP($J35,'Type Chart'!$C$2:$T$20,4,false)*HLOOKUP($K35,'Type Chart'!$C$2:$U$20,4,false)</f>
        <v>0.5</v>
      </c>
      <c r="X35" s="960">
        <f t="array" ref="X35">HLOOKUP($J35,'Type Chart'!$C$2:$T$20,5,false)*HLOOKUP($K35,'Type Chart'!$C$2:$U$20,5,false)</f>
        <v>1</v>
      </c>
      <c r="Y35" s="960">
        <f t="array" ref="Y35">HLOOKUP($J35,'Type Chart'!$C$2:$T$20,6,false)*HLOOKUP($K35,'Type Chart'!$C$2:$U$20,6,false)</f>
        <v>2</v>
      </c>
      <c r="Z35" s="960">
        <f t="array" ref="Z35">HLOOKUP($J35,'Type Chart'!$C$2:$T$20,7,false)*HLOOKUP($K35,'Type Chart'!$C$2:$U$20,7,false)</f>
        <v>1</v>
      </c>
      <c r="AA35" s="960">
        <f t="array" ref="AA35">HLOOKUP($J35,'Type Chart'!$C$2:$T$20,8,false)*HLOOKUP($K35,'Type Chart'!$C$2:$U$20,8,false)</f>
        <v>1</v>
      </c>
      <c r="AB35" s="960">
        <f t="array" ref="AB35">HLOOKUP($J35,'Type Chart'!$C$2:$T$20,9,false)*HLOOKUP($K35,'Type Chart'!$C$2:$U$20,9,false)</f>
        <v>1</v>
      </c>
      <c r="AC35" s="960">
        <f t="array" ref="AC35">HLOOKUP($J35,'Type Chart'!$C$2:$T$20,10,false)*HLOOKUP($K35,'Type Chart'!$C$2:$U$20,10,false)</f>
        <v>0.5</v>
      </c>
      <c r="AD35" s="960">
        <f t="array" ref="AD35">HLOOKUP($J35,'Type Chart'!$C$2:$T$20,11,false)*HLOOKUP($K35,'Type Chart'!$C$2:$U$20,11,false)</f>
        <v>1</v>
      </c>
      <c r="AE35" s="960">
        <f t="array" ref="AE35">HLOOKUP($J35,'Type Chart'!$C$2:$T$20,12,false)*HLOOKUP($K35,'Type Chart'!$C$2:$U$20,12,false)</f>
        <v>1</v>
      </c>
      <c r="AF35" s="960">
        <f t="array" ref="AF35">HLOOKUP($J35,'Type Chart'!$C$2:$T$20,13,false)*HLOOKUP($K35,'Type Chart'!$C$2:$U$20,13,false)</f>
        <v>1</v>
      </c>
      <c r="AG35" s="960">
        <f t="array" ref="AG35">HLOOKUP($J35,'Type Chart'!$C$2:$T$20,14,false)*HLOOKUP($K35,'Type Chart'!$C$2:$U$20,14,false)</f>
        <v>0.5</v>
      </c>
      <c r="AH35" s="960">
        <f t="array" ref="AH35">HLOOKUP($J35,'Type Chart'!$C$2:$T$20,15,false)*HLOOKUP($K35,'Type Chart'!$C$2:$U$20,15,false)</f>
        <v>1</v>
      </c>
      <c r="AI35" s="960">
        <f t="array" ref="AI35">HLOOKUP($J35,'Type Chart'!$C$2:$T$20,16,false)*HLOOKUP($K35,'Type Chart'!$C$2:$U$20,16,false)</f>
        <v>1</v>
      </c>
      <c r="AJ35" s="960">
        <f t="array" ref="AJ35">HLOOKUP($J35,'Type Chart'!$C$2:$T$20,17,false)*HLOOKUP($K35,'Type Chart'!$C$2:$U$20,17,false)</f>
        <v>1</v>
      </c>
      <c r="AK35" s="960">
        <f t="array" ref="AK35">HLOOKUP($J35,'Type Chart'!$C$2:$T$20,18,false)*HLOOKUP($K35,'Type Chart'!$C$2:$U$20,18,false)</f>
        <v>1</v>
      </c>
      <c r="AL35" s="960">
        <f t="array" ref="AL35">HLOOKUP($J35,'Type Chart'!$C$2:$T$20,19,false)*HLOOKUP($K35,'Type Chart'!$C$2:$U$20,19,false)</f>
        <v>1</v>
      </c>
      <c r="AM35" s="964" t="s">
        <v>1067</v>
      </c>
      <c r="AN35" s="965"/>
      <c r="AO35" s="966" t="s">
        <v>1068</v>
      </c>
      <c r="AP35" s="936"/>
      <c r="AQ35" s="967"/>
      <c r="AR35" s="968"/>
      <c r="AS35" s="936"/>
    </row>
    <row r="36" ht="15.75" customHeight="1">
      <c r="A36" s="936"/>
      <c r="B36" s="948" t="s">
        <v>1069</v>
      </c>
      <c r="C36" s="950" t="s">
        <v>1070</v>
      </c>
      <c r="D36" s="950" t="s">
        <v>1066</v>
      </c>
      <c r="E36" s="952" t="s">
        <v>1070</v>
      </c>
      <c r="F36" s="940"/>
      <c r="G36" s="953"/>
      <c r="H36" s="969"/>
      <c r="I36" s="956" t="s">
        <v>1071</v>
      </c>
      <c r="J36" s="1196" t="s">
        <v>203</v>
      </c>
      <c r="K36" s="984" t="s">
        <v>216</v>
      </c>
      <c r="L36" s="959">
        <v>35.0</v>
      </c>
      <c r="M36" s="960">
        <v>55.0</v>
      </c>
      <c r="N36" s="960">
        <v>40.0</v>
      </c>
      <c r="O36" s="960">
        <v>50.0</v>
      </c>
      <c r="P36" s="960">
        <v>50.0</v>
      </c>
      <c r="Q36" s="960">
        <v>90.0</v>
      </c>
      <c r="R36" s="960">
        <v>216.0</v>
      </c>
      <c r="S36" s="960">
        <v>279.0</v>
      </c>
      <c r="T36" s="960">
        <v>306.0</v>
      </c>
      <c r="U36" s="960">
        <f t="array" ref="U36">HLOOKUP($J36,'Type Chart'!$C$2:$T$20,2,false)*HLOOKUP($K36,'Type Chart'!$C$2:$U$20,2,false)</f>
        <v>1</v>
      </c>
      <c r="V36" s="960">
        <f t="array" ref="V36">HLOOKUP($J36,'Type Chart'!$C$2:$T$20,3,false)*HLOOKUP($K36,'Type Chart'!$C$2:$U$20,3,false)</f>
        <v>1</v>
      </c>
      <c r="W36" s="960">
        <f t="array" ref="W36">HLOOKUP($J36,'Type Chart'!$C$2:$T$20,4,false)*HLOOKUP($K36,'Type Chart'!$C$2:$U$20,4,false)</f>
        <v>0.5</v>
      </c>
      <c r="X36" s="960">
        <f t="array" ref="X36">HLOOKUP($J36,'Type Chart'!$C$2:$T$20,5,false)*HLOOKUP($K36,'Type Chart'!$C$2:$U$20,5,false)</f>
        <v>1</v>
      </c>
      <c r="Y36" s="960">
        <f t="array" ref="Y36">HLOOKUP($J36,'Type Chart'!$C$2:$T$20,6,false)*HLOOKUP($K36,'Type Chart'!$C$2:$U$20,6,false)</f>
        <v>2</v>
      </c>
      <c r="Z36" s="960">
        <f t="array" ref="Z36">HLOOKUP($J36,'Type Chart'!$C$2:$T$20,7,false)*HLOOKUP($K36,'Type Chart'!$C$2:$U$20,7,false)</f>
        <v>1</v>
      </c>
      <c r="AA36" s="960">
        <f t="array" ref="AA36">HLOOKUP($J36,'Type Chart'!$C$2:$T$20,8,false)*HLOOKUP($K36,'Type Chart'!$C$2:$U$20,8,false)</f>
        <v>1</v>
      </c>
      <c r="AB36" s="960">
        <f t="array" ref="AB36">HLOOKUP($J36,'Type Chart'!$C$2:$T$20,9,false)*HLOOKUP($K36,'Type Chart'!$C$2:$U$20,9,false)</f>
        <v>1</v>
      </c>
      <c r="AC36" s="960">
        <f t="array" ref="AC36">HLOOKUP($J36,'Type Chart'!$C$2:$T$20,10,false)*HLOOKUP($K36,'Type Chart'!$C$2:$U$20,10,false)</f>
        <v>0.5</v>
      </c>
      <c r="AD36" s="960">
        <f t="array" ref="AD36">HLOOKUP($J36,'Type Chart'!$C$2:$T$20,11,false)*HLOOKUP($K36,'Type Chart'!$C$2:$U$20,11,false)</f>
        <v>1</v>
      </c>
      <c r="AE36" s="960">
        <f t="array" ref="AE36">HLOOKUP($J36,'Type Chart'!$C$2:$T$20,12,false)*HLOOKUP($K36,'Type Chart'!$C$2:$U$20,12,false)</f>
        <v>1</v>
      </c>
      <c r="AF36" s="960">
        <f t="array" ref="AF36">HLOOKUP($J36,'Type Chart'!$C$2:$T$20,13,false)*HLOOKUP($K36,'Type Chart'!$C$2:$U$20,13,false)</f>
        <v>1</v>
      </c>
      <c r="AG36" s="960">
        <f t="array" ref="AG36">HLOOKUP($J36,'Type Chart'!$C$2:$T$20,14,false)*HLOOKUP($K36,'Type Chart'!$C$2:$U$20,14,false)</f>
        <v>0.5</v>
      </c>
      <c r="AH36" s="960">
        <f t="array" ref="AH36">HLOOKUP($J36,'Type Chart'!$C$2:$T$20,15,false)*HLOOKUP($K36,'Type Chart'!$C$2:$U$20,15,false)</f>
        <v>1</v>
      </c>
      <c r="AI36" s="960">
        <f t="array" ref="AI36">HLOOKUP($J36,'Type Chart'!$C$2:$T$20,16,false)*HLOOKUP($K36,'Type Chart'!$C$2:$U$20,16,false)</f>
        <v>1</v>
      </c>
      <c r="AJ36" s="960">
        <f t="array" ref="AJ36">HLOOKUP($J36,'Type Chart'!$C$2:$T$20,17,false)*HLOOKUP($K36,'Type Chart'!$C$2:$U$20,17,false)</f>
        <v>1</v>
      </c>
      <c r="AK36" s="960">
        <f t="array" ref="AK36">HLOOKUP($J36,'Type Chart'!$C$2:$T$20,18,false)*HLOOKUP($K36,'Type Chart'!$C$2:$U$20,18,false)</f>
        <v>1</v>
      </c>
      <c r="AL36" s="960">
        <f t="array" ref="AL36">HLOOKUP($J36,'Type Chart'!$C$2:$T$20,19,false)*HLOOKUP($K36,'Type Chart'!$C$2:$U$20,19,false)</f>
        <v>1</v>
      </c>
      <c r="AM36" s="964" t="s">
        <v>1067</v>
      </c>
      <c r="AN36" s="965"/>
      <c r="AO36" s="966" t="s">
        <v>1068</v>
      </c>
      <c r="AP36" s="936"/>
      <c r="AQ36" s="967"/>
      <c r="AR36" s="968"/>
      <c r="AS36" s="936"/>
    </row>
    <row r="37" ht="15.75" customHeight="1">
      <c r="A37" s="936"/>
      <c r="B37" s="948" t="s">
        <v>1072</v>
      </c>
      <c r="C37" s="950" t="s">
        <v>1073</v>
      </c>
      <c r="D37" s="950" t="s">
        <v>1074</v>
      </c>
      <c r="E37" s="952" t="s">
        <v>1073</v>
      </c>
      <c r="F37" s="940"/>
      <c r="G37" s="953"/>
      <c r="H37" s="969"/>
      <c r="I37" s="956" t="s">
        <v>1075</v>
      </c>
      <c r="J37" s="1196" t="s">
        <v>203</v>
      </c>
      <c r="K37" s="984" t="s">
        <v>216</v>
      </c>
      <c r="L37" s="959">
        <v>35.0</v>
      </c>
      <c r="M37" s="960">
        <v>55.0</v>
      </c>
      <c r="N37" s="960">
        <v>40.0</v>
      </c>
      <c r="O37" s="960">
        <v>50.0</v>
      </c>
      <c r="P37" s="960">
        <v>50.0</v>
      </c>
      <c r="Q37" s="960">
        <v>90.0</v>
      </c>
      <c r="R37" s="960">
        <v>216.0</v>
      </c>
      <c r="S37" s="960">
        <v>279.0</v>
      </c>
      <c r="T37" s="960">
        <v>306.0</v>
      </c>
      <c r="U37" s="960">
        <f t="array" ref="U37">HLOOKUP($J37,'Type Chart'!$C$2:$T$20,2,false)*HLOOKUP($K37,'Type Chart'!$C$2:$U$20,2,false)</f>
        <v>1</v>
      </c>
      <c r="V37" s="960">
        <f t="array" ref="V37">HLOOKUP($J37,'Type Chart'!$C$2:$T$20,3,false)*HLOOKUP($K37,'Type Chart'!$C$2:$U$20,3,false)</f>
        <v>1</v>
      </c>
      <c r="W37" s="960">
        <f t="array" ref="W37">HLOOKUP($J37,'Type Chart'!$C$2:$T$20,4,false)*HLOOKUP($K37,'Type Chart'!$C$2:$U$20,4,false)</f>
        <v>0.5</v>
      </c>
      <c r="X37" s="960">
        <f t="array" ref="X37">HLOOKUP($J37,'Type Chart'!$C$2:$T$20,5,false)*HLOOKUP($K37,'Type Chart'!$C$2:$U$20,5,false)</f>
        <v>1</v>
      </c>
      <c r="Y37" s="960">
        <f t="array" ref="Y37">HLOOKUP($J37,'Type Chart'!$C$2:$T$20,6,false)*HLOOKUP($K37,'Type Chart'!$C$2:$U$20,6,false)</f>
        <v>2</v>
      </c>
      <c r="Z37" s="960">
        <f t="array" ref="Z37">HLOOKUP($J37,'Type Chart'!$C$2:$T$20,7,false)*HLOOKUP($K37,'Type Chart'!$C$2:$U$20,7,false)</f>
        <v>1</v>
      </c>
      <c r="AA37" s="960">
        <f t="array" ref="AA37">HLOOKUP($J37,'Type Chart'!$C$2:$T$20,8,false)*HLOOKUP($K37,'Type Chart'!$C$2:$U$20,8,false)</f>
        <v>1</v>
      </c>
      <c r="AB37" s="960">
        <f t="array" ref="AB37">HLOOKUP($J37,'Type Chart'!$C$2:$T$20,9,false)*HLOOKUP($K37,'Type Chart'!$C$2:$U$20,9,false)</f>
        <v>1</v>
      </c>
      <c r="AC37" s="960">
        <f t="array" ref="AC37">HLOOKUP($J37,'Type Chart'!$C$2:$T$20,10,false)*HLOOKUP($K37,'Type Chart'!$C$2:$U$20,10,false)</f>
        <v>0.5</v>
      </c>
      <c r="AD37" s="960">
        <f t="array" ref="AD37">HLOOKUP($J37,'Type Chart'!$C$2:$T$20,11,false)*HLOOKUP($K37,'Type Chart'!$C$2:$U$20,11,false)</f>
        <v>1</v>
      </c>
      <c r="AE37" s="960">
        <f t="array" ref="AE37">HLOOKUP($J37,'Type Chart'!$C$2:$T$20,12,false)*HLOOKUP($K37,'Type Chart'!$C$2:$U$20,12,false)</f>
        <v>1</v>
      </c>
      <c r="AF37" s="960">
        <f t="array" ref="AF37">HLOOKUP($J37,'Type Chart'!$C$2:$T$20,13,false)*HLOOKUP($K37,'Type Chart'!$C$2:$U$20,13,false)</f>
        <v>1</v>
      </c>
      <c r="AG37" s="960">
        <f t="array" ref="AG37">HLOOKUP($J37,'Type Chart'!$C$2:$T$20,14,false)*HLOOKUP($K37,'Type Chart'!$C$2:$U$20,14,false)</f>
        <v>0.5</v>
      </c>
      <c r="AH37" s="960">
        <f t="array" ref="AH37">HLOOKUP($J37,'Type Chart'!$C$2:$T$20,15,false)*HLOOKUP($K37,'Type Chart'!$C$2:$U$20,15,false)</f>
        <v>1</v>
      </c>
      <c r="AI37" s="960">
        <f t="array" ref="AI37">HLOOKUP($J37,'Type Chart'!$C$2:$T$20,16,false)*HLOOKUP($K37,'Type Chart'!$C$2:$U$20,16,false)</f>
        <v>1</v>
      </c>
      <c r="AJ37" s="960">
        <f t="array" ref="AJ37">HLOOKUP($J37,'Type Chart'!$C$2:$T$20,17,false)*HLOOKUP($K37,'Type Chart'!$C$2:$U$20,17,false)</f>
        <v>1</v>
      </c>
      <c r="AK37" s="960">
        <f t="array" ref="AK37">HLOOKUP($J37,'Type Chart'!$C$2:$T$20,18,false)*HLOOKUP($K37,'Type Chart'!$C$2:$U$20,18,false)</f>
        <v>1</v>
      </c>
      <c r="AL37" s="960">
        <f t="array" ref="AL37">HLOOKUP($J37,'Type Chart'!$C$2:$T$20,19,false)*HLOOKUP($K37,'Type Chart'!$C$2:$U$20,19,false)</f>
        <v>1</v>
      </c>
      <c r="AM37" s="964" t="s">
        <v>1067</v>
      </c>
      <c r="AN37" s="965"/>
      <c r="AO37" s="966" t="s">
        <v>1068</v>
      </c>
      <c r="AP37" s="936"/>
      <c r="AQ37" s="967"/>
      <c r="AR37" s="968"/>
      <c r="AS37" s="936"/>
    </row>
    <row r="38" ht="15.75" customHeight="1">
      <c r="A38" s="1099"/>
      <c r="B38" s="948" t="s">
        <v>1076</v>
      </c>
      <c r="C38" s="1197" t="s">
        <v>1077</v>
      </c>
      <c r="D38" s="1197" t="s">
        <v>1077</v>
      </c>
      <c r="E38" s="1147" t="s">
        <v>1077</v>
      </c>
      <c r="F38" s="940"/>
      <c r="G38" s="953"/>
      <c r="H38" s="969"/>
      <c r="I38" s="998" t="s">
        <v>1078</v>
      </c>
      <c r="J38" s="1198" t="s">
        <v>203</v>
      </c>
      <c r="K38" s="1199" t="s">
        <v>216</v>
      </c>
      <c r="L38" s="1200">
        <v>35.0</v>
      </c>
      <c r="M38" s="1201">
        <v>55.0</v>
      </c>
      <c r="N38" s="1201">
        <v>40.0</v>
      </c>
      <c r="O38" s="1201">
        <v>50.0</v>
      </c>
      <c r="P38" s="1201">
        <v>50.0</v>
      </c>
      <c r="Q38" s="1201">
        <v>90.0</v>
      </c>
      <c r="R38" s="960">
        <v>216.0</v>
      </c>
      <c r="S38" s="960">
        <v>279.0</v>
      </c>
      <c r="T38" s="960">
        <v>306.0</v>
      </c>
      <c r="U38" s="960">
        <f t="array" ref="U38">HLOOKUP($J38,'Type Chart'!$C$2:$T$20,2,false)*HLOOKUP($K38,'Type Chart'!$C$2:$U$20,2,false)</f>
        <v>1</v>
      </c>
      <c r="V38" s="960">
        <f t="array" ref="V38">HLOOKUP($J38,'Type Chart'!$C$2:$T$20,3,false)*HLOOKUP($K38,'Type Chart'!$C$2:$U$20,3,false)</f>
        <v>1</v>
      </c>
      <c r="W38" s="960">
        <f t="array" ref="W38">HLOOKUP($J38,'Type Chart'!$C$2:$T$20,4,false)*HLOOKUP($K38,'Type Chart'!$C$2:$U$20,4,false)</f>
        <v>0.5</v>
      </c>
      <c r="X38" s="960">
        <f t="array" ref="X38">HLOOKUP($J38,'Type Chart'!$C$2:$T$20,5,false)*HLOOKUP($K38,'Type Chart'!$C$2:$U$20,5,false)</f>
        <v>1</v>
      </c>
      <c r="Y38" s="960">
        <f t="array" ref="Y38">HLOOKUP($J38,'Type Chart'!$C$2:$T$20,6,false)*HLOOKUP($K38,'Type Chart'!$C$2:$U$20,6,false)</f>
        <v>2</v>
      </c>
      <c r="Z38" s="960">
        <f t="array" ref="Z38">HLOOKUP($J38,'Type Chart'!$C$2:$T$20,7,false)*HLOOKUP($K38,'Type Chart'!$C$2:$U$20,7,false)</f>
        <v>1</v>
      </c>
      <c r="AA38" s="960">
        <f t="array" ref="AA38">HLOOKUP($J38,'Type Chart'!$C$2:$T$20,8,false)*HLOOKUP($K38,'Type Chart'!$C$2:$U$20,8,false)</f>
        <v>1</v>
      </c>
      <c r="AB38" s="960">
        <f t="array" ref="AB38">HLOOKUP($J38,'Type Chart'!$C$2:$T$20,9,false)*HLOOKUP($K38,'Type Chart'!$C$2:$U$20,9,false)</f>
        <v>1</v>
      </c>
      <c r="AC38" s="960">
        <f t="array" ref="AC38">HLOOKUP($J38,'Type Chart'!$C$2:$T$20,10,false)*HLOOKUP($K38,'Type Chart'!$C$2:$U$20,10,false)</f>
        <v>0.5</v>
      </c>
      <c r="AD38" s="960">
        <f t="array" ref="AD38">HLOOKUP($J38,'Type Chart'!$C$2:$T$20,11,false)*HLOOKUP($K38,'Type Chart'!$C$2:$U$20,11,false)</f>
        <v>1</v>
      </c>
      <c r="AE38" s="960">
        <f t="array" ref="AE38">HLOOKUP($J38,'Type Chart'!$C$2:$T$20,12,false)*HLOOKUP($K38,'Type Chart'!$C$2:$U$20,12,false)</f>
        <v>1</v>
      </c>
      <c r="AF38" s="960">
        <f t="array" ref="AF38">HLOOKUP($J38,'Type Chart'!$C$2:$T$20,13,false)*HLOOKUP($K38,'Type Chart'!$C$2:$U$20,13,false)</f>
        <v>1</v>
      </c>
      <c r="AG38" s="960">
        <f t="array" ref="AG38">HLOOKUP($J38,'Type Chart'!$C$2:$T$20,14,false)*HLOOKUP($K38,'Type Chart'!$C$2:$U$20,14,false)</f>
        <v>0.5</v>
      </c>
      <c r="AH38" s="960">
        <f t="array" ref="AH38">HLOOKUP($J38,'Type Chart'!$C$2:$T$20,15,false)*HLOOKUP($K38,'Type Chart'!$C$2:$U$20,15,false)</f>
        <v>1</v>
      </c>
      <c r="AI38" s="960">
        <f t="array" ref="AI38">HLOOKUP($J38,'Type Chart'!$C$2:$T$20,16,false)*HLOOKUP($K38,'Type Chart'!$C$2:$U$20,16,false)</f>
        <v>1</v>
      </c>
      <c r="AJ38" s="960">
        <f t="array" ref="AJ38">HLOOKUP($J38,'Type Chart'!$C$2:$T$20,17,false)*HLOOKUP($K38,'Type Chart'!$C$2:$U$20,17,false)</f>
        <v>1</v>
      </c>
      <c r="AK38" s="960">
        <f t="array" ref="AK38">HLOOKUP($J38,'Type Chart'!$C$2:$T$20,18,false)*HLOOKUP($K38,'Type Chart'!$C$2:$U$20,18,false)</f>
        <v>1</v>
      </c>
      <c r="AL38" s="960">
        <f t="array" ref="AL38">HLOOKUP($J38,'Type Chart'!$C$2:$T$20,19,false)*HLOOKUP($K38,'Type Chart'!$C$2:$U$20,19,false)</f>
        <v>1</v>
      </c>
      <c r="AM38" s="1145" t="s">
        <v>1067</v>
      </c>
      <c r="AN38" s="1202"/>
      <c r="AO38" s="1146" t="s">
        <v>1068</v>
      </c>
      <c r="AP38" s="936"/>
      <c r="AQ38" s="967"/>
      <c r="AR38" s="968"/>
      <c r="AS38" s="936"/>
    </row>
    <row r="39" ht="15.75" customHeight="1">
      <c r="A39" s="936"/>
      <c r="B39" s="948" t="s">
        <v>1079</v>
      </c>
      <c r="C39" s="950" t="s">
        <v>1080</v>
      </c>
      <c r="D39" s="950" t="s">
        <v>1081</v>
      </c>
      <c r="E39" s="952" t="s">
        <v>1080</v>
      </c>
      <c r="F39" s="940"/>
      <c r="G39" s="953"/>
      <c r="H39" s="969"/>
      <c r="I39" s="956" t="s">
        <v>1082</v>
      </c>
      <c r="J39" s="1196" t="s">
        <v>203</v>
      </c>
      <c r="K39" s="984" t="s">
        <v>216</v>
      </c>
      <c r="L39" s="959">
        <v>35.0</v>
      </c>
      <c r="M39" s="960">
        <v>55.0</v>
      </c>
      <c r="N39" s="960">
        <v>40.0</v>
      </c>
      <c r="O39" s="960">
        <v>50.0</v>
      </c>
      <c r="P39" s="960">
        <v>50.0</v>
      </c>
      <c r="Q39" s="960">
        <v>90.0</v>
      </c>
      <c r="R39" s="960">
        <v>216.0</v>
      </c>
      <c r="S39" s="960">
        <v>279.0</v>
      </c>
      <c r="T39" s="960">
        <v>306.0</v>
      </c>
      <c r="U39" s="960">
        <f t="array" ref="U39">HLOOKUP($J39,'Type Chart'!$C$2:$T$20,2,false)*HLOOKUP($K39,'Type Chart'!$C$2:$U$20,2,false)</f>
        <v>1</v>
      </c>
      <c r="V39" s="960">
        <f t="array" ref="V39">HLOOKUP($J39,'Type Chart'!$C$2:$T$20,3,false)*HLOOKUP($K39,'Type Chart'!$C$2:$U$20,3,false)</f>
        <v>1</v>
      </c>
      <c r="W39" s="960">
        <f t="array" ref="W39">HLOOKUP($J39,'Type Chart'!$C$2:$T$20,4,false)*HLOOKUP($K39,'Type Chart'!$C$2:$U$20,4,false)</f>
        <v>0.5</v>
      </c>
      <c r="X39" s="960">
        <f t="array" ref="X39">HLOOKUP($J39,'Type Chart'!$C$2:$T$20,5,false)*HLOOKUP($K39,'Type Chart'!$C$2:$U$20,5,false)</f>
        <v>1</v>
      </c>
      <c r="Y39" s="960">
        <f t="array" ref="Y39">HLOOKUP($J39,'Type Chart'!$C$2:$T$20,6,false)*HLOOKUP($K39,'Type Chart'!$C$2:$U$20,6,false)</f>
        <v>2</v>
      </c>
      <c r="Z39" s="960">
        <f t="array" ref="Z39">HLOOKUP($J39,'Type Chart'!$C$2:$T$20,7,false)*HLOOKUP($K39,'Type Chart'!$C$2:$U$20,7,false)</f>
        <v>1</v>
      </c>
      <c r="AA39" s="960">
        <f t="array" ref="AA39">HLOOKUP($J39,'Type Chart'!$C$2:$T$20,8,false)*HLOOKUP($K39,'Type Chart'!$C$2:$U$20,8,false)</f>
        <v>1</v>
      </c>
      <c r="AB39" s="960">
        <f t="array" ref="AB39">HLOOKUP($J39,'Type Chart'!$C$2:$T$20,9,false)*HLOOKUP($K39,'Type Chart'!$C$2:$U$20,9,false)</f>
        <v>1</v>
      </c>
      <c r="AC39" s="960">
        <f t="array" ref="AC39">HLOOKUP($J39,'Type Chart'!$C$2:$T$20,10,false)*HLOOKUP($K39,'Type Chart'!$C$2:$U$20,10,false)</f>
        <v>0.5</v>
      </c>
      <c r="AD39" s="960">
        <f t="array" ref="AD39">HLOOKUP($J39,'Type Chart'!$C$2:$T$20,11,false)*HLOOKUP($K39,'Type Chart'!$C$2:$U$20,11,false)</f>
        <v>1</v>
      </c>
      <c r="AE39" s="960">
        <f t="array" ref="AE39">HLOOKUP($J39,'Type Chart'!$C$2:$T$20,12,false)*HLOOKUP($K39,'Type Chart'!$C$2:$U$20,12,false)</f>
        <v>1</v>
      </c>
      <c r="AF39" s="960">
        <f t="array" ref="AF39">HLOOKUP($J39,'Type Chart'!$C$2:$T$20,13,false)*HLOOKUP($K39,'Type Chart'!$C$2:$U$20,13,false)</f>
        <v>1</v>
      </c>
      <c r="AG39" s="960">
        <f t="array" ref="AG39">HLOOKUP($J39,'Type Chart'!$C$2:$T$20,14,false)*HLOOKUP($K39,'Type Chart'!$C$2:$U$20,14,false)</f>
        <v>0.5</v>
      </c>
      <c r="AH39" s="960">
        <f t="array" ref="AH39">HLOOKUP($J39,'Type Chart'!$C$2:$T$20,15,false)*HLOOKUP($K39,'Type Chart'!$C$2:$U$20,15,false)</f>
        <v>1</v>
      </c>
      <c r="AI39" s="960">
        <f t="array" ref="AI39">HLOOKUP($J39,'Type Chart'!$C$2:$T$20,16,false)*HLOOKUP($K39,'Type Chart'!$C$2:$U$20,16,false)</f>
        <v>1</v>
      </c>
      <c r="AJ39" s="960">
        <f t="array" ref="AJ39">HLOOKUP($J39,'Type Chart'!$C$2:$T$20,17,false)*HLOOKUP($K39,'Type Chart'!$C$2:$U$20,17,false)</f>
        <v>1</v>
      </c>
      <c r="AK39" s="960">
        <f t="array" ref="AK39">HLOOKUP($J39,'Type Chart'!$C$2:$T$20,18,false)*HLOOKUP($K39,'Type Chart'!$C$2:$U$20,18,false)</f>
        <v>1</v>
      </c>
      <c r="AL39" s="960">
        <f t="array" ref="AL39">HLOOKUP($J39,'Type Chart'!$C$2:$T$20,19,false)*HLOOKUP($K39,'Type Chart'!$C$2:$U$20,19,false)</f>
        <v>1</v>
      </c>
      <c r="AM39" s="964" t="s">
        <v>1067</v>
      </c>
      <c r="AN39" s="965"/>
      <c r="AO39" s="966" t="s">
        <v>1068</v>
      </c>
      <c r="AP39" s="936"/>
      <c r="AQ39" s="967"/>
      <c r="AR39" s="968"/>
      <c r="AS39" s="936"/>
    </row>
    <row r="40" ht="15.75" customHeight="1">
      <c r="A40" s="1099"/>
      <c r="B40" s="948" t="s">
        <v>1083</v>
      </c>
      <c r="C40" s="950" t="s">
        <v>1084</v>
      </c>
      <c r="D40" s="950" t="s">
        <v>1084</v>
      </c>
      <c r="E40" s="952" t="s">
        <v>1084</v>
      </c>
      <c r="F40" s="940"/>
      <c r="G40" s="953"/>
      <c r="H40" s="969"/>
      <c r="I40" s="956" t="s">
        <v>1085</v>
      </c>
      <c r="J40" s="1196" t="s">
        <v>203</v>
      </c>
      <c r="K40" s="984" t="s">
        <v>216</v>
      </c>
      <c r="L40" s="959">
        <v>35.0</v>
      </c>
      <c r="M40" s="960">
        <v>55.0</v>
      </c>
      <c r="N40" s="960">
        <v>40.0</v>
      </c>
      <c r="O40" s="960">
        <v>50.0</v>
      </c>
      <c r="P40" s="960">
        <v>50.0</v>
      </c>
      <c r="Q40" s="960">
        <v>90.0</v>
      </c>
      <c r="R40" s="960">
        <v>216.0</v>
      </c>
      <c r="S40" s="960">
        <v>279.0</v>
      </c>
      <c r="T40" s="960">
        <v>306.0</v>
      </c>
      <c r="U40" s="960">
        <f t="array" ref="U40">HLOOKUP($J40,'Type Chart'!$C$2:$T$20,2,false)*HLOOKUP($K40,'Type Chart'!$C$2:$U$20,2,false)</f>
        <v>1</v>
      </c>
      <c r="V40" s="960">
        <f t="array" ref="V40">HLOOKUP($J40,'Type Chart'!$C$2:$T$20,3,false)*HLOOKUP($K40,'Type Chart'!$C$2:$U$20,3,false)</f>
        <v>1</v>
      </c>
      <c r="W40" s="960">
        <f t="array" ref="W40">HLOOKUP($J40,'Type Chart'!$C$2:$T$20,4,false)*HLOOKUP($K40,'Type Chart'!$C$2:$U$20,4,false)</f>
        <v>0.5</v>
      </c>
      <c r="X40" s="960">
        <f t="array" ref="X40">HLOOKUP($J40,'Type Chart'!$C$2:$T$20,5,false)*HLOOKUP($K40,'Type Chart'!$C$2:$U$20,5,false)</f>
        <v>1</v>
      </c>
      <c r="Y40" s="960">
        <f t="array" ref="Y40">HLOOKUP($J40,'Type Chart'!$C$2:$T$20,6,false)*HLOOKUP($K40,'Type Chart'!$C$2:$U$20,6,false)</f>
        <v>2</v>
      </c>
      <c r="Z40" s="960">
        <f t="array" ref="Z40">HLOOKUP($J40,'Type Chart'!$C$2:$T$20,7,false)*HLOOKUP($K40,'Type Chart'!$C$2:$U$20,7,false)</f>
        <v>1</v>
      </c>
      <c r="AA40" s="960">
        <f t="array" ref="AA40">HLOOKUP($J40,'Type Chart'!$C$2:$T$20,8,false)*HLOOKUP($K40,'Type Chart'!$C$2:$U$20,8,false)</f>
        <v>1</v>
      </c>
      <c r="AB40" s="960">
        <f t="array" ref="AB40">HLOOKUP($J40,'Type Chart'!$C$2:$T$20,9,false)*HLOOKUP($K40,'Type Chart'!$C$2:$U$20,9,false)</f>
        <v>1</v>
      </c>
      <c r="AC40" s="960">
        <f t="array" ref="AC40">HLOOKUP($J40,'Type Chart'!$C$2:$T$20,10,false)*HLOOKUP($K40,'Type Chart'!$C$2:$U$20,10,false)</f>
        <v>0.5</v>
      </c>
      <c r="AD40" s="960">
        <f t="array" ref="AD40">HLOOKUP($J40,'Type Chart'!$C$2:$T$20,11,false)*HLOOKUP($K40,'Type Chart'!$C$2:$U$20,11,false)</f>
        <v>1</v>
      </c>
      <c r="AE40" s="960">
        <f t="array" ref="AE40">HLOOKUP($J40,'Type Chart'!$C$2:$T$20,12,false)*HLOOKUP($K40,'Type Chart'!$C$2:$U$20,12,false)</f>
        <v>1</v>
      </c>
      <c r="AF40" s="960">
        <f t="array" ref="AF40">HLOOKUP($J40,'Type Chart'!$C$2:$T$20,13,false)*HLOOKUP($K40,'Type Chart'!$C$2:$U$20,13,false)</f>
        <v>1</v>
      </c>
      <c r="AG40" s="960">
        <f t="array" ref="AG40">HLOOKUP($J40,'Type Chart'!$C$2:$T$20,14,false)*HLOOKUP($K40,'Type Chart'!$C$2:$U$20,14,false)</f>
        <v>0.5</v>
      </c>
      <c r="AH40" s="960">
        <f t="array" ref="AH40">HLOOKUP($J40,'Type Chart'!$C$2:$T$20,15,false)*HLOOKUP($K40,'Type Chart'!$C$2:$U$20,15,false)</f>
        <v>1</v>
      </c>
      <c r="AI40" s="960">
        <f t="array" ref="AI40">HLOOKUP($J40,'Type Chart'!$C$2:$T$20,16,false)*HLOOKUP($K40,'Type Chart'!$C$2:$U$20,16,false)</f>
        <v>1</v>
      </c>
      <c r="AJ40" s="960">
        <f t="array" ref="AJ40">HLOOKUP($J40,'Type Chart'!$C$2:$T$20,17,false)*HLOOKUP($K40,'Type Chart'!$C$2:$U$20,17,false)</f>
        <v>1</v>
      </c>
      <c r="AK40" s="960">
        <f t="array" ref="AK40">HLOOKUP($J40,'Type Chart'!$C$2:$T$20,18,false)*HLOOKUP($K40,'Type Chart'!$C$2:$U$20,18,false)</f>
        <v>1</v>
      </c>
      <c r="AL40" s="960">
        <f t="array" ref="AL40">HLOOKUP($J40,'Type Chart'!$C$2:$T$20,19,false)*HLOOKUP($K40,'Type Chart'!$C$2:$U$20,19,false)</f>
        <v>1</v>
      </c>
      <c r="AM40" s="1145" t="s">
        <v>1067</v>
      </c>
      <c r="AN40" s="1202"/>
      <c r="AO40" s="1146" t="s">
        <v>1068</v>
      </c>
      <c r="AP40" s="936"/>
      <c r="AQ40" s="967"/>
      <c r="AR40" s="968"/>
      <c r="AS40" s="936"/>
    </row>
    <row r="41" ht="15.75" customHeight="1">
      <c r="A41" s="1099"/>
      <c r="B41" s="948" t="s">
        <v>1086</v>
      </c>
      <c r="C41" s="950" t="s">
        <v>1087</v>
      </c>
      <c r="D41" s="950" t="s">
        <v>1087</v>
      </c>
      <c r="E41" s="952" t="s">
        <v>1087</v>
      </c>
      <c r="F41" s="940"/>
      <c r="G41" s="953"/>
      <c r="H41" s="969"/>
      <c r="I41" s="956" t="s">
        <v>1088</v>
      </c>
      <c r="J41" s="1196" t="s">
        <v>203</v>
      </c>
      <c r="K41" s="984" t="s">
        <v>216</v>
      </c>
      <c r="L41" s="959">
        <v>35.0</v>
      </c>
      <c r="M41" s="960">
        <v>55.0</v>
      </c>
      <c r="N41" s="960">
        <v>40.0</v>
      </c>
      <c r="O41" s="960">
        <v>50.0</v>
      </c>
      <c r="P41" s="960">
        <v>50.0</v>
      </c>
      <c r="Q41" s="960">
        <v>90.0</v>
      </c>
      <c r="R41" s="960">
        <v>216.0</v>
      </c>
      <c r="S41" s="960">
        <v>279.0</v>
      </c>
      <c r="T41" s="960">
        <v>306.0</v>
      </c>
      <c r="U41" s="960">
        <f t="array" ref="U41">HLOOKUP($J41,'Type Chart'!$C$2:$T$20,2,false)*HLOOKUP($K41,'Type Chart'!$C$2:$U$20,2,false)</f>
        <v>1</v>
      </c>
      <c r="V41" s="960">
        <f t="array" ref="V41">HLOOKUP($J41,'Type Chart'!$C$2:$T$20,3,false)*HLOOKUP($K41,'Type Chart'!$C$2:$U$20,3,false)</f>
        <v>1</v>
      </c>
      <c r="W41" s="960">
        <f t="array" ref="W41">HLOOKUP($J41,'Type Chart'!$C$2:$T$20,4,false)*HLOOKUP($K41,'Type Chart'!$C$2:$U$20,4,false)</f>
        <v>0.5</v>
      </c>
      <c r="X41" s="960">
        <f t="array" ref="X41">HLOOKUP($J41,'Type Chart'!$C$2:$T$20,5,false)*HLOOKUP($K41,'Type Chart'!$C$2:$U$20,5,false)</f>
        <v>1</v>
      </c>
      <c r="Y41" s="960">
        <f t="array" ref="Y41">HLOOKUP($J41,'Type Chart'!$C$2:$T$20,6,false)*HLOOKUP($K41,'Type Chart'!$C$2:$U$20,6,false)</f>
        <v>2</v>
      </c>
      <c r="Z41" s="960">
        <f t="array" ref="Z41">HLOOKUP($J41,'Type Chart'!$C$2:$T$20,7,false)*HLOOKUP($K41,'Type Chart'!$C$2:$U$20,7,false)</f>
        <v>1</v>
      </c>
      <c r="AA41" s="960">
        <f t="array" ref="AA41">HLOOKUP($J41,'Type Chart'!$C$2:$T$20,8,false)*HLOOKUP($K41,'Type Chart'!$C$2:$U$20,8,false)</f>
        <v>1</v>
      </c>
      <c r="AB41" s="960">
        <f t="array" ref="AB41">HLOOKUP($J41,'Type Chart'!$C$2:$T$20,9,false)*HLOOKUP($K41,'Type Chart'!$C$2:$U$20,9,false)</f>
        <v>1</v>
      </c>
      <c r="AC41" s="960">
        <f t="array" ref="AC41">HLOOKUP($J41,'Type Chart'!$C$2:$T$20,10,false)*HLOOKUP($K41,'Type Chart'!$C$2:$U$20,10,false)</f>
        <v>0.5</v>
      </c>
      <c r="AD41" s="960">
        <f t="array" ref="AD41">HLOOKUP($J41,'Type Chart'!$C$2:$T$20,11,false)*HLOOKUP($K41,'Type Chart'!$C$2:$U$20,11,false)</f>
        <v>1</v>
      </c>
      <c r="AE41" s="960">
        <f t="array" ref="AE41">HLOOKUP($J41,'Type Chart'!$C$2:$T$20,12,false)*HLOOKUP($K41,'Type Chart'!$C$2:$U$20,12,false)</f>
        <v>1</v>
      </c>
      <c r="AF41" s="960">
        <f t="array" ref="AF41">HLOOKUP($J41,'Type Chart'!$C$2:$T$20,13,false)*HLOOKUP($K41,'Type Chart'!$C$2:$U$20,13,false)</f>
        <v>1</v>
      </c>
      <c r="AG41" s="960">
        <f t="array" ref="AG41">HLOOKUP($J41,'Type Chart'!$C$2:$T$20,14,false)*HLOOKUP($K41,'Type Chart'!$C$2:$U$20,14,false)</f>
        <v>0.5</v>
      </c>
      <c r="AH41" s="960">
        <f t="array" ref="AH41">HLOOKUP($J41,'Type Chart'!$C$2:$T$20,15,false)*HLOOKUP($K41,'Type Chart'!$C$2:$U$20,15,false)</f>
        <v>1</v>
      </c>
      <c r="AI41" s="960">
        <f t="array" ref="AI41">HLOOKUP($J41,'Type Chart'!$C$2:$T$20,16,false)*HLOOKUP($K41,'Type Chart'!$C$2:$U$20,16,false)</f>
        <v>1</v>
      </c>
      <c r="AJ41" s="960">
        <f t="array" ref="AJ41">HLOOKUP($J41,'Type Chart'!$C$2:$T$20,17,false)*HLOOKUP($K41,'Type Chart'!$C$2:$U$20,17,false)</f>
        <v>1</v>
      </c>
      <c r="AK41" s="960">
        <f t="array" ref="AK41">HLOOKUP($J41,'Type Chart'!$C$2:$T$20,18,false)*HLOOKUP($K41,'Type Chart'!$C$2:$U$20,18,false)</f>
        <v>1</v>
      </c>
      <c r="AL41" s="960">
        <f t="array" ref="AL41">HLOOKUP($J41,'Type Chart'!$C$2:$T$20,19,false)*HLOOKUP($K41,'Type Chart'!$C$2:$U$20,19,false)</f>
        <v>1</v>
      </c>
      <c r="AM41" s="1145" t="s">
        <v>1067</v>
      </c>
      <c r="AN41" s="1202"/>
      <c r="AO41" s="1146" t="s">
        <v>1068</v>
      </c>
      <c r="AP41" s="936"/>
      <c r="AQ41" s="967"/>
      <c r="AR41" s="968"/>
      <c r="AS41" s="936"/>
    </row>
    <row r="42" ht="15.75" customHeight="1">
      <c r="A42" s="936"/>
      <c r="B42" s="948" t="s">
        <v>1089</v>
      </c>
      <c r="C42" s="950" t="s">
        <v>1090</v>
      </c>
      <c r="D42" s="950" t="s">
        <v>1091</v>
      </c>
      <c r="E42" s="952" t="s">
        <v>1090</v>
      </c>
      <c r="F42" s="940"/>
      <c r="G42" s="953"/>
      <c r="H42" s="969"/>
      <c r="I42" s="998" t="s">
        <v>1092</v>
      </c>
      <c r="J42" s="1196" t="s">
        <v>203</v>
      </c>
      <c r="K42" s="984" t="s">
        <v>216</v>
      </c>
      <c r="L42" s="959">
        <v>35.0</v>
      </c>
      <c r="M42" s="960">
        <v>55.0</v>
      </c>
      <c r="N42" s="960">
        <v>40.0</v>
      </c>
      <c r="O42" s="960">
        <v>50.0</v>
      </c>
      <c r="P42" s="960">
        <v>50.0</v>
      </c>
      <c r="Q42" s="960">
        <v>90.0</v>
      </c>
      <c r="R42" s="960">
        <v>216.0</v>
      </c>
      <c r="S42" s="960">
        <v>279.0</v>
      </c>
      <c r="T42" s="960">
        <v>306.0</v>
      </c>
      <c r="U42" s="960">
        <f t="array" ref="U42">HLOOKUP($J42,'Type Chart'!$C$2:$T$20,2,false)*HLOOKUP($K42,'Type Chart'!$C$2:$U$20,2,false)</f>
        <v>1</v>
      </c>
      <c r="V42" s="960">
        <f t="array" ref="V42">HLOOKUP($J42,'Type Chart'!$C$2:$T$20,3,false)*HLOOKUP($K42,'Type Chart'!$C$2:$U$20,3,false)</f>
        <v>1</v>
      </c>
      <c r="W42" s="960">
        <f t="array" ref="W42">HLOOKUP($J42,'Type Chart'!$C$2:$T$20,4,false)*HLOOKUP($K42,'Type Chart'!$C$2:$U$20,4,false)</f>
        <v>0.5</v>
      </c>
      <c r="X42" s="960">
        <f t="array" ref="X42">HLOOKUP($J42,'Type Chart'!$C$2:$T$20,5,false)*HLOOKUP($K42,'Type Chart'!$C$2:$U$20,5,false)</f>
        <v>1</v>
      </c>
      <c r="Y42" s="960">
        <f t="array" ref="Y42">HLOOKUP($J42,'Type Chart'!$C$2:$T$20,6,false)*HLOOKUP($K42,'Type Chart'!$C$2:$U$20,6,false)</f>
        <v>2</v>
      </c>
      <c r="Z42" s="960">
        <f t="array" ref="Z42">HLOOKUP($J42,'Type Chart'!$C$2:$T$20,7,false)*HLOOKUP($K42,'Type Chart'!$C$2:$U$20,7,false)</f>
        <v>1</v>
      </c>
      <c r="AA42" s="960">
        <f t="array" ref="AA42">HLOOKUP($J42,'Type Chart'!$C$2:$T$20,8,false)*HLOOKUP($K42,'Type Chart'!$C$2:$U$20,8,false)</f>
        <v>1</v>
      </c>
      <c r="AB42" s="960">
        <f t="array" ref="AB42">HLOOKUP($J42,'Type Chart'!$C$2:$T$20,9,false)*HLOOKUP($K42,'Type Chart'!$C$2:$U$20,9,false)</f>
        <v>1</v>
      </c>
      <c r="AC42" s="960">
        <f t="array" ref="AC42">HLOOKUP($J42,'Type Chart'!$C$2:$T$20,10,false)*HLOOKUP($K42,'Type Chart'!$C$2:$U$20,10,false)</f>
        <v>0.5</v>
      </c>
      <c r="AD42" s="960">
        <f t="array" ref="AD42">HLOOKUP($J42,'Type Chart'!$C$2:$T$20,11,false)*HLOOKUP($K42,'Type Chart'!$C$2:$U$20,11,false)</f>
        <v>1</v>
      </c>
      <c r="AE42" s="960">
        <f t="array" ref="AE42">HLOOKUP($J42,'Type Chart'!$C$2:$T$20,12,false)*HLOOKUP($K42,'Type Chart'!$C$2:$U$20,12,false)</f>
        <v>1</v>
      </c>
      <c r="AF42" s="960">
        <f t="array" ref="AF42">HLOOKUP($J42,'Type Chart'!$C$2:$T$20,13,false)*HLOOKUP($K42,'Type Chart'!$C$2:$U$20,13,false)</f>
        <v>1</v>
      </c>
      <c r="AG42" s="960">
        <f t="array" ref="AG42">HLOOKUP($J42,'Type Chart'!$C$2:$T$20,14,false)*HLOOKUP($K42,'Type Chart'!$C$2:$U$20,14,false)</f>
        <v>0.5</v>
      </c>
      <c r="AH42" s="960">
        <f t="array" ref="AH42">HLOOKUP($J42,'Type Chart'!$C$2:$T$20,15,false)*HLOOKUP($K42,'Type Chart'!$C$2:$U$20,15,false)</f>
        <v>1</v>
      </c>
      <c r="AI42" s="960">
        <f t="array" ref="AI42">HLOOKUP($J42,'Type Chart'!$C$2:$T$20,16,false)*HLOOKUP($K42,'Type Chart'!$C$2:$U$20,16,false)</f>
        <v>1</v>
      </c>
      <c r="AJ42" s="960">
        <f t="array" ref="AJ42">HLOOKUP($J42,'Type Chart'!$C$2:$T$20,17,false)*HLOOKUP($K42,'Type Chart'!$C$2:$U$20,17,false)</f>
        <v>1</v>
      </c>
      <c r="AK42" s="960">
        <f t="array" ref="AK42">HLOOKUP($J42,'Type Chart'!$C$2:$T$20,18,false)*HLOOKUP($K42,'Type Chart'!$C$2:$U$20,18,false)</f>
        <v>1</v>
      </c>
      <c r="AL42" s="960">
        <f t="array" ref="AL42">HLOOKUP($J42,'Type Chart'!$C$2:$T$20,19,false)*HLOOKUP($K42,'Type Chart'!$C$2:$U$20,19,false)</f>
        <v>1</v>
      </c>
      <c r="AM42" s="964" t="s">
        <v>1067</v>
      </c>
      <c r="AN42" s="965"/>
      <c r="AO42" s="966" t="s">
        <v>1068</v>
      </c>
      <c r="AP42" s="936"/>
      <c r="AQ42" s="967"/>
      <c r="AR42" s="968"/>
      <c r="AS42" s="936"/>
    </row>
    <row r="43" ht="15.75" customHeight="1">
      <c r="A43" s="936"/>
      <c r="B43" s="948" t="s">
        <v>1093</v>
      </c>
      <c r="C43" s="950" t="s">
        <v>1094</v>
      </c>
      <c r="D43" s="950" t="s">
        <v>1095</v>
      </c>
      <c r="E43" s="952" t="s">
        <v>1094</v>
      </c>
      <c r="F43" s="940"/>
      <c r="G43" s="953"/>
      <c r="H43" s="969"/>
      <c r="I43" s="998" t="s">
        <v>1096</v>
      </c>
      <c r="J43" s="1196" t="s">
        <v>203</v>
      </c>
      <c r="K43" s="984" t="s">
        <v>216</v>
      </c>
      <c r="L43" s="959">
        <v>35.0</v>
      </c>
      <c r="M43" s="960">
        <v>55.0</v>
      </c>
      <c r="N43" s="960">
        <v>40.0</v>
      </c>
      <c r="O43" s="960">
        <v>50.0</v>
      </c>
      <c r="P43" s="960">
        <v>50.0</v>
      </c>
      <c r="Q43" s="960">
        <v>90.0</v>
      </c>
      <c r="R43" s="960">
        <v>216.0</v>
      </c>
      <c r="S43" s="960">
        <v>279.0</v>
      </c>
      <c r="T43" s="960">
        <v>306.0</v>
      </c>
      <c r="U43" s="960">
        <f t="array" ref="U43">HLOOKUP($J43,'Type Chart'!$C$2:$T$20,2,false)*HLOOKUP($K43,'Type Chart'!$C$2:$U$20,2,false)</f>
        <v>1</v>
      </c>
      <c r="V43" s="960">
        <f t="array" ref="V43">HLOOKUP($J43,'Type Chart'!$C$2:$T$20,3,false)*HLOOKUP($K43,'Type Chart'!$C$2:$U$20,3,false)</f>
        <v>1</v>
      </c>
      <c r="W43" s="960">
        <f t="array" ref="W43">HLOOKUP($J43,'Type Chart'!$C$2:$T$20,4,false)*HLOOKUP($K43,'Type Chart'!$C$2:$U$20,4,false)</f>
        <v>0.5</v>
      </c>
      <c r="X43" s="960">
        <f t="array" ref="X43">HLOOKUP($J43,'Type Chart'!$C$2:$T$20,5,false)*HLOOKUP($K43,'Type Chart'!$C$2:$U$20,5,false)</f>
        <v>1</v>
      </c>
      <c r="Y43" s="960">
        <f t="array" ref="Y43">HLOOKUP($J43,'Type Chart'!$C$2:$T$20,6,false)*HLOOKUP($K43,'Type Chart'!$C$2:$U$20,6,false)</f>
        <v>2</v>
      </c>
      <c r="Z43" s="960">
        <f t="array" ref="Z43">HLOOKUP($J43,'Type Chart'!$C$2:$T$20,7,false)*HLOOKUP($K43,'Type Chart'!$C$2:$U$20,7,false)</f>
        <v>1</v>
      </c>
      <c r="AA43" s="960">
        <f t="array" ref="AA43">HLOOKUP($J43,'Type Chart'!$C$2:$T$20,8,false)*HLOOKUP($K43,'Type Chart'!$C$2:$U$20,8,false)</f>
        <v>1</v>
      </c>
      <c r="AB43" s="960">
        <f t="array" ref="AB43">HLOOKUP($J43,'Type Chart'!$C$2:$T$20,9,false)*HLOOKUP($K43,'Type Chart'!$C$2:$U$20,9,false)</f>
        <v>1</v>
      </c>
      <c r="AC43" s="960">
        <f t="array" ref="AC43">HLOOKUP($J43,'Type Chart'!$C$2:$T$20,10,false)*HLOOKUP($K43,'Type Chart'!$C$2:$U$20,10,false)</f>
        <v>0.5</v>
      </c>
      <c r="AD43" s="960">
        <f t="array" ref="AD43">HLOOKUP($J43,'Type Chart'!$C$2:$T$20,11,false)*HLOOKUP($K43,'Type Chart'!$C$2:$U$20,11,false)</f>
        <v>1</v>
      </c>
      <c r="AE43" s="960">
        <f t="array" ref="AE43">HLOOKUP($J43,'Type Chart'!$C$2:$T$20,12,false)*HLOOKUP($K43,'Type Chart'!$C$2:$U$20,12,false)</f>
        <v>1</v>
      </c>
      <c r="AF43" s="960">
        <f t="array" ref="AF43">HLOOKUP($J43,'Type Chart'!$C$2:$T$20,13,false)*HLOOKUP($K43,'Type Chart'!$C$2:$U$20,13,false)</f>
        <v>1</v>
      </c>
      <c r="AG43" s="960">
        <f t="array" ref="AG43">HLOOKUP($J43,'Type Chart'!$C$2:$T$20,14,false)*HLOOKUP($K43,'Type Chart'!$C$2:$U$20,14,false)</f>
        <v>0.5</v>
      </c>
      <c r="AH43" s="960">
        <f t="array" ref="AH43">HLOOKUP($J43,'Type Chart'!$C$2:$T$20,15,false)*HLOOKUP($K43,'Type Chart'!$C$2:$U$20,15,false)</f>
        <v>1</v>
      </c>
      <c r="AI43" s="960">
        <f t="array" ref="AI43">HLOOKUP($J43,'Type Chart'!$C$2:$T$20,16,false)*HLOOKUP($K43,'Type Chart'!$C$2:$U$20,16,false)</f>
        <v>1</v>
      </c>
      <c r="AJ43" s="960">
        <f t="array" ref="AJ43">HLOOKUP($J43,'Type Chart'!$C$2:$T$20,17,false)*HLOOKUP($K43,'Type Chart'!$C$2:$U$20,17,false)</f>
        <v>1</v>
      </c>
      <c r="AK43" s="960">
        <f t="array" ref="AK43">HLOOKUP($J43,'Type Chart'!$C$2:$T$20,18,false)*HLOOKUP($K43,'Type Chart'!$C$2:$U$20,18,false)</f>
        <v>1</v>
      </c>
      <c r="AL43" s="960">
        <f t="array" ref="AL43">HLOOKUP($J43,'Type Chart'!$C$2:$T$20,19,false)*HLOOKUP($K43,'Type Chart'!$C$2:$U$20,19,false)</f>
        <v>1</v>
      </c>
      <c r="AM43" s="964" t="s">
        <v>1067</v>
      </c>
      <c r="AN43" s="965"/>
      <c r="AO43" s="966" t="s">
        <v>1068</v>
      </c>
      <c r="AP43" s="936"/>
      <c r="AQ43" s="967"/>
      <c r="AR43" s="968"/>
      <c r="AS43" s="936"/>
    </row>
    <row r="44" ht="15.75" customHeight="1">
      <c r="A44" s="1099"/>
      <c r="B44" s="948" t="s">
        <v>1097</v>
      </c>
      <c r="C44" s="1197" t="s">
        <v>1098</v>
      </c>
      <c r="D44" s="1197" t="s">
        <v>1099</v>
      </c>
      <c r="E44" s="1147" t="s">
        <v>1098</v>
      </c>
      <c r="F44" s="940"/>
      <c r="G44" s="953"/>
      <c r="H44" s="969"/>
      <c r="I44" s="998" t="s">
        <v>1100</v>
      </c>
      <c r="J44" s="1198" t="s">
        <v>203</v>
      </c>
      <c r="K44" s="1199" t="s">
        <v>216</v>
      </c>
      <c r="L44" s="1200">
        <v>35.0</v>
      </c>
      <c r="M44" s="1201">
        <v>55.0</v>
      </c>
      <c r="N44" s="1201">
        <v>40.0</v>
      </c>
      <c r="O44" s="1201">
        <v>50.0</v>
      </c>
      <c r="P44" s="1201">
        <v>50.0</v>
      </c>
      <c r="Q44" s="1201">
        <v>90.0</v>
      </c>
      <c r="R44" s="960">
        <v>216.0</v>
      </c>
      <c r="S44" s="960">
        <v>279.0</v>
      </c>
      <c r="T44" s="960">
        <v>306.0</v>
      </c>
      <c r="U44" s="960">
        <f t="array" ref="U44">HLOOKUP($J44,'Type Chart'!$C$2:$T$20,2,false)*HLOOKUP($K44,'Type Chart'!$C$2:$U$20,2,false)</f>
        <v>1</v>
      </c>
      <c r="V44" s="960">
        <f t="array" ref="V44">HLOOKUP($J44,'Type Chart'!$C$2:$T$20,3,false)*HLOOKUP($K44,'Type Chart'!$C$2:$U$20,3,false)</f>
        <v>1</v>
      </c>
      <c r="W44" s="960">
        <f t="array" ref="W44">HLOOKUP($J44,'Type Chart'!$C$2:$T$20,4,false)*HLOOKUP($K44,'Type Chart'!$C$2:$U$20,4,false)</f>
        <v>0.5</v>
      </c>
      <c r="X44" s="960">
        <f t="array" ref="X44">HLOOKUP($J44,'Type Chart'!$C$2:$T$20,5,false)*HLOOKUP($K44,'Type Chart'!$C$2:$U$20,5,false)</f>
        <v>1</v>
      </c>
      <c r="Y44" s="960">
        <f t="array" ref="Y44">HLOOKUP($J44,'Type Chart'!$C$2:$T$20,6,false)*HLOOKUP($K44,'Type Chart'!$C$2:$U$20,6,false)</f>
        <v>2</v>
      </c>
      <c r="Z44" s="960">
        <f t="array" ref="Z44">HLOOKUP($J44,'Type Chart'!$C$2:$T$20,7,false)*HLOOKUP($K44,'Type Chart'!$C$2:$U$20,7,false)</f>
        <v>1</v>
      </c>
      <c r="AA44" s="960">
        <f t="array" ref="AA44">HLOOKUP($J44,'Type Chart'!$C$2:$T$20,8,false)*HLOOKUP($K44,'Type Chart'!$C$2:$U$20,8,false)</f>
        <v>1</v>
      </c>
      <c r="AB44" s="960">
        <f t="array" ref="AB44">HLOOKUP($J44,'Type Chart'!$C$2:$T$20,9,false)*HLOOKUP($K44,'Type Chart'!$C$2:$U$20,9,false)</f>
        <v>1</v>
      </c>
      <c r="AC44" s="960">
        <f t="array" ref="AC44">HLOOKUP($J44,'Type Chart'!$C$2:$T$20,10,false)*HLOOKUP($K44,'Type Chart'!$C$2:$U$20,10,false)</f>
        <v>0.5</v>
      </c>
      <c r="AD44" s="960">
        <f t="array" ref="AD44">HLOOKUP($J44,'Type Chart'!$C$2:$T$20,11,false)*HLOOKUP($K44,'Type Chart'!$C$2:$U$20,11,false)</f>
        <v>1</v>
      </c>
      <c r="AE44" s="960">
        <f t="array" ref="AE44">HLOOKUP($J44,'Type Chart'!$C$2:$T$20,12,false)*HLOOKUP($K44,'Type Chart'!$C$2:$U$20,12,false)</f>
        <v>1</v>
      </c>
      <c r="AF44" s="960">
        <f t="array" ref="AF44">HLOOKUP($J44,'Type Chart'!$C$2:$T$20,13,false)*HLOOKUP($K44,'Type Chart'!$C$2:$U$20,13,false)</f>
        <v>1</v>
      </c>
      <c r="AG44" s="960">
        <f t="array" ref="AG44">HLOOKUP($J44,'Type Chart'!$C$2:$T$20,14,false)*HLOOKUP($K44,'Type Chart'!$C$2:$U$20,14,false)</f>
        <v>0.5</v>
      </c>
      <c r="AH44" s="960">
        <f t="array" ref="AH44">HLOOKUP($J44,'Type Chart'!$C$2:$T$20,15,false)*HLOOKUP($K44,'Type Chart'!$C$2:$U$20,15,false)</f>
        <v>1</v>
      </c>
      <c r="AI44" s="960">
        <f t="array" ref="AI44">HLOOKUP($J44,'Type Chart'!$C$2:$T$20,16,false)*HLOOKUP($K44,'Type Chart'!$C$2:$U$20,16,false)</f>
        <v>1</v>
      </c>
      <c r="AJ44" s="960">
        <f t="array" ref="AJ44">HLOOKUP($J44,'Type Chart'!$C$2:$T$20,17,false)*HLOOKUP($K44,'Type Chart'!$C$2:$U$20,17,false)</f>
        <v>1</v>
      </c>
      <c r="AK44" s="960">
        <f t="array" ref="AK44">HLOOKUP($J44,'Type Chart'!$C$2:$T$20,18,false)*HLOOKUP($K44,'Type Chart'!$C$2:$U$20,18,false)</f>
        <v>1</v>
      </c>
      <c r="AL44" s="960">
        <f t="array" ref="AL44">HLOOKUP($J44,'Type Chart'!$C$2:$T$20,19,false)*HLOOKUP($K44,'Type Chart'!$C$2:$U$20,19,false)</f>
        <v>1</v>
      </c>
      <c r="AM44" s="1145" t="s">
        <v>1067</v>
      </c>
      <c r="AN44" s="965"/>
      <c r="AO44" s="1146" t="s">
        <v>1068</v>
      </c>
      <c r="AP44" s="936"/>
      <c r="AQ44" s="967"/>
      <c r="AR44" s="968"/>
      <c r="AS44" s="936"/>
    </row>
    <row r="45" ht="15.75" customHeight="1">
      <c r="A45" s="936"/>
      <c r="B45" s="948" t="s">
        <v>1101</v>
      </c>
      <c r="C45" s="950" t="s">
        <v>1102</v>
      </c>
      <c r="D45" s="950" t="s">
        <v>1103</v>
      </c>
      <c r="E45" s="952" t="s">
        <v>1102</v>
      </c>
      <c r="F45" s="940"/>
      <c r="G45" s="953"/>
      <c r="H45" s="969"/>
      <c r="I45" s="956" t="s">
        <v>1104</v>
      </c>
      <c r="J45" s="1196" t="s">
        <v>203</v>
      </c>
      <c r="K45" s="984" t="s">
        <v>216</v>
      </c>
      <c r="L45" s="959">
        <v>35.0</v>
      </c>
      <c r="M45" s="960">
        <v>55.0</v>
      </c>
      <c r="N45" s="960">
        <v>40.0</v>
      </c>
      <c r="O45" s="960">
        <v>50.0</v>
      </c>
      <c r="P45" s="960">
        <v>50.0</v>
      </c>
      <c r="Q45" s="960">
        <v>90.0</v>
      </c>
      <c r="R45" s="960">
        <v>216.0</v>
      </c>
      <c r="S45" s="960">
        <v>279.0</v>
      </c>
      <c r="T45" s="960">
        <v>306.0</v>
      </c>
      <c r="U45" s="960">
        <f t="array" ref="U45">HLOOKUP($J45,'Type Chart'!$C$2:$T$20,2,false)*HLOOKUP($K45,'Type Chart'!$C$2:$U$20,2,false)</f>
        <v>1</v>
      </c>
      <c r="V45" s="960">
        <f t="array" ref="V45">HLOOKUP($J45,'Type Chart'!$C$2:$T$20,3,false)*HLOOKUP($K45,'Type Chart'!$C$2:$U$20,3,false)</f>
        <v>1</v>
      </c>
      <c r="W45" s="960">
        <f t="array" ref="W45">HLOOKUP($J45,'Type Chart'!$C$2:$T$20,4,false)*HLOOKUP($K45,'Type Chart'!$C$2:$U$20,4,false)</f>
        <v>0.5</v>
      </c>
      <c r="X45" s="960">
        <f t="array" ref="X45">HLOOKUP($J45,'Type Chart'!$C$2:$T$20,5,false)*HLOOKUP($K45,'Type Chart'!$C$2:$U$20,5,false)</f>
        <v>1</v>
      </c>
      <c r="Y45" s="960">
        <f t="array" ref="Y45">HLOOKUP($J45,'Type Chart'!$C$2:$T$20,6,false)*HLOOKUP($K45,'Type Chart'!$C$2:$U$20,6,false)</f>
        <v>2</v>
      </c>
      <c r="Z45" s="960">
        <f t="array" ref="Z45">HLOOKUP($J45,'Type Chart'!$C$2:$T$20,7,false)*HLOOKUP($K45,'Type Chart'!$C$2:$U$20,7,false)</f>
        <v>1</v>
      </c>
      <c r="AA45" s="960">
        <f t="array" ref="AA45">HLOOKUP($J45,'Type Chart'!$C$2:$T$20,8,false)*HLOOKUP($K45,'Type Chart'!$C$2:$U$20,8,false)</f>
        <v>1</v>
      </c>
      <c r="AB45" s="960">
        <f t="array" ref="AB45">HLOOKUP($J45,'Type Chart'!$C$2:$T$20,9,false)*HLOOKUP($K45,'Type Chart'!$C$2:$U$20,9,false)</f>
        <v>1</v>
      </c>
      <c r="AC45" s="960">
        <f t="array" ref="AC45">HLOOKUP($J45,'Type Chart'!$C$2:$T$20,10,false)*HLOOKUP($K45,'Type Chart'!$C$2:$U$20,10,false)</f>
        <v>0.5</v>
      </c>
      <c r="AD45" s="960">
        <f t="array" ref="AD45">HLOOKUP($J45,'Type Chart'!$C$2:$T$20,11,false)*HLOOKUP($K45,'Type Chart'!$C$2:$U$20,11,false)</f>
        <v>1</v>
      </c>
      <c r="AE45" s="960">
        <f t="array" ref="AE45">HLOOKUP($J45,'Type Chart'!$C$2:$T$20,12,false)*HLOOKUP($K45,'Type Chart'!$C$2:$U$20,12,false)</f>
        <v>1</v>
      </c>
      <c r="AF45" s="960">
        <f t="array" ref="AF45">HLOOKUP($J45,'Type Chart'!$C$2:$T$20,13,false)*HLOOKUP($K45,'Type Chart'!$C$2:$U$20,13,false)</f>
        <v>1</v>
      </c>
      <c r="AG45" s="960">
        <f t="array" ref="AG45">HLOOKUP($J45,'Type Chart'!$C$2:$T$20,14,false)*HLOOKUP($K45,'Type Chart'!$C$2:$U$20,14,false)</f>
        <v>0.5</v>
      </c>
      <c r="AH45" s="960">
        <f t="array" ref="AH45">HLOOKUP($J45,'Type Chart'!$C$2:$T$20,15,false)*HLOOKUP($K45,'Type Chart'!$C$2:$U$20,15,false)</f>
        <v>1</v>
      </c>
      <c r="AI45" s="960">
        <f t="array" ref="AI45">HLOOKUP($J45,'Type Chart'!$C$2:$T$20,16,false)*HLOOKUP($K45,'Type Chart'!$C$2:$U$20,16,false)</f>
        <v>1</v>
      </c>
      <c r="AJ45" s="960">
        <f t="array" ref="AJ45">HLOOKUP($J45,'Type Chart'!$C$2:$T$20,17,false)*HLOOKUP($K45,'Type Chart'!$C$2:$U$20,17,false)</f>
        <v>1</v>
      </c>
      <c r="AK45" s="960">
        <f t="array" ref="AK45">HLOOKUP($J45,'Type Chart'!$C$2:$T$20,18,false)*HLOOKUP($K45,'Type Chart'!$C$2:$U$20,18,false)</f>
        <v>1</v>
      </c>
      <c r="AL45" s="960">
        <f t="array" ref="AL45">HLOOKUP($J45,'Type Chart'!$C$2:$T$20,19,false)*HLOOKUP($K45,'Type Chart'!$C$2:$U$20,19,false)</f>
        <v>1</v>
      </c>
      <c r="AM45" s="964" t="s">
        <v>1067</v>
      </c>
      <c r="AN45" s="965"/>
      <c r="AO45" s="966" t="s">
        <v>1068</v>
      </c>
      <c r="AP45" s="936"/>
      <c r="AQ45" s="967"/>
      <c r="AR45" s="968"/>
      <c r="AS45" s="936"/>
    </row>
    <row r="46" ht="15.75" customHeight="1">
      <c r="A46" s="936"/>
      <c r="B46" s="948" t="s">
        <v>1105</v>
      </c>
      <c r="C46" s="950" t="s">
        <v>1106</v>
      </c>
      <c r="D46" s="950" t="s">
        <v>1107</v>
      </c>
      <c r="E46" s="952" t="s">
        <v>1106</v>
      </c>
      <c r="F46" s="940"/>
      <c r="G46" s="953"/>
      <c r="H46" s="969"/>
      <c r="I46" s="998" t="s">
        <v>1108</v>
      </c>
      <c r="J46" s="1196" t="s">
        <v>203</v>
      </c>
      <c r="K46" s="984" t="s">
        <v>216</v>
      </c>
      <c r="L46" s="959">
        <v>35.0</v>
      </c>
      <c r="M46" s="960">
        <v>55.0</v>
      </c>
      <c r="N46" s="960">
        <v>40.0</v>
      </c>
      <c r="O46" s="960">
        <v>50.0</v>
      </c>
      <c r="P46" s="960">
        <v>50.0</v>
      </c>
      <c r="Q46" s="960">
        <v>90.0</v>
      </c>
      <c r="R46" s="960">
        <v>216.0</v>
      </c>
      <c r="S46" s="960">
        <v>279.0</v>
      </c>
      <c r="T46" s="960">
        <v>306.0</v>
      </c>
      <c r="U46" s="960">
        <f t="array" ref="U46">HLOOKUP($J46,'Type Chart'!$C$2:$T$20,2,false)*HLOOKUP($K46,'Type Chart'!$C$2:$U$20,2,false)</f>
        <v>1</v>
      </c>
      <c r="V46" s="960">
        <f t="array" ref="V46">HLOOKUP($J46,'Type Chart'!$C$2:$T$20,3,false)*HLOOKUP($K46,'Type Chart'!$C$2:$U$20,3,false)</f>
        <v>1</v>
      </c>
      <c r="W46" s="960">
        <f t="array" ref="W46">HLOOKUP($J46,'Type Chart'!$C$2:$T$20,4,false)*HLOOKUP($K46,'Type Chart'!$C$2:$U$20,4,false)</f>
        <v>0.5</v>
      </c>
      <c r="X46" s="960">
        <f t="array" ref="X46">HLOOKUP($J46,'Type Chart'!$C$2:$T$20,5,false)*HLOOKUP($K46,'Type Chart'!$C$2:$U$20,5,false)</f>
        <v>1</v>
      </c>
      <c r="Y46" s="960">
        <f t="array" ref="Y46">HLOOKUP($J46,'Type Chart'!$C$2:$T$20,6,false)*HLOOKUP($K46,'Type Chart'!$C$2:$U$20,6,false)</f>
        <v>2</v>
      </c>
      <c r="Z46" s="960">
        <f t="array" ref="Z46">HLOOKUP($J46,'Type Chart'!$C$2:$T$20,7,false)*HLOOKUP($K46,'Type Chart'!$C$2:$U$20,7,false)</f>
        <v>1</v>
      </c>
      <c r="AA46" s="960">
        <f t="array" ref="AA46">HLOOKUP($J46,'Type Chart'!$C$2:$T$20,8,false)*HLOOKUP($K46,'Type Chart'!$C$2:$U$20,8,false)</f>
        <v>1</v>
      </c>
      <c r="AB46" s="960">
        <f t="array" ref="AB46">HLOOKUP($J46,'Type Chart'!$C$2:$T$20,9,false)*HLOOKUP($K46,'Type Chart'!$C$2:$U$20,9,false)</f>
        <v>1</v>
      </c>
      <c r="AC46" s="960">
        <f t="array" ref="AC46">HLOOKUP($J46,'Type Chart'!$C$2:$T$20,10,false)*HLOOKUP($K46,'Type Chart'!$C$2:$U$20,10,false)</f>
        <v>0.5</v>
      </c>
      <c r="AD46" s="960">
        <f t="array" ref="AD46">HLOOKUP($J46,'Type Chart'!$C$2:$T$20,11,false)*HLOOKUP($K46,'Type Chart'!$C$2:$U$20,11,false)</f>
        <v>1</v>
      </c>
      <c r="AE46" s="960">
        <f t="array" ref="AE46">HLOOKUP($J46,'Type Chart'!$C$2:$T$20,12,false)*HLOOKUP($K46,'Type Chart'!$C$2:$U$20,12,false)</f>
        <v>1</v>
      </c>
      <c r="AF46" s="960">
        <f t="array" ref="AF46">HLOOKUP($J46,'Type Chart'!$C$2:$T$20,13,false)*HLOOKUP($K46,'Type Chart'!$C$2:$U$20,13,false)</f>
        <v>1</v>
      </c>
      <c r="AG46" s="960">
        <f t="array" ref="AG46">HLOOKUP($J46,'Type Chart'!$C$2:$T$20,14,false)*HLOOKUP($K46,'Type Chart'!$C$2:$U$20,14,false)</f>
        <v>0.5</v>
      </c>
      <c r="AH46" s="960">
        <f t="array" ref="AH46">HLOOKUP($J46,'Type Chart'!$C$2:$T$20,15,false)*HLOOKUP($K46,'Type Chart'!$C$2:$U$20,15,false)</f>
        <v>1</v>
      </c>
      <c r="AI46" s="960">
        <f t="array" ref="AI46">HLOOKUP($J46,'Type Chart'!$C$2:$T$20,16,false)*HLOOKUP($K46,'Type Chart'!$C$2:$U$20,16,false)</f>
        <v>1</v>
      </c>
      <c r="AJ46" s="960">
        <f t="array" ref="AJ46">HLOOKUP($J46,'Type Chart'!$C$2:$T$20,17,false)*HLOOKUP($K46,'Type Chart'!$C$2:$U$20,17,false)</f>
        <v>1</v>
      </c>
      <c r="AK46" s="960">
        <f t="array" ref="AK46">HLOOKUP($J46,'Type Chart'!$C$2:$T$20,18,false)*HLOOKUP($K46,'Type Chart'!$C$2:$U$20,18,false)</f>
        <v>1</v>
      </c>
      <c r="AL46" s="960">
        <f t="array" ref="AL46">HLOOKUP($J46,'Type Chart'!$C$2:$T$20,19,false)*HLOOKUP($K46,'Type Chart'!$C$2:$U$20,19,false)</f>
        <v>1</v>
      </c>
      <c r="AM46" s="1145" t="s">
        <v>1067</v>
      </c>
      <c r="AN46" s="965"/>
      <c r="AO46" s="966" t="s">
        <v>1068</v>
      </c>
      <c r="AP46" s="936"/>
      <c r="AQ46" s="967"/>
      <c r="AR46" s="968"/>
      <c r="AS46" s="936"/>
    </row>
    <row r="47" ht="15.75" customHeight="1">
      <c r="A47" s="936"/>
      <c r="B47" s="948" t="s">
        <v>1109</v>
      </c>
      <c r="C47" s="950" t="s">
        <v>1110</v>
      </c>
      <c r="D47" s="950" t="s">
        <v>1111</v>
      </c>
      <c r="E47" s="952" t="s">
        <v>1110</v>
      </c>
      <c r="F47" s="940"/>
      <c r="G47" s="953"/>
      <c r="H47" s="969"/>
      <c r="I47" s="956" t="s">
        <v>1112</v>
      </c>
      <c r="J47" s="1196" t="s">
        <v>203</v>
      </c>
      <c r="K47" s="984" t="s">
        <v>216</v>
      </c>
      <c r="L47" s="959">
        <v>35.0</v>
      </c>
      <c r="M47" s="960">
        <v>55.0</v>
      </c>
      <c r="N47" s="960">
        <v>40.0</v>
      </c>
      <c r="O47" s="960">
        <v>50.0</v>
      </c>
      <c r="P47" s="960">
        <v>50.0</v>
      </c>
      <c r="Q47" s="960">
        <v>90.0</v>
      </c>
      <c r="R47" s="960">
        <v>216.0</v>
      </c>
      <c r="S47" s="960">
        <v>279.0</v>
      </c>
      <c r="T47" s="960">
        <v>306.0</v>
      </c>
      <c r="U47" s="960">
        <f t="array" ref="U47">HLOOKUP($J47,'Type Chart'!$C$2:$T$20,2,false)*HLOOKUP($K47,'Type Chart'!$C$2:$U$20,2,false)</f>
        <v>1</v>
      </c>
      <c r="V47" s="960">
        <f t="array" ref="V47">HLOOKUP($J47,'Type Chart'!$C$2:$T$20,3,false)*HLOOKUP($K47,'Type Chart'!$C$2:$U$20,3,false)</f>
        <v>1</v>
      </c>
      <c r="W47" s="960">
        <f t="array" ref="W47">HLOOKUP($J47,'Type Chart'!$C$2:$T$20,4,false)*HLOOKUP($K47,'Type Chart'!$C$2:$U$20,4,false)</f>
        <v>0.5</v>
      </c>
      <c r="X47" s="960">
        <f t="array" ref="X47">HLOOKUP($J47,'Type Chart'!$C$2:$T$20,5,false)*HLOOKUP($K47,'Type Chart'!$C$2:$U$20,5,false)</f>
        <v>1</v>
      </c>
      <c r="Y47" s="960">
        <f t="array" ref="Y47">HLOOKUP($J47,'Type Chart'!$C$2:$T$20,6,false)*HLOOKUP($K47,'Type Chart'!$C$2:$U$20,6,false)</f>
        <v>2</v>
      </c>
      <c r="Z47" s="960">
        <f t="array" ref="Z47">HLOOKUP($J47,'Type Chart'!$C$2:$T$20,7,false)*HLOOKUP($K47,'Type Chart'!$C$2:$U$20,7,false)</f>
        <v>1</v>
      </c>
      <c r="AA47" s="960">
        <f t="array" ref="AA47">HLOOKUP($J47,'Type Chart'!$C$2:$T$20,8,false)*HLOOKUP($K47,'Type Chart'!$C$2:$U$20,8,false)</f>
        <v>1</v>
      </c>
      <c r="AB47" s="960">
        <f t="array" ref="AB47">HLOOKUP($J47,'Type Chart'!$C$2:$T$20,9,false)*HLOOKUP($K47,'Type Chart'!$C$2:$U$20,9,false)</f>
        <v>1</v>
      </c>
      <c r="AC47" s="960">
        <f t="array" ref="AC47">HLOOKUP($J47,'Type Chart'!$C$2:$T$20,10,false)*HLOOKUP($K47,'Type Chart'!$C$2:$U$20,10,false)</f>
        <v>0.5</v>
      </c>
      <c r="AD47" s="960">
        <f t="array" ref="AD47">HLOOKUP($J47,'Type Chart'!$C$2:$T$20,11,false)*HLOOKUP($K47,'Type Chart'!$C$2:$U$20,11,false)</f>
        <v>1</v>
      </c>
      <c r="AE47" s="960">
        <f t="array" ref="AE47">HLOOKUP($J47,'Type Chart'!$C$2:$T$20,12,false)*HLOOKUP($K47,'Type Chart'!$C$2:$U$20,12,false)</f>
        <v>1</v>
      </c>
      <c r="AF47" s="960">
        <f t="array" ref="AF47">HLOOKUP($J47,'Type Chart'!$C$2:$T$20,13,false)*HLOOKUP($K47,'Type Chart'!$C$2:$U$20,13,false)</f>
        <v>1</v>
      </c>
      <c r="AG47" s="960">
        <f t="array" ref="AG47">HLOOKUP($J47,'Type Chart'!$C$2:$T$20,14,false)*HLOOKUP($K47,'Type Chart'!$C$2:$U$20,14,false)</f>
        <v>0.5</v>
      </c>
      <c r="AH47" s="960">
        <f t="array" ref="AH47">HLOOKUP($J47,'Type Chart'!$C$2:$T$20,15,false)*HLOOKUP($K47,'Type Chart'!$C$2:$U$20,15,false)</f>
        <v>1</v>
      </c>
      <c r="AI47" s="960">
        <f t="array" ref="AI47">HLOOKUP($J47,'Type Chart'!$C$2:$T$20,16,false)*HLOOKUP($K47,'Type Chart'!$C$2:$U$20,16,false)</f>
        <v>1</v>
      </c>
      <c r="AJ47" s="960">
        <f t="array" ref="AJ47">HLOOKUP($J47,'Type Chart'!$C$2:$T$20,17,false)*HLOOKUP($K47,'Type Chart'!$C$2:$U$20,17,false)</f>
        <v>1</v>
      </c>
      <c r="AK47" s="960">
        <f t="array" ref="AK47">HLOOKUP($J47,'Type Chart'!$C$2:$T$20,18,false)*HLOOKUP($K47,'Type Chart'!$C$2:$U$20,18,false)</f>
        <v>1</v>
      </c>
      <c r="AL47" s="960">
        <f t="array" ref="AL47">HLOOKUP($J47,'Type Chart'!$C$2:$T$20,19,false)*HLOOKUP($K47,'Type Chart'!$C$2:$U$20,19,false)</f>
        <v>1</v>
      </c>
      <c r="AM47" s="1145" t="s">
        <v>1067</v>
      </c>
      <c r="AN47" s="965"/>
      <c r="AO47" s="966" t="s">
        <v>1068</v>
      </c>
      <c r="AP47" s="936"/>
      <c r="AQ47" s="967"/>
      <c r="AR47" s="968"/>
      <c r="AS47" s="936"/>
    </row>
    <row r="48" ht="15.75" customHeight="1">
      <c r="A48" s="936"/>
      <c r="B48" s="948" t="s">
        <v>1113</v>
      </c>
      <c r="C48" s="950" t="s">
        <v>1114</v>
      </c>
      <c r="D48" s="950" t="s">
        <v>1115</v>
      </c>
      <c r="E48" s="952" t="s">
        <v>1114</v>
      </c>
      <c r="F48" s="940"/>
      <c r="G48" s="953"/>
      <c r="H48" s="969"/>
      <c r="I48" s="956" t="s">
        <v>1116</v>
      </c>
      <c r="J48" s="1196" t="s">
        <v>203</v>
      </c>
      <c r="K48" s="984" t="s">
        <v>216</v>
      </c>
      <c r="L48" s="959">
        <v>35.0</v>
      </c>
      <c r="M48" s="960">
        <v>55.0</v>
      </c>
      <c r="N48" s="960">
        <v>40.0</v>
      </c>
      <c r="O48" s="960">
        <v>50.0</v>
      </c>
      <c r="P48" s="960">
        <v>50.0</v>
      </c>
      <c r="Q48" s="960">
        <v>90.0</v>
      </c>
      <c r="R48" s="960">
        <v>216.0</v>
      </c>
      <c r="S48" s="960">
        <v>279.0</v>
      </c>
      <c r="T48" s="960">
        <v>306.0</v>
      </c>
      <c r="U48" s="960">
        <f t="array" ref="U48">HLOOKUP($J48,'Type Chart'!$C$2:$T$20,2,false)*HLOOKUP($K48,'Type Chart'!$C$2:$U$20,2,false)</f>
        <v>1</v>
      </c>
      <c r="V48" s="960">
        <f t="array" ref="V48">HLOOKUP($J48,'Type Chart'!$C$2:$T$20,3,false)*HLOOKUP($K48,'Type Chart'!$C$2:$U$20,3,false)</f>
        <v>1</v>
      </c>
      <c r="W48" s="960">
        <f t="array" ref="W48">HLOOKUP($J48,'Type Chart'!$C$2:$T$20,4,false)*HLOOKUP($K48,'Type Chart'!$C$2:$U$20,4,false)</f>
        <v>0.5</v>
      </c>
      <c r="X48" s="960">
        <f t="array" ref="X48">HLOOKUP($J48,'Type Chart'!$C$2:$T$20,5,false)*HLOOKUP($K48,'Type Chart'!$C$2:$U$20,5,false)</f>
        <v>1</v>
      </c>
      <c r="Y48" s="960">
        <f t="array" ref="Y48">HLOOKUP($J48,'Type Chart'!$C$2:$T$20,6,false)*HLOOKUP($K48,'Type Chart'!$C$2:$U$20,6,false)</f>
        <v>2</v>
      </c>
      <c r="Z48" s="960">
        <f t="array" ref="Z48">HLOOKUP($J48,'Type Chart'!$C$2:$T$20,7,false)*HLOOKUP($K48,'Type Chart'!$C$2:$U$20,7,false)</f>
        <v>1</v>
      </c>
      <c r="AA48" s="960">
        <f t="array" ref="AA48">HLOOKUP($J48,'Type Chart'!$C$2:$T$20,8,false)*HLOOKUP($K48,'Type Chart'!$C$2:$U$20,8,false)</f>
        <v>1</v>
      </c>
      <c r="AB48" s="960">
        <f t="array" ref="AB48">HLOOKUP($J48,'Type Chart'!$C$2:$T$20,9,false)*HLOOKUP($K48,'Type Chart'!$C$2:$U$20,9,false)</f>
        <v>1</v>
      </c>
      <c r="AC48" s="960">
        <f t="array" ref="AC48">HLOOKUP($J48,'Type Chart'!$C$2:$T$20,10,false)*HLOOKUP($K48,'Type Chart'!$C$2:$U$20,10,false)</f>
        <v>0.5</v>
      </c>
      <c r="AD48" s="960">
        <f t="array" ref="AD48">HLOOKUP($J48,'Type Chart'!$C$2:$T$20,11,false)*HLOOKUP($K48,'Type Chart'!$C$2:$U$20,11,false)</f>
        <v>1</v>
      </c>
      <c r="AE48" s="960">
        <f t="array" ref="AE48">HLOOKUP($J48,'Type Chart'!$C$2:$T$20,12,false)*HLOOKUP($K48,'Type Chart'!$C$2:$U$20,12,false)</f>
        <v>1</v>
      </c>
      <c r="AF48" s="960">
        <f t="array" ref="AF48">HLOOKUP($J48,'Type Chart'!$C$2:$T$20,13,false)*HLOOKUP($K48,'Type Chart'!$C$2:$U$20,13,false)</f>
        <v>1</v>
      </c>
      <c r="AG48" s="960">
        <f t="array" ref="AG48">HLOOKUP($J48,'Type Chart'!$C$2:$T$20,14,false)*HLOOKUP($K48,'Type Chart'!$C$2:$U$20,14,false)</f>
        <v>0.5</v>
      </c>
      <c r="AH48" s="960">
        <f t="array" ref="AH48">HLOOKUP($J48,'Type Chart'!$C$2:$T$20,15,false)*HLOOKUP($K48,'Type Chart'!$C$2:$U$20,15,false)</f>
        <v>1</v>
      </c>
      <c r="AI48" s="960">
        <f t="array" ref="AI48">HLOOKUP($J48,'Type Chart'!$C$2:$T$20,16,false)*HLOOKUP($K48,'Type Chart'!$C$2:$U$20,16,false)</f>
        <v>1</v>
      </c>
      <c r="AJ48" s="960">
        <f t="array" ref="AJ48">HLOOKUP($J48,'Type Chart'!$C$2:$T$20,17,false)*HLOOKUP($K48,'Type Chart'!$C$2:$U$20,17,false)</f>
        <v>1</v>
      </c>
      <c r="AK48" s="960">
        <f t="array" ref="AK48">HLOOKUP($J48,'Type Chart'!$C$2:$T$20,18,false)*HLOOKUP($K48,'Type Chart'!$C$2:$U$20,18,false)</f>
        <v>1</v>
      </c>
      <c r="AL48" s="960">
        <f t="array" ref="AL48">HLOOKUP($J48,'Type Chart'!$C$2:$T$20,19,false)*HLOOKUP($K48,'Type Chart'!$C$2:$U$20,19,false)</f>
        <v>1</v>
      </c>
      <c r="AM48" s="1145" t="s">
        <v>1067</v>
      </c>
      <c r="AN48" s="965"/>
      <c r="AO48" s="966" t="s">
        <v>1068</v>
      </c>
      <c r="AP48" s="936"/>
      <c r="AQ48" s="967"/>
      <c r="AR48" s="968"/>
      <c r="AS48" s="936"/>
    </row>
    <row r="49" ht="15.75" customHeight="1">
      <c r="A49" s="936"/>
      <c r="B49" s="948" t="s">
        <v>1117</v>
      </c>
      <c r="C49" s="950" t="s">
        <v>1118</v>
      </c>
      <c r="D49" s="950" t="s">
        <v>1118</v>
      </c>
      <c r="E49" s="952" t="s">
        <v>1118</v>
      </c>
      <c r="F49" s="940"/>
      <c r="G49" s="953"/>
      <c r="H49" s="969"/>
      <c r="I49" s="956" t="s">
        <v>1119</v>
      </c>
      <c r="J49" s="1196" t="s">
        <v>203</v>
      </c>
      <c r="K49" s="984" t="s">
        <v>216</v>
      </c>
      <c r="L49" s="959">
        <v>45.0</v>
      </c>
      <c r="M49" s="960">
        <v>80.0</v>
      </c>
      <c r="N49" s="960">
        <v>50.0</v>
      </c>
      <c r="O49" s="960">
        <v>75.0</v>
      </c>
      <c r="P49" s="960">
        <v>60.0</v>
      </c>
      <c r="Q49" s="960">
        <v>120.0</v>
      </c>
      <c r="R49" s="960">
        <v>276.0</v>
      </c>
      <c r="S49" s="960">
        <v>339.0</v>
      </c>
      <c r="T49" s="960">
        <v>372.0</v>
      </c>
      <c r="U49" s="960">
        <f t="array" ref="U49">HLOOKUP($J49,'Type Chart'!$C$2:$T$20,2,false)*HLOOKUP($K49,'Type Chart'!$C$2:$U$20,2,false)</f>
        <v>1</v>
      </c>
      <c r="V49" s="960">
        <f t="array" ref="V49">HLOOKUP($J49,'Type Chart'!$C$2:$T$20,3,false)*HLOOKUP($K49,'Type Chart'!$C$2:$U$20,3,false)</f>
        <v>1</v>
      </c>
      <c r="W49" s="960">
        <f t="array" ref="W49">HLOOKUP($J49,'Type Chart'!$C$2:$T$20,4,false)*HLOOKUP($K49,'Type Chart'!$C$2:$U$20,4,false)</f>
        <v>0.5</v>
      </c>
      <c r="X49" s="960">
        <f t="array" ref="X49">HLOOKUP($J49,'Type Chart'!$C$2:$T$20,5,false)*HLOOKUP($K49,'Type Chart'!$C$2:$U$20,5,false)</f>
        <v>1</v>
      </c>
      <c r="Y49" s="960">
        <f t="array" ref="Y49">HLOOKUP($J49,'Type Chart'!$C$2:$T$20,6,false)*HLOOKUP($K49,'Type Chart'!$C$2:$U$20,6,false)</f>
        <v>2</v>
      </c>
      <c r="Z49" s="960">
        <f t="array" ref="Z49">HLOOKUP($J49,'Type Chart'!$C$2:$T$20,7,false)*HLOOKUP($K49,'Type Chart'!$C$2:$U$20,7,false)</f>
        <v>1</v>
      </c>
      <c r="AA49" s="960">
        <f t="array" ref="AA49">HLOOKUP($J49,'Type Chart'!$C$2:$T$20,8,false)*HLOOKUP($K49,'Type Chart'!$C$2:$U$20,8,false)</f>
        <v>1</v>
      </c>
      <c r="AB49" s="960">
        <f t="array" ref="AB49">HLOOKUP($J49,'Type Chart'!$C$2:$T$20,9,false)*HLOOKUP($K49,'Type Chart'!$C$2:$U$20,9,false)</f>
        <v>1</v>
      </c>
      <c r="AC49" s="960">
        <f t="array" ref="AC49">HLOOKUP($J49,'Type Chart'!$C$2:$T$20,10,false)*HLOOKUP($K49,'Type Chart'!$C$2:$U$20,10,false)</f>
        <v>0.5</v>
      </c>
      <c r="AD49" s="960">
        <f t="array" ref="AD49">HLOOKUP($J49,'Type Chart'!$C$2:$T$20,11,false)*HLOOKUP($K49,'Type Chart'!$C$2:$U$20,11,false)</f>
        <v>1</v>
      </c>
      <c r="AE49" s="960">
        <f t="array" ref="AE49">HLOOKUP($J49,'Type Chart'!$C$2:$T$20,12,false)*HLOOKUP($K49,'Type Chart'!$C$2:$U$20,12,false)</f>
        <v>1</v>
      </c>
      <c r="AF49" s="960">
        <f t="array" ref="AF49">HLOOKUP($J49,'Type Chart'!$C$2:$T$20,13,false)*HLOOKUP($K49,'Type Chart'!$C$2:$U$20,13,false)</f>
        <v>1</v>
      </c>
      <c r="AG49" s="960">
        <f t="array" ref="AG49">HLOOKUP($J49,'Type Chart'!$C$2:$T$20,14,false)*HLOOKUP($K49,'Type Chart'!$C$2:$U$20,14,false)</f>
        <v>0.5</v>
      </c>
      <c r="AH49" s="960">
        <f t="array" ref="AH49">HLOOKUP($J49,'Type Chart'!$C$2:$T$20,15,false)*HLOOKUP($K49,'Type Chart'!$C$2:$U$20,15,false)</f>
        <v>1</v>
      </c>
      <c r="AI49" s="960">
        <f t="array" ref="AI49">HLOOKUP($J49,'Type Chart'!$C$2:$T$20,16,false)*HLOOKUP($K49,'Type Chart'!$C$2:$U$20,16,false)</f>
        <v>1</v>
      </c>
      <c r="AJ49" s="960">
        <f t="array" ref="AJ49">HLOOKUP($J49,'Type Chart'!$C$2:$T$20,17,false)*HLOOKUP($K49,'Type Chart'!$C$2:$U$20,17,false)</f>
        <v>1</v>
      </c>
      <c r="AK49" s="960">
        <f t="array" ref="AK49">HLOOKUP($J49,'Type Chart'!$C$2:$T$20,18,false)*HLOOKUP($K49,'Type Chart'!$C$2:$U$20,18,false)</f>
        <v>1</v>
      </c>
      <c r="AL49" s="960">
        <f t="array" ref="AL49">HLOOKUP($J49,'Type Chart'!$C$2:$T$20,19,false)*HLOOKUP($K49,'Type Chart'!$C$2:$U$20,19,false)</f>
        <v>1</v>
      </c>
      <c r="AM49" s="1145" t="s">
        <v>1067</v>
      </c>
      <c r="AN49" s="965"/>
      <c r="AO49" s="966" t="s">
        <v>1068</v>
      </c>
      <c r="AP49" s="936"/>
      <c r="AQ49" s="967"/>
      <c r="AR49" s="968"/>
      <c r="AS49" s="936"/>
    </row>
    <row r="50" ht="15.75" customHeight="1">
      <c r="A50" s="936"/>
      <c r="B50" s="948" t="s">
        <v>1120</v>
      </c>
      <c r="C50" s="950" t="s">
        <v>1121</v>
      </c>
      <c r="D50" s="950" t="s">
        <v>1121</v>
      </c>
      <c r="E50" s="952" t="s">
        <v>1121</v>
      </c>
      <c r="F50" s="940"/>
      <c r="G50" s="953"/>
      <c r="H50" s="969"/>
      <c r="I50" s="956" t="s">
        <v>679</v>
      </c>
      <c r="J50" s="1196" t="s">
        <v>203</v>
      </c>
      <c r="K50" s="984" t="s">
        <v>216</v>
      </c>
      <c r="L50" s="959">
        <v>60.0</v>
      </c>
      <c r="M50" s="960">
        <v>90.0</v>
      </c>
      <c r="N50" s="960">
        <v>55.0</v>
      </c>
      <c r="O50" s="960">
        <v>90.0</v>
      </c>
      <c r="P50" s="960">
        <v>80.0</v>
      </c>
      <c r="Q50" s="960">
        <v>110.0</v>
      </c>
      <c r="R50" s="960">
        <v>256.0</v>
      </c>
      <c r="S50" s="960">
        <v>319.0</v>
      </c>
      <c r="T50" s="960">
        <v>350.0</v>
      </c>
      <c r="U50" s="960">
        <f t="array" ref="U50">HLOOKUP($J50,'Type Chart'!$C$2:$T$20,2,false)*HLOOKUP($K50,'Type Chart'!$C$2:$U$20,2,false)</f>
        <v>1</v>
      </c>
      <c r="V50" s="960">
        <f t="array" ref="V50">HLOOKUP($J50,'Type Chart'!$C$2:$T$20,3,false)*HLOOKUP($K50,'Type Chart'!$C$2:$U$20,3,false)</f>
        <v>1</v>
      </c>
      <c r="W50" s="960">
        <f t="array" ref="W50">HLOOKUP($J50,'Type Chart'!$C$2:$T$20,4,false)*HLOOKUP($K50,'Type Chart'!$C$2:$U$20,4,false)</f>
        <v>0.5</v>
      </c>
      <c r="X50" s="960">
        <f t="array" ref="X50">HLOOKUP($J50,'Type Chart'!$C$2:$T$20,5,false)*HLOOKUP($K50,'Type Chart'!$C$2:$U$20,5,false)</f>
        <v>1</v>
      </c>
      <c r="Y50" s="960">
        <f t="array" ref="Y50">HLOOKUP($J50,'Type Chart'!$C$2:$T$20,6,false)*HLOOKUP($K50,'Type Chart'!$C$2:$U$20,6,false)</f>
        <v>2</v>
      </c>
      <c r="Z50" s="960">
        <f t="array" ref="Z50">HLOOKUP($J50,'Type Chart'!$C$2:$T$20,7,false)*HLOOKUP($K50,'Type Chart'!$C$2:$U$20,7,false)</f>
        <v>1</v>
      </c>
      <c r="AA50" s="960">
        <f t="array" ref="AA50">HLOOKUP($J50,'Type Chart'!$C$2:$T$20,8,false)*HLOOKUP($K50,'Type Chart'!$C$2:$U$20,8,false)</f>
        <v>1</v>
      </c>
      <c r="AB50" s="960">
        <f t="array" ref="AB50">HLOOKUP($J50,'Type Chart'!$C$2:$T$20,9,false)*HLOOKUP($K50,'Type Chart'!$C$2:$U$20,9,false)</f>
        <v>1</v>
      </c>
      <c r="AC50" s="960">
        <f t="array" ref="AC50">HLOOKUP($J50,'Type Chart'!$C$2:$T$20,10,false)*HLOOKUP($K50,'Type Chart'!$C$2:$U$20,10,false)</f>
        <v>0.5</v>
      </c>
      <c r="AD50" s="960">
        <f t="array" ref="AD50">HLOOKUP($J50,'Type Chart'!$C$2:$T$20,11,false)*HLOOKUP($K50,'Type Chart'!$C$2:$U$20,11,false)</f>
        <v>1</v>
      </c>
      <c r="AE50" s="960">
        <f t="array" ref="AE50">HLOOKUP($J50,'Type Chart'!$C$2:$T$20,12,false)*HLOOKUP($K50,'Type Chart'!$C$2:$U$20,12,false)</f>
        <v>1</v>
      </c>
      <c r="AF50" s="960">
        <f t="array" ref="AF50">HLOOKUP($J50,'Type Chart'!$C$2:$T$20,13,false)*HLOOKUP($K50,'Type Chart'!$C$2:$U$20,13,false)</f>
        <v>1</v>
      </c>
      <c r="AG50" s="960">
        <f t="array" ref="AG50">HLOOKUP($J50,'Type Chart'!$C$2:$T$20,14,false)*HLOOKUP($K50,'Type Chart'!$C$2:$U$20,14,false)</f>
        <v>0.5</v>
      </c>
      <c r="AH50" s="960">
        <f t="array" ref="AH50">HLOOKUP($J50,'Type Chart'!$C$2:$T$20,15,false)*HLOOKUP($K50,'Type Chart'!$C$2:$U$20,15,false)</f>
        <v>1</v>
      </c>
      <c r="AI50" s="960">
        <f t="array" ref="AI50">HLOOKUP($J50,'Type Chart'!$C$2:$T$20,16,false)*HLOOKUP($K50,'Type Chart'!$C$2:$U$20,16,false)</f>
        <v>1</v>
      </c>
      <c r="AJ50" s="960">
        <f t="array" ref="AJ50">HLOOKUP($J50,'Type Chart'!$C$2:$T$20,17,false)*HLOOKUP($K50,'Type Chart'!$C$2:$U$20,17,false)</f>
        <v>1</v>
      </c>
      <c r="AK50" s="960">
        <f t="array" ref="AK50">HLOOKUP($J50,'Type Chart'!$C$2:$T$20,18,false)*HLOOKUP($K50,'Type Chart'!$C$2:$U$20,18,false)</f>
        <v>1</v>
      </c>
      <c r="AL50" s="960">
        <f t="array" ref="AL50">HLOOKUP($J50,'Type Chart'!$C$2:$T$20,19,false)*HLOOKUP($K50,'Type Chart'!$C$2:$U$20,19,false)</f>
        <v>1</v>
      </c>
      <c r="AM50" s="1145" t="s">
        <v>1067</v>
      </c>
      <c r="AN50" s="965"/>
      <c r="AO50" s="966" t="s">
        <v>1068</v>
      </c>
      <c r="AP50" s="936"/>
      <c r="AQ50" s="967"/>
      <c r="AR50" s="968"/>
      <c r="AS50" s="936"/>
    </row>
    <row r="51" ht="15.75" customHeight="1">
      <c r="A51" s="936"/>
      <c r="B51" s="948" t="s">
        <v>1122</v>
      </c>
      <c r="C51" s="950" t="s">
        <v>1123</v>
      </c>
      <c r="D51" s="950" t="s">
        <v>1123</v>
      </c>
      <c r="E51" s="952" t="s">
        <v>1124</v>
      </c>
      <c r="F51" s="940"/>
      <c r="G51" s="953"/>
      <c r="H51" s="969"/>
      <c r="I51" s="956" t="s">
        <v>661</v>
      </c>
      <c r="J51" s="1196" t="s">
        <v>203</v>
      </c>
      <c r="K51" s="1203" t="s">
        <v>344</v>
      </c>
      <c r="L51" s="959">
        <v>60.0</v>
      </c>
      <c r="M51" s="960">
        <v>85.0</v>
      </c>
      <c r="N51" s="960">
        <v>50.0</v>
      </c>
      <c r="O51" s="960">
        <v>95.0</v>
      </c>
      <c r="P51" s="960">
        <v>85.0</v>
      </c>
      <c r="Q51" s="960">
        <v>110.0</v>
      </c>
      <c r="R51" s="960">
        <v>256.0</v>
      </c>
      <c r="S51" s="960">
        <v>319.0</v>
      </c>
      <c r="T51" s="960">
        <v>350.0</v>
      </c>
      <c r="U51" s="960">
        <f t="array" ref="U51">HLOOKUP($J51,'Type Chart'!$C$2:$T$20,2,false)*HLOOKUP($K51,'Type Chart'!$C$2:$U$20,2,false)</f>
        <v>1</v>
      </c>
      <c r="V51" s="960">
        <f t="array" ref="V51">HLOOKUP($J51,'Type Chart'!$C$2:$T$20,3,false)*HLOOKUP($K51,'Type Chart'!$C$2:$U$20,3,false)</f>
        <v>0.5</v>
      </c>
      <c r="W51" s="960">
        <f t="array" ref="W51">HLOOKUP($J51,'Type Chart'!$C$2:$T$20,4,false)*HLOOKUP($K51,'Type Chart'!$C$2:$U$20,4,false)</f>
        <v>0.5</v>
      </c>
      <c r="X51" s="960">
        <f t="array" ref="X51">HLOOKUP($J51,'Type Chart'!$C$2:$T$20,5,false)*HLOOKUP($K51,'Type Chart'!$C$2:$U$20,5,false)</f>
        <v>1</v>
      </c>
      <c r="Y51" s="960">
        <f t="array" ref="Y51">HLOOKUP($J51,'Type Chart'!$C$2:$T$20,6,false)*HLOOKUP($K51,'Type Chart'!$C$2:$U$20,6,false)</f>
        <v>2</v>
      </c>
      <c r="Z51" s="960">
        <f t="array" ref="Z51">HLOOKUP($J51,'Type Chart'!$C$2:$T$20,7,false)*HLOOKUP($K51,'Type Chart'!$C$2:$U$20,7,false)</f>
        <v>1</v>
      </c>
      <c r="AA51" s="960">
        <f t="array" ref="AA51">HLOOKUP($J51,'Type Chart'!$C$2:$T$20,8,false)*HLOOKUP($K51,'Type Chart'!$C$2:$U$20,8,false)</f>
        <v>2</v>
      </c>
      <c r="AB51" s="960">
        <f t="array" ref="AB51">HLOOKUP($J51,'Type Chart'!$C$2:$T$20,9,false)*HLOOKUP($K51,'Type Chart'!$C$2:$U$20,9,false)</f>
        <v>2</v>
      </c>
      <c r="AC51" s="960">
        <f t="array" ref="AC51">HLOOKUP($J51,'Type Chart'!$C$2:$T$20,10,false)*HLOOKUP($K51,'Type Chart'!$C$2:$U$20,10,false)</f>
        <v>0.5</v>
      </c>
      <c r="AD51" s="960">
        <f t="array" ref="AD51">HLOOKUP($J51,'Type Chart'!$C$2:$T$20,11,false)*HLOOKUP($K51,'Type Chart'!$C$2:$U$20,11,false)</f>
        <v>1</v>
      </c>
      <c r="AE51" s="960">
        <f t="array" ref="AE51">HLOOKUP($J51,'Type Chart'!$C$2:$T$20,12,false)*HLOOKUP($K51,'Type Chart'!$C$2:$U$20,12,false)</f>
        <v>1</v>
      </c>
      <c r="AF51" s="960">
        <f t="array" ref="AF51">HLOOKUP($J51,'Type Chart'!$C$2:$T$20,13,false)*HLOOKUP($K51,'Type Chart'!$C$2:$U$20,13,false)</f>
        <v>1</v>
      </c>
      <c r="AG51" s="960">
        <f t="array" ref="AG51">HLOOKUP($J51,'Type Chart'!$C$2:$T$20,14,false)*HLOOKUP($K51,'Type Chart'!$C$2:$U$20,14,false)</f>
        <v>0.5</v>
      </c>
      <c r="AH51" s="960">
        <f t="array" ref="AH51">HLOOKUP($J51,'Type Chart'!$C$2:$T$20,15,false)*HLOOKUP($K51,'Type Chart'!$C$2:$U$20,15,false)</f>
        <v>0.5</v>
      </c>
      <c r="AI51" s="960">
        <f t="array" ref="AI51">HLOOKUP($J51,'Type Chart'!$C$2:$T$20,16,false)*HLOOKUP($K51,'Type Chart'!$C$2:$U$20,16,false)</f>
        <v>1</v>
      </c>
      <c r="AJ51" s="960">
        <f t="array" ref="AJ51">HLOOKUP($J51,'Type Chart'!$C$2:$T$20,17,false)*HLOOKUP($K51,'Type Chart'!$C$2:$U$20,17,false)</f>
        <v>1</v>
      </c>
      <c r="AK51" s="960">
        <f t="array" ref="AK51">HLOOKUP($J51,'Type Chart'!$C$2:$T$20,18,false)*HLOOKUP($K51,'Type Chart'!$C$2:$U$20,18,false)</f>
        <v>2</v>
      </c>
      <c r="AL51" s="960">
        <f t="array" ref="AL51">HLOOKUP($J51,'Type Chart'!$C$2:$T$20,19,false)*HLOOKUP($K51,'Type Chart'!$C$2:$U$20,19,false)</f>
        <v>1</v>
      </c>
      <c r="AM51" s="1145" t="s">
        <v>1125</v>
      </c>
      <c r="AN51" s="965"/>
      <c r="AO51" s="966"/>
      <c r="AP51" s="936"/>
      <c r="AQ51" s="967"/>
      <c r="AR51" s="968"/>
      <c r="AS51" s="936"/>
    </row>
    <row r="52" ht="15.75" customHeight="1">
      <c r="A52" s="936"/>
      <c r="B52" s="948" t="s">
        <v>1126</v>
      </c>
      <c r="C52" s="950" t="s">
        <v>1127</v>
      </c>
      <c r="D52" s="950" t="s">
        <v>1127</v>
      </c>
      <c r="E52" s="952" t="s">
        <v>1127</v>
      </c>
      <c r="F52" s="940"/>
      <c r="G52" s="953"/>
      <c r="H52" s="969"/>
      <c r="I52" s="956" t="s">
        <v>1128</v>
      </c>
      <c r="J52" s="1204" t="s">
        <v>80</v>
      </c>
      <c r="K52" s="984" t="s">
        <v>216</v>
      </c>
      <c r="L52" s="959">
        <v>50.0</v>
      </c>
      <c r="M52" s="960">
        <v>75.0</v>
      </c>
      <c r="N52" s="960">
        <v>85.0</v>
      </c>
      <c r="O52" s="960">
        <v>20.0</v>
      </c>
      <c r="P52" s="960">
        <v>30.0</v>
      </c>
      <c r="Q52" s="960">
        <v>40.0</v>
      </c>
      <c r="R52" s="960">
        <v>116.0</v>
      </c>
      <c r="S52" s="960">
        <v>179.0</v>
      </c>
      <c r="T52" s="960">
        <v>196.0</v>
      </c>
      <c r="U52" s="960">
        <f t="array" ref="U52">HLOOKUP($J52,'Type Chart'!$C$2:$T$20,2,false)*HLOOKUP($K52,'Type Chart'!$C$2:$U$20,2,false)</f>
        <v>1</v>
      </c>
      <c r="V52" s="960">
        <f t="array" ref="V52">HLOOKUP($J52,'Type Chart'!$C$2:$T$20,3,false)*HLOOKUP($K52,'Type Chart'!$C$2:$U$20,3,false)</f>
        <v>1</v>
      </c>
      <c r="W52" s="960">
        <f t="array" ref="W52">HLOOKUP($J52,'Type Chart'!$C$2:$T$20,4,false)*HLOOKUP($K52,'Type Chart'!$C$2:$U$20,4,false)</f>
        <v>1</v>
      </c>
      <c r="X52" s="960">
        <f t="array" ref="X52">HLOOKUP($J52,'Type Chart'!$C$2:$T$20,5,false)*HLOOKUP($K52,'Type Chart'!$C$2:$U$20,5,false)</f>
        <v>0.5</v>
      </c>
      <c r="Y52" s="960">
        <f t="array" ref="Y52">HLOOKUP($J52,'Type Chart'!$C$2:$T$20,6,false)*HLOOKUP($K52,'Type Chart'!$C$2:$U$20,6,false)</f>
        <v>1</v>
      </c>
      <c r="Z52" s="960">
        <f t="array" ref="Z52">HLOOKUP($J52,'Type Chart'!$C$2:$T$20,7,false)*HLOOKUP($K52,'Type Chart'!$C$2:$U$20,7,false)</f>
        <v>0.5</v>
      </c>
      <c r="AA52" s="960">
        <f t="array" ref="AA52">HLOOKUP($J52,'Type Chart'!$C$2:$T$20,8,false)*HLOOKUP($K52,'Type Chart'!$C$2:$U$20,8,false)</f>
        <v>1</v>
      </c>
      <c r="AB52" s="960">
        <f t="array" ref="AB52">HLOOKUP($J52,'Type Chart'!$C$2:$T$20,9,false)*HLOOKUP($K52,'Type Chart'!$C$2:$U$20,9,false)</f>
        <v>1</v>
      </c>
      <c r="AC52" s="960">
        <f t="array" ref="AC52">HLOOKUP($J52,'Type Chart'!$C$2:$T$20,10,false)*HLOOKUP($K52,'Type Chart'!$C$2:$U$20,10,false)</f>
        <v>1</v>
      </c>
      <c r="AD52" s="960">
        <f t="array" ref="AD52">HLOOKUP($J52,'Type Chart'!$C$2:$T$20,11,false)*HLOOKUP($K52,'Type Chart'!$C$2:$U$20,11,false)</f>
        <v>1</v>
      </c>
      <c r="AE52" s="960">
        <f t="array" ref="AE52">HLOOKUP($J52,'Type Chart'!$C$2:$T$20,12,false)*HLOOKUP($K52,'Type Chart'!$C$2:$U$20,12,false)</f>
        <v>2</v>
      </c>
      <c r="AF52" s="960">
        <f t="array" ref="AF52">HLOOKUP($J52,'Type Chart'!$C$2:$T$20,13,false)*HLOOKUP($K52,'Type Chart'!$C$2:$U$20,13,false)</f>
        <v>2</v>
      </c>
      <c r="AG52" s="960">
        <f t="array" ref="AG52">HLOOKUP($J52,'Type Chart'!$C$2:$T$20,14,false)*HLOOKUP($K52,'Type Chart'!$C$2:$U$20,14,false)</f>
        <v>0</v>
      </c>
      <c r="AH52" s="960">
        <f t="array" ref="AH52">HLOOKUP($J52,'Type Chart'!$C$2:$T$20,15,false)*HLOOKUP($K52,'Type Chart'!$C$2:$U$20,15,false)</f>
        <v>1</v>
      </c>
      <c r="AI52" s="960">
        <f t="array" ref="AI52">HLOOKUP($J52,'Type Chart'!$C$2:$T$20,16,false)*HLOOKUP($K52,'Type Chart'!$C$2:$U$20,16,false)</f>
        <v>2</v>
      </c>
      <c r="AJ52" s="960">
        <f t="array" ref="AJ52">HLOOKUP($J52,'Type Chart'!$C$2:$T$20,17,false)*HLOOKUP($K52,'Type Chart'!$C$2:$U$20,17,false)</f>
        <v>1</v>
      </c>
      <c r="AK52" s="960">
        <f t="array" ref="AK52">HLOOKUP($J52,'Type Chart'!$C$2:$T$20,18,false)*HLOOKUP($K52,'Type Chart'!$C$2:$U$20,18,false)</f>
        <v>1</v>
      </c>
      <c r="AL52" s="960">
        <f t="array" ref="AL52">HLOOKUP($J52,'Type Chart'!$C$2:$T$20,19,false)*HLOOKUP($K52,'Type Chart'!$C$2:$U$20,19,false)</f>
        <v>1</v>
      </c>
      <c r="AM52" s="1145" t="s">
        <v>1129</v>
      </c>
      <c r="AN52" s="965"/>
      <c r="AO52" s="966" t="s">
        <v>1130</v>
      </c>
      <c r="AP52" s="936"/>
      <c r="AQ52" s="967"/>
      <c r="AR52" s="968"/>
      <c r="AS52" s="936"/>
    </row>
    <row r="53" ht="15.75" customHeight="1">
      <c r="A53" s="936"/>
      <c r="B53" s="948" t="s">
        <v>1131</v>
      </c>
      <c r="C53" s="950" t="s">
        <v>1132</v>
      </c>
      <c r="D53" s="950" t="s">
        <v>1132</v>
      </c>
      <c r="E53" s="952" t="s">
        <v>1133</v>
      </c>
      <c r="F53" s="940"/>
      <c r="G53" s="953"/>
      <c r="H53" s="969"/>
      <c r="I53" s="956" t="s">
        <v>1134</v>
      </c>
      <c r="J53" s="1205" t="s">
        <v>345</v>
      </c>
      <c r="K53" s="1206" t="s">
        <v>82</v>
      </c>
      <c r="L53" s="959">
        <v>50.0</v>
      </c>
      <c r="M53" s="960">
        <v>75.0</v>
      </c>
      <c r="N53" s="960">
        <v>90.0</v>
      </c>
      <c r="O53" s="960">
        <v>10.0</v>
      </c>
      <c r="P53" s="960">
        <v>35.0</v>
      </c>
      <c r="Q53" s="960">
        <v>40.0</v>
      </c>
      <c r="R53" s="960">
        <v>116.0</v>
      </c>
      <c r="S53" s="960">
        <v>179.0</v>
      </c>
      <c r="T53" s="960">
        <v>196.0</v>
      </c>
      <c r="U53" s="960">
        <f t="array" ref="U53">HLOOKUP($J53,'Type Chart'!$C$2:$T$20,2,false)*HLOOKUP($K53,'Type Chart'!$C$2:$U$20,2,false)</f>
        <v>0.5</v>
      </c>
      <c r="V53" s="960">
        <f t="array" ref="V53">HLOOKUP($J53,'Type Chart'!$C$2:$T$20,3,false)*HLOOKUP($K53,'Type Chart'!$C$2:$U$20,3,false)</f>
        <v>4</v>
      </c>
      <c r="W53" s="960">
        <f t="array" ref="W53">HLOOKUP($J53,'Type Chart'!$C$2:$T$20,4,false)*HLOOKUP($K53,'Type Chart'!$C$2:$U$20,4,false)</f>
        <v>0.5</v>
      </c>
      <c r="X53" s="960">
        <f t="array" ref="X53">HLOOKUP($J53,'Type Chart'!$C$2:$T$20,5,false)*HLOOKUP($K53,'Type Chart'!$C$2:$U$20,5,false)</f>
        <v>0</v>
      </c>
      <c r="Y53" s="960">
        <f t="array" ref="Y53">HLOOKUP($J53,'Type Chart'!$C$2:$T$20,6,false)*HLOOKUP($K53,'Type Chart'!$C$2:$U$20,6,false)</f>
        <v>2</v>
      </c>
      <c r="Z53" s="960">
        <f t="array" ref="Z53">HLOOKUP($J53,'Type Chart'!$C$2:$T$20,7,false)*HLOOKUP($K53,'Type Chart'!$C$2:$U$20,7,false)</f>
        <v>1</v>
      </c>
      <c r="AA53" s="960">
        <f t="array" ref="AA53">HLOOKUP($J53,'Type Chart'!$C$2:$T$20,8,false)*HLOOKUP($K53,'Type Chart'!$C$2:$U$20,8,false)</f>
        <v>0.5</v>
      </c>
      <c r="AB53" s="960">
        <f t="array" ref="AB53">HLOOKUP($J53,'Type Chart'!$C$2:$T$20,9,false)*HLOOKUP($K53,'Type Chart'!$C$2:$U$20,9,false)</f>
        <v>1</v>
      </c>
      <c r="AC53" s="960">
        <f t="array" ref="AC53">HLOOKUP($J53,'Type Chart'!$C$2:$T$20,10,false)*HLOOKUP($K53,'Type Chart'!$C$2:$U$20,10,false)</f>
        <v>1</v>
      </c>
      <c r="AD53" s="960">
        <f t="array" ref="AD53">HLOOKUP($J53,'Type Chart'!$C$2:$T$20,11,false)*HLOOKUP($K53,'Type Chart'!$C$2:$U$20,11,false)</f>
        <v>4</v>
      </c>
      <c r="AE53" s="960">
        <f t="array" ref="AE53">HLOOKUP($J53,'Type Chart'!$C$2:$T$20,12,false)*HLOOKUP($K53,'Type Chart'!$C$2:$U$20,12,false)</f>
        <v>1</v>
      </c>
      <c r="AF53" s="960">
        <f t="array" ref="AF53">HLOOKUP($J53,'Type Chart'!$C$2:$T$20,13,false)*HLOOKUP($K53,'Type Chart'!$C$2:$U$20,13,false)</f>
        <v>0.5</v>
      </c>
      <c r="AG53" s="960">
        <f t="array" ref="AG53">HLOOKUP($J53,'Type Chart'!$C$2:$T$20,14,false)*HLOOKUP($K53,'Type Chart'!$C$2:$U$20,14,false)</f>
        <v>1</v>
      </c>
      <c r="AH53" s="960">
        <f t="array" ref="AH53">HLOOKUP($J53,'Type Chart'!$C$2:$T$20,15,false)*HLOOKUP($K53,'Type Chart'!$C$2:$U$20,15,false)</f>
        <v>0.5</v>
      </c>
      <c r="AI53" s="960">
        <f t="array" ref="AI53">HLOOKUP($J53,'Type Chart'!$C$2:$T$20,16,false)*HLOOKUP($K53,'Type Chart'!$C$2:$U$20,16,false)</f>
        <v>0.25</v>
      </c>
      <c r="AJ53" s="960">
        <f t="array" ref="AJ53">HLOOKUP($J53,'Type Chart'!$C$2:$T$20,17,false)*HLOOKUP($K53,'Type Chart'!$C$2:$U$20,17,false)</f>
        <v>0.5</v>
      </c>
      <c r="AK53" s="960">
        <f t="array" ref="AK53">HLOOKUP($J53,'Type Chart'!$C$2:$T$20,18,false)*HLOOKUP($K53,'Type Chart'!$C$2:$U$20,18,false)</f>
        <v>1</v>
      </c>
      <c r="AL53" s="960">
        <f t="array" ref="AL53">HLOOKUP($J53,'Type Chart'!$C$2:$T$20,19,false)*HLOOKUP($K53,'Type Chart'!$C$2:$U$20,19,false)</f>
        <v>0.5</v>
      </c>
      <c r="AM53" s="1145" t="s">
        <v>1135</v>
      </c>
      <c r="AN53" s="965"/>
      <c r="AO53" s="966" t="s">
        <v>1136</v>
      </c>
      <c r="AP53" s="936"/>
      <c r="AQ53" s="967"/>
      <c r="AR53" s="968"/>
      <c r="AS53" s="936"/>
    </row>
    <row r="54" ht="15.75" customHeight="1">
      <c r="A54" s="936"/>
      <c r="B54" s="948" t="s">
        <v>1137</v>
      </c>
      <c r="C54" s="950" t="s">
        <v>1138</v>
      </c>
      <c r="D54" s="950" t="s">
        <v>1138</v>
      </c>
      <c r="E54" s="952" t="s">
        <v>1138</v>
      </c>
      <c r="F54" s="940"/>
      <c r="G54" s="953"/>
      <c r="H54" s="969"/>
      <c r="I54" s="956" t="s">
        <v>781</v>
      </c>
      <c r="J54" s="1204" t="s">
        <v>80</v>
      </c>
      <c r="K54" s="984" t="s">
        <v>216</v>
      </c>
      <c r="L54" s="959">
        <v>75.0</v>
      </c>
      <c r="M54" s="960">
        <v>100.0</v>
      </c>
      <c r="N54" s="960">
        <v>110.0</v>
      </c>
      <c r="O54" s="960">
        <v>45.0</v>
      </c>
      <c r="P54" s="960">
        <v>55.0</v>
      </c>
      <c r="Q54" s="960">
        <v>65.0</v>
      </c>
      <c r="R54" s="960">
        <v>166.0</v>
      </c>
      <c r="S54" s="960">
        <v>229.0</v>
      </c>
      <c r="T54" s="960">
        <v>251.0</v>
      </c>
      <c r="U54" s="960">
        <f t="array" ref="U54">HLOOKUP($J54,'Type Chart'!$C$2:$T$20,2,false)*HLOOKUP($K54,'Type Chart'!$C$2:$U$20,2,false)</f>
        <v>1</v>
      </c>
      <c r="V54" s="960">
        <f t="array" ref="V54">HLOOKUP($J54,'Type Chart'!$C$2:$T$20,3,false)*HLOOKUP($K54,'Type Chart'!$C$2:$U$20,3,false)</f>
        <v>1</v>
      </c>
      <c r="W54" s="960">
        <f t="array" ref="W54">HLOOKUP($J54,'Type Chart'!$C$2:$T$20,4,false)*HLOOKUP($K54,'Type Chart'!$C$2:$U$20,4,false)</f>
        <v>1</v>
      </c>
      <c r="X54" s="960">
        <f t="array" ref="X54">HLOOKUP($J54,'Type Chart'!$C$2:$T$20,5,false)*HLOOKUP($K54,'Type Chart'!$C$2:$U$20,5,false)</f>
        <v>0.5</v>
      </c>
      <c r="Y54" s="960">
        <f t="array" ref="Y54">HLOOKUP($J54,'Type Chart'!$C$2:$T$20,6,false)*HLOOKUP($K54,'Type Chart'!$C$2:$U$20,6,false)</f>
        <v>1</v>
      </c>
      <c r="Z54" s="960">
        <f t="array" ref="Z54">HLOOKUP($J54,'Type Chart'!$C$2:$T$20,7,false)*HLOOKUP($K54,'Type Chart'!$C$2:$U$20,7,false)</f>
        <v>0.5</v>
      </c>
      <c r="AA54" s="960">
        <f t="array" ref="AA54">HLOOKUP($J54,'Type Chart'!$C$2:$T$20,8,false)*HLOOKUP($K54,'Type Chart'!$C$2:$U$20,8,false)</f>
        <v>1</v>
      </c>
      <c r="AB54" s="960">
        <f t="array" ref="AB54">HLOOKUP($J54,'Type Chart'!$C$2:$T$20,9,false)*HLOOKUP($K54,'Type Chart'!$C$2:$U$20,9,false)</f>
        <v>1</v>
      </c>
      <c r="AC54" s="960">
        <f t="array" ref="AC54">HLOOKUP($J54,'Type Chart'!$C$2:$T$20,10,false)*HLOOKUP($K54,'Type Chart'!$C$2:$U$20,10,false)</f>
        <v>1</v>
      </c>
      <c r="AD54" s="960">
        <f t="array" ref="AD54">HLOOKUP($J54,'Type Chart'!$C$2:$T$20,11,false)*HLOOKUP($K54,'Type Chart'!$C$2:$U$20,11,false)</f>
        <v>1</v>
      </c>
      <c r="AE54" s="960">
        <f t="array" ref="AE54">HLOOKUP($J54,'Type Chart'!$C$2:$T$20,12,false)*HLOOKUP($K54,'Type Chart'!$C$2:$U$20,12,false)</f>
        <v>2</v>
      </c>
      <c r="AF54" s="960">
        <f t="array" ref="AF54">HLOOKUP($J54,'Type Chart'!$C$2:$T$20,13,false)*HLOOKUP($K54,'Type Chart'!$C$2:$U$20,13,false)</f>
        <v>2</v>
      </c>
      <c r="AG54" s="960">
        <f t="array" ref="AG54">HLOOKUP($J54,'Type Chart'!$C$2:$T$20,14,false)*HLOOKUP($K54,'Type Chart'!$C$2:$U$20,14,false)</f>
        <v>0</v>
      </c>
      <c r="AH54" s="960">
        <f t="array" ref="AH54">HLOOKUP($J54,'Type Chart'!$C$2:$T$20,15,false)*HLOOKUP($K54,'Type Chart'!$C$2:$U$20,15,false)</f>
        <v>1</v>
      </c>
      <c r="AI54" s="960">
        <f t="array" ref="AI54">HLOOKUP($J54,'Type Chart'!$C$2:$T$20,16,false)*HLOOKUP($K54,'Type Chart'!$C$2:$U$20,16,false)</f>
        <v>2</v>
      </c>
      <c r="AJ54" s="960">
        <f t="array" ref="AJ54">HLOOKUP($J54,'Type Chart'!$C$2:$T$20,17,false)*HLOOKUP($K54,'Type Chart'!$C$2:$U$20,17,false)</f>
        <v>1</v>
      </c>
      <c r="AK54" s="960">
        <f t="array" ref="AK54">HLOOKUP($J54,'Type Chart'!$C$2:$T$20,18,false)*HLOOKUP($K54,'Type Chart'!$C$2:$U$20,18,false)</f>
        <v>1</v>
      </c>
      <c r="AL54" s="960">
        <f t="array" ref="AL54">HLOOKUP($J54,'Type Chart'!$C$2:$T$20,19,false)*HLOOKUP($K54,'Type Chart'!$C$2:$U$20,19,false)</f>
        <v>1</v>
      </c>
      <c r="AM54" s="1145" t="s">
        <v>1129</v>
      </c>
      <c r="AN54" s="965"/>
      <c r="AO54" s="966" t="s">
        <v>1130</v>
      </c>
      <c r="AP54" s="936"/>
      <c r="AQ54" s="967"/>
      <c r="AR54" s="968"/>
      <c r="AS54" s="936"/>
    </row>
    <row r="55" ht="15.75" customHeight="1">
      <c r="A55" s="936"/>
      <c r="B55" s="948" t="s">
        <v>1139</v>
      </c>
      <c r="C55" s="950" t="s">
        <v>1140</v>
      </c>
      <c r="D55" s="950" t="s">
        <v>1140</v>
      </c>
      <c r="E55" s="952" t="s">
        <v>1141</v>
      </c>
      <c r="F55" s="940"/>
      <c r="G55" s="953"/>
      <c r="H55" s="969"/>
      <c r="I55" s="956" t="s">
        <v>726</v>
      </c>
      <c r="J55" s="1205" t="s">
        <v>345</v>
      </c>
      <c r="K55" s="1206" t="s">
        <v>82</v>
      </c>
      <c r="L55" s="959">
        <v>75.0</v>
      </c>
      <c r="M55" s="960">
        <v>100.0</v>
      </c>
      <c r="N55" s="960">
        <v>120.0</v>
      </c>
      <c r="O55" s="960">
        <v>25.0</v>
      </c>
      <c r="P55" s="960">
        <v>65.0</v>
      </c>
      <c r="Q55" s="960">
        <v>65.0</v>
      </c>
      <c r="R55" s="960">
        <v>166.0</v>
      </c>
      <c r="S55" s="960">
        <v>229.0</v>
      </c>
      <c r="T55" s="960">
        <v>251.0</v>
      </c>
      <c r="U55" s="960">
        <f t="array" ref="U55">HLOOKUP($J55,'Type Chart'!$C$2:$T$20,2,false)*HLOOKUP($K55,'Type Chart'!$C$2:$U$20,2,false)</f>
        <v>0.5</v>
      </c>
      <c r="V55" s="960">
        <f t="array" ref="V55">HLOOKUP($J55,'Type Chart'!$C$2:$T$20,3,false)*HLOOKUP($K55,'Type Chart'!$C$2:$U$20,3,false)</f>
        <v>4</v>
      </c>
      <c r="W55" s="960">
        <f t="array" ref="W55">HLOOKUP($J55,'Type Chart'!$C$2:$T$20,4,false)*HLOOKUP($K55,'Type Chart'!$C$2:$U$20,4,false)</f>
        <v>0.5</v>
      </c>
      <c r="X55" s="960">
        <f t="array" ref="X55">HLOOKUP($J55,'Type Chart'!$C$2:$T$20,5,false)*HLOOKUP($K55,'Type Chart'!$C$2:$U$20,5,false)</f>
        <v>0</v>
      </c>
      <c r="Y55" s="960">
        <f t="array" ref="Y55">HLOOKUP($J55,'Type Chart'!$C$2:$T$20,6,false)*HLOOKUP($K55,'Type Chart'!$C$2:$U$20,6,false)</f>
        <v>2</v>
      </c>
      <c r="Z55" s="960">
        <f t="array" ref="Z55">HLOOKUP($J55,'Type Chart'!$C$2:$T$20,7,false)*HLOOKUP($K55,'Type Chart'!$C$2:$U$20,7,false)</f>
        <v>1</v>
      </c>
      <c r="AA55" s="960">
        <f t="array" ref="AA55">HLOOKUP($J55,'Type Chart'!$C$2:$T$20,8,false)*HLOOKUP($K55,'Type Chart'!$C$2:$U$20,8,false)</f>
        <v>0.5</v>
      </c>
      <c r="AB55" s="960">
        <f t="array" ref="AB55">HLOOKUP($J55,'Type Chart'!$C$2:$T$20,9,false)*HLOOKUP($K55,'Type Chart'!$C$2:$U$20,9,false)</f>
        <v>1</v>
      </c>
      <c r="AC55" s="960">
        <f t="array" ref="AC55">HLOOKUP($J55,'Type Chart'!$C$2:$T$20,10,false)*HLOOKUP($K55,'Type Chart'!$C$2:$U$20,10,false)</f>
        <v>1</v>
      </c>
      <c r="AD55" s="960">
        <f t="array" ref="AD55">HLOOKUP($J55,'Type Chart'!$C$2:$T$20,11,false)*HLOOKUP($K55,'Type Chart'!$C$2:$U$20,11,false)</f>
        <v>4</v>
      </c>
      <c r="AE55" s="960">
        <f t="array" ref="AE55">HLOOKUP($J55,'Type Chart'!$C$2:$T$20,12,false)*HLOOKUP($K55,'Type Chart'!$C$2:$U$20,12,false)</f>
        <v>1</v>
      </c>
      <c r="AF55" s="960">
        <f t="array" ref="AF55">HLOOKUP($J55,'Type Chart'!$C$2:$T$20,13,false)*HLOOKUP($K55,'Type Chart'!$C$2:$U$20,13,false)</f>
        <v>0.5</v>
      </c>
      <c r="AG55" s="960">
        <f t="array" ref="AG55">HLOOKUP($J55,'Type Chart'!$C$2:$T$20,14,false)*HLOOKUP($K55,'Type Chart'!$C$2:$U$20,14,false)</f>
        <v>1</v>
      </c>
      <c r="AH55" s="960">
        <f t="array" ref="AH55">HLOOKUP($J55,'Type Chart'!$C$2:$T$20,15,false)*HLOOKUP($K55,'Type Chart'!$C$2:$U$20,15,false)</f>
        <v>0.5</v>
      </c>
      <c r="AI55" s="960">
        <f t="array" ref="AI55">HLOOKUP($J55,'Type Chart'!$C$2:$T$20,16,false)*HLOOKUP($K55,'Type Chart'!$C$2:$U$20,16,false)</f>
        <v>0.25</v>
      </c>
      <c r="AJ55" s="960">
        <f t="array" ref="AJ55">HLOOKUP($J55,'Type Chart'!$C$2:$T$20,17,false)*HLOOKUP($K55,'Type Chart'!$C$2:$U$20,17,false)</f>
        <v>0.5</v>
      </c>
      <c r="AK55" s="960">
        <f t="array" ref="AK55">HLOOKUP($J55,'Type Chart'!$C$2:$T$20,18,false)*HLOOKUP($K55,'Type Chart'!$C$2:$U$20,18,false)</f>
        <v>1</v>
      </c>
      <c r="AL55" s="960">
        <f t="array" ref="AL55">HLOOKUP($J55,'Type Chart'!$C$2:$T$20,19,false)*HLOOKUP($K55,'Type Chart'!$C$2:$U$20,19,false)</f>
        <v>0.5</v>
      </c>
      <c r="AM55" s="1145" t="s">
        <v>1135</v>
      </c>
      <c r="AN55" s="965"/>
      <c r="AO55" s="966" t="s">
        <v>1136</v>
      </c>
      <c r="AP55" s="936"/>
      <c r="AQ55" s="967"/>
      <c r="AR55" s="968"/>
      <c r="AS55" s="936"/>
    </row>
    <row r="56" ht="15.75" customHeight="1">
      <c r="A56" s="936"/>
      <c r="B56" s="948" t="s">
        <v>1142</v>
      </c>
      <c r="C56" s="950" t="s">
        <v>1143</v>
      </c>
      <c r="D56" s="950" t="s">
        <v>1144</v>
      </c>
      <c r="E56" s="952" t="s">
        <v>1143</v>
      </c>
      <c r="F56" s="940"/>
      <c r="G56" s="953"/>
      <c r="H56" s="969"/>
      <c r="I56" s="956" t="s">
        <v>1145</v>
      </c>
      <c r="J56" s="958" t="s">
        <v>178</v>
      </c>
      <c r="K56" s="984" t="s">
        <v>216</v>
      </c>
      <c r="L56" s="959">
        <v>55.0</v>
      </c>
      <c r="M56" s="960">
        <v>47.0</v>
      </c>
      <c r="N56" s="960">
        <v>52.0</v>
      </c>
      <c r="O56" s="960">
        <v>40.0</v>
      </c>
      <c r="P56" s="960">
        <v>40.0</v>
      </c>
      <c r="Q56" s="960">
        <v>41.0</v>
      </c>
      <c r="R56" s="960">
        <v>118.0</v>
      </c>
      <c r="S56" s="960">
        <v>181.0</v>
      </c>
      <c r="T56" s="960">
        <v>199.0</v>
      </c>
      <c r="U56" s="960">
        <f t="array" ref="U56">HLOOKUP($J56,'Type Chart'!$C$2:$T$20,2,false)*HLOOKUP($K56,'Type Chart'!$C$2:$U$20,2,false)</f>
        <v>1</v>
      </c>
      <c r="V56" s="960">
        <f t="array" ref="V56">HLOOKUP($J56,'Type Chart'!$C$2:$T$20,3,false)*HLOOKUP($K56,'Type Chart'!$C$2:$U$20,3,false)</f>
        <v>0.5</v>
      </c>
      <c r="W56" s="960">
        <f t="array" ref="W56">HLOOKUP($J56,'Type Chart'!$C$2:$T$20,4,false)*HLOOKUP($K56,'Type Chart'!$C$2:$U$20,4,false)</f>
        <v>1</v>
      </c>
      <c r="X56" s="960">
        <f t="array" ref="X56">HLOOKUP($J56,'Type Chart'!$C$2:$T$20,5,false)*HLOOKUP($K56,'Type Chart'!$C$2:$U$20,5,false)</f>
        <v>0.5</v>
      </c>
      <c r="Y56" s="960">
        <f t="array" ref="Y56">HLOOKUP($J56,'Type Chart'!$C$2:$T$20,6,false)*HLOOKUP($K56,'Type Chart'!$C$2:$U$20,6,false)</f>
        <v>2</v>
      </c>
      <c r="Z56" s="960">
        <f t="array" ref="Z56">HLOOKUP($J56,'Type Chart'!$C$2:$T$20,7,false)*HLOOKUP($K56,'Type Chart'!$C$2:$U$20,7,false)</f>
        <v>1</v>
      </c>
      <c r="AA56" s="960">
        <f t="array" ref="AA56">HLOOKUP($J56,'Type Chart'!$C$2:$T$20,8,false)*HLOOKUP($K56,'Type Chart'!$C$2:$U$20,8,false)</f>
        <v>0.5</v>
      </c>
      <c r="AB56" s="960">
        <f t="array" ref="AB56">HLOOKUP($J56,'Type Chart'!$C$2:$T$20,9,false)*HLOOKUP($K56,'Type Chart'!$C$2:$U$20,9,false)</f>
        <v>1</v>
      </c>
      <c r="AC56" s="960">
        <f t="array" ref="AC56">HLOOKUP($J56,'Type Chart'!$C$2:$T$20,10,false)*HLOOKUP($K56,'Type Chart'!$C$2:$U$20,10,false)</f>
        <v>1</v>
      </c>
      <c r="AD56" s="960">
        <f t="array" ref="AD56">HLOOKUP($J56,'Type Chart'!$C$2:$T$20,11,false)*HLOOKUP($K56,'Type Chart'!$C$2:$U$20,11,false)</f>
        <v>1</v>
      </c>
      <c r="AE56" s="960">
        <f t="array" ref="AE56">HLOOKUP($J56,'Type Chart'!$C$2:$T$20,12,false)*HLOOKUP($K56,'Type Chart'!$C$2:$U$20,12,false)</f>
        <v>1</v>
      </c>
      <c r="AF56" s="960">
        <f t="array" ref="AF56">HLOOKUP($J56,'Type Chart'!$C$2:$T$20,13,false)*HLOOKUP($K56,'Type Chart'!$C$2:$U$20,13,false)</f>
        <v>0.5</v>
      </c>
      <c r="AG56" s="960">
        <f t="array" ref="AG56">HLOOKUP($J56,'Type Chart'!$C$2:$T$20,14,false)*HLOOKUP($K56,'Type Chart'!$C$2:$U$20,14,false)</f>
        <v>1</v>
      </c>
      <c r="AH56" s="960">
        <f t="array" ref="AH56">HLOOKUP($J56,'Type Chart'!$C$2:$T$20,15,false)*HLOOKUP($K56,'Type Chart'!$C$2:$U$20,15,false)</f>
        <v>2</v>
      </c>
      <c r="AI56" s="960">
        <f t="array" ref="AI56">HLOOKUP($J56,'Type Chart'!$C$2:$T$20,16,false)*HLOOKUP($K56,'Type Chart'!$C$2:$U$20,16,false)</f>
        <v>1</v>
      </c>
      <c r="AJ56" s="960">
        <f t="array" ref="AJ56">HLOOKUP($J56,'Type Chart'!$C$2:$T$20,17,false)*HLOOKUP($K56,'Type Chart'!$C$2:$U$20,17,false)</f>
        <v>1</v>
      </c>
      <c r="AK56" s="960">
        <f t="array" ref="AK56">HLOOKUP($J56,'Type Chart'!$C$2:$T$20,18,false)*HLOOKUP($K56,'Type Chart'!$C$2:$U$20,18,false)</f>
        <v>1</v>
      </c>
      <c r="AL56" s="960">
        <f t="array" ref="AL56">HLOOKUP($J56,'Type Chart'!$C$2:$T$20,19,false)*HLOOKUP($K56,'Type Chart'!$C$2:$U$20,19,false)</f>
        <v>0.5</v>
      </c>
      <c r="AM56" s="1145" t="s">
        <v>1146</v>
      </c>
      <c r="AN56" s="965" t="s">
        <v>1147</v>
      </c>
      <c r="AO56" s="966" t="s">
        <v>1039</v>
      </c>
      <c r="AP56" s="936"/>
      <c r="AQ56" s="967"/>
      <c r="AR56" s="968"/>
      <c r="AS56" s="936"/>
    </row>
    <row r="57" ht="15.75" customHeight="1">
      <c r="A57" s="936"/>
      <c r="B57" s="948" t="s">
        <v>1148</v>
      </c>
      <c r="C57" s="950" t="s">
        <v>1149</v>
      </c>
      <c r="D57" s="950" t="s">
        <v>1149</v>
      </c>
      <c r="E57" s="952" t="s">
        <v>1149</v>
      </c>
      <c r="F57" s="940"/>
      <c r="G57" s="953"/>
      <c r="H57" s="969"/>
      <c r="I57" s="956" t="s">
        <v>1150</v>
      </c>
      <c r="J57" s="958" t="s">
        <v>178</v>
      </c>
      <c r="K57" s="984" t="s">
        <v>216</v>
      </c>
      <c r="L57" s="959">
        <v>70.0</v>
      </c>
      <c r="M57" s="960">
        <v>62.0</v>
      </c>
      <c r="N57" s="960">
        <v>67.0</v>
      </c>
      <c r="O57" s="960">
        <v>55.0</v>
      </c>
      <c r="P57" s="960">
        <v>55.0</v>
      </c>
      <c r="Q57" s="960">
        <v>56.0</v>
      </c>
      <c r="R57" s="960">
        <v>148.0</v>
      </c>
      <c r="S57" s="960">
        <v>211.0</v>
      </c>
      <c r="T57" s="960">
        <v>232.0</v>
      </c>
      <c r="U57" s="960">
        <f t="array" ref="U57">HLOOKUP($J57,'Type Chart'!$C$2:$T$20,2,false)*HLOOKUP($K57,'Type Chart'!$C$2:$U$20,2,false)</f>
        <v>1</v>
      </c>
      <c r="V57" s="960">
        <f t="array" ref="V57">HLOOKUP($J57,'Type Chart'!$C$2:$T$20,3,false)*HLOOKUP($K57,'Type Chart'!$C$2:$U$20,3,false)</f>
        <v>0.5</v>
      </c>
      <c r="W57" s="960">
        <f t="array" ref="W57">HLOOKUP($J57,'Type Chart'!$C$2:$T$20,4,false)*HLOOKUP($K57,'Type Chart'!$C$2:$U$20,4,false)</f>
        <v>1</v>
      </c>
      <c r="X57" s="960">
        <f t="array" ref="X57">HLOOKUP($J57,'Type Chart'!$C$2:$T$20,5,false)*HLOOKUP($K57,'Type Chart'!$C$2:$U$20,5,false)</f>
        <v>0.5</v>
      </c>
      <c r="Y57" s="960">
        <f t="array" ref="Y57">HLOOKUP($J57,'Type Chart'!$C$2:$T$20,6,false)*HLOOKUP($K57,'Type Chart'!$C$2:$U$20,6,false)</f>
        <v>2</v>
      </c>
      <c r="Z57" s="960">
        <f t="array" ref="Z57">HLOOKUP($J57,'Type Chart'!$C$2:$T$20,7,false)*HLOOKUP($K57,'Type Chart'!$C$2:$U$20,7,false)</f>
        <v>1</v>
      </c>
      <c r="AA57" s="960">
        <f t="array" ref="AA57">HLOOKUP($J57,'Type Chart'!$C$2:$T$20,8,false)*HLOOKUP($K57,'Type Chart'!$C$2:$U$20,8,false)</f>
        <v>0.5</v>
      </c>
      <c r="AB57" s="960">
        <f t="array" ref="AB57">HLOOKUP($J57,'Type Chart'!$C$2:$T$20,9,false)*HLOOKUP($K57,'Type Chart'!$C$2:$U$20,9,false)</f>
        <v>1</v>
      </c>
      <c r="AC57" s="960">
        <f t="array" ref="AC57">HLOOKUP($J57,'Type Chart'!$C$2:$T$20,10,false)*HLOOKUP($K57,'Type Chart'!$C$2:$U$20,10,false)</f>
        <v>1</v>
      </c>
      <c r="AD57" s="960">
        <f t="array" ref="AD57">HLOOKUP($J57,'Type Chart'!$C$2:$T$20,11,false)*HLOOKUP($K57,'Type Chart'!$C$2:$U$20,11,false)</f>
        <v>1</v>
      </c>
      <c r="AE57" s="960">
        <f t="array" ref="AE57">HLOOKUP($J57,'Type Chart'!$C$2:$T$20,12,false)*HLOOKUP($K57,'Type Chart'!$C$2:$U$20,12,false)</f>
        <v>1</v>
      </c>
      <c r="AF57" s="960">
        <f t="array" ref="AF57">HLOOKUP($J57,'Type Chart'!$C$2:$T$20,13,false)*HLOOKUP($K57,'Type Chart'!$C$2:$U$20,13,false)</f>
        <v>0.5</v>
      </c>
      <c r="AG57" s="960">
        <f t="array" ref="AG57">HLOOKUP($J57,'Type Chart'!$C$2:$T$20,14,false)*HLOOKUP($K57,'Type Chart'!$C$2:$U$20,14,false)</f>
        <v>1</v>
      </c>
      <c r="AH57" s="960">
        <f t="array" ref="AH57">HLOOKUP($J57,'Type Chart'!$C$2:$T$20,15,false)*HLOOKUP($K57,'Type Chart'!$C$2:$U$20,15,false)</f>
        <v>2</v>
      </c>
      <c r="AI57" s="960">
        <f t="array" ref="AI57">HLOOKUP($J57,'Type Chart'!$C$2:$T$20,16,false)*HLOOKUP($K57,'Type Chart'!$C$2:$U$20,16,false)</f>
        <v>1</v>
      </c>
      <c r="AJ57" s="960">
        <f t="array" ref="AJ57">HLOOKUP($J57,'Type Chart'!$C$2:$T$20,17,false)*HLOOKUP($K57,'Type Chart'!$C$2:$U$20,17,false)</f>
        <v>1</v>
      </c>
      <c r="AK57" s="960">
        <f t="array" ref="AK57">HLOOKUP($J57,'Type Chart'!$C$2:$T$20,18,false)*HLOOKUP($K57,'Type Chart'!$C$2:$U$20,18,false)</f>
        <v>1</v>
      </c>
      <c r="AL57" s="960">
        <f t="array" ref="AL57">HLOOKUP($J57,'Type Chart'!$C$2:$T$20,19,false)*HLOOKUP($K57,'Type Chart'!$C$2:$U$20,19,false)</f>
        <v>0.5</v>
      </c>
      <c r="AM57" s="1145" t="s">
        <v>1146</v>
      </c>
      <c r="AN57" s="965" t="s">
        <v>1147</v>
      </c>
      <c r="AO57" s="966" t="s">
        <v>1039</v>
      </c>
      <c r="AP57" s="936"/>
      <c r="AQ57" s="967"/>
      <c r="AR57" s="968"/>
      <c r="AS57" s="936"/>
    </row>
    <row r="58" ht="15.75" customHeight="1">
      <c r="A58" s="936"/>
      <c r="B58" s="948" t="s">
        <v>1151</v>
      </c>
      <c r="C58" s="950" t="s">
        <v>1152</v>
      </c>
      <c r="D58" s="950" t="s">
        <v>1152</v>
      </c>
      <c r="E58" s="952" t="s">
        <v>1152</v>
      </c>
      <c r="F58" s="940"/>
      <c r="G58" s="953"/>
      <c r="H58" s="969"/>
      <c r="I58" s="956" t="s">
        <v>992</v>
      </c>
      <c r="J58" s="958" t="s">
        <v>178</v>
      </c>
      <c r="K58" s="1204" t="s">
        <v>80</v>
      </c>
      <c r="L58" s="959">
        <v>90.0</v>
      </c>
      <c r="M58" s="960">
        <v>92.0</v>
      </c>
      <c r="N58" s="960">
        <v>87.0</v>
      </c>
      <c r="O58" s="960">
        <v>75.0</v>
      </c>
      <c r="P58" s="960">
        <v>85.0</v>
      </c>
      <c r="Q58" s="960">
        <v>76.0</v>
      </c>
      <c r="R58" s="960">
        <v>188.0</v>
      </c>
      <c r="S58" s="960">
        <v>251.0</v>
      </c>
      <c r="T58" s="960">
        <v>276.0</v>
      </c>
      <c r="U58" s="960">
        <f t="array" ref="U58">HLOOKUP($J58,'Type Chart'!$C$2:$T$20,2,false)*HLOOKUP($K58,'Type Chart'!$C$2:$U$20,2,false)</f>
        <v>1</v>
      </c>
      <c r="V58" s="960">
        <f t="array" ref="V58">HLOOKUP($J58,'Type Chart'!$C$2:$T$20,3,false)*HLOOKUP($K58,'Type Chart'!$C$2:$U$20,3,false)</f>
        <v>0.5</v>
      </c>
      <c r="W58" s="960">
        <f t="array" ref="W58">HLOOKUP($J58,'Type Chart'!$C$2:$T$20,4,false)*HLOOKUP($K58,'Type Chart'!$C$2:$U$20,4,false)</f>
        <v>1</v>
      </c>
      <c r="X58" s="960">
        <f t="array" ref="X58">HLOOKUP($J58,'Type Chart'!$C$2:$T$20,5,false)*HLOOKUP($K58,'Type Chart'!$C$2:$U$20,5,false)</f>
        <v>0.25</v>
      </c>
      <c r="Y58" s="960">
        <f t="array" ref="Y58">HLOOKUP($J58,'Type Chart'!$C$2:$T$20,6,false)*HLOOKUP($K58,'Type Chart'!$C$2:$U$20,6,false)</f>
        <v>2</v>
      </c>
      <c r="Z58" s="960">
        <f t="array" ref="Z58">HLOOKUP($J58,'Type Chart'!$C$2:$T$20,7,false)*HLOOKUP($K58,'Type Chart'!$C$2:$U$20,7,false)</f>
        <v>0.5</v>
      </c>
      <c r="AA58" s="960">
        <f t="array" ref="AA58">HLOOKUP($J58,'Type Chart'!$C$2:$T$20,8,false)*HLOOKUP($K58,'Type Chart'!$C$2:$U$20,8,false)</f>
        <v>0.5</v>
      </c>
      <c r="AB58" s="960">
        <f t="array" ref="AB58">HLOOKUP($J58,'Type Chart'!$C$2:$T$20,9,false)*HLOOKUP($K58,'Type Chart'!$C$2:$U$20,9,false)</f>
        <v>1</v>
      </c>
      <c r="AC58" s="960">
        <f t="array" ref="AC58">HLOOKUP($J58,'Type Chart'!$C$2:$T$20,10,false)*HLOOKUP($K58,'Type Chart'!$C$2:$U$20,10,false)</f>
        <v>1</v>
      </c>
      <c r="AD58" s="960">
        <f t="array" ref="AD58">HLOOKUP($J58,'Type Chart'!$C$2:$T$20,11,false)*HLOOKUP($K58,'Type Chart'!$C$2:$U$20,11,false)</f>
        <v>1</v>
      </c>
      <c r="AE58" s="960">
        <f t="array" ref="AE58">HLOOKUP($J58,'Type Chart'!$C$2:$T$20,12,false)*HLOOKUP($K58,'Type Chart'!$C$2:$U$20,12,false)</f>
        <v>2</v>
      </c>
      <c r="AF58" s="960">
        <f t="array" ref="AF58">HLOOKUP($J58,'Type Chart'!$C$2:$T$20,13,false)*HLOOKUP($K58,'Type Chart'!$C$2:$U$20,13,false)</f>
        <v>1</v>
      </c>
      <c r="AG58" s="960">
        <f t="array" ref="AG58">HLOOKUP($J58,'Type Chart'!$C$2:$T$20,14,false)*HLOOKUP($K58,'Type Chart'!$C$2:$U$20,14,false)</f>
        <v>0</v>
      </c>
      <c r="AH58" s="960">
        <f t="array" ref="AH58">HLOOKUP($J58,'Type Chart'!$C$2:$T$20,15,false)*HLOOKUP($K58,'Type Chart'!$C$2:$U$20,15,false)</f>
        <v>2</v>
      </c>
      <c r="AI58" s="960">
        <f t="array" ref="AI58">HLOOKUP($J58,'Type Chart'!$C$2:$T$20,16,false)*HLOOKUP($K58,'Type Chart'!$C$2:$U$20,16,false)</f>
        <v>2</v>
      </c>
      <c r="AJ58" s="960">
        <f t="array" ref="AJ58">HLOOKUP($J58,'Type Chart'!$C$2:$T$20,17,false)*HLOOKUP($K58,'Type Chart'!$C$2:$U$20,17,false)</f>
        <v>1</v>
      </c>
      <c r="AK58" s="960">
        <f t="array" ref="AK58">HLOOKUP($J58,'Type Chart'!$C$2:$T$20,18,false)*HLOOKUP($K58,'Type Chart'!$C$2:$U$20,18,false)</f>
        <v>1</v>
      </c>
      <c r="AL58" s="960">
        <f t="array" ref="AL58">HLOOKUP($J58,'Type Chart'!$C$2:$T$20,19,false)*HLOOKUP($K58,'Type Chart'!$C$2:$U$20,19,false)</f>
        <v>0.5</v>
      </c>
      <c r="AM58" s="1145" t="s">
        <v>1146</v>
      </c>
      <c r="AN58" s="965" t="s">
        <v>1147</v>
      </c>
      <c r="AO58" s="966" t="s">
        <v>1153</v>
      </c>
      <c r="AP58" s="936"/>
      <c r="AQ58" s="967"/>
      <c r="AR58" s="968"/>
      <c r="AS58" s="936"/>
    </row>
    <row r="59" ht="15.75" customHeight="1">
      <c r="A59" s="936"/>
      <c r="B59" s="948" t="s">
        <v>1154</v>
      </c>
      <c r="C59" s="950" t="s">
        <v>1155</v>
      </c>
      <c r="D59" s="950" t="s">
        <v>1156</v>
      </c>
      <c r="E59" s="952" t="s">
        <v>1155</v>
      </c>
      <c r="F59" s="940"/>
      <c r="G59" s="953"/>
      <c r="H59" s="969"/>
      <c r="I59" s="956" t="s">
        <v>1157</v>
      </c>
      <c r="J59" s="958" t="s">
        <v>178</v>
      </c>
      <c r="K59" s="984" t="s">
        <v>216</v>
      </c>
      <c r="L59" s="959">
        <v>46.0</v>
      </c>
      <c r="M59" s="960">
        <v>57.0</v>
      </c>
      <c r="N59" s="960">
        <v>40.0</v>
      </c>
      <c r="O59" s="960">
        <v>40.0</v>
      </c>
      <c r="P59" s="960">
        <v>40.0</v>
      </c>
      <c r="Q59" s="960">
        <v>50.0</v>
      </c>
      <c r="R59" s="960">
        <v>136.0</v>
      </c>
      <c r="S59" s="960">
        <v>199.0</v>
      </c>
      <c r="T59" s="960">
        <v>218.0</v>
      </c>
      <c r="U59" s="960">
        <f t="array" ref="U59">HLOOKUP($J59,'Type Chart'!$C$2:$T$20,2,false)*HLOOKUP($K59,'Type Chart'!$C$2:$U$20,2,false)</f>
        <v>1</v>
      </c>
      <c r="V59" s="960">
        <f t="array" ref="V59">HLOOKUP($J59,'Type Chart'!$C$2:$T$20,3,false)*HLOOKUP($K59,'Type Chart'!$C$2:$U$20,3,false)</f>
        <v>0.5</v>
      </c>
      <c r="W59" s="960">
        <f t="array" ref="W59">HLOOKUP($J59,'Type Chart'!$C$2:$T$20,4,false)*HLOOKUP($K59,'Type Chart'!$C$2:$U$20,4,false)</f>
        <v>1</v>
      </c>
      <c r="X59" s="960">
        <f t="array" ref="X59">HLOOKUP($J59,'Type Chart'!$C$2:$T$20,5,false)*HLOOKUP($K59,'Type Chart'!$C$2:$U$20,5,false)</f>
        <v>0.5</v>
      </c>
      <c r="Y59" s="960">
        <f t="array" ref="Y59">HLOOKUP($J59,'Type Chart'!$C$2:$T$20,6,false)*HLOOKUP($K59,'Type Chart'!$C$2:$U$20,6,false)</f>
        <v>2</v>
      </c>
      <c r="Z59" s="960">
        <f t="array" ref="Z59">HLOOKUP($J59,'Type Chart'!$C$2:$T$20,7,false)*HLOOKUP($K59,'Type Chart'!$C$2:$U$20,7,false)</f>
        <v>1</v>
      </c>
      <c r="AA59" s="960">
        <f t="array" ref="AA59">HLOOKUP($J59,'Type Chart'!$C$2:$T$20,8,false)*HLOOKUP($K59,'Type Chart'!$C$2:$U$20,8,false)</f>
        <v>0.5</v>
      </c>
      <c r="AB59" s="960">
        <f t="array" ref="AB59">HLOOKUP($J59,'Type Chart'!$C$2:$T$20,9,false)*HLOOKUP($K59,'Type Chart'!$C$2:$U$20,9,false)</f>
        <v>1</v>
      </c>
      <c r="AC59" s="960">
        <f t="array" ref="AC59">HLOOKUP($J59,'Type Chart'!$C$2:$T$20,10,false)*HLOOKUP($K59,'Type Chart'!$C$2:$U$20,10,false)</f>
        <v>1</v>
      </c>
      <c r="AD59" s="960">
        <f t="array" ref="AD59">HLOOKUP($J59,'Type Chart'!$C$2:$T$20,11,false)*HLOOKUP($K59,'Type Chart'!$C$2:$U$20,11,false)</f>
        <v>1</v>
      </c>
      <c r="AE59" s="960">
        <f t="array" ref="AE59">HLOOKUP($J59,'Type Chart'!$C$2:$T$20,12,false)*HLOOKUP($K59,'Type Chart'!$C$2:$U$20,12,false)</f>
        <v>1</v>
      </c>
      <c r="AF59" s="960">
        <f t="array" ref="AF59">HLOOKUP($J59,'Type Chart'!$C$2:$T$20,13,false)*HLOOKUP($K59,'Type Chart'!$C$2:$U$20,13,false)</f>
        <v>0.5</v>
      </c>
      <c r="AG59" s="960">
        <f t="array" ref="AG59">HLOOKUP($J59,'Type Chart'!$C$2:$T$20,14,false)*HLOOKUP($K59,'Type Chart'!$C$2:$U$20,14,false)</f>
        <v>1</v>
      </c>
      <c r="AH59" s="960">
        <f t="array" ref="AH59">HLOOKUP($J59,'Type Chart'!$C$2:$T$20,15,false)*HLOOKUP($K59,'Type Chart'!$C$2:$U$20,15,false)</f>
        <v>2</v>
      </c>
      <c r="AI59" s="960">
        <f t="array" ref="AI59">HLOOKUP($J59,'Type Chart'!$C$2:$T$20,16,false)*HLOOKUP($K59,'Type Chart'!$C$2:$U$20,16,false)</f>
        <v>1</v>
      </c>
      <c r="AJ59" s="960">
        <f t="array" ref="AJ59">HLOOKUP($J59,'Type Chart'!$C$2:$T$20,17,false)*HLOOKUP($K59,'Type Chart'!$C$2:$U$20,17,false)</f>
        <v>1</v>
      </c>
      <c r="AK59" s="960">
        <f t="array" ref="AK59">HLOOKUP($J59,'Type Chart'!$C$2:$T$20,18,false)*HLOOKUP($K59,'Type Chart'!$C$2:$U$20,18,false)</f>
        <v>1</v>
      </c>
      <c r="AL59" s="960">
        <f t="array" ref="AL59">HLOOKUP($J59,'Type Chart'!$C$2:$T$20,19,false)*HLOOKUP($K59,'Type Chart'!$C$2:$U$20,19,false)</f>
        <v>0.5</v>
      </c>
      <c r="AM59" s="1145" t="s">
        <v>1146</v>
      </c>
      <c r="AN59" s="965" t="s">
        <v>1147</v>
      </c>
      <c r="AO59" s="966" t="s">
        <v>1039</v>
      </c>
      <c r="AP59" s="936"/>
      <c r="AQ59" s="967"/>
      <c r="AR59" s="968"/>
      <c r="AS59" s="936"/>
    </row>
    <row r="60" ht="15.75" customHeight="1">
      <c r="A60" s="936"/>
      <c r="B60" s="948" t="s">
        <v>1158</v>
      </c>
      <c r="C60" s="950" t="s">
        <v>1159</v>
      </c>
      <c r="D60" s="950" t="s">
        <v>1159</v>
      </c>
      <c r="E60" s="952" t="s">
        <v>1159</v>
      </c>
      <c r="F60" s="940"/>
      <c r="G60" s="953"/>
      <c r="H60" s="969"/>
      <c r="I60" s="956" t="s">
        <v>1160</v>
      </c>
      <c r="J60" s="958" t="s">
        <v>178</v>
      </c>
      <c r="K60" s="984" t="s">
        <v>216</v>
      </c>
      <c r="L60" s="959">
        <v>61.0</v>
      </c>
      <c r="M60" s="960">
        <v>72.0</v>
      </c>
      <c r="N60" s="960">
        <v>57.0</v>
      </c>
      <c r="O60" s="960">
        <v>55.0</v>
      </c>
      <c r="P60" s="960">
        <v>55.0</v>
      </c>
      <c r="Q60" s="960">
        <v>65.0</v>
      </c>
      <c r="R60" s="960">
        <v>166.0</v>
      </c>
      <c r="S60" s="960">
        <v>229.0</v>
      </c>
      <c r="T60" s="960">
        <v>251.0</v>
      </c>
      <c r="U60" s="960">
        <f t="array" ref="U60">HLOOKUP($J60,'Type Chart'!$C$2:$T$20,2,false)*HLOOKUP($K60,'Type Chart'!$C$2:$U$20,2,false)</f>
        <v>1</v>
      </c>
      <c r="V60" s="960">
        <f t="array" ref="V60">HLOOKUP($J60,'Type Chart'!$C$2:$T$20,3,false)*HLOOKUP($K60,'Type Chart'!$C$2:$U$20,3,false)</f>
        <v>0.5</v>
      </c>
      <c r="W60" s="960">
        <f t="array" ref="W60">HLOOKUP($J60,'Type Chart'!$C$2:$T$20,4,false)*HLOOKUP($K60,'Type Chart'!$C$2:$U$20,4,false)</f>
        <v>1</v>
      </c>
      <c r="X60" s="960">
        <f t="array" ref="X60">HLOOKUP($J60,'Type Chart'!$C$2:$T$20,5,false)*HLOOKUP($K60,'Type Chart'!$C$2:$U$20,5,false)</f>
        <v>0.5</v>
      </c>
      <c r="Y60" s="960">
        <f t="array" ref="Y60">HLOOKUP($J60,'Type Chart'!$C$2:$T$20,6,false)*HLOOKUP($K60,'Type Chart'!$C$2:$U$20,6,false)</f>
        <v>2</v>
      </c>
      <c r="Z60" s="960">
        <f t="array" ref="Z60">HLOOKUP($J60,'Type Chart'!$C$2:$T$20,7,false)*HLOOKUP($K60,'Type Chart'!$C$2:$U$20,7,false)</f>
        <v>1</v>
      </c>
      <c r="AA60" s="960">
        <f t="array" ref="AA60">HLOOKUP($J60,'Type Chart'!$C$2:$T$20,8,false)*HLOOKUP($K60,'Type Chart'!$C$2:$U$20,8,false)</f>
        <v>0.5</v>
      </c>
      <c r="AB60" s="960">
        <f t="array" ref="AB60">HLOOKUP($J60,'Type Chart'!$C$2:$T$20,9,false)*HLOOKUP($K60,'Type Chart'!$C$2:$U$20,9,false)</f>
        <v>1</v>
      </c>
      <c r="AC60" s="960">
        <f t="array" ref="AC60">HLOOKUP($J60,'Type Chart'!$C$2:$T$20,10,false)*HLOOKUP($K60,'Type Chart'!$C$2:$U$20,10,false)</f>
        <v>1</v>
      </c>
      <c r="AD60" s="960">
        <f t="array" ref="AD60">HLOOKUP($J60,'Type Chart'!$C$2:$T$20,11,false)*HLOOKUP($K60,'Type Chart'!$C$2:$U$20,11,false)</f>
        <v>1</v>
      </c>
      <c r="AE60" s="960">
        <f t="array" ref="AE60">HLOOKUP($J60,'Type Chart'!$C$2:$T$20,12,false)*HLOOKUP($K60,'Type Chart'!$C$2:$U$20,12,false)</f>
        <v>1</v>
      </c>
      <c r="AF60" s="960">
        <f t="array" ref="AF60">HLOOKUP($J60,'Type Chart'!$C$2:$T$20,13,false)*HLOOKUP($K60,'Type Chart'!$C$2:$U$20,13,false)</f>
        <v>0.5</v>
      </c>
      <c r="AG60" s="960">
        <f t="array" ref="AG60">HLOOKUP($J60,'Type Chart'!$C$2:$T$20,14,false)*HLOOKUP($K60,'Type Chart'!$C$2:$U$20,14,false)</f>
        <v>1</v>
      </c>
      <c r="AH60" s="960">
        <f t="array" ref="AH60">HLOOKUP($J60,'Type Chart'!$C$2:$T$20,15,false)*HLOOKUP($K60,'Type Chart'!$C$2:$U$20,15,false)</f>
        <v>2</v>
      </c>
      <c r="AI60" s="960">
        <f t="array" ref="AI60">HLOOKUP($J60,'Type Chart'!$C$2:$T$20,16,false)*HLOOKUP($K60,'Type Chart'!$C$2:$U$20,16,false)</f>
        <v>1</v>
      </c>
      <c r="AJ60" s="960">
        <f t="array" ref="AJ60">HLOOKUP($J60,'Type Chart'!$C$2:$T$20,17,false)*HLOOKUP($K60,'Type Chart'!$C$2:$U$20,17,false)</f>
        <v>1</v>
      </c>
      <c r="AK60" s="960">
        <f t="array" ref="AK60">HLOOKUP($J60,'Type Chart'!$C$2:$T$20,18,false)*HLOOKUP($K60,'Type Chart'!$C$2:$U$20,18,false)</f>
        <v>1</v>
      </c>
      <c r="AL60" s="960">
        <f t="array" ref="AL60">HLOOKUP($J60,'Type Chart'!$C$2:$T$20,19,false)*HLOOKUP($K60,'Type Chart'!$C$2:$U$20,19,false)</f>
        <v>0.5</v>
      </c>
      <c r="AM60" s="1145" t="s">
        <v>1146</v>
      </c>
      <c r="AN60" s="965" t="s">
        <v>1147</v>
      </c>
      <c r="AO60" s="966" t="s">
        <v>1039</v>
      </c>
      <c r="AP60" s="936"/>
      <c r="AQ60" s="967"/>
      <c r="AR60" s="968"/>
      <c r="AS60" s="936"/>
    </row>
    <row r="61" ht="15.75" customHeight="1">
      <c r="A61" s="936"/>
      <c r="B61" s="948" t="s">
        <v>1161</v>
      </c>
      <c r="C61" s="950" t="s">
        <v>1162</v>
      </c>
      <c r="D61" s="950" t="s">
        <v>1162</v>
      </c>
      <c r="E61" s="952" t="s">
        <v>1162</v>
      </c>
      <c r="F61" s="940"/>
      <c r="G61" s="953"/>
      <c r="H61" s="969"/>
      <c r="I61" s="956" t="s">
        <v>993</v>
      </c>
      <c r="J61" s="958" t="s">
        <v>178</v>
      </c>
      <c r="K61" s="1204" t="s">
        <v>80</v>
      </c>
      <c r="L61" s="959">
        <v>81.0</v>
      </c>
      <c r="M61" s="960">
        <v>102.0</v>
      </c>
      <c r="N61" s="960">
        <v>77.0</v>
      </c>
      <c r="O61" s="960">
        <v>85.0</v>
      </c>
      <c r="P61" s="960">
        <v>75.0</v>
      </c>
      <c r="Q61" s="960">
        <v>85.0</v>
      </c>
      <c r="R61" s="960">
        <v>206.0</v>
      </c>
      <c r="S61" s="960">
        <v>269.0</v>
      </c>
      <c r="T61" s="960">
        <v>295.0</v>
      </c>
      <c r="U61" s="960">
        <f t="array" ref="U61">HLOOKUP($J61,'Type Chart'!$C$2:$T$20,2,false)*HLOOKUP($K61,'Type Chart'!$C$2:$U$20,2,false)</f>
        <v>1</v>
      </c>
      <c r="V61" s="960">
        <f t="array" ref="V61">HLOOKUP($J61,'Type Chart'!$C$2:$T$20,3,false)*HLOOKUP($K61,'Type Chart'!$C$2:$U$20,3,false)</f>
        <v>0.5</v>
      </c>
      <c r="W61" s="960">
        <f t="array" ref="W61">HLOOKUP($J61,'Type Chart'!$C$2:$T$20,4,false)*HLOOKUP($K61,'Type Chart'!$C$2:$U$20,4,false)</f>
        <v>1</v>
      </c>
      <c r="X61" s="960">
        <f t="array" ref="X61">HLOOKUP($J61,'Type Chart'!$C$2:$T$20,5,false)*HLOOKUP($K61,'Type Chart'!$C$2:$U$20,5,false)</f>
        <v>0.25</v>
      </c>
      <c r="Y61" s="960">
        <f t="array" ref="Y61">HLOOKUP($J61,'Type Chart'!$C$2:$T$20,6,false)*HLOOKUP($K61,'Type Chart'!$C$2:$U$20,6,false)</f>
        <v>2</v>
      </c>
      <c r="Z61" s="960">
        <f t="array" ref="Z61">HLOOKUP($J61,'Type Chart'!$C$2:$T$20,7,false)*HLOOKUP($K61,'Type Chart'!$C$2:$U$20,7,false)</f>
        <v>0.5</v>
      </c>
      <c r="AA61" s="960">
        <f t="array" ref="AA61">HLOOKUP($J61,'Type Chart'!$C$2:$T$20,8,false)*HLOOKUP($K61,'Type Chart'!$C$2:$U$20,8,false)</f>
        <v>0.5</v>
      </c>
      <c r="AB61" s="960">
        <f t="array" ref="AB61">HLOOKUP($J61,'Type Chart'!$C$2:$T$20,9,false)*HLOOKUP($K61,'Type Chart'!$C$2:$U$20,9,false)</f>
        <v>1</v>
      </c>
      <c r="AC61" s="960">
        <f t="array" ref="AC61">HLOOKUP($J61,'Type Chart'!$C$2:$T$20,10,false)*HLOOKUP($K61,'Type Chart'!$C$2:$U$20,10,false)</f>
        <v>1</v>
      </c>
      <c r="AD61" s="960">
        <f t="array" ref="AD61">HLOOKUP($J61,'Type Chart'!$C$2:$T$20,11,false)*HLOOKUP($K61,'Type Chart'!$C$2:$U$20,11,false)</f>
        <v>1</v>
      </c>
      <c r="AE61" s="960">
        <f t="array" ref="AE61">HLOOKUP($J61,'Type Chart'!$C$2:$T$20,12,false)*HLOOKUP($K61,'Type Chart'!$C$2:$U$20,12,false)</f>
        <v>2</v>
      </c>
      <c r="AF61" s="960">
        <f t="array" ref="AF61">HLOOKUP($J61,'Type Chart'!$C$2:$T$20,13,false)*HLOOKUP($K61,'Type Chart'!$C$2:$U$20,13,false)</f>
        <v>1</v>
      </c>
      <c r="AG61" s="960">
        <f t="array" ref="AG61">HLOOKUP($J61,'Type Chart'!$C$2:$T$20,14,false)*HLOOKUP($K61,'Type Chart'!$C$2:$U$20,14,false)</f>
        <v>0</v>
      </c>
      <c r="AH61" s="960">
        <f t="array" ref="AH61">HLOOKUP($J61,'Type Chart'!$C$2:$T$20,15,false)*HLOOKUP($K61,'Type Chart'!$C$2:$U$20,15,false)</f>
        <v>2</v>
      </c>
      <c r="AI61" s="960">
        <f t="array" ref="AI61">HLOOKUP($J61,'Type Chart'!$C$2:$T$20,16,false)*HLOOKUP($K61,'Type Chart'!$C$2:$U$20,16,false)</f>
        <v>2</v>
      </c>
      <c r="AJ61" s="960">
        <f t="array" ref="AJ61">HLOOKUP($J61,'Type Chart'!$C$2:$T$20,17,false)*HLOOKUP($K61,'Type Chart'!$C$2:$U$20,17,false)</f>
        <v>1</v>
      </c>
      <c r="AK61" s="960">
        <f t="array" ref="AK61">HLOOKUP($J61,'Type Chart'!$C$2:$T$20,18,false)*HLOOKUP($K61,'Type Chart'!$C$2:$U$20,18,false)</f>
        <v>1</v>
      </c>
      <c r="AL61" s="960">
        <f t="array" ref="AL61">HLOOKUP($J61,'Type Chart'!$C$2:$T$20,19,false)*HLOOKUP($K61,'Type Chart'!$C$2:$U$20,19,false)</f>
        <v>0.5</v>
      </c>
      <c r="AM61" s="1145" t="s">
        <v>1146</v>
      </c>
      <c r="AN61" s="965" t="s">
        <v>1147</v>
      </c>
      <c r="AO61" s="966" t="s">
        <v>1153</v>
      </c>
      <c r="AP61" s="936"/>
      <c r="AQ61" s="967"/>
      <c r="AR61" s="968"/>
      <c r="AS61" s="936"/>
    </row>
    <row r="62" ht="15.75" customHeight="1">
      <c r="A62" s="936"/>
      <c r="B62" s="948" t="s">
        <v>1163</v>
      </c>
      <c r="C62" s="950" t="s">
        <v>1164</v>
      </c>
      <c r="D62" s="950" t="s">
        <v>1164</v>
      </c>
      <c r="E62" s="952" t="s">
        <v>1164</v>
      </c>
      <c r="F62" s="940"/>
      <c r="G62" s="953"/>
      <c r="H62" s="969"/>
      <c r="I62" s="956" t="s">
        <v>727</v>
      </c>
      <c r="J62" s="1207" t="s">
        <v>127</v>
      </c>
      <c r="K62" s="984" t="s">
        <v>216</v>
      </c>
      <c r="L62" s="959">
        <v>70.0</v>
      </c>
      <c r="M62" s="960">
        <v>45.0</v>
      </c>
      <c r="N62" s="960">
        <v>48.0</v>
      </c>
      <c r="O62" s="960">
        <v>60.0</v>
      </c>
      <c r="P62" s="960">
        <v>65.0</v>
      </c>
      <c r="Q62" s="960">
        <v>35.0</v>
      </c>
      <c r="R62" s="960">
        <v>106.0</v>
      </c>
      <c r="S62" s="960">
        <v>169.0</v>
      </c>
      <c r="T62" s="960">
        <v>185.0</v>
      </c>
      <c r="U62" s="960">
        <f t="array" ref="U62">HLOOKUP($J62,'Type Chart'!$C$2:$T$20,2,false)*HLOOKUP($K62,'Type Chart'!$C$2:$U$20,2,false)</f>
        <v>1</v>
      </c>
      <c r="V62" s="960">
        <f t="array" ref="V62">HLOOKUP($J62,'Type Chart'!$C$2:$T$20,3,false)*HLOOKUP($K62,'Type Chart'!$C$2:$U$20,3,false)</f>
        <v>0.5</v>
      </c>
      <c r="W62" s="960">
        <f t="array" ref="W62">HLOOKUP($J62,'Type Chart'!$C$2:$T$20,4,false)*HLOOKUP($K62,'Type Chart'!$C$2:$U$20,4,false)</f>
        <v>1</v>
      </c>
      <c r="X62" s="960">
        <f t="array" ref="X62">HLOOKUP($J62,'Type Chart'!$C$2:$T$20,5,false)*HLOOKUP($K62,'Type Chart'!$C$2:$U$20,5,false)</f>
        <v>2</v>
      </c>
      <c r="Y62" s="960">
        <f t="array" ref="Y62">HLOOKUP($J62,'Type Chart'!$C$2:$T$20,6,false)*HLOOKUP($K62,'Type Chart'!$C$2:$U$20,6,false)</f>
        <v>1</v>
      </c>
      <c r="Z62" s="960">
        <f t="array" ref="Z62">HLOOKUP($J62,'Type Chart'!$C$2:$T$20,7,false)*HLOOKUP($K62,'Type Chart'!$C$2:$U$20,7,false)</f>
        <v>1</v>
      </c>
      <c r="AA62" s="960">
        <f t="array" ref="AA62">HLOOKUP($J62,'Type Chart'!$C$2:$T$20,8,false)*HLOOKUP($K62,'Type Chart'!$C$2:$U$20,8,false)</f>
        <v>0.5</v>
      </c>
      <c r="AB62" s="960">
        <f t="array" ref="AB62">HLOOKUP($J62,'Type Chart'!$C$2:$T$20,9,false)*HLOOKUP($K62,'Type Chart'!$C$2:$U$20,9,false)</f>
        <v>1</v>
      </c>
      <c r="AC62" s="960">
        <f t="array" ref="AC62">HLOOKUP($J62,'Type Chart'!$C$2:$T$20,10,false)*HLOOKUP($K62,'Type Chart'!$C$2:$U$20,10,false)</f>
        <v>2</v>
      </c>
      <c r="AD62" s="960">
        <f t="array" ref="AD62">HLOOKUP($J62,'Type Chart'!$C$2:$T$20,11,false)*HLOOKUP($K62,'Type Chart'!$C$2:$U$20,11,false)</f>
        <v>1</v>
      </c>
      <c r="AE62" s="960">
        <f t="array" ref="AE62">HLOOKUP($J62,'Type Chart'!$C$2:$T$20,12,false)*HLOOKUP($K62,'Type Chart'!$C$2:$U$20,12,false)</f>
        <v>1</v>
      </c>
      <c r="AF62" s="960">
        <f t="array" ref="AF62">HLOOKUP($J62,'Type Chart'!$C$2:$T$20,13,false)*HLOOKUP($K62,'Type Chart'!$C$2:$U$20,13,false)</f>
        <v>1</v>
      </c>
      <c r="AG62" s="960">
        <f t="array" ref="AG62">HLOOKUP($J62,'Type Chart'!$C$2:$T$20,14,false)*HLOOKUP($K62,'Type Chart'!$C$2:$U$20,14,false)</f>
        <v>1</v>
      </c>
      <c r="AH62" s="960">
        <f t="array" ref="AH62">HLOOKUP($J62,'Type Chart'!$C$2:$T$20,15,false)*HLOOKUP($K62,'Type Chart'!$C$2:$U$20,15,false)</f>
        <v>1</v>
      </c>
      <c r="AI62" s="960">
        <f t="array" ref="AI62">HLOOKUP($J62,'Type Chart'!$C$2:$T$20,16,false)*HLOOKUP($K62,'Type Chart'!$C$2:$U$20,16,false)</f>
        <v>1</v>
      </c>
      <c r="AJ62" s="960">
        <f t="array" ref="AJ62">HLOOKUP($J62,'Type Chart'!$C$2:$T$20,17,false)*HLOOKUP($K62,'Type Chart'!$C$2:$U$20,17,false)</f>
        <v>0</v>
      </c>
      <c r="AK62" s="960">
        <f t="array" ref="AK62">HLOOKUP($J62,'Type Chart'!$C$2:$T$20,18,false)*HLOOKUP($K62,'Type Chart'!$C$2:$U$20,18,false)</f>
        <v>0.5</v>
      </c>
      <c r="AL62" s="960">
        <f t="array" ref="AL62">HLOOKUP($J62,'Type Chart'!$C$2:$T$20,19,false)*HLOOKUP($K62,'Type Chart'!$C$2:$U$20,19,false)</f>
        <v>1</v>
      </c>
      <c r="AM62" s="1145" t="s">
        <v>1165</v>
      </c>
      <c r="AN62" s="965" t="s">
        <v>1166</v>
      </c>
      <c r="AO62" s="966" t="s">
        <v>1167</v>
      </c>
      <c r="AP62" s="936"/>
      <c r="AQ62" s="967"/>
      <c r="AR62" s="968"/>
      <c r="AS62" s="936"/>
    </row>
    <row r="63" ht="15.75" customHeight="1">
      <c r="A63" s="936"/>
      <c r="B63" s="948" t="s">
        <v>1168</v>
      </c>
      <c r="C63" s="950" t="s">
        <v>119</v>
      </c>
      <c r="D63" s="950" t="s">
        <v>119</v>
      </c>
      <c r="E63" s="952" t="s">
        <v>119</v>
      </c>
      <c r="F63" s="940"/>
      <c r="G63" s="953"/>
      <c r="H63" s="969"/>
      <c r="I63" s="956" t="s">
        <v>302</v>
      </c>
      <c r="J63" s="1207" t="s">
        <v>127</v>
      </c>
      <c r="K63" s="984" t="s">
        <v>216</v>
      </c>
      <c r="L63" s="959">
        <v>95.0</v>
      </c>
      <c r="M63" s="960">
        <v>70.0</v>
      </c>
      <c r="N63" s="960">
        <v>73.0</v>
      </c>
      <c r="O63" s="960">
        <v>95.0</v>
      </c>
      <c r="P63" s="960">
        <v>90.0</v>
      </c>
      <c r="Q63" s="960">
        <v>60.0</v>
      </c>
      <c r="R63" s="960">
        <v>156.0</v>
      </c>
      <c r="S63" s="960">
        <v>219.0</v>
      </c>
      <c r="T63" s="960">
        <v>240.0</v>
      </c>
      <c r="U63" s="960">
        <f t="array" ref="U63">HLOOKUP($J63,'Type Chart'!$C$2:$T$20,2,false)*HLOOKUP($K63,'Type Chart'!$C$2:$U$20,2,false)</f>
        <v>1</v>
      </c>
      <c r="V63" s="960">
        <f t="array" ref="V63">HLOOKUP($J63,'Type Chart'!$C$2:$T$20,3,false)*HLOOKUP($K63,'Type Chart'!$C$2:$U$20,3,false)</f>
        <v>0.5</v>
      </c>
      <c r="W63" s="960">
        <f t="array" ref="W63">HLOOKUP($J63,'Type Chart'!$C$2:$T$20,4,false)*HLOOKUP($K63,'Type Chart'!$C$2:$U$20,4,false)</f>
        <v>1</v>
      </c>
      <c r="X63" s="960">
        <f t="array" ref="X63">HLOOKUP($J63,'Type Chart'!$C$2:$T$20,5,false)*HLOOKUP($K63,'Type Chart'!$C$2:$U$20,5,false)</f>
        <v>2</v>
      </c>
      <c r="Y63" s="960">
        <f t="array" ref="Y63">HLOOKUP($J63,'Type Chart'!$C$2:$T$20,6,false)*HLOOKUP($K63,'Type Chart'!$C$2:$U$20,6,false)</f>
        <v>1</v>
      </c>
      <c r="Z63" s="960">
        <f t="array" ref="Z63">HLOOKUP($J63,'Type Chart'!$C$2:$T$20,7,false)*HLOOKUP($K63,'Type Chart'!$C$2:$U$20,7,false)</f>
        <v>1</v>
      </c>
      <c r="AA63" s="960">
        <f t="array" ref="AA63">HLOOKUP($J63,'Type Chart'!$C$2:$T$20,8,false)*HLOOKUP($K63,'Type Chart'!$C$2:$U$20,8,false)</f>
        <v>0.5</v>
      </c>
      <c r="AB63" s="960">
        <f t="array" ref="AB63">HLOOKUP($J63,'Type Chart'!$C$2:$T$20,9,false)*HLOOKUP($K63,'Type Chart'!$C$2:$U$20,9,false)</f>
        <v>1</v>
      </c>
      <c r="AC63" s="960">
        <f t="array" ref="AC63">HLOOKUP($J63,'Type Chart'!$C$2:$T$20,10,false)*HLOOKUP($K63,'Type Chart'!$C$2:$U$20,10,false)</f>
        <v>2</v>
      </c>
      <c r="AD63" s="960">
        <f t="array" ref="AD63">HLOOKUP($J63,'Type Chart'!$C$2:$T$20,11,false)*HLOOKUP($K63,'Type Chart'!$C$2:$U$20,11,false)</f>
        <v>1</v>
      </c>
      <c r="AE63" s="960">
        <f t="array" ref="AE63">HLOOKUP($J63,'Type Chart'!$C$2:$T$20,12,false)*HLOOKUP($K63,'Type Chart'!$C$2:$U$20,12,false)</f>
        <v>1</v>
      </c>
      <c r="AF63" s="960">
        <f t="array" ref="AF63">HLOOKUP($J63,'Type Chart'!$C$2:$T$20,13,false)*HLOOKUP($K63,'Type Chart'!$C$2:$U$20,13,false)</f>
        <v>1</v>
      </c>
      <c r="AG63" s="960">
        <f t="array" ref="AG63">HLOOKUP($J63,'Type Chart'!$C$2:$T$20,14,false)*HLOOKUP($K63,'Type Chart'!$C$2:$U$20,14,false)</f>
        <v>1</v>
      </c>
      <c r="AH63" s="960">
        <f t="array" ref="AH63">HLOOKUP($J63,'Type Chart'!$C$2:$T$20,15,false)*HLOOKUP($K63,'Type Chart'!$C$2:$U$20,15,false)</f>
        <v>1</v>
      </c>
      <c r="AI63" s="960">
        <f t="array" ref="AI63">HLOOKUP($J63,'Type Chart'!$C$2:$T$20,16,false)*HLOOKUP($K63,'Type Chart'!$C$2:$U$20,16,false)</f>
        <v>1</v>
      </c>
      <c r="AJ63" s="960">
        <f t="array" ref="AJ63">HLOOKUP($J63,'Type Chart'!$C$2:$T$20,17,false)*HLOOKUP($K63,'Type Chart'!$C$2:$U$20,17,false)</f>
        <v>0</v>
      </c>
      <c r="AK63" s="960">
        <f t="array" ref="AK63">HLOOKUP($J63,'Type Chart'!$C$2:$T$20,18,false)*HLOOKUP($K63,'Type Chart'!$C$2:$U$20,18,false)</f>
        <v>0.5</v>
      </c>
      <c r="AL63" s="960">
        <f t="array" ref="AL63">HLOOKUP($J63,'Type Chart'!$C$2:$T$20,19,false)*HLOOKUP($K63,'Type Chart'!$C$2:$U$20,19,false)</f>
        <v>1</v>
      </c>
      <c r="AM63" s="1145" t="s">
        <v>1165</v>
      </c>
      <c r="AN63" s="965" t="s">
        <v>1166</v>
      </c>
      <c r="AO63" s="966" t="s">
        <v>1169</v>
      </c>
      <c r="AP63" s="936"/>
      <c r="AQ63" s="967"/>
      <c r="AR63" s="968"/>
      <c r="AS63" s="936"/>
    </row>
    <row r="64" ht="15.75" customHeight="1">
      <c r="A64" s="936"/>
      <c r="B64" s="948" t="s">
        <v>1170</v>
      </c>
      <c r="C64" s="950" t="s">
        <v>1171</v>
      </c>
      <c r="D64" s="950" t="s">
        <v>1171</v>
      </c>
      <c r="E64" s="952" t="s">
        <v>1171</v>
      </c>
      <c r="F64" s="940"/>
      <c r="G64" s="953"/>
      <c r="H64" s="969"/>
      <c r="I64" s="956" t="s">
        <v>903</v>
      </c>
      <c r="J64" s="982" t="s">
        <v>150</v>
      </c>
      <c r="K64" s="984" t="s">
        <v>216</v>
      </c>
      <c r="L64" s="959">
        <v>38.0</v>
      </c>
      <c r="M64" s="960">
        <v>41.0</v>
      </c>
      <c r="N64" s="960">
        <v>40.0</v>
      </c>
      <c r="O64" s="960">
        <v>50.0</v>
      </c>
      <c r="P64" s="960">
        <v>65.0</v>
      </c>
      <c r="Q64" s="960">
        <v>65.0</v>
      </c>
      <c r="R64" s="960">
        <v>166.0</v>
      </c>
      <c r="S64" s="960">
        <v>229.0</v>
      </c>
      <c r="T64" s="960">
        <v>251.0</v>
      </c>
      <c r="U64" s="960">
        <f t="array" ref="U64">HLOOKUP($J64,'Type Chart'!$C$2:$T$20,2,false)*HLOOKUP($K64,'Type Chart'!$C$2:$U$20,2,false)</f>
        <v>1</v>
      </c>
      <c r="V64" s="960">
        <f t="array" ref="V64">HLOOKUP($J64,'Type Chart'!$C$2:$T$20,3,false)*HLOOKUP($K64,'Type Chart'!$C$2:$U$20,3,false)</f>
        <v>1</v>
      </c>
      <c r="W64" s="960">
        <f t="array" ref="W64">HLOOKUP($J64,'Type Chart'!$C$2:$T$20,4,false)*HLOOKUP($K64,'Type Chart'!$C$2:$U$20,4,false)</f>
        <v>1</v>
      </c>
      <c r="X64" s="960">
        <f t="array" ref="X64">HLOOKUP($J64,'Type Chart'!$C$2:$T$20,5,false)*HLOOKUP($K64,'Type Chart'!$C$2:$U$20,5,false)</f>
        <v>1</v>
      </c>
      <c r="Y64" s="960">
        <f t="array" ref="Y64">HLOOKUP($J64,'Type Chart'!$C$2:$T$20,6,false)*HLOOKUP($K64,'Type Chart'!$C$2:$U$20,6,false)</f>
        <v>2</v>
      </c>
      <c r="Z64" s="960">
        <f t="array" ref="Z64">HLOOKUP($J64,'Type Chart'!$C$2:$T$20,7,false)*HLOOKUP($K64,'Type Chart'!$C$2:$U$20,7,false)</f>
        <v>2</v>
      </c>
      <c r="AA64" s="960">
        <f t="array" ref="AA64">HLOOKUP($J64,'Type Chart'!$C$2:$T$20,8,false)*HLOOKUP($K64,'Type Chart'!$C$2:$U$20,8,false)</f>
        <v>0.5</v>
      </c>
      <c r="AB64" s="960">
        <f t="array" ref="AB64">HLOOKUP($J64,'Type Chart'!$C$2:$T$20,9,false)*HLOOKUP($K64,'Type Chart'!$C$2:$U$20,9,false)</f>
        <v>1</v>
      </c>
      <c r="AC64" s="960">
        <f t="array" ref="AC64">HLOOKUP($J64,'Type Chart'!$C$2:$T$20,10,false)*HLOOKUP($K64,'Type Chart'!$C$2:$U$20,10,false)</f>
        <v>0.5</v>
      </c>
      <c r="AD64" s="960">
        <f t="array" ref="AD64">HLOOKUP($J64,'Type Chart'!$C$2:$T$20,11,false)*HLOOKUP($K64,'Type Chart'!$C$2:$U$20,11,false)</f>
        <v>0.5</v>
      </c>
      <c r="AE64" s="960">
        <f t="array" ref="AE64">HLOOKUP($J64,'Type Chart'!$C$2:$T$20,12,false)*HLOOKUP($K64,'Type Chart'!$C$2:$U$20,12,false)</f>
        <v>2</v>
      </c>
      <c r="AF64" s="960">
        <f t="array" ref="AF64">HLOOKUP($J64,'Type Chart'!$C$2:$T$20,13,false)*HLOOKUP($K64,'Type Chart'!$C$2:$U$20,13,false)</f>
        <v>0.5</v>
      </c>
      <c r="AG64" s="960">
        <f t="array" ref="AG64">HLOOKUP($J64,'Type Chart'!$C$2:$T$20,14,false)*HLOOKUP($K64,'Type Chart'!$C$2:$U$20,14,false)</f>
        <v>1</v>
      </c>
      <c r="AH64" s="960">
        <f t="array" ref="AH64">HLOOKUP($J64,'Type Chart'!$C$2:$T$20,15,false)*HLOOKUP($K64,'Type Chart'!$C$2:$U$20,15,false)</f>
        <v>1</v>
      </c>
      <c r="AI64" s="960">
        <f t="array" ref="AI64">HLOOKUP($J64,'Type Chart'!$C$2:$T$20,16,false)*HLOOKUP($K64,'Type Chart'!$C$2:$U$20,16,false)</f>
        <v>0.5</v>
      </c>
      <c r="AJ64" s="960">
        <f t="array" ref="AJ64">HLOOKUP($J64,'Type Chart'!$C$2:$T$20,17,false)*HLOOKUP($K64,'Type Chart'!$C$2:$U$20,17,false)</f>
        <v>1</v>
      </c>
      <c r="AK64" s="960">
        <f t="array" ref="AK64">HLOOKUP($J64,'Type Chart'!$C$2:$T$20,18,false)*HLOOKUP($K64,'Type Chart'!$C$2:$U$20,18,false)</f>
        <v>1</v>
      </c>
      <c r="AL64" s="960">
        <f t="array" ref="AL64">HLOOKUP($J64,'Type Chart'!$C$2:$T$20,19,false)*HLOOKUP($K64,'Type Chart'!$C$2:$U$20,19,false)</f>
        <v>0.5</v>
      </c>
      <c r="AM64" s="964" t="s">
        <v>1172</v>
      </c>
      <c r="AN64" s="965"/>
      <c r="AO64" s="966" t="s">
        <v>952</v>
      </c>
      <c r="AP64" s="936"/>
      <c r="AQ64" s="967"/>
      <c r="AR64" s="968"/>
      <c r="AS64" s="936"/>
    </row>
    <row r="65" ht="15.75" customHeight="1">
      <c r="A65" s="936"/>
      <c r="B65" s="948" t="s">
        <v>1173</v>
      </c>
      <c r="C65" s="950" t="s">
        <v>1174</v>
      </c>
      <c r="D65" s="950" t="s">
        <v>1174</v>
      </c>
      <c r="E65" s="952" t="s">
        <v>1175</v>
      </c>
      <c r="F65" s="940"/>
      <c r="G65" s="953"/>
      <c r="H65" s="969"/>
      <c r="I65" s="956" t="s">
        <v>201</v>
      </c>
      <c r="J65" s="1205" t="s">
        <v>345</v>
      </c>
      <c r="K65" s="984" t="s">
        <v>216</v>
      </c>
      <c r="L65" s="959">
        <v>38.0</v>
      </c>
      <c r="M65" s="960">
        <v>41.0</v>
      </c>
      <c r="N65" s="960">
        <v>40.0</v>
      </c>
      <c r="O65" s="960">
        <v>50.0</v>
      </c>
      <c r="P65" s="960">
        <v>65.0</v>
      </c>
      <c r="Q65" s="960">
        <v>65.0</v>
      </c>
      <c r="R65" s="960">
        <v>166.0</v>
      </c>
      <c r="S65" s="960">
        <v>229.0</v>
      </c>
      <c r="T65" s="960">
        <v>251.0</v>
      </c>
      <c r="U65" s="960">
        <f t="array" ref="U65">HLOOKUP($J65,'Type Chart'!$C$2:$T$20,2,false)*HLOOKUP($K65,'Type Chart'!$C$2:$U$20,2,false)</f>
        <v>1</v>
      </c>
      <c r="V65" s="960">
        <f t="array" ref="V65">HLOOKUP($J65,'Type Chart'!$C$2:$T$20,3,false)*HLOOKUP($K65,'Type Chart'!$C$2:$U$20,3,false)</f>
        <v>2</v>
      </c>
      <c r="W65" s="960">
        <f t="array" ref="W65">HLOOKUP($J65,'Type Chart'!$C$2:$T$20,4,false)*HLOOKUP($K65,'Type Chart'!$C$2:$U$20,4,false)</f>
        <v>1</v>
      </c>
      <c r="X65" s="960">
        <f t="array" ref="X65">HLOOKUP($J65,'Type Chart'!$C$2:$T$20,5,false)*HLOOKUP($K65,'Type Chart'!$C$2:$U$20,5,false)</f>
        <v>1</v>
      </c>
      <c r="Y65" s="960">
        <f t="array" ref="Y65">HLOOKUP($J65,'Type Chart'!$C$2:$T$20,6,false)*HLOOKUP($K65,'Type Chart'!$C$2:$U$20,6,false)</f>
        <v>1</v>
      </c>
      <c r="Z65" s="960">
        <f t="array" ref="Z65">HLOOKUP($J65,'Type Chart'!$C$2:$T$20,7,false)*HLOOKUP($K65,'Type Chart'!$C$2:$U$20,7,false)</f>
        <v>2</v>
      </c>
      <c r="AA65" s="960">
        <f t="array" ref="AA65">HLOOKUP($J65,'Type Chart'!$C$2:$T$20,8,false)*HLOOKUP($K65,'Type Chart'!$C$2:$U$20,8,false)</f>
        <v>1</v>
      </c>
      <c r="AB65" s="960">
        <f t="array" ref="AB65">HLOOKUP($J65,'Type Chart'!$C$2:$T$20,9,false)*HLOOKUP($K65,'Type Chart'!$C$2:$U$20,9,false)</f>
        <v>1</v>
      </c>
      <c r="AC65" s="960">
        <f t="array" ref="AC65">HLOOKUP($J65,'Type Chart'!$C$2:$T$20,10,false)*HLOOKUP($K65,'Type Chart'!$C$2:$U$20,10,false)</f>
        <v>2</v>
      </c>
      <c r="AD65" s="960">
        <f t="array" ref="AD65">HLOOKUP($J65,'Type Chart'!$C$2:$T$20,11,false)*HLOOKUP($K65,'Type Chart'!$C$2:$U$20,11,false)</f>
        <v>2</v>
      </c>
      <c r="AE65" s="960">
        <f t="array" ref="AE65">HLOOKUP($J65,'Type Chart'!$C$2:$T$20,12,false)*HLOOKUP($K65,'Type Chart'!$C$2:$U$20,12,false)</f>
        <v>1</v>
      </c>
      <c r="AF65" s="960">
        <f t="array" ref="AF65">HLOOKUP($J65,'Type Chart'!$C$2:$T$20,13,false)*HLOOKUP($K65,'Type Chart'!$C$2:$U$20,13,false)</f>
        <v>1</v>
      </c>
      <c r="AG65" s="960">
        <f t="array" ref="AG65">HLOOKUP($J65,'Type Chart'!$C$2:$T$20,14,false)*HLOOKUP($K65,'Type Chart'!$C$2:$U$20,14,false)</f>
        <v>1</v>
      </c>
      <c r="AH65" s="960">
        <f t="array" ref="AH65">HLOOKUP($J65,'Type Chart'!$C$2:$T$20,15,false)*HLOOKUP($K65,'Type Chart'!$C$2:$U$20,15,false)</f>
        <v>1</v>
      </c>
      <c r="AI65" s="960">
        <f t="array" ref="AI65">HLOOKUP($J65,'Type Chart'!$C$2:$T$20,16,false)*HLOOKUP($K65,'Type Chart'!$C$2:$U$20,16,false)</f>
        <v>0.5</v>
      </c>
      <c r="AJ65" s="960">
        <f t="array" ref="AJ65">HLOOKUP($J65,'Type Chart'!$C$2:$T$20,17,false)*HLOOKUP($K65,'Type Chart'!$C$2:$U$20,17,false)</f>
        <v>1</v>
      </c>
      <c r="AK65" s="960">
        <f t="array" ref="AK65">HLOOKUP($J65,'Type Chart'!$C$2:$T$20,18,false)*HLOOKUP($K65,'Type Chart'!$C$2:$U$20,18,false)</f>
        <v>1</v>
      </c>
      <c r="AL65" s="960">
        <f t="array" ref="AL65">HLOOKUP($J65,'Type Chart'!$C$2:$T$20,19,false)*HLOOKUP($K65,'Type Chart'!$C$2:$U$20,19,false)</f>
        <v>1</v>
      </c>
      <c r="AM65" s="964" t="s">
        <v>1135</v>
      </c>
      <c r="AN65" s="965"/>
      <c r="AO65" s="966" t="s">
        <v>1176</v>
      </c>
      <c r="AP65" s="936"/>
      <c r="AQ65" s="967"/>
      <c r="AR65" s="968"/>
      <c r="AS65" s="936"/>
    </row>
    <row r="66" ht="15.75" customHeight="1">
      <c r="A66" s="1099"/>
      <c r="B66" s="948" t="s">
        <v>1177</v>
      </c>
      <c r="C66" s="1197" t="s">
        <v>1178</v>
      </c>
      <c r="D66" s="1197" t="s">
        <v>1178</v>
      </c>
      <c r="E66" s="1147" t="s">
        <v>1178</v>
      </c>
      <c r="F66" s="940"/>
      <c r="G66" s="953"/>
      <c r="H66" s="969"/>
      <c r="I66" s="998" t="s">
        <v>603</v>
      </c>
      <c r="J66" s="1208" t="s">
        <v>150</v>
      </c>
      <c r="K66" s="1199" t="s">
        <v>216</v>
      </c>
      <c r="L66" s="1200">
        <v>73.0</v>
      </c>
      <c r="M66" s="1201">
        <v>76.0</v>
      </c>
      <c r="N66" s="1201">
        <v>75.0</v>
      </c>
      <c r="O66" s="1201">
        <v>81.0</v>
      </c>
      <c r="P66" s="1201">
        <v>100.0</v>
      </c>
      <c r="Q66" s="1201">
        <v>100.0</v>
      </c>
      <c r="R66" s="960">
        <v>236.0</v>
      </c>
      <c r="S66" s="960">
        <v>299.0</v>
      </c>
      <c r="T66" s="960">
        <v>328.0</v>
      </c>
      <c r="U66" s="960">
        <f t="array" ref="U66">HLOOKUP($J66,'Type Chart'!$C$2:$T$20,2,false)*HLOOKUP($K66,'Type Chart'!$C$2:$U$20,2,false)</f>
        <v>1</v>
      </c>
      <c r="V66" s="960">
        <f t="array" ref="V66">HLOOKUP($J66,'Type Chart'!$C$2:$T$20,3,false)*HLOOKUP($K66,'Type Chart'!$C$2:$U$20,3,false)</f>
        <v>1</v>
      </c>
      <c r="W66" s="960">
        <f t="array" ref="W66">HLOOKUP($J66,'Type Chart'!$C$2:$T$20,4,false)*HLOOKUP($K66,'Type Chart'!$C$2:$U$20,4,false)</f>
        <v>1</v>
      </c>
      <c r="X66" s="960">
        <f t="array" ref="X66">HLOOKUP($J66,'Type Chart'!$C$2:$T$20,5,false)*HLOOKUP($K66,'Type Chart'!$C$2:$U$20,5,false)</f>
        <v>1</v>
      </c>
      <c r="Y66" s="960">
        <f t="array" ref="Y66">HLOOKUP($J66,'Type Chart'!$C$2:$T$20,6,false)*HLOOKUP($K66,'Type Chart'!$C$2:$U$20,6,false)</f>
        <v>2</v>
      </c>
      <c r="Z66" s="960">
        <f t="array" ref="Z66">HLOOKUP($J66,'Type Chart'!$C$2:$T$20,7,false)*HLOOKUP($K66,'Type Chart'!$C$2:$U$20,7,false)</f>
        <v>2</v>
      </c>
      <c r="AA66" s="960">
        <f t="array" ref="AA66">HLOOKUP($J66,'Type Chart'!$C$2:$T$20,8,false)*HLOOKUP($K66,'Type Chart'!$C$2:$U$20,8,false)</f>
        <v>0.5</v>
      </c>
      <c r="AB66" s="960">
        <f t="array" ref="AB66">HLOOKUP($J66,'Type Chart'!$C$2:$T$20,9,false)*HLOOKUP($K66,'Type Chart'!$C$2:$U$20,9,false)</f>
        <v>1</v>
      </c>
      <c r="AC66" s="960">
        <f t="array" ref="AC66">HLOOKUP($J66,'Type Chart'!$C$2:$T$20,10,false)*HLOOKUP($K66,'Type Chart'!$C$2:$U$20,10,false)</f>
        <v>0.5</v>
      </c>
      <c r="AD66" s="960">
        <f t="array" ref="AD66">HLOOKUP($J66,'Type Chart'!$C$2:$T$20,11,false)*HLOOKUP($K66,'Type Chart'!$C$2:$U$20,11,false)</f>
        <v>0.5</v>
      </c>
      <c r="AE66" s="960">
        <f t="array" ref="AE66">HLOOKUP($J66,'Type Chart'!$C$2:$T$20,12,false)*HLOOKUP($K66,'Type Chart'!$C$2:$U$20,12,false)</f>
        <v>2</v>
      </c>
      <c r="AF66" s="960">
        <f t="array" ref="AF66">HLOOKUP($J66,'Type Chart'!$C$2:$T$20,13,false)*HLOOKUP($K66,'Type Chart'!$C$2:$U$20,13,false)</f>
        <v>0.5</v>
      </c>
      <c r="AG66" s="960">
        <f t="array" ref="AG66">HLOOKUP($J66,'Type Chart'!$C$2:$T$20,14,false)*HLOOKUP($K66,'Type Chart'!$C$2:$U$20,14,false)</f>
        <v>1</v>
      </c>
      <c r="AH66" s="960">
        <f t="array" ref="AH66">HLOOKUP($J66,'Type Chart'!$C$2:$T$20,15,false)*HLOOKUP($K66,'Type Chart'!$C$2:$U$20,15,false)</f>
        <v>1</v>
      </c>
      <c r="AI66" s="960">
        <f t="array" ref="AI66">HLOOKUP($J66,'Type Chart'!$C$2:$T$20,16,false)*HLOOKUP($K66,'Type Chart'!$C$2:$U$20,16,false)</f>
        <v>0.5</v>
      </c>
      <c r="AJ66" s="960">
        <f t="array" ref="AJ66">HLOOKUP($J66,'Type Chart'!$C$2:$T$20,17,false)*HLOOKUP($K66,'Type Chart'!$C$2:$U$20,17,false)</f>
        <v>1</v>
      </c>
      <c r="AK66" s="960">
        <f t="array" ref="AK66">HLOOKUP($J66,'Type Chart'!$C$2:$T$20,18,false)*HLOOKUP($K66,'Type Chart'!$C$2:$U$20,18,false)</f>
        <v>1</v>
      </c>
      <c r="AL66" s="960">
        <f t="array" ref="AL66">HLOOKUP($J66,'Type Chart'!$C$2:$T$20,19,false)*HLOOKUP($K66,'Type Chart'!$C$2:$U$20,19,false)</f>
        <v>0.5</v>
      </c>
      <c r="AM66" s="1145" t="s">
        <v>1172</v>
      </c>
      <c r="AN66" s="1202"/>
      <c r="AO66" s="1146" t="s">
        <v>952</v>
      </c>
      <c r="AP66" s="936"/>
      <c r="AQ66" s="967"/>
      <c r="AR66" s="968"/>
      <c r="AS66" s="936"/>
    </row>
    <row r="67" ht="15.75" customHeight="1">
      <c r="A67" s="1099"/>
      <c r="B67" s="948" t="s">
        <v>1179</v>
      </c>
      <c r="C67" s="950" t="s">
        <v>1180</v>
      </c>
      <c r="D67" s="950" t="s">
        <v>1180</v>
      </c>
      <c r="E67" s="952" t="s">
        <v>1181</v>
      </c>
      <c r="F67" s="940"/>
      <c r="G67" s="953"/>
      <c r="H67" s="969"/>
      <c r="I67" s="956" t="s">
        <v>488</v>
      </c>
      <c r="J67" s="1205" t="s">
        <v>345</v>
      </c>
      <c r="K67" s="1207" t="s">
        <v>127</v>
      </c>
      <c r="L67" s="959">
        <v>73.0</v>
      </c>
      <c r="M67" s="960">
        <v>67.0</v>
      </c>
      <c r="N67" s="960">
        <v>75.0</v>
      </c>
      <c r="O67" s="960">
        <v>81.0</v>
      </c>
      <c r="P67" s="960">
        <v>100.0</v>
      </c>
      <c r="Q67" s="960">
        <v>109.0</v>
      </c>
      <c r="R67" s="960">
        <v>254.0</v>
      </c>
      <c r="S67" s="960">
        <v>317.0</v>
      </c>
      <c r="T67" s="960">
        <v>348.0</v>
      </c>
      <c r="U67" s="960">
        <f t="array" ref="U67">HLOOKUP($J67,'Type Chart'!$C$2:$T$20,2,false)*HLOOKUP($K67,'Type Chart'!$C$2:$U$20,2,false)</f>
        <v>1</v>
      </c>
      <c r="V67" s="960">
        <f t="array" ref="V67">HLOOKUP($J67,'Type Chart'!$C$2:$T$20,3,false)*HLOOKUP($K67,'Type Chart'!$C$2:$U$20,3,false)</f>
        <v>1</v>
      </c>
      <c r="W67" s="960">
        <f t="array" ref="W67">HLOOKUP($J67,'Type Chart'!$C$2:$T$20,4,false)*HLOOKUP($K67,'Type Chart'!$C$2:$U$20,4,false)</f>
        <v>1</v>
      </c>
      <c r="X67" s="960">
        <f t="array" ref="X67">HLOOKUP($J67,'Type Chart'!$C$2:$T$20,5,false)*HLOOKUP($K67,'Type Chart'!$C$2:$U$20,5,false)</f>
        <v>2</v>
      </c>
      <c r="Y67" s="960">
        <f t="array" ref="Y67">HLOOKUP($J67,'Type Chart'!$C$2:$T$20,6,false)*HLOOKUP($K67,'Type Chart'!$C$2:$U$20,6,false)</f>
        <v>1</v>
      </c>
      <c r="Z67" s="960">
        <f t="array" ref="Z67">HLOOKUP($J67,'Type Chart'!$C$2:$T$20,7,false)*HLOOKUP($K67,'Type Chart'!$C$2:$U$20,7,false)</f>
        <v>2</v>
      </c>
      <c r="AA67" s="960">
        <f t="array" ref="AA67">HLOOKUP($J67,'Type Chart'!$C$2:$T$20,8,false)*HLOOKUP($K67,'Type Chart'!$C$2:$U$20,8,false)</f>
        <v>0.5</v>
      </c>
      <c r="AB67" s="960">
        <f t="array" ref="AB67">HLOOKUP($J67,'Type Chart'!$C$2:$T$20,9,false)*HLOOKUP($K67,'Type Chart'!$C$2:$U$20,9,false)</f>
        <v>1</v>
      </c>
      <c r="AC67" s="960">
        <f t="array" ref="AC67">HLOOKUP($J67,'Type Chart'!$C$2:$T$20,10,false)*HLOOKUP($K67,'Type Chart'!$C$2:$U$20,10,false)</f>
        <v>4</v>
      </c>
      <c r="AD67" s="960">
        <f t="array" ref="AD67">HLOOKUP($J67,'Type Chart'!$C$2:$T$20,11,false)*HLOOKUP($K67,'Type Chart'!$C$2:$U$20,11,false)</f>
        <v>2</v>
      </c>
      <c r="AE67" s="960">
        <f t="array" ref="AE67">HLOOKUP($J67,'Type Chart'!$C$2:$T$20,12,false)*HLOOKUP($K67,'Type Chart'!$C$2:$U$20,12,false)</f>
        <v>1</v>
      </c>
      <c r="AF67" s="960">
        <f t="array" ref="AF67">HLOOKUP($J67,'Type Chart'!$C$2:$T$20,13,false)*HLOOKUP($K67,'Type Chart'!$C$2:$U$20,13,false)</f>
        <v>1</v>
      </c>
      <c r="AG67" s="960">
        <f t="array" ref="AG67">HLOOKUP($J67,'Type Chart'!$C$2:$T$20,14,false)*HLOOKUP($K67,'Type Chart'!$C$2:$U$20,14,false)</f>
        <v>1</v>
      </c>
      <c r="AH67" s="960">
        <f t="array" ref="AH67">HLOOKUP($J67,'Type Chart'!$C$2:$T$20,15,false)*HLOOKUP($K67,'Type Chart'!$C$2:$U$20,15,false)</f>
        <v>1</v>
      </c>
      <c r="AI67" s="960">
        <f t="array" ref="AI67">HLOOKUP($J67,'Type Chart'!$C$2:$T$20,16,false)*HLOOKUP($K67,'Type Chart'!$C$2:$U$20,16,false)</f>
        <v>0.5</v>
      </c>
      <c r="AJ67" s="960">
        <f t="array" ref="AJ67">HLOOKUP($J67,'Type Chart'!$C$2:$T$20,17,false)*HLOOKUP($K67,'Type Chart'!$C$2:$U$20,17,false)</f>
        <v>0</v>
      </c>
      <c r="AK67" s="960">
        <f t="array" ref="AK67">HLOOKUP($J67,'Type Chart'!$C$2:$T$20,18,false)*HLOOKUP($K67,'Type Chart'!$C$2:$U$20,18,false)</f>
        <v>0.5</v>
      </c>
      <c r="AL67" s="960">
        <f t="array" ref="AL67">HLOOKUP($J67,'Type Chart'!$C$2:$T$20,19,false)*HLOOKUP($K67,'Type Chart'!$C$2:$U$20,19,false)</f>
        <v>1</v>
      </c>
      <c r="AM67" s="1145" t="s">
        <v>1135</v>
      </c>
      <c r="AN67" s="1202"/>
      <c r="AO67" s="1146" t="s">
        <v>1176</v>
      </c>
      <c r="AP67" s="936"/>
      <c r="AQ67" s="967"/>
      <c r="AR67" s="968"/>
      <c r="AS67" s="936"/>
    </row>
    <row r="68" ht="15.75" customHeight="1">
      <c r="A68" s="1099"/>
      <c r="B68" s="948" t="s">
        <v>1182</v>
      </c>
      <c r="C68" s="950" t="s">
        <v>1183</v>
      </c>
      <c r="D68" s="950" t="s">
        <v>1183</v>
      </c>
      <c r="E68" s="952" t="s">
        <v>1183</v>
      </c>
      <c r="F68" s="940"/>
      <c r="G68" s="953"/>
      <c r="H68" s="969"/>
      <c r="I68" s="956" t="s">
        <v>1184</v>
      </c>
      <c r="J68" s="1194" t="s">
        <v>136</v>
      </c>
      <c r="K68" s="1207" t="s">
        <v>127</v>
      </c>
      <c r="L68" s="959">
        <v>115.0</v>
      </c>
      <c r="M68" s="960">
        <v>45.0</v>
      </c>
      <c r="N68" s="960">
        <v>20.0</v>
      </c>
      <c r="O68" s="960">
        <v>45.0</v>
      </c>
      <c r="P68" s="960">
        <v>25.0</v>
      </c>
      <c r="Q68" s="960">
        <v>20.0</v>
      </c>
      <c r="R68" s="960">
        <v>76.0</v>
      </c>
      <c r="S68" s="960">
        <v>139.0</v>
      </c>
      <c r="T68" s="960">
        <v>152.0</v>
      </c>
      <c r="U68" s="960">
        <f t="array" ref="U68">HLOOKUP($J68,'Type Chart'!$C$2:$T$20,2,false)*HLOOKUP($K68,'Type Chart'!$C$2:$U$20,2,false)</f>
        <v>1</v>
      </c>
      <c r="V68" s="960">
        <f t="array" ref="V68">HLOOKUP($J68,'Type Chart'!$C$2:$T$20,3,false)*HLOOKUP($K68,'Type Chart'!$C$2:$U$20,3,false)</f>
        <v>1</v>
      </c>
      <c r="W68" s="960">
        <f t="array" ref="W68">HLOOKUP($J68,'Type Chart'!$C$2:$T$20,4,false)*HLOOKUP($K68,'Type Chart'!$C$2:$U$20,4,false)</f>
        <v>1</v>
      </c>
      <c r="X68" s="960">
        <f t="array" ref="X68">HLOOKUP($J68,'Type Chart'!$C$2:$T$20,5,false)*HLOOKUP($K68,'Type Chart'!$C$2:$U$20,5,false)</f>
        <v>2</v>
      </c>
      <c r="Y68" s="960">
        <f t="array" ref="Y68">HLOOKUP($J68,'Type Chart'!$C$2:$T$20,6,false)*HLOOKUP($K68,'Type Chart'!$C$2:$U$20,6,false)</f>
        <v>1</v>
      </c>
      <c r="Z68" s="960">
        <f t="array" ref="Z68">HLOOKUP($J68,'Type Chart'!$C$2:$T$20,7,false)*HLOOKUP($K68,'Type Chart'!$C$2:$U$20,7,false)</f>
        <v>1</v>
      </c>
      <c r="AA68" s="960">
        <f t="array" ref="AA68">HLOOKUP($J68,'Type Chart'!$C$2:$T$20,8,false)*HLOOKUP($K68,'Type Chart'!$C$2:$U$20,8,false)</f>
        <v>0.5</v>
      </c>
      <c r="AB68" s="960">
        <f t="array" ref="AB68">HLOOKUP($J68,'Type Chart'!$C$2:$T$20,9,false)*HLOOKUP($K68,'Type Chart'!$C$2:$U$20,9,false)</f>
        <v>0</v>
      </c>
      <c r="AC68" s="960">
        <f t="array" ref="AC68">HLOOKUP($J68,'Type Chart'!$C$2:$T$20,10,false)*HLOOKUP($K68,'Type Chart'!$C$2:$U$20,10,false)</f>
        <v>2</v>
      </c>
      <c r="AD68" s="960">
        <f t="array" ref="AD68">HLOOKUP($J68,'Type Chart'!$C$2:$T$20,11,false)*HLOOKUP($K68,'Type Chart'!$C$2:$U$20,11,false)</f>
        <v>1</v>
      </c>
      <c r="AE68" s="960">
        <f t="array" ref="AE68">HLOOKUP($J68,'Type Chart'!$C$2:$T$20,12,false)*HLOOKUP($K68,'Type Chart'!$C$2:$U$20,12,false)</f>
        <v>1</v>
      </c>
      <c r="AF68" s="960">
        <f t="array" ref="AF68">HLOOKUP($J68,'Type Chart'!$C$2:$T$20,13,false)*HLOOKUP($K68,'Type Chart'!$C$2:$U$20,13,false)</f>
        <v>1</v>
      </c>
      <c r="AG68" s="960">
        <f t="array" ref="AG68">HLOOKUP($J68,'Type Chart'!$C$2:$T$20,14,false)*HLOOKUP($K68,'Type Chart'!$C$2:$U$20,14,false)</f>
        <v>1</v>
      </c>
      <c r="AH68" s="960">
        <f t="array" ref="AH68">HLOOKUP($J68,'Type Chart'!$C$2:$T$20,15,false)*HLOOKUP($K68,'Type Chart'!$C$2:$U$20,15,false)</f>
        <v>1</v>
      </c>
      <c r="AI68" s="960">
        <f t="array" ref="AI68">HLOOKUP($J68,'Type Chart'!$C$2:$T$20,16,false)*HLOOKUP($K68,'Type Chart'!$C$2:$U$20,16,false)</f>
        <v>1</v>
      </c>
      <c r="AJ68" s="960">
        <f t="array" ref="AJ68">HLOOKUP($J68,'Type Chart'!$C$2:$T$20,17,false)*HLOOKUP($K68,'Type Chart'!$C$2:$U$20,17,false)</f>
        <v>0</v>
      </c>
      <c r="AK68" s="960">
        <f t="array" ref="AK68">HLOOKUP($J68,'Type Chart'!$C$2:$T$20,18,false)*HLOOKUP($K68,'Type Chart'!$C$2:$U$20,18,false)</f>
        <v>0.5</v>
      </c>
      <c r="AL68" s="960">
        <f t="array" ref="AL68">HLOOKUP($J68,'Type Chart'!$C$2:$T$20,19,false)*HLOOKUP($K68,'Type Chart'!$C$2:$U$20,19,false)</f>
        <v>1</v>
      </c>
      <c r="AM68" s="1145" t="s">
        <v>1165</v>
      </c>
      <c r="AN68" s="1202" t="s">
        <v>1185</v>
      </c>
      <c r="AO68" s="1146" t="s">
        <v>1167</v>
      </c>
      <c r="AP68" s="936"/>
      <c r="AQ68" s="967"/>
      <c r="AR68" s="968"/>
      <c r="AS68" s="936"/>
    </row>
    <row r="69" ht="15.75" customHeight="1">
      <c r="A69" s="936"/>
      <c r="B69" s="948" t="s">
        <v>1186</v>
      </c>
      <c r="C69" s="950" t="s">
        <v>1187</v>
      </c>
      <c r="D69" s="950" t="s">
        <v>1187</v>
      </c>
      <c r="E69" s="952" t="s">
        <v>1187</v>
      </c>
      <c r="F69" s="940"/>
      <c r="G69" s="953"/>
      <c r="H69" s="969"/>
      <c r="I69" s="956" t="s">
        <v>779</v>
      </c>
      <c r="J69" s="1194" t="s">
        <v>136</v>
      </c>
      <c r="K69" s="1207" t="s">
        <v>127</v>
      </c>
      <c r="L69" s="959">
        <v>140.0</v>
      </c>
      <c r="M69" s="960">
        <v>70.0</v>
      </c>
      <c r="N69" s="960">
        <v>45.0</v>
      </c>
      <c r="O69" s="960">
        <v>85.0</v>
      </c>
      <c r="P69" s="960">
        <v>50.0</v>
      </c>
      <c r="Q69" s="960">
        <v>45.0</v>
      </c>
      <c r="R69" s="960">
        <v>126.0</v>
      </c>
      <c r="S69" s="960">
        <v>189.0</v>
      </c>
      <c r="T69" s="960">
        <v>207.0</v>
      </c>
      <c r="U69" s="960">
        <f t="array" ref="U69">HLOOKUP($J69,'Type Chart'!$C$2:$T$20,2,false)*HLOOKUP($K69,'Type Chart'!$C$2:$U$20,2,false)</f>
        <v>1</v>
      </c>
      <c r="V69" s="960">
        <f t="array" ref="V69">HLOOKUP($J69,'Type Chart'!$C$2:$T$20,3,false)*HLOOKUP($K69,'Type Chart'!$C$2:$U$20,3,false)</f>
        <v>1</v>
      </c>
      <c r="W69" s="960">
        <f t="array" ref="W69">HLOOKUP($J69,'Type Chart'!$C$2:$T$20,4,false)*HLOOKUP($K69,'Type Chart'!$C$2:$U$20,4,false)</f>
        <v>1</v>
      </c>
      <c r="X69" s="960">
        <f t="array" ref="X69">HLOOKUP($J69,'Type Chart'!$C$2:$T$20,5,false)*HLOOKUP($K69,'Type Chart'!$C$2:$U$20,5,false)</f>
        <v>2</v>
      </c>
      <c r="Y69" s="960">
        <f t="array" ref="Y69">HLOOKUP($J69,'Type Chart'!$C$2:$T$20,6,false)*HLOOKUP($K69,'Type Chart'!$C$2:$U$20,6,false)</f>
        <v>1</v>
      </c>
      <c r="Z69" s="960">
        <f t="array" ref="Z69">HLOOKUP($J69,'Type Chart'!$C$2:$T$20,7,false)*HLOOKUP($K69,'Type Chart'!$C$2:$U$20,7,false)</f>
        <v>1</v>
      </c>
      <c r="AA69" s="960">
        <f t="array" ref="AA69">HLOOKUP($J69,'Type Chart'!$C$2:$T$20,8,false)*HLOOKUP($K69,'Type Chart'!$C$2:$U$20,8,false)</f>
        <v>0.5</v>
      </c>
      <c r="AB69" s="960">
        <f t="array" ref="AB69">HLOOKUP($J69,'Type Chart'!$C$2:$T$20,9,false)*HLOOKUP($K69,'Type Chart'!$C$2:$U$20,9,false)</f>
        <v>0</v>
      </c>
      <c r="AC69" s="960">
        <f t="array" ref="AC69">HLOOKUP($J69,'Type Chart'!$C$2:$T$20,10,false)*HLOOKUP($K69,'Type Chart'!$C$2:$U$20,10,false)</f>
        <v>2</v>
      </c>
      <c r="AD69" s="960">
        <f t="array" ref="AD69">HLOOKUP($J69,'Type Chart'!$C$2:$T$20,11,false)*HLOOKUP($K69,'Type Chart'!$C$2:$U$20,11,false)</f>
        <v>1</v>
      </c>
      <c r="AE69" s="960">
        <f t="array" ref="AE69">HLOOKUP($J69,'Type Chart'!$C$2:$T$20,12,false)*HLOOKUP($K69,'Type Chart'!$C$2:$U$20,12,false)</f>
        <v>1</v>
      </c>
      <c r="AF69" s="960">
        <f t="array" ref="AF69">HLOOKUP($J69,'Type Chart'!$C$2:$T$20,13,false)*HLOOKUP($K69,'Type Chart'!$C$2:$U$20,13,false)</f>
        <v>1</v>
      </c>
      <c r="AG69" s="960">
        <f t="array" ref="AG69">HLOOKUP($J69,'Type Chart'!$C$2:$T$20,14,false)*HLOOKUP($K69,'Type Chart'!$C$2:$U$20,14,false)</f>
        <v>1</v>
      </c>
      <c r="AH69" s="960">
        <f t="array" ref="AH69">HLOOKUP($J69,'Type Chart'!$C$2:$T$20,15,false)*HLOOKUP($K69,'Type Chart'!$C$2:$U$20,15,false)</f>
        <v>1</v>
      </c>
      <c r="AI69" s="960">
        <f t="array" ref="AI69">HLOOKUP($J69,'Type Chart'!$C$2:$T$20,16,false)*HLOOKUP($K69,'Type Chart'!$C$2:$U$20,16,false)</f>
        <v>1</v>
      </c>
      <c r="AJ69" s="960">
        <f t="array" ref="AJ69">HLOOKUP($J69,'Type Chart'!$C$2:$T$20,17,false)*HLOOKUP($K69,'Type Chart'!$C$2:$U$20,17,false)</f>
        <v>0</v>
      </c>
      <c r="AK69" s="960">
        <f t="array" ref="AK69">HLOOKUP($J69,'Type Chart'!$C$2:$T$20,18,false)*HLOOKUP($K69,'Type Chart'!$C$2:$U$20,18,false)</f>
        <v>0.5</v>
      </c>
      <c r="AL69" s="960">
        <f t="array" ref="AL69">HLOOKUP($J69,'Type Chart'!$C$2:$T$20,19,false)*HLOOKUP($K69,'Type Chart'!$C$2:$U$20,19,false)</f>
        <v>1</v>
      </c>
      <c r="AM69" s="964" t="s">
        <v>1165</v>
      </c>
      <c r="AN69" s="965" t="s">
        <v>1185</v>
      </c>
      <c r="AO69" s="966" t="s">
        <v>1188</v>
      </c>
      <c r="AP69" s="936"/>
      <c r="AQ69" s="967"/>
      <c r="AR69" s="968"/>
      <c r="AS69" s="936"/>
    </row>
    <row r="70" ht="15.75" customHeight="1">
      <c r="A70" s="936"/>
      <c r="B70" s="948" t="s">
        <v>1189</v>
      </c>
      <c r="C70" s="950" t="s">
        <v>1190</v>
      </c>
      <c r="D70" s="950" t="s">
        <v>1190</v>
      </c>
      <c r="E70" s="952" t="s">
        <v>1190</v>
      </c>
      <c r="F70" s="940"/>
      <c r="G70" s="953"/>
      <c r="H70" s="969"/>
      <c r="I70" s="956" t="s">
        <v>1191</v>
      </c>
      <c r="J70" s="958" t="s">
        <v>178</v>
      </c>
      <c r="K70" s="1001" t="s">
        <v>128</v>
      </c>
      <c r="L70" s="959">
        <v>40.0</v>
      </c>
      <c r="M70" s="960">
        <v>45.0</v>
      </c>
      <c r="N70" s="960">
        <v>35.0</v>
      </c>
      <c r="O70" s="960">
        <v>30.0</v>
      </c>
      <c r="P70" s="960">
        <v>40.0</v>
      </c>
      <c r="Q70" s="960">
        <v>55.0</v>
      </c>
      <c r="R70" s="960">
        <v>146.0</v>
      </c>
      <c r="S70" s="960">
        <v>209.0</v>
      </c>
      <c r="T70" s="960">
        <v>229.0</v>
      </c>
      <c r="U70" s="960">
        <f t="array" ref="U70">HLOOKUP($J70,'Type Chart'!$C$2:$T$20,2,false)*HLOOKUP($K70,'Type Chart'!$C$2:$U$20,2,false)</f>
        <v>1</v>
      </c>
      <c r="V70" s="960">
        <f t="array" ref="V70">HLOOKUP($J70,'Type Chart'!$C$2:$T$20,3,false)*HLOOKUP($K70,'Type Chart'!$C$2:$U$20,3,false)</f>
        <v>0.25</v>
      </c>
      <c r="W70" s="960">
        <f t="array" ref="W70">HLOOKUP($J70,'Type Chart'!$C$2:$T$20,4,false)*HLOOKUP($K70,'Type Chart'!$C$2:$U$20,4,false)</f>
        <v>1</v>
      </c>
      <c r="X70" s="960">
        <f t="array" ref="X70">HLOOKUP($J70,'Type Chart'!$C$2:$T$20,5,false)*HLOOKUP($K70,'Type Chart'!$C$2:$U$20,5,false)</f>
        <v>0.5</v>
      </c>
      <c r="Y70" s="960">
        <f t="array" ref="Y70">HLOOKUP($J70,'Type Chart'!$C$2:$T$20,6,false)*HLOOKUP($K70,'Type Chart'!$C$2:$U$20,6,false)</f>
        <v>0</v>
      </c>
      <c r="Z70" s="960">
        <f t="array" ref="Z70">HLOOKUP($J70,'Type Chart'!$C$2:$T$20,7,false)*HLOOKUP($K70,'Type Chart'!$C$2:$U$20,7,false)</f>
        <v>2</v>
      </c>
      <c r="AA70" s="960">
        <f t="array" ref="AA70">HLOOKUP($J70,'Type Chart'!$C$2:$T$20,8,false)*HLOOKUP($K70,'Type Chart'!$C$2:$U$20,8,false)</f>
        <v>0.25</v>
      </c>
      <c r="AB70" s="960">
        <f t="array" ref="AB70">HLOOKUP($J70,'Type Chart'!$C$2:$T$20,9,false)*HLOOKUP($K70,'Type Chart'!$C$2:$U$20,9,false)</f>
        <v>1</v>
      </c>
      <c r="AC70" s="960">
        <f t="array" ref="AC70">HLOOKUP($J70,'Type Chart'!$C$2:$T$20,10,false)*HLOOKUP($K70,'Type Chart'!$C$2:$U$20,10,false)</f>
        <v>1</v>
      </c>
      <c r="AD70" s="960">
        <f t="array" ref="AD70">HLOOKUP($J70,'Type Chart'!$C$2:$T$20,11,false)*HLOOKUP($K70,'Type Chart'!$C$2:$U$20,11,false)</f>
        <v>1</v>
      </c>
      <c r="AE70" s="960">
        <f t="array" ref="AE70">HLOOKUP($J70,'Type Chart'!$C$2:$T$20,12,false)*HLOOKUP($K70,'Type Chart'!$C$2:$U$20,12,false)</f>
        <v>1</v>
      </c>
      <c r="AF70" s="960">
        <f t="array" ref="AF70">HLOOKUP($J70,'Type Chart'!$C$2:$T$20,13,false)*HLOOKUP($K70,'Type Chart'!$C$2:$U$20,13,false)</f>
        <v>0.25</v>
      </c>
      <c r="AG70" s="960">
        <f t="array" ref="AG70">HLOOKUP($J70,'Type Chart'!$C$2:$T$20,14,false)*HLOOKUP($K70,'Type Chart'!$C$2:$U$20,14,false)</f>
        <v>2</v>
      </c>
      <c r="AH70" s="960">
        <f t="array" ref="AH70">HLOOKUP($J70,'Type Chart'!$C$2:$T$20,15,false)*HLOOKUP($K70,'Type Chart'!$C$2:$U$20,15,false)</f>
        <v>2</v>
      </c>
      <c r="AI70" s="960">
        <f t="array" ref="AI70">HLOOKUP($J70,'Type Chart'!$C$2:$T$20,16,false)*HLOOKUP($K70,'Type Chart'!$C$2:$U$20,16,false)</f>
        <v>2</v>
      </c>
      <c r="AJ70" s="960">
        <f t="array" ref="AJ70">HLOOKUP($J70,'Type Chart'!$C$2:$T$20,17,false)*HLOOKUP($K70,'Type Chart'!$C$2:$U$20,17,false)</f>
        <v>1</v>
      </c>
      <c r="AK70" s="960">
        <f t="array" ref="AK70">HLOOKUP($J70,'Type Chart'!$C$2:$T$20,18,false)*HLOOKUP($K70,'Type Chart'!$C$2:$U$20,18,false)</f>
        <v>1</v>
      </c>
      <c r="AL70" s="960">
        <f t="array" ref="AL70">HLOOKUP($J70,'Type Chart'!$C$2:$T$20,19,false)*HLOOKUP($K70,'Type Chart'!$C$2:$U$20,19,false)</f>
        <v>0.5</v>
      </c>
      <c r="AM70" s="964" t="s">
        <v>1192</v>
      </c>
      <c r="AN70" s="965"/>
      <c r="AO70" s="966" t="s">
        <v>1193</v>
      </c>
      <c r="AP70" s="936"/>
      <c r="AQ70" s="967"/>
      <c r="AR70" s="968"/>
      <c r="AS70" s="936"/>
    </row>
    <row r="71" ht="15.75" customHeight="1">
      <c r="A71" s="1099"/>
      <c r="B71" s="948" t="s">
        <v>1194</v>
      </c>
      <c r="C71" s="1197" t="s">
        <v>1195</v>
      </c>
      <c r="D71" s="1197" t="s">
        <v>1195</v>
      </c>
      <c r="E71" s="1147" t="s">
        <v>1195</v>
      </c>
      <c r="F71" s="940"/>
      <c r="G71" s="953"/>
      <c r="H71" s="969"/>
      <c r="I71" s="998" t="s">
        <v>1196</v>
      </c>
      <c r="J71" s="1209" t="s">
        <v>178</v>
      </c>
      <c r="K71" s="1210" t="s">
        <v>128</v>
      </c>
      <c r="L71" s="1200">
        <v>75.0</v>
      </c>
      <c r="M71" s="1201">
        <v>80.0</v>
      </c>
      <c r="N71" s="1201">
        <v>70.0</v>
      </c>
      <c r="O71" s="1201">
        <v>65.0</v>
      </c>
      <c r="P71" s="1201">
        <v>75.0</v>
      </c>
      <c r="Q71" s="1201">
        <v>90.0</v>
      </c>
      <c r="R71" s="960">
        <v>216.0</v>
      </c>
      <c r="S71" s="960">
        <v>279.0</v>
      </c>
      <c r="T71" s="960">
        <v>306.0</v>
      </c>
      <c r="U71" s="960">
        <f t="array" ref="U71">HLOOKUP($J71,'Type Chart'!$C$2:$T$20,2,false)*HLOOKUP($K71,'Type Chart'!$C$2:$U$20,2,false)</f>
        <v>1</v>
      </c>
      <c r="V71" s="960">
        <f t="array" ref="V71">HLOOKUP($J71,'Type Chart'!$C$2:$T$20,3,false)*HLOOKUP($K71,'Type Chart'!$C$2:$U$20,3,false)</f>
        <v>0.25</v>
      </c>
      <c r="W71" s="960">
        <f t="array" ref="W71">HLOOKUP($J71,'Type Chart'!$C$2:$T$20,4,false)*HLOOKUP($K71,'Type Chart'!$C$2:$U$20,4,false)</f>
        <v>1</v>
      </c>
      <c r="X71" s="960">
        <f t="array" ref="X71">HLOOKUP($J71,'Type Chart'!$C$2:$T$20,5,false)*HLOOKUP($K71,'Type Chart'!$C$2:$U$20,5,false)</f>
        <v>0.5</v>
      </c>
      <c r="Y71" s="960">
        <f t="array" ref="Y71">HLOOKUP($J71,'Type Chart'!$C$2:$T$20,6,false)*HLOOKUP($K71,'Type Chart'!$C$2:$U$20,6,false)</f>
        <v>0</v>
      </c>
      <c r="Z71" s="960">
        <f t="array" ref="Z71">HLOOKUP($J71,'Type Chart'!$C$2:$T$20,7,false)*HLOOKUP($K71,'Type Chart'!$C$2:$U$20,7,false)</f>
        <v>2</v>
      </c>
      <c r="AA71" s="960">
        <f t="array" ref="AA71">HLOOKUP($J71,'Type Chart'!$C$2:$T$20,8,false)*HLOOKUP($K71,'Type Chart'!$C$2:$U$20,8,false)</f>
        <v>0.25</v>
      </c>
      <c r="AB71" s="960">
        <f t="array" ref="AB71">HLOOKUP($J71,'Type Chart'!$C$2:$T$20,9,false)*HLOOKUP($K71,'Type Chart'!$C$2:$U$20,9,false)</f>
        <v>1</v>
      </c>
      <c r="AC71" s="960">
        <f t="array" ref="AC71">HLOOKUP($J71,'Type Chart'!$C$2:$T$20,10,false)*HLOOKUP($K71,'Type Chart'!$C$2:$U$20,10,false)</f>
        <v>1</v>
      </c>
      <c r="AD71" s="960">
        <f t="array" ref="AD71">HLOOKUP($J71,'Type Chart'!$C$2:$T$20,11,false)*HLOOKUP($K71,'Type Chart'!$C$2:$U$20,11,false)</f>
        <v>1</v>
      </c>
      <c r="AE71" s="960">
        <f t="array" ref="AE71">HLOOKUP($J71,'Type Chart'!$C$2:$T$20,12,false)*HLOOKUP($K71,'Type Chart'!$C$2:$U$20,12,false)</f>
        <v>1</v>
      </c>
      <c r="AF71" s="960">
        <f t="array" ref="AF71">HLOOKUP($J71,'Type Chart'!$C$2:$T$20,13,false)*HLOOKUP($K71,'Type Chart'!$C$2:$U$20,13,false)</f>
        <v>0.25</v>
      </c>
      <c r="AG71" s="960">
        <f t="array" ref="AG71">HLOOKUP($J71,'Type Chart'!$C$2:$T$20,14,false)*HLOOKUP($K71,'Type Chart'!$C$2:$U$20,14,false)</f>
        <v>2</v>
      </c>
      <c r="AH71" s="960">
        <f t="array" ref="AH71">HLOOKUP($J71,'Type Chart'!$C$2:$T$20,15,false)*HLOOKUP($K71,'Type Chart'!$C$2:$U$20,15,false)</f>
        <v>2</v>
      </c>
      <c r="AI71" s="960">
        <f t="array" ref="AI71">HLOOKUP($J71,'Type Chart'!$C$2:$T$20,16,false)*HLOOKUP($K71,'Type Chart'!$C$2:$U$20,16,false)</f>
        <v>2</v>
      </c>
      <c r="AJ71" s="960">
        <f t="array" ref="AJ71">HLOOKUP($J71,'Type Chart'!$C$2:$T$20,17,false)*HLOOKUP($K71,'Type Chart'!$C$2:$U$20,17,false)</f>
        <v>1</v>
      </c>
      <c r="AK71" s="960">
        <f t="array" ref="AK71">HLOOKUP($J71,'Type Chart'!$C$2:$T$20,18,false)*HLOOKUP($K71,'Type Chart'!$C$2:$U$20,18,false)</f>
        <v>1</v>
      </c>
      <c r="AL71" s="960">
        <f t="array" ref="AL71">HLOOKUP($J71,'Type Chart'!$C$2:$T$20,19,false)*HLOOKUP($K71,'Type Chart'!$C$2:$U$20,19,false)</f>
        <v>0.5</v>
      </c>
      <c r="AM71" s="1145" t="s">
        <v>1192</v>
      </c>
      <c r="AN71" s="965"/>
      <c r="AO71" s="1146" t="s">
        <v>1193</v>
      </c>
      <c r="AP71" s="936"/>
      <c r="AQ71" s="967"/>
      <c r="AR71" s="968"/>
      <c r="AS71" s="936"/>
    </row>
    <row r="72" ht="15.75" customHeight="1">
      <c r="A72" s="936"/>
      <c r="B72" s="948" t="s">
        <v>1197</v>
      </c>
      <c r="C72" s="950" t="s">
        <v>1198</v>
      </c>
      <c r="D72" s="950" t="s">
        <v>1198</v>
      </c>
      <c r="E72" s="952" t="s">
        <v>1198</v>
      </c>
      <c r="F72" s="940"/>
      <c r="G72" s="953"/>
      <c r="H72" s="969"/>
      <c r="I72" s="956" t="s">
        <v>1199</v>
      </c>
      <c r="J72" s="957" t="s">
        <v>209</v>
      </c>
      <c r="K72" s="958" t="s">
        <v>178</v>
      </c>
      <c r="L72" s="959">
        <v>45.0</v>
      </c>
      <c r="M72" s="960">
        <v>50.0</v>
      </c>
      <c r="N72" s="960">
        <v>55.0</v>
      </c>
      <c r="O72" s="960">
        <v>75.0</v>
      </c>
      <c r="P72" s="960">
        <v>65.0</v>
      </c>
      <c r="Q72" s="960">
        <v>30.0</v>
      </c>
      <c r="R72" s="960">
        <v>96.0</v>
      </c>
      <c r="S72" s="960">
        <v>159.0</v>
      </c>
      <c r="T72" s="960">
        <v>174.0</v>
      </c>
      <c r="U72" s="960">
        <f t="array" ref="U72">HLOOKUP($J72,'Type Chart'!$C$2:$T$20,2,false)*HLOOKUP($K72,'Type Chart'!$C$2:$U$20,2,false)</f>
        <v>1</v>
      </c>
      <c r="V72" s="960">
        <f t="array" ref="V72">HLOOKUP($J72,'Type Chart'!$C$2:$T$20,3,false)*HLOOKUP($K72,'Type Chart'!$C$2:$U$20,3,false)</f>
        <v>0.5</v>
      </c>
      <c r="W72" s="960">
        <f t="array" ref="W72">HLOOKUP($J72,'Type Chart'!$C$2:$T$20,4,false)*HLOOKUP($K72,'Type Chart'!$C$2:$U$20,4,false)</f>
        <v>2</v>
      </c>
      <c r="X72" s="960">
        <f t="array" ref="X72">HLOOKUP($J72,'Type Chart'!$C$2:$T$20,5,false)*HLOOKUP($K72,'Type Chart'!$C$2:$U$20,5,false)</f>
        <v>1</v>
      </c>
      <c r="Y72" s="960">
        <f t="array" ref="Y72">HLOOKUP($J72,'Type Chart'!$C$2:$T$20,6,false)*HLOOKUP($K72,'Type Chart'!$C$2:$U$20,6,false)</f>
        <v>1</v>
      </c>
      <c r="Z72" s="960">
        <f t="array" ref="Z72">HLOOKUP($J72,'Type Chart'!$C$2:$T$20,7,false)*HLOOKUP($K72,'Type Chart'!$C$2:$U$20,7,false)</f>
        <v>1</v>
      </c>
      <c r="AA72" s="960">
        <f t="array" ref="AA72">HLOOKUP($J72,'Type Chart'!$C$2:$T$20,8,false)*HLOOKUP($K72,'Type Chart'!$C$2:$U$20,8,false)</f>
        <v>1</v>
      </c>
      <c r="AB72" s="960">
        <f t="array" ref="AB72">HLOOKUP($J72,'Type Chart'!$C$2:$T$20,9,false)*HLOOKUP($K72,'Type Chart'!$C$2:$U$20,9,false)</f>
        <v>1</v>
      </c>
      <c r="AC72" s="960">
        <f t="array" ref="AC72">HLOOKUP($J72,'Type Chart'!$C$2:$T$20,10,false)*HLOOKUP($K72,'Type Chart'!$C$2:$U$20,10,false)</f>
        <v>1</v>
      </c>
      <c r="AD72" s="960">
        <f t="array" ref="AD72">HLOOKUP($J72,'Type Chart'!$C$2:$T$20,11,false)*HLOOKUP($K72,'Type Chart'!$C$2:$U$20,11,false)</f>
        <v>2</v>
      </c>
      <c r="AE72" s="960">
        <f t="array" ref="AE72">HLOOKUP($J72,'Type Chart'!$C$2:$T$20,12,false)*HLOOKUP($K72,'Type Chart'!$C$2:$U$20,12,false)</f>
        <v>0.5</v>
      </c>
      <c r="AF72" s="960">
        <f t="array" ref="AF72">HLOOKUP($J72,'Type Chart'!$C$2:$T$20,13,false)*HLOOKUP($K72,'Type Chart'!$C$2:$U$20,13,false)</f>
        <v>0.25</v>
      </c>
      <c r="AG72" s="960">
        <f t="array" ref="AG72">HLOOKUP($J72,'Type Chart'!$C$2:$T$20,14,false)*HLOOKUP($K72,'Type Chart'!$C$2:$U$20,14,false)</f>
        <v>0.5</v>
      </c>
      <c r="AH72" s="960">
        <f t="array" ref="AH72">HLOOKUP($J72,'Type Chart'!$C$2:$T$20,15,false)*HLOOKUP($K72,'Type Chart'!$C$2:$U$20,15,false)</f>
        <v>2</v>
      </c>
      <c r="AI72" s="960">
        <f t="array" ref="AI72">HLOOKUP($J72,'Type Chart'!$C$2:$T$20,16,false)*HLOOKUP($K72,'Type Chart'!$C$2:$U$20,16,false)</f>
        <v>2</v>
      </c>
      <c r="AJ72" s="960">
        <f t="array" ref="AJ72">HLOOKUP($J72,'Type Chart'!$C$2:$T$20,17,false)*HLOOKUP($K72,'Type Chart'!$C$2:$U$20,17,false)</f>
        <v>1</v>
      </c>
      <c r="AK72" s="960">
        <f t="array" ref="AK72">HLOOKUP($J72,'Type Chart'!$C$2:$T$20,18,false)*HLOOKUP($K72,'Type Chart'!$C$2:$U$20,18,false)</f>
        <v>1</v>
      </c>
      <c r="AL72" s="960">
        <f t="array" ref="AL72">HLOOKUP($J72,'Type Chart'!$C$2:$T$20,19,false)*HLOOKUP($K72,'Type Chart'!$C$2:$U$20,19,false)</f>
        <v>0.5</v>
      </c>
      <c r="AM72" s="964" t="s">
        <v>524</v>
      </c>
      <c r="AN72" s="965"/>
      <c r="AO72" s="966" t="s">
        <v>988</v>
      </c>
      <c r="AP72" s="936"/>
      <c r="AQ72" s="967"/>
      <c r="AR72" s="968"/>
      <c r="AS72" s="936"/>
    </row>
    <row r="73" ht="15.75" customHeight="1">
      <c r="A73" s="936"/>
      <c r="B73" s="948" t="s">
        <v>1200</v>
      </c>
      <c r="C73" s="950" t="s">
        <v>1201</v>
      </c>
      <c r="D73" s="950" t="s">
        <v>1201</v>
      </c>
      <c r="E73" s="952" t="s">
        <v>1201</v>
      </c>
      <c r="F73" s="940"/>
      <c r="G73" s="953"/>
      <c r="H73" s="969"/>
      <c r="I73" s="956" t="s">
        <v>1202</v>
      </c>
      <c r="J73" s="957" t="s">
        <v>209</v>
      </c>
      <c r="K73" s="958" t="s">
        <v>178</v>
      </c>
      <c r="L73" s="959">
        <v>60.0</v>
      </c>
      <c r="M73" s="960">
        <v>65.0</v>
      </c>
      <c r="N73" s="960">
        <v>70.0</v>
      </c>
      <c r="O73" s="960">
        <v>85.0</v>
      </c>
      <c r="P73" s="960">
        <v>75.0</v>
      </c>
      <c r="Q73" s="960">
        <v>40.0</v>
      </c>
      <c r="R73" s="960">
        <v>116.0</v>
      </c>
      <c r="S73" s="960">
        <v>179.0</v>
      </c>
      <c r="T73" s="960">
        <v>196.0</v>
      </c>
      <c r="U73" s="960">
        <f t="array" ref="U73">HLOOKUP($J73,'Type Chart'!$C$2:$T$20,2,false)*HLOOKUP($K73,'Type Chart'!$C$2:$U$20,2,false)</f>
        <v>1</v>
      </c>
      <c r="V73" s="960">
        <f t="array" ref="V73">HLOOKUP($J73,'Type Chart'!$C$2:$T$20,3,false)*HLOOKUP($K73,'Type Chart'!$C$2:$U$20,3,false)</f>
        <v>0.5</v>
      </c>
      <c r="W73" s="960">
        <f t="array" ref="W73">HLOOKUP($J73,'Type Chart'!$C$2:$T$20,4,false)*HLOOKUP($K73,'Type Chart'!$C$2:$U$20,4,false)</f>
        <v>2</v>
      </c>
      <c r="X73" s="960">
        <f t="array" ref="X73">HLOOKUP($J73,'Type Chart'!$C$2:$T$20,5,false)*HLOOKUP($K73,'Type Chart'!$C$2:$U$20,5,false)</f>
        <v>1</v>
      </c>
      <c r="Y73" s="960">
        <f t="array" ref="Y73">HLOOKUP($J73,'Type Chart'!$C$2:$T$20,6,false)*HLOOKUP($K73,'Type Chart'!$C$2:$U$20,6,false)</f>
        <v>1</v>
      </c>
      <c r="Z73" s="960">
        <f t="array" ref="Z73">HLOOKUP($J73,'Type Chart'!$C$2:$T$20,7,false)*HLOOKUP($K73,'Type Chart'!$C$2:$U$20,7,false)</f>
        <v>1</v>
      </c>
      <c r="AA73" s="960">
        <f t="array" ref="AA73">HLOOKUP($J73,'Type Chart'!$C$2:$T$20,8,false)*HLOOKUP($K73,'Type Chart'!$C$2:$U$20,8,false)</f>
        <v>1</v>
      </c>
      <c r="AB73" s="960">
        <f t="array" ref="AB73">HLOOKUP($J73,'Type Chart'!$C$2:$T$20,9,false)*HLOOKUP($K73,'Type Chart'!$C$2:$U$20,9,false)</f>
        <v>1</v>
      </c>
      <c r="AC73" s="960">
        <f t="array" ref="AC73">HLOOKUP($J73,'Type Chart'!$C$2:$T$20,10,false)*HLOOKUP($K73,'Type Chart'!$C$2:$U$20,10,false)</f>
        <v>1</v>
      </c>
      <c r="AD73" s="960">
        <f t="array" ref="AD73">HLOOKUP($J73,'Type Chart'!$C$2:$T$20,11,false)*HLOOKUP($K73,'Type Chart'!$C$2:$U$20,11,false)</f>
        <v>2</v>
      </c>
      <c r="AE73" s="960">
        <f t="array" ref="AE73">HLOOKUP($J73,'Type Chart'!$C$2:$T$20,12,false)*HLOOKUP($K73,'Type Chart'!$C$2:$U$20,12,false)</f>
        <v>0.5</v>
      </c>
      <c r="AF73" s="960">
        <f t="array" ref="AF73">HLOOKUP($J73,'Type Chart'!$C$2:$T$20,13,false)*HLOOKUP($K73,'Type Chart'!$C$2:$U$20,13,false)</f>
        <v>0.25</v>
      </c>
      <c r="AG73" s="960">
        <f t="array" ref="AG73">HLOOKUP($J73,'Type Chart'!$C$2:$T$20,14,false)*HLOOKUP($K73,'Type Chart'!$C$2:$U$20,14,false)</f>
        <v>0.5</v>
      </c>
      <c r="AH73" s="960">
        <f t="array" ref="AH73">HLOOKUP($J73,'Type Chart'!$C$2:$T$20,15,false)*HLOOKUP($K73,'Type Chart'!$C$2:$U$20,15,false)</f>
        <v>2</v>
      </c>
      <c r="AI73" s="960">
        <f t="array" ref="AI73">HLOOKUP($J73,'Type Chart'!$C$2:$T$20,16,false)*HLOOKUP($K73,'Type Chart'!$C$2:$U$20,16,false)</f>
        <v>2</v>
      </c>
      <c r="AJ73" s="960">
        <f t="array" ref="AJ73">HLOOKUP($J73,'Type Chart'!$C$2:$T$20,17,false)*HLOOKUP($K73,'Type Chart'!$C$2:$U$20,17,false)</f>
        <v>1</v>
      </c>
      <c r="AK73" s="960">
        <f t="array" ref="AK73">HLOOKUP($J73,'Type Chart'!$C$2:$T$20,18,false)*HLOOKUP($K73,'Type Chart'!$C$2:$U$20,18,false)</f>
        <v>1</v>
      </c>
      <c r="AL73" s="960">
        <f t="array" ref="AL73">HLOOKUP($J73,'Type Chart'!$C$2:$T$20,19,false)*HLOOKUP($K73,'Type Chart'!$C$2:$U$20,19,false)</f>
        <v>0.5</v>
      </c>
      <c r="AM73" s="964" t="s">
        <v>524</v>
      </c>
      <c r="AN73" s="965"/>
      <c r="AO73" s="966" t="s">
        <v>1203</v>
      </c>
      <c r="AP73" s="936"/>
      <c r="AQ73" s="967"/>
      <c r="AR73" s="968"/>
      <c r="AS73" s="936"/>
    </row>
    <row r="74" ht="15.75" customHeight="1">
      <c r="A74" s="1099"/>
      <c r="B74" s="948" t="s">
        <v>1204</v>
      </c>
      <c r="C74" s="950" t="s">
        <v>1205</v>
      </c>
      <c r="D74" s="950" t="s">
        <v>1205</v>
      </c>
      <c r="E74" s="952" t="s">
        <v>1205</v>
      </c>
      <c r="F74" s="940"/>
      <c r="G74" s="953"/>
      <c r="H74" s="969"/>
      <c r="I74" s="956" t="s">
        <v>695</v>
      </c>
      <c r="J74" s="957" t="s">
        <v>209</v>
      </c>
      <c r="K74" s="958" t="s">
        <v>178</v>
      </c>
      <c r="L74" s="959">
        <v>75.0</v>
      </c>
      <c r="M74" s="960">
        <v>80.0</v>
      </c>
      <c r="N74" s="960">
        <v>85.0</v>
      </c>
      <c r="O74" s="960">
        <v>110.0</v>
      </c>
      <c r="P74" s="960">
        <v>90.0</v>
      </c>
      <c r="Q74" s="960">
        <v>50.0</v>
      </c>
      <c r="R74" s="960">
        <v>136.0</v>
      </c>
      <c r="S74" s="960">
        <v>199.0</v>
      </c>
      <c r="T74" s="960">
        <v>218.0</v>
      </c>
      <c r="U74" s="960">
        <f t="array" ref="U74">HLOOKUP($J74,'Type Chart'!$C$2:$T$20,2,false)*HLOOKUP($K74,'Type Chart'!$C$2:$U$20,2,false)</f>
        <v>1</v>
      </c>
      <c r="V74" s="960">
        <f t="array" ref="V74">HLOOKUP($J74,'Type Chart'!$C$2:$T$20,3,false)*HLOOKUP($K74,'Type Chart'!$C$2:$U$20,3,false)</f>
        <v>0.5</v>
      </c>
      <c r="W74" s="960">
        <f t="array" ref="W74">HLOOKUP($J74,'Type Chart'!$C$2:$T$20,4,false)*HLOOKUP($K74,'Type Chart'!$C$2:$U$20,4,false)</f>
        <v>2</v>
      </c>
      <c r="X74" s="960">
        <f t="array" ref="X74">HLOOKUP($J74,'Type Chart'!$C$2:$T$20,5,false)*HLOOKUP($K74,'Type Chart'!$C$2:$U$20,5,false)</f>
        <v>1</v>
      </c>
      <c r="Y74" s="960">
        <f t="array" ref="Y74">HLOOKUP($J74,'Type Chart'!$C$2:$T$20,6,false)*HLOOKUP($K74,'Type Chart'!$C$2:$U$20,6,false)</f>
        <v>1</v>
      </c>
      <c r="Z74" s="960">
        <f t="array" ref="Z74">HLOOKUP($J74,'Type Chart'!$C$2:$T$20,7,false)*HLOOKUP($K74,'Type Chart'!$C$2:$U$20,7,false)</f>
        <v>1</v>
      </c>
      <c r="AA74" s="960">
        <f t="array" ref="AA74">HLOOKUP($J74,'Type Chart'!$C$2:$T$20,8,false)*HLOOKUP($K74,'Type Chart'!$C$2:$U$20,8,false)</f>
        <v>1</v>
      </c>
      <c r="AB74" s="960">
        <f t="array" ref="AB74">HLOOKUP($J74,'Type Chart'!$C$2:$T$20,9,false)*HLOOKUP($K74,'Type Chart'!$C$2:$U$20,9,false)</f>
        <v>1</v>
      </c>
      <c r="AC74" s="960">
        <f t="array" ref="AC74">HLOOKUP($J74,'Type Chart'!$C$2:$T$20,10,false)*HLOOKUP($K74,'Type Chart'!$C$2:$U$20,10,false)</f>
        <v>1</v>
      </c>
      <c r="AD74" s="960">
        <f t="array" ref="AD74">HLOOKUP($J74,'Type Chart'!$C$2:$T$20,11,false)*HLOOKUP($K74,'Type Chart'!$C$2:$U$20,11,false)</f>
        <v>2</v>
      </c>
      <c r="AE74" s="960">
        <f t="array" ref="AE74">HLOOKUP($J74,'Type Chart'!$C$2:$T$20,12,false)*HLOOKUP($K74,'Type Chart'!$C$2:$U$20,12,false)</f>
        <v>0.5</v>
      </c>
      <c r="AF74" s="960">
        <f t="array" ref="AF74">HLOOKUP($J74,'Type Chart'!$C$2:$T$20,13,false)*HLOOKUP($K74,'Type Chart'!$C$2:$U$20,13,false)</f>
        <v>0.25</v>
      </c>
      <c r="AG74" s="960">
        <f t="array" ref="AG74">HLOOKUP($J74,'Type Chart'!$C$2:$T$20,14,false)*HLOOKUP($K74,'Type Chart'!$C$2:$U$20,14,false)</f>
        <v>0.5</v>
      </c>
      <c r="AH74" s="960">
        <f t="array" ref="AH74">HLOOKUP($J74,'Type Chart'!$C$2:$T$20,15,false)*HLOOKUP($K74,'Type Chart'!$C$2:$U$20,15,false)</f>
        <v>2</v>
      </c>
      <c r="AI74" s="960">
        <f t="array" ref="AI74">HLOOKUP($J74,'Type Chart'!$C$2:$T$20,16,false)*HLOOKUP($K74,'Type Chart'!$C$2:$U$20,16,false)</f>
        <v>2</v>
      </c>
      <c r="AJ74" s="960">
        <f t="array" ref="AJ74">HLOOKUP($J74,'Type Chart'!$C$2:$T$20,17,false)*HLOOKUP($K74,'Type Chart'!$C$2:$U$20,17,false)</f>
        <v>1</v>
      </c>
      <c r="AK74" s="960">
        <f t="array" ref="AK74">HLOOKUP($J74,'Type Chart'!$C$2:$T$20,18,false)*HLOOKUP($K74,'Type Chart'!$C$2:$U$20,18,false)</f>
        <v>1</v>
      </c>
      <c r="AL74" s="960">
        <f t="array" ref="AL74">HLOOKUP($J74,'Type Chart'!$C$2:$T$20,19,false)*HLOOKUP($K74,'Type Chart'!$C$2:$U$20,19,false)</f>
        <v>0.5</v>
      </c>
      <c r="AM74" s="1145" t="s">
        <v>524</v>
      </c>
      <c r="AN74" s="965"/>
      <c r="AO74" s="1146" t="s">
        <v>1206</v>
      </c>
      <c r="AP74" s="936"/>
      <c r="AQ74" s="967"/>
      <c r="AR74" s="968"/>
      <c r="AS74" s="936"/>
    </row>
    <row r="75" ht="15.75" customHeight="1">
      <c r="A75" s="936"/>
      <c r="B75" s="948" t="s">
        <v>1207</v>
      </c>
      <c r="C75" s="950" t="s">
        <v>1208</v>
      </c>
      <c r="D75" s="950" t="s">
        <v>1208</v>
      </c>
      <c r="E75" s="952" t="s">
        <v>1208</v>
      </c>
      <c r="F75" s="940"/>
      <c r="G75" s="953"/>
      <c r="H75" s="969"/>
      <c r="I75" s="956" t="s">
        <v>1209</v>
      </c>
      <c r="J75" s="1180" t="s">
        <v>343</v>
      </c>
      <c r="K75" s="957" t="s">
        <v>209</v>
      </c>
      <c r="L75" s="959">
        <v>35.0</v>
      </c>
      <c r="M75" s="960">
        <v>70.0</v>
      </c>
      <c r="N75" s="960">
        <v>55.0</v>
      </c>
      <c r="O75" s="960">
        <v>45.0</v>
      </c>
      <c r="P75" s="960">
        <v>55.0</v>
      </c>
      <c r="Q75" s="960">
        <v>25.0</v>
      </c>
      <c r="R75" s="960">
        <v>86.0</v>
      </c>
      <c r="S75" s="960">
        <v>149.0</v>
      </c>
      <c r="T75" s="960">
        <v>163.0</v>
      </c>
      <c r="U75" s="960">
        <f t="array" ref="U75">HLOOKUP($J75,'Type Chart'!$C$2:$T$20,2,false)*HLOOKUP($K75,'Type Chart'!$C$2:$U$20,2,false)</f>
        <v>1</v>
      </c>
      <c r="V75" s="960">
        <f t="array" ref="V75">HLOOKUP($J75,'Type Chart'!$C$2:$T$20,3,false)*HLOOKUP($K75,'Type Chart'!$C$2:$U$20,3,false)</f>
        <v>0.5</v>
      </c>
      <c r="W75" s="960">
        <f t="array" ref="W75">HLOOKUP($J75,'Type Chart'!$C$2:$T$20,4,false)*HLOOKUP($K75,'Type Chart'!$C$2:$U$20,4,false)</f>
        <v>4</v>
      </c>
      <c r="X75" s="960">
        <f t="array" ref="X75">HLOOKUP($J75,'Type Chart'!$C$2:$T$20,5,false)*HLOOKUP($K75,'Type Chart'!$C$2:$U$20,5,false)</f>
        <v>2</v>
      </c>
      <c r="Y75" s="960">
        <f t="array" ref="Y75">HLOOKUP($J75,'Type Chart'!$C$2:$T$20,6,false)*HLOOKUP($K75,'Type Chart'!$C$2:$U$20,6,false)</f>
        <v>0.25</v>
      </c>
      <c r="Z75" s="960">
        <f t="array" ref="Z75">HLOOKUP($J75,'Type Chart'!$C$2:$T$20,7,false)*HLOOKUP($K75,'Type Chart'!$C$2:$U$20,7,false)</f>
        <v>2</v>
      </c>
      <c r="AA75" s="960">
        <f t="array" ref="AA75">HLOOKUP($J75,'Type Chart'!$C$2:$T$20,8,false)*HLOOKUP($K75,'Type Chart'!$C$2:$U$20,8,false)</f>
        <v>2</v>
      </c>
      <c r="AB75" s="960">
        <f t="array" ref="AB75">HLOOKUP($J75,'Type Chart'!$C$2:$T$20,9,false)*HLOOKUP($K75,'Type Chart'!$C$2:$U$20,9,false)</f>
        <v>1</v>
      </c>
      <c r="AC75" s="960">
        <f t="array" ref="AC75">HLOOKUP($J75,'Type Chart'!$C$2:$T$20,10,false)*HLOOKUP($K75,'Type Chart'!$C$2:$U$20,10,false)</f>
        <v>1</v>
      </c>
      <c r="AD75" s="960">
        <f t="array" ref="AD75">HLOOKUP($J75,'Type Chart'!$C$2:$T$20,11,false)*HLOOKUP($K75,'Type Chart'!$C$2:$U$20,11,false)</f>
        <v>4</v>
      </c>
      <c r="AE75" s="960">
        <f t="array" ref="AE75">HLOOKUP($J75,'Type Chart'!$C$2:$T$20,12,false)*HLOOKUP($K75,'Type Chart'!$C$2:$U$20,12,false)</f>
        <v>0.5</v>
      </c>
      <c r="AF75" s="960">
        <f t="array" ref="AF75">HLOOKUP($J75,'Type Chart'!$C$2:$T$20,13,false)*HLOOKUP($K75,'Type Chart'!$C$2:$U$20,13,false)</f>
        <v>0.25</v>
      </c>
      <c r="AG75" s="960">
        <f t="array" ref="AG75">HLOOKUP($J75,'Type Chart'!$C$2:$T$20,14,false)*HLOOKUP($K75,'Type Chart'!$C$2:$U$20,14,false)</f>
        <v>0.5</v>
      </c>
      <c r="AH75" s="960">
        <f t="array" ref="AH75">HLOOKUP($J75,'Type Chart'!$C$2:$T$20,15,false)*HLOOKUP($K75,'Type Chart'!$C$2:$U$20,15,false)</f>
        <v>1</v>
      </c>
      <c r="AI75" s="960">
        <f t="array" ref="AI75">HLOOKUP($J75,'Type Chart'!$C$2:$T$20,16,false)*HLOOKUP($K75,'Type Chart'!$C$2:$U$20,16,false)</f>
        <v>2</v>
      </c>
      <c r="AJ75" s="960">
        <f t="array" ref="AJ75">HLOOKUP($J75,'Type Chart'!$C$2:$T$20,17,false)*HLOOKUP($K75,'Type Chart'!$C$2:$U$20,17,false)</f>
        <v>1</v>
      </c>
      <c r="AK75" s="960">
        <f t="array" ref="AK75">HLOOKUP($J75,'Type Chart'!$C$2:$T$20,18,false)*HLOOKUP($K75,'Type Chart'!$C$2:$U$20,18,false)</f>
        <v>1</v>
      </c>
      <c r="AL75" s="960">
        <f t="array" ref="AL75">HLOOKUP($J75,'Type Chart'!$C$2:$T$20,19,false)*HLOOKUP($K75,'Type Chart'!$C$2:$U$20,19,false)</f>
        <v>1</v>
      </c>
      <c r="AM75" s="964" t="s">
        <v>1206</v>
      </c>
      <c r="AN75" s="965" t="s">
        <v>1210</v>
      </c>
      <c r="AO75" s="966" t="s">
        <v>1211</v>
      </c>
      <c r="AP75" s="936"/>
      <c r="AQ75" s="967"/>
      <c r="AR75" s="968"/>
      <c r="AS75" s="936"/>
    </row>
    <row r="76" ht="15.75" customHeight="1">
      <c r="A76" s="936"/>
      <c r="B76" s="948" t="s">
        <v>1212</v>
      </c>
      <c r="C76" s="950" t="s">
        <v>1213</v>
      </c>
      <c r="D76" s="950" t="s">
        <v>1213</v>
      </c>
      <c r="E76" s="952" t="s">
        <v>1213</v>
      </c>
      <c r="F76" s="940"/>
      <c r="G76" s="953"/>
      <c r="H76" s="969"/>
      <c r="I76" s="956" t="s">
        <v>1214</v>
      </c>
      <c r="J76" s="1180" t="s">
        <v>343</v>
      </c>
      <c r="K76" s="957" t="s">
        <v>209</v>
      </c>
      <c r="L76" s="959">
        <v>60.0</v>
      </c>
      <c r="M76" s="960">
        <v>95.0</v>
      </c>
      <c r="N76" s="960">
        <v>80.0</v>
      </c>
      <c r="O76" s="960">
        <v>60.0</v>
      </c>
      <c r="P76" s="960">
        <v>80.0</v>
      </c>
      <c r="Q76" s="960">
        <v>30.0</v>
      </c>
      <c r="R76" s="960">
        <v>96.0</v>
      </c>
      <c r="S76" s="960">
        <v>159.0</v>
      </c>
      <c r="T76" s="960">
        <v>174.0</v>
      </c>
      <c r="U76" s="960">
        <f t="array" ref="U76">HLOOKUP($J76,'Type Chart'!$C$2:$T$20,2,false)*HLOOKUP($K76,'Type Chart'!$C$2:$U$20,2,false)</f>
        <v>1</v>
      </c>
      <c r="V76" s="960">
        <f t="array" ref="V76">HLOOKUP($J76,'Type Chart'!$C$2:$T$20,3,false)*HLOOKUP($K76,'Type Chart'!$C$2:$U$20,3,false)</f>
        <v>0.5</v>
      </c>
      <c r="W76" s="960">
        <f t="array" ref="W76">HLOOKUP($J76,'Type Chart'!$C$2:$T$20,4,false)*HLOOKUP($K76,'Type Chart'!$C$2:$U$20,4,false)</f>
        <v>4</v>
      </c>
      <c r="X76" s="960">
        <f t="array" ref="X76">HLOOKUP($J76,'Type Chart'!$C$2:$T$20,5,false)*HLOOKUP($K76,'Type Chart'!$C$2:$U$20,5,false)</f>
        <v>2</v>
      </c>
      <c r="Y76" s="960">
        <f t="array" ref="Y76">HLOOKUP($J76,'Type Chart'!$C$2:$T$20,6,false)*HLOOKUP($K76,'Type Chart'!$C$2:$U$20,6,false)</f>
        <v>0.25</v>
      </c>
      <c r="Z76" s="960">
        <f t="array" ref="Z76">HLOOKUP($J76,'Type Chart'!$C$2:$T$20,7,false)*HLOOKUP($K76,'Type Chart'!$C$2:$U$20,7,false)</f>
        <v>2</v>
      </c>
      <c r="AA76" s="960">
        <f t="array" ref="AA76">HLOOKUP($J76,'Type Chart'!$C$2:$T$20,8,false)*HLOOKUP($K76,'Type Chart'!$C$2:$U$20,8,false)</f>
        <v>2</v>
      </c>
      <c r="AB76" s="960">
        <f t="array" ref="AB76">HLOOKUP($J76,'Type Chart'!$C$2:$T$20,9,false)*HLOOKUP($K76,'Type Chart'!$C$2:$U$20,9,false)</f>
        <v>1</v>
      </c>
      <c r="AC76" s="960">
        <f t="array" ref="AC76">HLOOKUP($J76,'Type Chart'!$C$2:$T$20,10,false)*HLOOKUP($K76,'Type Chart'!$C$2:$U$20,10,false)</f>
        <v>1</v>
      </c>
      <c r="AD76" s="960">
        <f t="array" ref="AD76">HLOOKUP($J76,'Type Chart'!$C$2:$T$20,11,false)*HLOOKUP($K76,'Type Chart'!$C$2:$U$20,11,false)</f>
        <v>4</v>
      </c>
      <c r="AE76" s="960">
        <f t="array" ref="AE76">HLOOKUP($J76,'Type Chart'!$C$2:$T$20,12,false)*HLOOKUP($K76,'Type Chart'!$C$2:$U$20,12,false)</f>
        <v>0.5</v>
      </c>
      <c r="AF76" s="960">
        <f t="array" ref="AF76">HLOOKUP($J76,'Type Chart'!$C$2:$T$20,13,false)*HLOOKUP($K76,'Type Chart'!$C$2:$U$20,13,false)</f>
        <v>0.25</v>
      </c>
      <c r="AG76" s="960">
        <f t="array" ref="AG76">HLOOKUP($J76,'Type Chart'!$C$2:$T$20,14,false)*HLOOKUP($K76,'Type Chart'!$C$2:$U$20,14,false)</f>
        <v>0.5</v>
      </c>
      <c r="AH76" s="960">
        <f t="array" ref="AH76">HLOOKUP($J76,'Type Chart'!$C$2:$T$20,15,false)*HLOOKUP($K76,'Type Chart'!$C$2:$U$20,15,false)</f>
        <v>1</v>
      </c>
      <c r="AI76" s="960">
        <f t="array" ref="AI76">HLOOKUP($J76,'Type Chart'!$C$2:$T$20,16,false)*HLOOKUP($K76,'Type Chart'!$C$2:$U$20,16,false)</f>
        <v>2</v>
      </c>
      <c r="AJ76" s="960">
        <f t="array" ref="AJ76">HLOOKUP($J76,'Type Chart'!$C$2:$T$20,17,false)*HLOOKUP($K76,'Type Chart'!$C$2:$U$20,17,false)</f>
        <v>1</v>
      </c>
      <c r="AK76" s="960">
        <f t="array" ref="AK76">HLOOKUP($J76,'Type Chart'!$C$2:$T$20,18,false)*HLOOKUP($K76,'Type Chart'!$C$2:$U$20,18,false)</f>
        <v>1</v>
      </c>
      <c r="AL76" s="960">
        <f t="array" ref="AL76">HLOOKUP($J76,'Type Chart'!$C$2:$T$20,19,false)*HLOOKUP($K76,'Type Chart'!$C$2:$U$20,19,false)</f>
        <v>1</v>
      </c>
      <c r="AM76" s="964" t="s">
        <v>1206</v>
      </c>
      <c r="AN76" s="965" t="s">
        <v>1210</v>
      </c>
      <c r="AO76" s="966" t="s">
        <v>1211</v>
      </c>
      <c r="AP76" s="936"/>
      <c r="AQ76" s="967"/>
      <c r="AR76" s="968"/>
      <c r="AS76" s="936"/>
    </row>
    <row r="77" ht="15.75" customHeight="1">
      <c r="A77" s="936"/>
      <c r="B77" s="948" t="s">
        <v>1215</v>
      </c>
      <c r="C77" s="950" t="s">
        <v>1216</v>
      </c>
      <c r="D77" s="950" t="s">
        <v>1216</v>
      </c>
      <c r="E77" s="952" t="s">
        <v>1216</v>
      </c>
      <c r="F77" s="940"/>
      <c r="G77" s="953"/>
      <c r="H77" s="969"/>
      <c r="I77" s="956" t="s">
        <v>1217</v>
      </c>
      <c r="J77" s="1180" t="s">
        <v>343</v>
      </c>
      <c r="K77" s="958" t="s">
        <v>178</v>
      </c>
      <c r="L77" s="959">
        <v>60.0</v>
      </c>
      <c r="M77" s="960">
        <v>55.0</v>
      </c>
      <c r="N77" s="960">
        <v>50.0</v>
      </c>
      <c r="O77" s="960">
        <v>40.0</v>
      </c>
      <c r="P77" s="960">
        <v>55.0</v>
      </c>
      <c r="Q77" s="960">
        <v>45.0</v>
      </c>
      <c r="R77" s="960">
        <v>126.0</v>
      </c>
      <c r="S77" s="960">
        <v>189.0</v>
      </c>
      <c r="T77" s="960">
        <v>207.0</v>
      </c>
      <c r="U77" s="960">
        <f t="array" ref="U77">HLOOKUP($J77,'Type Chart'!$C$2:$T$20,2,false)*HLOOKUP($K77,'Type Chart'!$C$2:$U$20,2,false)</f>
        <v>1</v>
      </c>
      <c r="V77" s="960">
        <f t="array" ref="V77">HLOOKUP($J77,'Type Chart'!$C$2:$T$20,3,false)*HLOOKUP($K77,'Type Chart'!$C$2:$U$20,3,false)</f>
        <v>0.25</v>
      </c>
      <c r="W77" s="960">
        <f t="array" ref="W77">HLOOKUP($J77,'Type Chart'!$C$2:$T$20,4,false)*HLOOKUP($K77,'Type Chart'!$C$2:$U$20,4,false)</f>
        <v>2</v>
      </c>
      <c r="X77" s="960">
        <f t="array" ref="X77">HLOOKUP($J77,'Type Chart'!$C$2:$T$20,5,false)*HLOOKUP($K77,'Type Chart'!$C$2:$U$20,5,false)</f>
        <v>0.5</v>
      </c>
      <c r="Y77" s="960">
        <f t="array" ref="Y77">HLOOKUP($J77,'Type Chart'!$C$2:$T$20,6,false)*HLOOKUP($K77,'Type Chart'!$C$2:$U$20,6,false)</f>
        <v>1</v>
      </c>
      <c r="Z77" s="960">
        <f t="array" ref="Z77">HLOOKUP($J77,'Type Chart'!$C$2:$T$20,7,false)*HLOOKUP($K77,'Type Chart'!$C$2:$U$20,7,false)</f>
        <v>2</v>
      </c>
      <c r="AA77" s="960">
        <f t="array" ref="AA77">HLOOKUP($J77,'Type Chart'!$C$2:$T$20,8,false)*HLOOKUP($K77,'Type Chart'!$C$2:$U$20,8,false)</f>
        <v>0.5</v>
      </c>
      <c r="AB77" s="960">
        <f t="array" ref="AB77">HLOOKUP($J77,'Type Chart'!$C$2:$T$20,9,false)*HLOOKUP($K77,'Type Chart'!$C$2:$U$20,9,false)</f>
        <v>1</v>
      </c>
      <c r="AC77" s="960">
        <f t="array" ref="AC77">HLOOKUP($J77,'Type Chart'!$C$2:$T$20,10,false)*HLOOKUP($K77,'Type Chart'!$C$2:$U$20,10,false)</f>
        <v>1</v>
      </c>
      <c r="AD77" s="960">
        <f t="array" ref="AD77">HLOOKUP($J77,'Type Chart'!$C$2:$T$20,11,false)*HLOOKUP($K77,'Type Chart'!$C$2:$U$20,11,false)</f>
        <v>2</v>
      </c>
      <c r="AE77" s="960">
        <f t="array" ref="AE77">HLOOKUP($J77,'Type Chart'!$C$2:$T$20,12,false)*HLOOKUP($K77,'Type Chart'!$C$2:$U$20,12,false)</f>
        <v>1</v>
      </c>
      <c r="AF77" s="960">
        <f t="array" ref="AF77">HLOOKUP($J77,'Type Chart'!$C$2:$T$20,13,false)*HLOOKUP($K77,'Type Chart'!$C$2:$U$20,13,false)</f>
        <v>0.25</v>
      </c>
      <c r="AG77" s="960">
        <f t="array" ref="AG77">HLOOKUP($J77,'Type Chart'!$C$2:$T$20,14,false)*HLOOKUP($K77,'Type Chart'!$C$2:$U$20,14,false)</f>
        <v>1</v>
      </c>
      <c r="AH77" s="960">
        <f t="array" ref="AH77">HLOOKUP($J77,'Type Chart'!$C$2:$T$20,15,false)*HLOOKUP($K77,'Type Chart'!$C$2:$U$20,15,false)</f>
        <v>2</v>
      </c>
      <c r="AI77" s="960">
        <f t="array" ref="AI77">HLOOKUP($J77,'Type Chart'!$C$2:$T$20,16,false)*HLOOKUP($K77,'Type Chart'!$C$2:$U$20,16,false)</f>
        <v>1</v>
      </c>
      <c r="AJ77" s="960">
        <f t="array" ref="AJ77">HLOOKUP($J77,'Type Chart'!$C$2:$T$20,17,false)*HLOOKUP($K77,'Type Chart'!$C$2:$U$20,17,false)</f>
        <v>1</v>
      </c>
      <c r="AK77" s="960">
        <f t="array" ref="AK77">HLOOKUP($J77,'Type Chart'!$C$2:$T$20,18,false)*HLOOKUP($K77,'Type Chart'!$C$2:$U$20,18,false)</f>
        <v>1</v>
      </c>
      <c r="AL77" s="960">
        <f t="array" ref="AL77">HLOOKUP($J77,'Type Chart'!$C$2:$T$20,19,false)*HLOOKUP($K77,'Type Chart'!$C$2:$U$20,19,false)</f>
        <v>0.5</v>
      </c>
      <c r="AM77" s="964" t="s">
        <v>1002</v>
      </c>
      <c r="AN77" s="965" t="s">
        <v>1003</v>
      </c>
      <c r="AO77" s="966" t="s">
        <v>988</v>
      </c>
      <c r="AP77" s="936"/>
      <c r="AQ77" s="967"/>
      <c r="AR77" s="968"/>
      <c r="AS77" s="936"/>
    </row>
    <row r="78" ht="15.75" customHeight="1">
      <c r="A78" s="936"/>
      <c r="B78" s="948" t="s">
        <v>1218</v>
      </c>
      <c r="C78" s="950" t="s">
        <v>1219</v>
      </c>
      <c r="D78" s="950" t="s">
        <v>1219</v>
      </c>
      <c r="E78" s="952" t="s">
        <v>1219</v>
      </c>
      <c r="F78" s="940"/>
      <c r="G78" s="953"/>
      <c r="H78" s="969"/>
      <c r="I78" s="998" t="s">
        <v>636</v>
      </c>
      <c r="J78" s="1180" t="s">
        <v>343</v>
      </c>
      <c r="K78" s="958" t="s">
        <v>178</v>
      </c>
      <c r="L78" s="959">
        <v>70.0</v>
      </c>
      <c r="M78" s="960">
        <v>65.0</v>
      </c>
      <c r="N78" s="960">
        <v>60.0</v>
      </c>
      <c r="O78" s="960">
        <v>90.0</v>
      </c>
      <c r="P78" s="960">
        <v>75.0</v>
      </c>
      <c r="Q78" s="960">
        <v>90.0</v>
      </c>
      <c r="R78" s="960">
        <v>216.0</v>
      </c>
      <c r="S78" s="960">
        <v>279.0</v>
      </c>
      <c r="T78" s="960">
        <v>306.0</v>
      </c>
      <c r="U78" s="960">
        <f t="array" ref="U78">HLOOKUP($J78,'Type Chart'!$C$2:$T$20,2,false)*HLOOKUP($K78,'Type Chart'!$C$2:$U$20,2,false)</f>
        <v>1</v>
      </c>
      <c r="V78" s="960">
        <f t="array" ref="V78">HLOOKUP($J78,'Type Chart'!$C$2:$T$20,3,false)*HLOOKUP($K78,'Type Chart'!$C$2:$U$20,3,false)</f>
        <v>0.25</v>
      </c>
      <c r="W78" s="960">
        <f t="array" ref="W78">HLOOKUP($J78,'Type Chart'!$C$2:$T$20,4,false)*HLOOKUP($K78,'Type Chart'!$C$2:$U$20,4,false)</f>
        <v>2</v>
      </c>
      <c r="X78" s="960">
        <f t="array" ref="X78">HLOOKUP($J78,'Type Chart'!$C$2:$T$20,5,false)*HLOOKUP($K78,'Type Chart'!$C$2:$U$20,5,false)</f>
        <v>0.5</v>
      </c>
      <c r="Y78" s="960">
        <f t="array" ref="Y78">HLOOKUP($J78,'Type Chart'!$C$2:$T$20,6,false)*HLOOKUP($K78,'Type Chart'!$C$2:$U$20,6,false)</f>
        <v>1</v>
      </c>
      <c r="Z78" s="960">
        <f t="array" ref="Z78">HLOOKUP($J78,'Type Chart'!$C$2:$T$20,7,false)*HLOOKUP($K78,'Type Chart'!$C$2:$U$20,7,false)</f>
        <v>2</v>
      </c>
      <c r="AA78" s="960">
        <f t="array" ref="AA78">HLOOKUP($J78,'Type Chart'!$C$2:$T$20,8,false)*HLOOKUP($K78,'Type Chart'!$C$2:$U$20,8,false)</f>
        <v>0.5</v>
      </c>
      <c r="AB78" s="960">
        <f t="array" ref="AB78">HLOOKUP($J78,'Type Chart'!$C$2:$T$20,9,false)*HLOOKUP($K78,'Type Chart'!$C$2:$U$20,9,false)</f>
        <v>1</v>
      </c>
      <c r="AC78" s="960">
        <f t="array" ref="AC78">HLOOKUP($J78,'Type Chart'!$C$2:$T$20,10,false)*HLOOKUP($K78,'Type Chart'!$C$2:$U$20,10,false)</f>
        <v>1</v>
      </c>
      <c r="AD78" s="960">
        <f t="array" ref="AD78">HLOOKUP($J78,'Type Chart'!$C$2:$T$20,11,false)*HLOOKUP($K78,'Type Chart'!$C$2:$U$20,11,false)</f>
        <v>2</v>
      </c>
      <c r="AE78" s="960">
        <f t="array" ref="AE78">HLOOKUP($J78,'Type Chart'!$C$2:$T$20,12,false)*HLOOKUP($K78,'Type Chart'!$C$2:$U$20,12,false)</f>
        <v>1</v>
      </c>
      <c r="AF78" s="960">
        <f t="array" ref="AF78">HLOOKUP($J78,'Type Chart'!$C$2:$T$20,13,false)*HLOOKUP($K78,'Type Chart'!$C$2:$U$20,13,false)</f>
        <v>0.25</v>
      </c>
      <c r="AG78" s="960">
        <f t="array" ref="AG78">HLOOKUP($J78,'Type Chart'!$C$2:$T$20,14,false)*HLOOKUP($K78,'Type Chart'!$C$2:$U$20,14,false)</f>
        <v>1</v>
      </c>
      <c r="AH78" s="960">
        <f t="array" ref="AH78">HLOOKUP($J78,'Type Chart'!$C$2:$T$20,15,false)*HLOOKUP($K78,'Type Chart'!$C$2:$U$20,15,false)</f>
        <v>2</v>
      </c>
      <c r="AI78" s="960">
        <f t="array" ref="AI78">HLOOKUP($J78,'Type Chart'!$C$2:$T$20,16,false)*HLOOKUP($K78,'Type Chart'!$C$2:$U$20,16,false)</f>
        <v>1</v>
      </c>
      <c r="AJ78" s="960">
        <f t="array" ref="AJ78">HLOOKUP($J78,'Type Chart'!$C$2:$T$20,17,false)*HLOOKUP($K78,'Type Chart'!$C$2:$U$20,17,false)</f>
        <v>1</v>
      </c>
      <c r="AK78" s="960">
        <f t="array" ref="AK78">HLOOKUP($J78,'Type Chart'!$C$2:$T$20,18,false)*HLOOKUP($K78,'Type Chart'!$C$2:$U$20,18,false)</f>
        <v>1</v>
      </c>
      <c r="AL78" s="960">
        <f t="array" ref="AL78">HLOOKUP($J78,'Type Chart'!$C$2:$T$20,19,false)*HLOOKUP($K78,'Type Chart'!$C$2:$U$20,19,false)</f>
        <v>0.5</v>
      </c>
      <c r="AM78" s="964" t="s">
        <v>987</v>
      </c>
      <c r="AN78" s="965" t="s">
        <v>1003</v>
      </c>
      <c r="AO78" s="966" t="s">
        <v>1220</v>
      </c>
      <c r="AP78" s="936"/>
      <c r="AQ78" s="967"/>
      <c r="AR78" s="968"/>
      <c r="AS78" s="936"/>
    </row>
    <row r="79" ht="15.75" customHeight="1">
      <c r="A79" s="936"/>
      <c r="B79" s="948" t="s">
        <v>1221</v>
      </c>
      <c r="C79" s="950" t="s">
        <v>1222</v>
      </c>
      <c r="D79" s="950" t="s">
        <v>1222</v>
      </c>
      <c r="E79" s="952" t="s">
        <v>1222</v>
      </c>
      <c r="F79" s="940"/>
      <c r="G79" s="953"/>
      <c r="H79" s="969"/>
      <c r="I79" s="956" t="s">
        <v>819</v>
      </c>
      <c r="J79" s="1204" t="s">
        <v>80</v>
      </c>
      <c r="K79" s="984" t="s">
        <v>216</v>
      </c>
      <c r="L79" s="959">
        <v>10.0</v>
      </c>
      <c r="M79" s="960">
        <v>55.0</v>
      </c>
      <c r="N79" s="960">
        <v>25.0</v>
      </c>
      <c r="O79" s="960">
        <v>35.0</v>
      </c>
      <c r="P79" s="960">
        <v>45.0</v>
      </c>
      <c r="Q79" s="960">
        <v>95.0</v>
      </c>
      <c r="R79" s="960">
        <v>226.0</v>
      </c>
      <c r="S79" s="960">
        <v>289.0</v>
      </c>
      <c r="T79" s="960">
        <v>317.0</v>
      </c>
      <c r="U79" s="960">
        <f t="array" ref="U79">HLOOKUP($J79,'Type Chart'!$C$2:$T$20,2,false)*HLOOKUP($K79,'Type Chart'!$C$2:$U$20,2,false)</f>
        <v>1</v>
      </c>
      <c r="V79" s="960">
        <f t="array" ref="V79">HLOOKUP($J79,'Type Chart'!$C$2:$T$20,3,false)*HLOOKUP($K79,'Type Chart'!$C$2:$U$20,3,false)</f>
        <v>1</v>
      </c>
      <c r="W79" s="960">
        <f t="array" ref="W79">HLOOKUP($J79,'Type Chart'!$C$2:$T$20,4,false)*HLOOKUP($K79,'Type Chart'!$C$2:$U$20,4,false)</f>
        <v>1</v>
      </c>
      <c r="X79" s="960">
        <f t="array" ref="X79">HLOOKUP($J79,'Type Chart'!$C$2:$T$20,5,false)*HLOOKUP($K79,'Type Chart'!$C$2:$U$20,5,false)</f>
        <v>0.5</v>
      </c>
      <c r="Y79" s="960">
        <f t="array" ref="Y79">HLOOKUP($J79,'Type Chart'!$C$2:$T$20,6,false)*HLOOKUP($K79,'Type Chart'!$C$2:$U$20,6,false)</f>
        <v>1</v>
      </c>
      <c r="Z79" s="960">
        <f t="array" ref="Z79">HLOOKUP($J79,'Type Chart'!$C$2:$T$20,7,false)*HLOOKUP($K79,'Type Chart'!$C$2:$U$20,7,false)</f>
        <v>0.5</v>
      </c>
      <c r="AA79" s="960">
        <f t="array" ref="AA79">HLOOKUP($J79,'Type Chart'!$C$2:$T$20,8,false)*HLOOKUP($K79,'Type Chart'!$C$2:$U$20,8,false)</f>
        <v>1</v>
      </c>
      <c r="AB79" s="960">
        <f t="array" ref="AB79">HLOOKUP($J79,'Type Chart'!$C$2:$T$20,9,false)*HLOOKUP($K79,'Type Chart'!$C$2:$U$20,9,false)</f>
        <v>1</v>
      </c>
      <c r="AC79" s="960">
        <f t="array" ref="AC79">HLOOKUP($J79,'Type Chart'!$C$2:$T$20,10,false)*HLOOKUP($K79,'Type Chart'!$C$2:$U$20,10,false)</f>
        <v>1</v>
      </c>
      <c r="AD79" s="960">
        <f t="array" ref="AD79">HLOOKUP($J79,'Type Chart'!$C$2:$T$20,11,false)*HLOOKUP($K79,'Type Chart'!$C$2:$U$20,11,false)</f>
        <v>1</v>
      </c>
      <c r="AE79" s="960">
        <f t="array" ref="AE79">HLOOKUP($J79,'Type Chart'!$C$2:$T$20,12,false)*HLOOKUP($K79,'Type Chart'!$C$2:$U$20,12,false)</f>
        <v>2</v>
      </c>
      <c r="AF79" s="960">
        <f t="array" ref="AF79">HLOOKUP($J79,'Type Chart'!$C$2:$T$20,13,false)*HLOOKUP($K79,'Type Chart'!$C$2:$U$20,13,false)</f>
        <v>2</v>
      </c>
      <c r="AG79" s="960">
        <f t="array" ref="AG79">HLOOKUP($J79,'Type Chart'!$C$2:$T$20,14,false)*HLOOKUP($K79,'Type Chart'!$C$2:$U$20,14,false)</f>
        <v>0</v>
      </c>
      <c r="AH79" s="960">
        <f t="array" ref="AH79">HLOOKUP($J79,'Type Chart'!$C$2:$T$20,15,false)*HLOOKUP($K79,'Type Chart'!$C$2:$U$20,15,false)</f>
        <v>1</v>
      </c>
      <c r="AI79" s="960">
        <f t="array" ref="AI79">HLOOKUP($J79,'Type Chart'!$C$2:$T$20,16,false)*HLOOKUP($K79,'Type Chart'!$C$2:$U$20,16,false)</f>
        <v>2</v>
      </c>
      <c r="AJ79" s="960">
        <f t="array" ref="AJ79">HLOOKUP($J79,'Type Chart'!$C$2:$T$20,17,false)*HLOOKUP($K79,'Type Chart'!$C$2:$U$20,17,false)</f>
        <v>1</v>
      </c>
      <c r="AK79" s="960">
        <f t="array" ref="AK79">HLOOKUP($J79,'Type Chart'!$C$2:$T$20,18,false)*HLOOKUP($K79,'Type Chart'!$C$2:$U$20,18,false)</f>
        <v>1</v>
      </c>
      <c r="AL79" s="960">
        <f t="array" ref="AL79">HLOOKUP($J79,'Type Chart'!$C$2:$T$20,19,false)*HLOOKUP($K79,'Type Chart'!$C$2:$U$20,19,false)</f>
        <v>1</v>
      </c>
      <c r="AM79" s="964" t="s">
        <v>1129</v>
      </c>
      <c r="AN79" s="965" t="s">
        <v>1223</v>
      </c>
      <c r="AO79" s="966" t="s">
        <v>1224</v>
      </c>
      <c r="AP79" s="936"/>
      <c r="AQ79" s="967"/>
      <c r="AR79" s="968"/>
      <c r="AS79" s="936"/>
    </row>
    <row r="80" ht="15.75" customHeight="1">
      <c r="A80" s="936"/>
      <c r="B80" s="948" t="s">
        <v>1225</v>
      </c>
      <c r="C80" s="950" t="s">
        <v>1226</v>
      </c>
      <c r="D80" s="950" t="s">
        <v>1226</v>
      </c>
      <c r="E80" s="952" t="s">
        <v>1227</v>
      </c>
      <c r="F80" s="940"/>
      <c r="G80" s="953"/>
      <c r="H80" s="969"/>
      <c r="I80" s="956" t="s">
        <v>1228</v>
      </c>
      <c r="J80" s="1204" t="s">
        <v>80</v>
      </c>
      <c r="K80" s="1206" t="s">
        <v>82</v>
      </c>
      <c r="L80" s="959">
        <v>10.0</v>
      </c>
      <c r="M80" s="960">
        <v>55.0</v>
      </c>
      <c r="N80" s="960">
        <v>30.0</v>
      </c>
      <c r="O80" s="960">
        <v>35.0</v>
      </c>
      <c r="P80" s="960">
        <v>45.0</v>
      </c>
      <c r="Q80" s="960">
        <v>90.0</v>
      </c>
      <c r="R80" s="960">
        <v>216.0</v>
      </c>
      <c r="S80" s="960">
        <v>279.0</v>
      </c>
      <c r="T80" s="960">
        <v>306.0</v>
      </c>
      <c r="U80" s="960">
        <f t="array" ref="U80">HLOOKUP($J80,'Type Chart'!$C$2:$T$20,2,false)*HLOOKUP($K80,'Type Chart'!$C$2:$U$20,2,false)</f>
        <v>0.5</v>
      </c>
      <c r="V80" s="960">
        <f t="array" ref="V80">HLOOKUP($J80,'Type Chart'!$C$2:$T$20,3,false)*HLOOKUP($K80,'Type Chart'!$C$2:$U$20,3,false)</f>
        <v>2</v>
      </c>
      <c r="W80" s="960">
        <f t="array" ref="W80">HLOOKUP($J80,'Type Chart'!$C$2:$T$20,4,false)*HLOOKUP($K80,'Type Chart'!$C$2:$U$20,4,false)</f>
        <v>0.5</v>
      </c>
      <c r="X80" s="960">
        <f t="array" ref="X80">HLOOKUP($J80,'Type Chart'!$C$2:$T$20,5,false)*HLOOKUP($K80,'Type Chart'!$C$2:$U$20,5,false)</f>
        <v>0</v>
      </c>
      <c r="Y80" s="960">
        <f t="array" ref="Y80">HLOOKUP($J80,'Type Chart'!$C$2:$T$20,6,false)*HLOOKUP($K80,'Type Chart'!$C$2:$U$20,6,false)</f>
        <v>2</v>
      </c>
      <c r="Z80" s="960">
        <f t="array" ref="Z80">HLOOKUP($J80,'Type Chart'!$C$2:$T$20,7,false)*HLOOKUP($K80,'Type Chart'!$C$2:$U$20,7,false)</f>
        <v>0.25</v>
      </c>
      <c r="AA80" s="960">
        <f t="array" ref="AA80">HLOOKUP($J80,'Type Chart'!$C$2:$T$20,8,false)*HLOOKUP($K80,'Type Chart'!$C$2:$U$20,8,false)</f>
        <v>0.5</v>
      </c>
      <c r="AB80" s="960">
        <f t="array" ref="AB80">HLOOKUP($J80,'Type Chart'!$C$2:$T$20,9,false)*HLOOKUP($K80,'Type Chart'!$C$2:$U$20,9,false)</f>
        <v>1</v>
      </c>
      <c r="AC80" s="960">
        <f t="array" ref="AC80">HLOOKUP($J80,'Type Chart'!$C$2:$T$20,10,false)*HLOOKUP($K80,'Type Chart'!$C$2:$U$20,10,false)</f>
        <v>0.5</v>
      </c>
      <c r="AD80" s="960">
        <f t="array" ref="AD80">HLOOKUP($J80,'Type Chart'!$C$2:$T$20,11,false)*HLOOKUP($K80,'Type Chart'!$C$2:$U$20,11,false)</f>
        <v>2</v>
      </c>
      <c r="AE80" s="960">
        <f t="array" ref="AE80">HLOOKUP($J80,'Type Chart'!$C$2:$T$20,12,false)*HLOOKUP($K80,'Type Chart'!$C$2:$U$20,12,false)</f>
        <v>2</v>
      </c>
      <c r="AF80" s="960">
        <f t="array" ref="AF80">HLOOKUP($J80,'Type Chart'!$C$2:$T$20,13,false)*HLOOKUP($K80,'Type Chart'!$C$2:$U$20,13,false)</f>
        <v>1</v>
      </c>
      <c r="AG80" s="960">
        <f t="array" ref="AG80">HLOOKUP($J80,'Type Chart'!$C$2:$T$20,14,false)*HLOOKUP($K80,'Type Chart'!$C$2:$U$20,14,false)</f>
        <v>0</v>
      </c>
      <c r="AH80" s="960">
        <f t="array" ref="AH80">HLOOKUP($J80,'Type Chart'!$C$2:$T$20,15,false)*HLOOKUP($K80,'Type Chart'!$C$2:$U$20,15,false)</f>
        <v>0.5</v>
      </c>
      <c r="AI80" s="960">
        <f t="array" ref="AI80">HLOOKUP($J80,'Type Chart'!$C$2:$T$20,16,false)*HLOOKUP($K80,'Type Chart'!$C$2:$U$20,16,false)</f>
        <v>1</v>
      </c>
      <c r="AJ80" s="960">
        <f t="array" ref="AJ80">HLOOKUP($J80,'Type Chart'!$C$2:$T$20,17,false)*HLOOKUP($K80,'Type Chart'!$C$2:$U$20,17,false)</f>
        <v>0.5</v>
      </c>
      <c r="AK80" s="960">
        <f t="array" ref="AK80">HLOOKUP($J80,'Type Chart'!$C$2:$T$20,18,false)*HLOOKUP($K80,'Type Chart'!$C$2:$U$20,18,false)</f>
        <v>1</v>
      </c>
      <c r="AL80" s="960">
        <f t="array" ref="AL80">HLOOKUP($J80,'Type Chart'!$C$2:$T$20,19,false)*HLOOKUP($K80,'Type Chart'!$C$2:$U$20,19,false)</f>
        <v>0.5</v>
      </c>
      <c r="AM80" s="964" t="s">
        <v>1129</v>
      </c>
      <c r="AN80" s="965" t="s">
        <v>1229</v>
      </c>
      <c r="AO80" s="966" t="s">
        <v>1224</v>
      </c>
      <c r="AP80" s="936"/>
      <c r="AQ80" s="967"/>
      <c r="AR80" s="968"/>
      <c r="AS80" s="936"/>
    </row>
    <row r="81" ht="15.75" customHeight="1">
      <c r="A81" s="936"/>
      <c r="B81" s="948" t="s">
        <v>1230</v>
      </c>
      <c r="C81" s="950" t="s">
        <v>1231</v>
      </c>
      <c r="D81" s="950" t="s">
        <v>1231</v>
      </c>
      <c r="E81" s="952" t="s">
        <v>1231</v>
      </c>
      <c r="F81" s="940"/>
      <c r="G81" s="953"/>
      <c r="H81" s="969"/>
      <c r="I81" s="956" t="s">
        <v>563</v>
      </c>
      <c r="J81" s="1204" t="s">
        <v>80</v>
      </c>
      <c r="K81" s="984" t="s">
        <v>216</v>
      </c>
      <c r="L81" s="959">
        <v>35.0</v>
      </c>
      <c r="M81" s="960">
        <v>100.0</v>
      </c>
      <c r="N81" s="960">
        <v>50.0</v>
      </c>
      <c r="O81" s="960">
        <v>50.0</v>
      </c>
      <c r="P81" s="960">
        <v>70.0</v>
      </c>
      <c r="Q81" s="960">
        <v>120.0</v>
      </c>
      <c r="R81" s="960">
        <v>276.0</v>
      </c>
      <c r="S81" s="960">
        <v>339.0</v>
      </c>
      <c r="T81" s="960">
        <v>372.0</v>
      </c>
      <c r="U81" s="960">
        <f t="array" ref="U81">HLOOKUP($J81,'Type Chart'!$C$2:$T$20,2,false)*HLOOKUP($K81,'Type Chart'!$C$2:$U$20,2,false)</f>
        <v>1</v>
      </c>
      <c r="V81" s="960">
        <f t="array" ref="V81">HLOOKUP($J81,'Type Chart'!$C$2:$T$20,3,false)*HLOOKUP($K81,'Type Chart'!$C$2:$U$20,3,false)</f>
        <v>1</v>
      </c>
      <c r="W81" s="960">
        <f t="array" ref="W81">HLOOKUP($J81,'Type Chart'!$C$2:$T$20,4,false)*HLOOKUP($K81,'Type Chart'!$C$2:$U$20,4,false)</f>
        <v>1</v>
      </c>
      <c r="X81" s="960">
        <f t="array" ref="X81">HLOOKUP($J81,'Type Chart'!$C$2:$T$20,5,false)*HLOOKUP($K81,'Type Chart'!$C$2:$U$20,5,false)</f>
        <v>0.5</v>
      </c>
      <c r="Y81" s="960">
        <f t="array" ref="Y81">HLOOKUP($J81,'Type Chart'!$C$2:$T$20,6,false)*HLOOKUP($K81,'Type Chart'!$C$2:$U$20,6,false)</f>
        <v>1</v>
      </c>
      <c r="Z81" s="960">
        <f t="array" ref="Z81">HLOOKUP($J81,'Type Chart'!$C$2:$T$20,7,false)*HLOOKUP($K81,'Type Chart'!$C$2:$U$20,7,false)</f>
        <v>0.5</v>
      </c>
      <c r="AA81" s="960">
        <f t="array" ref="AA81">HLOOKUP($J81,'Type Chart'!$C$2:$T$20,8,false)*HLOOKUP($K81,'Type Chart'!$C$2:$U$20,8,false)</f>
        <v>1</v>
      </c>
      <c r="AB81" s="960">
        <f t="array" ref="AB81">HLOOKUP($J81,'Type Chart'!$C$2:$T$20,9,false)*HLOOKUP($K81,'Type Chart'!$C$2:$U$20,9,false)</f>
        <v>1</v>
      </c>
      <c r="AC81" s="960">
        <f t="array" ref="AC81">HLOOKUP($J81,'Type Chart'!$C$2:$T$20,10,false)*HLOOKUP($K81,'Type Chart'!$C$2:$U$20,10,false)</f>
        <v>1</v>
      </c>
      <c r="AD81" s="960">
        <f t="array" ref="AD81">HLOOKUP($J81,'Type Chart'!$C$2:$T$20,11,false)*HLOOKUP($K81,'Type Chart'!$C$2:$U$20,11,false)</f>
        <v>1</v>
      </c>
      <c r="AE81" s="960">
        <f t="array" ref="AE81">HLOOKUP($J81,'Type Chart'!$C$2:$T$20,12,false)*HLOOKUP($K81,'Type Chart'!$C$2:$U$20,12,false)</f>
        <v>2</v>
      </c>
      <c r="AF81" s="960">
        <f t="array" ref="AF81">HLOOKUP($J81,'Type Chart'!$C$2:$T$20,13,false)*HLOOKUP($K81,'Type Chart'!$C$2:$U$20,13,false)</f>
        <v>2</v>
      </c>
      <c r="AG81" s="960">
        <f t="array" ref="AG81">HLOOKUP($J81,'Type Chart'!$C$2:$T$20,14,false)*HLOOKUP($K81,'Type Chart'!$C$2:$U$20,14,false)</f>
        <v>0</v>
      </c>
      <c r="AH81" s="960">
        <f t="array" ref="AH81">HLOOKUP($J81,'Type Chart'!$C$2:$T$20,15,false)*HLOOKUP($K81,'Type Chart'!$C$2:$U$20,15,false)</f>
        <v>1</v>
      </c>
      <c r="AI81" s="960">
        <f t="array" ref="AI81">HLOOKUP($J81,'Type Chart'!$C$2:$T$20,16,false)*HLOOKUP($K81,'Type Chart'!$C$2:$U$20,16,false)</f>
        <v>2</v>
      </c>
      <c r="AJ81" s="960">
        <f t="array" ref="AJ81">HLOOKUP($J81,'Type Chart'!$C$2:$T$20,17,false)*HLOOKUP($K81,'Type Chart'!$C$2:$U$20,17,false)</f>
        <v>1</v>
      </c>
      <c r="AK81" s="960">
        <f t="array" ref="AK81">HLOOKUP($J81,'Type Chart'!$C$2:$T$20,18,false)*HLOOKUP($K81,'Type Chart'!$C$2:$U$20,18,false)</f>
        <v>1</v>
      </c>
      <c r="AL81" s="960">
        <f t="array" ref="AL81">HLOOKUP($J81,'Type Chart'!$C$2:$T$20,19,false)*HLOOKUP($K81,'Type Chart'!$C$2:$U$20,19,false)</f>
        <v>1</v>
      </c>
      <c r="AM81" s="964" t="s">
        <v>1129</v>
      </c>
      <c r="AN81" s="965" t="s">
        <v>1223</v>
      </c>
      <c r="AO81" s="966" t="s">
        <v>1224</v>
      </c>
      <c r="AP81" s="936"/>
      <c r="AQ81" s="967"/>
      <c r="AR81" s="968"/>
      <c r="AS81" s="936"/>
    </row>
    <row r="82" ht="15.75" customHeight="1">
      <c r="A82" s="936"/>
      <c r="B82" s="948" t="s">
        <v>1232</v>
      </c>
      <c r="C82" s="950" t="s">
        <v>1233</v>
      </c>
      <c r="D82" s="950" t="s">
        <v>1233</v>
      </c>
      <c r="E82" s="952" t="s">
        <v>1234</v>
      </c>
      <c r="F82" s="940"/>
      <c r="G82" s="953"/>
      <c r="H82" s="969"/>
      <c r="I82" s="956" t="s">
        <v>748</v>
      </c>
      <c r="J82" s="1204" t="s">
        <v>80</v>
      </c>
      <c r="K82" s="1206" t="s">
        <v>82</v>
      </c>
      <c r="L82" s="959">
        <v>35.0</v>
      </c>
      <c r="M82" s="960">
        <v>100.0</v>
      </c>
      <c r="N82" s="960">
        <v>60.0</v>
      </c>
      <c r="O82" s="960">
        <v>50.0</v>
      </c>
      <c r="P82" s="960">
        <v>70.0</v>
      </c>
      <c r="Q82" s="960">
        <v>110.0</v>
      </c>
      <c r="R82" s="960">
        <v>256.0</v>
      </c>
      <c r="S82" s="960">
        <v>319.0</v>
      </c>
      <c r="T82" s="960">
        <v>350.0</v>
      </c>
      <c r="U82" s="960">
        <f t="array" ref="U82">HLOOKUP($J82,'Type Chart'!$C$2:$T$20,2,false)*HLOOKUP($K82,'Type Chart'!$C$2:$U$20,2,false)</f>
        <v>0.5</v>
      </c>
      <c r="V82" s="960">
        <f t="array" ref="V82">HLOOKUP($J82,'Type Chart'!$C$2:$T$20,3,false)*HLOOKUP($K82,'Type Chart'!$C$2:$U$20,3,false)</f>
        <v>2</v>
      </c>
      <c r="W82" s="960">
        <f t="array" ref="W82">HLOOKUP($J82,'Type Chart'!$C$2:$T$20,4,false)*HLOOKUP($K82,'Type Chart'!$C$2:$U$20,4,false)</f>
        <v>0.5</v>
      </c>
      <c r="X82" s="960">
        <f t="array" ref="X82">HLOOKUP($J82,'Type Chart'!$C$2:$T$20,5,false)*HLOOKUP($K82,'Type Chart'!$C$2:$U$20,5,false)</f>
        <v>0</v>
      </c>
      <c r="Y82" s="960">
        <f t="array" ref="Y82">HLOOKUP($J82,'Type Chart'!$C$2:$T$20,6,false)*HLOOKUP($K82,'Type Chart'!$C$2:$U$20,6,false)</f>
        <v>2</v>
      </c>
      <c r="Z82" s="960">
        <f t="array" ref="Z82">HLOOKUP($J82,'Type Chart'!$C$2:$T$20,7,false)*HLOOKUP($K82,'Type Chart'!$C$2:$U$20,7,false)</f>
        <v>0.25</v>
      </c>
      <c r="AA82" s="960">
        <f t="array" ref="AA82">HLOOKUP($J82,'Type Chart'!$C$2:$T$20,8,false)*HLOOKUP($K82,'Type Chart'!$C$2:$U$20,8,false)</f>
        <v>0.5</v>
      </c>
      <c r="AB82" s="960">
        <f t="array" ref="AB82">HLOOKUP($J82,'Type Chart'!$C$2:$T$20,9,false)*HLOOKUP($K82,'Type Chart'!$C$2:$U$20,9,false)</f>
        <v>1</v>
      </c>
      <c r="AC82" s="960">
        <f t="array" ref="AC82">HLOOKUP($J82,'Type Chart'!$C$2:$T$20,10,false)*HLOOKUP($K82,'Type Chart'!$C$2:$U$20,10,false)</f>
        <v>0.5</v>
      </c>
      <c r="AD82" s="960">
        <f t="array" ref="AD82">HLOOKUP($J82,'Type Chart'!$C$2:$T$20,11,false)*HLOOKUP($K82,'Type Chart'!$C$2:$U$20,11,false)</f>
        <v>2</v>
      </c>
      <c r="AE82" s="960">
        <f t="array" ref="AE82">HLOOKUP($J82,'Type Chart'!$C$2:$T$20,12,false)*HLOOKUP($K82,'Type Chart'!$C$2:$U$20,12,false)</f>
        <v>2</v>
      </c>
      <c r="AF82" s="960">
        <f t="array" ref="AF82">HLOOKUP($J82,'Type Chart'!$C$2:$T$20,13,false)*HLOOKUP($K82,'Type Chart'!$C$2:$U$20,13,false)</f>
        <v>1</v>
      </c>
      <c r="AG82" s="960">
        <f t="array" ref="AG82">HLOOKUP($J82,'Type Chart'!$C$2:$T$20,14,false)*HLOOKUP($K82,'Type Chart'!$C$2:$U$20,14,false)</f>
        <v>0</v>
      </c>
      <c r="AH82" s="960">
        <f t="array" ref="AH82">HLOOKUP($J82,'Type Chart'!$C$2:$T$20,15,false)*HLOOKUP($K82,'Type Chart'!$C$2:$U$20,15,false)</f>
        <v>0.5</v>
      </c>
      <c r="AI82" s="960">
        <f t="array" ref="AI82">HLOOKUP($J82,'Type Chart'!$C$2:$T$20,16,false)*HLOOKUP($K82,'Type Chart'!$C$2:$U$20,16,false)</f>
        <v>1</v>
      </c>
      <c r="AJ82" s="960">
        <f t="array" ref="AJ82">HLOOKUP($J82,'Type Chart'!$C$2:$T$20,17,false)*HLOOKUP($K82,'Type Chart'!$C$2:$U$20,17,false)</f>
        <v>0.5</v>
      </c>
      <c r="AK82" s="960">
        <f t="array" ref="AK82">HLOOKUP($J82,'Type Chart'!$C$2:$T$20,18,false)*HLOOKUP($K82,'Type Chart'!$C$2:$U$20,18,false)</f>
        <v>1</v>
      </c>
      <c r="AL82" s="960">
        <f t="array" ref="AL82">HLOOKUP($J82,'Type Chart'!$C$2:$T$20,19,false)*HLOOKUP($K82,'Type Chart'!$C$2:$U$20,19,false)</f>
        <v>0.5</v>
      </c>
      <c r="AM82" s="964" t="s">
        <v>1129</v>
      </c>
      <c r="AN82" s="965" t="s">
        <v>1229</v>
      </c>
      <c r="AO82" s="966" t="s">
        <v>1224</v>
      </c>
      <c r="AP82" s="936"/>
      <c r="AQ82" s="967"/>
      <c r="AR82" s="968"/>
      <c r="AS82" s="936"/>
    </row>
    <row r="83" ht="15.75" customHeight="1">
      <c r="A83" s="936"/>
      <c r="B83" s="948" t="s">
        <v>1235</v>
      </c>
      <c r="C83" s="950" t="s">
        <v>1236</v>
      </c>
      <c r="D83" s="950" t="s">
        <v>1236</v>
      </c>
      <c r="E83" s="952" t="s">
        <v>1236</v>
      </c>
      <c r="F83" s="940"/>
      <c r="G83" s="953"/>
      <c r="H83" s="969"/>
      <c r="I83" s="956" t="s">
        <v>1237</v>
      </c>
      <c r="J83" s="1194" t="s">
        <v>136</v>
      </c>
      <c r="K83" s="984" t="s">
        <v>216</v>
      </c>
      <c r="L83" s="959">
        <v>40.0</v>
      </c>
      <c r="M83" s="960">
        <v>45.0</v>
      </c>
      <c r="N83" s="960">
        <v>35.0</v>
      </c>
      <c r="O83" s="960">
        <v>40.0</v>
      </c>
      <c r="P83" s="960">
        <v>40.0</v>
      </c>
      <c r="Q83" s="960">
        <v>90.0</v>
      </c>
      <c r="R83" s="960">
        <v>216.0</v>
      </c>
      <c r="S83" s="960">
        <v>279.0</v>
      </c>
      <c r="T83" s="960">
        <v>306.0</v>
      </c>
      <c r="U83" s="960">
        <f t="array" ref="U83">HLOOKUP($J83,'Type Chart'!$C$2:$T$20,2,false)*HLOOKUP($K83,'Type Chart'!$C$2:$U$20,2,false)</f>
        <v>1</v>
      </c>
      <c r="V83" s="960">
        <f t="array" ref="V83">HLOOKUP($J83,'Type Chart'!$C$2:$T$20,3,false)*HLOOKUP($K83,'Type Chart'!$C$2:$U$20,3,false)</f>
        <v>2</v>
      </c>
      <c r="W83" s="960">
        <f t="array" ref="W83">HLOOKUP($J83,'Type Chart'!$C$2:$T$20,4,false)*HLOOKUP($K83,'Type Chart'!$C$2:$U$20,4,false)</f>
        <v>1</v>
      </c>
      <c r="X83" s="960">
        <f t="array" ref="X83">HLOOKUP($J83,'Type Chart'!$C$2:$T$20,5,false)*HLOOKUP($K83,'Type Chart'!$C$2:$U$20,5,false)</f>
        <v>1</v>
      </c>
      <c r="Y83" s="960">
        <f t="array" ref="Y83">HLOOKUP($J83,'Type Chart'!$C$2:$T$20,6,false)*HLOOKUP($K83,'Type Chart'!$C$2:$U$20,6,false)</f>
        <v>1</v>
      </c>
      <c r="Z83" s="960">
        <f t="array" ref="Z83">HLOOKUP($J83,'Type Chart'!$C$2:$T$20,7,false)*HLOOKUP($K83,'Type Chart'!$C$2:$U$20,7,false)</f>
        <v>1</v>
      </c>
      <c r="AA83" s="960">
        <f t="array" ref="AA83">HLOOKUP($J83,'Type Chart'!$C$2:$T$20,8,false)*HLOOKUP($K83,'Type Chart'!$C$2:$U$20,8,false)</f>
        <v>1</v>
      </c>
      <c r="AB83" s="960">
        <f t="array" ref="AB83">HLOOKUP($J83,'Type Chart'!$C$2:$T$20,9,false)*HLOOKUP($K83,'Type Chart'!$C$2:$U$20,9,false)</f>
        <v>0</v>
      </c>
      <c r="AC83" s="960">
        <f t="array" ref="AC83">HLOOKUP($J83,'Type Chart'!$C$2:$T$20,10,false)*HLOOKUP($K83,'Type Chart'!$C$2:$U$20,10,false)</f>
        <v>1</v>
      </c>
      <c r="AD83" s="960">
        <f t="array" ref="AD83">HLOOKUP($J83,'Type Chart'!$C$2:$T$20,11,false)*HLOOKUP($K83,'Type Chart'!$C$2:$U$20,11,false)</f>
        <v>1</v>
      </c>
      <c r="AE83" s="960">
        <f t="array" ref="AE83">HLOOKUP($J83,'Type Chart'!$C$2:$T$20,12,false)*HLOOKUP($K83,'Type Chart'!$C$2:$U$20,12,false)</f>
        <v>1</v>
      </c>
      <c r="AF83" s="960">
        <f t="array" ref="AF83">HLOOKUP($J83,'Type Chart'!$C$2:$T$20,13,false)*HLOOKUP($K83,'Type Chart'!$C$2:$U$20,13,false)</f>
        <v>1</v>
      </c>
      <c r="AG83" s="960">
        <f t="array" ref="AG83">HLOOKUP($J83,'Type Chart'!$C$2:$T$20,14,false)*HLOOKUP($K83,'Type Chart'!$C$2:$U$20,14,false)</f>
        <v>1</v>
      </c>
      <c r="AH83" s="960">
        <f t="array" ref="AH83">HLOOKUP($J83,'Type Chart'!$C$2:$T$20,15,false)*HLOOKUP($K83,'Type Chart'!$C$2:$U$20,15,false)</f>
        <v>1</v>
      </c>
      <c r="AI83" s="960">
        <f t="array" ref="AI83">HLOOKUP($J83,'Type Chart'!$C$2:$T$20,16,false)*HLOOKUP($K83,'Type Chart'!$C$2:$U$20,16,false)</f>
        <v>1</v>
      </c>
      <c r="AJ83" s="960">
        <f t="array" ref="AJ83">HLOOKUP($J83,'Type Chart'!$C$2:$T$20,17,false)*HLOOKUP($K83,'Type Chart'!$C$2:$U$20,17,false)</f>
        <v>1</v>
      </c>
      <c r="AK83" s="960">
        <f t="array" ref="AK83">HLOOKUP($J83,'Type Chart'!$C$2:$T$20,18,false)*HLOOKUP($K83,'Type Chart'!$C$2:$U$20,18,false)</f>
        <v>1</v>
      </c>
      <c r="AL83" s="960">
        <f t="array" ref="AL83">HLOOKUP($J83,'Type Chart'!$C$2:$T$20,19,false)*HLOOKUP($K83,'Type Chart'!$C$2:$U$20,19,false)</f>
        <v>1</v>
      </c>
      <c r="AM83" s="964" t="s">
        <v>1238</v>
      </c>
      <c r="AN83" s="965" t="s">
        <v>1239</v>
      </c>
      <c r="AO83" s="966" t="s">
        <v>1062</v>
      </c>
      <c r="AP83" s="936"/>
      <c r="AQ83" s="967"/>
      <c r="AR83" s="968"/>
      <c r="AS83" s="936"/>
    </row>
    <row r="84" ht="15.75" customHeight="1">
      <c r="A84" s="936"/>
      <c r="B84" s="948" t="s">
        <v>1240</v>
      </c>
      <c r="C84" s="950" t="s">
        <v>1241</v>
      </c>
      <c r="D84" s="950" t="s">
        <v>1241</v>
      </c>
      <c r="E84" s="952" t="s">
        <v>1242</v>
      </c>
      <c r="F84" s="940"/>
      <c r="G84" s="953"/>
      <c r="H84" s="969"/>
      <c r="I84" s="956" t="s">
        <v>848</v>
      </c>
      <c r="J84" s="1195" t="s">
        <v>193</v>
      </c>
      <c r="K84" s="984" t="s">
        <v>216</v>
      </c>
      <c r="L84" s="959">
        <v>40.0</v>
      </c>
      <c r="M84" s="960">
        <v>35.0</v>
      </c>
      <c r="N84" s="960">
        <v>35.0</v>
      </c>
      <c r="O84" s="960">
        <v>50.0</v>
      </c>
      <c r="P84" s="960">
        <v>40.0</v>
      </c>
      <c r="Q84" s="960">
        <v>90.0</v>
      </c>
      <c r="R84" s="960">
        <v>216.0</v>
      </c>
      <c r="S84" s="960">
        <v>279.0</v>
      </c>
      <c r="T84" s="960">
        <v>306.0</v>
      </c>
      <c r="U84" s="960">
        <f t="array" ref="U84">HLOOKUP($J84,'Type Chart'!$C$2:$T$20,2,false)*HLOOKUP($K84,'Type Chart'!$C$2:$U$20,2,false)</f>
        <v>1</v>
      </c>
      <c r="V84" s="960">
        <f t="array" ref="V84">HLOOKUP($J84,'Type Chart'!$C$2:$T$20,3,false)*HLOOKUP($K84,'Type Chart'!$C$2:$U$20,3,false)</f>
        <v>2</v>
      </c>
      <c r="W84" s="960">
        <f t="array" ref="W84">HLOOKUP($J84,'Type Chart'!$C$2:$T$20,4,false)*HLOOKUP($K84,'Type Chart'!$C$2:$U$20,4,false)</f>
        <v>1</v>
      </c>
      <c r="X84" s="960">
        <f t="array" ref="X84">HLOOKUP($J84,'Type Chart'!$C$2:$T$20,5,false)*HLOOKUP($K84,'Type Chart'!$C$2:$U$20,5,false)</f>
        <v>1</v>
      </c>
      <c r="Y84" s="960">
        <f t="array" ref="Y84">HLOOKUP($J84,'Type Chart'!$C$2:$T$20,6,false)*HLOOKUP($K84,'Type Chart'!$C$2:$U$20,6,false)</f>
        <v>1</v>
      </c>
      <c r="Z84" s="960">
        <f t="array" ref="Z84">HLOOKUP($J84,'Type Chart'!$C$2:$T$20,7,false)*HLOOKUP($K84,'Type Chart'!$C$2:$U$20,7,false)</f>
        <v>1</v>
      </c>
      <c r="AA84" s="960">
        <f t="array" ref="AA84">HLOOKUP($J84,'Type Chart'!$C$2:$T$20,8,false)*HLOOKUP($K84,'Type Chart'!$C$2:$U$20,8,false)</f>
        <v>2</v>
      </c>
      <c r="AB84" s="960">
        <f t="array" ref="AB84">HLOOKUP($J84,'Type Chart'!$C$2:$T$20,9,false)*HLOOKUP($K84,'Type Chart'!$C$2:$U$20,9,false)</f>
        <v>0.5</v>
      </c>
      <c r="AC84" s="960">
        <f t="array" ref="AC84">HLOOKUP($J84,'Type Chart'!$C$2:$T$20,10,false)*HLOOKUP($K84,'Type Chart'!$C$2:$U$20,10,false)</f>
        <v>1</v>
      </c>
      <c r="AD84" s="960">
        <f t="array" ref="AD84">HLOOKUP($J84,'Type Chart'!$C$2:$T$20,11,false)*HLOOKUP($K84,'Type Chart'!$C$2:$U$20,11,false)</f>
        <v>1</v>
      </c>
      <c r="AE84" s="960">
        <f t="array" ref="AE84">HLOOKUP($J84,'Type Chart'!$C$2:$T$20,12,false)*HLOOKUP($K84,'Type Chart'!$C$2:$U$20,12,false)</f>
        <v>1</v>
      </c>
      <c r="AF84" s="960">
        <f t="array" ref="AF84">HLOOKUP($J84,'Type Chart'!$C$2:$T$20,13,false)*HLOOKUP($K84,'Type Chart'!$C$2:$U$20,13,false)</f>
        <v>1</v>
      </c>
      <c r="AG84" s="960">
        <f t="array" ref="AG84">HLOOKUP($J84,'Type Chart'!$C$2:$T$20,14,false)*HLOOKUP($K84,'Type Chart'!$C$2:$U$20,14,false)</f>
        <v>1</v>
      </c>
      <c r="AH84" s="960">
        <f t="array" ref="AH84">HLOOKUP($J84,'Type Chart'!$C$2:$T$20,15,false)*HLOOKUP($K84,'Type Chart'!$C$2:$U$20,15,false)</f>
        <v>0</v>
      </c>
      <c r="AI84" s="960">
        <f t="array" ref="AI84">HLOOKUP($J84,'Type Chart'!$C$2:$T$20,16,false)*HLOOKUP($K84,'Type Chart'!$C$2:$U$20,16,false)</f>
        <v>1</v>
      </c>
      <c r="AJ84" s="960">
        <f t="array" ref="AJ84">HLOOKUP($J84,'Type Chart'!$C$2:$T$20,17,false)*HLOOKUP($K84,'Type Chart'!$C$2:$U$20,17,false)</f>
        <v>1</v>
      </c>
      <c r="AK84" s="960">
        <f t="array" ref="AK84">HLOOKUP($J84,'Type Chart'!$C$2:$T$20,18,false)*HLOOKUP($K84,'Type Chart'!$C$2:$U$20,18,false)</f>
        <v>0.5</v>
      </c>
      <c r="AL84" s="960">
        <f t="array" ref="AL84">HLOOKUP($J84,'Type Chart'!$C$2:$T$20,19,false)*HLOOKUP($K84,'Type Chart'!$C$2:$U$20,19,false)</f>
        <v>2</v>
      </c>
      <c r="AM84" s="964" t="s">
        <v>1238</v>
      </c>
      <c r="AN84" s="965" t="s">
        <v>1239</v>
      </c>
      <c r="AO84" s="966" t="s">
        <v>1243</v>
      </c>
      <c r="AP84" s="936"/>
      <c r="AQ84" s="967"/>
      <c r="AR84" s="968"/>
      <c r="AS84" s="936"/>
    </row>
    <row r="85" ht="15.75" customHeight="1">
      <c r="A85" s="936"/>
      <c r="B85" s="948" t="s">
        <v>1244</v>
      </c>
      <c r="C85" s="950" t="s">
        <v>1245</v>
      </c>
      <c r="D85" s="950" t="s">
        <v>1245</v>
      </c>
      <c r="E85" s="952" t="s">
        <v>1246</v>
      </c>
      <c r="F85" s="940"/>
      <c r="G85" s="953"/>
      <c r="H85" s="969"/>
      <c r="I85" s="956" t="s">
        <v>1247</v>
      </c>
      <c r="J85" s="1206" t="s">
        <v>82</v>
      </c>
      <c r="K85" s="984" t="s">
        <v>216</v>
      </c>
      <c r="L85" s="959">
        <v>50.0</v>
      </c>
      <c r="M85" s="960">
        <v>65.0</v>
      </c>
      <c r="N85" s="960">
        <v>55.0</v>
      </c>
      <c r="O85" s="960">
        <v>40.0</v>
      </c>
      <c r="P85" s="960">
        <v>40.0</v>
      </c>
      <c r="Q85" s="960">
        <v>40.0</v>
      </c>
      <c r="R85" s="960">
        <v>116.0</v>
      </c>
      <c r="S85" s="960">
        <v>179.0</v>
      </c>
      <c r="T85" s="960">
        <v>196.0</v>
      </c>
      <c r="U85" s="960">
        <f t="array" ref="U85">HLOOKUP($J85,'Type Chart'!$C$2:$T$20,2,false)*HLOOKUP($K85,'Type Chart'!$C$2:$U$20,2,false)</f>
        <v>0.5</v>
      </c>
      <c r="V85" s="960">
        <f t="array" ref="V85">HLOOKUP($J85,'Type Chart'!$C$2:$T$20,3,false)*HLOOKUP($K85,'Type Chart'!$C$2:$U$20,3,false)</f>
        <v>2</v>
      </c>
      <c r="W85" s="960">
        <f t="array" ref="W85">HLOOKUP($J85,'Type Chart'!$C$2:$T$20,4,false)*HLOOKUP($K85,'Type Chart'!$C$2:$U$20,4,false)</f>
        <v>0.5</v>
      </c>
      <c r="X85" s="960">
        <f t="array" ref="X85">HLOOKUP($J85,'Type Chart'!$C$2:$T$20,5,false)*HLOOKUP($K85,'Type Chart'!$C$2:$U$20,5,false)</f>
        <v>0</v>
      </c>
      <c r="Y85" s="960">
        <f t="array" ref="Y85">HLOOKUP($J85,'Type Chart'!$C$2:$T$20,6,false)*HLOOKUP($K85,'Type Chart'!$C$2:$U$20,6,false)</f>
        <v>2</v>
      </c>
      <c r="Z85" s="960">
        <f t="array" ref="Z85">HLOOKUP($J85,'Type Chart'!$C$2:$T$20,7,false)*HLOOKUP($K85,'Type Chart'!$C$2:$U$20,7,false)</f>
        <v>0.5</v>
      </c>
      <c r="AA85" s="960">
        <f t="array" ref="AA85">HLOOKUP($J85,'Type Chart'!$C$2:$T$20,8,false)*HLOOKUP($K85,'Type Chart'!$C$2:$U$20,8,false)</f>
        <v>0.5</v>
      </c>
      <c r="AB85" s="960">
        <f t="array" ref="AB85">HLOOKUP($J85,'Type Chart'!$C$2:$T$20,9,false)*HLOOKUP($K85,'Type Chart'!$C$2:$U$20,9,false)</f>
        <v>1</v>
      </c>
      <c r="AC85" s="960">
        <f t="array" ref="AC85">HLOOKUP($J85,'Type Chart'!$C$2:$T$20,10,false)*HLOOKUP($K85,'Type Chart'!$C$2:$U$20,10,false)</f>
        <v>0.5</v>
      </c>
      <c r="AD85" s="960">
        <f t="array" ref="AD85">HLOOKUP($J85,'Type Chart'!$C$2:$T$20,11,false)*HLOOKUP($K85,'Type Chart'!$C$2:$U$20,11,false)</f>
        <v>2</v>
      </c>
      <c r="AE85" s="960">
        <f t="array" ref="AE85">HLOOKUP($J85,'Type Chart'!$C$2:$T$20,12,false)*HLOOKUP($K85,'Type Chart'!$C$2:$U$20,12,false)</f>
        <v>1</v>
      </c>
      <c r="AF85" s="960">
        <f t="array" ref="AF85">HLOOKUP($J85,'Type Chart'!$C$2:$T$20,13,false)*HLOOKUP($K85,'Type Chart'!$C$2:$U$20,13,false)</f>
        <v>0.5</v>
      </c>
      <c r="AG85" s="960">
        <f t="array" ref="AG85">HLOOKUP($J85,'Type Chart'!$C$2:$T$20,14,false)*HLOOKUP($K85,'Type Chart'!$C$2:$U$20,14,false)</f>
        <v>1</v>
      </c>
      <c r="AH85" s="960">
        <f t="array" ref="AH85">HLOOKUP($J85,'Type Chart'!$C$2:$T$20,15,false)*HLOOKUP($K85,'Type Chart'!$C$2:$U$20,15,false)</f>
        <v>0.5</v>
      </c>
      <c r="AI85" s="960">
        <f t="array" ref="AI85">HLOOKUP($J85,'Type Chart'!$C$2:$T$20,16,false)*HLOOKUP($K85,'Type Chart'!$C$2:$U$20,16,false)</f>
        <v>0.5</v>
      </c>
      <c r="AJ85" s="960">
        <f t="array" ref="AJ85">HLOOKUP($J85,'Type Chart'!$C$2:$T$20,17,false)*HLOOKUP($K85,'Type Chart'!$C$2:$U$20,17,false)</f>
        <v>0.5</v>
      </c>
      <c r="AK85" s="960">
        <f t="array" ref="AK85">HLOOKUP($J85,'Type Chart'!$C$2:$T$20,18,false)*HLOOKUP($K85,'Type Chart'!$C$2:$U$20,18,false)</f>
        <v>1</v>
      </c>
      <c r="AL85" s="960">
        <f t="array" ref="AL85">HLOOKUP($J85,'Type Chart'!$C$2:$T$20,19,false)*HLOOKUP($K85,'Type Chart'!$C$2:$U$20,19,false)</f>
        <v>0.5</v>
      </c>
      <c r="AM85" s="964" t="s">
        <v>1238</v>
      </c>
      <c r="AN85" s="964" t="s">
        <v>932</v>
      </c>
      <c r="AO85" s="966" t="s">
        <v>1062</v>
      </c>
      <c r="AP85" s="936"/>
      <c r="AQ85" s="967"/>
      <c r="AR85" s="968"/>
      <c r="AS85" s="936"/>
    </row>
    <row r="86" ht="15.75" customHeight="1">
      <c r="A86" s="936"/>
      <c r="B86" s="948" t="s">
        <v>1248</v>
      </c>
      <c r="C86" s="950" t="s">
        <v>1249</v>
      </c>
      <c r="D86" s="950" t="s">
        <v>1249</v>
      </c>
      <c r="E86" s="952" t="s">
        <v>1249</v>
      </c>
      <c r="F86" s="940"/>
      <c r="G86" s="953"/>
      <c r="H86" s="969"/>
      <c r="I86" s="956" t="s">
        <v>853</v>
      </c>
      <c r="J86" s="1194" t="s">
        <v>136</v>
      </c>
      <c r="K86" s="984" t="s">
        <v>216</v>
      </c>
      <c r="L86" s="959">
        <v>65.0</v>
      </c>
      <c r="M86" s="960">
        <v>70.0</v>
      </c>
      <c r="N86" s="960">
        <v>60.0</v>
      </c>
      <c r="O86" s="960">
        <v>65.0</v>
      </c>
      <c r="P86" s="960">
        <v>65.0</v>
      </c>
      <c r="Q86" s="960">
        <v>115.0</v>
      </c>
      <c r="R86" s="960">
        <v>266.0</v>
      </c>
      <c r="S86" s="960">
        <v>329.0</v>
      </c>
      <c r="T86" s="960">
        <v>361.0</v>
      </c>
      <c r="U86" s="960">
        <f t="array" ref="U86">HLOOKUP($J86,'Type Chart'!$C$2:$T$20,2,false)*HLOOKUP($K86,'Type Chart'!$C$2:$U$20,2,false)</f>
        <v>1</v>
      </c>
      <c r="V86" s="960">
        <f t="array" ref="V86">HLOOKUP($J86,'Type Chart'!$C$2:$T$20,3,false)*HLOOKUP($K86,'Type Chart'!$C$2:$U$20,3,false)</f>
        <v>2</v>
      </c>
      <c r="W86" s="960">
        <f t="array" ref="W86">HLOOKUP($J86,'Type Chart'!$C$2:$T$20,4,false)*HLOOKUP($K86,'Type Chart'!$C$2:$U$20,4,false)</f>
        <v>1</v>
      </c>
      <c r="X86" s="960">
        <f t="array" ref="X86">HLOOKUP($J86,'Type Chart'!$C$2:$T$20,5,false)*HLOOKUP($K86,'Type Chart'!$C$2:$U$20,5,false)</f>
        <v>1</v>
      </c>
      <c r="Y86" s="960">
        <f t="array" ref="Y86">HLOOKUP($J86,'Type Chart'!$C$2:$T$20,6,false)*HLOOKUP($K86,'Type Chart'!$C$2:$U$20,6,false)</f>
        <v>1</v>
      </c>
      <c r="Z86" s="960">
        <f t="array" ref="Z86">HLOOKUP($J86,'Type Chart'!$C$2:$T$20,7,false)*HLOOKUP($K86,'Type Chart'!$C$2:$U$20,7,false)</f>
        <v>1</v>
      </c>
      <c r="AA86" s="960">
        <f t="array" ref="AA86">HLOOKUP($J86,'Type Chart'!$C$2:$T$20,8,false)*HLOOKUP($K86,'Type Chart'!$C$2:$U$20,8,false)</f>
        <v>1</v>
      </c>
      <c r="AB86" s="960">
        <f t="array" ref="AB86">HLOOKUP($J86,'Type Chart'!$C$2:$T$20,9,false)*HLOOKUP($K86,'Type Chart'!$C$2:$U$20,9,false)</f>
        <v>0</v>
      </c>
      <c r="AC86" s="960">
        <f t="array" ref="AC86">HLOOKUP($J86,'Type Chart'!$C$2:$T$20,10,false)*HLOOKUP($K86,'Type Chart'!$C$2:$U$20,10,false)</f>
        <v>1</v>
      </c>
      <c r="AD86" s="960">
        <f t="array" ref="AD86">HLOOKUP($J86,'Type Chart'!$C$2:$T$20,11,false)*HLOOKUP($K86,'Type Chart'!$C$2:$U$20,11,false)</f>
        <v>1</v>
      </c>
      <c r="AE86" s="960">
        <f t="array" ref="AE86">HLOOKUP($J86,'Type Chart'!$C$2:$T$20,12,false)*HLOOKUP($K86,'Type Chart'!$C$2:$U$20,12,false)</f>
        <v>1</v>
      </c>
      <c r="AF86" s="960">
        <f t="array" ref="AF86">HLOOKUP($J86,'Type Chart'!$C$2:$T$20,13,false)*HLOOKUP($K86,'Type Chart'!$C$2:$U$20,13,false)</f>
        <v>1</v>
      </c>
      <c r="AG86" s="960">
        <f t="array" ref="AG86">HLOOKUP($J86,'Type Chart'!$C$2:$T$20,14,false)*HLOOKUP($K86,'Type Chart'!$C$2:$U$20,14,false)</f>
        <v>1</v>
      </c>
      <c r="AH86" s="960">
        <f t="array" ref="AH86">HLOOKUP($J86,'Type Chart'!$C$2:$T$20,15,false)*HLOOKUP($K86,'Type Chart'!$C$2:$U$20,15,false)</f>
        <v>1</v>
      </c>
      <c r="AI86" s="960">
        <f t="array" ref="AI86">HLOOKUP($J86,'Type Chart'!$C$2:$T$20,16,false)*HLOOKUP($K86,'Type Chart'!$C$2:$U$20,16,false)</f>
        <v>1</v>
      </c>
      <c r="AJ86" s="960">
        <f t="array" ref="AJ86">HLOOKUP($J86,'Type Chart'!$C$2:$T$20,17,false)*HLOOKUP($K86,'Type Chart'!$C$2:$U$20,17,false)</f>
        <v>1</v>
      </c>
      <c r="AK86" s="960">
        <f t="array" ref="AK86">HLOOKUP($J86,'Type Chart'!$C$2:$T$20,18,false)*HLOOKUP($K86,'Type Chart'!$C$2:$U$20,18,false)</f>
        <v>1</v>
      </c>
      <c r="AL86" s="960">
        <f t="array" ref="AL86">HLOOKUP($J86,'Type Chart'!$C$2:$T$20,19,false)*HLOOKUP($K86,'Type Chart'!$C$2:$U$20,19,false)</f>
        <v>1</v>
      </c>
      <c r="AM86" s="964" t="s">
        <v>1250</v>
      </c>
      <c r="AN86" s="965" t="s">
        <v>1239</v>
      </c>
      <c r="AO86" s="966" t="s">
        <v>1062</v>
      </c>
      <c r="AP86" s="936"/>
      <c r="AQ86" s="967"/>
      <c r="AR86" s="968"/>
      <c r="AS86" s="936"/>
    </row>
    <row r="87" ht="15.75" customHeight="1">
      <c r="A87" s="936"/>
      <c r="B87" s="948" t="s">
        <v>1251</v>
      </c>
      <c r="C87" s="950" t="s">
        <v>1252</v>
      </c>
      <c r="D87" s="950" t="s">
        <v>1252</v>
      </c>
      <c r="E87" s="952" t="s">
        <v>1253</v>
      </c>
      <c r="F87" s="940"/>
      <c r="G87" s="953"/>
      <c r="H87" s="969"/>
      <c r="I87" s="956" t="s">
        <v>658</v>
      </c>
      <c r="J87" s="1195" t="s">
        <v>193</v>
      </c>
      <c r="K87" s="984" t="s">
        <v>216</v>
      </c>
      <c r="L87" s="959">
        <v>65.0</v>
      </c>
      <c r="M87" s="960">
        <v>60.0</v>
      </c>
      <c r="N87" s="960">
        <v>60.0</v>
      </c>
      <c r="O87" s="960">
        <v>75.0</v>
      </c>
      <c r="P87" s="960">
        <v>65.0</v>
      </c>
      <c r="Q87" s="960">
        <v>115.0</v>
      </c>
      <c r="R87" s="960">
        <v>266.0</v>
      </c>
      <c r="S87" s="960">
        <v>329.0</v>
      </c>
      <c r="T87" s="960">
        <v>361.0</v>
      </c>
      <c r="U87" s="960">
        <f t="array" ref="U87">HLOOKUP($J87,'Type Chart'!$C$2:$T$20,2,false)*HLOOKUP($K87,'Type Chart'!$C$2:$U$20,2,false)</f>
        <v>1</v>
      </c>
      <c r="V87" s="960">
        <f t="array" ref="V87">HLOOKUP($J87,'Type Chart'!$C$2:$T$20,3,false)*HLOOKUP($K87,'Type Chart'!$C$2:$U$20,3,false)</f>
        <v>2</v>
      </c>
      <c r="W87" s="960">
        <f t="array" ref="W87">HLOOKUP($J87,'Type Chart'!$C$2:$T$20,4,false)*HLOOKUP($K87,'Type Chart'!$C$2:$U$20,4,false)</f>
        <v>1</v>
      </c>
      <c r="X87" s="960">
        <f t="array" ref="X87">HLOOKUP($J87,'Type Chart'!$C$2:$T$20,5,false)*HLOOKUP($K87,'Type Chart'!$C$2:$U$20,5,false)</f>
        <v>1</v>
      </c>
      <c r="Y87" s="960">
        <f t="array" ref="Y87">HLOOKUP($J87,'Type Chart'!$C$2:$T$20,6,false)*HLOOKUP($K87,'Type Chart'!$C$2:$U$20,6,false)</f>
        <v>1</v>
      </c>
      <c r="Z87" s="960">
        <f t="array" ref="Z87">HLOOKUP($J87,'Type Chart'!$C$2:$T$20,7,false)*HLOOKUP($K87,'Type Chart'!$C$2:$U$20,7,false)</f>
        <v>1</v>
      </c>
      <c r="AA87" s="960">
        <f t="array" ref="AA87">HLOOKUP($J87,'Type Chart'!$C$2:$T$20,8,false)*HLOOKUP($K87,'Type Chart'!$C$2:$U$20,8,false)</f>
        <v>2</v>
      </c>
      <c r="AB87" s="960">
        <f t="array" ref="AB87">HLOOKUP($J87,'Type Chart'!$C$2:$T$20,9,false)*HLOOKUP($K87,'Type Chart'!$C$2:$U$20,9,false)</f>
        <v>0.5</v>
      </c>
      <c r="AC87" s="960">
        <f t="array" ref="AC87">HLOOKUP($J87,'Type Chart'!$C$2:$T$20,10,false)*HLOOKUP($K87,'Type Chart'!$C$2:$U$20,10,false)</f>
        <v>1</v>
      </c>
      <c r="AD87" s="960">
        <f t="array" ref="AD87">HLOOKUP($J87,'Type Chart'!$C$2:$T$20,11,false)*HLOOKUP($K87,'Type Chart'!$C$2:$U$20,11,false)</f>
        <v>1</v>
      </c>
      <c r="AE87" s="960">
        <f t="array" ref="AE87">HLOOKUP($J87,'Type Chart'!$C$2:$T$20,12,false)*HLOOKUP($K87,'Type Chart'!$C$2:$U$20,12,false)</f>
        <v>1</v>
      </c>
      <c r="AF87" s="960">
        <f t="array" ref="AF87">HLOOKUP($J87,'Type Chart'!$C$2:$T$20,13,false)*HLOOKUP($K87,'Type Chart'!$C$2:$U$20,13,false)</f>
        <v>1</v>
      </c>
      <c r="AG87" s="960">
        <f t="array" ref="AG87">HLOOKUP($J87,'Type Chart'!$C$2:$T$20,14,false)*HLOOKUP($K87,'Type Chart'!$C$2:$U$20,14,false)</f>
        <v>1</v>
      </c>
      <c r="AH87" s="960">
        <f t="array" ref="AH87">HLOOKUP($J87,'Type Chart'!$C$2:$T$20,15,false)*HLOOKUP($K87,'Type Chart'!$C$2:$U$20,15,false)</f>
        <v>0</v>
      </c>
      <c r="AI87" s="960">
        <f t="array" ref="AI87">HLOOKUP($J87,'Type Chart'!$C$2:$T$20,16,false)*HLOOKUP($K87,'Type Chart'!$C$2:$U$20,16,false)</f>
        <v>1</v>
      </c>
      <c r="AJ87" s="960">
        <f t="array" ref="AJ87">HLOOKUP($J87,'Type Chart'!$C$2:$T$20,17,false)*HLOOKUP($K87,'Type Chart'!$C$2:$U$20,17,false)</f>
        <v>1</v>
      </c>
      <c r="AK87" s="960">
        <f t="array" ref="AK87">HLOOKUP($J87,'Type Chart'!$C$2:$T$20,18,false)*HLOOKUP($K87,'Type Chart'!$C$2:$U$20,18,false)</f>
        <v>0.5</v>
      </c>
      <c r="AL87" s="960">
        <f t="array" ref="AL87">HLOOKUP($J87,'Type Chart'!$C$2:$T$20,19,false)*HLOOKUP($K87,'Type Chart'!$C$2:$U$20,19,false)</f>
        <v>2</v>
      </c>
      <c r="AM87" s="964" t="s">
        <v>1254</v>
      </c>
      <c r="AN87" s="965" t="s">
        <v>1239</v>
      </c>
      <c r="AO87" s="966" t="s">
        <v>1243</v>
      </c>
      <c r="AP87" s="936"/>
      <c r="AQ87" s="967"/>
      <c r="AR87" s="968"/>
      <c r="AS87" s="936"/>
    </row>
    <row r="88" ht="15.75" customHeight="1">
      <c r="A88" s="1099"/>
      <c r="B88" s="948" t="s">
        <v>1255</v>
      </c>
      <c r="C88" s="950" t="s">
        <v>1256</v>
      </c>
      <c r="D88" s="950" t="s">
        <v>1256</v>
      </c>
      <c r="E88" s="952" t="s">
        <v>1256</v>
      </c>
      <c r="F88" s="940"/>
      <c r="G88" s="953"/>
      <c r="H88" s="969"/>
      <c r="I88" s="956" t="s">
        <v>1257</v>
      </c>
      <c r="J88" s="1056" t="s">
        <v>81</v>
      </c>
      <c r="K88" s="984" t="s">
        <v>216</v>
      </c>
      <c r="L88" s="959">
        <v>50.0</v>
      </c>
      <c r="M88" s="960">
        <v>52.0</v>
      </c>
      <c r="N88" s="960">
        <v>48.0</v>
      </c>
      <c r="O88" s="960">
        <v>65.0</v>
      </c>
      <c r="P88" s="960">
        <v>50.0</v>
      </c>
      <c r="Q88" s="960">
        <v>55.0</v>
      </c>
      <c r="R88" s="960">
        <v>146.0</v>
      </c>
      <c r="S88" s="960">
        <v>209.0</v>
      </c>
      <c r="T88" s="960">
        <v>229.0</v>
      </c>
      <c r="U88" s="960">
        <f t="array" ref="U88">HLOOKUP($J88,'Type Chart'!$C$2:$T$20,2,false)*HLOOKUP($K88,'Type Chart'!$C$2:$U$20,2,false)</f>
        <v>1</v>
      </c>
      <c r="V88" s="960">
        <f t="array" ref="V88">HLOOKUP($J88,'Type Chart'!$C$2:$T$20,3,false)*HLOOKUP($K88,'Type Chart'!$C$2:$U$20,3,false)</f>
        <v>1</v>
      </c>
      <c r="W88" s="960">
        <f t="array" ref="W88">HLOOKUP($J88,'Type Chart'!$C$2:$T$20,4,false)*HLOOKUP($K88,'Type Chart'!$C$2:$U$20,4,false)</f>
        <v>1</v>
      </c>
      <c r="X88" s="960">
        <f t="array" ref="X88">HLOOKUP($J88,'Type Chart'!$C$2:$T$20,5,false)*HLOOKUP($K88,'Type Chart'!$C$2:$U$20,5,false)</f>
        <v>1</v>
      </c>
      <c r="Y88" s="960">
        <f t="array" ref="Y88">HLOOKUP($J88,'Type Chart'!$C$2:$T$20,6,false)*HLOOKUP($K88,'Type Chart'!$C$2:$U$20,6,false)</f>
        <v>1</v>
      </c>
      <c r="Z88" s="960">
        <f t="array" ref="Z88">HLOOKUP($J88,'Type Chart'!$C$2:$T$20,7,false)*HLOOKUP($K88,'Type Chart'!$C$2:$U$20,7,false)</f>
        <v>1</v>
      </c>
      <c r="AA88" s="960">
        <f t="array" ref="AA88">HLOOKUP($J88,'Type Chart'!$C$2:$T$20,8,false)*HLOOKUP($K88,'Type Chart'!$C$2:$U$20,8,false)</f>
        <v>1</v>
      </c>
      <c r="AB88" s="960">
        <f t="array" ref="AB88">HLOOKUP($J88,'Type Chart'!$C$2:$T$20,9,false)*HLOOKUP($K88,'Type Chart'!$C$2:$U$20,9,false)</f>
        <v>1</v>
      </c>
      <c r="AC88" s="960">
        <f t="array" ref="AC88">HLOOKUP($J88,'Type Chart'!$C$2:$T$20,10,false)*HLOOKUP($K88,'Type Chart'!$C$2:$U$20,10,false)</f>
        <v>0.5</v>
      </c>
      <c r="AD88" s="960">
        <f t="array" ref="AD88">HLOOKUP($J88,'Type Chart'!$C$2:$T$20,11,false)*HLOOKUP($K88,'Type Chart'!$C$2:$U$20,11,false)</f>
        <v>0.5</v>
      </c>
      <c r="AE88" s="960">
        <f t="array" ref="AE88">HLOOKUP($J88,'Type Chart'!$C$2:$T$20,12,false)*HLOOKUP($K88,'Type Chart'!$C$2:$U$20,12,false)</f>
        <v>0.5</v>
      </c>
      <c r="AF88" s="960">
        <f t="array" ref="AF88">HLOOKUP($J88,'Type Chart'!$C$2:$T$20,13,false)*HLOOKUP($K88,'Type Chart'!$C$2:$U$20,13,false)</f>
        <v>2</v>
      </c>
      <c r="AG88" s="960">
        <f t="array" ref="AG88">HLOOKUP($J88,'Type Chart'!$C$2:$T$20,14,false)*HLOOKUP($K88,'Type Chart'!$C$2:$U$20,14,false)</f>
        <v>2</v>
      </c>
      <c r="AH88" s="960">
        <f t="array" ref="AH88">HLOOKUP($J88,'Type Chart'!$C$2:$T$20,15,false)*HLOOKUP($K88,'Type Chart'!$C$2:$U$20,15,false)</f>
        <v>1</v>
      </c>
      <c r="AI88" s="960">
        <f t="array" ref="AI88">HLOOKUP($J88,'Type Chart'!$C$2:$T$20,16,false)*HLOOKUP($K88,'Type Chart'!$C$2:$U$20,16,false)</f>
        <v>0.5</v>
      </c>
      <c r="AJ88" s="960">
        <f t="array" ref="AJ88">HLOOKUP($J88,'Type Chart'!$C$2:$T$20,17,false)*HLOOKUP($K88,'Type Chart'!$C$2:$U$20,17,false)</f>
        <v>1</v>
      </c>
      <c r="AK88" s="960">
        <f t="array" ref="AK88">HLOOKUP($J88,'Type Chart'!$C$2:$T$20,18,false)*HLOOKUP($K88,'Type Chart'!$C$2:$U$20,18,false)</f>
        <v>1</v>
      </c>
      <c r="AL88" s="960">
        <f t="array" ref="AL88">HLOOKUP($J88,'Type Chart'!$C$2:$T$20,19,false)*HLOOKUP($K88,'Type Chart'!$C$2:$U$20,19,false)</f>
        <v>1</v>
      </c>
      <c r="AM88" s="1145" t="s">
        <v>1211</v>
      </c>
      <c r="AN88" s="965" t="s">
        <v>1258</v>
      </c>
      <c r="AO88" s="1146" t="s">
        <v>1259</v>
      </c>
      <c r="AP88" s="936"/>
      <c r="AQ88" s="967"/>
      <c r="AR88" s="968"/>
      <c r="AS88" s="936"/>
    </row>
    <row r="89" ht="15.75" customHeight="1">
      <c r="A89" s="1099"/>
      <c r="B89" s="948" t="s">
        <v>1260</v>
      </c>
      <c r="C89" s="1197" t="s">
        <v>1261</v>
      </c>
      <c r="D89" s="1197" t="s">
        <v>1261</v>
      </c>
      <c r="E89" s="1147" t="s">
        <v>1261</v>
      </c>
      <c r="F89" s="940"/>
      <c r="G89" s="953"/>
      <c r="H89" s="969"/>
      <c r="I89" s="998" t="s">
        <v>755</v>
      </c>
      <c r="J89" s="1211" t="s">
        <v>81</v>
      </c>
      <c r="K89" s="1199" t="s">
        <v>216</v>
      </c>
      <c r="L89" s="1200">
        <v>80.0</v>
      </c>
      <c r="M89" s="1201">
        <v>82.0</v>
      </c>
      <c r="N89" s="1201">
        <v>78.0</v>
      </c>
      <c r="O89" s="1201">
        <v>95.0</v>
      </c>
      <c r="P89" s="1201">
        <v>80.0</v>
      </c>
      <c r="Q89" s="1201">
        <v>85.0</v>
      </c>
      <c r="R89" s="960">
        <v>206.0</v>
      </c>
      <c r="S89" s="960">
        <v>269.0</v>
      </c>
      <c r="T89" s="960">
        <v>295.0</v>
      </c>
      <c r="U89" s="960">
        <f t="array" ref="U89">HLOOKUP($J89,'Type Chart'!$C$2:$T$20,2,false)*HLOOKUP($K89,'Type Chart'!$C$2:$U$20,2,false)</f>
        <v>1</v>
      </c>
      <c r="V89" s="960">
        <f t="array" ref="V89">HLOOKUP($J89,'Type Chart'!$C$2:$T$20,3,false)*HLOOKUP($K89,'Type Chart'!$C$2:$U$20,3,false)</f>
        <v>1</v>
      </c>
      <c r="W89" s="960">
        <f t="array" ref="W89">HLOOKUP($J89,'Type Chart'!$C$2:$T$20,4,false)*HLOOKUP($K89,'Type Chart'!$C$2:$U$20,4,false)</f>
        <v>1</v>
      </c>
      <c r="X89" s="960">
        <f t="array" ref="X89">HLOOKUP($J89,'Type Chart'!$C$2:$T$20,5,false)*HLOOKUP($K89,'Type Chart'!$C$2:$U$20,5,false)</f>
        <v>1</v>
      </c>
      <c r="Y89" s="960">
        <f t="array" ref="Y89">HLOOKUP($J89,'Type Chart'!$C$2:$T$20,6,false)*HLOOKUP($K89,'Type Chart'!$C$2:$U$20,6,false)</f>
        <v>1</v>
      </c>
      <c r="Z89" s="960">
        <f t="array" ref="Z89">HLOOKUP($J89,'Type Chart'!$C$2:$T$20,7,false)*HLOOKUP($K89,'Type Chart'!$C$2:$U$20,7,false)</f>
        <v>1</v>
      </c>
      <c r="AA89" s="960">
        <f t="array" ref="AA89">HLOOKUP($J89,'Type Chart'!$C$2:$T$20,8,false)*HLOOKUP($K89,'Type Chart'!$C$2:$U$20,8,false)</f>
        <v>1</v>
      </c>
      <c r="AB89" s="960">
        <f t="array" ref="AB89">HLOOKUP($J89,'Type Chart'!$C$2:$T$20,9,false)*HLOOKUP($K89,'Type Chart'!$C$2:$U$20,9,false)</f>
        <v>1</v>
      </c>
      <c r="AC89" s="960">
        <f t="array" ref="AC89">HLOOKUP($J89,'Type Chart'!$C$2:$T$20,10,false)*HLOOKUP($K89,'Type Chart'!$C$2:$U$20,10,false)</f>
        <v>0.5</v>
      </c>
      <c r="AD89" s="960">
        <f t="array" ref="AD89">HLOOKUP($J89,'Type Chart'!$C$2:$T$20,11,false)*HLOOKUP($K89,'Type Chart'!$C$2:$U$20,11,false)</f>
        <v>0.5</v>
      </c>
      <c r="AE89" s="960">
        <f t="array" ref="AE89">HLOOKUP($J89,'Type Chart'!$C$2:$T$20,12,false)*HLOOKUP($K89,'Type Chart'!$C$2:$U$20,12,false)</f>
        <v>0.5</v>
      </c>
      <c r="AF89" s="960">
        <f t="array" ref="AF89">HLOOKUP($J89,'Type Chart'!$C$2:$T$20,13,false)*HLOOKUP($K89,'Type Chart'!$C$2:$U$20,13,false)</f>
        <v>2</v>
      </c>
      <c r="AG89" s="960">
        <f t="array" ref="AG89">HLOOKUP($J89,'Type Chart'!$C$2:$T$20,14,false)*HLOOKUP($K89,'Type Chart'!$C$2:$U$20,14,false)</f>
        <v>2</v>
      </c>
      <c r="AH89" s="960">
        <f t="array" ref="AH89">HLOOKUP($J89,'Type Chart'!$C$2:$T$20,15,false)*HLOOKUP($K89,'Type Chart'!$C$2:$U$20,15,false)</f>
        <v>1</v>
      </c>
      <c r="AI89" s="960">
        <f t="array" ref="AI89">HLOOKUP($J89,'Type Chart'!$C$2:$T$20,16,false)*HLOOKUP($K89,'Type Chart'!$C$2:$U$20,16,false)</f>
        <v>0.5</v>
      </c>
      <c r="AJ89" s="960">
        <f t="array" ref="AJ89">HLOOKUP($J89,'Type Chart'!$C$2:$T$20,17,false)*HLOOKUP($K89,'Type Chart'!$C$2:$U$20,17,false)</f>
        <v>1</v>
      </c>
      <c r="AK89" s="960">
        <f t="array" ref="AK89">HLOOKUP($J89,'Type Chart'!$C$2:$T$20,18,false)*HLOOKUP($K89,'Type Chart'!$C$2:$U$20,18,false)</f>
        <v>1</v>
      </c>
      <c r="AL89" s="960">
        <f t="array" ref="AL89">HLOOKUP($J89,'Type Chart'!$C$2:$T$20,19,false)*HLOOKUP($K89,'Type Chart'!$C$2:$U$20,19,false)</f>
        <v>1</v>
      </c>
      <c r="AM89" s="1145" t="s">
        <v>1211</v>
      </c>
      <c r="AN89" s="1202" t="s">
        <v>1258</v>
      </c>
      <c r="AO89" s="1146" t="s">
        <v>1259</v>
      </c>
      <c r="AP89" s="936"/>
      <c r="AQ89" s="967"/>
      <c r="AR89" s="968"/>
      <c r="AS89" s="936"/>
    </row>
    <row r="90" ht="15.75" customHeight="1">
      <c r="A90" s="1099"/>
      <c r="B90" s="948" t="s">
        <v>1262</v>
      </c>
      <c r="C90" s="1197" t="s">
        <v>1263</v>
      </c>
      <c r="D90" s="1197" t="s">
        <v>1263</v>
      </c>
      <c r="E90" s="1147" t="s">
        <v>1263</v>
      </c>
      <c r="F90" s="940"/>
      <c r="G90" s="953"/>
      <c r="H90" s="969"/>
      <c r="I90" s="998" t="s">
        <v>1264</v>
      </c>
      <c r="J90" s="1212" t="s">
        <v>341</v>
      </c>
      <c r="K90" s="1199" t="s">
        <v>216</v>
      </c>
      <c r="L90" s="1200">
        <v>40.0</v>
      </c>
      <c r="M90" s="1201">
        <v>80.0</v>
      </c>
      <c r="N90" s="1201">
        <v>35.0</v>
      </c>
      <c r="O90" s="1201">
        <v>35.0</v>
      </c>
      <c r="P90" s="1201">
        <v>45.0</v>
      </c>
      <c r="Q90" s="1201">
        <v>70.0</v>
      </c>
      <c r="R90" s="960">
        <v>176.0</v>
      </c>
      <c r="S90" s="960">
        <v>239.0</v>
      </c>
      <c r="T90" s="960">
        <v>262.0</v>
      </c>
      <c r="U90" s="960">
        <f t="array" ref="U90">HLOOKUP($J90,'Type Chart'!$C$2:$T$20,2,false)*HLOOKUP($K90,'Type Chart'!$C$2:$U$20,2,false)</f>
        <v>1</v>
      </c>
      <c r="V90" s="960">
        <f t="array" ref="V90">HLOOKUP($J90,'Type Chart'!$C$2:$T$20,3,false)*HLOOKUP($K90,'Type Chart'!$C$2:$U$20,3,false)</f>
        <v>1</v>
      </c>
      <c r="W90" s="960">
        <f t="array" ref="W90">HLOOKUP($J90,'Type Chart'!$C$2:$T$20,4,false)*HLOOKUP($K90,'Type Chart'!$C$2:$U$20,4,false)</f>
        <v>2</v>
      </c>
      <c r="X90" s="960">
        <f t="array" ref="X90">HLOOKUP($J90,'Type Chart'!$C$2:$T$20,5,false)*HLOOKUP($K90,'Type Chart'!$C$2:$U$20,5,false)</f>
        <v>1</v>
      </c>
      <c r="Y90" s="960">
        <f t="array" ref="Y90">HLOOKUP($J90,'Type Chart'!$C$2:$T$20,6,false)*HLOOKUP($K90,'Type Chart'!$C$2:$U$20,6,false)</f>
        <v>1</v>
      </c>
      <c r="Z90" s="960">
        <f t="array" ref="Z90">HLOOKUP($J90,'Type Chart'!$C$2:$T$20,7,false)*HLOOKUP($K90,'Type Chart'!$C$2:$U$20,7,false)</f>
        <v>0.5</v>
      </c>
      <c r="AA90" s="960">
        <f t="array" ref="AA90">HLOOKUP($J90,'Type Chart'!$C$2:$T$20,8,false)*HLOOKUP($K90,'Type Chart'!$C$2:$U$20,8,false)</f>
        <v>0.5</v>
      </c>
      <c r="AB90" s="960">
        <f t="array" ref="AB90">HLOOKUP($J90,'Type Chart'!$C$2:$T$20,9,false)*HLOOKUP($K90,'Type Chart'!$C$2:$U$20,9,false)</f>
        <v>1</v>
      </c>
      <c r="AC90" s="960">
        <f t="array" ref="AC90">HLOOKUP($J90,'Type Chart'!$C$2:$T$20,10,false)*HLOOKUP($K90,'Type Chart'!$C$2:$U$20,10,false)</f>
        <v>1</v>
      </c>
      <c r="AD90" s="960">
        <f t="array" ref="AD90">HLOOKUP($J90,'Type Chart'!$C$2:$T$20,11,false)*HLOOKUP($K90,'Type Chart'!$C$2:$U$20,11,false)</f>
        <v>1</v>
      </c>
      <c r="AE90" s="960">
        <f t="array" ref="AE90">HLOOKUP($J90,'Type Chart'!$C$2:$T$20,12,false)*HLOOKUP($K90,'Type Chart'!$C$2:$U$20,12,false)</f>
        <v>1</v>
      </c>
      <c r="AF90" s="960">
        <f t="array" ref="AF90">HLOOKUP($J90,'Type Chart'!$C$2:$T$20,13,false)*HLOOKUP($K90,'Type Chart'!$C$2:$U$20,13,false)</f>
        <v>1</v>
      </c>
      <c r="AG90" s="960">
        <f t="array" ref="AG90">HLOOKUP($J90,'Type Chart'!$C$2:$T$20,14,false)*HLOOKUP($K90,'Type Chart'!$C$2:$U$20,14,false)</f>
        <v>1</v>
      </c>
      <c r="AH90" s="960">
        <f t="array" ref="AH90">HLOOKUP($J90,'Type Chart'!$C$2:$T$20,15,false)*HLOOKUP($K90,'Type Chart'!$C$2:$U$20,15,false)</f>
        <v>2</v>
      </c>
      <c r="AI90" s="960">
        <f t="array" ref="AI90">HLOOKUP($J90,'Type Chart'!$C$2:$T$20,16,false)*HLOOKUP($K90,'Type Chart'!$C$2:$U$20,16,false)</f>
        <v>1</v>
      </c>
      <c r="AJ90" s="960">
        <f t="array" ref="AJ90">HLOOKUP($J90,'Type Chart'!$C$2:$T$20,17,false)*HLOOKUP($K90,'Type Chart'!$C$2:$U$20,17,false)</f>
        <v>1</v>
      </c>
      <c r="AK90" s="960">
        <f t="array" ref="AK90">HLOOKUP($J90,'Type Chart'!$C$2:$T$20,18,false)*HLOOKUP($K90,'Type Chart'!$C$2:$U$20,18,false)</f>
        <v>0.5</v>
      </c>
      <c r="AL90" s="960">
        <f t="array" ref="AL90">HLOOKUP($J90,'Type Chart'!$C$2:$T$20,19,false)*HLOOKUP($K90,'Type Chart'!$C$2:$U$20,19,false)</f>
        <v>2</v>
      </c>
      <c r="AM90" s="1145" t="s">
        <v>1265</v>
      </c>
      <c r="AN90" s="1202" t="s">
        <v>1266</v>
      </c>
      <c r="AO90" s="1146" t="s">
        <v>1267</v>
      </c>
      <c r="AP90" s="936"/>
      <c r="AQ90" s="967"/>
      <c r="AR90" s="968"/>
      <c r="AS90" s="936"/>
    </row>
    <row r="91" ht="15.75" customHeight="1">
      <c r="A91" s="936"/>
      <c r="B91" s="948" t="s">
        <v>1268</v>
      </c>
      <c r="C91" s="950" t="s">
        <v>1269</v>
      </c>
      <c r="D91" s="950" t="s">
        <v>1269</v>
      </c>
      <c r="E91" s="952" t="s">
        <v>1269</v>
      </c>
      <c r="F91" s="940"/>
      <c r="G91" s="953"/>
      <c r="H91" s="969"/>
      <c r="I91" s="998" t="s">
        <v>660</v>
      </c>
      <c r="J91" s="1213" t="s">
        <v>341</v>
      </c>
      <c r="K91" s="984" t="s">
        <v>216</v>
      </c>
      <c r="L91" s="959">
        <v>65.0</v>
      </c>
      <c r="M91" s="960">
        <v>105.0</v>
      </c>
      <c r="N91" s="960">
        <v>60.0</v>
      </c>
      <c r="O91" s="960">
        <v>60.0</v>
      </c>
      <c r="P91" s="960">
        <v>70.0</v>
      </c>
      <c r="Q91" s="960">
        <v>95.0</v>
      </c>
      <c r="R91" s="960">
        <v>226.0</v>
      </c>
      <c r="S91" s="960">
        <v>289.0</v>
      </c>
      <c r="T91" s="960">
        <v>317.0</v>
      </c>
      <c r="U91" s="960">
        <f t="array" ref="U91">HLOOKUP($J91,'Type Chart'!$C$2:$T$20,2,false)*HLOOKUP($K91,'Type Chart'!$C$2:$U$20,2,false)</f>
        <v>1</v>
      </c>
      <c r="V91" s="960">
        <f t="array" ref="V91">HLOOKUP($J91,'Type Chart'!$C$2:$T$20,3,false)*HLOOKUP($K91,'Type Chart'!$C$2:$U$20,3,false)</f>
        <v>1</v>
      </c>
      <c r="W91" s="960">
        <f t="array" ref="W91">HLOOKUP($J91,'Type Chart'!$C$2:$T$20,4,false)*HLOOKUP($K91,'Type Chart'!$C$2:$U$20,4,false)</f>
        <v>2</v>
      </c>
      <c r="X91" s="960">
        <f t="array" ref="X91">HLOOKUP($J91,'Type Chart'!$C$2:$T$20,5,false)*HLOOKUP($K91,'Type Chart'!$C$2:$U$20,5,false)</f>
        <v>1</v>
      </c>
      <c r="Y91" s="960">
        <f t="array" ref="Y91">HLOOKUP($J91,'Type Chart'!$C$2:$T$20,6,false)*HLOOKUP($K91,'Type Chart'!$C$2:$U$20,6,false)</f>
        <v>1</v>
      </c>
      <c r="Z91" s="960">
        <f t="array" ref="Z91">HLOOKUP($J91,'Type Chart'!$C$2:$T$20,7,false)*HLOOKUP($K91,'Type Chart'!$C$2:$U$20,7,false)</f>
        <v>0.5</v>
      </c>
      <c r="AA91" s="960">
        <f t="array" ref="AA91">HLOOKUP($J91,'Type Chart'!$C$2:$T$20,8,false)*HLOOKUP($K91,'Type Chart'!$C$2:$U$20,8,false)</f>
        <v>0.5</v>
      </c>
      <c r="AB91" s="960">
        <f t="array" ref="AB91">HLOOKUP($J91,'Type Chart'!$C$2:$T$20,9,false)*HLOOKUP($K91,'Type Chart'!$C$2:$U$20,9,false)</f>
        <v>1</v>
      </c>
      <c r="AC91" s="960">
        <f t="array" ref="AC91">HLOOKUP($J91,'Type Chart'!$C$2:$T$20,10,false)*HLOOKUP($K91,'Type Chart'!$C$2:$U$20,10,false)</f>
        <v>1</v>
      </c>
      <c r="AD91" s="960">
        <f t="array" ref="AD91">HLOOKUP($J91,'Type Chart'!$C$2:$T$20,11,false)*HLOOKUP($K91,'Type Chart'!$C$2:$U$20,11,false)</f>
        <v>1</v>
      </c>
      <c r="AE91" s="960">
        <f t="array" ref="AE91">HLOOKUP($J91,'Type Chart'!$C$2:$T$20,12,false)*HLOOKUP($K91,'Type Chart'!$C$2:$U$20,12,false)</f>
        <v>1</v>
      </c>
      <c r="AF91" s="960">
        <f t="array" ref="AF91">HLOOKUP($J91,'Type Chart'!$C$2:$T$20,13,false)*HLOOKUP($K91,'Type Chart'!$C$2:$U$20,13,false)</f>
        <v>1</v>
      </c>
      <c r="AG91" s="960">
        <f t="array" ref="AG91">HLOOKUP($J91,'Type Chart'!$C$2:$T$20,14,false)*HLOOKUP($K91,'Type Chart'!$C$2:$U$20,14,false)</f>
        <v>1</v>
      </c>
      <c r="AH91" s="960">
        <f t="array" ref="AH91">HLOOKUP($J91,'Type Chart'!$C$2:$T$20,15,false)*HLOOKUP($K91,'Type Chart'!$C$2:$U$20,15,false)</f>
        <v>2</v>
      </c>
      <c r="AI91" s="960">
        <f t="array" ref="AI91">HLOOKUP($J91,'Type Chart'!$C$2:$T$20,16,false)*HLOOKUP($K91,'Type Chart'!$C$2:$U$20,16,false)</f>
        <v>1</v>
      </c>
      <c r="AJ91" s="960">
        <f t="array" ref="AJ91">HLOOKUP($J91,'Type Chart'!$C$2:$T$20,17,false)*HLOOKUP($K91,'Type Chart'!$C$2:$U$20,17,false)</f>
        <v>1</v>
      </c>
      <c r="AK91" s="960">
        <f t="array" ref="AK91">HLOOKUP($J91,'Type Chart'!$C$2:$T$20,18,false)*HLOOKUP($K91,'Type Chart'!$C$2:$U$20,18,false)</f>
        <v>0.5</v>
      </c>
      <c r="AL91" s="960">
        <f t="array" ref="AL91">HLOOKUP($J91,'Type Chart'!$C$2:$T$20,19,false)*HLOOKUP($K91,'Type Chart'!$C$2:$U$20,19,false)</f>
        <v>2</v>
      </c>
      <c r="AM91" s="964" t="s">
        <v>1265</v>
      </c>
      <c r="AN91" s="965" t="s">
        <v>1266</v>
      </c>
      <c r="AO91" s="966" t="s">
        <v>1267</v>
      </c>
      <c r="AP91" s="936"/>
      <c r="AQ91" s="967"/>
      <c r="AR91" s="968"/>
      <c r="AS91" s="936"/>
    </row>
    <row r="92" ht="15.75" customHeight="1">
      <c r="A92" s="936"/>
      <c r="B92" s="948" t="s">
        <v>1270</v>
      </c>
      <c r="C92" s="950" t="s">
        <v>1271</v>
      </c>
      <c r="D92" s="950" t="s">
        <v>1271</v>
      </c>
      <c r="E92" s="1147" t="s">
        <v>1271</v>
      </c>
      <c r="F92" s="940"/>
      <c r="G92" s="953"/>
      <c r="H92" s="969"/>
      <c r="I92" s="998" t="s">
        <v>1272</v>
      </c>
      <c r="J92" s="982" t="s">
        <v>150</v>
      </c>
      <c r="K92" s="984" t="s">
        <v>216</v>
      </c>
      <c r="L92" s="959">
        <v>55.0</v>
      </c>
      <c r="M92" s="960">
        <v>70.0</v>
      </c>
      <c r="N92" s="960">
        <v>45.0</v>
      </c>
      <c r="O92" s="960">
        <v>70.0</v>
      </c>
      <c r="P92" s="960">
        <v>50.0</v>
      </c>
      <c r="Q92" s="960">
        <v>60.0</v>
      </c>
      <c r="R92" s="960">
        <v>156.0</v>
      </c>
      <c r="S92" s="960">
        <v>219.0</v>
      </c>
      <c r="T92" s="960">
        <v>240.0</v>
      </c>
      <c r="U92" s="960">
        <f t="array" ref="U92">HLOOKUP($J92,'Type Chart'!$C$2:$T$20,2,false)*HLOOKUP($K92,'Type Chart'!$C$2:$U$20,2,false)</f>
        <v>1</v>
      </c>
      <c r="V92" s="960">
        <f t="array" ref="V92">HLOOKUP($J92,'Type Chart'!$C$2:$T$20,3,false)*HLOOKUP($K92,'Type Chart'!$C$2:$U$20,3,false)</f>
        <v>1</v>
      </c>
      <c r="W92" s="960">
        <f t="array" ref="W92">HLOOKUP($J92,'Type Chart'!$C$2:$T$20,4,false)*HLOOKUP($K92,'Type Chart'!$C$2:$U$20,4,false)</f>
        <v>1</v>
      </c>
      <c r="X92" s="960">
        <f t="array" ref="X92">HLOOKUP($J92,'Type Chart'!$C$2:$T$20,5,false)*HLOOKUP($K92,'Type Chart'!$C$2:$U$20,5,false)</f>
        <v>1</v>
      </c>
      <c r="Y92" s="960">
        <f t="array" ref="Y92">HLOOKUP($J92,'Type Chart'!$C$2:$T$20,6,false)*HLOOKUP($K92,'Type Chart'!$C$2:$U$20,6,false)</f>
        <v>2</v>
      </c>
      <c r="Z92" s="960">
        <f t="array" ref="Z92">HLOOKUP($J92,'Type Chart'!$C$2:$T$20,7,false)*HLOOKUP($K92,'Type Chart'!$C$2:$U$20,7,false)</f>
        <v>2</v>
      </c>
      <c r="AA92" s="960">
        <f t="array" ref="AA92">HLOOKUP($J92,'Type Chart'!$C$2:$T$20,8,false)*HLOOKUP($K92,'Type Chart'!$C$2:$U$20,8,false)</f>
        <v>0.5</v>
      </c>
      <c r="AB92" s="960">
        <f t="array" ref="AB92">HLOOKUP($J92,'Type Chart'!$C$2:$T$20,9,false)*HLOOKUP($K92,'Type Chart'!$C$2:$U$20,9,false)</f>
        <v>1</v>
      </c>
      <c r="AC92" s="960">
        <f t="array" ref="AC92">HLOOKUP($J92,'Type Chart'!$C$2:$T$20,10,false)*HLOOKUP($K92,'Type Chart'!$C$2:$U$20,10,false)</f>
        <v>0.5</v>
      </c>
      <c r="AD92" s="960">
        <f t="array" ref="AD92">HLOOKUP($J92,'Type Chart'!$C$2:$T$20,11,false)*HLOOKUP($K92,'Type Chart'!$C$2:$U$20,11,false)</f>
        <v>0.5</v>
      </c>
      <c r="AE92" s="960">
        <f t="array" ref="AE92">HLOOKUP($J92,'Type Chart'!$C$2:$T$20,12,false)*HLOOKUP($K92,'Type Chart'!$C$2:$U$20,12,false)</f>
        <v>2</v>
      </c>
      <c r="AF92" s="960">
        <f t="array" ref="AF92">HLOOKUP($J92,'Type Chart'!$C$2:$T$20,13,false)*HLOOKUP($K92,'Type Chart'!$C$2:$U$20,13,false)</f>
        <v>0.5</v>
      </c>
      <c r="AG92" s="960">
        <f t="array" ref="AG92">HLOOKUP($J92,'Type Chart'!$C$2:$T$20,14,false)*HLOOKUP($K92,'Type Chart'!$C$2:$U$20,14,false)</f>
        <v>1</v>
      </c>
      <c r="AH92" s="960">
        <f t="array" ref="AH92">HLOOKUP($J92,'Type Chart'!$C$2:$T$20,15,false)*HLOOKUP($K92,'Type Chart'!$C$2:$U$20,15,false)</f>
        <v>1</v>
      </c>
      <c r="AI92" s="960">
        <f t="array" ref="AI92">HLOOKUP($J92,'Type Chart'!$C$2:$T$20,16,false)*HLOOKUP($K92,'Type Chart'!$C$2:$U$20,16,false)</f>
        <v>0.5</v>
      </c>
      <c r="AJ92" s="960">
        <f t="array" ref="AJ92">HLOOKUP($J92,'Type Chart'!$C$2:$T$20,17,false)*HLOOKUP($K92,'Type Chart'!$C$2:$U$20,17,false)</f>
        <v>1</v>
      </c>
      <c r="AK92" s="960">
        <f t="array" ref="AK92">HLOOKUP($J92,'Type Chart'!$C$2:$T$20,18,false)*HLOOKUP($K92,'Type Chart'!$C$2:$U$20,18,false)</f>
        <v>1</v>
      </c>
      <c r="AL92" s="960">
        <f t="array" ref="AL92">HLOOKUP($J92,'Type Chart'!$C$2:$T$20,19,false)*HLOOKUP($K92,'Type Chart'!$C$2:$U$20,19,false)</f>
        <v>0.5</v>
      </c>
      <c r="AM92" s="1145" t="s">
        <v>1061</v>
      </c>
      <c r="AN92" s="965" t="s">
        <v>1172</v>
      </c>
      <c r="AO92" s="966" t="s">
        <v>1273</v>
      </c>
      <c r="AP92" s="936"/>
      <c r="AQ92" s="967"/>
      <c r="AR92" s="968"/>
      <c r="AS92" s="936"/>
    </row>
    <row r="93" ht="15.75" customHeight="1">
      <c r="A93" s="936"/>
      <c r="B93" s="948" t="s">
        <v>1274</v>
      </c>
      <c r="C93" s="950" t="str">
        <f t="shared" ref="C93:E93" si="1">C92&amp;"-hisui"</f>
        <v>growlithe-hisui</v>
      </c>
      <c r="D93" s="950" t="str">
        <f t="shared" si="1"/>
        <v>growlithe-hisui</v>
      </c>
      <c r="E93" s="952" t="str">
        <f t="shared" si="1"/>
        <v>growlithe-hisui</v>
      </c>
      <c r="F93" s="940"/>
      <c r="G93" s="953"/>
      <c r="H93" s="969"/>
      <c r="I93" s="956" t="s">
        <v>1275</v>
      </c>
      <c r="J93" s="982" t="s">
        <v>150</v>
      </c>
      <c r="K93" s="1214" t="s">
        <v>342</v>
      </c>
      <c r="L93" s="959">
        <v>60.0</v>
      </c>
      <c r="M93" s="960">
        <v>75.0</v>
      </c>
      <c r="N93" s="960">
        <v>45.0</v>
      </c>
      <c r="O93" s="960">
        <v>65.0</v>
      </c>
      <c r="P93" s="960">
        <v>50.0</v>
      </c>
      <c r="Q93" s="960">
        <v>55.0</v>
      </c>
      <c r="R93" s="960">
        <v>146.0</v>
      </c>
      <c r="S93" s="960">
        <v>209.0</v>
      </c>
      <c r="T93" s="960">
        <v>229.0</v>
      </c>
      <c r="U93" s="960">
        <f t="array" ref="U93">HLOOKUP($J93,'Type Chart'!$C$2:$T$20,2,false)*HLOOKUP($K93,'Type Chart'!$C$2:$U$20,2,false)</f>
        <v>0.5</v>
      </c>
      <c r="V93" s="960">
        <f t="array" ref="V93">HLOOKUP($J93,'Type Chart'!$C$2:$T$20,3,false)*HLOOKUP($K93,'Type Chart'!$C$2:$U$20,3,false)</f>
        <v>2</v>
      </c>
      <c r="W93" s="960">
        <f t="array" ref="W93">HLOOKUP($J93,'Type Chart'!$C$2:$T$20,4,false)*HLOOKUP($K93,'Type Chart'!$C$2:$U$20,4,false)</f>
        <v>0.5</v>
      </c>
      <c r="X93" s="960">
        <f t="array" ref="X93">HLOOKUP($J93,'Type Chart'!$C$2:$T$20,5,false)*HLOOKUP($K93,'Type Chart'!$C$2:$U$20,5,false)</f>
        <v>0.5</v>
      </c>
      <c r="Y93" s="960">
        <f t="array" ref="Y93">HLOOKUP($J93,'Type Chart'!$C$2:$T$20,6,false)*HLOOKUP($K93,'Type Chart'!$C$2:$U$20,6,false)</f>
        <v>4</v>
      </c>
      <c r="Z93" s="960">
        <f t="array" ref="Z93">HLOOKUP($J93,'Type Chart'!$C$2:$T$20,7,false)*HLOOKUP($K93,'Type Chart'!$C$2:$U$20,7,false)</f>
        <v>2</v>
      </c>
      <c r="AA93" s="960">
        <f t="array" ref="AA93">HLOOKUP($J93,'Type Chart'!$C$2:$T$20,8,false)*HLOOKUP($K93,'Type Chart'!$C$2:$U$20,8,false)</f>
        <v>0.5</v>
      </c>
      <c r="AB93" s="960">
        <f t="array" ref="AB93">HLOOKUP($J93,'Type Chart'!$C$2:$T$20,9,false)*HLOOKUP($K93,'Type Chart'!$C$2:$U$20,9,false)</f>
        <v>1</v>
      </c>
      <c r="AC93" s="960">
        <f t="array" ref="AC93">HLOOKUP($J93,'Type Chart'!$C$2:$T$20,10,false)*HLOOKUP($K93,'Type Chart'!$C$2:$U$20,10,false)</f>
        <v>1</v>
      </c>
      <c r="AD93" s="960">
        <f t="array" ref="AD93">HLOOKUP($J93,'Type Chart'!$C$2:$T$20,11,false)*HLOOKUP($K93,'Type Chart'!$C$2:$U$20,11,false)</f>
        <v>0.25</v>
      </c>
      <c r="AE93" s="960">
        <f t="array" ref="AE93">HLOOKUP($J93,'Type Chart'!$C$2:$T$20,12,false)*HLOOKUP($K93,'Type Chart'!$C$2:$U$20,12,false)</f>
        <v>4</v>
      </c>
      <c r="AF93" s="960">
        <f t="array" ref="AF93">HLOOKUP($J93,'Type Chart'!$C$2:$T$20,13,false)*HLOOKUP($K93,'Type Chart'!$C$2:$U$20,13,false)</f>
        <v>1</v>
      </c>
      <c r="AG93" s="960">
        <f t="array" ref="AG93">HLOOKUP($J93,'Type Chart'!$C$2:$T$20,14,false)*HLOOKUP($K93,'Type Chart'!$C$2:$U$20,14,false)</f>
        <v>1</v>
      </c>
      <c r="AH93" s="960">
        <f t="array" ref="AH93">HLOOKUP($J93,'Type Chart'!$C$2:$T$20,15,false)*HLOOKUP($K93,'Type Chart'!$C$2:$U$20,15,false)</f>
        <v>1</v>
      </c>
      <c r="AI93" s="960">
        <f t="array" ref="AI93">HLOOKUP($J93,'Type Chart'!$C$2:$T$20,16,false)*HLOOKUP($K93,'Type Chart'!$C$2:$U$20,16,false)</f>
        <v>0.5</v>
      </c>
      <c r="AJ93" s="960">
        <f t="array" ref="AJ93">HLOOKUP($J93,'Type Chart'!$C$2:$T$20,17,false)*HLOOKUP($K93,'Type Chart'!$C$2:$U$20,17,false)</f>
        <v>1</v>
      </c>
      <c r="AK93" s="960">
        <f t="array" ref="AK93">HLOOKUP($J93,'Type Chart'!$C$2:$T$20,18,false)*HLOOKUP($K93,'Type Chart'!$C$2:$U$20,18,false)</f>
        <v>1</v>
      </c>
      <c r="AL93" s="960">
        <f t="array" ref="AL93">HLOOKUP($J93,'Type Chart'!$C$2:$T$20,19,false)*HLOOKUP($K93,'Type Chart'!$C$2:$U$20,19,false)</f>
        <v>0.5</v>
      </c>
      <c r="AM93" s="964" t="s">
        <v>1061</v>
      </c>
      <c r="AN93" s="964" t="s">
        <v>1172</v>
      </c>
      <c r="AO93" s="966" t="s">
        <v>1276</v>
      </c>
      <c r="AP93" s="936"/>
      <c r="AQ93" s="967"/>
      <c r="AR93" s="968"/>
      <c r="AS93" s="936"/>
    </row>
    <row r="94" ht="15.75" customHeight="1">
      <c r="A94" s="1099"/>
      <c r="B94" s="948" t="s">
        <v>1277</v>
      </c>
      <c r="C94" s="1197" t="s">
        <v>1278</v>
      </c>
      <c r="D94" s="1197" t="s">
        <v>1278</v>
      </c>
      <c r="E94" s="1147" t="s">
        <v>1278</v>
      </c>
      <c r="F94" s="940"/>
      <c r="G94" s="953"/>
      <c r="H94" s="969"/>
      <c r="I94" s="998" t="s">
        <v>319</v>
      </c>
      <c r="J94" s="1208" t="s">
        <v>150</v>
      </c>
      <c r="K94" s="1199" t="s">
        <v>216</v>
      </c>
      <c r="L94" s="1200">
        <v>90.0</v>
      </c>
      <c r="M94" s="1201">
        <v>110.0</v>
      </c>
      <c r="N94" s="1201">
        <v>80.0</v>
      </c>
      <c r="O94" s="1201">
        <v>100.0</v>
      </c>
      <c r="P94" s="1201">
        <v>80.0</v>
      </c>
      <c r="Q94" s="1201">
        <v>95.0</v>
      </c>
      <c r="R94" s="960">
        <v>226.0</v>
      </c>
      <c r="S94" s="960">
        <v>289.0</v>
      </c>
      <c r="T94" s="960">
        <v>317.0</v>
      </c>
      <c r="U94" s="960">
        <f t="array" ref="U94">HLOOKUP($J94,'Type Chart'!$C$2:$T$20,2,false)*HLOOKUP($K94,'Type Chart'!$C$2:$U$20,2,false)</f>
        <v>1</v>
      </c>
      <c r="V94" s="960">
        <f t="array" ref="V94">HLOOKUP($J94,'Type Chart'!$C$2:$T$20,3,false)*HLOOKUP($K94,'Type Chart'!$C$2:$U$20,3,false)</f>
        <v>1</v>
      </c>
      <c r="W94" s="960">
        <f t="array" ref="W94">HLOOKUP($J94,'Type Chart'!$C$2:$T$20,4,false)*HLOOKUP($K94,'Type Chart'!$C$2:$U$20,4,false)</f>
        <v>1</v>
      </c>
      <c r="X94" s="960">
        <f t="array" ref="X94">HLOOKUP($J94,'Type Chart'!$C$2:$T$20,5,false)*HLOOKUP($K94,'Type Chart'!$C$2:$U$20,5,false)</f>
        <v>1</v>
      </c>
      <c r="Y94" s="960">
        <f t="array" ref="Y94">HLOOKUP($J94,'Type Chart'!$C$2:$T$20,6,false)*HLOOKUP($K94,'Type Chart'!$C$2:$U$20,6,false)</f>
        <v>2</v>
      </c>
      <c r="Z94" s="960">
        <f t="array" ref="Z94">HLOOKUP($J94,'Type Chart'!$C$2:$T$20,7,false)*HLOOKUP($K94,'Type Chart'!$C$2:$U$20,7,false)</f>
        <v>2</v>
      </c>
      <c r="AA94" s="960">
        <f t="array" ref="AA94">HLOOKUP($J94,'Type Chart'!$C$2:$T$20,8,false)*HLOOKUP($K94,'Type Chart'!$C$2:$U$20,8,false)</f>
        <v>0.5</v>
      </c>
      <c r="AB94" s="960">
        <f t="array" ref="AB94">HLOOKUP($J94,'Type Chart'!$C$2:$T$20,9,false)*HLOOKUP($K94,'Type Chart'!$C$2:$U$20,9,false)</f>
        <v>1</v>
      </c>
      <c r="AC94" s="960">
        <f t="array" ref="AC94">HLOOKUP($J94,'Type Chart'!$C$2:$T$20,10,false)*HLOOKUP($K94,'Type Chart'!$C$2:$U$20,10,false)</f>
        <v>0.5</v>
      </c>
      <c r="AD94" s="960">
        <f t="array" ref="AD94">HLOOKUP($J94,'Type Chart'!$C$2:$T$20,11,false)*HLOOKUP($K94,'Type Chart'!$C$2:$U$20,11,false)</f>
        <v>0.5</v>
      </c>
      <c r="AE94" s="960">
        <f t="array" ref="AE94">HLOOKUP($J94,'Type Chart'!$C$2:$T$20,12,false)*HLOOKUP($K94,'Type Chart'!$C$2:$U$20,12,false)</f>
        <v>2</v>
      </c>
      <c r="AF94" s="960">
        <f t="array" ref="AF94">HLOOKUP($J94,'Type Chart'!$C$2:$T$20,13,false)*HLOOKUP($K94,'Type Chart'!$C$2:$U$20,13,false)</f>
        <v>0.5</v>
      </c>
      <c r="AG94" s="960">
        <f t="array" ref="AG94">HLOOKUP($J94,'Type Chart'!$C$2:$T$20,14,false)*HLOOKUP($K94,'Type Chart'!$C$2:$U$20,14,false)</f>
        <v>1</v>
      </c>
      <c r="AH94" s="960">
        <f t="array" ref="AH94">HLOOKUP($J94,'Type Chart'!$C$2:$T$20,15,false)*HLOOKUP($K94,'Type Chart'!$C$2:$U$20,15,false)</f>
        <v>1</v>
      </c>
      <c r="AI94" s="960">
        <f t="array" ref="AI94">HLOOKUP($J94,'Type Chart'!$C$2:$T$20,16,false)*HLOOKUP($K94,'Type Chart'!$C$2:$U$20,16,false)</f>
        <v>0.5</v>
      </c>
      <c r="AJ94" s="960">
        <f t="array" ref="AJ94">HLOOKUP($J94,'Type Chart'!$C$2:$T$20,17,false)*HLOOKUP($K94,'Type Chart'!$C$2:$U$20,17,false)</f>
        <v>1</v>
      </c>
      <c r="AK94" s="960">
        <f t="array" ref="AK94">HLOOKUP($J94,'Type Chart'!$C$2:$T$20,18,false)*HLOOKUP($K94,'Type Chart'!$C$2:$U$20,18,false)</f>
        <v>1</v>
      </c>
      <c r="AL94" s="960">
        <f t="array" ref="AL94">HLOOKUP($J94,'Type Chart'!$C$2:$T$20,19,false)*HLOOKUP($K94,'Type Chart'!$C$2:$U$20,19,false)</f>
        <v>0.5</v>
      </c>
      <c r="AM94" s="1145" t="s">
        <v>1061</v>
      </c>
      <c r="AN94" s="965" t="s">
        <v>1172</v>
      </c>
      <c r="AO94" s="1146" t="s">
        <v>1273</v>
      </c>
      <c r="AP94" s="936"/>
      <c r="AQ94" s="967"/>
      <c r="AR94" s="968"/>
      <c r="AS94" s="936"/>
    </row>
    <row r="95" ht="15.75" customHeight="1">
      <c r="A95" s="936"/>
      <c r="B95" s="948" t="s">
        <v>1279</v>
      </c>
      <c r="C95" s="950" t="str">
        <f t="shared" ref="C95:E95" si="2">C94&amp;"-hisui"</f>
        <v>arcanine-hisui</v>
      </c>
      <c r="D95" s="950" t="str">
        <f t="shared" si="2"/>
        <v>arcanine-hisui</v>
      </c>
      <c r="E95" s="952" t="str">
        <f t="shared" si="2"/>
        <v>arcanine-hisui</v>
      </c>
      <c r="F95" s="940"/>
      <c r="G95" s="953"/>
      <c r="H95" s="969"/>
      <c r="I95" s="956" t="s">
        <v>237</v>
      </c>
      <c r="J95" s="982" t="s">
        <v>150</v>
      </c>
      <c r="K95" s="1214" t="s">
        <v>342</v>
      </c>
      <c r="L95" s="959">
        <v>95.0</v>
      </c>
      <c r="M95" s="960">
        <v>115.0</v>
      </c>
      <c r="N95" s="960">
        <v>80.0</v>
      </c>
      <c r="O95" s="960">
        <v>95.0</v>
      </c>
      <c r="P95" s="960">
        <v>80.0</v>
      </c>
      <c r="Q95" s="960">
        <v>90.0</v>
      </c>
      <c r="R95" s="960">
        <v>216.0</v>
      </c>
      <c r="S95" s="960">
        <v>279.0</v>
      </c>
      <c r="T95" s="960">
        <v>306.0</v>
      </c>
      <c r="U95" s="960">
        <f t="array" ref="U95">HLOOKUP($J95,'Type Chart'!$C$2:$T$20,2,false)*HLOOKUP($K95,'Type Chart'!$C$2:$U$20,2,false)</f>
        <v>0.5</v>
      </c>
      <c r="V95" s="960">
        <f t="array" ref="V95">HLOOKUP($J95,'Type Chart'!$C$2:$T$20,3,false)*HLOOKUP($K95,'Type Chart'!$C$2:$U$20,3,false)</f>
        <v>2</v>
      </c>
      <c r="W95" s="960">
        <f t="array" ref="W95">HLOOKUP($J95,'Type Chart'!$C$2:$T$20,4,false)*HLOOKUP($K95,'Type Chart'!$C$2:$U$20,4,false)</f>
        <v>0.5</v>
      </c>
      <c r="X95" s="960">
        <f t="array" ref="X95">HLOOKUP($J95,'Type Chart'!$C$2:$T$20,5,false)*HLOOKUP($K95,'Type Chart'!$C$2:$U$20,5,false)</f>
        <v>0.5</v>
      </c>
      <c r="Y95" s="960">
        <f t="array" ref="Y95">HLOOKUP($J95,'Type Chart'!$C$2:$T$20,6,false)*HLOOKUP($K95,'Type Chart'!$C$2:$U$20,6,false)</f>
        <v>4</v>
      </c>
      <c r="Z95" s="960">
        <f t="array" ref="Z95">HLOOKUP($J95,'Type Chart'!$C$2:$T$20,7,false)*HLOOKUP($K95,'Type Chart'!$C$2:$U$20,7,false)</f>
        <v>2</v>
      </c>
      <c r="AA95" s="960">
        <f t="array" ref="AA95">HLOOKUP($J95,'Type Chart'!$C$2:$T$20,8,false)*HLOOKUP($K95,'Type Chart'!$C$2:$U$20,8,false)</f>
        <v>0.5</v>
      </c>
      <c r="AB95" s="960">
        <f t="array" ref="AB95">HLOOKUP($J95,'Type Chart'!$C$2:$T$20,9,false)*HLOOKUP($K95,'Type Chart'!$C$2:$U$20,9,false)</f>
        <v>1</v>
      </c>
      <c r="AC95" s="960">
        <f t="array" ref="AC95">HLOOKUP($J95,'Type Chart'!$C$2:$T$20,10,false)*HLOOKUP($K95,'Type Chart'!$C$2:$U$20,10,false)</f>
        <v>1</v>
      </c>
      <c r="AD95" s="960">
        <f t="array" ref="AD95">HLOOKUP($J95,'Type Chart'!$C$2:$T$20,11,false)*HLOOKUP($K95,'Type Chart'!$C$2:$U$20,11,false)</f>
        <v>0.25</v>
      </c>
      <c r="AE95" s="960">
        <f t="array" ref="AE95">HLOOKUP($J95,'Type Chart'!$C$2:$T$20,12,false)*HLOOKUP($K95,'Type Chart'!$C$2:$U$20,12,false)</f>
        <v>4</v>
      </c>
      <c r="AF95" s="960">
        <f t="array" ref="AF95">HLOOKUP($J95,'Type Chart'!$C$2:$T$20,13,false)*HLOOKUP($K95,'Type Chart'!$C$2:$U$20,13,false)</f>
        <v>1</v>
      </c>
      <c r="AG95" s="960">
        <f t="array" ref="AG95">HLOOKUP($J95,'Type Chart'!$C$2:$T$20,14,false)*HLOOKUP($K95,'Type Chart'!$C$2:$U$20,14,false)</f>
        <v>1</v>
      </c>
      <c r="AH95" s="960">
        <f t="array" ref="AH95">HLOOKUP($J95,'Type Chart'!$C$2:$T$20,15,false)*HLOOKUP($K95,'Type Chart'!$C$2:$U$20,15,false)</f>
        <v>1</v>
      </c>
      <c r="AI95" s="960">
        <f t="array" ref="AI95">HLOOKUP($J95,'Type Chart'!$C$2:$T$20,16,false)*HLOOKUP($K95,'Type Chart'!$C$2:$U$20,16,false)</f>
        <v>0.5</v>
      </c>
      <c r="AJ95" s="960">
        <f t="array" ref="AJ95">HLOOKUP($J95,'Type Chart'!$C$2:$T$20,17,false)*HLOOKUP($K95,'Type Chart'!$C$2:$U$20,17,false)</f>
        <v>1</v>
      </c>
      <c r="AK95" s="960">
        <f t="array" ref="AK95">HLOOKUP($J95,'Type Chart'!$C$2:$T$20,18,false)*HLOOKUP($K95,'Type Chart'!$C$2:$U$20,18,false)</f>
        <v>1</v>
      </c>
      <c r="AL95" s="960">
        <f t="array" ref="AL95">HLOOKUP($J95,'Type Chart'!$C$2:$T$20,19,false)*HLOOKUP($K95,'Type Chart'!$C$2:$U$20,19,false)</f>
        <v>0.5</v>
      </c>
      <c r="AM95" s="964" t="s">
        <v>1061</v>
      </c>
      <c r="AN95" s="965" t="s">
        <v>1172</v>
      </c>
      <c r="AO95" s="966" t="s">
        <v>1276</v>
      </c>
      <c r="AP95" s="936"/>
      <c r="AQ95" s="967"/>
      <c r="AR95" s="968"/>
      <c r="AS95" s="936"/>
    </row>
    <row r="96" ht="15.75" customHeight="1">
      <c r="A96" s="936"/>
      <c r="B96" s="948" t="s">
        <v>1280</v>
      </c>
      <c r="C96" s="950" t="s">
        <v>1281</v>
      </c>
      <c r="D96" s="950" t="s">
        <v>1281</v>
      </c>
      <c r="E96" s="952" t="s">
        <v>1281</v>
      </c>
      <c r="F96" s="940"/>
      <c r="G96" s="953"/>
      <c r="H96" s="969"/>
      <c r="I96" s="956" t="s">
        <v>1282</v>
      </c>
      <c r="J96" s="1056" t="s">
        <v>81</v>
      </c>
      <c r="K96" s="984" t="s">
        <v>216</v>
      </c>
      <c r="L96" s="959">
        <v>40.0</v>
      </c>
      <c r="M96" s="960">
        <v>50.0</v>
      </c>
      <c r="N96" s="960">
        <v>40.0</v>
      </c>
      <c r="O96" s="960">
        <v>40.0</v>
      </c>
      <c r="P96" s="960">
        <v>40.0</v>
      </c>
      <c r="Q96" s="960">
        <v>90.0</v>
      </c>
      <c r="R96" s="960">
        <v>216.0</v>
      </c>
      <c r="S96" s="960">
        <v>279.0</v>
      </c>
      <c r="T96" s="960">
        <v>306.0</v>
      </c>
      <c r="U96" s="960">
        <f t="array" ref="U96">HLOOKUP($J96,'Type Chart'!$C$2:$T$20,2,false)*HLOOKUP($K96,'Type Chart'!$C$2:$U$20,2,false)</f>
        <v>1</v>
      </c>
      <c r="V96" s="960">
        <f t="array" ref="V96">HLOOKUP($J96,'Type Chart'!$C$2:$T$20,3,false)*HLOOKUP($K96,'Type Chart'!$C$2:$U$20,3,false)</f>
        <v>1</v>
      </c>
      <c r="W96" s="960">
        <f t="array" ref="W96">HLOOKUP($J96,'Type Chart'!$C$2:$T$20,4,false)*HLOOKUP($K96,'Type Chart'!$C$2:$U$20,4,false)</f>
        <v>1</v>
      </c>
      <c r="X96" s="960">
        <f t="array" ref="X96">HLOOKUP($J96,'Type Chart'!$C$2:$T$20,5,false)*HLOOKUP($K96,'Type Chart'!$C$2:$U$20,5,false)</f>
        <v>1</v>
      </c>
      <c r="Y96" s="960">
        <f t="array" ref="Y96">HLOOKUP($J96,'Type Chart'!$C$2:$T$20,6,false)*HLOOKUP($K96,'Type Chart'!$C$2:$U$20,6,false)</f>
        <v>1</v>
      </c>
      <c r="Z96" s="960">
        <f t="array" ref="Z96">HLOOKUP($J96,'Type Chart'!$C$2:$T$20,7,false)*HLOOKUP($K96,'Type Chart'!$C$2:$U$20,7,false)</f>
        <v>1</v>
      </c>
      <c r="AA96" s="960">
        <f t="array" ref="AA96">HLOOKUP($J96,'Type Chart'!$C$2:$T$20,8,false)*HLOOKUP($K96,'Type Chart'!$C$2:$U$20,8,false)</f>
        <v>1</v>
      </c>
      <c r="AB96" s="960">
        <f t="array" ref="AB96">HLOOKUP($J96,'Type Chart'!$C$2:$T$20,9,false)*HLOOKUP($K96,'Type Chart'!$C$2:$U$20,9,false)</f>
        <v>1</v>
      </c>
      <c r="AC96" s="960">
        <f t="array" ref="AC96">HLOOKUP($J96,'Type Chart'!$C$2:$T$20,10,false)*HLOOKUP($K96,'Type Chart'!$C$2:$U$20,10,false)</f>
        <v>0.5</v>
      </c>
      <c r="AD96" s="960">
        <f t="array" ref="AD96">HLOOKUP($J96,'Type Chart'!$C$2:$T$20,11,false)*HLOOKUP($K96,'Type Chart'!$C$2:$U$20,11,false)</f>
        <v>0.5</v>
      </c>
      <c r="AE96" s="960">
        <f t="array" ref="AE96">HLOOKUP($J96,'Type Chart'!$C$2:$T$20,12,false)*HLOOKUP($K96,'Type Chart'!$C$2:$U$20,12,false)</f>
        <v>0.5</v>
      </c>
      <c r="AF96" s="960">
        <f t="array" ref="AF96">HLOOKUP($J96,'Type Chart'!$C$2:$T$20,13,false)*HLOOKUP($K96,'Type Chart'!$C$2:$U$20,13,false)</f>
        <v>2</v>
      </c>
      <c r="AG96" s="960">
        <f t="array" ref="AG96">HLOOKUP($J96,'Type Chart'!$C$2:$T$20,14,false)*HLOOKUP($K96,'Type Chart'!$C$2:$U$20,14,false)</f>
        <v>2</v>
      </c>
      <c r="AH96" s="960">
        <f t="array" ref="AH96">HLOOKUP($J96,'Type Chart'!$C$2:$T$20,15,false)*HLOOKUP($K96,'Type Chart'!$C$2:$U$20,15,false)</f>
        <v>1</v>
      </c>
      <c r="AI96" s="960">
        <f t="array" ref="AI96">HLOOKUP($J96,'Type Chart'!$C$2:$T$20,16,false)*HLOOKUP($K96,'Type Chart'!$C$2:$U$20,16,false)</f>
        <v>0.5</v>
      </c>
      <c r="AJ96" s="960">
        <f t="array" ref="AJ96">HLOOKUP($J96,'Type Chart'!$C$2:$T$20,17,false)*HLOOKUP($K96,'Type Chart'!$C$2:$U$20,17,false)</f>
        <v>1</v>
      </c>
      <c r="AK96" s="960">
        <f t="array" ref="AK96">HLOOKUP($J96,'Type Chart'!$C$2:$T$20,18,false)*HLOOKUP($K96,'Type Chart'!$C$2:$U$20,18,false)</f>
        <v>1</v>
      </c>
      <c r="AL96" s="960">
        <f t="array" ref="AL96">HLOOKUP($J96,'Type Chart'!$C$2:$T$20,19,false)*HLOOKUP($K96,'Type Chart'!$C$2:$U$20,19,false)</f>
        <v>1</v>
      </c>
      <c r="AM96" s="964" t="s">
        <v>1283</v>
      </c>
      <c r="AN96" s="965" t="s">
        <v>1211</v>
      </c>
      <c r="AO96" s="966" t="s">
        <v>1259</v>
      </c>
      <c r="AP96" s="936"/>
      <c r="AQ96" s="967"/>
      <c r="AR96" s="968"/>
      <c r="AS96" s="936"/>
    </row>
    <row r="97" ht="15.75" customHeight="1">
      <c r="A97" s="936"/>
      <c r="B97" s="948" t="s">
        <v>1284</v>
      </c>
      <c r="C97" s="950" t="s">
        <v>1285</v>
      </c>
      <c r="D97" s="950" t="s">
        <v>1285</v>
      </c>
      <c r="E97" s="952" t="s">
        <v>1285</v>
      </c>
      <c r="F97" s="940"/>
      <c r="G97" s="953"/>
      <c r="H97" s="969"/>
      <c r="I97" s="956" t="s">
        <v>1286</v>
      </c>
      <c r="J97" s="1056" t="s">
        <v>81</v>
      </c>
      <c r="K97" s="984" t="s">
        <v>216</v>
      </c>
      <c r="L97" s="959">
        <v>65.0</v>
      </c>
      <c r="M97" s="960">
        <v>65.0</v>
      </c>
      <c r="N97" s="960">
        <v>65.0</v>
      </c>
      <c r="O97" s="960">
        <v>50.0</v>
      </c>
      <c r="P97" s="960">
        <v>50.0</v>
      </c>
      <c r="Q97" s="960">
        <v>90.0</v>
      </c>
      <c r="R97" s="960">
        <v>216.0</v>
      </c>
      <c r="S97" s="960">
        <v>279.0</v>
      </c>
      <c r="T97" s="960">
        <v>306.0</v>
      </c>
      <c r="U97" s="960">
        <f t="array" ref="U97">HLOOKUP($J97,'Type Chart'!$C$2:$T$20,2,false)*HLOOKUP($K97,'Type Chart'!$C$2:$U$20,2,false)</f>
        <v>1</v>
      </c>
      <c r="V97" s="960">
        <f t="array" ref="V97">HLOOKUP($J97,'Type Chart'!$C$2:$T$20,3,false)*HLOOKUP($K97,'Type Chart'!$C$2:$U$20,3,false)</f>
        <v>1</v>
      </c>
      <c r="W97" s="960">
        <f t="array" ref="W97">HLOOKUP($J97,'Type Chart'!$C$2:$T$20,4,false)*HLOOKUP($K97,'Type Chart'!$C$2:$U$20,4,false)</f>
        <v>1</v>
      </c>
      <c r="X97" s="960">
        <f t="array" ref="X97">HLOOKUP($J97,'Type Chart'!$C$2:$T$20,5,false)*HLOOKUP($K97,'Type Chart'!$C$2:$U$20,5,false)</f>
        <v>1</v>
      </c>
      <c r="Y97" s="960">
        <f t="array" ref="Y97">HLOOKUP($J97,'Type Chart'!$C$2:$T$20,6,false)*HLOOKUP($K97,'Type Chart'!$C$2:$U$20,6,false)</f>
        <v>1</v>
      </c>
      <c r="Z97" s="960">
        <f t="array" ref="Z97">HLOOKUP($J97,'Type Chart'!$C$2:$T$20,7,false)*HLOOKUP($K97,'Type Chart'!$C$2:$U$20,7,false)</f>
        <v>1</v>
      </c>
      <c r="AA97" s="960">
        <f t="array" ref="AA97">HLOOKUP($J97,'Type Chart'!$C$2:$T$20,8,false)*HLOOKUP($K97,'Type Chart'!$C$2:$U$20,8,false)</f>
        <v>1</v>
      </c>
      <c r="AB97" s="960">
        <f t="array" ref="AB97">HLOOKUP($J97,'Type Chart'!$C$2:$T$20,9,false)*HLOOKUP($K97,'Type Chart'!$C$2:$U$20,9,false)</f>
        <v>1</v>
      </c>
      <c r="AC97" s="960">
        <f t="array" ref="AC97">HLOOKUP($J97,'Type Chart'!$C$2:$T$20,10,false)*HLOOKUP($K97,'Type Chart'!$C$2:$U$20,10,false)</f>
        <v>0.5</v>
      </c>
      <c r="AD97" s="960">
        <f t="array" ref="AD97">HLOOKUP($J97,'Type Chart'!$C$2:$T$20,11,false)*HLOOKUP($K97,'Type Chart'!$C$2:$U$20,11,false)</f>
        <v>0.5</v>
      </c>
      <c r="AE97" s="960">
        <f t="array" ref="AE97">HLOOKUP($J97,'Type Chart'!$C$2:$T$20,12,false)*HLOOKUP($K97,'Type Chart'!$C$2:$U$20,12,false)</f>
        <v>0.5</v>
      </c>
      <c r="AF97" s="960">
        <f t="array" ref="AF97">HLOOKUP($J97,'Type Chart'!$C$2:$T$20,13,false)*HLOOKUP($K97,'Type Chart'!$C$2:$U$20,13,false)</f>
        <v>2</v>
      </c>
      <c r="AG97" s="960">
        <f t="array" ref="AG97">HLOOKUP($J97,'Type Chart'!$C$2:$T$20,14,false)*HLOOKUP($K97,'Type Chart'!$C$2:$U$20,14,false)</f>
        <v>2</v>
      </c>
      <c r="AH97" s="960">
        <f t="array" ref="AH97">HLOOKUP($J97,'Type Chart'!$C$2:$T$20,15,false)*HLOOKUP($K97,'Type Chart'!$C$2:$U$20,15,false)</f>
        <v>1</v>
      </c>
      <c r="AI97" s="960">
        <f t="array" ref="AI97">HLOOKUP($J97,'Type Chart'!$C$2:$T$20,16,false)*HLOOKUP($K97,'Type Chart'!$C$2:$U$20,16,false)</f>
        <v>0.5</v>
      </c>
      <c r="AJ97" s="960">
        <f t="array" ref="AJ97">HLOOKUP($J97,'Type Chart'!$C$2:$T$20,17,false)*HLOOKUP($K97,'Type Chart'!$C$2:$U$20,17,false)</f>
        <v>1</v>
      </c>
      <c r="AK97" s="960">
        <f t="array" ref="AK97">HLOOKUP($J97,'Type Chart'!$C$2:$T$20,18,false)*HLOOKUP($K97,'Type Chart'!$C$2:$U$20,18,false)</f>
        <v>1</v>
      </c>
      <c r="AL97" s="960">
        <f t="array" ref="AL97">HLOOKUP($J97,'Type Chart'!$C$2:$T$20,19,false)*HLOOKUP($K97,'Type Chart'!$C$2:$U$20,19,false)</f>
        <v>1</v>
      </c>
      <c r="AM97" s="964" t="s">
        <v>1283</v>
      </c>
      <c r="AN97" s="965" t="s">
        <v>1211</v>
      </c>
      <c r="AO97" s="966" t="s">
        <v>1259</v>
      </c>
      <c r="AP97" s="936"/>
      <c r="AQ97" s="967"/>
      <c r="AR97" s="968"/>
      <c r="AS97" s="936"/>
    </row>
    <row r="98" ht="15.75" customHeight="1">
      <c r="A98" s="936"/>
      <c r="B98" s="948" t="s">
        <v>1287</v>
      </c>
      <c r="C98" s="950" t="s">
        <v>1288</v>
      </c>
      <c r="D98" s="950" t="s">
        <v>1288</v>
      </c>
      <c r="E98" s="952" t="s">
        <v>1288</v>
      </c>
      <c r="F98" s="940"/>
      <c r="G98" s="953"/>
      <c r="H98" s="969"/>
      <c r="I98" s="956" t="s">
        <v>692</v>
      </c>
      <c r="J98" s="1056" t="s">
        <v>81</v>
      </c>
      <c r="K98" s="1213" t="s">
        <v>341</v>
      </c>
      <c r="L98" s="959">
        <v>90.0</v>
      </c>
      <c r="M98" s="960">
        <v>95.0</v>
      </c>
      <c r="N98" s="960">
        <v>95.0</v>
      </c>
      <c r="O98" s="960">
        <v>70.0</v>
      </c>
      <c r="P98" s="960">
        <v>90.0</v>
      </c>
      <c r="Q98" s="960">
        <v>70.0</v>
      </c>
      <c r="R98" s="960">
        <v>176.0</v>
      </c>
      <c r="S98" s="960">
        <v>239.0</v>
      </c>
      <c r="T98" s="960">
        <v>262.0</v>
      </c>
      <c r="U98" s="960">
        <f t="array" ref="U98">HLOOKUP($J98,'Type Chart'!$C$2:$T$20,2,false)*HLOOKUP($K98,'Type Chart'!$C$2:$U$20,2,false)</f>
        <v>1</v>
      </c>
      <c r="V98" s="960">
        <f t="array" ref="V98">HLOOKUP($J98,'Type Chart'!$C$2:$T$20,3,false)*HLOOKUP($K98,'Type Chart'!$C$2:$U$20,3,false)</f>
        <v>1</v>
      </c>
      <c r="W98" s="960">
        <f t="array" ref="W98">HLOOKUP($J98,'Type Chart'!$C$2:$T$20,4,false)*HLOOKUP($K98,'Type Chart'!$C$2:$U$20,4,false)</f>
        <v>2</v>
      </c>
      <c r="X98" s="960">
        <f t="array" ref="X98">HLOOKUP($J98,'Type Chart'!$C$2:$T$20,5,false)*HLOOKUP($K98,'Type Chart'!$C$2:$U$20,5,false)</f>
        <v>1</v>
      </c>
      <c r="Y98" s="960">
        <f t="array" ref="Y98">HLOOKUP($J98,'Type Chart'!$C$2:$T$20,6,false)*HLOOKUP($K98,'Type Chart'!$C$2:$U$20,6,false)</f>
        <v>1</v>
      </c>
      <c r="Z98" s="960">
        <f t="array" ref="Z98">HLOOKUP($J98,'Type Chart'!$C$2:$T$20,7,false)*HLOOKUP($K98,'Type Chart'!$C$2:$U$20,7,false)</f>
        <v>0.5</v>
      </c>
      <c r="AA98" s="960">
        <f t="array" ref="AA98">HLOOKUP($J98,'Type Chart'!$C$2:$T$20,8,false)*HLOOKUP($K98,'Type Chart'!$C$2:$U$20,8,false)</f>
        <v>0.5</v>
      </c>
      <c r="AB98" s="960">
        <f t="array" ref="AB98">HLOOKUP($J98,'Type Chart'!$C$2:$T$20,9,false)*HLOOKUP($K98,'Type Chart'!$C$2:$U$20,9,false)</f>
        <v>1</v>
      </c>
      <c r="AC98" s="960">
        <f t="array" ref="AC98">HLOOKUP($J98,'Type Chart'!$C$2:$T$20,10,false)*HLOOKUP($K98,'Type Chart'!$C$2:$U$20,10,false)</f>
        <v>0.5</v>
      </c>
      <c r="AD98" s="960">
        <f t="array" ref="AD98">HLOOKUP($J98,'Type Chart'!$C$2:$T$20,11,false)*HLOOKUP($K98,'Type Chart'!$C$2:$U$20,11,false)</f>
        <v>0.5</v>
      </c>
      <c r="AE98" s="960">
        <f t="array" ref="AE98">HLOOKUP($J98,'Type Chart'!$C$2:$T$20,12,false)*HLOOKUP($K98,'Type Chart'!$C$2:$U$20,12,false)</f>
        <v>0.5</v>
      </c>
      <c r="AF98" s="960">
        <f t="array" ref="AF98">HLOOKUP($J98,'Type Chart'!$C$2:$T$20,13,false)*HLOOKUP($K98,'Type Chart'!$C$2:$U$20,13,false)</f>
        <v>2</v>
      </c>
      <c r="AG98" s="960">
        <f t="array" ref="AG98">HLOOKUP($J98,'Type Chart'!$C$2:$T$20,14,false)*HLOOKUP($K98,'Type Chart'!$C$2:$U$20,14,false)</f>
        <v>2</v>
      </c>
      <c r="AH98" s="960">
        <f t="array" ref="AH98">HLOOKUP($J98,'Type Chart'!$C$2:$T$20,15,false)*HLOOKUP($K98,'Type Chart'!$C$2:$U$20,15,false)</f>
        <v>2</v>
      </c>
      <c r="AI98" s="960">
        <f t="array" ref="AI98">HLOOKUP($J98,'Type Chart'!$C$2:$T$20,16,false)*HLOOKUP($K98,'Type Chart'!$C$2:$U$20,16,false)</f>
        <v>0.5</v>
      </c>
      <c r="AJ98" s="960">
        <f t="array" ref="AJ98">HLOOKUP($J98,'Type Chart'!$C$2:$T$20,17,false)*HLOOKUP($K98,'Type Chart'!$C$2:$U$20,17,false)</f>
        <v>1</v>
      </c>
      <c r="AK98" s="960">
        <f t="array" ref="AK98">HLOOKUP($J98,'Type Chart'!$C$2:$T$20,18,false)*HLOOKUP($K98,'Type Chart'!$C$2:$U$20,18,false)</f>
        <v>0.5</v>
      </c>
      <c r="AL98" s="960">
        <f t="array" ref="AL98">HLOOKUP($J98,'Type Chart'!$C$2:$T$20,19,false)*HLOOKUP($K98,'Type Chart'!$C$2:$U$20,19,false)</f>
        <v>2</v>
      </c>
      <c r="AM98" s="964" t="s">
        <v>1283</v>
      </c>
      <c r="AN98" s="965" t="s">
        <v>1211</v>
      </c>
      <c r="AO98" s="966" t="s">
        <v>1259</v>
      </c>
      <c r="AP98" s="936"/>
      <c r="AQ98" s="967"/>
      <c r="AR98" s="968"/>
      <c r="AS98" s="936"/>
    </row>
    <row r="99" ht="15.75" customHeight="1">
      <c r="A99" s="936"/>
      <c r="B99" s="948" t="s">
        <v>1289</v>
      </c>
      <c r="C99" s="950" t="s">
        <v>1290</v>
      </c>
      <c r="D99" s="950" t="s">
        <v>1290</v>
      </c>
      <c r="E99" s="952" t="s">
        <v>1290</v>
      </c>
      <c r="F99" s="940"/>
      <c r="G99" s="953"/>
      <c r="H99" s="969"/>
      <c r="I99" s="956" t="s">
        <v>1291</v>
      </c>
      <c r="J99" s="1203" t="s">
        <v>344</v>
      </c>
      <c r="K99" s="984" t="s">
        <v>216</v>
      </c>
      <c r="L99" s="959">
        <v>25.0</v>
      </c>
      <c r="M99" s="960">
        <v>20.0</v>
      </c>
      <c r="N99" s="960">
        <v>15.0</v>
      </c>
      <c r="O99" s="960">
        <v>105.0</v>
      </c>
      <c r="P99" s="960">
        <v>55.0</v>
      </c>
      <c r="Q99" s="960">
        <v>90.0</v>
      </c>
      <c r="R99" s="960">
        <v>216.0</v>
      </c>
      <c r="S99" s="960">
        <v>279.0</v>
      </c>
      <c r="T99" s="960">
        <v>306.0</v>
      </c>
      <c r="U99" s="960">
        <f t="array" ref="U99">HLOOKUP($J99,'Type Chart'!$C$2:$T$20,2,false)*HLOOKUP($K99,'Type Chart'!$C$2:$U$20,2,false)</f>
        <v>1</v>
      </c>
      <c r="V99" s="960">
        <f t="array" ref="V99">HLOOKUP($J99,'Type Chart'!$C$2:$T$20,3,false)*HLOOKUP($K99,'Type Chart'!$C$2:$U$20,3,false)</f>
        <v>0.5</v>
      </c>
      <c r="W99" s="960">
        <f t="array" ref="W99">HLOOKUP($J99,'Type Chart'!$C$2:$T$20,4,false)*HLOOKUP($K99,'Type Chart'!$C$2:$U$20,4,false)</f>
        <v>1</v>
      </c>
      <c r="X99" s="960">
        <f t="array" ref="X99">HLOOKUP($J99,'Type Chart'!$C$2:$T$20,5,false)*HLOOKUP($K99,'Type Chart'!$C$2:$U$20,5,false)</f>
        <v>1</v>
      </c>
      <c r="Y99" s="960">
        <f t="array" ref="Y99">HLOOKUP($J99,'Type Chart'!$C$2:$T$20,6,false)*HLOOKUP($K99,'Type Chart'!$C$2:$U$20,6,false)</f>
        <v>1</v>
      </c>
      <c r="Z99" s="960">
        <f t="array" ref="Z99">HLOOKUP($J99,'Type Chart'!$C$2:$T$20,7,false)*HLOOKUP($K99,'Type Chart'!$C$2:$U$20,7,false)</f>
        <v>1</v>
      </c>
      <c r="AA99" s="960">
        <f t="array" ref="AA99">HLOOKUP($J99,'Type Chart'!$C$2:$T$20,8,false)*HLOOKUP($K99,'Type Chart'!$C$2:$U$20,8,false)</f>
        <v>2</v>
      </c>
      <c r="AB99" s="960">
        <f t="array" ref="AB99">HLOOKUP($J99,'Type Chart'!$C$2:$T$20,9,false)*HLOOKUP($K99,'Type Chart'!$C$2:$U$20,9,false)</f>
        <v>2</v>
      </c>
      <c r="AC99" s="960">
        <f t="array" ref="AC99">HLOOKUP($J99,'Type Chart'!$C$2:$T$20,10,false)*HLOOKUP($K99,'Type Chart'!$C$2:$U$20,10,false)</f>
        <v>1</v>
      </c>
      <c r="AD99" s="960">
        <f t="array" ref="AD99">HLOOKUP($J99,'Type Chart'!$C$2:$T$20,11,false)*HLOOKUP($K99,'Type Chart'!$C$2:$U$20,11,false)</f>
        <v>1</v>
      </c>
      <c r="AE99" s="960">
        <f t="array" ref="AE99">HLOOKUP($J99,'Type Chart'!$C$2:$T$20,12,false)*HLOOKUP($K99,'Type Chart'!$C$2:$U$20,12,false)</f>
        <v>1</v>
      </c>
      <c r="AF99" s="960">
        <f t="array" ref="AF99">HLOOKUP($J99,'Type Chart'!$C$2:$T$20,13,false)*HLOOKUP($K99,'Type Chart'!$C$2:$U$20,13,false)</f>
        <v>1</v>
      </c>
      <c r="AG99" s="960">
        <f t="array" ref="AG99">HLOOKUP($J99,'Type Chart'!$C$2:$T$20,14,false)*HLOOKUP($K99,'Type Chart'!$C$2:$U$20,14,false)</f>
        <v>1</v>
      </c>
      <c r="AH99" s="960">
        <f t="array" ref="AH99">HLOOKUP($J99,'Type Chart'!$C$2:$T$20,15,false)*HLOOKUP($K99,'Type Chart'!$C$2:$U$20,15,false)</f>
        <v>0.5</v>
      </c>
      <c r="AI99" s="960">
        <f t="array" ref="AI99">HLOOKUP($J99,'Type Chart'!$C$2:$T$20,16,false)*HLOOKUP($K99,'Type Chart'!$C$2:$U$20,16,false)</f>
        <v>1</v>
      </c>
      <c r="AJ99" s="960">
        <f t="array" ref="AJ99">HLOOKUP($J99,'Type Chart'!$C$2:$T$20,17,false)*HLOOKUP($K99,'Type Chart'!$C$2:$U$20,17,false)</f>
        <v>1</v>
      </c>
      <c r="AK99" s="960">
        <f t="array" ref="AK99">HLOOKUP($J99,'Type Chart'!$C$2:$T$20,18,false)*HLOOKUP($K99,'Type Chart'!$C$2:$U$20,18,false)</f>
        <v>2</v>
      </c>
      <c r="AL99" s="960">
        <f t="array" ref="AL99">HLOOKUP($J99,'Type Chart'!$C$2:$T$20,19,false)*HLOOKUP($K99,'Type Chart'!$C$2:$U$20,19,false)</f>
        <v>1</v>
      </c>
      <c r="AM99" s="964" t="s">
        <v>1292</v>
      </c>
      <c r="AN99" s="965" t="s">
        <v>1192</v>
      </c>
      <c r="AO99" s="966" t="s">
        <v>1166</v>
      </c>
      <c r="AP99" s="936"/>
      <c r="AQ99" s="967"/>
      <c r="AR99" s="968"/>
      <c r="AS99" s="936"/>
    </row>
    <row r="100" ht="15.75" customHeight="1">
      <c r="A100" s="936"/>
      <c r="B100" s="948" t="s">
        <v>1293</v>
      </c>
      <c r="C100" s="950" t="s">
        <v>1294</v>
      </c>
      <c r="D100" s="950" t="s">
        <v>1294</v>
      </c>
      <c r="E100" s="952" t="s">
        <v>1294</v>
      </c>
      <c r="F100" s="940"/>
      <c r="G100" s="953"/>
      <c r="H100" s="969"/>
      <c r="I100" s="956" t="s">
        <v>1295</v>
      </c>
      <c r="J100" s="1203" t="s">
        <v>344</v>
      </c>
      <c r="K100" s="984" t="s">
        <v>216</v>
      </c>
      <c r="L100" s="959">
        <v>40.0</v>
      </c>
      <c r="M100" s="960">
        <v>35.0</v>
      </c>
      <c r="N100" s="960">
        <v>30.0</v>
      </c>
      <c r="O100" s="960">
        <v>120.0</v>
      </c>
      <c r="P100" s="960">
        <v>70.0</v>
      </c>
      <c r="Q100" s="960">
        <v>105.0</v>
      </c>
      <c r="R100" s="960">
        <v>246.0</v>
      </c>
      <c r="S100" s="960">
        <v>309.0</v>
      </c>
      <c r="T100" s="960">
        <v>339.0</v>
      </c>
      <c r="U100" s="960">
        <f t="array" ref="U100">HLOOKUP($J100,'Type Chart'!$C$2:$T$20,2,false)*HLOOKUP($K100,'Type Chart'!$C$2:$U$20,2,false)</f>
        <v>1</v>
      </c>
      <c r="V100" s="960">
        <f t="array" ref="V100">HLOOKUP($J100,'Type Chart'!$C$2:$T$20,3,false)*HLOOKUP($K100,'Type Chart'!$C$2:$U$20,3,false)</f>
        <v>0.5</v>
      </c>
      <c r="W100" s="960">
        <f t="array" ref="W100">HLOOKUP($J100,'Type Chart'!$C$2:$T$20,4,false)*HLOOKUP($K100,'Type Chart'!$C$2:$U$20,4,false)</f>
        <v>1</v>
      </c>
      <c r="X100" s="960">
        <f t="array" ref="X100">HLOOKUP($J100,'Type Chart'!$C$2:$T$20,5,false)*HLOOKUP($K100,'Type Chart'!$C$2:$U$20,5,false)</f>
        <v>1</v>
      </c>
      <c r="Y100" s="960">
        <f t="array" ref="Y100">HLOOKUP($J100,'Type Chart'!$C$2:$T$20,6,false)*HLOOKUP($K100,'Type Chart'!$C$2:$U$20,6,false)</f>
        <v>1</v>
      </c>
      <c r="Z100" s="960">
        <f t="array" ref="Z100">HLOOKUP($J100,'Type Chart'!$C$2:$T$20,7,false)*HLOOKUP($K100,'Type Chart'!$C$2:$U$20,7,false)</f>
        <v>1</v>
      </c>
      <c r="AA100" s="960">
        <f t="array" ref="AA100">HLOOKUP($J100,'Type Chart'!$C$2:$T$20,8,false)*HLOOKUP($K100,'Type Chart'!$C$2:$U$20,8,false)</f>
        <v>2</v>
      </c>
      <c r="AB100" s="960">
        <f t="array" ref="AB100">HLOOKUP($J100,'Type Chart'!$C$2:$T$20,9,false)*HLOOKUP($K100,'Type Chart'!$C$2:$U$20,9,false)</f>
        <v>2</v>
      </c>
      <c r="AC100" s="960">
        <f t="array" ref="AC100">HLOOKUP($J100,'Type Chart'!$C$2:$T$20,10,false)*HLOOKUP($K100,'Type Chart'!$C$2:$U$20,10,false)</f>
        <v>1</v>
      </c>
      <c r="AD100" s="960">
        <f t="array" ref="AD100">HLOOKUP($J100,'Type Chart'!$C$2:$T$20,11,false)*HLOOKUP($K100,'Type Chart'!$C$2:$U$20,11,false)</f>
        <v>1</v>
      </c>
      <c r="AE100" s="960">
        <f t="array" ref="AE100">HLOOKUP($J100,'Type Chart'!$C$2:$T$20,12,false)*HLOOKUP($K100,'Type Chart'!$C$2:$U$20,12,false)</f>
        <v>1</v>
      </c>
      <c r="AF100" s="960">
        <f t="array" ref="AF100">HLOOKUP($J100,'Type Chart'!$C$2:$T$20,13,false)*HLOOKUP($K100,'Type Chart'!$C$2:$U$20,13,false)</f>
        <v>1</v>
      </c>
      <c r="AG100" s="960">
        <f t="array" ref="AG100">HLOOKUP($J100,'Type Chart'!$C$2:$T$20,14,false)*HLOOKUP($K100,'Type Chart'!$C$2:$U$20,14,false)</f>
        <v>1</v>
      </c>
      <c r="AH100" s="960">
        <f t="array" ref="AH100">HLOOKUP($J100,'Type Chart'!$C$2:$T$20,15,false)*HLOOKUP($K100,'Type Chart'!$C$2:$U$20,15,false)</f>
        <v>0.5</v>
      </c>
      <c r="AI100" s="960">
        <f t="array" ref="AI100">HLOOKUP($J100,'Type Chart'!$C$2:$T$20,16,false)*HLOOKUP($K100,'Type Chart'!$C$2:$U$20,16,false)</f>
        <v>1</v>
      </c>
      <c r="AJ100" s="960">
        <f t="array" ref="AJ100">HLOOKUP($J100,'Type Chart'!$C$2:$T$20,17,false)*HLOOKUP($K100,'Type Chart'!$C$2:$U$20,17,false)</f>
        <v>1</v>
      </c>
      <c r="AK100" s="960">
        <f t="array" ref="AK100">HLOOKUP($J100,'Type Chart'!$C$2:$T$20,18,false)*HLOOKUP($K100,'Type Chart'!$C$2:$U$20,18,false)</f>
        <v>2</v>
      </c>
      <c r="AL100" s="960">
        <f t="array" ref="AL100">HLOOKUP($J100,'Type Chart'!$C$2:$T$20,19,false)*HLOOKUP($K100,'Type Chart'!$C$2:$U$20,19,false)</f>
        <v>1</v>
      </c>
      <c r="AM100" s="964" t="s">
        <v>1292</v>
      </c>
      <c r="AN100" s="965" t="s">
        <v>1192</v>
      </c>
      <c r="AO100" s="966" t="s">
        <v>1166</v>
      </c>
      <c r="AP100" s="936"/>
      <c r="AQ100" s="967"/>
      <c r="AR100" s="968"/>
      <c r="AS100" s="936"/>
    </row>
    <row r="101" ht="15.75" customHeight="1">
      <c r="A101" s="1099"/>
      <c r="B101" s="948" t="s">
        <v>1296</v>
      </c>
      <c r="C101" s="1197" t="s">
        <v>1297</v>
      </c>
      <c r="D101" s="1197" t="s">
        <v>1297</v>
      </c>
      <c r="E101" s="1147" t="s">
        <v>1297</v>
      </c>
      <c r="F101" s="940"/>
      <c r="G101" s="953"/>
      <c r="H101" s="969"/>
      <c r="I101" s="998" t="s">
        <v>1298</v>
      </c>
      <c r="J101" s="1215" t="s">
        <v>344</v>
      </c>
      <c r="K101" s="1199" t="s">
        <v>216</v>
      </c>
      <c r="L101" s="1200">
        <v>55.0</v>
      </c>
      <c r="M101" s="1201">
        <v>50.0</v>
      </c>
      <c r="N101" s="1201">
        <v>45.0</v>
      </c>
      <c r="O101" s="1201">
        <v>135.0</v>
      </c>
      <c r="P101" s="1201">
        <v>95.0</v>
      </c>
      <c r="Q101" s="1201">
        <v>120.0</v>
      </c>
      <c r="R101" s="960">
        <v>276.0</v>
      </c>
      <c r="S101" s="960">
        <v>339.0</v>
      </c>
      <c r="T101" s="960">
        <v>372.0</v>
      </c>
      <c r="U101" s="960">
        <f t="array" ref="U101">HLOOKUP($J101,'Type Chart'!$C$2:$T$20,2,false)*HLOOKUP($K101,'Type Chart'!$C$2:$U$20,2,false)</f>
        <v>1</v>
      </c>
      <c r="V101" s="960">
        <f t="array" ref="V101">HLOOKUP($J101,'Type Chart'!$C$2:$T$20,3,false)*HLOOKUP($K101,'Type Chart'!$C$2:$U$20,3,false)</f>
        <v>0.5</v>
      </c>
      <c r="W101" s="960">
        <f t="array" ref="W101">HLOOKUP($J101,'Type Chart'!$C$2:$T$20,4,false)*HLOOKUP($K101,'Type Chart'!$C$2:$U$20,4,false)</f>
        <v>1</v>
      </c>
      <c r="X101" s="960">
        <f t="array" ref="X101">HLOOKUP($J101,'Type Chart'!$C$2:$T$20,5,false)*HLOOKUP($K101,'Type Chart'!$C$2:$U$20,5,false)</f>
        <v>1</v>
      </c>
      <c r="Y101" s="960">
        <f t="array" ref="Y101">HLOOKUP($J101,'Type Chart'!$C$2:$T$20,6,false)*HLOOKUP($K101,'Type Chart'!$C$2:$U$20,6,false)</f>
        <v>1</v>
      </c>
      <c r="Z101" s="960">
        <f t="array" ref="Z101">HLOOKUP($J101,'Type Chart'!$C$2:$T$20,7,false)*HLOOKUP($K101,'Type Chart'!$C$2:$U$20,7,false)</f>
        <v>1</v>
      </c>
      <c r="AA101" s="960">
        <f t="array" ref="AA101">HLOOKUP($J101,'Type Chart'!$C$2:$T$20,8,false)*HLOOKUP($K101,'Type Chart'!$C$2:$U$20,8,false)</f>
        <v>2</v>
      </c>
      <c r="AB101" s="960">
        <f t="array" ref="AB101">HLOOKUP($J101,'Type Chart'!$C$2:$T$20,9,false)*HLOOKUP($K101,'Type Chart'!$C$2:$U$20,9,false)</f>
        <v>2</v>
      </c>
      <c r="AC101" s="960">
        <f t="array" ref="AC101">HLOOKUP($J101,'Type Chart'!$C$2:$T$20,10,false)*HLOOKUP($K101,'Type Chart'!$C$2:$U$20,10,false)</f>
        <v>1</v>
      </c>
      <c r="AD101" s="960">
        <f t="array" ref="AD101">HLOOKUP($J101,'Type Chart'!$C$2:$T$20,11,false)*HLOOKUP($K101,'Type Chart'!$C$2:$U$20,11,false)</f>
        <v>1</v>
      </c>
      <c r="AE101" s="960">
        <f t="array" ref="AE101">HLOOKUP($J101,'Type Chart'!$C$2:$T$20,12,false)*HLOOKUP($K101,'Type Chart'!$C$2:$U$20,12,false)</f>
        <v>1</v>
      </c>
      <c r="AF101" s="960">
        <f t="array" ref="AF101">HLOOKUP($J101,'Type Chart'!$C$2:$T$20,13,false)*HLOOKUP($K101,'Type Chart'!$C$2:$U$20,13,false)</f>
        <v>1</v>
      </c>
      <c r="AG101" s="960">
        <f t="array" ref="AG101">HLOOKUP($J101,'Type Chart'!$C$2:$T$20,14,false)*HLOOKUP($K101,'Type Chart'!$C$2:$U$20,14,false)</f>
        <v>1</v>
      </c>
      <c r="AH101" s="960">
        <f t="array" ref="AH101">HLOOKUP($J101,'Type Chart'!$C$2:$T$20,15,false)*HLOOKUP($K101,'Type Chart'!$C$2:$U$20,15,false)</f>
        <v>0.5</v>
      </c>
      <c r="AI101" s="960">
        <f t="array" ref="AI101">HLOOKUP($J101,'Type Chart'!$C$2:$T$20,16,false)*HLOOKUP($K101,'Type Chart'!$C$2:$U$20,16,false)</f>
        <v>1</v>
      </c>
      <c r="AJ101" s="960">
        <f t="array" ref="AJ101">HLOOKUP($J101,'Type Chart'!$C$2:$T$20,17,false)*HLOOKUP($K101,'Type Chart'!$C$2:$U$20,17,false)</f>
        <v>1</v>
      </c>
      <c r="AK101" s="960">
        <f t="array" ref="AK101">HLOOKUP($J101,'Type Chart'!$C$2:$T$20,18,false)*HLOOKUP($K101,'Type Chart'!$C$2:$U$20,18,false)</f>
        <v>2</v>
      </c>
      <c r="AL101" s="960">
        <f t="array" ref="AL101">HLOOKUP($J101,'Type Chart'!$C$2:$T$20,19,false)*HLOOKUP($K101,'Type Chart'!$C$2:$U$20,19,false)</f>
        <v>1</v>
      </c>
      <c r="AM101" s="1145" t="s">
        <v>1292</v>
      </c>
      <c r="AN101" s="1202" t="s">
        <v>1192</v>
      </c>
      <c r="AO101" s="1146" t="s">
        <v>1166</v>
      </c>
      <c r="AP101" s="936"/>
      <c r="AQ101" s="967"/>
      <c r="AR101" s="968"/>
      <c r="AS101" s="936"/>
    </row>
    <row r="102" ht="15.75" customHeight="1">
      <c r="A102" s="936"/>
      <c r="B102" s="948" t="s">
        <v>1299</v>
      </c>
      <c r="C102" s="950" t="s">
        <v>1300</v>
      </c>
      <c r="D102" s="950" t="s">
        <v>1300</v>
      </c>
      <c r="E102" s="952" t="s">
        <v>1300</v>
      </c>
      <c r="F102" s="940"/>
      <c r="G102" s="953"/>
      <c r="H102" s="969"/>
      <c r="I102" s="956" t="s">
        <v>1301</v>
      </c>
      <c r="J102" s="1203" t="s">
        <v>344</v>
      </c>
      <c r="K102" s="984" t="s">
        <v>216</v>
      </c>
      <c r="L102" s="959">
        <v>55.0</v>
      </c>
      <c r="M102" s="960">
        <v>50.0</v>
      </c>
      <c r="N102" s="960">
        <v>65.0</v>
      </c>
      <c r="O102" s="960">
        <v>175.0</v>
      </c>
      <c r="P102" s="960">
        <v>105.0</v>
      </c>
      <c r="Q102" s="960">
        <v>150.0</v>
      </c>
      <c r="R102" s="960">
        <v>336.0</v>
      </c>
      <c r="S102" s="960">
        <v>399.0</v>
      </c>
      <c r="T102" s="960">
        <v>438.0</v>
      </c>
      <c r="U102" s="960">
        <f t="array" ref="U102">HLOOKUP($J102,'Type Chart'!$C$2:$T$20,2,false)*HLOOKUP($K102,'Type Chart'!$C$2:$U$20,2,false)</f>
        <v>1</v>
      </c>
      <c r="V102" s="960">
        <f t="array" ref="V102">HLOOKUP($J102,'Type Chart'!$C$2:$T$20,3,false)*HLOOKUP($K102,'Type Chart'!$C$2:$U$20,3,false)</f>
        <v>0.5</v>
      </c>
      <c r="W102" s="960">
        <f t="array" ref="W102">HLOOKUP($J102,'Type Chart'!$C$2:$T$20,4,false)*HLOOKUP($K102,'Type Chart'!$C$2:$U$20,4,false)</f>
        <v>1</v>
      </c>
      <c r="X102" s="960">
        <f t="array" ref="X102">HLOOKUP($J102,'Type Chart'!$C$2:$T$20,5,false)*HLOOKUP($K102,'Type Chart'!$C$2:$U$20,5,false)</f>
        <v>1</v>
      </c>
      <c r="Y102" s="960">
        <f t="array" ref="Y102">HLOOKUP($J102,'Type Chart'!$C$2:$T$20,6,false)*HLOOKUP($K102,'Type Chart'!$C$2:$U$20,6,false)</f>
        <v>1</v>
      </c>
      <c r="Z102" s="960">
        <f t="array" ref="Z102">HLOOKUP($J102,'Type Chart'!$C$2:$T$20,7,false)*HLOOKUP($K102,'Type Chart'!$C$2:$U$20,7,false)</f>
        <v>1</v>
      </c>
      <c r="AA102" s="960">
        <f t="array" ref="AA102">HLOOKUP($J102,'Type Chart'!$C$2:$T$20,8,false)*HLOOKUP($K102,'Type Chart'!$C$2:$U$20,8,false)</f>
        <v>2</v>
      </c>
      <c r="AB102" s="960">
        <f t="array" ref="AB102">HLOOKUP($J102,'Type Chart'!$C$2:$T$20,9,false)*HLOOKUP($K102,'Type Chart'!$C$2:$U$20,9,false)</f>
        <v>2</v>
      </c>
      <c r="AC102" s="960">
        <f t="array" ref="AC102">HLOOKUP($J102,'Type Chart'!$C$2:$T$20,10,false)*HLOOKUP($K102,'Type Chart'!$C$2:$U$20,10,false)</f>
        <v>1</v>
      </c>
      <c r="AD102" s="960">
        <f t="array" ref="AD102">HLOOKUP($J102,'Type Chart'!$C$2:$T$20,11,false)*HLOOKUP($K102,'Type Chart'!$C$2:$U$20,11,false)</f>
        <v>1</v>
      </c>
      <c r="AE102" s="960">
        <f t="array" ref="AE102">HLOOKUP($J102,'Type Chart'!$C$2:$T$20,12,false)*HLOOKUP($K102,'Type Chart'!$C$2:$U$20,12,false)</f>
        <v>1</v>
      </c>
      <c r="AF102" s="960">
        <f t="array" ref="AF102">HLOOKUP($J102,'Type Chart'!$C$2:$T$20,13,false)*HLOOKUP($K102,'Type Chart'!$C$2:$U$20,13,false)</f>
        <v>1</v>
      </c>
      <c r="AG102" s="960">
        <f t="array" ref="AG102">HLOOKUP($J102,'Type Chart'!$C$2:$T$20,14,false)*HLOOKUP($K102,'Type Chart'!$C$2:$U$20,14,false)</f>
        <v>1</v>
      </c>
      <c r="AH102" s="960">
        <f t="array" ref="AH102">HLOOKUP($J102,'Type Chart'!$C$2:$T$20,15,false)*HLOOKUP($K102,'Type Chart'!$C$2:$U$20,15,false)</f>
        <v>0.5</v>
      </c>
      <c r="AI102" s="960">
        <f t="array" ref="AI102">HLOOKUP($J102,'Type Chart'!$C$2:$T$20,16,false)*HLOOKUP($K102,'Type Chart'!$C$2:$U$20,16,false)</f>
        <v>1</v>
      </c>
      <c r="AJ102" s="960">
        <f t="array" ref="AJ102">HLOOKUP($J102,'Type Chart'!$C$2:$T$20,17,false)*HLOOKUP($K102,'Type Chart'!$C$2:$U$20,17,false)</f>
        <v>1</v>
      </c>
      <c r="AK102" s="960">
        <f t="array" ref="AK102">HLOOKUP($J102,'Type Chart'!$C$2:$T$20,18,false)*HLOOKUP($K102,'Type Chart'!$C$2:$U$20,18,false)</f>
        <v>2</v>
      </c>
      <c r="AL102" s="960">
        <f t="array" ref="AL102">HLOOKUP($J102,'Type Chart'!$C$2:$T$20,19,false)*HLOOKUP($K102,'Type Chart'!$C$2:$U$20,19,false)</f>
        <v>1</v>
      </c>
      <c r="AM102" s="964" t="s">
        <v>1302</v>
      </c>
      <c r="AN102" s="965"/>
      <c r="AO102" s="966"/>
      <c r="AP102" s="936"/>
      <c r="AQ102" s="967"/>
      <c r="AR102" s="968"/>
      <c r="AS102" s="936"/>
    </row>
    <row r="103" ht="15.75" customHeight="1">
      <c r="A103" s="936"/>
      <c r="B103" s="948" t="s">
        <v>1303</v>
      </c>
      <c r="C103" s="950" t="s">
        <v>1304</v>
      </c>
      <c r="D103" s="950" t="s">
        <v>1304</v>
      </c>
      <c r="E103" s="952" t="s">
        <v>1304</v>
      </c>
      <c r="F103" s="940"/>
      <c r="G103" s="953"/>
      <c r="H103" s="969"/>
      <c r="I103" s="956" t="s">
        <v>1305</v>
      </c>
      <c r="J103" s="1213" t="s">
        <v>341</v>
      </c>
      <c r="K103" s="984" t="s">
        <v>216</v>
      </c>
      <c r="L103" s="959">
        <v>70.0</v>
      </c>
      <c r="M103" s="960">
        <v>80.0</v>
      </c>
      <c r="N103" s="960">
        <v>50.0</v>
      </c>
      <c r="O103" s="960">
        <v>35.0</v>
      </c>
      <c r="P103" s="960">
        <v>35.0</v>
      </c>
      <c r="Q103" s="960">
        <v>35.0</v>
      </c>
      <c r="R103" s="960">
        <v>106.0</v>
      </c>
      <c r="S103" s="960">
        <v>169.0</v>
      </c>
      <c r="T103" s="960">
        <v>185.0</v>
      </c>
      <c r="U103" s="960">
        <f t="array" ref="U103">HLOOKUP($J103,'Type Chart'!$C$2:$T$20,2,false)*HLOOKUP($K103,'Type Chart'!$C$2:$U$20,2,false)</f>
        <v>1</v>
      </c>
      <c r="V103" s="960">
        <f t="array" ref="V103">HLOOKUP($J103,'Type Chart'!$C$2:$T$20,3,false)*HLOOKUP($K103,'Type Chart'!$C$2:$U$20,3,false)</f>
        <v>1</v>
      </c>
      <c r="W103" s="960">
        <f t="array" ref="W103">HLOOKUP($J103,'Type Chart'!$C$2:$T$20,4,false)*HLOOKUP($K103,'Type Chart'!$C$2:$U$20,4,false)</f>
        <v>2</v>
      </c>
      <c r="X103" s="960">
        <f t="array" ref="X103">HLOOKUP($J103,'Type Chart'!$C$2:$T$20,5,false)*HLOOKUP($K103,'Type Chart'!$C$2:$U$20,5,false)</f>
        <v>1</v>
      </c>
      <c r="Y103" s="960">
        <f t="array" ref="Y103">HLOOKUP($J103,'Type Chart'!$C$2:$T$20,6,false)*HLOOKUP($K103,'Type Chart'!$C$2:$U$20,6,false)</f>
        <v>1</v>
      </c>
      <c r="Z103" s="960">
        <f t="array" ref="Z103">HLOOKUP($J103,'Type Chart'!$C$2:$T$20,7,false)*HLOOKUP($K103,'Type Chart'!$C$2:$U$20,7,false)</f>
        <v>0.5</v>
      </c>
      <c r="AA103" s="960">
        <f t="array" ref="AA103">HLOOKUP($J103,'Type Chart'!$C$2:$T$20,8,false)*HLOOKUP($K103,'Type Chart'!$C$2:$U$20,8,false)</f>
        <v>0.5</v>
      </c>
      <c r="AB103" s="960">
        <f t="array" ref="AB103">HLOOKUP($J103,'Type Chart'!$C$2:$T$20,9,false)*HLOOKUP($K103,'Type Chart'!$C$2:$U$20,9,false)</f>
        <v>1</v>
      </c>
      <c r="AC103" s="960">
        <f t="array" ref="AC103">HLOOKUP($J103,'Type Chart'!$C$2:$T$20,10,false)*HLOOKUP($K103,'Type Chart'!$C$2:$U$20,10,false)</f>
        <v>1</v>
      </c>
      <c r="AD103" s="960">
        <f t="array" ref="AD103">HLOOKUP($J103,'Type Chart'!$C$2:$T$20,11,false)*HLOOKUP($K103,'Type Chart'!$C$2:$U$20,11,false)</f>
        <v>1</v>
      </c>
      <c r="AE103" s="960">
        <f t="array" ref="AE103">HLOOKUP($J103,'Type Chart'!$C$2:$T$20,12,false)*HLOOKUP($K103,'Type Chart'!$C$2:$U$20,12,false)</f>
        <v>1</v>
      </c>
      <c r="AF103" s="960">
        <f t="array" ref="AF103">HLOOKUP($J103,'Type Chart'!$C$2:$T$20,13,false)*HLOOKUP($K103,'Type Chart'!$C$2:$U$20,13,false)</f>
        <v>1</v>
      </c>
      <c r="AG103" s="960">
        <f t="array" ref="AG103">HLOOKUP($J103,'Type Chart'!$C$2:$T$20,14,false)*HLOOKUP($K103,'Type Chart'!$C$2:$U$20,14,false)</f>
        <v>1</v>
      </c>
      <c r="AH103" s="960">
        <f t="array" ref="AH103">HLOOKUP($J103,'Type Chart'!$C$2:$T$20,15,false)*HLOOKUP($K103,'Type Chart'!$C$2:$U$20,15,false)</f>
        <v>2</v>
      </c>
      <c r="AI103" s="960">
        <f t="array" ref="AI103">HLOOKUP($J103,'Type Chart'!$C$2:$T$20,16,false)*HLOOKUP($K103,'Type Chart'!$C$2:$U$20,16,false)</f>
        <v>1</v>
      </c>
      <c r="AJ103" s="960">
        <f t="array" ref="AJ103">HLOOKUP($J103,'Type Chart'!$C$2:$T$20,17,false)*HLOOKUP($K103,'Type Chart'!$C$2:$U$20,17,false)</f>
        <v>1</v>
      </c>
      <c r="AK103" s="960">
        <f t="array" ref="AK103">HLOOKUP($J103,'Type Chart'!$C$2:$T$20,18,false)*HLOOKUP($K103,'Type Chart'!$C$2:$U$20,18,false)</f>
        <v>0.5</v>
      </c>
      <c r="AL103" s="960">
        <f t="array" ref="AL103">HLOOKUP($J103,'Type Chart'!$C$2:$T$20,19,false)*HLOOKUP($K103,'Type Chart'!$C$2:$U$20,19,false)</f>
        <v>2</v>
      </c>
      <c r="AM103" s="964" t="s">
        <v>1038</v>
      </c>
      <c r="AN103" s="965" t="s">
        <v>1034</v>
      </c>
      <c r="AO103" s="966" t="s">
        <v>1306</v>
      </c>
      <c r="AP103" s="936"/>
      <c r="AQ103" s="967"/>
      <c r="AR103" s="968"/>
      <c r="AS103" s="936"/>
    </row>
    <row r="104" ht="15.75" customHeight="1">
      <c r="A104" s="936"/>
      <c r="B104" s="948" t="s">
        <v>1307</v>
      </c>
      <c r="C104" s="950" t="s">
        <v>1308</v>
      </c>
      <c r="D104" s="950" t="s">
        <v>1308</v>
      </c>
      <c r="E104" s="952" t="s">
        <v>1308</v>
      </c>
      <c r="F104" s="940"/>
      <c r="G104" s="953"/>
      <c r="H104" s="969"/>
      <c r="I104" s="956" t="s">
        <v>1309</v>
      </c>
      <c r="J104" s="1213" t="s">
        <v>341</v>
      </c>
      <c r="K104" s="984" t="s">
        <v>216</v>
      </c>
      <c r="L104" s="959">
        <v>80.0</v>
      </c>
      <c r="M104" s="960">
        <v>100.0</v>
      </c>
      <c r="N104" s="960">
        <v>70.0</v>
      </c>
      <c r="O104" s="960">
        <v>50.0</v>
      </c>
      <c r="P104" s="960">
        <v>60.0</v>
      </c>
      <c r="Q104" s="960">
        <v>45.0</v>
      </c>
      <c r="R104" s="960">
        <v>126.0</v>
      </c>
      <c r="S104" s="960">
        <v>189.0</v>
      </c>
      <c r="T104" s="960">
        <v>207.0</v>
      </c>
      <c r="U104" s="960">
        <f t="array" ref="U104">HLOOKUP($J104,'Type Chart'!$C$2:$T$20,2,false)*HLOOKUP($K104,'Type Chart'!$C$2:$U$20,2,false)</f>
        <v>1</v>
      </c>
      <c r="V104" s="960">
        <f t="array" ref="V104">HLOOKUP($J104,'Type Chart'!$C$2:$T$20,3,false)*HLOOKUP($K104,'Type Chart'!$C$2:$U$20,3,false)</f>
        <v>1</v>
      </c>
      <c r="W104" s="960">
        <f t="array" ref="W104">HLOOKUP($J104,'Type Chart'!$C$2:$T$20,4,false)*HLOOKUP($K104,'Type Chart'!$C$2:$U$20,4,false)</f>
        <v>2</v>
      </c>
      <c r="X104" s="960">
        <f t="array" ref="X104">HLOOKUP($J104,'Type Chart'!$C$2:$T$20,5,false)*HLOOKUP($K104,'Type Chart'!$C$2:$U$20,5,false)</f>
        <v>1</v>
      </c>
      <c r="Y104" s="960">
        <f t="array" ref="Y104">HLOOKUP($J104,'Type Chart'!$C$2:$T$20,6,false)*HLOOKUP($K104,'Type Chart'!$C$2:$U$20,6,false)</f>
        <v>1</v>
      </c>
      <c r="Z104" s="960">
        <f t="array" ref="Z104">HLOOKUP($J104,'Type Chart'!$C$2:$T$20,7,false)*HLOOKUP($K104,'Type Chart'!$C$2:$U$20,7,false)</f>
        <v>0.5</v>
      </c>
      <c r="AA104" s="960">
        <f t="array" ref="AA104">HLOOKUP($J104,'Type Chart'!$C$2:$T$20,8,false)*HLOOKUP($K104,'Type Chart'!$C$2:$U$20,8,false)</f>
        <v>0.5</v>
      </c>
      <c r="AB104" s="960">
        <f t="array" ref="AB104">HLOOKUP($J104,'Type Chart'!$C$2:$T$20,9,false)*HLOOKUP($K104,'Type Chart'!$C$2:$U$20,9,false)</f>
        <v>1</v>
      </c>
      <c r="AC104" s="960">
        <f t="array" ref="AC104">HLOOKUP($J104,'Type Chart'!$C$2:$T$20,10,false)*HLOOKUP($K104,'Type Chart'!$C$2:$U$20,10,false)</f>
        <v>1</v>
      </c>
      <c r="AD104" s="960">
        <f t="array" ref="AD104">HLOOKUP($J104,'Type Chart'!$C$2:$T$20,11,false)*HLOOKUP($K104,'Type Chart'!$C$2:$U$20,11,false)</f>
        <v>1</v>
      </c>
      <c r="AE104" s="960">
        <f t="array" ref="AE104">HLOOKUP($J104,'Type Chart'!$C$2:$T$20,12,false)*HLOOKUP($K104,'Type Chart'!$C$2:$U$20,12,false)</f>
        <v>1</v>
      </c>
      <c r="AF104" s="960">
        <f t="array" ref="AF104">HLOOKUP($J104,'Type Chart'!$C$2:$T$20,13,false)*HLOOKUP($K104,'Type Chart'!$C$2:$U$20,13,false)</f>
        <v>1</v>
      </c>
      <c r="AG104" s="960">
        <f t="array" ref="AG104">HLOOKUP($J104,'Type Chart'!$C$2:$T$20,14,false)*HLOOKUP($K104,'Type Chart'!$C$2:$U$20,14,false)</f>
        <v>1</v>
      </c>
      <c r="AH104" s="960">
        <f t="array" ref="AH104">HLOOKUP($J104,'Type Chart'!$C$2:$T$20,15,false)*HLOOKUP($K104,'Type Chart'!$C$2:$U$20,15,false)</f>
        <v>2</v>
      </c>
      <c r="AI104" s="960">
        <f t="array" ref="AI104">HLOOKUP($J104,'Type Chart'!$C$2:$T$20,16,false)*HLOOKUP($K104,'Type Chart'!$C$2:$U$20,16,false)</f>
        <v>1</v>
      </c>
      <c r="AJ104" s="960">
        <f t="array" ref="AJ104">HLOOKUP($J104,'Type Chart'!$C$2:$T$20,17,false)*HLOOKUP($K104,'Type Chart'!$C$2:$U$20,17,false)</f>
        <v>1</v>
      </c>
      <c r="AK104" s="960">
        <f t="array" ref="AK104">HLOOKUP($J104,'Type Chart'!$C$2:$T$20,18,false)*HLOOKUP($K104,'Type Chart'!$C$2:$U$20,18,false)</f>
        <v>0.5</v>
      </c>
      <c r="AL104" s="960">
        <f t="array" ref="AL104">HLOOKUP($J104,'Type Chart'!$C$2:$T$20,19,false)*HLOOKUP($K104,'Type Chart'!$C$2:$U$20,19,false)</f>
        <v>2</v>
      </c>
      <c r="AM104" s="964" t="s">
        <v>1038</v>
      </c>
      <c r="AN104" s="965" t="s">
        <v>1034</v>
      </c>
      <c r="AO104" s="966" t="s">
        <v>1306</v>
      </c>
      <c r="AP104" s="936"/>
      <c r="AQ104" s="967"/>
      <c r="AR104" s="968"/>
      <c r="AS104" s="936"/>
    </row>
    <row r="105" ht="15.75" customHeight="1">
      <c r="A105" s="936"/>
      <c r="B105" s="948" t="s">
        <v>1310</v>
      </c>
      <c r="C105" s="950" t="s">
        <v>1311</v>
      </c>
      <c r="D105" s="950" t="s">
        <v>1311</v>
      </c>
      <c r="E105" s="952" t="s">
        <v>1311</v>
      </c>
      <c r="F105" s="940"/>
      <c r="G105" s="953"/>
      <c r="H105" s="969"/>
      <c r="I105" s="998" t="s">
        <v>1312</v>
      </c>
      <c r="J105" s="1213" t="s">
        <v>341</v>
      </c>
      <c r="K105" s="984" t="s">
        <v>216</v>
      </c>
      <c r="L105" s="959">
        <v>90.0</v>
      </c>
      <c r="M105" s="960">
        <v>130.0</v>
      </c>
      <c r="N105" s="960">
        <v>80.0</v>
      </c>
      <c r="O105" s="960">
        <v>65.0</v>
      </c>
      <c r="P105" s="960">
        <v>85.0</v>
      </c>
      <c r="Q105" s="960">
        <v>55.0</v>
      </c>
      <c r="R105" s="960">
        <v>146.0</v>
      </c>
      <c r="S105" s="960">
        <v>209.0</v>
      </c>
      <c r="T105" s="960">
        <v>229.0</v>
      </c>
      <c r="U105" s="960">
        <f t="array" ref="U105">HLOOKUP($J105,'Type Chart'!$C$2:$T$20,2,false)*HLOOKUP($K105,'Type Chart'!$C$2:$U$20,2,false)</f>
        <v>1</v>
      </c>
      <c r="V105" s="960">
        <f t="array" ref="V105">HLOOKUP($J105,'Type Chart'!$C$2:$T$20,3,false)*HLOOKUP($K105,'Type Chart'!$C$2:$U$20,3,false)</f>
        <v>1</v>
      </c>
      <c r="W105" s="960">
        <f t="array" ref="W105">HLOOKUP($J105,'Type Chart'!$C$2:$T$20,4,false)*HLOOKUP($K105,'Type Chart'!$C$2:$U$20,4,false)</f>
        <v>2</v>
      </c>
      <c r="X105" s="960">
        <f t="array" ref="X105">HLOOKUP($J105,'Type Chart'!$C$2:$T$20,5,false)*HLOOKUP($K105,'Type Chart'!$C$2:$U$20,5,false)</f>
        <v>1</v>
      </c>
      <c r="Y105" s="960">
        <f t="array" ref="Y105">HLOOKUP($J105,'Type Chart'!$C$2:$T$20,6,false)*HLOOKUP($K105,'Type Chart'!$C$2:$U$20,6,false)</f>
        <v>1</v>
      </c>
      <c r="Z105" s="960">
        <f t="array" ref="Z105">HLOOKUP($J105,'Type Chart'!$C$2:$T$20,7,false)*HLOOKUP($K105,'Type Chart'!$C$2:$U$20,7,false)</f>
        <v>0.5</v>
      </c>
      <c r="AA105" s="960">
        <f t="array" ref="AA105">HLOOKUP($J105,'Type Chart'!$C$2:$T$20,8,false)*HLOOKUP($K105,'Type Chart'!$C$2:$U$20,8,false)</f>
        <v>0.5</v>
      </c>
      <c r="AB105" s="960">
        <f t="array" ref="AB105">HLOOKUP($J105,'Type Chart'!$C$2:$T$20,9,false)*HLOOKUP($K105,'Type Chart'!$C$2:$U$20,9,false)</f>
        <v>1</v>
      </c>
      <c r="AC105" s="960">
        <f t="array" ref="AC105">HLOOKUP($J105,'Type Chart'!$C$2:$T$20,10,false)*HLOOKUP($K105,'Type Chart'!$C$2:$U$20,10,false)</f>
        <v>1</v>
      </c>
      <c r="AD105" s="960">
        <f t="array" ref="AD105">HLOOKUP($J105,'Type Chart'!$C$2:$T$20,11,false)*HLOOKUP($K105,'Type Chart'!$C$2:$U$20,11,false)</f>
        <v>1</v>
      </c>
      <c r="AE105" s="960">
        <f t="array" ref="AE105">HLOOKUP($J105,'Type Chart'!$C$2:$T$20,12,false)*HLOOKUP($K105,'Type Chart'!$C$2:$U$20,12,false)</f>
        <v>1</v>
      </c>
      <c r="AF105" s="960">
        <f t="array" ref="AF105">HLOOKUP($J105,'Type Chart'!$C$2:$T$20,13,false)*HLOOKUP($K105,'Type Chart'!$C$2:$U$20,13,false)</f>
        <v>1</v>
      </c>
      <c r="AG105" s="960">
        <f t="array" ref="AG105">HLOOKUP($J105,'Type Chart'!$C$2:$T$20,14,false)*HLOOKUP($K105,'Type Chart'!$C$2:$U$20,14,false)</f>
        <v>1</v>
      </c>
      <c r="AH105" s="960">
        <f t="array" ref="AH105">HLOOKUP($J105,'Type Chart'!$C$2:$T$20,15,false)*HLOOKUP($K105,'Type Chart'!$C$2:$U$20,15,false)</f>
        <v>2</v>
      </c>
      <c r="AI105" s="960">
        <f t="array" ref="AI105">HLOOKUP($J105,'Type Chart'!$C$2:$T$20,16,false)*HLOOKUP($K105,'Type Chart'!$C$2:$U$20,16,false)</f>
        <v>1</v>
      </c>
      <c r="AJ105" s="960">
        <f t="array" ref="AJ105">HLOOKUP($J105,'Type Chart'!$C$2:$T$20,17,false)*HLOOKUP($K105,'Type Chart'!$C$2:$U$20,17,false)</f>
        <v>1</v>
      </c>
      <c r="AK105" s="960">
        <f t="array" ref="AK105">HLOOKUP($J105,'Type Chart'!$C$2:$T$20,18,false)*HLOOKUP($K105,'Type Chart'!$C$2:$U$20,18,false)</f>
        <v>0.5</v>
      </c>
      <c r="AL105" s="960">
        <f t="array" ref="AL105">HLOOKUP($J105,'Type Chart'!$C$2:$T$20,19,false)*HLOOKUP($K105,'Type Chart'!$C$2:$U$20,19,false)</f>
        <v>2</v>
      </c>
      <c r="AM105" s="964" t="s">
        <v>1038</v>
      </c>
      <c r="AN105" s="965" t="s">
        <v>1034</v>
      </c>
      <c r="AO105" s="966" t="s">
        <v>1306</v>
      </c>
      <c r="AP105" s="936"/>
      <c r="AQ105" s="967"/>
      <c r="AR105" s="968"/>
      <c r="AS105" s="936"/>
    </row>
    <row r="106" ht="15.75" customHeight="1">
      <c r="A106" s="936"/>
      <c r="B106" s="948" t="s">
        <v>1313</v>
      </c>
      <c r="C106" s="950" t="s">
        <v>1314</v>
      </c>
      <c r="D106" s="950" t="s">
        <v>1314</v>
      </c>
      <c r="E106" s="952" t="s">
        <v>1314</v>
      </c>
      <c r="F106" s="940"/>
      <c r="G106" s="953"/>
      <c r="H106" s="969"/>
      <c r="I106" s="956" t="s">
        <v>1315</v>
      </c>
      <c r="J106" s="957" t="s">
        <v>209</v>
      </c>
      <c r="K106" s="958" t="s">
        <v>178</v>
      </c>
      <c r="L106" s="959">
        <v>50.0</v>
      </c>
      <c r="M106" s="960">
        <v>75.0</v>
      </c>
      <c r="N106" s="960">
        <v>35.0</v>
      </c>
      <c r="O106" s="960">
        <v>70.0</v>
      </c>
      <c r="P106" s="960">
        <v>30.0</v>
      </c>
      <c r="Q106" s="960">
        <v>40.0</v>
      </c>
      <c r="R106" s="960">
        <v>116.0</v>
      </c>
      <c r="S106" s="960">
        <v>179.0</v>
      </c>
      <c r="T106" s="960">
        <v>196.0</v>
      </c>
      <c r="U106" s="960">
        <f t="array" ref="U106">HLOOKUP($J106,'Type Chart'!$C$2:$T$20,2,false)*HLOOKUP($K106,'Type Chart'!$C$2:$U$20,2,false)</f>
        <v>1</v>
      </c>
      <c r="V106" s="960">
        <f t="array" ref="V106">HLOOKUP($J106,'Type Chart'!$C$2:$T$20,3,false)*HLOOKUP($K106,'Type Chart'!$C$2:$U$20,3,false)</f>
        <v>0.5</v>
      </c>
      <c r="W106" s="960">
        <f t="array" ref="W106">HLOOKUP($J106,'Type Chart'!$C$2:$T$20,4,false)*HLOOKUP($K106,'Type Chart'!$C$2:$U$20,4,false)</f>
        <v>2</v>
      </c>
      <c r="X106" s="960">
        <f t="array" ref="X106">HLOOKUP($J106,'Type Chart'!$C$2:$T$20,5,false)*HLOOKUP($K106,'Type Chart'!$C$2:$U$20,5,false)</f>
        <v>1</v>
      </c>
      <c r="Y106" s="960">
        <f t="array" ref="Y106">HLOOKUP($J106,'Type Chart'!$C$2:$T$20,6,false)*HLOOKUP($K106,'Type Chart'!$C$2:$U$20,6,false)</f>
        <v>1</v>
      </c>
      <c r="Z106" s="960">
        <f t="array" ref="Z106">HLOOKUP($J106,'Type Chart'!$C$2:$T$20,7,false)*HLOOKUP($K106,'Type Chart'!$C$2:$U$20,7,false)</f>
        <v>1</v>
      </c>
      <c r="AA106" s="960">
        <f t="array" ref="AA106">HLOOKUP($J106,'Type Chart'!$C$2:$T$20,8,false)*HLOOKUP($K106,'Type Chart'!$C$2:$U$20,8,false)</f>
        <v>1</v>
      </c>
      <c r="AB106" s="960">
        <f t="array" ref="AB106">HLOOKUP($J106,'Type Chart'!$C$2:$T$20,9,false)*HLOOKUP($K106,'Type Chart'!$C$2:$U$20,9,false)</f>
        <v>1</v>
      </c>
      <c r="AC106" s="960">
        <f t="array" ref="AC106">HLOOKUP($J106,'Type Chart'!$C$2:$T$20,10,false)*HLOOKUP($K106,'Type Chart'!$C$2:$U$20,10,false)</f>
        <v>1</v>
      </c>
      <c r="AD106" s="960">
        <f t="array" ref="AD106">HLOOKUP($J106,'Type Chart'!$C$2:$T$20,11,false)*HLOOKUP($K106,'Type Chart'!$C$2:$U$20,11,false)</f>
        <v>2</v>
      </c>
      <c r="AE106" s="960">
        <f t="array" ref="AE106">HLOOKUP($J106,'Type Chart'!$C$2:$T$20,12,false)*HLOOKUP($K106,'Type Chart'!$C$2:$U$20,12,false)</f>
        <v>0.5</v>
      </c>
      <c r="AF106" s="960">
        <f t="array" ref="AF106">HLOOKUP($J106,'Type Chart'!$C$2:$T$20,13,false)*HLOOKUP($K106,'Type Chart'!$C$2:$U$20,13,false)</f>
        <v>0.25</v>
      </c>
      <c r="AG106" s="960">
        <f t="array" ref="AG106">HLOOKUP($J106,'Type Chart'!$C$2:$T$20,14,false)*HLOOKUP($K106,'Type Chart'!$C$2:$U$20,14,false)</f>
        <v>0.5</v>
      </c>
      <c r="AH106" s="960">
        <f t="array" ref="AH106">HLOOKUP($J106,'Type Chart'!$C$2:$T$20,15,false)*HLOOKUP($K106,'Type Chart'!$C$2:$U$20,15,false)</f>
        <v>2</v>
      </c>
      <c r="AI106" s="960">
        <f t="array" ref="AI106">HLOOKUP($J106,'Type Chart'!$C$2:$T$20,16,false)*HLOOKUP($K106,'Type Chart'!$C$2:$U$20,16,false)</f>
        <v>2</v>
      </c>
      <c r="AJ106" s="960">
        <f t="array" ref="AJ106">HLOOKUP($J106,'Type Chart'!$C$2:$T$20,17,false)*HLOOKUP($K106,'Type Chart'!$C$2:$U$20,17,false)</f>
        <v>1</v>
      </c>
      <c r="AK106" s="960">
        <f t="array" ref="AK106">HLOOKUP($J106,'Type Chart'!$C$2:$T$20,18,false)*HLOOKUP($K106,'Type Chart'!$C$2:$U$20,18,false)</f>
        <v>1</v>
      </c>
      <c r="AL106" s="960">
        <f t="array" ref="AL106">HLOOKUP($J106,'Type Chart'!$C$2:$T$20,19,false)*HLOOKUP($K106,'Type Chart'!$C$2:$U$20,19,false)</f>
        <v>0.5</v>
      </c>
      <c r="AM106" s="964" t="s">
        <v>524</v>
      </c>
      <c r="AN106" s="965"/>
      <c r="AO106" s="966" t="s">
        <v>1044</v>
      </c>
      <c r="AP106" s="936"/>
      <c r="AQ106" s="967"/>
      <c r="AR106" s="968"/>
      <c r="AS106" s="936"/>
    </row>
    <row r="107" ht="15.75" customHeight="1">
      <c r="A107" s="936"/>
      <c r="B107" s="948" t="s">
        <v>1316</v>
      </c>
      <c r="C107" s="950" t="s">
        <v>1317</v>
      </c>
      <c r="D107" s="950" t="s">
        <v>1317</v>
      </c>
      <c r="E107" s="952" t="s">
        <v>1317</v>
      </c>
      <c r="F107" s="940"/>
      <c r="G107" s="953"/>
      <c r="H107" s="969"/>
      <c r="I107" s="956" t="s">
        <v>1318</v>
      </c>
      <c r="J107" s="957" t="s">
        <v>209</v>
      </c>
      <c r="K107" s="958" t="s">
        <v>178</v>
      </c>
      <c r="L107" s="959">
        <v>65.0</v>
      </c>
      <c r="M107" s="960">
        <v>90.0</v>
      </c>
      <c r="N107" s="960">
        <v>50.0</v>
      </c>
      <c r="O107" s="960">
        <v>85.0</v>
      </c>
      <c r="P107" s="960">
        <v>45.0</v>
      </c>
      <c r="Q107" s="960">
        <v>55.0</v>
      </c>
      <c r="R107" s="960">
        <v>146.0</v>
      </c>
      <c r="S107" s="960">
        <v>209.0</v>
      </c>
      <c r="T107" s="960">
        <v>229.0</v>
      </c>
      <c r="U107" s="960">
        <f t="array" ref="U107">HLOOKUP($J107,'Type Chart'!$C$2:$T$20,2,false)*HLOOKUP($K107,'Type Chart'!$C$2:$U$20,2,false)</f>
        <v>1</v>
      </c>
      <c r="V107" s="960">
        <f t="array" ref="V107">HLOOKUP($J107,'Type Chart'!$C$2:$T$20,3,false)*HLOOKUP($K107,'Type Chart'!$C$2:$U$20,3,false)</f>
        <v>0.5</v>
      </c>
      <c r="W107" s="960">
        <f t="array" ref="W107">HLOOKUP($J107,'Type Chart'!$C$2:$T$20,4,false)*HLOOKUP($K107,'Type Chart'!$C$2:$U$20,4,false)</f>
        <v>2</v>
      </c>
      <c r="X107" s="960">
        <f t="array" ref="X107">HLOOKUP($J107,'Type Chart'!$C$2:$T$20,5,false)*HLOOKUP($K107,'Type Chart'!$C$2:$U$20,5,false)</f>
        <v>1</v>
      </c>
      <c r="Y107" s="960">
        <f t="array" ref="Y107">HLOOKUP($J107,'Type Chart'!$C$2:$T$20,6,false)*HLOOKUP($K107,'Type Chart'!$C$2:$U$20,6,false)</f>
        <v>1</v>
      </c>
      <c r="Z107" s="960">
        <f t="array" ref="Z107">HLOOKUP($J107,'Type Chart'!$C$2:$T$20,7,false)*HLOOKUP($K107,'Type Chart'!$C$2:$U$20,7,false)</f>
        <v>1</v>
      </c>
      <c r="AA107" s="960">
        <f t="array" ref="AA107">HLOOKUP($J107,'Type Chart'!$C$2:$T$20,8,false)*HLOOKUP($K107,'Type Chart'!$C$2:$U$20,8,false)</f>
        <v>1</v>
      </c>
      <c r="AB107" s="960">
        <f t="array" ref="AB107">HLOOKUP($J107,'Type Chart'!$C$2:$T$20,9,false)*HLOOKUP($K107,'Type Chart'!$C$2:$U$20,9,false)</f>
        <v>1</v>
      </c>
      <c r="AC107" s="960">
        <f t="array" ref="AC107">HLOOKUP($J107,'Type Chart'!$C$2:$T$20,10,false)*HLOOKUP($K107,'Type Chart'!$C$2:$U$20,10,false)</f>
        <v>1</v>
      </c>
      <c r="AD107" s="960">
        <f t="array" ref="AD107">HLOOKUP($J107,'Type Chart'!$C$2:$T$20,11,false)*HLOOKUP($K107,'Type Chart'!$C$2:$U$20,11,false)</f>
        <v>2</v>
      </c>
      <c r="AE107" s="960">
        <f t="array" ref="AE107">HLOOKUP($J107,'Type Chart'!$C$2:$T$20,12,false)*HLOOKUP($K107,'Type Chart'!$C$2:$U$20,12,false)</f>
        <v>0.5</v>
      </c>
      <c r="AF107" s="960">
        <f t="array" ref="AF107">HLOOKUP($J107,'Type Chart'!$C$2:$T$20,13,false)*HLOOKUP($K107,'Type Chart'!$C$2:$U$20,13,false)</f>
        <v>0.25</v>
      </c>
      <c r="AG107" s="960">
        <f t="array" ref="AG107">HLOOKUP($J107,'Type Chart'!$C$2:$T$20,14,false)*HLOOKUP($K107,'Type Chart'!$C$2:$U$20,14,false)</f>
        <v>0.5</v>
      </c>
      <c r="AH107" s="960">
        <f t="array" ref="AH107">HLOOKUP($J107,'Type Chart'!$C$2:$T$20,15,false)*HLOOKUP($K107,'Type Chart'!$C$2:$U$20,15,false)</f>
        <v>2</v>
      </c>
      <c r="AI107" s="960">
        <f t="array" ref="AI107">HLOOKUP($J107,'Type Chart'!$C$2:$T$20,16,false)*HLOOKUP($K107,'Type Chart'!$C$2:$U$20,16,false)</f>
        <v>2</v>
      </c>
      <c r="AJ107" s="960">
        <f t="array" ref="AJ107">HLOOKUP($J107,'Type Chart'!$C$2:$T$20,17,false)*HLOOKUP($K107,'Type Chart'!$C$2:$U$20,17,false)</f>
        <v>1</v>
      </c>
      <c r="AK107" s="960">
        <f t="array" ref="AK107">HLOOKUP($J107,'Type Chart'!$C$2:$T$20,18,false)*HLOOKUP($K107,'Type Chart'!$C$2:$U$20,18,false)</f>
        <v>1</v>
      </c>
      <c r="AL107" s="960">
        <f t="array" ref="AL107">HLOOKUP($J107,'Type Chart'!$C$2:$T$20,19,false)*HLOOKUP($K107,'Type Chart'!$C$2:$U$20,19,false)</f>
        <v>0.5</v>
      </c>
      <c r="AM107" s="964" t="s">
        <v>524</v>
      </c>
      <c r="AN107" s="965"/>
      <c r="AO107" s="966" t="s">
        <v>1044</v>
      </c>
      <c r="AP107" s="936"/>
      <c r="AQ107" s="967"/>
      <c r="AR107" s="968"/>
      <c r="AS107" s="936"/>
    </row>
    <row r="108" ht="15.75" customHeight="1">
      <c r="A108" s="936"/>
      <c r="B108" s="948" t="s">
        <v>1319</v>
      </c>
      <c r="C108" s="950" t="s">
        <v>1320</v>
      </c>
      <c r="D108" s="950" t="s">
        <v>1320</v>
      </c>
      <c r="E108" s="952" t="s">
        <v>1320</v>
      </c>
      <c r="F108" s="940"/>
      <c r="G108" s="953"/>
      <c r="H108" s="969"/>
      <c r="I108" s="956" t="s">
        <v>728</v>
      </c>
      <c r="J108" s="957" t="s">
        <v>209</v>
      </c>
      <c r="K108" s="958" t="s">
        <v>178</v>
      </c>
      <c r="L108" s="959">
        <v>80.0</v>
      </c>
      <c r="M108" s="960">
        <v>105.0</v>
      </c>
      <c r="N108" s="960">
        <v>65.0</v>
      </c>
      <c r="O108" s="960">
        <v>100.0</v>
      </c>
      <c r="P108" s="960">
        <v>70.0</v>
      </c>
      <c r="Q108" s="960">
        <v>70.0</v>
      </c>
      <c r="R108" s="960">
        <v>176.0</v>
      </c>
      <c r="S108" s="960">
        <v>239.0</v>
      </c>
      <c r="T108" s="960">
        <v>262.0</v>
      </c>
      <c r="U108" s="960">
        <f t="array" ref="U108">HLOOKUP($J108,'Type Chart'!$C$2:$T$20,2,false)*HLOOKUP($K108,'Type Chart'!$C$2:$U$20,2,false)</f>
        <v>1</v>
      </c>
      <c r="V108" s="960">
        <f t="array" ref="V108">HLOOKUP($J108,'Type Chart'!$C$2:$T$20,3,false)*HLOOKUP($K108,'Type Chart'!$C$2:$U$20,3,false)</f>
        <v>0.5</v>
      </c>
      <c r="W108" s="960">
        <f t="array" ref="W108">HLOOKUP($J108,'Type Chart'!$C$2:$T$20,4,false)*HLOOKUP($K108,'Type Chart'!$C$2:$U$20,4,false)</f>
        <v>2</v>
      </c>
      <c r="X108" s="960">
        <f t="array" ref="X108">HLOOKUP($J108,'Type Chart'!$C$2:$T$20,5,false)*HLOOKUP($K108,'Type Chart'!$C$2:$U$20,5,false)</f>
        <v>1</v>
      </c>
      <c r="Y108" s="960">
        <f t="array" ref="Y108">HLOOKUP($J108,'Type Chart'!$C$2:$T$20,6,false)*HLOOKUP($K108,'Type Chart'!$C$2:$U$20,6,false)</f>
        <v>1</v>
      </c>
      <c r="Z108" s="960">
        <f t="array" ref="Z108">HLOOKUP($J108,'Type Chart'!$C$2:$T$20,7,false)*HLOOKUP($K108,'Type Chart'!$C$2:$U$20,7,false)</f>
        <v>1</v>
      </c>
      <c r="AA108" s="960">
        <f t="array" ref="AA108">HLOOKUP($J108,'Type Chart'!$C$2:$T$20,8,false)*HLOOKUP($K108,'Type Chart'!$C$2:$U$20,8,false)</f>
        <v>1</v>
      </c>
      <c r="AB108" s="960">
        <f t="array" ref="AB108">HLOOKUP($J108,'Type Chart'!$C$2:$T$20,9,false)*HLOOKUP($K108,'Type Chart'!$C$2:$U$20,9,false)</f>
        <v>1</v>
      </c>
      <c r="AC108" s="960">
        <f t="array" ref="AC108">HLOOKUP($J108,'Type Chart'!$C$2:$T$20,10,false)*HLOOKUP($K108,'Type Chart'!$C$2:$U$20,10,false)</f>
        <v>1</v>
      </c>
      <c r="AD108" s="960">
        <f t="array" ref="AD108">HLOOKUP($J108,'Type Chart'!$C$2:$T$20,11,false)*HLOOKUP($K108,'Type Chart'!$C$2:$U$20,11,false)</f>
        <v>2</v>
      </c>
      <c r="AE108" s="960">
        <f t="array" ref="AE108">HLOOKUP($J108,'Type Chart'!$C$2:$T$20,12,false)*HLOOKUP($K108,'Type Chart'!$C$2:$U$20,12,false)</f>
        <v>0.5</v>
      </c>
      <c r="AF108" s="960">
        <f t="array" ref="AF108">HLOOKUP($J108,'Type Chart'!$C$2:$T$20,13,false)*HLOOKUP($K108,'Type Chart'!$C$2:$U$20,13,false)</f>
        <v>0.25</v>
      </c>
      <c r="AG108" s="960">
        <f t="array" ref="AG108">HLOOKUP($J108,'Type Chart'!$C$2:$T$20,14,false)*HLOOKUP($K108,'Type Chart'!$C$2:$U$20,14,false)</f>
        <v>0.5</v>
      </c>
      <c r="AH108" s="960">
        <f t="array" ref="AH108">HLOOKUP($J108,'Type Chart'!$C$2:$T$20,15,false)*HLOOKUP($K108,'Type Chart'!$C$2:$U$20,15,false)</f>
        <v>2</v>
      </c>
      <c r="AI108" s="960">
        <f t="array" ref="AI108">HLOOKUP($J108,'Type Chart'!$C$2:$T$20,16,false)*HLOOKUP($K108,'Type Chart'!$C$2:$U$20,16,false)</f>
        <v>2</v>
      </c>
      <c r="AJ108" s="960">
        <f t="array" ref="AJ108">HLOOKUP($J108,'Type Chart'!$C$2:$T$20,17,false)*HLOOKUP($K108,'Type Chart'!$C$2:$U$20,17,false)</f>
        <v>1</v>
      </c>
      <c r="AK108" s="960">
        <f t="array" ref="AK108">HLOOKUP($J108,'Type Chart'!$C$2:$T$20,18,false)*HLOOKUP($K108,'Type Chart'!$C$2:$U$20,18,false)</f>
        <v>1</v>
      </c>
      <c r="AL108" s="960">
        <f t="array" ref="AL108">HLOOKUP($J108,'Type Chart'!$C$2:$T$20,19,false)*HLOOKUP($K108,'Type Chart'!$C$2:$U$20,19,false)</f>
        <v>0.5</v>
      </c>
      <c r="AM108" s="964" t="s">
        <v>524</v>
      </c>
      <c r="AN108" s="965"/>
      <c r="AO108" s="966" t="s">
        <v>1044</v>
      </c>
      <c r="AP108" s="936"/>
      <c r="AQ108" s="967"/>
      <c r="AR108" s="968"/>
      <c r="AS108" s="936"/>
    </row>
    <row r="109" ht="15.75" customHeight="1">
      <c r="A109" s="936"/>
      <c r="B109" s="948" t="s">
        <v>1321</v>
      </c>
      <c r="C109" s="950" t="s">
        <v>1322</v>
      </c>
      <c r="D109" s="950" t="s">
        <v>1322</v>
      </c>
      <c r="E109" s="952" t="s">
        <v>1322</v>
      </c>
      <c r="F109" s="940"/>
      <c r="G109" s="953"/>
      <c r="H109" s="969"/>
      <c r="I109" s="956" t="s">
        <v>1323</v>
      </c>
      <c r="J109" s="1056" t="s">
        <v>81</v>
      </c>
      <c r="K109" s="958" t="s">
        <v>178</v>
      </c>
      <c r="L109" s="959">
        <v>40.0</v>
      </c>
      <c r="M109" s="960">
        <v>40.0</v>
      </c>
      <c r="N109" s="960">
        <v>35.0</v>
      </c>
      <c r="O109" s="960">
        <v>50.0</v>
      </c>
      <c r="P109" s="960">
        <v>100.0</v>
      </c>
      <c r="Q109" s="960">
        <v>70.0</v>
      </c>
      <c r="R109" s="960">
        <v>176.0</v>
      </c>
      <c r="S109" s="960">
        <v>239.0</v>
      </c>
      <c r="T109" s="960">
        <v>262.0</v>
      </c>
      <c r="U109" s="960">
        <f t="array" ref="U109">HLOOKUP($J109,'Type Chart'!$C$2:$T$20,2,false)*HLOOKUP($K109,'Type Chart'!$C$2:$U$20,2,false)</f>
        <v>1</v>
      </c>
      <c r="V109" s="960">
        <f t="array" ref="V109">HLOOKUP($J109,'Type Chart'!$C$2:$T$20,3,false)*HLOOKUP($K109,'Type Chart'!$C$2:$U$20,3,false)</f>
        <v>0.5</v>
      </c>
      <c r="W109" s="960">
        <f t="array" ref="W109">HLOOKUP($J109,'Type Chart'!$C$2:$T$20,4,false)*HLOOKUP($K109,'Type Chart'!$C$2:$U$20,4,false)</f>
        <v>1</v>
      </c>
      <c r="X109" s="960">
        <f t="array" ref="X109">HLOOKUP($J109,'Type Chart'!$C$2:$T$20,5,false)*HLOOKUP($K109,'Type Chart'!$C$2:$U$20,5,false)</f>
        <v>0.5</v>
      </c>
      <c r="Y109" s="960">
        <f t="array" ref="Y109">HLOOKUP($J109,'Type Chart'!$C$2:$T$20,6,false)*HLOOKUP($K109,'Type Chart'!$C$2:$U$20,6,false)</f>
        <v>2</v>
      </c>
      <c r="Z109" s="960">
        <f t="array" ref="Z109">HLOOKUP($J109,'Type Chart'!$C$2:$T$20,7,false)*HLOOKUP($K109,'Type Chart'!$C$2:$U$20,7,false)</f>
        <v>1</v>
      </c>
      <c r="AA109" s="960">
        <f t="array" ref="AA109">HLOOKUP($J109,'Type Chart'!$C$2:$T$20,8,false)*HLOOKUP($K109,'Type Chart'!$C$2:$U$20,8,false)</f>
        <v>0.5</v>
      </c>
      <c r="AB109" s="960">
        <f t="array" ref="AB109">HLOOKUP($J109,'Type Chart'!$C$2:$T$20,9,false)*HLOOKUP($K109,'Type Chart'!$C$2:$U$20,9,false)</f>
        <v>1</v>
      </c>
      <c r="AC109" s="960">
        <f t="array" ref="AC109">HLOOKUP($J109,'Type Chart'!$C$2:$T$20,10,false)*HLOOKUP($K109,'Type Chart'!$C$2:$U$20,10,false)</f>
        <v>0.5</v>
      </c>
      <c r="AD109" s="960">
        <f t="array" ref="AD109">HLOOKUP($J109,'Type Chart'!$C$2:$T$20,11,false)*HLOOKUP($K109,'Type Chart'!$C$2:$U$20,11,false)</f>
        <v>0.5</v>
      </c>
      <c r="AE109" s="960">
        <f t="array" ref="AE109">HLOOKUP($J109,'Type Chart'!$C$2:$T$20,12,false)*HLOOKUP($K109,'Type Chart'!$C$2:$U$20,12,false)</f>
        <v>0.5</v>
      </c>
      <c r="AF109" s="960">
        <f t="array" ref="AF109">HLOOKUP($J109,'Type Chart'!$C$2:$T$20,13,false)*HLOOKUP($K109,'Type Chart'!$C$2:$U$20,13,false)</f>
        <v>1</v>
      </c>
      <c r="AG109" s="960">
        <f t="array" ref="AG109">HLOOKUP($J109,'Type Chart'!$C$2:$T$20,14,false)*HLOOKUP($K109,'Type Chart'!$C$2:$U$20,14,false)</f>
        <v>2</v>
      </c>
      <c r="AH109" s="960">
        <f t="array" ref="AH109">HLOOKUP($J109,'Type Chart'!$C$2:$T$20,15,false)*HLOOKUP($K109,'Type Chart'!$C$2:$U$20,15,false)</f>
        <v>2</v>
      </c>
      <c r="AI109" s="960">
        <f t="array" ref="AI109">HLOOKUP($J109,'Type Chart'!$C$2:$T$20,16,false)*HLOOKUP($K109,'Type Chart'!$C$2:$U$20,16,false)</f>
        <v>0.5</v>
      </c>
      <c r="AJ109" s="960">
        <f t="array" ref="AJ109">HLOOKUP($J109,'Type Chart'!$C$2:$T$20,17,false)*HLOOKUP($K109,'Type Chart'!$C$2:$U$20,17,false)</f>
        <v>1</v>
      </c>
      <c r="AK109" s="960">
        <f t="array" ref="AK109">HLOOKUP($J109,'Type Chart'!$C$2:$T$20,18,false)*HLOOKUP($K109,'Type Chart'!$C$2:$U$20,18,false)</f>
        <v>1</v>
      </c>
      <c r="AL109" s="960">
        <f t="array" ref="AL109">HLOOKUP($J109,'Type Chart'!$C$2:$T$20,19,false)*HLOOKUP($K109,'Type Chart'!$C$2:$U$20,19,false)</f>
        <v>0.5</v>
      </c>
      <c r="AM109" s="964" t="s">
        <v>1324</v>
      </c>
      <c r="AN109" s="965" t="s">
        <v>1325</v>
      </c>
      <c r="AO109" s="966" t="s">
        <v>960</v>
      </c>
      <c r="AP109" s="936"/>
      <c r="AQ109" s="967"/>
      <c r="AR109" s="968"/>
      <c r="AS109" s="936"/>
    </row>
    <row r="110" ht="15.75" customHeight="1">
      <c r="A110" s="936"/>
      <c r="B110" s="948" t="s">
        <v>1326</v>
      </c>
      <c r="C110" s="950" t="s">
        <v>1327</v>
      </c>
      <c r="D110" s="950" t="s">
        <v>1327</v>
      </c>
      <c r="E110" s="952" t="s">
        <v>1327</v>
      </c>
      <c r="F110" s="940"/>
      <c r="G110" s="953"/>
      <c r="H110" s="969"/>
      <c r="I110" s="956" t="s">
        <v>579</v>
      </c>
      <c r="J110" s="1056" t="s">
        <v>81</v>
      </c>
      <c r="K110" s="958" t="s">
        <v>178</v>
      </c>
      <c r="L110" s="959">
        <v>80.0</v>
      </c>
      <c r="M110" s="960">
        <v>70.0</v>
      </c>
      <c r="N110" s="960">
        <v>65.0</v>
      </c>
      <c r="O110" s="960">
        <v>80.0</v>
      </c>
      <c r="P110" s="960">
        <v>120.0</v>
      </c>
      <c r="Q110" s="960">
        <v>100.0</v>
      </c>
      <c r="R110" s="960">
        <v>236.0</v>
      </c>
      <c r="S110" s="960">
        <v>299.0</v>
      </c>
      <c r="T110" s="960">
        <v>328.0</v>
      </c>
      <c r="U110" s="960">
        <f t="array" ref="U110">HLOOKUP($J110,'Type Chart'!$C$2:$T$20,2,false)*HLOOKUP($K110,'Type Chart'!$C$2:$U$20,2,false)</f>
        <v>1</v>
      </c>
      <c r="V110" s="960">
        <f t="array" ref="V110">HLOOKUP($J110,'Type Chart'!$C$2:$T$20,3,false)*HLOOKUP($K110,'Type Chart'!$C$2:$U$20,3,false)</f>
        <v>0.5</v>
      </c>
      <c r="W110" s="960">
        <f t="array" ref="W110">HLOOKUP($J110,'Type Chart'!$C$2:$T$20,4,false)*HLOOKUP($K110,'Type Chart'!$C$2:$U$20,4,false)</f>
        <v>1</v>
      </c>
      <c r="X110" s="960">
        <f t="array" ref="X110">HLOOKUP($J110,'Type Chart'!$C$2:$T$20,5,false)*HLOOKUP($K110,'Type Chart'!$C$2:$U$20,5,false)</f>
        <v>0.5</v>
      </c>
      <c r="Y110" s="960">
        <f t="array" ref="Y110">HLOOKUP($J110,'Type Chart'!$C$2:$T$20,6,false)*HLOOKUP($K110,'Type Chart'!$C$2:$U$20,6,false)</f>
        <v>2</v>
      </c>
      <c r="Z110" s="960">
        <f t="array" ref="Z110">HLOOKUP($J110,'Type Chart'!$C$2:$T$20,7,false)*HLOOKUP($K110,'Type Chart'!$C$2:$U$20,7,false)</f>
        <v>1</v>
      </c>
      <c r="AA110" s="960">
        <f t="array" ref="AA110">HLOOKUP($J110,'Type Chart'!$C$2:$T$20,8,false)*HLOOKUP($K110,'Type Chart'!$C$2:$U$20,8,false)</f>
        <v>0.5</v>
      </c>
      <c r="AB110" s="960">
        <f t="array" ref="AB110">HLOOKUP($J110,'Type Chart'!$C$2:$T$20,9,false)*HLOOKUP($K110,'Type Chart'!$C$2:$U$20,9,false)</f>
        <v>1</v>
      </c>
      <c r="AC110" s="960">
        <f t="array" ref="AC110">HLOOKUP($J110,'Type Chart'!$C$2:$T$20,10,false)*HLOOKUP($K110,'Type Chart'!$C$2:$U$20,10,false)</f>
        <v>0.5</v>
      </c>
      <c r="AD110" s="960">
        <f t="array" ref="AD110">HLOOKUP($J110,'Type Chart'!$C$2:$T$20,11,false)*HLOOKUP($K110,'Type Chart'!$C$2:$U$20,11,false)</f>
        <v>0.5</v>
      </c>
      <c r="AE110" s="960">
        <f t="array" ref="AE110">HLOOKUP($J110,'Type Chart'!$C$2:$T$20,12,false)*HLOOKUP($K110,'Type Chart'!$C$2:$U$20,12,false)</f>
        <v>0.5</v>
      </c>
      <c r="AF110" s="960">
        <f t="array" ref="AF110">HLOOKUP($J110,'Type Chart'!$C$2:$T$20,13,false)*HLOOKUP($K110,'Type Chart'!$C$2:$U$20,13,false)</f>
        <v>1</v>
      </c>
      <c r="AG110" s="960">
        <f t="array" ref="AG110">HLOOKUP($J110,'Type Chart'!$C$2:$T$20,14,false)*HLOOKUP($K110,'Type Chart'!$C$2:$U$20,14,false)</f>
        <v>2</v>
      </c>
      <c r="AH110" s="960">
        <f t="array" ref="AH110">HLOOKUP($J110,'Type Chart'!$C$2:$T$20,15,false)*HLOOKUP($K110,'Type Chart'!$C$2:$U$20,15,false)</f>
        <v>2</v>
      </c>
      <c r="AI110" s="960">
        <f t="array" ref="AI110">HLOOKUP($J110,'Type Chart'!$C$2:$T$20,16,false)*HLOOKUP($K110,'Type Chart'!$C$2:$U$20,16,false)</f>
        <v>0.5</v>
      </c>
      <c r="AJ110" s="960">
        <f t="array" ref="AJ110">HLOOKUP($J110,'Type Chart'!$C$2:$T$20,17,false)*HLOOKUP($K110,'Type Chart'!$C$2:$U$20,17,false)</f>
        <v>1</v>
      </c>
      <c r="AK110" s="960">
        <f t="array" ref="AK110">HLOOKUP($J110,'Type Chart'!$C$2:$T$20,18,false)*HLOOKUP($K110,'Type Chart'!$C$2:$U$20,18,false)</f>
        <v>1</v>
      </c>
      <c r="AL110" s="960">
        <f t="array" ref="AL110">HLOOKUP($J110,'Type Chart'!$C$2:$T$20,19,false)*HLOOKUP($K110,'Type Chart'!$C$2:$U$20,19,false)</f>
        <v>0.5</v>
      </c>
      <c r="AM110" s="964" t="s">
        <v>1324</v>
      </c>
      <c r="AN110" s="965" t="s">
        <v>1325</v>
      </c>
      <c r="AO110" s="966" t="s">
        <v>960</v>
      </c>
      <c r="AP110" s="936"/>
      <c r="AQ110" s="967"/>
      <c r="AR110" s="968"/>
      <c r="AS110" s="936"/>
    </row>
    <row r="111" ht="15.75" customHeight="1">
      <c r="A111" s="936"/>
      <c r="B111" s="948" t="s">
        <v>1328</v>
      </c>
      <c r="C111" s="950" t="s">
        <v>1329</v>
      </c>
      <c r="D111" s="950" t="s">
        <v>1329</v>
      </c>
      <c r="E111" s="952" t="s">
        <v>1329</v>
      </c>
      <c r="F111" s="940"/>
      <c r="G111" s="953"/>
      <c r="H111" s="969"/>
      <c r="I111" s="956" t="s">
        <v>1330</v>
      </c>
      <c r="J111" s="1214" t="s">
        <v>342</v>
      </c>
      <c r="K111" s="1204" t="s">
        <v>80</v>
      </c>
      <c r="L111" s="959">
        <v>40.0</v>
      </c>
      <c r="M111" s="960">
        <v>80.0</v>
      </c>
      <c r="N111" s="960">
        <v>100.0</v>
      </c>
      <c r="O111" s="960">
        <v>30.0</v>
      </c>
      <c r="P111" s="960">
        <v>30.0</v>
      </c>
      <c r="Q111" s="960">
        <v>20.0</v>
      </c>
      <c r="R111" s="960">
        <v>76.0</v>
      </c>
      <c r="S111" s="960">
        <v>139.0</v>
      </c>
      <c r="T111" s="960">
        <v>152.0</v>
      </c>
      <c r="U111" s="960">
        <f t="array" ref="U111">HLOOKUP($J111,'Type Chart'!$C$2:$T$20,2,false)*HLOOKUP($K111,'Type Chart'!$C$2:$U$20,2,false)</f>
        <v>0.5</v>
      </c>
      <c r="V111" s="960">
        <f t="array" ref="V111">HLOOKUP($J111,'Type Chart'!$C$2:$T$20,3,false)*HLOOKUP($K111,'Type Chart'!$C$2:$U$20,3,false)</f>
        <v>2</v>
      </c>
      <c r="W111" s="960">
        <f t="array" ref="W111">HLOOKUP($J111,'Type Chart'!$C$2:$T$20,4,false)*HLOOKUP($K111,'Type Chart'!$C$2:$U$20,4,false)</f>
        <v>0.5</v>
      </c>
      <c r="X111" s="960">
        <f t="array" ref="X111">HLOOKUP($J111,'Type Chart'!$C$2:$T$20,5,false)*HLOOKUP($K111,'Type Chart'!$C$2:$U$20,5,false)</f>
        <v>0.25</v>
      </c>
      <c r="Y111" s="960">
        <f t="array" ref="Y111">HLOOKUP($J111,'Type Chart'!$C$2:$T$20,6,false)*HLOOKUP($K111,'Type Chart'!$C$2:$U$20,6,false)</f>
        <v>2</v>
      </c>
      <c r="Z111" s="960">
        <f t="array" ref="Z111">HLOOKUP($J111,'Type Chart'!$C$2:$T$20,7,false)*HLOOKUP($K111,'Type Chart'!$C$2:$U$20,7,false)</f>
        <v>0.5</v>
      </c>
      <c r="AA111" s="960">
        <f t="array" ref="AA111">HLOOKUP($J111,'Type Chart'!$C$2:$T$20,8,false)*HLOOKUP($K111,'Type Chart'!$C$2:$U$20,8,false)</f>
        <v>1</v>
      </c>
      <c r="AB111" s="960">
        <f t="array" ref="AB111">HLOOKUP($J111,'Type Chart'!$C$2:$T$20,9,false)*HLOOKUP($K111,'Type Chart'!$C$2:$U$20,9,false)</f>
        <v>1</v>
      </c>
      <c r="AC111" s="960">
        <f t="array" ref="AC111">HLOOKUP($J111,'Type Chart'!$C$2:$T$20,10,false)*HLOOKUP($K111,'Type Chart'!$C$2:$U$20,10,false)</f>
        <v>2</v>
      </c>
      <c r="AD111" s="960">
        <f t="array" ref="AD111">HLOOKUP($J111,'Type Chart'!$C$2:$T$20,11,false)*HLOOKUP($K111,'Type Chart'!$C$2:$U$20,11,false)</f>
        <v>0.5</v>
      </c>
      <c r="AE111" s="960">
        <f t="array" ref="AE111">HLOOKUP($J111,'Type Chart'!$C$2:$T$20,12,false)*HLOOKUP($K111,'Type Chart'!$C$2:$U$20,12,false)</f>
        <v>4</v>
      </c>
      <c r="AF111" s="960">
        <f t="array" ref="AF111">HLOOKUP($J111,'Type Chart'!$C$2:$T$20,13,false)*HLOOKUP($K111,'Type Chart'!$C$2:$U$20,13,false)</f>
        <v>4</v>
      </c>
      <c r="AG111" s="960">
        <f t="array" ref="AG111">HLOOKUP($J111,'Type Chart'!$C$2:$T$20,14,false)*HLOOKUP($K111,'Type Chart'!$C$2:$U$20,14,false)</f>
        <v>0</v>
      </c>
      <c r="AH111" s="960">
        <f t="array" ref="AH111">HLOOKUP($J111,'Type Chart'!$C$2:$T$20,15,false)*HLOOKUP($K111,'Type Chart'!$C$2:$U$20,15,false)</f>
        <v>1</v>
      </c>
      <c r="AI111" s="960">
        <f t="array" ref="AI111">HLOOKUP($J111,'Type Chart'!$C$2:$T$20,16,false)*HLOOKUP($K111,'Type Chart'!$C$2:$U$20,16,false)</f>
        <v>2</v>
      </c>
      <c r="AJ111" s="960">
        <f t="array" ref="AJ111">HLOOKUP($J111,'Type Chart'!$C$2:$T$20,17,false)*HLOOKUP($K111,'Type Chart'!$C$2:$U$20,17,false)</f>
        <v>1</v>
      </c>
      <c r="AK111" s="960">
        <f t="array" ref="AK111">HLOOKUP($J111,'Type Chart'!$C$2:$T$20,18,false)*HLOOKUP($K111,'Type Chart'!$C$2:$U$20,18,false)</f>
        <v>1</v>
      </c>
      <c r="AL111" s="960">
        <f t="array" ref="AL111">HLOOKUP($J111,'Type Chart'!$C$2:$T$20,19,false)*HLOOKUP($K111,'Type Chart'!$C$2:$U$20,19,false)</f>
        <v>1</v>
      </c>
      <c r="AM111" s="964" t="s">
        <v>1276</v>
      </c>
      <c r="AN111" s="965" t="s">
        <v>1331</v>
      </c>
      <c r="AO111" s="966" t="s">
        <v>1129</v>
      </c>
      <c r="AP111" s="936"/>
      <c r="AQ111" s="967"/>
      <c r="AR111" s="968"/>
      <c r="AS111" s="936"/>
    </row>
    <row r="112" ht="15.75" customHeight="1">
      <c r="A112" s="936"/>
      <c r="B112" s="948" t="s">
        <v>1332</v>
      </c>
      <c r="C112" s="950" t="s">
        <v>1333</v>
      </c>
      <c r="D112" s="950" t="s">
        <v>1333</v>
      </c>
      <c r="E112" s="952" t="s">
        <v>1334</v>
      </c>
      <c r="F112" s="940"/>
      <c r="G112" s="953"/>
      <c r="H112" s="969"/>
      <c r="I112" s="998" t="s">
        <v>1335</v>
      </c>
      <c r="J112" s="1214" t="s">
        <v>342</v>
      </c>
      <c r="K112" s="1196" t="s">
        <v>203</v>
      </c>
      <c r="L112" s="959">
        <v>40.0</v>
      </c>
      <c r="M112" s="960">
        <v>80.0</v>
      </c>
      <c r="N112" s="960">
        <v>100.0</v>
      </c>
      <c r="O112" s="960">
        <v>30.0</v>
      </c>
      <c r="P112" s="960">
        <v>30.0</v>
      </c>
      <c r="Q112" s="960">
        <v>20.0</v>
      </c>
      <c r="R112" s="960">
        <v>76.0</v>
      </c>
      <c r="S112" s="960">
        <v>139.0</v>
      </c>
      <c r="T112" s="960">
        <v>152.0</v>
      </c>
      <c r="U112" s="960">
        <f t="array" ref="U112">HLOOKUP($J112,'Type Chart'!$C$2:$T$20,2,false)*HLOOKUP($K112,'Type Chart'!$C$2:$U$20,2,false)</f>
        <v>0.5</v>
      </c>
      <c r="V112" s="960">
        <f t="array" ref="V112">HLOOKUP($J112,'Type Chart'!$C$2:$T$20,3,false)*HLOOKUP($K112,'Type Chart'!$C$2:$U$20,3,false)</f>
        <v>2</v>
      </c>
      <c r="W112" s="960">
        <f t="array" ref="W112">HLOOKUP($J112,'Type Chart'!$C$2:$T$20,4,false)*HLOOKUP($K112,'Type Chart'!$C$2:$U$20,4,false)</f>
        <v>0.25</v>
      </c>
      <c r="X112" s="960">
        <f t="array" ref="X112">HLOOKUP($J112,'Type Chart'!$C$2:$T$20,5,false)*HLOOKUP($K112,'Type Chart'!$C$2:$U$20,5,false)</f>
        <v>0.5</v>
      </c>
      <c r="Y112" s="960">
        <f t="array" ref="Y112">HLOOKUP($J112,'Type Chart'!$C$2:$T$20,6,false)*HLOOKUP($K112,'Type Chart'!$C$2:$U$20,6,false)</f>
        <v>4</v>
      </c>
      <c r="Z112" s="960">
        <f t="array" ref="Z112">HLOOKUP($J112,'Type Chart'!$C$2:$T$20,7,false)*HLOOKUP($K112,'Type Chart'!$C$2:$U$20,7,false)</f>
        <v>1</v>
      </c>
      <c r="AA112" s="960">
        <f t="array" ref="AA112">HLOOKUP($J112,'Type Chart'!$C$2:$T$20,8,false)*HLOOKUP($K112,'Type Chart'!$C$2:$U$20,8,false)</f>
        <v>1</v>
      </c>
      <c r="AB112" s="960">
        <f t="array" ref="AB112">HLOOKUP($J112,'Type Chart'!$C$2:$T$20,9,false)*HLOOKUP($K112,'Type Chart'!$C$2:$U$20,9,false)</f>
        <v>1</v>
      </c>
      <c r="AC112" s="960">
        <f t="array" ref="AC112">HLOOKUP($J112,'Type Chart'!$C$2:$T$20,10,false)*HLOOKUP($K112,'Type Chart'!$C$2:$U$20,10,false)</f>
        <v>1</v>
      </c>
      <c r="AD112" s="960">
        <f t="array" ref="AD112">HLOOKUP($J112,'Type Chart'!$C$2:$T$20,11,false)*HLOOKUP($K112,'Type Chart'!$C$2:$U$20,11,false)</f>
        <v>0.5</v>
      </c>
      <c r="AE112" s="960">
        <f t="array" ref="AE112">HLOOKUP($J112,'Type Chart'!$C$2:$T$20,12,false)*HLOOKUP($K112,'Type Chart'!$C$2:$U$20,12,false)</f>
        <v>2</v>
      </c>
      <c r="AF112" s="960">
        <f t="array" ref="AF112">HLOOKUP($J112,'Type Chart'!$C$2:$T$20,13,false)*HLOOKUP($K112,'Type Chart'!$C$2:$U$20,13,false)</f>
        <v>2</v>
      </c>
      <c r="AG112" s="960">
        <f t="array" ref="AG112">HLOOKUP($J112,'Type Chart'!$C$2:$T$20,14,false)*HLOOKUP($K112,'Type Chart'!$C$2:$U$20,14,false)</f>
        <v>0.5</v>
      </c>
      <c r="AH112" s="960">
        <f t="array" ref="AH112">HLOOKUP($J112,'Type Chart'!$C$2:$T$20,15,false)*HLOOKUP($K112,'Type Chart'!$C$2:$U$20,15,false)</f>
        <v>1</v>
      </c>
      <c r="AI112" s="960">
        <f t="array" ref="AI112">HLOOKUP($J112,'Type Chart'!$C$2:$T$20,16,false)*HLOOKUP($K112,'Type Chart'!$C$2:$U$20,16,false)</f>
        <v>1</v>
      </c>
      <c r="AJ112" s="960">
        <f t="array" ref="AJ112">HLOOKUP($J112,'Type Chart'!$C$2:$T$20,17,false)*HLOOKUP($K112,'Type Chart'!$C$2:$U$20,17,false)</f>
        <v>1</v>
      </c>
      <c r="AK112" s="960">
        <f t="array" ref="AK112">HLOOKUP($J112,'Type Chart'!$C$2:$T$20,18,false)*HLOOKUP($K112,'Type Chart'!$C$2:$U$20,18,false)</f>
        <v>1</v>
      </c>
      <c r="AL112" s="960">
        <f t="array" ref="AL112">HLOOKUP($J112,'Type Chart'!$C$2:$T$20,19,false)*HLOOKUP($K112,'Type Chart'!$C$2:$U$20,19,false)</f>
        <v>1</v>
      </c>
      <c r="AM112" s="964" t="s">
        <v>1336</v>
      </c>
      <c r="AN112" s="965" t="s">
        <v>1331</v>
      </c>
      <c r="AO112" s="966" t="s">
        <v>1337</v>
      </c>
      <c r="AP112" s="936"/>
      <c r="AQ112" s="967"/>
      <c r="AR112" s="968"/>
      <c r="AS112" s="936"/>
    </row>
    <row r="113" ht="15.75" customHeight="1">
      <c r="A113" s="1099"/>
      <c r="B113" s="948" t="s">
        <v>1338</v>
      </c>
      <c r="C113" s="950" t="s">
        <v>1339</v>
      </c>
      <c r="D113" s="950" t="s">
        <v>1339</v>
      </c>
      <c r="E113" s="952" t="s">
        <v>1339</v>
      </c>
      <c r="F113" s="940"/>
      <c r="G113" s="953"/>
      <c r="H113" s="969"/>
      <c r="I113" s="956" t="s">
        <v>1340</v>
      </c>
      <c r="J113" s="1214" t="s">
        <v>342</v>
      </c>
      <c r="K113" s="1204" t="s">
        <v>80</v>
      </c>
      <c r="L113" s="959">
        <v>55.0</v>
      </c>
      <c r="M113" s="960">
        <v>95.0</v>
      </c>
      <c r="N113" s="960">
        <v>115.0</v>
      </c>
      <c r="O113" s="960">
        <v>45.0</v>
      </c>
      <c r="P113" s="960">
        <v>45.0</v>
      </c>
      <c r="Q113" s="960">
        <v>35.0</v>
      </c>
      <c r="R113" s="960">
        <v>106.0</v>
      </c>
      <c r="S113" s="960">
        <v>169.0</v>
      </c>
      <c r="T113" s="960">
        <v>185.0</v>
      </c>
      <c r="U113" s="960">
        <f t="array" ref="U113">HLOOKUP($J113,'Type Chart'!$C$2:$T$20,2,false)*HLOOKUP($K113,'Type Chart'!$C$2:$U$20,2,false)</f>
        <v>0.5</v>
      </c>
      <c r="V113" s="960">
        <f t="array" ref="V113">HLOOKUP($J113,'Type Chart'!$C$2:$T$20,3,false)*HLOOKUP($K113,'Type Chart'!$C$2:$U$20,3,false)</f>
        <v>2</v>
      </c>
      <c r="W113" s="960">
        <f t="array" ref="W113">HLOOKUP($J113,'Type Chart'!$C$2:$T$20,4,false)*HLOOKUP($K113,'Type Chart'!$C$2:$U$20,4,false)</f>
        <v>0.5</v>
      </c>
      <c r="X113" s="960">
        <f t="array" ref="X113">HLOOKUP($J113,'Type Chart'!$C$2:$T$20,5,false)*HLOOKUP($K113,'Type Chart'!$C$2:$U$20,5,false)</f>
        <v>0.25</v>
      </c>
      <c r="Y113" s="960">
        <f t="array" ref="Y113">HLOOKUP($J113,'Type Chart'!$C$2:$T$20,6,false)*HLOOKUP($K113,'Type Chart'!$C$2:$U$20,6,false)</f>
        <v>2</v>
      </c>
      <c r="Z113" s="960">
        <f t="array" ref="Z113">HLOOKUP($J113,'Type Chart'!$C$2:$T$20,7,false)*HLOOKUP($K113,'Type Chart'!$C$2:$U$20,7,false)</f>
        <v>0.5</v>
      </c>
      <c r="AA113" s="960">
        <f t="array" ref="AA113">HLOOKUP($J113,'Type Chart'!$C$2:$T$20,8,false)*HLOOKUP($K113,'Type Chart'!$C$2:$U$20,8,false)</f>
        <v>1</v>
      </c>
      <c r="AB113" s="960">
        <f t="array" ref="AB113">HLOOKUP($J113,'Type Chart'!$C$2:$T$20,9,false)*HLOOKUP($K113,'Type Chart'!$C$2:$U$20,9,false)</f>
        <v>1</v>
      </c>
      <c r="AC113" s="960">
        <f t="array" ref="AC113">HLOOKUP($J113,'Type Chart'!$C$2:$T$20,10,false)*HLOOKUP($K113,'Type Chart'!$C$2:$U$20,10,false)</f>
        <v>2</v>
      </c>
      <c r="AD113" s="960">
        <f t="array" ref="AD113">HLOOKUP($J113,'Type Chart'!$C$2:$T$20,11,false)*HLOOKUP($K113,'Type Chart'!$C$2:$U$20,11,false)</f>
        <v>0.5</v>
      </c>
      <c r="AE113" s="960">
        <f t="array" ref="AE113">HLOOKUP($J113,'Type Chart'!$C$2:$T$20,12,false)*HLOOKUP($K113,'Type Chart'!$C$2:$U$20,12,false)</f>
        <v>4</v>
      </c>
      <c r="AF113" s="960">
        <f t="array" ref="AF113">HLOOKUP($J113,'Type Chart'!$C$2:$T$20,13,false)*HLOOKUP($K113,'Type Chart'!$C$2:$U$20,13,false)</f>
        <v>4</v>
      </c>
      <c r="AG113" s="960">
        <f t="array" ref="AG113">HLOOKUP($J113,'Type Chart'!$C$2:$T$20,14,false)*HLOOKUP($K113,'Type Chart'!$C$2:$U$20,14,false)</f>
        <v>0</v>
      </c>
      <c r="AH113" s="960">
        <f t="array" ref="AH113">HLOOKUP($J113,'Type Chart'!$C$2:$T$20,15,false)*HLOOKUP($K113,'Type Chart'!$C$2:$U$20,15,false)</f>
        <v>1</v>
      </c>
      <c r="AI113" s="960">
        <f t="array" ref="AI113">HLOOKUP($J113,'Type Chart'!$C$2:$T$20,16,false)*HLOOKUP($K113,'Type Chart'!$C$2:$U$20,16,false)</f>
        <v>2</v>
      </c>
      <c r="AJ113" s="960">
        <f t="array" ref="AJ113">HLOOKUP($J113,'Type Chart'!$C$2:$T$20,17,false)*HLOOKUP($K113,'Type Chart'!$C$2:$U$20,17,false)</f>
        <v>1</v>
      </c>
      <c r="AK113" s="960">
        <f t="array" ref="AK113">HLOOKUP($J113,'Type Chart'!$C$2:$T$20,18,false)*HLOOKUP($K113,'Type Chart'!$C$2:$U$20,18,false)</f>
        <v>1</v>
      </c>
      <c r="AL113" s="960">
        <f t="array" ref="AL113">HLOOKUP($J113,'Type Chart'!$C$2:$T$20,19,false)*HLOOKUP($K113,'Type Chart'!$C$2:$U$20,19,false)</f>
        <v>1</v>
      </c>
      <c r="AM113" s="1145" t="s">
        <v>1276</v>
      </c>
      <c r="AN113" s="1202" t="s">
        <v>1331</v>
      </c>
      <c r="AO113" s="1146" t="s">
        <v>1129</v>
      </c>
      <c r="AP113" s="936"/>
      <c r="AQ113" s="967"/>
      <c r="AR113" s="968"/>
      <c r="AS113" s="936"/>
    </row>
    <row r="114" ht="15.75" customHeight="1">
      <c r="A114" s="936"/>
      <c r="B114" s="948" t="s">
        <v>1341</v>
      </c>
      <c r="C114" s="950" t="s">
        <v>1342</v>
      </c>
      <c r="D114" s="950" t="s">
        <v>1342</v>
      </c>
      <c r="E114" s="952" t="s">
        <v>1343</v>
      </c>
      <c r="F114" s="940"/>
      <c r="G114" s="953"/>
      <c r="H114" s="969"/>
      <c r="I114" s="956" t="s">
        <v>1344</v>
      </c>
      <c r="J114" s="1214" t="s">
        <v>342</v>
      </c>
      <c r="K114" s="1196" t="s">
        <v>203</v>
      </c>
      <c r="L114" s="959">
        <v>55.0</v>
      </c>
      <c r="M114" s="960">
        <v>95.0</v>
      </c>
      <c r="N114" s="960">
        <v>115.0</v>
      </c>
      <c r="O114" s="960">
        <v>45.0</v>
      </c>
      <c r="P114" s="960">
        <v>45.0</v>
      </c>
      <c r="Q114" s="960">
        <v>35.0</v>
      </c>
      <c r="R114" s="960">
        <v>106.0</v>
      </c>
      <c r="S114" s="960">
        <v>169.0</v>
      </c>
      <c r="T114" s="960">
        <v>185.0</v>
      </c>
      <c r="U114" s="960">
        <f t="array" ref="U114">HLOOKUP($J114,'Type Chart'!$C$2:$T$20,2,false)*HLOOKUP($K114,'Type Chart'!$C$2:$U$20,2,false)</f>
        <v>0.5</v>
      </c>
      <c r="V114" s="960">
        <f t="array" ref="V114">HLOOKUP($J114,'Type Chart'!$C$2:$T$20,3,false)*HLOOKUP($K114,'Type Chart'!$C$2:$U$20,3,false)</f>
        <v>2</v>
      </c>
      <c r="W114" s="960">
        <f t="array" ref="W114">HLOOKUP($J114,'Type Chart'!$C$2:$T$20,4,false)*HLOOKUP($K114,'Type Chart'!$C$2:$U$20,4,false)</f>
        <v>0.25</v>
      </c>
      <c r="X114" s="960">
        <f t="array" ref="X114">HLOOKUP($J114,'Type Chart'!$C$2:$T$20,5,false)*HLOOKUP($K114,'Type Chart'!$C$2:$U$20,5,false)</f>
        <v>0.5</v>
      </c>
      <c r="Y114" s="960">
        <f t="array" ref="Y114">HLOOKUP($J114,'Type Chart'!$C$2:$T$20,6,false)*HLOOKUP($K114,'Type Chart'!$C$2:$U$20,6,false)</f>
        <v>4</v>
      </c>
      <c r="Z114" s="960">
        <f t="array" ref="Z114">HLOOKUP($J114,'Type Chart'!$C$2:$T$20,7,false)*HLOOKUP($K114,'Type Chart'!$C$2:$U$20,7,false)</f>
        <v>1</v>
      </c>
      <c r="AA114" s="960">
        <f t="array" ref="AA114">HLOOKUP($J114,'Type Chart'!$C$2:$T$20,8,false)*HLOOKUP($K114,'Type Chart'!$C$2:$U$20,8,false)</f>
        <v>1</v>
      </c>
      <c r="AB114" s="960">
        <f t="array" ref="AB114">HLOOKUP($J114,'Type Chart'!$C$2:$T$20,9,false)*HLOOKUP($K114,'Type Chart'!$C$2:$U$20,9,false)</f>
        <v>1</v>
      </c>
      <c r="AC114" s="960">
        <f t="array" ref="AC114">HLOOKUP($J114,'Type Chart'!$C$2:$T$20,10,false)*HLOOKUP($K114,'Type Chart'!$C$2:$U$20,10,false)</f>
        <v>1</v>
      </c>
      <c r="AD114" s="960">
        <f t="array" ref="AD114">HLOOKUP($J114,'Type Chart'!$C$2:$T$20,11,false)*HLOOKUP($K114,'Type Chart'!$C$2:$U$20,11,false)</f>
        <v>0.5</v>
      </c>
      <c r="AE114" s="960">
        <f t="array" ref="AE114">HLOOKUP($J114,'Type Chart'!$C$2:$T$20,12,false)*HLOOKUP($K114,'Type Chart'!$C$2:$U$20,12,false)</f>
        <v>2</v>
      </c>
      <c r="AF114" s="960">
        <f t="array" ref="AF114">HLOOKUP($J114,'Type Chart'!$C$2:$T$20,13,false)*HLOOKUP($K114,'Type Chart'!$C$2:$U$20,13,false)</f>
        <v>2</v>
      </c>
      <c r="AG114" s="960">
        <f t="array" ref="AG114">HLOOKUP($J114,'Type Chart'!$C$2:$T$20,14,false)*HLOOKUP($K114,'Type Chart'!$C$2:$U$20,14,false)</f>
        <v>0.5</v>
      </c>
      <c r="AH114" s="960">
        <f t="array" ref="AH114">HLOOKUP($J114,'Type Chart'!$C$2:$T$20,15,false)*HLOOKUP($K114,'Type Chart'!$C$2:$U$20,15,false)</f>
        <v>1</v>
      </c>
      <c r="AI114" s="960">
        <f t="array" ref="AI114">HLOOKUP($J114,'Type Chart'!$C$2:$T$20,16,false)*HLOOKUP($K114,'Type Chart'!$C$2:$U$20,16,false)</f>
        <v>1</v>
      </c>
      <c r="AJ114" s="960">
        <f t="array" ref="AJ114">HLOOKUP($J114,'Type Chart'!$C$2:$T$20,17,false)*HLOOKUP($K114,'Type Chart'!$C$2:$U$20,17,false)</f>
        <v>1</v>
      </c>
      <c r="AK114" s="960">
        <f t="array" ref="AK114">HLOOKUP($J114,'Type Chart'!$C$2:$T$20,18,false)*HLOOKUP($K114,'Type Chart'!$C$2:$U$20,18,false)</f>
        <v>1</v>
      </c>
      <c r="AL114" s="960">
        <f t="array" ref="AL114">HLOOKUP($J114,'Type Chart'!$C$2:$T$20,19,false)*HLOOKUP($K114,'Type Chart'!$C$2:$U$20,19,false)</f>
        <v>1</v>
      </c>
      <c r="AM114" s="964" t="s">
        <v>1336</v>
      </c>
      <c r="AN114" s="965" t="s">
        <v>1331</v>
      </c>
      <c r="AO114" s="966" t="s">
        <v>1337</v>
      </c>
      <c r="AP114" s="936"/>
      <c r="AQ114" s="967"/>
      <c r="AR114" s="968"/>
      <c r="AS114" s="936"/>
    </row>
    <row r="115" ht="15.75" customHeight="1">
      <c r="A115" s="936"/>
      <c r="B115" s="948" t="s">
        <v>1345</v>
      </c>
      <c r="C115" s="950" t="s">
        <v>1346</v>
      </c>
      <c r="D115" s="950" t="s">
        <v>1346</v>
      </c>
      <c r="E115" s="952" t="s">
        <v>1346</v>
      </c>
      <c r="F115" s="940"/>
      <c r="G115" s="953"/>
      <c r="H115" s="969"/>
      <c r="I115" s="956" t="s">
        <v>782</v>
      </c>
      <c r="J115" s="1214" t="s">
        <v>342</v>
      </c>
      <c r="K115" s="1204" t="s">
        <v>80</v>
      </c>
      <c r="L115" s="959">
        <v>80.0</v>
      </c>
      <c r="M115" s="960">
        <v>120.0</v>
      </c>
      <c r="N115" s="960">
        <v>130.0</v>
      </c>
      <c r="O115" s="960">
        <v>55.0</v>
      </c>
      <c r="P115" s="960">
        <v>65.0</v>
      </c>
      <c r="Q115" s="960">
        <v>45.0</v>
      </c>
      <c r="R115" s="960">
        <v>126.0</v>
      </c>
      <c r="S115" s="960">
        <v>189.0</v>
      </c>
      <c r="T115" s="960">
        <v>207.0</v>
      </c>
      <c r="U115" s="960">
        <f t="array" ref="U115">HLOOKUP($J115,'Type Chart'!$C$2:$T$20,2,false)*HLOOKUP($K115,'Type Chart'!$C$2:$U$20,2,false)</f>
        <v>0.5</v>
      </c>
      <c r="V115" s="960">
        <f t="array" ref="V115">HLOOKUP($J115,'Type Chart'!$C$2:$T$20,3,false)*HLOOKUP($K115,'Type Chart'!$C$2:$U$20,3,false)</f>
        <v>2</v>
      </c>
      <c r="W115" s="960">
        <f t="array" ref="W115">HLOOKUP($J115,'Type Chart'!$C$2:$T$20,4,false)*HLOOKUP($K115,'Type Chart'!$C$2:$U$20,4,false)</f>
        <v>0.5</v>
      </c>
      <c r="X115" s="960">
        <f t="array" ref="X115">HLOOKUP($J115,'Type Chart'!$C$2:$T$20,5,false)*HLOOKUP($K115,'Type Chart'!$C$2:$U$20,5,false)</f>
        <v>0.25</v>
      </c>
      <c r="Y115" s="960">
        <f t="array" ref="Y115">HLOOKUP($J115,'Type Chart'!$C$2:$T$20,6,false)*HLOOKUP($K115,'Type Chart'!$C$2:$U$20,6,false)</f>
        <v>2</v>
      </c>
      <c r="Z115" s="960">
        <f t="array" ref="Z115">HLOOKUP($J115,'Type Chart'!$C$2:$T$20,7,false)*HLOOKUP($K115,'Type Chart'!$C$2:$U$20,7,false)</f>
        <v>0.5</v>
      </c>
      <c r="AA115" s="960">
        <f t="array" ref="AA115">HLOOKUP($J115,'Type Chart'!$C$2:$T$20,8,false)*HLOOKUP($K115,'Type Chart'!$C$2:$U$20,8,false)</f>
        <v>1</v>
      </c>
      <c r="AB115" s="960">
        <f t="array" ref="AB115">HLOOKUP($J115,'Type Chart'!$C$2:$T$20,9,false)*HLOOKUP($K115,'Type Chart'!$C$2:$U$20,9,false)</f>
        <v>1</v>
      </c>
      <c r="AC115" s="960">
        <f t="array" ref="AC115">HLOOKUP($J115,'Type Chart'!$C$2:$T$20,10,false)*HLOOKUP($K115,'Type Chart'!$C$2:$U$20,10,false)</f>
        <v>2</v>
      </c>
      <c r="AD115" s="960">
        <f t="array" ref="AD115">HLOOKUP($J115,'Type Chart'!$C$2:$T$20,11,false)*HLOOKUP($K115,'Type Chart'!$C$2:$U$20,11,false)</f>
        <v>0.5</v>
      </c>
      <c r="AE115" s="960">
        <f t="array" ref="AE115">HLOOKUP($J115,'Type Chart'!$C$2:$T$20,12,false)*HLOOKUP($K115,'Type Chart'!$C$2:$U$20,12,false)</f>
        <v>4</v>
      </c>
      <c r="AF115" s="960">
        <f t="array" ref="AF115">HLOOKUP($J115,'Type Chart'!$C$2:$T$20,13,false)*HLOOKUP($K115,'Type Chart'!$C$2:$U$20,13,false)</f>
        <v>4</v>
      </c>
      <c r="AG115" s="960">
        <f t="array" ref="AG115">HLOOKUP($J115,'Type Chart'!$C$2:$T$20,14,false)*HLOOKUP($K115,'Type Chart'!$C$2:$U$20,14,false)</f>
        <v>0</v>
      </c>
      <c r="AH115" s="960">
        <f t="array" ref="AH115">HLOOKUP($J115,'Type Chart'!$C$2:$T$20,15,false)*HLOOKUP($K115,'Type Chart'!$C$2:$U$20,15,false)</f>
        <v>1</v>
      </c>
      <c r="AI115" s="960">
        <f t="array" ref="AI115">HLOOKUP($J115,'Type Chart'!$C$2:$T$20,16,false)*HLOOKUP($K115,'Type Chart'!$C$2:$U$20,16,false)</f>
        <v>2</v>
      </c>
      <c r="AJ115" s="960">
        <f t="array" ref="AJ115">HLOOKUP($J115,'Type Chart'!$C$2:$T$20,17,false)*HLOOKUP($K115,'Type Chart'!$C$2:$U$20,17,false)</f>
        <v>1</v>
      </c>
      <c r="AK115" s="960">
        <f t="array" ref="AK115">HLOOKUP($J115,'Type Chart'!$C$2:$T$20,18,false)*HLOOKUP($K115,'Type Chart'!$C$2:$U$20,18,false)</f>
        <v>1</v>
      </c>
      <c r="AL115" s="960">
        <f t="array" ref="AL115">HLOOKUP($J115,'Type Chart'!$C$2:$T$20,19,false)*HLOOKUP($K115,'Type Chart'!$C$2:$U$20,19,false)</f>
        <v>1</v>
      </c>
      <c r="AM115" s="964" t="s">
        <v>1276</v>
      </c>
      <c r="AN115" s="965" t="s">
        <v>1331</v>
      </c>
      <c r="AO115" s="966" t="s">
        <v>1129</v>
      </c>
      <c r="AP115" s="936"/>
      <c r="AQ115" s="967"/>
      <c r="AR115" s="968"/>
      <c r="AS115" s="936"/>
    </row>
    <row r="116" ht="15.75" customHeight="1">
      <c r="A116" s="936"/>
      <c r="B116" s="948" t="s">
        <v>1347</v>
      </c>
      <c r="C116" s="950" t="s">
        <v>1348</v>
      </c>
      <c r="D116" s="950" t="s">
        <v>1348</v>
      </c>
      <c r="E116" s="952" t="s">
        <v>1349</v>
      </c>
      <c r="F116" s="940"/>
      <c r="G116" s="953"/>
      <c r="H116" s="969"/>
      <c r="I116" s="956" t="s">
        <v>783</v>
      </c>
      <c r="J116" s="1214" t="s">
        <v>342</v>
      </c>
      <c r="K116" s="1196" t="s">
        <v>203</v>
      </c>
      <c r="L116" s="959">
        <v>80.0</v>
      </c>
      <c r="M116" s="960">
        <v>120.0</v>
      </c>
      <c r="N116" s="960">
        <v>130.0</v>
      </c>
      <c r="O116" s="960">
        <v>55.0</v>
      </c>
      <c r="P116" s="960">
        <v>65.0</v>
      </c>
      <c r="Q116" s="960">
        <v>45.0</v>
      </c>
      <c r="R116" s="960">
        <v>126.0</v>
      </c>
      <c r="S116" s="960">
        <v>189.0</v>
      </c>
      <c r="T116" s="960">
        <v>207.0</v>
      </c>
      <c r="U116" s="960">
        <f t="array" ref="U116">HLOOKUP($J116,'Type Chart'!$C$2:$T$20,2,false)*HLOOKUP($K116,'Type Chart'!$C$2:$U$20,2,false)</f>
        <v>0.5</v>
      </c>
      <c r="V116" s="960">
        <f t="array" ref="V116">HLOOKUP($J116,'Type Chart'!$C$2:$T$20,3,false)*HLOOKUP($K116,'Type Chart'!$C$2:$U$20,3,false)</f>
        <v>2</v>
      </c>
      <c r="W116" s="960">
        <f t="array" ref="W116">HLOOKUP($J116,'Type Chart'!$C$2:$T$20,4,false)*HLOOKUP($K116,'Type Chart'!$C$2:$U$20,4,false)</f>
        <v>0.25</v>
      </c>
      <c r="X116" s="960">
        <f t="array" ref="X116">HLOOKUP($J116,'Type Chart'!$C$2:$T$20,5,false)*HLOOKUP($K116,'Type Chart'!$C$2:$U$20,5,false)</f>
        <v>0.5</v>
      </c>
      <c r="Y116" s="960">
        <f t="array" ref="Y116">HLOOKUP($J116,'Type Chart'!$C$2:$T$20,6,false)*HLOOKUP($K116,'Type Chart'!$C$2:$U$20,6,false)</f>
        <v>4</v>
      </c>
      <c r="Z116" s="960">
        <f t="array" ref="Z116">HLOOKUP($J116,'Type Chart'!$C$2:$T$20,7,false)*HLOOKUP($K116,'Type Chart'!$C$2:$U$20,7,false)</f>
        <v>1</v>
      </c>
      <c r="AA116" s="960">
        <f t="array" ref="AA116">HLOOKUP($J116,'Type Chart'!$C$2:$T$20,8,false)*HLOOKUP($K116,'Type Chart'!$C$2:$U$20,8,false)</f>
        <v>1</v>
      </c>
      <c r="AB116" s="960">
        <f t="array" ref="AB116">HLOOKUP($J116,'Type Chart'!$C$2:$T$20,9,false)*HLOOKUP($K116,'Type Chart'!$C$2:$U$20,9,false)</f>
        <v>1</v>
      </c>
      <c r="AC116" s="960">
        <f t="array" ref="AC116">HLOOKUP($J116,'Type Chart'!$C$2:$T$20,10,false)*HLOOKUP($K116,'Type Chart'!$C$2:$U$20,10,false)</f>
        <v>1</v>
      </c>
      <c r="AD116" s="960">
        <f t="array" ref="AD116">HLOOKUP($J116,'Type Chart'!$C$2:$T$20,11,false)*HLOOKUP($K116,'Type Chart'!$C$2:$U$20,11,false)</f>
        <v>0.5</v>
      </c>
      <c r="AE116" s="960">
        <f t="array" ref="AE116">HLOOKUP($J116,'Type Chart'!$C$2:$T$20,12,false)*HLOOKUP($K116,'Type Chart'!$C$2:$U$20,12,false)</f>
        <v>2</v>
      </c>
      <c r="AF116" s="960">
        <f t="array" ref="AF116">HLOOKUP($J116,'Type Chart'!$C$2:$T$20,13,false)*HLOOKUP($K116,'Type Chart'!$C$2:$U$20,13,false)</f>
        <v>2</v>
      </c>
      <c r="AG116" s="960">
        <f t="array" ref="AG116">HLOOKUP($J116,'Type Chart'!$C$2:$T$20,14,false)*HLOOKUP($K116,'Type Chart'!$C$2:$U$20,14,false)</f>
        <v>0.5</v>
      </c>
      <c r="AH116" s="960">
        <f t="array" ref="AH116">HLOOKUP($J116,'Type Chart'!$C$2:$T$20,15,false)*HLOOKUP($K116,'Type Chart'!$C$2:$U$20,15,false)</f>
        <v>1</v>
      </c>
      <c r="AI116" s="960">
        <f t="array" ref="AI116">HLOOKUP($J116,'Type Chart'!$C$2:$T$20,16,false)*HLOOKUP($K116,'Type Chart'!$C$2:$U$20,16,false)</f>
        <v>1</v>
      </c>
      <c r="AJ116" s="960">
        <f t="array" ref="AJ116">HLOOKUP($J116,'Type Chart'!$C$2:$T$20,17,false)*HLOOKUP($K116,'Type Chart'!$C$2:$U$20,17,false)</f>
        <v>1</v>
      </c>
      <c r="AK116" s="960">
        <f t="array" ref="AK116">HLOOKUP($J116,'Type Chart'!$C$2:$T$20,18,false)*HLOOKUP($K116,'Type Chart'!$C$2:$U$20,18,false)</f>
        <v>1</v>
      </c>
      <c r="AL116" s="960">
        <f t="array" ref="AL116">HLOOKUP($J116,'Type Chart'!$C$2:$T$20,19,false)*HLOOKUP($K116,'Type Chart'!$C$2:$U$20,19,false)</f>
        <v>1</v>
      </c>
      <c r="AM116" s="964" t="s">
        <v>1336</v>
      </c>
      <c r="AN116" s="965" t="s">
        <v>1331</v>
      </c>
      <c r="AO116" s="966" t="s">
        <v>1337</v>
      </c>
      <c r="AP116" s="936"/>
      <c r="AQ116" s="967"/>
      <c r="AR116" s="968"/>
      <c r="AS116" s="936"/>
    </row>
    <row r="117" ht="15.75" customHeight="1">
      <c r="A117" s="1099"/>
      <c r="B117" s="948" t="s">
        <v>1350</v>
      </c>
      <c r="C117" s="950" t="s">
        <v>1351</v>
      </c>
      <c r="D117" s="950" t="s">
        <v>1351</v>
      </c>
      <c r="E117" s="952" t="s">
        <v>1351</v>
      </c>
      <c r="F117" s="940"/>
      <c r="G117" s="953"/>
      <c r="H117" s="969"/>
      <c r="I117" s="956" t="s">
        <v>1352</v>
      </c>
      <c r="J117" s="982" t="s">
        <v>150</v>
      </c>
      <c r="K117" s="984" t="s">
        <v>216</v>
      </c>
      <c r="L117" s="959">
        <v>50.0</v>
      </c>
      <c r="M117" s="960">
        <v>85.0</v>
      </c>
      <c r="N117" s="960">
        <v>55.0</v>
      </c>
      <c r="O117" s="960">
        <v>65.0</v>
      </c>
      <c r="P117" s="960">
        <v>65.0</v>
      </c>
      <c r="Q117" s="960">
        <v>90.0</v>
      </c>
      <c r="R117" s="960">
        <v>216.0</v>
      </c>
      <c r="S117" s="960">
        <v>279.0</v>
      </c>
      <c r="T117" s="960">
        <v>306.0</v>
      </c>
      <c r="U117" s="960">
        <f t="array" ref="U117">HLOOKUP($J117,'Type Chart'!$C$2:$T$20,2,false)*HLOOKUP($K117,'Type Chart'!$C$2:$U$20,2,false)</f>
        <v>1</v>
      </c>
      <c r="V117" s="960">
        <f t="array" ref="V117">HLOOKUP($J117,'Type Chart'!$C$2:$T$20,3,false)*HLOOKUP($K117,'Type Chart'!$C$2:$U$20,3,false)</f>
        <v>1</v>
      </c>
      <c r="W117" s="960">
        <f t="array" ref="W117">HLOOKUP($J117,'Type Chart'!$C$2:$T$20,4,false)*HLOOKUP($K117,'Type Chart'!$C$2:$U$20,4,false)</f>
        <v>1</v>
      </c>
      <c r="X117" s="960">
        <f t="array" ref="X117">HLOOKUP($J117,'Type Chart'!$C$2:$T$20,5,false)*HLOOKUP($K117,'Type Chart'!$C$2:$U$20,5,false)</f>
        <v>1</v>
      </c>
      <c r="Y117" s="960">
        <f t="array" ref="Y117">HLOOKUP($J117,'Type Chart'!$C$2:$T$20,6,false)*HLOOKUP($K117,'Type Chart'!$C$2:$U$20,6,false)</f>
        <v>2</v>
      </c>
      <c r="Z117" s="960">
        <f t="array" ref="Z117">HLOOKUP($J117,'Type Chart'!$C$2:$T$20,7,false)*HLOOKUP($K117,'Type Chart'!$C$2:$U$20,7,false)</f>
        <v>2</v>
      </c>
      <c r="AA117" s="960">
        <f t="array" ref="AA117">HLOOKUP($J117,'Type Chart'!$C$2:$T$20,8,false)*HLOOKUP($K117,'Type Chart'!$C$2:$U$20,8,false)</f>
        <v>0.5</v>
      </c>
      <c r="AB117" s="960">
        <f t="array" ref="AB117">HLOOKUP($J117,'Type Chart'!$C$2:$T$20,9,false)*HLOOKUP($K117,'Type Chart'!$C$2:$U$20,9,false)</f>
        <v>1</v>
      </c>
      <c r="AC117" s="960">
        <f t="array" ref="AC117">HLOOKUP($J117,'Type Chart'!$C$2:$T$20,10,false)*HLOOKUP($K117,'Type Chart'!$C$2:$U$20,10,false)</f>
        <v>0.5</v>
      </c>
      <c r="AD117" s="960">
        <f t="array" ref="AD117">HLOOKUP($J117,'Type Chart'!$C$2:$T$20,11,false)*HLOOKUP($K117,'Type Chart'!$C$2:$U$20,11,false)</f>
        <v>0.5</v>
      </c>
      <c r="AE117" s="960">
        <f t="array" ref="AE117">HLOOKUP($J117,'Type Chart'!$C$2:$T$20,12,false)*HLOOKUP($K117,'Type Chart'!$C$2:$U$20,12,false)</f>
        <v>2</v>
      </c>
      <c r="AF117" s="960">
        <f t="array" ref="AF117">HLOOKUP($J117,'Type Chart'!$C$2:$T$20,13,false)*HLOOKUP($K117,'Type Chart'!$C$2:$U$20,13,false)</f>
        <v>0.5</v>
      </c>
      <c r="AG117" s="960">
        <f t="array" ref="AG117">HLOOKUP($J117,'Type Chart'!$C$2:$T$20,14,false)*HLOOKUP($K117,'Type Chart'!$C$2:$U$20,14,false)</f>
        <v>1</v>
      </c>
      <c r="AH117" s="960">
        <f t="array" ref="AH117">HLOOKUP($J117,'Type Chart'!$C$2:$T$20,15,false)*HLOOKUP($K117,'Type Chart'!$C$2:$U$20,15,false)</f>
        <v>1</v>
      </c>
      <c r="AI117" s="960">
        <f t="array" ref="AI117">HLOOKUP($J117,'Type Chart'!$C$2:$T$20,16,false)*HLOOKUP($K117,'Type Chart'!$C$2:$U$20,16,false)</f>
        <v>0.5</v>
      </c>
      <c r="AJ117" s="960">
        <f t="array" ref="AJ117">HLOOKUP($J117,'Type Chart'!$C$2:$T$20,17,false)*HLOOKUP($K117,'Type Chart'!$C$2:$U$20,17,false)</f>
        <v>1</v>
      </c>
      <c r="AK117" s="960">
        <f t="array" ref="AK117">HLOOKUP($J117,'Type Chart'!$C$2:$T$20,18,false)*HLOOKUP($K117,'Type Chart'!$C$2:$U$20,18,false)</f>
        <v>1</v>
      </c>
      <c r="AL117" s="960">
        <f t="array" ref="AL117">HLOOKUP($J117,'Type Chart'!$C$2:$T$20,19,false)*HLOOKUP($K117,'Type Chart'!$C$2:$U$20,19,false)</f>
        <v>0.5</v>
      </c>
      <c r="AM117" s="1145" t="s">
        <v>988</v>
      </c>
      <c r="AN117" s="965" t="s">
        <v>1172</v>
      </c>
      <c r="AO117" s="1146" t="s">
        <v>1353</v>
      </c>
      <c r="AP117" s="936"/>
      <c r="AQ117" s="967"/>
      <c r="AR117" s="968"/>
      <c r="AS117" s="936"/>
    </row>
    <row r="118" ht="15.75" customHeight="1">
      <c r="A118" s="1099"/>
      <c r="B118" s="948" t="s">
        <v>1354</v>
      </c>
      <c r="C118" s="1197" t="s">
        <v>1355</v>
      </c>
      <c r="D118" s="1197" t="s">
        <v>1355</v>
      </c>
      <c r="E118" s="1147" t="s">
        <v>1356</v>
      </c>
      <c r="F118" s="940"/>
      <c r="G118" s="953"/>
      <c r="H118" s="969"/>
      <c r="I118" s="998" t="s">
        <v>1357</v>
      </c>
      <c r="J118" s="1215" t="s">
        <v>344</v>
      </c>
      <c r="K118" s="1199" t="s">
        <v>216</v>
      </c>
      <c r="L118" s="1200">
        <v>50.0</v>
      </c>
      <c r="M118" s="1201">
        <v>85.0</v>
      </c>
      <c r="N118" s="1201">
        <v>55.0</v>
      </c>
      <c r="O118" s="1201">
        <v>65.0</v>
      </c>
      <c r="P118" s="1201">
        <v>65.0</v>
      </c>
      <c r="Q118" s="1201">
        <v>90.0</v>
      </c>
      <c r="R118" s="960">
        <v>216.0</v>
      </c>
      <c r="S118" s="960">
        <v>279.0</v>
      </c>
      <c r="T118" s="960">
        <v>306.0</v>
      </c>
      <c r="U118" s="960">
        <f t="array" ref="U118">HLOOKUP($J118,'Type Chart'!$C$2:$T$20,2,false)*HLOOKUP($K118,'Type Chart'!$C$2:$U$20,2,false)</f>
        <v>1</v>
      </c>
      <c r="V118" s="960">
        <f t="array" ref="V118">HLOOKUP($J118,'Type Chart'!$C$2:$T$20,3,false)*HLOOKUP($K118,'Type Chart'!$C$2:$U$20,3,false)</f>
        <v>0.5</v>
      </c>
      <c r="W118" s="960">
        <f t="array" ref="W118">HLOOKUP($J118,'Type Chart'!$C$2:$T$20,4,false)*HLOOKUP($K118,'Type Chart'!$C$2:$U$20,4,false)</f>
        <v>1</v>
      </c>
      <c r="X118" s="960">
        <f t="array" ref="X118">HLOOKUP($J118,'Type Chart'!$C$2:$T$20,5,false)*HLOOKUP($K118,'Type Chart'!$C$2:$U$20,5,false)</f>
        <v>1</v>
      </c>
      <c r="Y118" s="960">
        <f t="array" ref="Y118">HLOOKUP($J118,'Type Chart'!$C$2:$T$20,6,false)*HLOOKUP($K118,'Type Chart'!$C$2:$U$20,6,false)</f>
        <v>1</v>
      </c>
      <c r="Z118" s="960">
        <f t="array" ref="Z118">HLOOKUP($J118,'Type Chart'!$C$2:$T$20,7,false)*HLOOKUP($K118,'Type Chart'!$C$2:$U$20,7,false)</f>
        <v>1</v>
      </c>
      <c r="AA118" s="960">
        <f t="array" ref="AA118">HLOOKUP($J118,'Type Chart'!$C$2:$T$20,8,false)*HLOOKUP($K118,'Type Chart'!$C$2:$U$20,8,false)</f>
        <v>2</v>
      </c>
      <c r="AB118" s="960">
        <f t="array" ref="AB118">HLOOKUP($J118,'Type Chart'!$C$2:$T$20,9,false)*HLOOKUP($K118,'Type Chart'!$C$2:$U$20,9,false)</f>
        <v>2</v>
      </c>
      <c r="AC118" s="960">
        <f t="array" ref="AC118">HLOOKUP($J118,'Type Chart'!$C$2:$T$20,10,false)*HLOOKUP($K118,'Type Chart'!$C$2:$U$20,10,false)</f>
        <v>1</v>
      </c>
      <c r="AD118" s="960">
        <f t="array" ref="AD118">HLOOKUP($J118,'Type Chart'!$C$2:$T$20,11,false)*HLOOKUP($K118,'Type Chart'!$C$2:$U$20,11,false)</f>
        <v>1</v>
      </c>
      <c r="AE118" s="960">
        <f t="array" ref="AE118">HLOOKUP($J118,'Type Chart'!$C$2:$T$20,12,false)*HLOOKUP($K118,'Type Chart'!$C$2:$U$20,12,false)</f>
        <v>1</v>
      </c>
      <c r="AF118" s="960">
        <f t="array" ref="AF118">HLOOKUP($J118,'Type Chart'!$C$2:$T$20,13,false)*HLOOKUP($K118,'Type Chart'!$C$2:$U$20,13,false)</f>
        <v>1</v>
      </c>
      <c r="AG118" s="960">
        <f t="array" ref="AG118">HLOOKUP($J118,'Type Chart'!$C$2:$T$20,14,false)*HLOOKUP($K118,'Type Chart'!$C$2:$U$20,14,false)</f>
        <v>1</v>
      </c>
      <c r="AH118" s="960">
        <f t="array" ref="AH118">HLOOKUP($J118,'Type Chart'!$C$2:$T$20,15,false)*HLOOKUP($K118,'Type Chart'!$C$2:$U$20,15,false)</f>
        <v>0.5</v>
      </c>
      <c r="AI118" s="960">
        <f t="array" ref="AI118">HLOOKUP($J118,'Type Chart'!$C$2:$T$20,16,false)*HLOOKUP($K118,'Type Chart'!$C$2:$U$20,16,false)</f>
        <v>1</v>
      </c>
      <c r="AJ118" s="960">
        <f t="array" ref="AJ118">HLOOKUP($J118,'Type Chart'!$C$2:$T$20,17,false)*HLOOKUP($K118,'Type Chart'!$C$2:$U$20,17,false)</f>
        <v>1</v>
      </c>
      <c r="AK118" s="960">
        <f t="array" ref="AK118">HLOOKUP($J118,'Type Chart'!$C$2:$T$20,18,false)*HLOOKUP($K118,'Type Chart'!$C$2:$U$20,18,false)</f>
        <v>2</v>
      </c>
      <c r="AL118" s="960">
        <f t="array" ref="AL118">HLOOKUP($J118,'Type Chart'!$C$2:$T$20,19,false)*HLOOKUP($K118,'Type Chart'!$C$2:$U$20,19,false)</f>
        <v>1</v>
      </c>
      <c r="AM118" s="1145" t="s">
        <v>988</v>
      </c>
      <c r="AN118" s="1145" t="s">
        <v>1358</v>
      </c>
      <c r="AO118" s="1146" t="s">
        <v>1359</v>
      </c>
      <c r="AP118" s="936"/>
      <c r="AQ118" s="967"/>
      <c r="AR118" s="968"/>
      <c r="AS118" s="936"/>
    </row>
    <row r="119" ht="15.75" customHeight="1">
      <c r="A119" s="936"/>
      <c r="B119" s="948" t="s">
        <v>1360</v>
      </c>
      <c r="C119" s="950" t="s">
        <v>1361</v>
      </c>
      <c r="D119" s="950" t="s">
        <v>1361</v>
      </c>
      <c r="E119" s="952" t="s">
        <v>1361</v>
      </c>
      <c r="F119" s="940"/>
      <c r="G119" s="953"/>
      <c r="H119" s="969"/>
      <c r="I119" s="956" t="s">
        <v>1362</v>
      </c>
      <c r="J119" s="982" t="s">
        <v>150</v>
      </c>
      <c r="K119" s="984" t="s">
        <v>216</v>
      </c>
      <c r="L119" s="959">
        <v>65.0</v>
      </c>
      <c r="M119" s="960">
        <v>100.0</v>
      </c>
      <c r="N119" s="960">
        <v>70.0</v>
      </c>
      <c r="O119" s="960">
        <v>80.0</v>
      </c>
      <c r="P119" s="960">
        <v>80.0</v>
      </c>
      <c r="Q119" s="960">
        <v>105.0</v>
      </c>
      <c r="R119" s="960">
        <v>246.0</v>
      </c>
      <c r="S119" s="960">
        <v>309.0</v>
      </c>
      <c r="T119" s="960">
        <v>339.0</v>
      </c>
      <c r="U119" s="960">
        <f t="array" ref="U119">HLOOKUP($J119,'Type Chart'!$C$2:$T$20,2,false)*HLOOKUP($K119,'Type Chart'!$C$2:$U$20,2,false)</f>
        <v>1</v>
      </c>
      <c r="V119" s="960">
        <f t="array" ref="V119">HLOOKUP($J119,'Type Chart'!$C$2:$T$20,3,false)*HLOOKUP($K119,'Type Chart'!$C$2:$U$20,3,false)</f>
        <v>1</v>
      </c>
      <c r="W119" s="960">
        <f t="array" ref="W119">HLOOKUP($J119,'Type Chart'!$C$2:$T$20,4,false)*HLOOKUP($K119,'Type Chart'!$C$2:$U$20,4,false)</f>
        <v>1</v>
      </c>
      <c r="X119" s="960">
        <f t="array" ref="X119">HLOOKUP($J119,'Type Chart'!$C$2:$T$20,5,false)*HLOOKUP($K119,'Type Chart'!$C$2:$U$20,5,false)</f>
        <v>1</v>
      </c>
      <c r="Y119" s="960">
        <f t="array" ref="Y119">HLOOKUP($J119,'Type Chart'!$C$2:$T$20,6,false)*HLOOKUP($K119,'Type Chart'!$C$2:$U$20,6,false)</f>
        <v>2</v>
      </c>
      <c r="Z119" s="960">
        <f t="array" ref="Z119">HLOOKUP($J119,'Type Chart'!$C$2:$T$20,7,false)*HLOOKUP($K119,'Type Chart'!$C$2:$U$20,7,false)</f>
        <v>2</v>
      </c>
      <c r="AA119" s="960">
        <f t="array" ref="AA119">HLOOKUP($J119,'Type Chart'!$C$2:$T$20,8,false)*HLOOKUP($K119,'Type Chart'!$C$2:$U$20,8,false)</f>
        <v>0.5</v>
      </c>
      <c r="AB119" s="960">
        <f t="array" ref="AB119">HLOOKUP($J119,'Type Chart'!$C$2:$T$20,9,false)*HLOOKUP($K119,'Type Chart'!$C$2:$U$20,9,false)</f>
        <v>1</v>
      </c>
      <c r="AC119" s="960">
        <f t="array" ref="AC119">HLOOKUP($J119,'Type Chart'!$C$2:$T$20,10,false)*HLOOKUP($K119,'Type Chart'!$C$2:$U$20,10,false)</f>
        <v>0.5</v>
      </c>
      <c r="AD119" s="960">
        <f t="array" ref="AD119">HLOOKUP($J119,'Type Chart'!$C$2:$T$20,11,false)*HLOOKUP($K119,'Type Chart'!$C$2:$U$20,11,false)</f>
        <v>0.5</v>
      </c>
      <c r="AE119" s="960">
        <f t="array" ref="AE119">HLOOKUP($J119,'Type Chart'!$C$2:$T$20,12,false)*HLOOKUP($K119,'Type Chart'!$C$2:$U$20,12,false)</f>
        <v>2</v>
      </c>
      <c r="AF119" s="960">
        <f t="array" ref="AF119">HLOOKUP($J119,'Type Chart'!$C$2:$T$20,13,false)*HLOOKUP($K119,'Type Chart'!$C$2:$U$20,13,false)</f>
        <v>0.5</v>
      </c>
      <c r="AG119" s="960">
        <f t="array" ref="AG119">HLOOKUP($J119,'Type Chart'!$C$2:$T$20,14,false)*HLOOKUP($K119,'Type Chart'!$C$2:$U$20,14,false)</f>
        <v>1</v>
      </c>
      <c r="AH119" s="960">
        <f t="array" ref="AH119">HLOOKUP($J119,'Type Chart'!$C$2:$T$20,15,false)*HLOOKUP($K119,'Type Chart'!$C$2:$U$20,15,false)</f>
        <v>1</v>
      </c>
      <c r="AI119" s="960">
        <f t="array" ref="AI119">HLOOKUP($J119,'Type Chart'!$C$2:$T$20,16,false)*HLOOKUP($K119,'Type Chart'!$C$2:$U$20,16,false)</f>
        <v>0.5</v>
      </c>
      <c r="AJ119" s="960">
        <f t="array" ref="AJ119">HLOOKUP($J119,'Type Chart'!$C$2:$T$20,17,false)*HLOOKUP($K119,'Type Chart'!$C$2:$U$20,17,false)</f>
        <v>1</v>
      </c>
      <c r="AK119" s="960">
        <f t="array" ref="AK119">HLOOKUP($J119,'Type Chart'!$C$2:$T$20,18,false)*HLOOKUP($K119,'Type Chart'!$C$2:$U$20,18,false)</f>
        <v>1</v>
      </c>
      <c r="AL119" s="960">
        <f t="array" ref="AL119">HLOOKUP($J119,'Type Chart'!$C$2:$T$20,19,false)*HLOOKUP($K119,'Type Chart'!$C$2:$U$20,19,false)</f>
        <v>0.5</v>
      </c>
      <c r="AM119" s="964" t="s">
        <v>988</v>
      </c>
      <c r="AN119" s="965" t="s">
        <v>1172</v>
      </c>
      <c r="AO119" s="966" t="s">
        <v>1353</v>
      </c>
      <c r="AP119" s="936"/>
      <c r="AQ119" s="967"/>
      <c r="AR119" s="968"/>
      <c r="AS119" s="936"/>
    </row>
    <row r="120" ht="15.75" customHeight="1">
      <c r="A120" s="936"/>
      <c r="B120" s="948" t="s">
        <v>1363</v>
      </c>
      <c r="C120" s="950" t="s">
        <v>1364</v>
      </c>
      <c r="D120" s="950" t="s">
        <v>1364</v>
      </c>
      <c r="E120" s="952" t="s">
        <v>1365</v>
      </c>
      <c r="F120" s="940"/>
      <c r="G120" s="953"/>
      <c r="H120" s="969"/>
      <c r="I120" s="956" t="s">
        <v>1366</v>
      </c>
      <c r="J120" s="1203" t="s">
        <v>344</v>
      </c>
      <c r="K120" s="1207" t="s">
        <v>127</v>
      </c>
      <c r="L120" s="959">
        <v>65.0</v>
      </c>
      <c r="M120" s="960">
        <v>100.0</v>
      </c>
      <c r="N120" s="960">
        <v>70.0</v>
      </c>
      <c r="O120" s="960">
        <v>80.0</v>
      </c>
      <c r="P120" s="960">
        <v>80.0</v>
      </c>
      <c r="Q120" s="960">
        <v>105.0</v>
      </c>
      <c r="R120" s="960">
        <v>246.0</v>
      </c>
      <c r="S120" s="960">
        <v>309.0</v>
      </c>
      <c r="T120" s="960">
        <v>339.0</v>
      </c>
      <c r="U120" s="960">
        <f t="array" ref="U120">HLOOKUP($J120,'Type Chart'!$C$2:$T$20,2,false)*HLOOKUP($K120,'Type Chart'!$C$2:$U$20,2,false)</f>
        <v>1</v>
      </c>
      <c r="V120" s="960">
        <f t="array" ref="V120">HLOOKUP($J120,'Type Chart'!$C$2:$T$20,3,false)*HLOOKUP($K120,'Type Chart'!$C$2:$U$20,3,false)</f>
        <v>0.25</v>
      </c>
      <c r="W120" s="960">
        <f t="array" ref="W120">HLOOKUP($J120,'Type Chart'!$C$2:$T$20,4,false)*HLOOKUP($K120,'Type Chart'!$C$2:$U$20,4,false)</f>
        <v>1</v>
      </c>
      <c r="X120" s="960">
        <f t="array" ref="X120">HLOOKUP($J120,'Type Chart'!$C$2:$T$20,5,false)*HLOOKUP($K120,'Type Chart'!$C$2:$U$20,5,false)</f>
        <v>2</v>
      </c>
      <c r="Y120" s="960">
        <f t="array" ref="Y120">HLOOKUP($J120,'Type Chart'!$C$2:$T$20,6,false)*HLOOKUP($K120,'Type Chart'!$C$2:$U$20,6,false)</f>
        <v>1</v>
      </c>
      <c r="Z120" s="960">
        <f t="array" ref="Z120">HLOOKUP($J120,'Type Chart'!$C$2:$T$20,7,false)*HLOOKUP($K120,'Type Chart'!$C$2:$U$20,7,false)</f>
        <v>1</v>
      </c>
      <c r="AA120" s="960">
        <f t="array" ref="AA120">HLOOKUP($J120,'Type Chart'!$C$2:$T$20,8,false)*HLOOKUP($K120,'Type Chart'!$C$2:$U$20,8,false)</f>
        <v>1</v>
      </c>
      <c r="AB120" s="960">
        <f t="array" ref="AB120">HLOOKUP($J120,'Type Chart'!$C$2:$T$20,9,false)*HLOOKUP($K120,'Type Chart'!$C$2:$U$20,9,false)</f>
        <v>2</v>
      </c>
      <c r="AC120" s="960">
        <f t="array" ref="AC120">HLOOKUP($J120,'Type Chart'!$C$2:$T$20,10,false)*HLOOKUP($K120,'Type Chart'!$C$2:$U$20,10,false)</f>
        <v>2</v>
      </c>
      <c r="AD120" s="960">
        <f t="array" ref="AD120">HLOOKUP($J120,'Type Chart'!$C$2:$T$20,11,false)*HLOOKUP($K120,'Type Chart'!$C$2:$U$20,11,false)</f>
        <v>1</v>
      </c>
      <c r="AE120" s="960">
        <f t="array" ref="AE120">HLOOKUP($J120,'Type Chart'!$C$2:$T$20,12,false)*HLOOKUP($K120,'Type Chart'!$C$2:$U$20,12,false)</f>
        <v>1</v>
      </c>
      <c r="AF120" s="960">
        <f t="array" ref="AF120">HLOOKUP($J120,'Type Chart'!$C$2:$T$20,13,false)*HLOOKUP($K120,'Type Chart'!$C$2:$U$20,13,false)</f>
        <v>1</v>
      </c>
      <c r="AG120" s="960">
        <f t="array" ref="AG120">HLOOKUP($J120,'Type Chart'!$C$2:$T$20,14,false)*HLOOKUP($K120,'Type Chart'!$C$2:$U$20,14,false)</f>
        <v>1</v>
      </c>
      <c r="AH120" s="960">
        <f t="array" ref="AH120">HLOOKUP($J120,'Type Chart'!$C$2:$T$20,15,false)*HLOOKUP($K120,'Type Chart'!$C$2:$U$20,15,false)</f>
        <v>0.5</v>
      </c>
      <c r="AI120" s="960">
        <f t="array" ref="AI120">HLOOKUP($J120,'Type Chart'!$C$2:$T$20,16,false)*HLOOKUP($K120,'Type Chart'!$C$2:$U$20,16,false)</f>
        <v>1</v>
      </c>
      <c r="AJ120" s="960">
        <f t="array" ref="AJ120">HLOOKUP($J120,'Type Chart'!$C$2:$T$20,17,false)*HLOOKUP($K120,'Type Chart'!$C$2:$U$20,17,false)</f>
        <v>0</v>
      </c>
      <c r="AK120" s="960">
        <f t="array" ref="AK120">HLOOKUP($J120,'Type Chart'!$C$2:$T$20,18,false)*HLOOKUP($K120,'Type Chart'!$C$2:$U$20,18,false)</f>
        <v>1</v>
      </c>
      <c r="AL120" s="960">
        <f t="array" ref="AL120">HLOOKUP($J120,'Type Chart'!$C$2:$T$20,19,false)*HLOOKUP($K120,'Type Chart'!$C$2:$U$20,19,false)</f>
        <v>1</v>
      </c>
      <c r="AM120" s="964" t="s">
        <v>988</v>
      </c>
      <c r="AN120" s="964" t="s">
        <v>1358</v>
      </c>
      <c r="AO120" s="966" t="s">
        <v>1359</v>
      </c>
      <c r="AP120" s="936"/>
      <c r="AQ120" s="967"/>
      <c r="AR120" s="968"/>
      <c r="AS120" s="936"/>
    </row>
    <row r="121" ht="15.75" customHeight="1">
      <c r="A121" s="936"/>
      <c r="B121" s="948" t="s">
        <v>1367</v>
      </c>
      <c r="C121" s="950" t="s">
        <v>1368</v>
      </c>
      <c r="D121" s="950" t="s">
        <v>1368</v>
      </c>
      <c r="E121" s="952" t="s">
        <v>1368</v>
      </c>
      <c r="F121" s="940"/>
      <c r="G121" s="953"/>
      <c r="H121" s="969"/>
      <c r="I121" s="998" t="s">
        <v>863</v>
      </c>
      <c r="J121" s="1056" t="s">
        <v>81</v>
      </c>
      <c r="K121" s="1203" t="s">
        <v>344</v>
      </c>
      <c r="L121" s="959">
        <v>90.0</v>
      </c>
      <c r="M121" s="960">
        <v>65.0</v>
      </c>
      <c r="N121" s="960">
        <v>65.0</v>
      </c>
      <c r="O121" s="960">
        <v>40.0</v>
      </c>
      <c r="P121" s="960">
        <v>40.0</v>
      </c>
      <c r="Q121" s="960">
        <v>15.0</v>
      </c>
      <c r="R121" s="960">
        <v>66.0</v>
      </c>
      <c r="S121" s="960">
        <v>129.0</v>
      </c>
      <c r="T121" s="960">
        <v>141.0</v>
      </c>
      <c r="U121" s="960">
        <f t="array" ref="U121">HLOOKUP($J121,'Type Chart'!$C$2:$T$20,2,false)*HLOOKUP($K121,'Type Chart'!$C$2:$U$20,2,false)</f>
        <v>1</v>
      </c>
      <c r="V121" s="960">
        <f t="array" ref="V121">HLOOKUP($J121,'Type Chart'!$C$2:$T$20,3,false)*HLOOKUP($K121,'Type Chart'!$C$2:$U$20,3,false)</f>
        <v>0.5</v>
      </c>
      <c r="W121" s="960">
        <f t="array" ref="W121">HLOOKUP($J121,'Type Chart'!$C$2:$T$20,4,false)*HLOOKUP($K121,'Type Chart'!$C$2:$U$20,4,false)</f>
        <v>1</v>
      </c>
      <c r="X121" s="960">
        <f t="array" ref="X121">HLOOKUP($J121,'Type Chart'!$C$2:$T$20,5,false)*HLOOKUP($K121,'Type Chart'!$C$2:$U$20,5,false)</f>
        <v>1</v>
      </c>
      <c r="Y121" s="960">
        <f t="array" ref="Y121">HLOOKUP($J121,'Type Chart'!$C$2:$T$20,6,false)*HLOOKUP($K121,'Type Chart'!$C$2:$U$20,6,false)</f>
        <v>1</v>
      </c>
      <c r="Z121" s="960">
        <f t="array" ref="Z121">HLOOKUP($J121,'Type Chart'!$C$2:$T$20,7,false)*HLOOKUP($K121,'Type Chart'!$C$2:$U$20,7,false)</f>
        <v>1</v>
      </c>
      <c r="AA121" s="960">
        <f t="array" ref="AA121">HLOOKUP($J121,'Type Chart'!$C$2:$T$20,8,false)*HLOOKUP($K121,'Type Chart'!$C$2:$U$20,8,false)</f>
        <v>2</v>
      </c>
      <c r="AB121" s="960">
        <f t="array" ref="AB121">HLOOKUP($J121,'Type Chart'!$C$2:$T$20,9,false)*HLOOKUP($K121,'Type Chart'!$C$2:$U$20,9,false)</f>
        <v>2</v>
      </c>
      <c r="AC121" s="960">
        <f t="array" ref="AC121">HLOOKUP($J121,'Type Chart'!$C$2:$T$20,10,false)*HLOOKUP($K121,'Type Chart'!$C$2:$U$20,10,false)</f>
        <v>0.5</v>
      </c>
      <c r="AD121" s="960">
        <f t="array" ref="AD121">HLOOKUP($J121,'Type Chart'!$C$2:$T$20,11,false)*HLOOKUP($K121,'Type Chart'!$C$2:$U$20,11,false)</f>
        <v>0.5</v>
      </c>
      <c r="AE121" s="960">
        <f t="array" ref="AE121">HLOOKUP($J121,'Type Chart'!$C$2:$T$20,12,false)*HLOOKUP($K121,'Type Chart'!$C$2:$U$20,12,false)</f>
        <v>0.5</v>
      </c>
      <c r="AF121" s="960">
        <f t="array" ref="AF121">HLOOKUP($J121,'Type Chart'!$C$2:$T$20,13,false)*HLOOKUP($K121,'Type Chart'!$C$2:$U$20,13,false)</f>
        <v>2</v>
      </c>
      <c r="AG121" s="960">
        <f t="array" ref="AG121">HLOOKUP($J121,'Type Chart'!$C$2:$T$20,14,false)*HLOOKUP($K121,'Type Chart'!$C$2:$U$20,14,false)</f>
        <v>2</v>
      </c>
      <c r="AH121" s="960">
        <f t="array" ref="AH121">HLOOKUP($J121,'Type Chart'!$C$2:$T$20,15,false)*HLOOKUP($K121,'Type Chart'!$C$2:$U$20,15,false)</f>
        <v>0.5</v>
      </c>
      <c r="AI121" s="960">
        <f t="array" ref="AI121">HLOOKUP($J121,'Type Chart'!$C$2:$T$20,16,false)*HLOOKUP($K121,'Type Chart'!$C$2:$U$20,16,false)</f>
        <v>0.5</v>
      </c>
      <c r="AJ121" s="960">
        <f t="array" ref="AJ121">HLOOKUP($J121,'Type Chart'!$C$2:$T$20,17,false)*HLOOKUP($K121,'Type Chart'!$C$2:$U$20,17,false)</f>
        <v>1</v>
      </c>
      <c r="AK121" s="960">
        <f t="array" ref="AK121">HLOOKUP($J121,'Type Chart'!$C$2:$T$20,18,false)*HLOOKUP($K121,'Type Chart'!$C$2:$U$20,18,false)</f>
        <v>2</v>
      </c>
      <c r="AL121" s="960">
        <f t="array" ref="AL121">HLOOKUP($J121,'Type Chart'!$C$2:$T$20,19,false)*HLOOKUP($K121,'Type Chart'!$C$2:$U$20,19,false)</f>
        <v>1</v>
      </c>
      <c r="AM121" s="964" t="s">
        <v>1369</v>
      </c>
      <c r="AN121" s="965" t="s">
        <v>1370</v>
      </c>
      <c r="AO121" s="966" t="s">
        <v>1371</v>
      </c>
      <c r="AP121" s="936"/>
      <c r="AQ121" s="967"/>
      <c r="AR121" s="968"/>
      <c r="AS121" s="936"/>
    </row>
    <row r="122" ht="15.75" customHeight="1">
      <c r="A122" s="936"/>
      <c r="B122" s="948" t="s">
        <v>1372</v>
      </c>
      <c r="C122" s="950" t="s">
        <v>1373</v>
      </c>
      <c r="D122" s="950" t="s">
        <v>1373</v>
      </c>
      <c r="E122" s="952" t="s">
        <v>1374</v>
      </c>
      <c r="F122" s="940"/>
      <c r="G122" s="953"/>
      <c r="H122" s="969"/>
      <c r="I122" s="956" t="s">
        <v>1375</v>
      </c>
      <c r="J122" s="1203" t="s">
        <v>344</v>
      </c>
      <c r="K122" s="964" t="s">
        <v>216</v>
      </c>
      <c r="L122" s="959">
        <v>90.0</v>
      </c>
      <c r="M122" s="960">
        <v>65.0</v>
      </c>
      <c r="N122" s="960">
        <v>65.0</v>
      </c>
      <c r="O122" s="960">
        <v>40.0</v>
      </c>
      <c r="P122" s="960">
        <v>40.0</v>
      </c>
      <c r="Q122" s="960">
        <v>15.0</v>
      </c>
      <c r="R122" s="960">
        <v>66.0</v>
      </c>
      <c r="S122" s="960">
        <v>129.0</v>
      </c>
      <c r="T122" s="960">
        <v>141.0</v>
      </c>
      <c r="U122" s="960">
        <f t="array" ref="U122">HLOOKUP($J122,'Type Chart'!$C$2:$T$20,2,false)*HLOOKUP($K122,'Type Chart'!$C$2:$U$20,2,false)</f>
        <v>1</v>
      </c>
      <c r="V122" s="960">
        <f t="array" ref="V122">HLOOKUP($J122,'Type Chart'!$C$2:$T$20,3,false)*HLOOKUP($K122,'Type Chart'!$C$2:$U$20,3,false)</f>
        <v>0.5</v>
      </c>
      <c r="W122" s="960">
        <f t="array" ref="W122">HLOOKUP($J122,'Type Chart'!$C$2:$T$20,4,false)*HLOOKUP($K122,'Type Chart'!$C$2:$U$20,4,false)</f>
        <v>1</v>
      </c>
      <c r="X122" s="960">
        <f t="array" ref="X122">HLOOKUP($J122,'Type Chart'!$C$2:$T$20,5,false)*HLOOKUP($K122,'Type Chart'!$C$2:$U$20,5,false)</f>
        <v>1</v>
      </c>
      <c r="Y122" s="960">
        <f t="array" ref="Y122">HLOOKUP($J122,'Type Chart'!$C$2:$T$20,6,false)*HLOOKUP($K122,'Type Chart'!$C$2:$U$20,6,false)</f>
        <v>1</v>
      </c>
      <c r="Z122" s="960">
        <f t="array" ref="Z122">HLOOKUP($J122,'Type Chart'!$C$2:$T$20,7,false)*HLOOKUP($K122,'Type Chart'!$C$2:$U$20,7,false)</f>
        <v>1</v>
      </c>
      <c r="AA122" s="960">
        <f t="array" ref="AA122">HLOOKUP($J122,'Type Chart'!$C$2:$T$20,8,false)*HLOOKUP($K122,'Type Chart'!$C$2:$U$20,8,false)</f>
        <v>2</v>
      </c>
      <c r="AB122" s="960">
        <f t="array" ref="AB122">HLOOKUP($J122,'Type Chart'!$C$2:$T$20,9,false)*HLOOKUP($K122,'Type Chart'!$C$2:$U$20,9,false)</f>
        <v>2</v>
      </c>
      <c r="AC122" s="960">
        <f t="array" ref="AC122">HLOOKUP($J122,'Type Chart'!$C$2:$T$20,10,false)*HLOOKUP($K122,'Type Chart'!$C$2:$U$20,10,false)</f>
        <v>1</v>
      </c>
      <c r="AD122" s="960">
        <f t="array" ref="AD122">HLOOKUP($J122,'Type Chart'!$C$2:$T$20,11,false)*HLOOKUP($K122,'Type Chart'!$C$2:$U$20,11,false)</f>
        <v>1</v>
      </c>
      <c r="AE122" s="960">
        <f t="array" ref="AE122">HLOOKUP($J122,'Type Chart'!$C$2:$T$20,12,false)*HLOOKUP($K122,'Type Chart'!$C$2:$U$20,12,false)</f>
        <v>1</v>
      </c>
      <c r="AF122" s="960">
        <f t="array" ref="AF122">HLOOKUP($J122,'Type Chart'!$C$2:$T$20,13,false)*HLOOKUP($K122,'Type Chart'!$C$2:$U$20,13,false)</f>
        <v>1</v>
      </c>
      <c r="AG122" s="960">
        <f t="array" ref="AG122">HLOOKUP($J122,'Type Chart'!$C$2:$T$20,14,false)*HLOOKUP($K122,'Type Chart'!$C$2:$U$20,14,false)</f>
        <v>1</v>
      </c>
      <c r="AH122" s="960">
        <f t="array" ref="AH122">HLOOKUP($J122,'Type Chart'!$C$2:$T$20,15,false)*HLOOKUP($K122,'Type Chart'!$C$2:$U$20,15,false)</f>
        <v>0.5</v>
      </c>
      <c r="AI122" s="960">
        <f t="array" ref="AI122">HLOOKUP($J122,'Type Chart'!$C$2:$T$20,16,false)*HLOOKUP($K122,'Type Chart'!$C$2:$U$20,16,false)</f>
        <v>1</v>
      </c>
      <c r="AJ122" s="960">
        <f t="array" ref="AJ122">HLOOKUP($J122,'Type Chart'!$C$2:$T$20,17,false)*HLOOKUP($K122,'Type Chart'!$C$2:$U$20,17,false)</f>
        <v>1</v>
      </c>
      <c r="AK122" s="960">
        <f t="array" ref="AK122">HLOOKUP($J122,'Type Chart'!$C$2:$T$20,18,false)*HLOOKUP($K122,'Type Chart'!$C$2:$U$20,18,false)</f>
        <v>2</v>
      </c>
      <c r="AL122" s="960">
        <f t="array" ref="AL122">HLOOKUP($J122,'Type Chart'!$C$2:$T$20,19,false)*HLOOKUP($K122,'Type Chart'!$C$2:$U$20,19,false)</f>
        <v>1</v>
      </c>
      <c r="AM122" s="964" t="s">
        <v>1044</v>
      </c>
      <c r="AN122" s="965" t="s">
        <v>1370</v>
      </c>
      <c r="AO122" s="966" t="s">
        <v>1371</v>
      </c>
      <c r="AP122" s="936"/>
      <c r="AQ122" s="967"/>
      <c r="AR122" s="968"/>
      <c r="AS122" s="936"/>
    </row>
    <row r="123" ht="15.75" customHeight="1">
      <c r="A123" s="1099"/>
      <c r="B123" s="948" t="s">
        <v>1376</v>
      </c>
      <c r="C123" s="1197" t="s">
        <v>1377</v>
      </c>
      <c r="D123" s="1197" t="s">
        <v>1377</v>
      </c>
      <c r="E123" s="1147" t="s">
        <v>1377</v>
      </c>
      <c r="F123" s="940"/>
      <c r="G123" s="953"/>
      <c r="H123" s="969"/>
      <c r="I123" s="998" t="s">
        <v>511</v>
      </c>
      <c r="J123" s="1211" t="s">
        <v>81</v>
      </c>
      <c r="K123" s="1215" t="s">
        <v>344</v>
      </c>
      <c r="L123" s="1200">
        <v>95.0</v>
      </c>
      <c r="M123" s="1201">
        <v>75.0</v>
      </c>
      <c r="N123" s="1201">
        <v>110.0</v>
      </c>
      <c r="O123" s="1201">
        <v>100.0</v>
      </c>
      <c r="P123" s="1201">
        <v>80.0</v>
      </c>
      <c r="Q123" s="1201">
        <v>30.0</v>
      </c>
      <c r="R123" s="960">
        <v>96.0</v>
      </c>
      <c r="S123" s="960">
        <v>159.0</v>
      </c>
      <c r="T123" s="960">
        <v>174.0</v>
      </c>
      <c r="U123" s="960">
        <f t="array" ref="U123">HLOOKUP($J123,'Type Chart'!$C$2:$T$20,2,false)*HLOOKUP($K123,'Type Chart'!$C$2:$U$20,2,false)</f>
        <v>1</v>
      </c>
      <c r="V123" s="960">
        <f t="array" ref="V123">HLOOKUP($J123,'Type Chart'!$C$2:$T$20,3,false)*HLOOKUP($K123,'Type Chart'!$C$2:$U$20,3,false)</f>
        <v>0.5</v>
      </c>
      <c r="W123" s="960">
        <f t="array" ref="W123">HLOOKUP($J123,'Type Chart'!$C$2:$T$20,4,false)*HLOOKUP($K123,'Type Chart'!$C$2:$U$20,4,false)</f>
        <v>1</v>
      </c>
      <c r="X123" s="960">
        <f t="array" ref="X123">HLOOKUP($J123,'Type Chart'!$C$2:$T$20,5,false)*HLOOKUP($K123,'Type Chart'!$C$2:$U$20,5,false)</f>
        <v>1</v>
      </c>
      <c r="Y123" s="960">
        <f t="array" ref="Y123">HLOOKUP($J123,'Type Chart'!$C$2:$T$20,6,false)*HLOOKUP($K123,'Type Chart'!$C$2:$U$20,6,false)</f>
        <v>1</v>
      </c>
      <c r="Z123" s="960">
        <f t="array" ref="Z123">HLOOKUP($J123,'Type Chart'!$C$2:$T$20,7,false)*HLOOKUP($K123,'Type Chart'!$C$2:$U$20,7,false)</f>
        <v>1</v>
      </c>
      <c r="AA123" s="960">
        <f t="array" ref="AA123">HLOOKUP($J123,'Type Chart'!$C$2:$T$20,8,false)*HLOOKUP($K123,'Type Chart'!$C$2:$U$20,8,false)</f>
        <v>2</v>
      </c>
      <c r="AB123" s="960">
        <f t="array" ref="AB123">HLOOKUP($J123,'Type Chart'!$C$2:$T$20,9,false)*HLOOKUP($K123,'Type Chart'!$C$2:$U$20,9,false)</f>
        <v>2</v>
      </c>
      <c r="AC123" s="960">
        <f t="array" ref="AC123">HLOOKUP($J123,'Type Chart'!$C$2:$T$20,10,false)*HLOOKUP($K123,'Type Chart'!$C$2:$U$20,10,false)</f>
        <v>0.5</v>
      </c>
      <c r="AD123" s="960">
        <f t="array" ref="AD123">HLOOKUP($J123,'Type Chart'!$C$2:$T$20,11,false)*HLOOKUP($K123,'Type Chart'!$C$2:$U$20,11,false)</f>
        <v>0.5</v>
      </c>
      <c r="AE123" s="960">
        <f t="array" ref="AE123">HLOOKUP($J123,'Type Chart'!$C$2:$T$20,12,false)*HLOOKUP($K123,'Type Chart'!$C$2:$U$20,12,false)</f>
        <v>0.5</v>
      </c>
      <c r="AF123" s="960">
        <f t="array" ref="AF123">HLOOKUP($J123,'Type Chart'!$C$2:$T$20,13,false)*HLOOKUP($K123,'Type Chart'!$C$2:$U$20,13,false)</f>
        <v>2</v>
      </c>
      <c r="AG123" s="960">
        <f t="array" ref="AG123">HLOOKUP($J123,'Type Chart'!$C$2:$T$20,14,false)*HLOOKUP($K123,'Type Chart'!$C$2:$U$20,14,false)</f>
        <v>2</v>
      </c>
      <c r="AH123" s="960">
        <f t="array" ref="AH123">HLOOKUP($J123,'Type Chart'!$C$2:$T$20,15,false)*HLOOKUP($K123,'Type Chart'!$C$2:$U$20,15,false)</f>
        <v>0.5</v>
      </c>
      <c r="AI123" s="960">
        <f t="array" ref="AI123">HLOOKUP($J123,'Type Chart'!$C$2:$T$20,16,false)*HLOOKUP($K123,'Type Chart'!$C$2:$U$20,16,false)</f>
        <v>0.5</v>
      </c>
      <c r="AJ123" s="960">
        <f t="array" ref="AJ123">HLOOKUP($J123,'Type Chart'!$C$2:$T$20,17,false)*HLOOKUP($K123,'Type Chart'!$C$2:$U$20,17,false)</f>
        <v>1</v>
      </c>
      <c r="AK123" s="960">
        <f t="array" ref="AK123">HLOOKUP($J123,'Type Chart'!$C$2:$T$20,18,false)*HLOOKUP($K123,'Type Chart'!$C$2:$U$20,18,false)</f>
        <v>2</v>
      </c>
      <c r="AL123" s="960">
        <f t="array" ref="AL123">HLOOKUP($J123,'Type Chart'!$C$2:$T$20,19,false)*HLOOKUP($K123,'Type Chart'!$C$2:$U$20,19,false)</f>
        <v>1</v>
      </c>
      <c r="AM123" s="1145" t="s">
        <v>1369</v>
      </c>
      <c r="AN123" s="1202" t="s">
        <v>1370</v>
      </c>
      <c r="AO123" s="1146" t="s">
        <v>1371</v>
      </c>
      <c r="AP123" s="936"/>
      <c r="AQ123" s="967"/>
      <c r="AR123" s="968"/>
      <c r="AS123" s="936"/>
    </row>
    <row r="124" ht="15.75" customHeight="1">
      <c r="A124" s="1099"/>
      <c r="B124" s="948" t="s">
        <v>1378</v>
      </c>
      <c r="C124" s="1197" t="s">
        <v>1379</v>
      </c>
      <c r="D124" s="1197" t="s">
        <v>1379</v>
      </c>
      <c r="E124" s="1147" t="s">
        <v>1380</v>
      </c>
      <c r="F124" s="940"/>
      <c r="G124" s="953"/>
      <c r="H124" s="969"/>
      <c r="I124" s="998" t="s">
        <v>547</v>
      </c>
      <c r="J124" s="1209" t="s">
        <v>178</v>
      </c>
      <c r="K124" s="1215" t="s">
        <v>344</v>
      </c>
      <c r="L124" s="1200">
        <v>95.0</v>
      </c>
      <c r="M124" s="1201">
        <v>100.0</v>
      </c>
      <c r="N124" s="1201">
        <v>95.0</v>
      </c>
      <c r="O124" s="1201">
        <v>100.0</v>
      </c>
      <c r="P124" s="1201">
        <v>70.0</v>
      </c>
      <c r="Q124" s="1201">
        <v>30.0</v>
      </c>
      <c r="R124" s="960">
        <v>96.0</v>
      </c>
      <c r="S124" s="960">
        <v>159.0</v>
      </c>
      <c r="T124" s="960">
        <v>174.0</v>
      </c>
      <c r="U124" s="960">
        <f t="array" ref="U124">HLOOKUP($J124,'Type Chart'!$C$2:$T$20,2,false)*HLOOKUP($K124,'Type Chart'!$C$2:$U$20,2,false)</f>
        <v>1</v>
      </c>
      <c r="V124" s="960">
        <f t="array" ref="V124">HLOOKUP($J124,'Type Chart'!$C$2:$T$20,3,false)*HLOOKUP($K124,'Type Chart'!$C$2:$U$20,3,false)</f>
        <v>0.25</v>
      </c>
      <c r="W124" s="960">
        <f t="array" ref="W124">HLOOKUP($J124,'Type Chart'!$C$2:$T$20,4,false)*HLOOKUP($K124,'Type Chart'!$C$2:$U$20,4,false)</f>
        <v>1</v>
      </c>
      <c r="X124" s="960">
        <f t="array" ref="X124">HLOOKUP($J124,'Type Chart'!$C$2:$T$20,5,false)*HLOOKUP($K124,'Type Chart'!$C$2:$U$20,5,false)</f>
        <v>0.5</v>
      </c>
      <c r="Y124" s="960">
        <f t="array" ref="Y124">HLOOKUP($J124,'Type Chart'!$C$2:$T$20,6,false)*HLOOKUP($K124,'Type Chart'!$C$2:$U$20,6,false)</f>
        <v>2</v>
      </c>
      <c r="Z124" s="960">
        <f t="array" ref="Z124">HLOOKUP($J124,'Type Chart'!$C$2:$T$20,7,false)*HLOOKUP($K124,'Type Chart'!$C$2:$U$20,7,false)</f>
        <v>1</v>
      </c>
      <c r="AA124" s="960">
        <f t="array" ref="AA124">HLOOKUP($J124,'Type Chart'!$C$2:$T$20,8,false)*HLOOKUP($K124,'Type Chart'!$C$2:$U$20,8,false)</f>
        <v>1</v>
      </c>
      <c r="AB124" s="960">
        <f t="array" ref="AB124">HLOOKUP($J124,'Type Chart'!$C$2:$T$20,9,false)*HLOOKUP($K124,'Type Chart'!$C$2:$U$20,9,false)</f>
        <v>2</v>
      </c>
      <c r="AC124" s="960">
        <f t="array" ref="AC124">HLOOKUP($J124,'Type Chart'!$C$2:$T$20,10,false)*HLOOKUP($K124,'Type Chart'!$C$2:$U$20,10,false)</f>
        <v>1</v>
      </c>
      <c r="AD124" s="960">
        <f t="array" ref="AD124">HLOOKUP($J124,'Type Chart'!$C$2:$T$20,11,false)*HLOOKUP($K124,'Type Chart'!$C$2:$U$20,11,false)</f>
        <v>1</v>
      </c>
      <c r="AE124" s="960">
        <f t="array" ref="AE124">HLOOKUP($J124,'Type Chart'!$C$2:$T$20,12,false)*HLOOKUP($K124,'Type Chart'!$C$2:$U$20,12,false)</f>
        <v>1</v>
      </c>
      <c r="AF124" s="960">
        <f t="array" ref="AF124">HLOOKUP($J124,'Type Chart'!$C$2:$T$20,13,false)*HLOOKUP($K124,'Type Chart'!$C$2:$U$20,13,false)</f>
        <v>0.5</v>
      </c>
      <c r="AG124" s="960">
        <f t="array" ref="AG124">HLOOKUP($J124,'Type Chart'!$C$2:$T$20,14,false)*HLOOKUP($K124,'Type Chart'!$C$2:$U$20,14,false)</f>
        <v>1</v>
      </c>
      <c r="AH124" s="960">
        <f t="array" ref="AH124">HLOOKUP($J124,'Type Chart'!$C$2:$T$20,15,false)*HLOOKUP($K124,'Type Chart'!$C$2:$U$20,15,false)</f>
        <v>1</v>
      </c>
      <c r="AI124" s="960">
        <f t="array" ref="AI124">HLOOKUP($J124,'Type Chart'!$C$2:$T$20,16,false)*HLOOKUP($K124,'Type Chart'!$C$2:$U$20,16,false)</f>
        <v>1</v>
      </c>
      <c r="AJ124" s="960">
        <f t="array" ref="AJ124">HLOOKUP($J124,'Type Chart'!$C$2:$T$20,17,false)*HLOOKUP($K124,'Type Chart'!$C$2:$U$20,17,false)</f>
        <v>1</v>
      </c>
      <c r="AK124" s="960">
        <f t="array" ref="AK124">HLOOKUP($J124,'Type Chart'!$C$2:$T$20,18,false)*HLOOKUP($K124,'Type Chart'!$C$2:$U$20,18,false)</f>
        <v>2</v>
      </c>
      <c r="AL124" s="960">
        <f t="array" ref="AL124">HLOOKUP($J124,'Type Chart'!$C$2:$T$20,19,false)*HLOOKUP($K124,'Type Chart'!$C$2:$U$20,19,false)</f>
        <v>0.5</v>
      </c>
      <c r="AM124" s="1145" t="s">
        <v>1381</v>
      </c>
      <c r="AN124" s="1202" t="s">
        <v>1370</v>
      </c>
      <c r="AO124" s="1146" t="s">
        <v>1371</v>
      </c>
      <c r="AP124" s="936"/>
      <c r="AQ124" s="967"/>
      <c r="AR124" s="968"/>
      <c r="AS124" s="936"/>
    </row>
    <row r="125" ht="15.75" customHeight="1">
      <c r="A125" s="936"/>
      <c r="B125" s="948" t="s">
        <v>1382</v>
      </c>
      <c r="C125" s="950" t="s">
        <v>1383</v>
      </c>
      <c r="D125" s="950" t="s">
        <v>1383</v>
      </c>
      <c r="E125" s="952" t="s">
        <v>1383</v>
      </c>
      <c r="F125" s="940"/>
      <c r="G125" s="953"/>
      <c r="H125" s="969"/>
      <c r="I125" s="956" t="s">
        <v>1384</v>
      </c>
      <c r="J125" s="1056" t="s">
        <v>81</v>
      </c>
      <c r="K125" s="1203" t="s">
        <v>344</v>
      </c>
      <c r="L125" s="959">
        <v>95.0</v>
      </c>
      <c r="M125" s="960">
        <v>75.0</v>
      </c>
      <c r="N125" s="960">
        <v>180.0</v>
      </c>
      <c r="O125" s="960">
        <v>130.0</v>
      </c>
      <c r="P125" s="960">
        <v>80.0</v>
      </c>
      <c r="Q125" s="960">
        <v>30.0</v>
      </c>
      <c r="R125" s="960">
        <v>96.0</v>
      </c>
      <c r="S125" s="960">
        <v>159.0</v>
      </c>
      <c r="T125" s="960">
        <v>174.0</v>
      </c>
      <c r="U125" s="960">
        <f t="array" ref="U125">HLOOKUP($J125,'Type Chart'!$C$2:$T$20,2,false)*HLOOKUP($K125,'Type Chart'!$C$2:$U$20,2,false)</f>
        <v>1</v>
      </c>
      <c r="V125" s="960">
        <f t="array" ref="V125">HLOOKUP($J125,'Type Chart'!$C$2:$T$20,3,false)*HLOOKUP($K125,'Type Chart'!$C$2:$U$20,3,false)</f>
        <v>0.5</v>
      </c>
      <c r="W125" s="960">
        <f t="array" ref="W125">HLOOKUP($J125,'Type Chart'!$C$2:$T$20,4,false)*HLOOKUP($K125,'Type Chart'!$C$2:$U$20,4,false)</f>
        <v>1</v>
      </c>
      <c r="X125" s="960">
        <f t="array" ref="X125">HLOOKUP($J125,'Type Chart'!$C$2:$T$20,5,false)*HLOOKUP($K125,'Type Chart'!$C$2:$U$20,5,false)</f>
        <v>1</v>
      </c>
      <c r="Y125" s="960">
        <f t="array" ref="Y125">HLOOKUP($J125,'Type Chart'!$C$2:$T$20,6,false)*HLOOKUP($K125,'Type Chart'!$C$2:$U$20,6,false)</f>
        <v>1</v>
      </c>
      <c r="Z125" s="960">
        <f t="array" ref="Z125">HLOOKUP($J125,'Type Chart'!$C$2:$T$20,7,false)*HLOOKUP($K125,'Type Chart'!$C$2:$U$20,7,false)</f>
        <v>1</v>
      </c>
      <c r="AA125" s="960">
        <f t="array" ref="AA125">HLOOKUP($J125,'Type Chart'!$C$2:$T$20,8,false)*HLOOKUP($K125,'Type Chart'!$C$2:$U$20,8,false)</f>
        <v>2</v>
      </c>
      <c r="AB125" s="960">
        <f t="array" ref="AB125">HLOOKUP($J125,'Type Chart'!$C$2:$T$20,9,false)*HLOOKUP($K125,'Type Chart'!$C$2:$U$20,9,false)</f>
        <v>2</v>
      </c>
      <c r="AC125" s="960">
        <f t="array" ref="AC125">HLOOKUP($J125,'Type Chart'!$C$2:$T$20,10,false)*HLOOKUP($K125,'Type Chart'!$C$2:$U$20,10,false)</f>
        <v>0.5</v>
      </c>
      <c r="AD125" s="960">
        <f t="array" ref="AD125">HLOOKUP($J125,'Type Chart'!$C$2:$T$20,11,false)*HLOOKUP($K125,'Type Chart'!$C$2:$U$20,11,false)</f>
        <v>0.5</v>
      </c>
      <c r="AE125" s="960">
        <f t="array" ref="AE125">HLOOKUP($J125,'Type Chart'!$C$2:$T$20,12,false)*HLOOKUP($K125,'Type Chart'!$C$2:$U$20,12,false)</f>
        <v>0.5</v>
      </c>
      <c r="AF125" s="960">
        <f t="array" ref="AF125">HLOOKUP($J125,'Type Chart'!$C$2:$T$20,13,false)*HLOOKUP($K125,'Type Chart'!$C$2:$U$20,13,false)</f>
        <v>2</v>
      </c>
      <c r="AG125" s="960">
        <f t="array" ref="AG125">HLOOKUP($J125,'Type Chart'!$C$2:$T$20,14,false)*HLOOKUP($K125,'Type Chart'!$C$2:$U$20,14,false)</f>
        <v>2</v>
      </c>
      <c r="AH125" s="960">
        <f t="array" ref="AH125">HLOOKUP($J125,'Type Chart'!$C$2:$T$20,15,false)*HLOOKUP($K125,'Type Chart'!$C$2:$U$20,15,false)</f>
        <v>0.5</v>
      </c>
      <c r="AI125" s="960">
        <f t="array" ref="AI125">HLOOKUP($J125,'Type Chart'!$C$2:$T$20,16,false)*HLOOKUP($K125,'Type Chart'!$C$2:$U$20,16,false)</f>
        <v>0.5</v>
      </c>
      <c r="AJ125" s="960">
        <f t="array" ref="AJ125">HLOOKUP($J125,'Type Chart'!$C$2:$T$20,17,false)*HLOOKUP($K125,'Type Chart'!$C$2:$U$20,17,false)</f>
        <v>1</v>
      </c>
      <c r="AK125" s="960">
        <f t="array" ref="AK125">HLOOKUP($J125,'Type Chart'!$C$2:$T$20,18,false)*HLOOKUP($K125,'Type Chart'!$C$2:$U$20,18,false)</f>
        <v>2</v>
      </c>
      <c r="AL125" s="960">
        <f t="array" ref="AL125">HLOOKUP($J125,'Type Chart'!$C$2:$T$20,19,false)*HLOOKUP($K125,'Type Chart'!$C$2:$U$20,19,false)</f>
        <v>1</v>
      </c>
      <c r="AM125" s="964" t="s">
        <v>1385</v>
      </c>
      <c r="AN125" s="965"/>
      <c r="AO125" s="966"/>
      <c r="AP125" s="936"/>
      <c r="AQ125" s="967"/>
      <c r="AR125" s="968"/>
      <c r="AS125" s="936"/>
    </row>
    <row r="126" ht="15.75" customHeight="1">
      <c r="A126" s="936"/>
      <c r="B126" s="948" t="s">
        <v>1386</v>
      </c>
      <c r="C126" s="950" t="s">
        <v>1387</v>
      </c>
      <c r="D126" s="950" t="s">
        <v>1387</v>
      </c>
      <c r="E126" s="952" t="s">
        <v>1387</v>
      </c>
      <c r="F126" s="940"/>
      <c r="G126" s="953"/>
      <c r="H126" s="969"/>
      <c r="I126" s="956" t="s">
        <v>1388</v>
      </c>
      <c r="J126" s="1196" t="s">
        <v>203</v>
      </c>
      <c r="K126" s="1206" t="s">
        <v>82</v>
      </c>
      <c r="L126" s="959">
        <v>25.0</v>
      </c>
      <c r="M126" s="960">
        <v>35.0</v>
      </c>
      <c r="N126" s="960">
        <v>70.0</v>
      </c>
      <c r="O126" s="960">
        <v>95.0</v>
      </c>
      <c r="P126" s="960">
        <v>55.0</v>
      </c>
      <c r="Q126" s="960">
        <v>45.0</v>
      </c>
      <c r="R126" s="960">
        <v>126.0</v>
      </c>
      <c r="S126" s="960">
        <v>189.0</v>
      </c>
      <c r="T126" s="960">
        <v>207.0</v>
      </c>
      <c r="U126" s="960">
        <f t="array" ref="U126">HLOOKUP($J126,'Type Chart'!$C$2:$T$20,2,false)*HLOOKUP($K126,'Type Chart'!$C$2:$U$20,2,false)</f>
        <v>0.5</v>
      </c>
      <c r="V126" s="960">
        <f t="array" ref="V126">HLOOKUP($J126,'Type Chart'!$C$2:$T$20,3,false)*HLOOKUP($K126,'Type Chart'!$C$2:$U$20,3,false)</f>
        <v>2</v>
      </c>
      <c r="W126" s="960">
        <f t="array" ref="W126">HLOOKUP($J126,'Type Chart'!$C$2:$T$20,4,false)*HLOOKUP($K126,'Type Chart'!$C$2:$U$20,4,false)</f>
        <v>0.25</v>
      </c>
      <c r="X126" s="960">
        <f t="array" ref="X126">HLOOKUP($J126,'Type Chart'!$C$2:$T$20,5,false)*HLOOKUP($K126,'Type Chart'!$C$2:$U$20,5,false)</f>
        <v>0</v>
      </c>
      <c r="Y126" s="960">
        <f t="array" ref="Y126">HLOOKUP($J126,'Type Chart'!$C$2:$T$20,6,false)*HLOOKUP($K126,'Type Chart'!$C$2:$U$20,6,false)</f>
        <v>4</v>
      </c>
      <c r="Z126" s="960">
        <f t="array" ref="Z126">HLOOKUP($J126,'Type Chart'!$C$2:$T$20,7,false)*HLOOKUP($K126,'Type Chart'!$C$2:$U$20,7,false)</f>
        <v>0.5</v>
      </c>
      <c r="AA126" s="960">
        <f t="array" ref="AA126">HLOOKUP($J126,'Type Chart'!$C$2:$T$20,8,false)*HLOOKUP($K126,'Type Chart'!$C$2:$U$20,8,false)</f>
        <v>0.5</v>
      </c>
      <c r="AB126" s="960">
        <f t="array" ref="AB126">HLOOKUP($J126,'Type Chart'!$C$2:$T$20,9,false)*HLOOKUP($K126,'Type Chart'!$C$2:$U$20,9,false)</f>
        <v>1</v>
      </c>
      <c r="AC126" s="960">
        <f t="array" ref="AC126">HLOOKUP($J126,'Type Chart'!$C$2:$T$20,10,false)*HLOOKUP($K126,'Type Chart'!$C$2:$U$20,10,false)</f>
        <v>0.25</v>
      </c>
      <c r="AD126" s="960">
        <f t="array" ref="AD126">HLOOKUP($J126,'Type Chart'!$C$2:$T$20,11,false)*HLOOKUP($K126,'Type Chart'!$C$2:$U$20,11,false)</f>
        <v>2</v>
      </c>
      <c r="AE126" s="960">
        <f t="array" ref="AE126">HLOOKUP($J126,'Type Chart'!$C$2:$T$20,12,false)*HLOOKUP($K126,'Type Chart'!$C$2:$U$20,12,false)</f>
        <v>1</v>
      </c>
      <c r="AF126" s="960">
        <f t="array" ref="AF126">HLOOKUP($J126,'Type Chart'!$C$2:$T$20,13,false)*HLOOKUP($K126,'Type Chart'!$C$2:$U$20,13,false)</f>
        <v>0.5</v>
      </c>
      <c r="AG126" s="960">
        <f t="array" ref="AG126">HLOOKUP($J126,'Type Chart'!$C$2:$T$20,14,false)*HLOOKUP($K126,'Type Chart'!$C$2:$U$20,14,false)</f>
        <v>0.5</v>
      </c>
      <c r="AH126" s="960">
        <f t="array" ref="AH126">HLOOKUP($J126,'Type Chart'!$C$2:$T$20,15,false)*HLOOKUP($K126,'Type Chart'!$C$2:$U$20,15,false)</f>
        <v>0.5</v>
      </c>
      <c r="AI126" s="960">
        <f t="array" ref="AI126">HLOOKUP($J126,'Type Chart'!$C$2:$T$20,16,false)*HLOOKUP($K126,'Type Chart'!$C$2:$U$20,16,false)</f>
        <v>0.5</v>
      </c>
      <c r="AJ126" s="960">
        <f t="array" ref="AJ126">HLOOKUP($J126,'Type Chart'!$C$2:$T$20,17,false)*HLOOKUP($K126,'Type Chart'!$C$2:$U$20,17,false)</f>
        <v>0.5</v>
      </c>
      <c r="AK126" s="960">
        <f t="array" ref="AK126">HLOOKUP($J126,'Type Chart'!$C$2:$T$20,18,false)*HLOOKUP($K126,'Type Chart'!$C$2:$U$20,18,false)</f>
        <v>1</v>
      </c>
      <c r="AL126" s="960">
        <f t="array" ref="AL126">HLOOKUP($J126,'Type Chart'!$C$2:$T$20,19,false)*HLOOKUP($K126,'Type Chart'!$C$2:$U$20,19,false)</f>
        <v>0.5</v>
      </c>
      <c r="AM126" s="964" t="s">
        <v>1336</v>
      </c>
      <c r="AN126" s="965" t="s">
        <v>1331</v>
      </c>
      <c r="AO126" s="966" t="s">
        <v>1389</v>
      </c>
      <c r="AP126" s="936"/>
      <c r="AQ126" s="967"/>
      <c r="AR126" s="968"/>
      <c r="AS126" s="936"/>
    </row>
    <row r="127" ht="15.75" customHeight="1">
      <c r="A127" s="936"/>
      <c r="B127" s="948" t="s">
        <v>1390</v>
      </c>
      <c r="C127" s="950" t="s">
        <v>1391</v>
      </c>
      <c r="D127" s="950" t="s">
        <v>1391</v>
      </c>
      <c r="E127" s="952" t="s">
        <v>1391</v>
      </c>
      <c r="F127" s="940"/>
      <c r="G127" s="953"/>
      <c r="H127" s="969"/>
      <c r="I127" s="956" t="s">
        <v>655</v>
      </c>
      <c r="J127" s="1196" t="s">
        <v>203</v>
      </c>
      <c r="K127" s="1206" t="s">
        <v>82</v>
      </c>
      <c r="L127" s="959">
        <v>50.0</v>
      </c>
      <c r="M127" s="960">
        <v>60.0</v>
      </c>
      <c r="N127" s="960">
        <v>95.0</v>
      </c>
      <c r="O127" s="960">
        <v>120.0</v>
      </c>
      <c r="P127" s="960">
        <v>70.0</v>
      </c>
      <c r="Q127" s="960">
        <v>70.0</v>
      </c>
      <c r="R127" s="960">
        <v>176.0</v>
      </c>
      <c r="S127" s="960">
        <v>239.0</v>
      </c>
      <c r="T127" s="960">
        <v>262.0</v>
      </c>
      <c r="U127" s="960">
        <f t="array" ref="U127">HLOOKUP($J127,'Type Chart'!$C$2:$T$20,2,false)*HLOOKUP($K127,'Type Chart'!$C$2:$U$20,2,false)</f>
        <v>0.5</v>
      </c>
      <c r="V127" s="960">
        <f t="array" ref="V127">HLOOKUP($J127,'Type Chart'!$C$2:$T$20,3,false)*HLOOKUP($K127,'Type Chart'!$C$2:$U$20,3,false)</f>
        <v>2</v>
      </c>
      <c r="W127" s="960">
        <f t="array" ref="W127">HLOOKUP($J127,'Type Chart'!$C$2:$T$20,4,false)*HLOOKUP($K127,'Type Chart'!$C$2:$U$20,4,false)</f>
        <v>0.25</v>
      </c>
      <c r="X127" s="960">
        <f t="array" ref="X127">HLOOKUP($J127,'Type Chart'!$C$2:$T$20,5,false)*HLOOKUP($K127,'Type Chart'!$C$2:$U$20,5,false)</f>
        <v>0</v>
      </c>
      <c r="Y127" s="960">
        <f t="array" ref="Y127">HLOOKUP($J127,'Type Chart'!$C$2:$T$20,6,false)*HLOOKUP($K127,'Type Chart'!$C$2:$U$20,6,false)</f>
        <v>4</v>
      </c>
      <c r="Z127" s="960">
        <f t="array" ref="Z127">HLOOKUP($J127,'Type Chart'!$C$2:$T$20,7,false)*HLOOKUP($K127,'Type Chart'!$C$2:$U$20,7,false)</f>
        <v>0.5</v>
      </c>
      <c r="AA127" s="960">
        <f t="array" ref="AA127">HLOOKUP($J127,'Type Chart'!$C$2:$T$20,8,false)*HLOOKUP($K127,'Type Chart'!$C$2:$U$20,8,false)</f>
        <v>0.5</v>
      </c>
      <c r="AB127" s="960">
        <f t="array" ref="AB127">HLOOKUP($J127,'Type Chart'!$C$2:$T$20,9,false)*HLOOKUP($K127,'Type Chart'!$C$2:$U$20,9,false)</f>
        <v>1</v>
      </c>
      <c r="AC127" s="960">
        <f t="array" ref="AC127">HLOOKUP($J127,'Type Chart'!$C$2:$T$20,10,false)*HLOOKUP($K127,'Type Chart'!$C$2:$U$20,10,false)</f>
        <v>0.25</v>
      </c>
      <c r="AD127" s="960">
        <f t="array" ref="AD127">HLOOKUP($J127,'Type Chart'!$C$2:$T$20,11,false)*HLOOKUP($K127,'Type Chart'!$C$2:$U$20,11,false)</f>
        <v>2</v>
      </c>
      <c r="AE127" s="960">
        <f t="array" ref="AE127">HLOOKUP($J127,'Type Chart'!$C$2:$T$20,12,false)*HLOOKUP($K127,'Type Chart'!$C$2:$U$20,12,false)</f>
        <v>1</v>
      </c>
      <c r="AF127" s="960">
        <f t="array" ref="AF127">HLOOKUP($J127,'Type Chart'!$C$2:$T$20,13,false)*HLOOKUP($K127,'Type Chart'!$C$2:$U$20,13,false)</f>
        <v>0.5</v>
      </c>
      <c r="AG127" s="960">
        <f t="array" ref="AG127">HLOOKUP($J127,'Type Chart'!$C$2:$T$20,14,false)*HLOOKUP($K127,'Type Chart'!$C$2:$U$20,14,false)</f>
        <v>0.5</v>
      </c>
      <c r="AH127" s="960">
        <f t="array" ref="AH127">HLOOKUP($J127,'Type Chart'!$C$2:$T$20,15,false)*HLOOKUP($K127,'Type Chart'!$C$2:$U$20,15,false)</f>
        <v>0.5</v>
      </c>
      <c r="AI127" s="960">
        <f t="array" ref="AI127">HLOOKUP($J127,'Type Chart'!$C$2:$T$20,16,false)*HLOOKUP($K127,'Type Chart'!$C$2:$U$20,16,false)</f>
        <v>0.5</v>
      </c>
      <c r="AJ127" s="960">
        <f t="array" ref="AJ127">HLOOKUP($J127,'Type Chart'!$C$2:$T$20,17,false)*HLOOKUP($K127,'Type Chart'!$C$2:$U$20,17,false)</f>
        <v>0.5</v>
      </c>
      <c r="AK127" s="960">
        <f t="array" ref="AK127">HLOOKUP($J127,'Type Chart'!$C$2:$T$20,18,false)*HLOOKUP($K127,'Type Chart'!$C$2:$U$20,18,false)</f>
        <v>1</v>
      </c>
      <c r="AL127" s="960">
        <f t="array" ref="AL127">HLOOKUP($J127,'Type Chart'!$C$2:$T$20,19,false)*HLOOKUP($K127,'Type Chart'!$C$2:$U$20,19,false)</f>
        <v>0.5</v>
      </c>
      <c r="AM127" s="964" t="s">
        <v>1336</v>
      </c>
      <c r="AN127" s="965" t="s">
        <v>1331</v>
      </c>
      <c r="AO127" s="966" t="s">
        <v>1389</v>
      </c>
      <c r="AP127" s="936"/>
      <c r="AQ127" s="967"/>
      <c r="AR127" s="968"/>
      <c r="AS127" s="936"/>
    </row>
    <row r="128" ht="15.75" customHeight="1">
      <c r="A128" s="936"/>
      <c r="B128" s="948" t="s">
        <v>1392</v>
      </c>
      <c r="C128" s="950" t="s">
        <v>1393</v>
      </c>
      <c r="D128" s="950" t="s">
        <v>1393</v>
      </c>
      <c r="E128" s="952" t="s">
        <v>1393</v>
      </c>
      <c r="F128" s="940"/>
      <c r="G128" s="953"/>
      <c r="H128" s="969"/>
      <c r="I128" s="956" t="s">
        <v>1394</v>
      </c>
      <c r="J128" s="1194" t="s">
        <v>136</v>
      </c>
      <c r="K128" s="1001" t="s">
        <v>128</v>
      </c>
      <c r="L128" s="959">
        <v>52.0</v>
      </c>
      <c r="M128" s="960">
        <v>90.0</v>
      </c>
      <c r="N128" s="960">
        <v>55.0</v>
      </c>
      <c r="O128" s="960">
        <v>58.0</v>
      </c>
      <c r="P128" s="960">
        <v>62.0</v>
      </c>
      <c r="Q128" s="960">
        <v>60.0</v>
      </c>
      <c r="R128" s="960">
        <v>156.0</v>
      </c>
      <c r="S128" s="960">
        <v>219.0</v>
      </c>
      <c r="T128" s="960">
        <v>240.0</v>
      </c>
      <c r="U128" s="960">
        <f t="array" ref="U128">HLOOKUP($J128,'Type Chart'!$C$2:$T$20,2,false)*HLOOKUP($K128,'Type Chart'!$C$2:$U$20,2,false)</f>
        <v>1</v>
      </c>
      <c r="V128" s="960">
        <f t="array" ref="V128">HLOOKUP($J128,'Type Chart'!$C$2:$T$20,3,false)*HLOOKUP($K128,'Type Chart'!$C$2:$U$20,3,false)</f>
        <v>1</v>
      </c>
      <c r="W128" s="960">
        <f t="array" ref="W128">HLOOKUP($J128,'Type Chart'!$C$2:$T$20,4,false)*HLOOKUP($K128,'Type Chart'!$C$2:$U$20,4,false)</f>
        <v>1</v>
      </c>
      <c r="X128" s="960">
        <f t="array" ref="X128">HLOOKUP($J128,'Type Chart'!$C$2:$T$20,5,false)*HLOOKUP($K128,'Type Chart'!$C$2:$U$20,5,false)</f>
        <v>1</v>
      </c>
      <c r="Y128" s="960">
        <f t="array" ref="Y128">HLOOKUP($J128,'Type Chart'!$C$2:$T$20,6,false)*HLOOKUP($K128,'Type Chart'!$C$2:$U$20,6,false)</f>
        <v>0</v>
      </c>
      <c r="Z128" s="960">
        <f t="array" ref="Z128">HLOOKUP($J128,'Type Chart'!$C$2:$T$20,7,false)*HLOOKUP($K128,'Type Chart'!$C$2:$U$20,7,false)</f>
        <v>2</v>
      </c>
      <c r="AA128" s="960">
        <f t="array" ref="AA128">HLOOKUP($J128,'Type Chart'!$C$2:$T$20,8,false)*HLOOKUP($K128,'Type Chart'!$C$2:$U$20,8,false)</f>
        <v>0.5</v>
      </c>
      <c r="AB128" s="960">
        <f t="array" ref="AB128">HLOOKUP($J128,'Type Chart'!$C$2:$T$20,9,false)*HLOOKUP($K128,'Type Chart'!$C$2:$U$20,9,false)</f>
        <v>0</v>
      </c>
      <c r="AC128" s="960">
        <f t="array" ref="AC128">HLOOKUP($J128,'Type Chart'!$C$2:$T$20,10,false)*HLOOKUP($K128,'Type Chart'!$C$2:$U$20,10,false)</f>
        <v>1</v>
      </c>
      <c r="AD128" s="960">
        <f t="array" ref="AD128">HLOOKUP($J128,'Type Chart'!$C$2:$T$20,11,false)*HLOOKUP($K128,'Type Chart'!$C$2:$U$20,11,false)</f>
        <v>1</v>
      </c>
      <c r="AE128" s="960">
        <f t="array" ref="AE128">HLOOKUP($J128,'Type Chart'!$C$2:$T$20,12,false)*HLOOKUP($K128,'Type Chart'!$C$2:$U$20,12,false)</f>
        <v>1</v>
      </c>
      <c r="AF128" s="960">
        <f t="array" ref="AF128">HLOOKUP($J128,'Type Chart'!$C$2:$T$20,13,false)*HLOOKUP($K128,'Type Chart'!$C$2:$U$20,13,false)</f>
        <v>0.5</v>
      </c>
      <c r="AG128" s="960">
        <f t="array" ref="AG128">HLOOKUP($J128,'Type Chart'!$C$2:$T$20,14,false)*HLOOKUP($K128,'Type Chart'!$C$2:$U$20,14,false)</f>
        <v>2</v>
      </c>
      <c r="AH128" s="960">
        <f t="array" ref="AH128">HLOOKUP($J128,'Type Chart'!$C$2:$T$20,15,false)*HLOOKUP($K128,'Type Chart'!$C$2:$U$20,15,false)</f>
        <v>1</v>
      </c>
      <c r="AI128" s="960">
        <f t="array" ref="AI128">HLOOKUP($J128,'Type Chart'!$C$2:$T$20,16,false)*HLOOKUP($K128,'Type Chart'!$C$2:$U$20,16,false)</f>
        <v>2</v>
      </c>
      <c r="AJ128" s="960">
        <f t="array" ref="AJ128">HLOOKUP($J128,'Type Chart'!$C$2:$T$20,17,false)*HLOOKUP($K128,'Type Chart'!$C$2:$U$20,17,false)</f>
        <v>1</v>
      </c>
      <c r="AK128" s="960">
        <f t="array" ref="AK128">HLOOKUP($J128,'Type Chart'!$C$2:$T$20,18,false)*HLOOKUP($K128,'Type Chart'!$C$2:$U$20,18,false)</f>
        <v>1</v>
      </c>
      <c r="AL128" s="960">
        <f t="array" ref="AL128">HLOOKUP($J128,'Type Chart'!$C$2:$T$20,19,false)*HLOOKUP($K128,'Type Chart'!$C$2:$U$20,19,false)</f>
        <v>1</v>
      </c>
      <c r="AM128" s="964" t="s">
        <v>1022</v>
      </c>
      <c r="AN128" s="965" t="s">
        <v>1192</v>
      </c>
      <c r="AO128" s="966" t="s">
        <v>1267</v>
      </c>
      <c r="AP128" s="936"/>
      <c r="AQ128" s="967"/>
      <c r="AR128" s="968"/>
      <c r="AS128" s="936"/>
    </row>
    <row r="129" ht="15.75" customHeight="1">
      <c r="A129" s="936"/>
      <c r="B129" s="948" t="s">
        <v>1395</v>
      </c>
      <c r="C129" s="950" t="s">
        <v>1396</v>
      </c>
      <c r="D129" s="950" t="s">
        <v>1396</v>
      </c>
      <c r="E129" s="952" t="s">
        <v>1397</v>
      </c>
      <c r="F129" s="940"/>
      <c r="G129" s="953"/>
      <c r="H129" s="969"/>
      <c r="I129" s="956" t="s">
        <v>1398</v>
      </c>
      <c r="J129" s="1213" t="s">
        <v>341</v>
      </c>
      <c r="K129" s="984" t="s">
        <v>216</v>
      </c>
      <c r="L129" s="959">
        <v>52.0</v>
      </c>
      <c r="M129" s="960">
        <v>95.0</v>
      </c>
      <c r="N129" s="960">
        <v>55.0</v>
      </c>
      <c r="O129" s="960">
        <v>58.0</v>
      </c>
      <c r="P129" s="960">
        <v>62.0</v>
      </c>
      <c r="Q129" s="960">
        <v>55.0</v>
      </c>
      <c r="R129" s="960">
        <v>146.0</v>
      </c>
      <c r="S129" s="960">
        <v>209.0</v>
      </c>
      <c r="T129" s="960">
        <v>229.0</v>
      </c>
      <c r="U129" s="960">
        <f t="array" ref="U129">HLOOKUP($J129,'Type Chart'!$C$2:$T$20,2,false)*HLOOKUP($K129,'Type Chart'!$C$2:$U$20,2,false)</f>
        <v>1</v>
      </c>
      <c r="V129" s="960">
        <f t="array" ref="V129">HLOOKUP($J129,'Type Chart'!$C$2:$T$20,3,false)*HLOOKUP($K129,'Type Chart'!$C$2:$U$20,3,false)</f>
        <v>1</v>
      </c>
      <c r="W129" s="960">
        <f t="array" ref="W129">HLOOKUP($J129,'Type Chart'!$C$2:$T$20,4,false)*HLOOKUP($K129,'Type Chart'!$C$2:$U$20,4,false)</f>
        <v>2</v>
      </c>
      <c r="X129" s="960">
        <f t="array" ref="X129">HLOOKUP($J129,'Type Chart'!$C$2:$T$20,5,false)*HLOOKUP($K129,'Type Chart'!$C$2:$U$20,5,false)</f>
        <v>1</v>
      </c>
      <c r="Y129" s="960">
        <f t="array" ref="Y129">HLOOKUP($J129,'Type Chart'!$C$2:$T$20,6,false)*HLOOKUP($K129,'Type Chart'!$C$2:$U$20,6,false)</f>
        <v>1</v>
      </c>
      <c r="Z129" s="960">
        <f t="array" ref="Z129">HLOOKUP($J129,'Type Chart'!$C$2:$T$20,7,false)*HLOOKUP($K129,'Type Chart'!$C$2:$U$20,7,false)</f>
        <v>0.5</v>
      </c>
      <c r="AA129" s="960">
        <f t="array" ref="AA129">HLOOKUP($J129,'Type Chart'!$C$2:$T$20,8,false)*HLOOKUP($K129,'Type Chart'!$C$2:$U$20,8,false)</f>
        <v>0.5</v>
      </c>
      <c r="AB129" s="960">
        <f t="array" ref="AB129">HLOOKUP($J129,'Type Chart'!$C$2:$T$20,9,false)*HLOOKUP($K129,'Type Chart'!$C$2:$U$20,9,false)</f>
        <v>1</v>
      </c>
      <c r="AC129" s="960">
        <f t="array" ref="AC129">HLOOKUP($J129,'Type Chart'!$C$2:$T$20,10,false)*HLOOKUP($K129,'Type Chart'!$C$2:$U$20,10,false)</f>
        <v>1</v>
      </c>
      <c r="AD129" s="960">
        <f t="array" ref="AD129">HLOOKUP($J129,'Type Chart'!$C$2:$T$20,11,false)*HLOOKUP($K129,'Type Chart'!$C$2:$U$20,11,false)</f>
        <v>1</v>
      </c>
      <c r="AE129" s="960">
        <f t="array" ref="AE129">HLOOKUP($J129,'Type Chart'!$C$2:$T$20,12,false)*HLOOKUP($K129,'Type Chart'!$C$2:$U$20,12,false)</f>
        <v>1</v>
      </c>
      <c r="AF129" s="960">
        <f t="array" ref="AF129">HLOOKUP($J129,'Type Chart'!$C$2:$T$20,13,false)*HLOOKUP($K129,'Type Chart'!$C$2:$U$20,13,false)</f>
        <v>1</v>
      </c>
      <c r="AG129" s="960">
        <f t="array" ref="AG129">HLOOKUP($J129,'Type Chart'!$C$2:$T$20,14,false)*HLOOKUP($K129,'Type Chart'!$C$2:$U$20,14,false)</f>
        <v>1</v>
      </c>
      <c r="AH129" s="960">
        <f t="array" ref="AH129">HLOOKUP($J129,'Type Chart'!$C$2:$T$20,15,false)*HLOOKUP($K129,'Type Chart'!$C$2:$U$20,15,false)</f>
        <v>2</v>
      </c>
      <c r="AI129" s="960">
        <f t="array" ref="AI129">HLOOKUP($J129,'Type Chart'!$C$2:$T$20,16,false)*HLOOKUP($K129,'Type Chart'!$C$2:$U$20,16,false)</f>
        <v>1</v>
      </c>
      <c r="AJ129" s="960">
        <f t="array" ref="AJ129">HLOOKUP($J129,'Type Chart'!$C$2:$T$20,17,false)*HLOOKUP($K129,'Type Chart'!$C$2:$U$20,17,false)</f>
        <v>1</v>
      </c>
      <c r="AK129" s="960">
        <f t="array" ref="AK129">HLOOKUP($J129,'Type Chart'!$C$2:$T$20,18,false)*HLOOKUP($K129,'Type Chart'!$C$2:$U$20,18,false)</f>
        <v>0.5</v>
      </c>
      <c r="AL129" s="960">
        <f t="array" ref="AL129">HLOOKUP($J129,'Type Chart'!$C$2:$T$20,19,false)*HLOOKUP($K129,'Type Chart'!$C$2:$U$20,19,false)</f>
        <v>2</v>
      </c>
      <c r="AM129" s="964" t="s">
        <v>1306</v>
      </c>
      <c r="AN129" s="965"/>
      <c r="AO129" s="966" t="s">
        <v>1399</v>
      </c>
      <c r="AP129" s="936"/>
      <c r="AQ129" s="967"/>
      <c r="AR129" s="968"/>
      <c r="AS129" s="936"/>
    </row>
    <row r="130" ht="15.75" customHeight="1">
      <c r="A130" s="1099"/>
      <c r="B130" s="948" t="s">
        <v>1400</v>
      </c>
      <c r="C130" s="1197" t="s">
        <v>1401</v>
      </c>
      <c r="D130" s="1197" t="s">
        <v>1401</v>
      </c>
      <c r="E130" s="1147" t="s">
        <v>1401</v>
      </c>
      <c r="F130" s="940"/>
      <c r="G130" s="953"/>
      <c r="H130" s="969"/>
      <c r="I130" s="998" t="s">
        <v>1402</v>
      </c>
      <c r="J130" s="1216" t="s">
        <v>136</v>
      </c>
      <c r="K130" s="1210" t="s">
        <v>128</v>
      </c>
      <c r="L130" s="1200">
        <v>35.0</v>
      </c>
      <c r="M130" s="1201">
        <v>85.0</v>
      </c>
      <c r="N130" s="1201">
        <v>45.0</v>
      </c>
      <c r="O130" s="1201">
        <v>35.0</v>
      </c>
      <c r="P130" s="1201">
        <v>35.0</v>
      </c>
      <c r="Q130" s="1201">
        <v>75.0</v>
      </c>
      <c r="R130" s="960">
        <v>186.0</v>
      </c>
      <c r="S130" s="960">
        <v>249.0</v>
      </c>
      <c r="T130" s="960">
        <v>273.0</v>
      </c>
      <c r="U130" s="960">
        <f t="array" ref="U130">HLOOKUP($J130,'Type Chart'!$C$2:$T$20,2,false)*HLOOKUP($K130,'Type Chart'!$C$2:$U$20,2,false)</f>
        <v>1</v>
      </c>
      <c r="V130" s="960">
        <f t="array" ref="V130">HLOOKUP($J130,'Type Chart'!$C$2:$T$20,3,false)*HLOOKUP($K130,'Type Chart'!$C$2:$U$20,3,false)</f>
        <v>1</v>
      </c>
      <c r="W130" s="960">
        <f t="array" ref="W130">HLOOKUP($J130,'Type Chart'!$C$2:$T$20,4,false)*HLOOKUP($K130,'Type Chart'!$C$2:$U$20,4,false)</f>
        <v>1</v>
      </c>
      <c r="X130" s="960">
        <f t="array" ref="X130">HLOOKUP($J130,'Type Chart'!$C$2:$T$20,5,false)*HLOOKUP($K130,'Type Chart'!$C$2:$U$20,5,false)</f>
        <v>1</v>
      </c>
      <c r="Y130" s="960">
        <f t="array" ref="Y130">HLOOKUP($J130,'Type Chart'!$C$2:$T$20,6,false)*HLOOKUP($K130,'Type Chart'!$C$2:$U$20,6,false)</f>
        <v>0</v>
      </c>
      <c r="Z130" s="960">
        <f t="array" ref="Z130">HLOOKUP($J130,'Type Chart'!$C$2:$T$20,7,false)*HLOOKUP($K130,'Type Chart'!$C$2:$U$20,7,false)</f>
        <v>2</v>
      </c>
      <c r="AA130" s="960">
        <f t="array" ref="AA130">HLOOKUP($J130,'Type Chart'!$C$2:$T$20,8,false)*HLOOKUP($K130,'Type Chart'!$C$2:$U$20,8,false)</f>
        <v>0.5</v>
      </c>
      <c r="AB130" s="960">
        <f t="array" ref="AB130">HLOOKUP($J130,'Type Chart'!$C$2:$T$20,9,false)*HLOOKUP($K130,'Type Chart'!$C$2:$U$20,9,false)</f>
        <v>0</v>
      </c>
      <c r="AC130" s="960">
        <f t="array" ref="AC130">HLOOKUP($J130,'Type Chart'!$C$2:$T$20,10,false)*HLOOKUP($K130,'Type Chart'!$C$2:$U$20,10,false)</f>
        <v>1</v>
      </c>
      <c r="AD130" s="960">
        <f t="array" ref="AD130">HLOOKUP($J130,'Type Chart'!$C$2:$T$20,11,false)*HLOOKUP($K130,'Type Chart'!$C$2:$U$20,11,false)</f>
        <v>1</v>
      </c>
      <c r="AE130" s="960">
        <f t="array" ref="AE130">HLOOKUP($J130,'Type Chart'!$C$2:$T$20,12,false)*HLOOKUP($K130,'Type Chart'!$C$2:$U$20,12,false)</f>
        <v>1</v>
      </c>
      <c r="AF130" s="960">
        <f t="array" ref="AF130">HLOOKUP($J130,'Type Chart'!$C$2:$T$20,13,false)*HLOOKUP($K130,'Type Chart'!$C$2:$U$20,13,false)</f>
        <v>0.5</v>
      </c>
      <c r="AG130" s="960">
        <f t="array" ref="AG130">HLOOKUP($J130,'Type Chart'!$C$2:$T$20,14,false)*HLOOKUP($K130,'Type Chart'!$C$2:$U$20,14,false)</f>
        <v>2</v>
      </c>
      <c r="AH130" s="960">
        <f t="array" ref="AH130">HLOOKUP($J130,'Type Chart'!$C$2:$T$20,15,false)*HLOOKUP($K130,'Type Chart'!$C$2:$U$20,15,false)</f>
        <v>1</v>
      </c>
      <c r="AI130" s="960">
        <f t="array" ref="AI130">HLOOKUP($J130,'Type Chart'!$C$2:$T$20,16,false)*HLOOKUP($K130,'Type Chart'!$C$2:$U$20,16,false)</f>
        <v>2</v>
      </c>
      <c r="AJ130" s="960">
        <f t="array" ref="AJ130">HLOOKUP($J130,'Type Chart'!$C$2:$T$20,17,false)*HLOOKUP($K130,'Type Chart'!$C$2:$U$20,17,false)</f>
        <v>1</v>
      </c>
      <c r="AK130" s="960">
        <f t="array" ref="AK130">HLOOKUP($J130,'Type Chart'!$C$2:$T$20,18,false)*HLOOKUP($K130,'Type Chart'!$C$2:$U$20,18,false)</f>
        <v>1</v>
      </c>
      <c r="AL130" s="960">
        <f t="array" ref="AL130">HLOOKUP($J130,'Type Chart'!$C$2:$T$20,19,false)*HLOOKUP($K130,'Type Chart'!$C$2:$U$20,19,false)</f>
        <v>1</v>
      </c>
      <c r="AM130" s="1145" t="s">
        <v>988</v>
      </c>
      <c r="AN130" s="965" t="s">
        <v>1403</v>
      </c>
      <c r="AO130" s="966" t="s">
        <v>1023</v>
      </c>
      <c r="AP130" s="936"/>
      <c r="AQ130" s="967"/>
      <c r="AR130" s="968"/>
      <c r="AS130" s="936"/>
    </row>
    <row r="131" ht="15.75" customHeight="1">
      <c r="A131" s="936"/>
      <c r="B131" s="948" t="s">
        <v>1404</v>
      </c>
      <c r="C131" s="950" t="s">
        <v>1405</v>
      </c>
      <c r="D131" s="950" t="s">
        <v>1405</v>
      </c>
      <c r="E131" s="952" t="s">
        <v>1405</v>
      </c>
      <c r="F131" s="940"/>
      <c r="G131" s="953"/>
      <c r="H131" s="969"/>
      <c r="I131" s="998" t="s">
        <v>795</v>
      </c>
      <c r="J131" s="1194" t="s">
        <v>136</v>
      </c>
      <c r="K131" s="1001" t="s">
        <v>128</v>
      </c>
      <c r="L131" s="959">
        <v>60.0</v>
      </c>
      <c r="M131" s="960">
        <v>110.0</v>
      </c>
      <c r="N131" s="960">
        <v>70.0</v>
      </c>
      <c r="O131" s="960">
        <v>60.0</v>
      </c>
      <c r="P131" s="960">
        <v>60.0</v>
      </c>
      <c r="Q131" s="960">
        <v>110.0</v>
      </c>
      <c r="R131" s="960">
        <v>256.0</v>
      </c>
      <c r="S131" s="960">
        <v>319.0</v>
      </c>
      <c r="T131" s="960">
        <v>350.0</v>
      </c>
      <c r="U131" s="960">
        <f t="array" ref="U131">HLOOKUP($J131,'Type Chart'!$C$2:$T$20,2,false)*HLOOKUP($K131,'Type Chart'!$C$2:$U$20,2,false)</f>
        <v>1</v>
      </c>
      <c r="V131" s="960">
        <f t="array" ref="V131">HLOOKUP($J131,'Type Chart'!$C$2:$T$20,3,false)*HLOOKUP($K131,'Type Chart'!$C$2:$U$20,3,false)</f>
        <v>1</v>
      </c>
      <c r="W131" s="960">
        <f t="array" ref="W131">HLOOKUP($J131,'Type Chart'!$C$2:$T$20,4,false)*HLOOKUP($K131,'Type Chart'!$C$2:$U$20,4,false)</f>
        <v>1</v>
      </c>
      <c r="X131" s="960">
        <f t="array" ref="X131">HLOOKUP($J131,'Type Chart'!$C$2:$T$20,5,false)*HLOOKUP($K131,'Type Chart'!$C$2:$U$20,5,false)</f>
        <v>1</v>
      </c>
      <c r="Y131" s="960">
        <f t="array" ref="Y131">HLOOKUP($J131,'Type Chart'!$C$2:$T$20,6,false)*HLOOKUP($K131,'Type Chart'!$C$2:$U$20,6,false)</f>
        <v>0</v>
      </c>
      <c r="Z131" s="960">
        <f t="array" ref="Z131">HLOOKUP($J131,'Type Chart'!$C$2:$T$20,7,false)*HLOOKUP($K131,'Type Chart'!$C$2:$U$20,7,false)</f>
        <v>2</v>
      </c>
      <c r="AA131" s="960">
        <f t="array" ref="AA131">HLOOKUP($J131,'Type Chart'!$C$2:$T$20,8,false)*HLOOKUP($K131,'Type Chart'!$C$2:$U$20,8,false)</f>
        <v>0.5</v>
      </c>
      <c r="AB131" s="960">
        <f t="array" ref="AB131">HLOOKUP($J131,'Type Chart'!$C$2:$T$20,9,false)*HLOOKUP($K131,'Type Chart'!$C$2:$U$20,9,false)</f>
        <v>0</v>
      </c>
      <c r="AC131" s="960">
        <f t="array" ref="AC131">HLOOKUP($J131,'Type Chart'!$C$2:$T$20,10,false)*HLOOKUP($K131,'Type Chart'!$C$2:$U$20,10,false)</f>
        <v>1</v>
      </c>
      <c r="AD131" s="960">
        <f t="array" ref="AD131">HLOOKUP($J131,'Type Chart'!$C$2:$T$20,11,false)*HLOOKUP($K131,'Type Chart'!$C$2:$U$20,11,false)</f>
        <v>1</v>
      </c>
      <c r="AE131" s="960">
        <f t="array" ref="AE131">HLOOKUP($J131,'Type Chart'!$C$2:$T$20,12,false)*HLOOKUP($K131,'Type Chart'!$C$2:$U$20,12,false)</f>
        <v>1</v>
      </c>
      <c r="AF131" s="960">
        <f t="array" ref="AF131">HLOOKUP($J131,'Type Chart'!$C$2:$T$20,13,false)*HLOOKUP($K131,'Type Chart'!$C$2:$U$20,13,false)</f>
        <v>0.5</v>
      </c>
      <c r="AG131" s="960">
        <f t="array" ref="AG131">HLOOKUP($J131,'Type Chart'!$C$2:$T$20,14,false)*HLOOKUP($K131,'Type Chart'!$C$2:$U$20,14,false)</f>
        <v>2</v>
      </c>
      <c r="AH131" s="960">
        <f t="array" ref="AH131">HLOOKUP($J131,'Type Chart'!$C$2:$T$20,15,false)*HLOOKUP($K131,'Type Chart'!$C$2:$U$20,15,false)</f>
        <v>1</v>
      </c>
      <c r="AI131" s="960">
        <f t="array" ref="AI131">HLOOKUP($J131,'Type Chart'!$C$2:$T$20,16,false)*HLOOKUP($K131,'Type Chart'!$C$2:$U$20,16,false)</f>
        <v>2</v>
      </c>
      <c r="AJ131" s="960">
        <f t="array" ref="AJ131">HLOOKUP($J131,'Type Chart'!$C$2:$T$20,17,false)*HLOOKUP($K131,'Type Chart'!$C$2:$U$20,17,false)</f>
        <v>1</v>
      </c>
      <c r="AK131" s="960">
        <f t="array" ref="AK131">HLOOKUP($J131,'Type Chart'!$C$2:$T$20,18,false)*HLOOKUP($K131,'Type Chart'!$C$2:$U$20,18,false)</f>
        <v>1</v>
      </c>
      <c r="AL131" s="960">
        <f t="array" ref="AL131">HLOOKUP($J131,'Type Chart'!$C$2:$T$20,19,false)*HLOOKUP($K131,'Type Chart'!$C$2:$U$20,19,false)</f>
        <v>1</v>
      </c>
      <c r="AM131" s="964" t="s">
        <v>988</v>
      </c>
      <c r="AN131" s="965" t="s">
        <v>1403</v>
      </c>
      <c r="AO131" s="966" t="s">
        <v>1023</v>
      </c>
      <c r="AP131" s="936"/>
      <c r="AQ131" s="967"/>
      <c r="AR131" s="968"/>
      <c r="AS131" s="936"/>
    </row>
    <row r="132" ht="15.75" customHeight="1">
      <c r="A132" s="936"/>
      <c r="B132" s="948" t="s">
        <v>1406</v>
      </c>
      <c r="C132" s="950" t="s">
        <v>1407</v>
      </c>
      <c r="D132" s="950" t="s">
        <v>1407</v>
      </c>
      <c r="E132" s="952" t="s">
        <v>1407</v>
      </c>
      <c r="F132" s="940"/>
      <c r="G132" s="953"/>
      <c r="H132" s="969"/>
      <c r="I132" s="956" t="s">
        <v>1408</v>
      </c>
      <c r="J132" s="1056" t="s">
        <v>81</v>
      </c>
      <c r="K132" s="984" t="s">
        <v>216</v>
      </c>
      <c r="L132" s="959">
        <v>65.0</v>
      </c>
      <c r="M132" s="960">
        <v>45.0</v>
      </c>
      <c r="N132" s="960">
        <v>55.0</v>
      </c>
      <c r="O132" s="960">
        <v>45.0</v>
      </c>
      <c r="P132" s="960">
        <v>70.0</v>
      </c>
      <c r="Q132" s="960">
        <v>45.0</v>
      </c>
      <c r="R132" s="960">
        <v>126.0</v>
      </c>
      <c r="S132" s="960">
        <v>189.0</v>
      </c>
      <c r="T132" s="960">
        <v>207.0</v>
      </c>
      <c r="U132" s="960">
        <f t="array" ref="U132">HLOOKUP($J132,'Type Chart'!$C$2:$T$20,2,false)*HLOOKUP($K132,'Type Chart'!$C$2:$U$20,2,false)</f>
        <v>1</v>
      </c>
      <c r="V132" s="960">
        <f t="array" ref="V132">HLOOKUP($J132,'Type Chart'!$C$2:$T$20,3,false)*HLOOKUP($K132,'Type Chart'!$C$2:$U$20,3,false)</f>
        <v>1</v>
      </c>
      <c r="W132" s="960">
        <f t="array" ref="W132">HLOOKUP($J132,'Type Chart'!$C$2:$T$20,4,false)*HLOOKUP($K132,'Type Chart'!$C$2:$U$20,4,false)</f>
        <v>1</v>
      </c>
      <c r="X132" s="960">
        <f t="array" ref="X132">HLOOKUP($J132,'Type Chart'!$C$2:$T$20,5,false)*HLOOKUP($K132,'Type Chart'!$C$2:$U$20,5,false)</f>
        <v>1</v>
      </c>
      <c r="Y132" s="960">
        <f t="array" ref="Y132">HLOOKUP($J132,'Type Chart'!$C$2:$T$20,6,false)*HLOOKUP($K132,'Type Chart'!$C$2:$U$20,6,false)</f>
        <v>1</v>
      </c>
      <c r="Z132" s="960">
        <f t="array" ref="Z132">HLOOKUP($J132,'Type Chart'!$C$2:$T$20,7,false)*HLOOKUP($K132,'Type Chart'!$C$2:$U$20,7,false)</f>
        <v>1</v>
      </c>
      <c r="AA132" s="960">
        <f t="array" ref="AA132">HLOOKUP($J132,'Type Chart'!$C$2:$T$20,8,false)*HLOOKUP($K132,'Type Chart'!$C$2:$U$20,8,false)</f>
        <v>1</v>
      </c>
      <c r="AB132" s="960">
        <f t="array" ref="AB132">HLOOKUP($J132,'Type Chart'!$C$2:$T$20,9,false)*HLOOKUP($K132,'Type Chart'!$C$2:$U$20,9,false)</f>
        <v>1</v>
      </c>
      <c r="AC132" s="960">
        <f t="array" ref="AC132">HLOOKUP($J132,'Type Chart'!$C$2:$T$20,10,false)*HLOOKUP($K132,'Type Chart'!$C$2:$U$20,10,false)</f>
        <v>0.5</v>
      </c>
      <c r="AD132" s="960">
        <f t="array" ref="AD132">HLOOKUP($J132,'Type Chart'!$C$2:$T$20,11,false)*HLOOKUP($K132,'Type Chart'!$C$2:$U$20,11,false)</f>
        <v>0.5</v>
      </c>
      <c r="AE132" s="960">
        <f t="array" ref="AE132">HLOOKUP($J132,'Type Chart'!$C$2:$T$20,12,false)*HLOOKUP($K132,'Type Chart'!$C$2:$U$20,12,false)</f>
        <v>0.5</v>
      </c>
      <c r="AF132" s="960">
        <f t="array" ref="AF132">HLOOKUP($J132,'Type Chart'!$C$2:$T$20,13,false)*HLOOKUP($K132,'Type Chart'!$C$2:$U$20,13,false)</f>
        <v>2</v>
      </c>
      <c r="AG132" s="960">
        <f t="array" ref="AG132">HLOOKUP($J132,'Type Chart'!$C$2:$T$20,14,false)*HLOOKUP($K132,'Type Chart'!$C$2:$U$20,14,false)</f>
        <v>2</v>
      </c>
      <c r="AH132" s="960">
        <f t="array" ref="AH132">HLOOKUP($J132,'Type Chart'!$C$2:$T$20,15,false)*HLOOKUP($K132,'Type Chart'!$C$2:$U$20,15,false)</f>
        <v>1</v>
      </c>
      <c r="AI132" s="960">
        <f t="array" ref="AI132">HLOOKUP($J132,'Type Chart'!$C$2:$T$20,16,false)*HLOOKUP($K132,'Type Chart'!$C$2:$U$20,16,false)</f>
        <v>0.5</v>
      </c>
      <c r="AJ132" s="960">
        <f t="array" ref="AJ132">HLOOKUP($J132,'Type Chart'!$C$2:$T$20,17,false)*HLOOKUP($K132,'Type Chart'!$C$2:$U$20,17,false)</f>
        <v>1</v>
      </c>
      <c r="AK132" s="960">
        <f t="array" ref="AK132">HLOOKUP($J132,'Type Chart'!$C$2:$T$20,18,false)*HLOOKUP($K132,'Type Chart'!$C$2:$U$20,18,false)</f>
        <v>1</v>
      </c>
      <c r="AL132" s="960">
        <f t="array" ref="AL132">HLOOKUP($J132,'Type Chart'!$C$2:$T$20,19,false)*HLOOKUP($K132,'Type Chart'!$C$2:$U$20,19,false)</f>
        <v>1</v>
      </c>
      <c r="AM132" s="964" t="s">
        <v>760</v>
      </c>
      <c r="AN132" s="965" t="s">
        <v>1409</v>
      </c>
      <c r="AO132" s="966" t="s">
        <v>1410</v>
      </c>
      <c r="AP132" s="936"/>
      <c r="AQ132" s="967"/>
      <c r="AR132" s="968"/>
      <c r="AS132" s="936"/>
    </row>
    <row r="133" ht="15.75" customHeight="1">
      <c r="A133" s="936"/>
      <c r="B133" s="948" t="s">
        <v>1411</v>
      </c>
      <c r="C133" s="950" t="s">
        <v>1412</v>
      </c>
      <c r="D133" s="950" t="s">
        <v>1412</v>
      </c>
      <c r="E133" s="952" t="s">
        <v>1412</v>
      </c>
      <c r="F133" s="940"/>
      <c r="G133" s="953"/>
      <c r="H133" s="969"/>
      <c r="I133" s="956" t="s">
        <v>796</v>
      </c>
      <c r="J133" s="1056" t="s">
        <v>81</v>
      </c>
      <c r="K133" s="1205" t="s">
        <v>345</v>
      </c>
      <c r="L133" s="959">
        <v>90.0</v>
      </c>
      <c r="M133" s="960">
        <v>70.0</v>
      </c>
      <c r="N133" s="960">
        <v>80.0</v>
      </c>
      <c r="O133" s="960">
        <v>70.0</v>
      </c>
      <c r="P133" s="960">
        <v>95.0</v>
      </c>
      <c r="Q133" s="960">
        <v>70.0</v>
      </c>
      <c r="R133" s="960">
        <v>176.0</v>
      </c>
      <c r="S133" s="960">
        <v>239.0</v>
      </c>
      <c r="T133" s="960">
        <v>262.0</v>
      </c>
      <c r="U133" s="960">
        <f t="array" ref="U133">HLOOKUP($J133,'Type Chart'!$C$2:$T$20,2,false)*HLOOKUP($K133,'Type Chart'!$C$2:$U$20,2,false)</f>
        <v>1</v>
      </c>
      <c r="V133" s="960">
        <f t="array" ref="V133">HLOOKUP($J133,'Type Chart'!$C$2:$T$20,3,false)*HLOOKUP($K133,'Type Chart'!$C$2:$U$20,3,false)</f>
        <v>2</v>
      </c>
      <c r="W133" s="960">
        <f t="array" ref="W133">HLOOKUP($J133,'Type Chart'!$C$2:$T$20,4,false)*HLOOKUP($K133,'Type Chart'!$C$2:$U$20,4,false)</f>
        <v>1</v>
      </c>
      <c r="X133" s="960">
        <f t="array" ref="X133">HLOOKUP($J133,'Type Chart'!$C$2:$T$20,5,false)*HLOOKUP($K133,'Type Chart'!$C$2:$U$20,5,false)</f>
        <v>1</v>
      </c>
      <c r="Y133" s="960">
        <f t="array" ref="Y133">HLOOKUP($J133,'Type Chart'!$C$2:$T$20,6,false)*HLOOKUP($K133,'Type Chart'!$C$2:$U$20,6,false)</f>
        <v>1</v>
      </c>
      <c r="Z133" s="960">
        <f t="array" ref="Z133">HLOOKUP($J133,'Type Chart'!$C$2:$T$20,7,false)*HLOOKUP($K133,'Type Chart'!$C$2:$U$20,7,false)</f>
        <v>2</v>
      </c>
      <c r="AA133" s="960">
        <f t="array" ref="AA133">HLOOKUP($J133,'Type Chart'!$C$2:$T$20,8,false)*HLOOKUP($K133,'Type Chart'!$C$2:$U$20,8,false)</f>
        <v>1</v>
      </c>
      <c r="AB133" s="960">
        <f t="array" ref="AB133">HLOOKUP($J133,'Type Chart'!$C$2:$T$20,9,false)*HLOOKUP($K133,'Type Chart'!$C$2:$U$20,9,false)</f>
        <v>1</v>
      </c>
      <c r="AC133" s="960">
        <f t="array" ref="AC133">HLOOKUP($J133,'Type Chart'!$C$2:$T$20,10,false)*HLOOKUP($K133,'Type Chart'!$C$2:$U$20,10,false)</f>
        <v>1</v>
      </c>
      <c r="AD133" s="960">
        <f t="array" ref="AD133">HLOOKUP($J133,'Type Chart'!$C$2:$T$20,11,false)*HLOOKUP($K133,'Type Chart'!$C$2:$U$20,11,false)</f>
        <v>1</v>
      </c>
      <c r="AE133" s="960">
        <f t="array" ref="AE133">HLOOKUP($J133,'Type Chart'!$C$2:$T$20,12,false)*HLOOKUP($K133,'Type Chart'!$C$2:$U$20,12,false)</f>
        <v>0.5</v>
      </c>
      <c r="AF133" s="960">
        <f t="array" ref="AF133">HLOOKUP($J133,'Type Chart'!$C$2:$T$20,13,false)*HLOOKUP($K133,'Type Chart'!$C$2:$U$20,13,false)</f>
        <v>2</v>
      </c>
      <c r="AG133" s="960">
        <f t="array" ref="AG133">HLOOKUP($J133,'Type Chart'!$C$2:$T$20,14,false)*HLOOKUP($K133,'Type Chart'!$C$2:$U$20,14,false)</f>
        <v>2</v>
      </c>
      <c r="AH133" s="960">
        <f t="array" ref="AH133">HLOOKUP($J133,'Type Chart'!$C$2:$T$20,15,false)*HLOOKUP($K133,'Type Chart'!$C$2:$U$20,15,false)</f>
        <v>1</v>
      </c>
      <c r="AI133" s="960">
        <f t="array" ref="AI133">HLOOKUP($J133,'Type Chart'!$C$2:$T$20,16,false)*HLOOKUP($K133,'Type Chart'!$C$2:$U$20,16,false)</f>
        <v>0.25</v>
      </c>
      <c r="AJ133" s="960">
        <f t="array" ref="AJ133">HLOOKUP($J133,'Type Chart'!$C$2:$T$20,17,false)*HLOOKUP($K133,'Type Chart'!$C$2:$U$20,17,false)</f>
        <v>1</v>
      </c>
      <c r="AK133" s="960">
        <f t="array" ref="AK133">HLOOKUP($J133,'Type Chart'!$C$2:$T$20,18,false)*HLOOKUP($K133,'Type Chart'!$C$2:$U$20,18,false)</f>
        <v>1</v>
      </c>
      <c r="AL133" s="960">
        <f t="array" ref="AL133">HLOOKUP($J133,'Type Chart'!$C$2:$T$20,19,false)*HLOOKUP($K133,'Type Chart'!$C$2:$U$20,19,false)</f>
        <v>1</v>
      </c>
      <c r="AM133" s="964" t="s">
        <v>760</v>
      </c>
      <c r="AN133" s="965" t="s">
        <v>1409</v>
      </c>
      <c r="AO133" s="966" t="s">
        <v>1410</v>
      </c>
      <c r="AP133" s="936"/>
      <c r="AQ133" s="967"/>
      <c r="AR133" s="968"/>
      <c r="AS133" s="936"/>
    </row>
    <row r="134" ht="15.75" customHeight="1">
      <c r="A134" s="936"/>
      <c r="B134" s="948" t="s">
        <v>1413</v>
      </c>
      <c r="C134" s="1197" t="s">
        <v>1414</v>
      </c>
      <c r="D134" s="1197" t="s">
        <v>1414</v>
      </c>
      <c r="E134" s="1147" t="s">
        <v>1414</v>
      </c>
      <c r="F134" s="1217"/>
      <c r="G134" s="1218"/>
      <c r="H134" s="1219"/>
      <c r="I134" s="956" t="s">
        <v>1415</v>
      </c>
      <c r="J134" s="1209" t="s">
        <v>178</v>
      </c>
      <c r="K134" s="1199" t="s">
        <v>216</v>
      </c>
      <c r="L134" s="1200">
        <v>80.0</v>
      </c>
      <c r="M134" s="1201">
        <v>80.0</v>
      </c>
      <c r="N134" s="1201">
        <v>50.0</v>
      </c>
      <c r="O134" s="1201">
        <v>40.0</v>
      </c>
      <c r="P134" s="1201">
        <v>50.0</v>
      </c>
      <c r="Q134" s="1201">
        <v>25.0</v>
      </c>
      <c r="R134" s="1201">
        <v>86.0</v>
      </c>
      <c r="S134" s="1201">
        <v>149.0</v>
      </c>
      <c r="T134" s="1201">
        <v>163.0</v>
      </c>
      <c r="U134" s="960">
        <f t="array" ref="U134">HLOOKUP($J134,'Type Chart'!$C$2:$T$20,2,false)*HLOOKUP($K134,'Type Chart'!$C$2:$U$20,2,false)</f>
        <v>1</v>
      </c>
      <c r="V134" s="960">
        <f t="array" ref="V134">HLOOKUP($J134,'Type Chart'!$C$2:$T$20,3,false)*HLOOKUP($K134,'Type Chart'!$C$2:$U$20,3,false)</f>
        <v>0.5</v>
      </c>
      <c r="W134" s="960">
        <f t="array" ref="W134">HLOOKUP($J134,'Type Chart'!$C$2:$T$20,4,false)*HLOOKUP($K134,'Type Chart'!$C$2:$U$20,4,false)</f>
        <v>1</v>
      </c>
      <c r="X134" s="960">
        <f t="array" ref="X134">HLOOKUP($J134,'Type Chart'!$C$2:$T$20,5,false)*HLOOKUP($K134,'Type Chart'!$C$2:$U$20,5,false)</f>
        <v>0.5</v>
      </c>
      <c r="Y134" s="960">
        <f t="array" ref="Y134">HLOOKUP($J134,'Type Chart'!$C$2:$T$20,6,false)*HLOOKUP($K134,'Type Chart'!$C$2:$U$20,6,false)</f>
        <v>2</v>
      </c>
      <c r="Z134" s="960">
        <f t="array" ref="Z134">HLOOKUP($J134,'Type Chart'!$C$2:$T$20,7,false)*HLOOKUP($K134,'Type Chart'!$C$2:$U$20,7,false)</f>
        <v>1</v>
      </c>
      <c r="AA134" s="960">
        <f t="array" ref="AA134">HLOOKUP($J134,'Type Chart'!$C$2:$T$20,8,false)*HLOOKUP($K134,'Type Chart'!$C$2:$U$20,8,false)</f>
        <v>0.5</v>
      </c>
      <c r="AB134" s="960">
        <f t="array" ref="AB134">HLOOKUP($J134,'Type Chart'!$C$2:$T$20,9,false)*HLOOKUP($K134,'Type Chart'!$C$2:$U$20,9,false)</f>
        <v>1</v>
      </c>
      <c r="AC134" s="960">
        <f t="array" ref="AC134">HLOOKUP($J134,'Type Chart'!$C$2:$T$20,10,false)*HLOOKUP($K134,'Type Chart'!$C$2:$U$20,10,false)</f>
        <v>1</v>
      </c>
      <c r="AD134" s="960">
        <f t="array" ref="AD134">HLOOKUP($J134,'Type Chart'!$C$2:$T$20,11,false)*HLOOKUP($K134,'Type Chart'!$C$2:$U$20,11,false)</f>
        <v>1</v>
      </c>
      <c r="AE134" s="960">
        <f t="array" ref="AE134">HLOOKUP($J134,'Type Chart'!$C$2:$T$20,12,false)*HLOOKUP($K134,'Type Chart'!$C$2:$U$20,12,false)</f>
        <v>1</v>
      </c>
      <c r="AF134" s="960">
        <f t="array" ref="AF134">HLOOKUP($J134,'Type Chart'!$C$2:$T$20,13,false)*HLOOKUP($K134,'Type Chart'!$C$2:$U$20,13,false)</f>
        <v>0.5</v>
      </c>
      <c r="AG134" s="960">
        <f t="array" ref="AG134">HLOOKUP($J134,'Type Chart'!$C$2:$T$20,14,false)*HLOOKUP($K134,'Type Chart'!$C$2:$U$20,14,false)</f>
        <v>1</v>
      </c>
      <c r="AH134" s="960">
        <f t="array" ref="AH134">HLOOKUP($J134,'Type Chart'!$C$2:$T$20,15,false)*HLOOKUP($K134,'Type Chart'!$C$2:$U$20,15,false)</f>
        <v>2</v>
      </c>
      <c r="AI134" s="960">
        <f t="array" ref="AI134">HLOOKUP($J134,'Type Chart'!$C$2:$T$20,16,false)*HLOOKUP($K134,'Type Chart'!$C$2:$U$20,16,false)</f>
        <v>1</v>
      </c>
      <c r="AJ134" s="960">
        <f t="array" ref="AJ134">HLOOKUP($J134,'Type Chart'!$C$2:$T$20,17,false)*HLOOKUP($K134,'Type Chart'!$C$2:$U$20,17,false)</f>
        <v>1</v>
      </c>
      <c r="AK134" s="960">
        <f t="array" ref="AK134">HLOOKUP($J134,'Type Chart'!$C$2:$T$20,18,false)*HLOOKUP($K134,'Type Chart'!$C$2:$U$20,18,false)</f>
        <v>1</v>
      </c>
      <c r="AL134" s="960">
        <f t="array" ref="AL134">HLOOKUP($J134,'Type Chart'!$C$2:$T$20,19,false)*HLOOKUP($K134,'Type Chart'!$C$2:$U$20,19,false)</f>
        <v>0.5</v>
      </c>
      <c r="AM134" s="1145" t="s">
        <v>1203</v>
      </c>
      <c r="AN134" s="1202" t="s">
        <v>1416</v>
      </c>
      <c r="AO134" s="1146" t="s">
        <v>1417</v>
      </c>
      <c r="AP134" s="936"/>
      <c r="AQ134" s="967" t="str">
        <f t="array" ref="AQ134:AQ2529">IMAGE("http://play.pokemonshowdown.com/sprites/gen5/"&amp;D134:D2529&amp;".png", 3)</f>
        <v/>
      </c>
      <c r="AR134" s="968" t="str">
        <f t="array" ref="AR134:AR2529">IMAGE("https://img.pokemondb.net/sprites/home/normal/"&amp;E134:E2529&amp;".png",3)</f>
        <v/>
      </c>
      <c r="AS134" s="936"/>
    </row>
    <row r="135" ht="15.75" customHeight="1">
      <c r="A135" s="936"/>
      <c r="B135" s="948" t="s">
        <v>1418</v>
      </c>
      <c r="C135" s="950" t="s">
        <v>1419</v>
      </c>
      <c r="D135" s="950" t="s">
        <v>1419</v>
      </c>
      <c r="E135" s="952" t="s">
        <v>1420</v>
      </c>
      <c r="F135" s="940"/>
      <c r="G135" s="953"/>
      <c r="H135" s="969"/>
      <c r="I135" s="956" t="s">
        <v>836</v>
      </c>
      <c r="J135" s="958" t="s">
        <v>178</v>
      </c>
      <c r="K135" s="1195" t="s">
        <v>193</v>
      </c>
      <c r="L135" s="959">
        <v>80.0</v>
      </c>
      <c r="M135" s="960">
        <v>80.0</v>
      </c>
      <c r="N135" s="960">
        <v>50.0</v>
      </c>
      <c r="O135" s="960">
        <v>40.0</v>
      </c>
      <c r="P135" s="960">
        <v>50.0</v>
      </c>
      <c r="Q135" s="960">
        <v>25.0</v>
      </c>
      <c r="R135" s="960">
        <v>86.0</v>
      </c>
      <c r="S135" s="960">
        <v>149.0</v>
      </c>
      <c r="T135" s="960">
        <v>163.0</v>
      </c>
      <c r="U135" s="960">
        <f t="array" ref="U135">HLOOKUP($J135,'Type Chart'!$C$2:$T$20,2,false)*HLOOKUP($K135,'Type Chart'!$C$2:$U$20,2,false)</f>
        <v>1</v>
      </c>
      <c r="V135" s="960">
        <f t="array" ref="V135">HLOOKUP($J135,'Type Chart'!$C$2:$T$20,3,false)*HLOOKUP($K135,'Type Chart'!$C$2:$U$20,3,false)</f>
        <v>1</v>
      </c>
      <c r="W135" s="960">
        <f t="array" ref="W135">HLOOKUP($J135,'Type Chart'!$C$2:$T$20,4,false)*HLOOKUP($K135,'Type Chart'!$C$2:$U$20,4,false)</f>
        <v>1</v>
      </c>
      <c r="X135" s="960">
        <f t="array" ref="X135">HLOOKUP($J135,'Type Chart'!$C$2:$T$20,5,false)*HLOOKUP($K135,'Type Chart'!$C$2:$U$20,5,false)</f>
        <v>0.5</v>
      </c>
      <c r="Y135" s="960">
        <f t="array" ref="Y135">HLOOKUP($J135,'Type Chart'!$C$2:$T$20,6,false)*HLOOKUP($K135,'Type Chart'!$C$2:$U$20,6,false)</f>
        <v>2</v>
      </c>
      <c r="Z135" s="960">
        <f t="array" ref="Z135">HLOOKUP($J135,'Type Chart'!$C$2:$T$20,7,false)*HLOOKUP($K135,'Type Chart'!$C$2:$U$20,7,false)</f>
        <v>1</v>
      </c>
      <c r="AA135" s="960">
        <f t="array" ref="AA135">HLOOKUP($J135,'Type Chart'!$C$2:$T$20,8,false)*HLOOKUP($K135,'Type Chart'!$C$2:$U$20,8,false)</f>
        <v>1</v>
      </c>
      <c r="AB135" s="960">
        <f t="array" ref="AB135">HLOOKUP($J135,'Type Chart'!$C$2:$T$20,9,false)*HLOOKUP($K135,'Type Chart'!$C$2:$U$20,9,false)</f>
        <v>0.5</v>
      </c>
      <c r="AC135" s="960">
        <f t="array" ref="AC135">HLOOKUP($J135,'Type Chart'!$C$2:$T$20,10,false)*HLOOKUP($K135,'Type Chart'!$C$2:$U$20,10,false)</f>
        <v>1</v>
      </c>
      <c r="AD135" s="960">
        <f t="array" ref="AD135">HLOOKUP($J135,'Type Chart'!$C$2:$T$20,11,false)*HLOOKUP($K135,'Type Chart'!$C$2:$U$20,11,false)</f>
        <v>1</v>
      </c>
      <c r="AE135" s="960">
        <f t="array" ref="AE135">HLOOKUP($J135,'Type Chart'!$C$2:$T$20,12,false)*HLOOKUP($K135,'Type Chart'!$C$2:$U$20,12,false)</f>
        <v>1</v>
      </c>
      <c r="AF135" s="960">
        <f t="array" ref="AF135">HLOOKUP($J135,'Type Chart'!$C$2:$T$20,13,false)*HLOOKUP($K135,'Type Chart'!$C$2:$U$20,13,false)</f>
        <v>0.5</v>
      </c>
      <c r="AG135" s="960">
        <f t="array" ref="AG135">HLOOKUP($J135,'Type Chart'!$C$2:$T$20,14,false)*HLOOKUP($K135,'Type Chart'!$C$2:$U$20,14,false)</f>
        <v>1</v>
      </c>
      <c r="AH135" s="960">
        <f t="array" ref="AH135">HLOOKUP($J135,'Type Chart'!$C$2:$T$20,15,false)*HLOOKUP($K135,'Type Chart'!$C$2:$U$20,15,false)</f>
        <v>0</v>
      </c>
      <c r="AI135" s="960">
        <f t="array" ref="AI135">HLOOKUP($J135,'Type Chart'!$C$2:$T$20,16,false)*HLOOKUP($K135,'Type Chart'!$C$2:$U$20,16,false)</f>
        <v>1</v>
      </c>
      <c r="AJ135" s="960">
        <f t="array" ref="AJ135">HLOOKUP($J135,'Type Chart'!$C$2:$T$20,17,false)*HLOOKUP($K135,'Type Chart'!$C$2:$U$20,17,false)</f>
        <v>1</v>
      </c>
      <c r="AK135" s="960">
        <f t="array" ref="AK135">HLOOKUP($J135,'Type Chart'!$C$2:$T$20,18,false)*HLOOKUP($K135,'Type Chart'!$C$2:$U$20,18,false)</f>
        <v>0.5</v>
      </c>
      <c r="AL135" s="960">
        <f t="array" ref="AL135">HLOOKUP($J135,'Type Chart'!$C$2:$T$20,19,false)*HLOOKUP($K135,'Type Chart'!$C$2:$U$20,19,false)</f>
        <v>1</v>
      </c>
      <c r="AM135" s="964" t="s">
        <v>1417</v>
      </c>
      <c r="AN135" s="965" t="s">
        <v>1044</v>
      </c>
      <c r="AO135" s="966" t="s">
        <v>1421</v>
      </c>
      <c r="AP135" s="936"/>
      <c r="AQ135" s="967"/>
      <c r="AR135" s="968"/>
      <c r="AS135" s="936"/>
    </row>
    <row r="136" ht="15.75" customHeight="1">
      <c r="A136" s="936"/>
      <c r="B136" s="948" t="s">
        <v>1422</v>
      </c>
      <c r="C136" s="950" t="s">
        <v>1423</v>
      </c>
      <c r="D136" s="950" t="s">
        <v>1423</v>
      </c>
      <c r="E136" s="952" t="s">
        <v>1423</v>
      </c>
      <c r="F136" s="940"/>
      <c r="G136" s="953"/>
      <c r="H136" s="969"/>
      <c r="I136" s="998" t="s">
        <v>656</v>
      </c>
      <c r="J136" s="958" t="s">
        <v>178</v>
      </c>
      <c r="K136" s="984" t="s">
        <v>216</v>
      </c>
      <c r="L136" s="959">
        <v>105.0</v>
      </c>
      <c r="M136" s="960">
        <v>105.0</v>
      </c>
      <c r="N136" s="960">
        <v>75.0</v>
      </c>
      <c r="O136" s="960">
        <v>65.0</v>
      </c>
      <c r="P136" s="960">
        <v>100.0</v>
      </c>
      <c r="Q136" s="960">
        <v>50.0</v>
      </c>
      <c r="R136" s="960">
        <v>136.0</v>
      </c>
      <c r="S136" s="960">
        <v>199.0</v>
      </c>
      <c r="T136" s="960">
        <v>218.0</v>
      </c>
      <c r="U136" s="960">
        <f t="array" ref="U136">HLOOKUP($J136,'Type Chart'!$C$2:$T$20,2,false)*HLOOKUP($K136,'Type Chart'!$C$2:$U$20,2,false)</f>
        <v>1</v>
      </c>
      <c r="V136" s="960">
        <f t="array" ref="V136">HLOOKUP($J136,'Type Chart'!$C$2:$T$20,3,false)*HLOOKUP($K136,'Type Chart'!$C$2:$U$20,3,false)</f>
        <v>0.5</v>
      </c>
      <c r="W136" s="960">
        <f t="array" ref="W136">HLOOKUP($J136,'Type Chart'!$C$2:$T$20,4,false)*HLOOKUP($K136,'Type Chart'!$C$2:$U$20,4,false)</f>
        <v>1</v>
      </c>
      <c r="X136" s="960">
        <f t="array" ref="X136">HLOOKUP($J136,'Type Chart'!$C$2:$T$20,5,false)*HLOOKUP($K136,'Type Chart'!$C$2:$U$20,5,false)</f>
        <v>0.5</v>
      </c>
      <c r="Y136" s="960">
        <f t="array" ref="Y136">HLOOKUP($J136,'Type Chart'!$C$2:$T$20,6,false)*HLOOKUP($K136,'Type Chart'!$C$2:$U$20,6,false)</f>
        <v>2</v>
      </c>
      <c r="Z136" s="960">
        <f t="array" ref="Z136">HLOOKUP($J136,'Type Chart'!$C$2:$T$20,7,false)*HLOOKUP($K136,'Type Chart'!$C$2:$U$20,7,false)</f>
        <v>1</v>
      </c>
      <c r="AA136" s="960">
        <f t="array" ref="AA136">HLOOKUP($J136,'Type Chart'!$C$2:$T$20,8,false)*HLOOKUP($K136,'Type Chart'!$C$2:$U$20,8,false)</f>
        <v>0.5</v>
      </c>
      <c r="AB136" s="960">
        <f t="array" ref="AB136">HLOOKUP($J136,'Type Chart'!$C$2:$T$20,9,false)*HLOOKUP($K136,'Type Chart'!$C$2:$U$20,9,false)</f>
        <v>1</v>
      </c>
      <c r="AC136" s="960">
        <f t="array" ref="AC136">HLOOKUP($J136,'Type Chart'!$C$2:$T$20,10,false)*HLOOKUP($K136,'Type Chart'!$C$2:$U$20,10,false)</f>
        <v>1</v>
      </c>
      <c r="AD136" s="960">
        <f t="array" ref="AD136">HLOOKUP($J136,'Type Chart'!$C$2:$T$20,11,false)*HLOOKUP($K136,'Type Chart'!$C$2:$U$20,11,false)</f>
        <v>1</v>
      </c>
      <c r="AE136" s="960">
        <f t="array" ref="AE136">HLOOKUP($J136,'Type Chart'!$C$2:$T$20,12,false)*HLOOKUP($K136,'Type Chart'!$C$2:$U$20,12,false)</f>
        <v>1</v>
      </c>
      <c r="AF136" s="960">
        <f t="array" ref="AF136">HLOOKUP($J136,'Type Chart'!$C$2:$T$20,13,false)*HLOOKUP($K136,'Type Chart'!$C$2:$U$20,13,false)</f>
        <v>0.5</v>
      </c>
      <c r="AG136" s="960">
        <f t="array" ref="AG136">HLOOKUP($J136,'Type Chart'!$C$2:$T$20,14,false)*HLOOKUP($K136,'Type Chart'!$C$2:$U$20,14,false)</f>
        <v>1</v>
      </c>
      <c r="AH136" s="960">
        <f t="array" ref="AH136">HLOOKUP($J136,'Type Chart'!$C$2:$T$20,15,false)*HLOOKUP($K136,'Type Chart'!$C$2:$U$20,15,false)</f>
        <v>2</v>
      </c>
      <c r="AI136" s="960">
        <f t="array" ref="AI136">HLOOKUP($J136,'Type Chart'!$C$2:$T$20,16,false)*HLOOKUP($K136,'Type Chart'!$C$2:$U$20,16,false)</f>
        <v>1</v>
      </c>
      <c r="AJ136" s="960">
        <f t="array" ref="AJ136">HLOOKUP($J136,'Type Chart'!$C$2:$T$20,17,false)*HLOOKUP($K136,'Type Chart'!$C$2:$U$20,17,false)</f>
        <v>1</v>
      </c>
      <c r="AK136" s="960">
        <f t="array" ref="AK136">HLOOKUP($J136,'Type Chart'!$C$2:$T$20,18,false)*HLOOKUP($K136,'Type Chart'!$C$2:$U$20,18,false)</f>
        <v>1</v>
      </c>
      <c r="AL136" s="960">
        <f t="array" ref="AL136">HLOOKUP($J136,'Type Chart'!$C$2:$T$20,19,false)*HLOOKUP($K136,'Type Chart'!$C$2:$U$20,19,false)</f>
        <v>0.5</v>
      </c>
      <c r="AM136" s="964" t="s">
        <v>1203</v>
      </c>
      <c r="AN136" s="965" t="s">
        <v>1416</v>
      </c>
      <c r="AO136" s="966" t="s">
        <v>1417</v>
      </c>
      <c r="AP136" s="936"/>
      <c r="AQ136" s="967"/>
      <c r="AR136" s="968"/>
      <c r="AS136" s="936"/>
    </row>
    <row r="137" ht="15.75" customHeight="1">
      <c r="A137" s="936"/>
      <c r="B137" s="948" t="s">
        <v>1424</v>
      </c>
      <c r="C137" s="950" t="s">
        <v>1425</v>
      </c>
      <c r="D137" s="950" t="s">
        <v>1425</v>
      </c>
      <c r="E137" s="952" t="s">
        <v>1426</v>
      </c>
      <c r="F137" s="940"/>
      <c r="G137" s="953"/>
      <c r="H137" s="969"/>
      <c r="I137" s="956" t="s">
        <v>509</v>
      </c>
      <c r="J137" s="958" t="s">
        <v>178</v>
      </c>
      <c r="K137" s="1195" t="s">
        <v>193</v>
      </c>
      <c r="L137" s="959">
        <v>105.0</v>
      </c>
      <c r="M137" s="960">
        <v>105.0</v>
      </c>
      <c r="N137" s="960">
        <v>75.0</v>
      </c>
      <c r="O137" s="960">
        <v>65.0</v>
      </c>
      <c r="P137" s="960">
        <v>100.0</v>
      </c>
      <c r="Q137" s="960">
        <v>50.0</v>
      </c>
      <c r="R137" s="960">
        <v>136.0</v>
      </c>
      <c r="S137" s="960">
        <v>199.0</v>
      </c>
      <c r="T137" s="960">
        <v>218.0</v>
      </c>
      <c r="U137" s="960">
        <f t="array" ref="U137">HLOOKUP($J137,'Type Chart'!$C$2:$T$20,2,false)*HLOOKUP($K137,'Type Chart'!$C$2:$U$20,2,false)</f>
        <v>1</v>
      </c>
      <c r="V137" s="960">
        <f t="array" ref="V137">HLOOKUP($J137,'Type Chart'!$C$2:$T$20,3,false)*HLOOKUP($K137,'Type Chart'!$C$2:$U$20,3,false)</f>
        <v>1</v>
      </c>
      <c r="W137" s="960">
        <f t="array" ref="W137">HLOOKUP($J137,'Type Chart'!$C$2:$T$20,4,false)*HLOOKUP($K137,'Type Chart'!$C$2:$U$20,4,false)</f>
        <v>1</v>
      </c>
      <c r="X137" s="960">
        <f t="array" ref="X137">HLOOKUP($J137,'Type Chart'!$C$2:$T$20,5,false)*HLOOKUP($K137,'Type Chart'!$C$2:$U$20,5,false)</f>
        <v>0.5</v>
      </c>
      <c r="Y137" s="960">
        <f t="array" ref="Y137">HLOOKUP($J137,'Type Chart'!$C$2:$T$20,6,false)*HLOOKUP($K137,'Type Chart'!$C$2:$U$20,6,false)</f>
        <v>2</v>
      </c>
      <c r="Z137" s="960">
        <f t="array" ref="Z137">HLOOKUP($J137,'Type Chart'!$C$2:$T$20,7,false)*HLOOKUP($K137,'Type Chart'!$C$2:$U$20,7,false)</f>
        <v>1</v>
      </c>
      <c r="AA137" s="960">
        <f t="array" ref="AA137">HLOOKUP($J137,'Type Chart'!$C$2:$T$20,8,false)*HLOOKUP($K137,'Type Chart'!$C$2:$U$20,8,false)</f>
        <v>1</v>
      </c>
      <c r="AB137" s="960">
        <f t="array" ref="AB137">HLOOKUP($J137,'Type Chart'!$C$2:$T$20,9,false)*HLOOKUP($K137,'Type Chart'!$C$2:$U$20,9,false)</f>
        <v>0.5</v>
      </c>
      <c r="AC137" s="960">
        <f t="array" ref="AC137">HLOOKUP($J137,'Type Chart'!$C$2:$T$20,10,false)*HLOOKUP($K137,'Type Chart'!$C$2:$U$20,10,false)</f>
        <v>1</v>
      </c>
      <c r="AD137" s="960">
        <f t="array" ref="AD137">HLOOKUP($J137,'Type Chart'!$C$2:$T$20,11,false)*HLOOKUP($K137,'Type Chart'!$C$2:$U$20,11,false)</f>
        <v>1</v>
      </c>
      <c r="AE137" s="960">
        <f t="array" ref="AE137">HLOOKUP($J137,'Type Chart'!$C$2:$T$20,12,false)*HLOOKUP($K137,'Type Chart'!$C$2:$U$20,12,false)</f>
        <v>1</v>
      </c>
      <c r="AF137" s="960">
        <f t="array" ref="AF137">HLOOKUP($J137,'Type Chart'!$C$2:$T$20,13,false)*HLOOKUP($K137,'Type Chart'!$C$2:$U$20,13,false)</f>
        <v>0.5</v>
      </c>
      <c r="AG137" s="960">
        <f t="array" ref="AG137">HLOOKUP($J137,'Type Chart'!$C$2:$T$20,14,false)*HLOOKUP($K137,'Type Chart'!$C$2:$U$20,14,false)</f>
        <v>1</v>
      </c>
      <c r="AH137" s="960">
        <f t="array" ref="AH137">HLOOKUP($J137,'Type Chart'!$C$2:$T$20,15,false)*HLOOKUP($K137,'Type Chart'!$C$2:$U$20,15,false)</f>
        <v>0</v>
      </c>
      <c r="AI137" s="960">
        <f t="array" ref="AI137">HLOOKUP($J137,'Type Chart'!$C$2:$T$20,16,false)*HLOOKUP($K137,'Type Chart'!$C$2:$U$20,16,false)</f>
        <v>1</v>
      </c>
      <c r="AJ137" s="960">
        <f t="array" ref="AJ137">HLOOKUP($J137,'Type Chart'!$C$2:$T$20,17,false)*HLOOKUP($K137,'Type Chart'!$C$2:$U$20,17,false)</f>
        <v>1</v>
      </c>
      <c r="AK137" s="960">
        <f t="array" ref="AK137">HLOOKUP($J137,'Type Chart'!$C$2:$T$20,18,false)*HLOOKUP($K137,'Type Chart'!$C$2:$U$20,18,false)</f>
        <v>0.5</v>
      </c>
      <c r="AL137" s="960">
        <f t="array" ref="AL137">HLOOKUP($J137,'Type Chart'!$C$2:$T$20,19,false)*HLOOKUP($K137,'Type Chart'!$C$2:$U$20,19,false)</f>
        <v>1</v>
      </c>
      <c r="AM137" s="964" t="s">
        <v>1417</v>
      </c>
      <c r="AN137" s="965" t="s">
        <v>1044</v>
      </c>
      <c r="AO137" s="966" t="s">
        <v>1421</v>
      </c>
      <c r="AP137" s="936"/>
      <c r="AQ137" s="967"/>
      <c r="AR137" s="968"/>
      <c r="AS137" s="936"/>
    </row>
    <row r="138" ht="15.75" customHeight="1">
      <c r="A138" s="936"/>
      <c r="B138" s="948" t="s">
        <v>1427</v>
      </c>
      <c r="C138" s="950" t="s">
        <v>1428</v>
      </c>
      <c r="D138" s="950" t="s">
        <v>1428</v>
      </c>
      <c r="E138" s="952" t="s">
        <v>1428</v>
      </c>
      <c r="F138" s="940"/>
      <c r="G138" s="953"/>
      <c r="H138" s="969"/>
      <c r="I138" s="956" t="s">
        <v>1429</v>
      </c>
      <c r="J138" s="1056" t="s">
        <v>81</v>
      </c>
      <c r="K138" s="984" t="s">
        <v>216</v>
      </c>
      <c r="L138" s="959">
        <v>30.0</v>
      </c>
      <c r="M138" s="960">
        <v>65.0</v>
      </c>
      <c r="N138" s="960">
        <v>100.0</v>
      </c>
      <c r="O138" s="960">
        <v>45.0</v>
      </c>
      <c r="P138" s="960">
        <v>25.0</v>
      </c>
      <c r="Q138" s="960">
        <v>40.0</v>
      </c>
      <c r="R138" s="960">
        <v>116.0</v>
      </c>
      <c r="S138" s="960">
        <v>179.0</v>
      </c>
      <c r="T138" s="960">
        <v>196.0</v>
      </c>
      <c r="U138" s="960">
        <f t="array" ref="U138">HLOOKUP($J138,'Type Chart'!$C$2:$T$20,2,false)*HLOOKUP($K138,'Type Chart'!$C$2:$U$20,2,false)</f>
        <v>1</v>
      </c>
      <c r="V138" s="960">
        <f t="array" ref="V138">HLOOKUP($J138,'Type Chart'!$C$2:$T$20,3,false)*HLOOKUP($K138,'Type Chart'!$C$2:$U$20,3,false)</f>
        <v>1</v>
      </c>
      <c r="W138" s="960">
        <f t="array" ref="W138">HLOOKUP($J138,'Type Chart'!$C$2:$T$20,4,false)*HLOOKUP($K138,'Type Chart'!$C$2:$U$20,4,false)</f>
        <v>1</v>
      </c>
      <c r="X138" s="960">
        <f t="array" ref="X138">HLOOKUP($J138,'Type Chart'!$C$2:$T$20,5,false)*HLOOKUP($K138,'Type Chart'!$C$2:$U$20,5,false)</f>
        <v>1</v>
      </c>
      <c r="Y138" s="960">
        <f t="array" ref="Y138">HLOOKUP($J138,'Type Chart'!$C$2:$T$20,6,false)*HLOOKUP($K138,'Type Chart'!$C$2:$U$20,6,false)</f>
        <v>1</v>
      </c>
      <c r="Z138" s="960">
        <f t="array" ref="Z138">HLOOKUP($J138,'Type Chart'!$C$2:$T$20,7,false)*HLOOKUP($K138,'Type Chart'!$C$2:$U$20,7,false)</f>
        <v>1</v>
      </c>
      <c r="AA138" s="960">
        <f t="array" ref="AA138">HLOOKUP($J138,'Type Chart'!$C$2:$T$20,8,false)*HLOOKUP($K138,'Type Chart'!$C$2:$U$20,8,false)</f>
        <v>1</v>
      </c>
      <c r="AB138" s="960">
        <f t="array" ref="AB138">HLOOKUP($J138,'Type Chart'!$C$2:$T$20,9,false)*HLOOKUP($K138,'Type Chart'!$C$2:$U$20,9,false)</f>
        <v>1</v>
      </c>
      <c r="AC138" s="960">
        <f t="array" ref="AC138">HLOOKUP($J138,'Type Chart'!$C$2:$T$20,10,false)*HLOOKUP($K138,'Type Chart'!$C$2:$U$20,10,false)</f>
        <v>0.5</v>
      </c>
      <c r="AD138" s="960">
        <f t="array" ref="AD138">HLOOKUP($J138,'Type Chart'!$C$2:$T$20,11,false)*HLOOKUP($K138,'Type Chart'!$C$2:$U$20,11,false)</f>
        <v>0.5</v>
      </c>
      <c r="AE138" s="960">
        <f t="array" ref="AE138">HLOOKUP($J138,'Type Chart'!$C$2:$T$20,12,false)*HLOOKUP($K138,'Type Chart'!$C$2:$U$20,12,false)</f>
        <v>0.5</v>
      </c>
      <c r="AF138" s="960">
        <f t="array" ref="AF138">HLOOKUP($J138,'Type Chart'!$C$2:$T$20,13,false)*HLOOKUP($K138,'Type Chart'!$C$2:$U$20,13,false)</f>
        <v>2</v>
      </c>
      <c r="AG138" s="960">
        <f t="array" ref="AG138">HLOOKUP($J138,'Type Chart'!$C$2:$T$20,14,false)*HLOOKUP($K138,'Type Chart'!$C$2:$U$20,14,false)</f>
        <v>2</v>
      </c>
      <c r="AH138" s="960">
        <f t="array" ref="AH138">HLOOKUP($J138,'Type Chart'!$C$2:$T$20,15,false)*HLOOKUP($K138,'Type Chart'!$C$2:$U$20,15,false)</f>
        <v>1</v>
      </c>
      <c r="AI138" s="960">
        <f t="array" ref="AI138">HLOOKUP($J138,'Type Chart'!$C$2:$T$20,16,false)*HLOOKUP($K138,'Type Chart'!$C$2:$U$20,16,false)</f>
        <v>0.5</v>
      </c>
      <c r="AJ138" s="960">
        <f t="array" ref="AJ138">HLOOKUP($J138,'Type Chart'!$C$2:$T$20,17,false)*HLOOKUP($K138,'Type Chart'!$C$2:$U$20,17,false)</f>
        <v>1</v>
      </c>
      <c r="AK138" s="960">
        <f t="array" ref="AK138">HLOOKUP($J138,'Type Chart'!$C$2:$T$20,18,false)*HLOOKUP($K138,'Type Chart'!$C$2:$U$20,18,false)</f>
        <v>1</v>
      </c>
      <c r="AL138" s="960">
        <f t="array" ref="AL138">HLOOKUP($J138,'Type Chart'!$C$2:$T$20,19,false)*HLOOKUP($K138,'Type Chart'!$C$2:$U$20,19,false)</f>
        <v>1</v>
      </c>
      <c r="AM138" s="964" t="s">
        <v>1385</v>
      </c>
      <c r="AN138" s="965" t="s">
        <v>1430</v>
      </c>
      <c r="AO138" s="966" t="s">
        <v>1431</v>
      </c>
      <c r="AP138" s="936"/>
      <c r="AQ138" s="967"/>
      <c r="AR138" s="968"/>
      <c r="AS138" s="936"/>
    </row>
    <row r="139" ht="15.75" customHeight="1">
      <c r="A139" s="936"/>
      <c r="B139" s="948" t="s">
        <v>1432</v>
      </c>
      <c r="C139" s="950" t="s">
        <v>1433</v>
      </c>
      <c r="D139" s="950" t="s">
        <v>1433</v>
      </c>
      <c r="E139" s="952" t="s">
        <v>1433</v>
      </c>
      <c r="F139" s="940"/>
      <c r="G139" s="953"/>
      <c r="H139" s="969"/>
      <c r="I139" s="956" t="s">
        <v>619</v>
      </c>
      <c r="J139" s="1056" t="s">
        <v>81</v>
      </c>
      <c r="K139" s="1205" t="s">
        <v>345</v>
      </c>
      <c r="L139" s="959">
        <v>50.0</v>
      </c>
      <c r="M139" s="960">
        <v>95.0</v>
      </c>
      <c r="N139" s="960">
        <v>180.0</v>
      </c>
      <c r="O139" s="960">
        <v>85.0</v>
      </c>
      <c r="P139" s="960">
        <v>45.0</v>
      </c>
      <c r="Q139" s="960">
        <v>70.0</v>
      </c>
      <c r="R139" s="960">
        <v>176.0</v>
      </c>
      <c r="S139" s="960">
        <v>239.0</v>
      </c>
      <c r="T139" s="960">
        <v>262.0</v>
      </c>
      <c r="U139" s="960">
        <f t="array" ref="U139">HLOOKUP($J139,'Type Chart'!$C$2:$T$20,2,false)*HLOOKUP($K139,'Type Chart'!$C$2:$U$20,2,false)</f>
        <v>1</v>
      </c>
      <c r="V139" s="960">
        <f t="array" ref="V139">HLOOKUP($J139,'Type Chart'!$C$2:$T$20,3,false)*HLOOKUP($K139,'Type Chart'!$C$2:$U$20,3,false)</f>
        <v>2</v>
      </c>
      <c r="W139" s="960">
        <f t="array" ref="W139">HLOOKUP($J139,'Type Chart'!$C$2:$T$20,4,false)*HLOOKUP($K139,'Type Chart'!$C$2:$U$20,4,false)</f>
        <v>1</v>
      </c>
      <c r="X139" s="960">
        <f t="array" ref="X139">HLOOKUP($J139,'Type Chart'!$C$2:$T$20,5,false)*HLOOKUP($K139,'Type Chart'!$C$2:$U$20,5,false)</f>
        <v>1</v>
      </c>
      <c r="Y139" s="960">
        <f t="array" ref="Y139">HLOOKUP($J139,'Type Chart'!$C$2:$T$20,6,false)*HLOOKUP($K139,'Type Chart'!$C$2:$U$20,6,false)</f>
        <v>1</v>
      </c>
      <c r="Z139" s="960">
        <f t="array" ref="Z139">HLOOKUP($J139,'Type Chart'!$C$2:$T$20,7,false)*HLOOKUP($K139,'Type Chart'!$C$2:$U$20,7,false)</f>
        <v>2</v>
      </c>
      <c r="AA139" s="960">
        <f t="array" ref="AA139">HLOOKUP($J139,'Type Chart'!$C$2:$T$20,8,false)*HLOOKUP($K139,'Type Chart'!$C$2:$U$20,8,false)</f>
        <v>1</v>
      </c>
      <c r="AB139" s="960">
        <f t="array" ref="AB139">HLOOKUP($J139,'Type Chart'!$C$2:$T$20,9,false)*HLOOKUP($K139,'Type Chart'!$C$2:$U$20,9,false)</f>
        <v>1</v>
      </c>
      <c r="AC139" s="960">
        <f t="array" ref="AC139">HLOOKUP($J139,'Type Chart'!$C$2:$T$20,10,false)*HLOOKUP($K139,'Type Chart'!$C$2:$U$20,10,false)</f>
        <v>1</v>
      </c>
      <c r="AD139" s="960">
        <f t="array" ref="AD139">HLOOKUP($J139,'Type Chart'!$C$2:$T$20,11,false)*HLOOKUP($K139,'Type Chart'!$C$2:$U$20,11,false)</f>
        <v>1</v>
      </c>
      <c r="AE139" s="960">
        <f t="array" ref="AE139">HLOOKUP($J139,'Type Chart'!$C$2:$T$20,12,false)*HLOOKUP($K139,'Type Chart'!$C$2:$U$20,12,false)</f>
        <v>0.5</v>
      </c>
      <c r="AF139" s="960">
        <f t="array" ref="AF139">HLOOKUP($J139,'Type Chart'!$C$2:$T$20,13,false)*HLOOKUP($K139,'Type Chart'!$C$2:$U$20,13,false)</f>
        <v>2</v>
      </c>
      <c r="AG139" s="960">
        <f t="array" ref="AG139">HLOOKUP($J139,'Type Chart'!$C$2:$T$20,14,false)*HLOOKUP($K139,'Type Chart'!$C$2:$U$20,14,false)</f>
        <v>2</v>
      </c>
      <c r="AH139" s="960">
        <f t="array" ref="AH139">HLOOKUP($J139,'Type Chart'!$C$2:$T$20,15,false)*HLOOKUP($K139,'Type Chart'!$C$2:$U$20,15,false)</f>
        <v>1</v>
      </c>
      <c r="AI139" s="960">
        <f t="array" ref="AI139">HLOOKUP($J139,'Type Chart'!$C$2:$T$20,16,false)*HLOOKUP($K139,'Type Chart'!$C$2:$U$20,16,false)</f>
        <v>0.25</v>
      </c>
      <c r="AJ139" s="960">
        <f t="array" ref="AJ139">HLOOKUP($J139,'Type Chart'!$C$2:$T$20,17,false)*HLOOKUP($K139,'Type Chart'!$C$2:$U$20,17,false)</f>
        <v>1</v>
      </c>
      <c r="AK139" s="960">
        <f t="array" ref="AK139">HLOOKUP($J139,'Type Chart'!$C$2:$T$20,18,false)*HLOOKUP($K139,'Type Chart'!$C$2:$U$20,18,false)</f>
        <v>1</v>
      </c>
      <c r="AL139" s="960">
        <f t="array" ref="AL139">HLOOKUP($J139,'Type Chart'!$C$2:$T$20,19,false)*HLOOKUP($K139,'Type Chart'!$C$2:$U$20,19,false)</f>
        <v>1</v>
      </c>
      <c r="AM139" s="964" t="s">
        <v>1385</v>
      </c>
      <c r="AN139" s="965" t="s">
        <v>1430</v>
      </c>
      <c r="AO139" s="966" t="s">
        <v>1431</v>
      </c>
      <c r="AP139" s="936"/>
      <c r="AQ139" s="967"/>
      <c r="AR139" s="968"/>
      <c r="AS139" s="936"/>
    </row>
    <row r="140" ht="15.75" customHeight="1">
      <c r="A140" s="936"/>
      <c r="B140" s="948" t="s">
        <v>1434</v>
      </c>
      <c r="C140" s="950" t="s">
        <v>1435</v>
      </c>
      <c r="D140" s="950" t="s">
        <v>1435</v>
      </c>
      <c r="E140" s="952" t="s">
        <v>1435</v>
      </c>
      <c r="F140" s="940"/>
      <c r="G140" s="953"/>
      <c r="H140" s="969"/>
      <c r="I140" s="956" t="s">
        <v>1436</v>
      </c>
      <c r="J140" s="1220" t="s">
        <v>215</v>
      </c>
      <c r="K140" s="958" t="s">
        <v>178</v>
      </c>
      <c r="L140" s="959">
        <v>30.0</v>
      </c>
      <c r="M140" s="960">
        <v>35.0</v>
      </c>
      <c r="N140" s="960">
        <v>30.0</v>
      </c>
      <c r="O140" s="960">
        <v>100.0</v>
      </c>
      <c r="P140" s="960">
        <v>35.0</v>
      </c>
      <c r="Q140" s="960">
        <v>80.0</v>
      </c>
      <c r="R140" s="960">
        <v>196.0</v>
      </c>
      <c r="S140" s="960">
        <v>259.0</v>
      </c>
      <c r="T140" s="960">
        <v>284.0</v>
      </c>
      <c r="U140" s="960">
        <f t="array" ref="U140">HLOOKUP($J140,'Type Chart'!$C$2:$T$20,2,false)*HLOOKUP($K140,'Type Chart'!$C$2:$U$20,2,false)</f>
        <v>0</v>
      </c>
      <c r="V140" s="960">
        <f t="array" ref="V140">HLOOKUP($J140,'Type Chart'!$C$2:$T$20,3,false)*HLOOKUP($K140,'Type Chart'!$C$2:$U$20,3,false)</f>
        <v>0</v>
      </c>
      <c r="W140" s="960">
        <f t="array" ref="W140">HLOOKUP($J140,'Type Chart'!$C$2:$T$20,4,false)*HLOOKUP($K140,'Type Chart'!$C$2:$U$20,4,false)</f>
        <v>1</v>
      </c>
      <c r="X140" s="960">
        <f t="array" ref="X140">HLOOKUP($J140,'Type Chart'!$C$2:$T$20,5,false)*HLOOKUP($K140,'Type Chart'!$C$2:$U$20,5,false)</f>
        <v>0.25</v>
      </c>
      <c r="Y140" s="960">
        <f t="array" ref="Y140">HLOOKUP($J140,'Type Chart'!$C$2:$T$20,6,false)*HLOOKUP($K140,'Type Chart'!$C$2:$U$20,6,false)</f>
        <v>2</v>
      </c>
      <c r="Z140" s="960">
        <f t="array" ref="Z140">HLOOKUP($J140,'Type Chart'!$C$2:$T$20,7,false)*HLOOKUP($K140,'Type Chart'!$C$2:$U$20,7,false)</f>
        <v>1</v>
      </c>
      <c r="AA140" s="960">
        <f t="array" ref="AA140">HLOOKUP($J140,'Type Chart'!$C$2:$T$20,8,false)*HLOOKUP($K140,'Type Chart'!$C$2:$U$20,8,false)</f>
        <v>0.25</v>
      </c>
      <c r="AB140" s="960">
        <f t="array" ref="AB140">HLOOKUP($J140,'Type Chart'!$C$2:$T$20,9,false)*HLOOKUP($K140,'Type Chart'!$C$2:$U$20,9,false)</f>
        <v>2</v>
      </c>
      <c r="AC140" s="960">
        <f t="array" ref="AC140">HLOOKUP($J140,'Type Chart'!$C$2:$T$20,10,false)*HLOOKUP($K140,'Type Chart'!$C$2:$U$20,10,false)</f>
        <v>1</v>
      </c>
      <c r="AD140" s="960">
        <f t="array" ref="AD140">HLOOKUP($J140,'Type Chart'!$C$2:$T$20,11,false)*HLOOKUP($K140,'Type Chart'!$C$2:$U$20,11,false)</f>
        <v>1</v>
      </c>
      <c r="AE140" s="960">
        <f t="array" ref="AE140">HLOOKUP($J140,'Type Chart'!$C$2:$T$20,12,false)*HLOOKUP($K140,'Type Chart'!$C$2:$U$20,12,false)</f>
        <v>1</v>
      </c>
      <c r="AF140" s="960">
        <f t="array" ref="AF140">HLOOKUP($J140,'Type Chart'!$C$2:$T$20,13,false)*HLOOKUP($K140,'Type Chart'!$C$2:$U$20,13,false)</f>
        <v>0.5</v>
      </c>
      <c r="AG140" s="960">
        <f t="array" ref="AG140">HLOOKUP($J140,'Type Chart'!$C$2:$T$20,14,false)*HLOOKUP($K140,'Type Chart'!$C$2:$U$20,14,false)</f>
        <v>1</v>
      </c>
      <c r="AH140" s="960">
        <f t="array" ref="AH140">HLOOKUP($J140,'Type Chart'!$C$2:$T$20,15,false)*HLOOKUP($K140,'Type Chart'!$C$2:$U$20,15,false)</f>
        <v>2</v>
      </c>
      <c r="AI140" s="960">
        <f t="array" ref="AI140">HLOOKUP($J140,'Type Chart'!$C$2:$T$20,16,false)*HLOOKUP($K140,'Type Chart'!$C$2:$U$20,16,false)</f>
        <v>1</v>
      </c>
      <c r="AJ140" s="960">
        <f t="array" ref="AJ140">HLOOKUP($J140,'Type Chart'!$C$2:$T$20,17,false)*HLOOKUP($K140,'Type Chart'!$C$2:$U$20,17,false)</f>
        <v>1</v>
      </c>
      <c r="AK140" s="960">
        <f t="array" ref="AK140">HLOOKUP($J140,'Type Chart'!$C$2:$T$20,18,false)*HLOOKUP($K140,'Type Chart'!$C$2:$U$20,18,false)</f>
        <v>2</v>
      </c>
      <c r="AL140" s="960">
        <f t="array" ref="AL140">HLOOKUP($J140,'Type Chart'!$C$2:$T$20,19,false)*HLOOKUP($K140,'Type Chart'!$C$2:$U$20,19,false)</f>
        <v>0.5</v>
      </c>
      <c r="AM140" s="964" t="s">
        <v>1437</v>
      </c>
      <c r="AN140" s="965"/>
      <c r="AO140" s="966"/>
      <c r="AP140" s="936"/>
      <c r="AQ140" s="967"/>
      <c r="AR140" s="968"/>
      <c r="AS140" s="936"/>
    </row>
    <row r="141" ht="15.75" customHeight="1">
      <c r="A141" s="936"/>
      <c r="B141" s="948" t="s">
        <v>1438</v>
      </c>
      <c r="C141" s="950" t="s">
        <v>1439</v>
      </c>
      <c r="D141" s="950" t="s">
        <v>1439</v>
      </c>
      <c r="E141" s="952" t="s">
        <v>1439</v>
      </c>
      <c r="F141" s="940"/>
      <c r="G141" s="953"/>
      <c r="H141" s="969"/>
      <c r="I141" s="998" t="s">
        <v>838</v>
      </c>
      <c r="J141" s="1220" t="s">
        <v>215</v>
      </c>
      <c r="K141" s="958" t="s">
        <v>178</v>
      </c>
      <c r="L141" s="959">
        <v>45.0</v>
      </c>
      <c r="M141" s="960">
        <v>50.0</v>
      </c>
      <c r="N141" s="960">
        <v>45.0</v>
      </c>
      <c r="O141" s="960">
        <v>115.0</v>
      </c>
      <c r="P141" s="960">
        <v>55.0</v>
      </c>
      <c r="Q141" s="960">
        <v>95.0</v>
      </c>
      <c r="R141" s="960">
        <v>226.0</v>
      </c>
      <c r="S141" s="960">
        <v>289.0</v>
      </c>
      <c r="T141" s="960">
        <v>317.0</v>
      </c>
      <c r="U141" s="960">
        <f t="array" ref="U141">HLOOKUP($J141,'Type Chart'!$C$2:$T$20,2,false)*HLOOKUP($K141,'Type Chart'!$C$2:$U$20,2,false)</f>
        <v>0</v>
      </c>
      <c r="V141" s="960">
        <f t="array" ref="V141">HLOOKUP($J141,'Type Chart'!$C$2:$T$20,3,false)*HLOOKUP($K141,'Type Chart'!$C$2:$U$20,3,false)</f>
        <v>0</v>
      </c>
      <c r="W141" s="960">
        <f t="array" ref="W141">HLOOKUP($J141,'Type Chart'!$C$2:$T$20,4,false)*HLOOKUP($K141,'Type Chart'!$C$2:$U$20,4,false)</f>
        <v>1</v>
      </c>
      <c r="X141" s="960">
        <f t="array" ref="X141">HLOOKUP($J141,'Type Chart'!$C$2:$T$20,5,false)*HLOOKUP($K141,'Type Chart'!$C$2:$U$20,5,false)</f>
        <v>0.25</v>
      </c>
      <c r="Y141" s="960">
        <f t="array" ref="Y141">HLOOKUP($J141,'Type Chart'!$C$2:$T$20,6,false)*HLOOKUP($K141,'Type Chart'!$C$2:$U$20,6,false)</f>
        <v>2</v>
      </c>
      <c r="Z141" s="960">
        <f t="array" ref="Z141">HLOOKUP($J141,'Type Chart'!$C$2:$T$20,7,false)*HLOOKUP($K141,'Type Chart'!$C$2:$U$20,7,false)</f>
        <v>1</v>
      </c>
      <c r="AA141" s="960">
        <f t="array" ref="AA141">HLOOKUP($J141,'Type Chart'!$C$2:$T$20,8,false)*HLOOKUP($K141,'Type Chart'!$C$2:$U$20,8,false)</f>
        <v>0.25</v>
      </c>
      <c r="AB141" s="960">
        <f t="array" ref="AB141">HLOOKUP($J141,'Type Chart'!$C$2:$T$20,9,false)*HLOOKUP($K141,'Type Chart'!$C$2:$U$20,9,false)</f>
        <v>2</v>
      </c>
      <c r="AC141" s="960">
        <f t="array" ref="AC141">HLOOKUP($J141,'Type Chart'!$C$2:$T$20,10,false)*HLOOKUP($K141,'Type Chart'!$C$2:$U$20,10,false)</f>
        <v>1</v>
      </c>
      <c r="AD141" s="960">
        <f t="array" ref="AD141">HLOOKUP($J141,'Type Chart'!$C$2:$T$20,11,false)*HLOOKUP($K141,'Type Chart'!$C$2:$U$20,11,false)</f>
        <v>1</v>
      </c>
      <c r="AE141" s="960">
        <f t="array" ref="AE141">HLOOKUP($J141,'Type Chart'!$C$2:$T$20,12,false)*HLOOKUP($K141,'Type Chart'!$C$2:$U$20,12,false)</f>
        <v>1</v>
      </c>
      <c r="AF141" s="960">
        <f t="array" ref="AF141">HLOOKUP($J141,'Type Chart'!$C$2:$T$20,13,false)*HLOOKUP($K141,'Type Chart'!$C$2:$U$20,13,false)</f>
        <v>0.5</v>
      </c>
      <c r="AG141" s="960">
        <f t="array" ref="AG141">HLOOKUP($J141,'Type Chart'!$C$2:$T$20,14,false)*HLOOKUP($K141,'Type Chart'!$C$2:$U$20,14,false)</f>
        <v>1</v>
      </c>
      <c r="AH141" s="960">
        <f t="array" ref="AH141">HLOOKUP($J141,'Type Chart'!$C$2:$T$20,15,false)*HLOOKUP($K141,'Type Chart'!$C$2:$U$20,15,false)</f>
        <v>2</v>
      </c>
      <c r="AI141" s="960">
        <f t="array" ref="AI141">HLOOKUP($J141,'Type Chart'!$C$2:$T$20,16,false)*HLOOKUP($K141,'Type Chart'!$C$2:$U$20,16,false)</f>
        <v>1</v>
      </c>
      <c r="AJ141" s="960">
        <f t="array" ref="AJ141">HLOOKUP($J141,'Type Chart'!$C$2:$T$20,17,false)*HLOOKUP($K141,'Type Chart'!$C$2:$U$20,17,false)</f>
        <v>1</v>
      </c>
      <c r="AK141" s="960">
        <f t="array" ref="AK141">HLOOKUP($J141,'Type Chart'!$C$2:$T$20,18,false)*HLOOKUP($K141,'Type Chart'!$C$2:$U$20,18,false)</f>
        <v>2</v>
      </c>
      <c r="AL141" s="960">
        <f t="array" ref="AL141">HLOOKUP($J141,'Type Chart'!$C$2:$T$20,19,false)*HLOOKUP($K141,'Type Chart'!$C$2:$U$20,19,false)</f>
        <v>0.5</v>
      </c>
      <c r="AM141" s="964" t="s">
        <v>1437</v>
      </c>
      <c r="AN141" s="965"/>
      <c r="AO141" s="966"/>
      <c r="AP141" s="936"/>
      <c r="AQ141" s="967"/>
      <c r="AR141" s="968"/>
      <c r="AS141" s="936"/>
    </row>
    <row r="142" ht="15.75" customHeight="1">
      <c r="A142" s="1099"/>
      <c r="B142" s="948" t="s">
        <v>1440</v>
      </c>
      <c r="C142" s="1197" t="s">
        <v>1441</v>
      </c>
      <c r="D142" s="1197" t="s">
        <v>1441</v>
      </c>
      <c r="E142" s="1147" t="s">
        <v>1441</v>
      </c>
      <c r="F142" s="940"/>
      <c r="G142" s="953"/>
      <c r="H142" s="969"/>
      <c r="I142" s="998" t="s">
        <v>475</v>
      </c>
      <c r="J142" s="1221" t="s">
        <v>215</v>
      </c>
      <c r="K142" s="1209" t="s">
        <v>178</v>
      </c>
      <c r="L142" s="1200">
        <v>60.0</v>
      </c>
      <c r="M142" s="1201">
        <v>65.0</v>
      </c>
      <c r="N142" s="1201">
        <v>60.0</v>
      </c>
      <c r="O142" s="1201">
        <v>130.0</v>
      </c>
      <c r="P142" s="1201">
        <v>75.0</v>
      </c>
      <c r="Q142" s="1201">
        <v>110.0</v>
      </c>
      <c r="R142" s="960">
        <v>256.0</v>
      </c>
      <c r="S142" s="960">
        <v>319.0</v>
      </c>
      <c r="T142" s="960">
        <v>350.0</v>
      </c>
      <c r="U142" s="960">
        <f t="array" ref="U142">HLOOKUP($J142,'Type Chart'!$C$2:$T$20,2,false)*HLOOKUP($K142,'Type Chart'!$C$2:$U$20,2,false)</f>
        <v>0</v>
      </c>
      <c r="V142" s="960">
        <f t="array" ref="V142">HLOOKUP($J142,'Type Chart'!$C$2:$T$20,3,false)*HLOOKUP($K142,'Type Chart'!$C$2:$U$20,3,false)</f>
        <v>0</v>
      </c>
      <c r="W142" s="960">
        <f t="array" ref="W142">HLOOKUP($J142,'Type Chart'!$C$2:$T$20,4,false)*HLOOKUP($K142,'Type Chart'!$C$2:$U$20,4,false)</f>
        <v>1</v>
      </c>
      <c r="X142" s="960">
        <f t="array" ref="X142">HLOOKUP($J142,'Type Chart'!$C$2:$T$20,5,false)*HLOOKUP($K142,'Type Chart'!$C$2:$U$20,5,false)</f>
        <v>0.25</v>
      </c>
      <c r="Y142" s="960">
        <f t="array" ref="Y142">HLOOKUP($J142,'Type Chart'!$C$2:$T$20,6,false)*HLOOKUP($K142,'Type Chart'!$C$2:$U$20,6,false)</f>
        <v>2</v>
      </c>
      <c r="Z142" s="960">
        <f t="array" ref="Z142">HLOOKUP($J142,'Type Chart'!$C$2:$T$20,7,false)*HLOOKUP($K142,'Type Chart'!$C$2:$U$20,7,false)</f>
        <v>1</v>
      </c>
      <c r="AA142" s="960">
        <f t="array" ref="AA142">HLOOKUP($J142,'Type Chart'!$C$2:$T$20,8,false)*HLOOKUP($K142,'Type Chart'!$C$2:$U$20,8,false)</f>
        <v>0.25</v>
      </c>
      <c r="AB142" s="960">
        <f t="array" ref="AB142">HLOOKUP($J142,'Type Chart'!$C$2:$T$20,9,false)*HLOOKUP($K142,'Type Chart'!$C$2:$U$20,9,false)</f>
        <v>2</v>
      </c>
      <c r="AC142" s="960">
        <f t="array" ref="AC142">HLOOKUP($J142,'Type Chart'!$C$2:$T$20,10,false)*HLOOKUP($K142,'Type Chart'!$C$2:$U$20,10,false)</f>
        <v>1</v>
      </c>
      <c r="AD142" s="960">
        <f t="array" ref="AD142">HLOOKUP($J142,'Type Chart'!$C$2:$T$20,11,false)*HLOOKUP($K142,'Type Chart'!$C$2:$U$20,11,false)</f>
        <v>1</v>
      </c>
      <c r="AE142" s="960">
        <f t="array" ref="AE142">HLOOKUP($J142,'Type Chart'!$C$2:$T$20,12,false)*HLOOKUP($K142,'Type Chart'!$C$2:$U$20,12,false)</f>
        <v>1</v>
      </c>
      <c r="AF142" s="960">
        <f t="array" ref="AF142">HLOOKUP($J142,'Type Chart'!$C$2:$T$20,13,false)*HLOOKUP($K142,'Type Chart'!$C$2:$U$20,13,false)</f>
        <v>0.5</v>
      </c>
      <c r="AG142" s="960">
        <f t="array" ref="AG142">HLOOKUP($J142,'Type Chart'!$C$2:$T$20,14,false)*HLOOKUP($K142,'Type Chart'!$C$2:$U$20,14,false)</f>
        <v>1</v>
      </c>
      <c r="AH142" s="960">
        <f t="array" ref="AH142">HLOOKUP($J142,'Type Chart'!$C$2:$T$20,15,false)*HLOOKUP($K142,'Type Chart'!$C$2:$U$20,15,false)</f>
        <v>2</v>
      </c>
      <c r="AI142" s="960">
        <f t="array" ref="AI142">HLOOKUP($J142,'Type Chart'!$C$2:$T$20,16,false)*HLOOKUP($K142,'Type Chart'!$C$2:$U$20,16,false)</f>
        <v>1</v>
      </c>
      <c r="AJ142" s="960">
        <f t="array" ref="AJ142">HLOOKUP($J142,'Type Chart'!$C$2:$T$20,17,false)*HLOOKUP($K142,'Type Chart'!$C$2:$U$20,17,false)</f>
        <v>1</v>
      </c>
      <c r="AK142" s="960">
        <f t="array" ref="AK142">HLOOKUP($J142,'Type Chart'!$C$2:$T$20,18,false)*HLOOKUP($K142,'Type Chart'!$C$2:$U$20,18,false)</f>
        <v>2</v>
      </c>
      <c r="AL142" s="960">
        <f t="array" ref="AL142">HLOOKUP($J142,'Type Chart'!$C$2:$T$20,19,false)*HLOOKUP($K142,'Type Chart'!$C$2:$U$20,19,false)</f>
        <v>0.5</v>
      </c>
      <c r="AM142" s="1145" t="s">
        <v>1442</v>
      </c>
      <c r="AN142" s="965"/>
      <c r="AO142" s="966"/>
      <c r="AP142" s="936"/>
      <c r="AQ142" s="967"/>
      <c r="AR142" s="968"/>
      <c r="AS142" s="936"/>
    </row>
    <row r="143" ht="15.75" customHeight="1">
      <c r="A143" s="1099"/>
      <c r="B143" s="948" t="s">
        <v>1443</v>
      </c>
      <c r="C143" s="1197" t="s">
        <v>1444</v>
      </c>
      <c r="D143" s="1197" t="s">
        <v>1444</v>
      </c>
      <c r="E143" s="1147" t="s">
        <v>1444</v>
      </c>
      <c r="F143" s="940"/>
      <c r="G143" s="953"/>
      <c r="H143" s="969"/>
      <c r="I143" s="998" t="s">
        <v>1445</v>
      </c>
      <c r="J143" s="1221" t="s">
        <v>215</v>
      </c>
      <c r="K143" s="1209" t="s">
        <v>178</v>
      </c>
      <c r="L143" s="1200">
        <v>60.0</v>
      </c>
      <c r="M143" s="1201">
        <v>65.0</v>
      </c>
      <c r="N143" s="1201">
        <v>80.0</v>
      </c>
      <c r="O143" s="1201">
        <v>170.0</v>
      </c>
      <c r="P143" s="1201">
        <v>95.0</v>
      </c>
      <c r="Q143" s="1201">
        <v>130.0</v>
      </c>
      <c r="R143" s="960">
        <v>296.0</v>
      </c>
      <c r="S143" s="960">
        <v>359.0</v>
      </c>
      <c r="T143" s="960">
        <v>394.0</v>
      </c>
      <c r="U143" s="960">
        <f t="array" ref="U143">HLOOKUP($J143,'Type Chart'!$C$2:$T$20,2,false)*HLOOKUP($K143,'Type Chart'!$C$2:$U$20,2,false)</f>
        <v>0</v>
      </c>
      <c r="V143" s="960">
        <f t="array" ref="V143">HLOOKUP($J143,'Type Chart'!$C$2:$T$20,3,false)*HLOOKUP($K143,'Type Chart'!$C$2:$U$20,3,false)</f>
        <v>0</v>
      </c>
      <c r="W143" s="960">
        <f t="array" ref="W143">HLOOKUP($J143,'Type Chart'!$C$2:$T$20,4,false)*HLOOKUP($K143,'Type Chart'!$C$2:$U$20,4,false)</f>
        <v>1</v>
      </c>
      <c r="X143" s="960">
        <f t="array" ref="X143">HLOOKUP($J143,'Type Chart'!$C$2:$T$20,5,false)*HLOOKUP($K143,'Type Chart'!$C$2:$U$20,5,false)</f>
        <v>0.25</v>
      </c>
      <c r="Y143" s="960">
        <f t="array" ref="Y143">HLOOKUP($J143,'Type Chart'!$C$2:$T$20,6,false)*HLOOKUP($K143,'Type Chart'!$C$2:$U$20,6,false)</f>
        <v>2</v>
      </c>
      <c r="Z143" s="960">
        <f t="array" ref="Z143">HLOOKUP($J143,'Type Chart'!$C$2:$T$20,7,false)*HLOOKUP($K143,'Type Chart'!$C$2:$U$20,7,false)</f>
        <v>1</v>
      </c>
      <c r="AA143" s="960">
        <f t="array" ref="AA143">HLOOKUP($J143,'Type Chart'!$C$2:$T$20,8,false)*HLOOKUP($K143,'Type Chart'!$C$2:$U$20,8,false)</f>
        <v>0.25</v>
      </c>
      <c r="AB143" s="960">
        <f t="array" ref="AB143">HLOOKUP($J143,'Type Chart'!$C$2:$T$20,9,false)*HLOOKUP($K143,'Type Chart'!$C$2:$U$20,9,false)</f>
        <v>2</v>
      </c>
      <c r="AC143" s="960">
        <f t="array" ref="AC143">HLOOKUP($J143,'Type Chart'!$C$2:$T$20,10,false)*HLOOKUP($K143,'Type Chart'!$C$2:$U$20,10,false)</f>
        <v>1</v>
      </c>
      <c r="AD143" s="960">
        <f t="array" ref="AD143">HLOOKUP($J143,'Type Chart'!$C$2:$T$20,11,false)*HLOOKUP($K143,'Type Chart'!$C$2:$U$20,11,false)</f>
        <v>1</v>
      </c>
      <c r="AE143" s="960">
        <f t="array" ref="AE143">HLOOKUP($J143,'Type Chart'!$C$2:$T$20,12,false)*HLOOKUP($K143,'Type Chart'!$C$2:$U$20,12,false)</f>
        <v>1</v>
      </c>
      <c r="AF143" s="960">
        <f t="array" ref="AF143">HLOOKUP($J143,'Type Chart'!$C$2:$T$20,13,false)*HLOOKUP($K143,'Type Chart'!$C$2:$U$20,13,false)</f>
        <v>0.5</v>
      </c>
      <c r="AG143" s="960">
        <f t="array" ref="AG143">HLOOKUP($J143,'Type Chart'!$C$2:$T$20,14,false)*HLOOKUP($K143,'Type Chart'!$C$2:$U$20,14,false)</f>
        <v>1</v>
      </c>
      <c r="AH143" s="960">
        <f t="array" ref="AH143">HLOOKUP($J143,'Type Chart'!$C$2:$T$20,15,false)*HLOOKUP($K143,'Type Chart'!$C$2:$U$20,15,false)</f>
        <v>2</v>
      </c>
      <c r="AI143" s="960">
        <f t="array" ref="AI143">HLOOKUP($J143,'Type Chart'!$C$2:$T$20,16,false)*HLOOKUP($K143,'Type Chart'!$C$2:$U$20,16,false)</f>
        <v>1</v>
      </c>
      <c r="AJ143" s="960">
        <f t="array" ref="AJ143">HLOOKUP($J143,'Type Chart'!$C$2:$T$20,17,false)*HLOOKUP($K143,'Type Chart'!$C$2:$U$20,17,false)</f>
        <v>1</v>
      </c>
      <c r="AK143" s="960">
        <f t="array" ref="AK143">HLOOKUP($J143,'Type Chart'!$C$2:$T$20,18,false)*HLOOKUP($K143,'Type Chart'!$C$2:$U$20,18,false)</f>
        <v>2</v>
      </c>
      <c r="AL143" s="960">
        <f t="array" ref="AL143">HLOOKUP($J143,'Type Chart'!$C$2:$T$20,19,false)*HLOOKUP($K143,'Type Chart'!$C$2:$U$20,19,false)</f>
        <v>0.5</v>
      </c>
      <c r="AM143" s="1145" t="s">
        <v>1446</v>
      </c>
      <c r="AN143" s="965"/>
      <c r="AO143" s="966"/>
      <c r="AP143" s="936"/>
      <c r="AQ143" s="967"/>
      <c r="AR143" s="968"/>
      <c r="AS143" s="936"/>
    </row>
    <row r="144" ht="15.75" customHeight="1">
      <c r="A144" s="1099"/>
      <c r="B144" s="948" t="s">
        <v>1447</v>
      </c>
      <c r="C144" s="1197" t="s">
        <v>1448</v>
      </c>
      <c r="D144" s="1197" t="s">
        <v>1448</v>
      </c>
      <c r="E144" s="1147" t="s">
        <v>1448</v>
      </c>
      <c r="F144" s="940"/>
      <c r="G144" s="953"/>
      <c r="H144" s="969"/>
      <c r="I144" s="998" t="s">
        <v>1449</v>
      </c>
      <c r="J144" s="1222" t="s">
        <v>342</v>
      </c>
      <c r="K144" s="1223" t="s">
        <v>80</v>
      </c>
      <c r="L144" s="1200">
        <v>35.0</v>
      </c>
      <c r="M144" s="1201">
        <v>45.0</v>
      </c>
      <c r="N144" s="1201">
        <v>160.0</v>
      </c>
      <c r="O144" s="1201">
        <v>30.0</v>
      </c>
      <c r="P144" s="1201">
        <v>45.0</v>
      </c>
      <c r="Q144" s="1201">
        <v>70.0</v>
      </c>
      <c r="R144" s="960">
        <v>176.0</v>
      </c>
      <c r="S144" s="960">
        <v>239.0</v>
      </c>
      <c r="T144" s="960">
        <v>262.0</v>
      </c>
      <c r="U144" s="960">
        <f t="array" ref="U144">HLOOKUP($J144,'Type Chart'!$C$2:$T$20,2,false)*HLOOKUP($K144,'Type Chart'!$C$2:$U$20,2,false)</f>
        <v>0.5</v>
      </c>
      <c r="V144" s="960">
        <f t="array" ref="V144">HLOOKUP($J144,'Type Chart'!$C$2:$T$20,3,false)*HLOOKUP($K144,'Type Chart'!$C$2:$U$20,3,false)</f>
        <v>2</v>
      </c>
      <c r="W144" s="960">
        <f t="array" ref="W144">HLOOKUP($J144,'Type Chart'!$C$2:$T$20,4,false)*HLOOKUP($K144,'Type Chart'!$C$2:$U$20,4,false)</f>
        <v>0.5</v>
      </c>
      <c r="X144" s="960">
        <f t="array" ref="X144">HLOOKUP($J144,'Type Chart'!$C$2:$T$20,5,false)*HLOOKUP($K144,'Type Chart'!$C$2:$U$20,5,false)</f>
        <v>0.25</v>
      </c>
      <c r="Y144" s="960">
        <f t="array" ref="Y144">HLOOKUP($J144,'Type Chart'!$C$2:$T$20,6,false)*HLOOKUP($K144,'Type Chart'!$C$2:$U$20,6,false)</f>
        <v>2</v>
      </c>
      <c r="Z144" s="960">
        <f t="array" ref="Z144">HLOOKUP($J144,'Type Chart'!$C$2:$T$20,7,false)*HLOOKUP($K144,'Type Chart'!$C$2:$U$20,7,false)</f>
        <v>0.5</v>
      </c>
      <c r="AA144" s="960">
        <f t="array" ref="AA144">HLOOKUP($J144,'Type Chart'!$C$2:$T$20,8,false)*HLOOKUP($K144,'Type Chart'!$C$2:$U$20,8,false)</f>
        <v>1</v>
      </c>
      <c r="AB144" s="960">
        <f t="array" ref="AB144">HLOOKUP($J144,'Type Chart'!$C$2:$T$20,9,false)*HLOOKUP($K144,'Type Chart'!$C$2:$U$20,9,false)</f>
        <v>1</v>
      </c>
      <c r="AC144" s="960">
        <f t="array" ref="AC144">HLOOKUP($J144,'Type Chart'!$C$2:$T$20,10,false)*HLOOKUP($K144,'Type Chart'!$C$2:$U$20,10,false)</f>
        <v>2</v>
      </c>
      <c r="AD144" s="960">
        <f t="array" ref="AD144">HLOOKUP($J144,'Type Chart'!$C$2:$T$20,11,false)*HLOOKUP($K144,'Type Chart'!$C$2:$U$20,11,false)</f>
        <v>0.5</v>
      </c>
      <c r="AE144" s="960">
        <f t="array" ref="AE144">HLOOKUP($J144,'Type Chart'!$C$2:$T$20,12,false)*HLOOKUP($K144,'Type Chart'!$C$2:$U$20,12,false)</f>
        <v>4</v>
      </c>
      <c r="AF144" s="960">
        <f t="array" ref="AF144">HLOOKUP($J144,'Type Chart'!$C$2:$T$20,13,false)*HLOOKUP($K144,'Type Chart'!$C$2:$U$20,13,false)</f>
        <v>4</v>
      </c>
      <c r="AG144" s="960">
        <f t="array" ref="AG144">HLOOKUP($J144,'Type Chart'!$C$2:$T$20,14,false)*HLOOKUP($K144,'Type Chart'!$C$2:$U$20,14,false)</f>
        <v>0</v>
      </c>
      <c r="AH144" s="960">
        <f t="array" ref="AH144">HLOOKUP($J144,'Type Chart'!$C$2:$T$20,15,false)*HLOOKUP($K144,'Type Chart'!$C$2:$U$20,15,false)</f>
        <v>1</v>
      </c>
      <c r="AI144" s="960">
        <f t="array" ref="AI144">HLOOKUP($J144,'Type Chart'!$C$2:$T$20,16,false)*HLOOKUP($K144,'Type Chart'!$C$2:$U$20,16,false)</f>
        <v>2</v>
      </c>
      <c r="AJ144" s="960">
        <f t="array" ref="AJ144">HLOOKUP($J144,'Type Chart'!$C$2:$T$20,17,false)*HLOOKUP($K144,'Type Chart'!$C$2:$U$20,17,false)</f>
        <v>1</v>
      </c>
      <c r="AK144" s="960">
        <f t="array" ref="AK144">HLOOKUP($J144,'Type Chart'!$C$2:$T$20,18,false)*HLOOKUP($K144,'Type Chart'!$C$2:$U$20,18,false)</f>
        <v>1</v>
      </c>
      <c r="AL144" s="960">
        <f t="array" ref="AL144">HLOOKUP($J144,'Type Chart'!$C$2:$T$20,19,false)*HLOOKUP($K144,'Type Chart'!$C$2:$U$20,19,false)</f>
        <v>1</v>
      </c>
      <c r="AM144" s="1145" t="s">
        <v>1276</v>
      </c>
      <c r="AN144" s="965" t="s">
        <v>1331</v>
      </c>
      <c r="AO144" s="966" t="s">
        <v>1450</v>
      </c>
      <c r="AP144" s="936"/>
      <c r="AQ144" s="967"/>
      <c r="AR144" s="968"/>
      <c r="AS144" s="936"/>
    </row>
    <row r="145" ht="15.75" customHeight="1">
      <c r="A145" s="936"/>
      <c r="B145" s="948" t="s">
        <v>1451</v>
      </c>
      <c r="C145" s="950" t="s">
        <v>1452</v>
      </c>
      <c r="D145" s="950" t="s">
        <v>1452</v>
      </c>
      <c r="E145" s="952" t="s">
        <v>1452</v>
      </c>
      <c r="F145" s="940"/>
      <c r="G145" s="953"/>
      <c r="H145" s="969"/>
      <c r="I145" s="956" t="s">
        <v>1453</v>
      </c>
      <c r="J145" s="1203" t="s">
        <v>344</v>
      </c>
      <c r="K145" s="984" t="s">
        <v>216</v>
      </c>
      <c r="L145" s="959">
        <v>60.0</v>
      </c>
      <c r="M145" s="960">
        <v>48.0</v>
      </c>
      <c r="N145" s="960">
        <v>45.0</v>
      </c>
      <c r="O145" s="960">
        <v>43.0</v>
      </c>
      <c r="P145" s="960">
        <v>90.0</v>
      </c>
      <c r="Q145" s="960">
        <v>42.0</v>
      </c>
      <c r="R145" s="960">
        <v>120.0</v>
      </c>
      <c r="S145" s="960">
        <v>183.0</v>
      </c>
      <c r="T145" s="960">
        <v>201.0</v>
      </c>
      <c r="U145" s="960">
        <f t="array" ref="U145">HLOOKUP($J145,'Type Chart'!$C$2:$T$20,2,false)*HLOOKUP($K145,'Type Chart'!$C$2:$U$20,2,false)</f>
        <v>1</v>
      </c>
      <c r="V145" s="960">
        <f t="array" ref="V145">HLOOKUP($J145,'Type Chart'!$C$2:$T$20,3,false)*HLOOKUP($K145,'Type Chart'!$C$2:$U$20,3,false)</f>
        <v>0.5</v>
      </c>
      <c r="W145" s="960">
        <f t="array" ref="W145">HLOOKUP($J145,'Type Chart'!$C$2:$T$20,4,false)*HLOOKUP($K145,'Type Chart'!$C$2:$U$20,4,false)</f>
        <v>1</v>
      </c>
      <c r="X145" s="960">
        <f t="array" ref="X145">HLOOKUP($J145,'Type Chart'!$C$2:$T$20,5,false)*HLOOKUP($K145,'Type Chart'!$C$2:$U$20,5,false)</f>
        <v>1</v>
      </c>
      <c r="Y145" s="960">
        <f t="array" ref="Y145">HLOOKUP($J145,'Type Chart'!$C$2:$T$20,6,false)*HLOOKUP($K145,'Type Chart'!$C$2:$U$20,6,false)</f>
        <v>1</v>
      </c>
      <c r="Z145" s="960">
        <f t="array" ref="Z145">HLOOKUP($J145,'Type Chart'!$C$2:$T$20,7,false)*HLOOKUP($K145,'Type Chart'!$C$2:$U$20,7,false)</f>
        <v>1</v>
      </c>
      <c r="AA145" s="960">
        <f t="array" ref="AA145">HLOOKUP($J145,'Type Chart'!$C$2:$T$20,8,false)*HLOOKUP($K145,'Type Chart'!$C$2:$U$20,8,false)</f>
        <v>2</v>
      </c>
      <c r="AB145" s="960">
        <f t="array" ref="AB145">HLOOKUP($J145,'Type Chart'!$C$2:$T$20,9,false)*HLOOKUP($K145,'Type Chart'!$C$2:$U$20,9,false)</f>
        <v>2</v>
      </c>
      <c r="AC145" s="960">
        <f t="array" ref="AC145">HLOOKUP($J145,'Type Chart'!$C$2:$T$20,10,false)*HLOOKUP($K145,'Type Chart'!$C$2:$U$20,10,false)</f>
        <v>1</v>
      </c>
      <c r="AD145" s="960">
        <f t="array" ref="AD145">HLOOKUP($J145,'Type Chart'!$C$2:$T$20,11,false)*HLOOKUP($K145,'Type Chart'!$C$2:$U$20,11,false)</f>
        <v>1</v>
      </c>
      <c r="AE145" s="960">
        <f t="array" ref="AE145">HLOOKUP($J145,'Type Chart'!$C$2:$T$20,12,false)*HLOOKUP($K145,'Type Chart'!$C$2:$U$20,12,false)</f>
        <v>1</v>
      </c>
      <c r="AF145" s="960">
        <f t="array" ref="AF145">HLOOKUP($J145,'Type Chart'!$C$2:$T$20,13,false)*HLOOKUP($K145,'Type Chart'!$C$2:$U$20,13,false)</f>
        <v>1</v>
      </c>
      <c r="AG145" s="960">
        <f t="array" ref="AG145">HLOOKUP($J145,'Type Chart'!$C$2:$T$20,14,false)*HLOOKUP($K145,'Type Chart'!$C$2:$U$20,14,false)</f>
        <v>1</v>
      </c>
      <c r="AH145" s="960">
        <f t="array" ref="AH145">HLOOKUP($J145,'Type Chart'!$C$2:$T$20,15,false)*HLOOKUP($K145,'Type Chart'!$C$2:$U$20,15,false)</f>
        <v>0.5</v>
      </c>
      <c r="AI145" s="960">
        <f t="array" ref="AI145">HLOOKUP($J145,'Type Chart'!$C$2:$T$20,16,false)*HLOOKUP($K145,'Type Chart'!$C$2:$U$20,16,false)</f>
        <v>1</v>
      </c>
      <c r="AJ145" s="960">
        <f t="array" ref="AJ145">HLOOKUP($J145,'Type Chart'!$C$2:$T$20,17,false)*HLOOKUP($K145,'Type Chart'!$C$2:$U$20,17,false)</f>
        <v>1</v>
      </c>
      <c r="AK145" s="960">
        <f t="array" ref="AK145">HLOOKUP($J145,'Type Chart'!$C$2:$T$20,18,false)*HLOOKUP($K145,'Type Chart'!$C$2:$U$20,18,false)</f>
        <v>2</v>
      </c>
      <c r="AL145" s="960">
        <f t="array" ref="AL145">HLOOKUP($J145,'Type Chart'!$C$2:$T$20,19,false)*HLOOKUP($K145,'Type Chart'!$C$2:$U$20,19,false)</f>
        <v>1</v>
      </c>
      <c r="AM145" s="964" t="s">
        <v>1454</v>
      </c>
      <c r="AN145" s="965" t="s">
        <v>1455</v>
      </c>
      <c r="AO145" s="966" t="s">
        <v>1192</v>
      </c>
      <c r="AP145" s="936"/>
      <c r="AQ145" s="967"/>
      <c r="AR145" s="968"/>
      <c r="AS145" s="936"/>
    </row>
    <row r="146" ht="15.75" customHeight="1">
      <c r="A146" s="1099"/>
      <c r="B146" s="948" t="s">
        <v>1456</v>
      </c>
      <c r="C146" s="1197" t="s">
        <v>1457</v>
      </c>
      <c r="D146" s="1197" t="s">
        <v>1457</v>
      </c>
      <c r="E146" s="1147" t="s">
        <v>1457</v>
      </c>
      <c r="F146" s="940"/>
      <c r="G146" s="953"/>
      <c r="H146" s="969"/>
      <c r="I146" s="998" t="s">
        <v>840</v>
      </c>
      <c r="J146" s="1215" t="s">
        <v>344</v>
      </c>
      <c r="K146" s="1199" t="s">
        <v>216</v>
      </c>
      <c r="L146" s="1200">
        <v>85.0</v>
      </c>
      <c r="M146" s="1201">
        <v>73.0</v>
      </c>
      <c r="N146" s="1201">
        <v>70.0</v>
      </c>
      <c r="O146" s="1201">
        <v>73.0</v>
      </c>
      <c r="P146" s="1201">
        <v>115.0</v>
      </c>
      <c r="Q146" s="1201">
        <v>67.0</v>
      </c>
      <c r="R146" s="960">
        <v>170.0</v>
      </c>
      <c r="S146" s="960">
        <v>233.0</v>
      </c>
      <c r="T146" s="960">
        <v>256.0</v>
      </c>
      <c r="U146" s="960">
        <f t="array" ref="U146">HLOOKUP($J146,'Type Chart'!$C$2:$T$20,2,false)*HLOOKUP($K146,'Type Chart'!$C$2:$U$20,2,false)</f>
        <v>1</v>
      </c>
      <c r="V146" s="960">
        <f t="array" ref="V146">HLOOKUP($J146,'Type Chart'!$C$2:$T$20,3,false)*HLOOKUP($K146,'Type Chart'!$C$2:$U$20,3,false)</f>
        <v>0.5</v>
      </c>
      <c r="W146" s="960">
        <f t="array" ref="W146">HLOOKUP($J146,'Type Chart'!$C$2:$T$20,4,false)*HLOOKUP($K146,'Type Chart'!$C$2:$U$20,4,false)</f>
        <v>1</v>
      </c>
      <c r="X146" s="960">
        <f t="array" ref="X146">HLOOKUP($J146,'Type Chart'!$C$2:$T$20,5,false)*HLOOKUP($K146,'Type Chart'!$C$2:$U$20,5,false)</f>
        <v>1</v>
      </c>
      <c r="Y146" s="960">
        <f t="array" ref="Y146">HLOOKUP($J146,'Type Chart'!$C$2:$T$20,6,false)*HLOOKUP($K146,'Type Chart'!$C$2:$U$20,6,false)</f>
        <v>1</v>
      </c>
      <c r="Z146" s="960">
        <f t="array" ref="Z146">HLOOKUP($J146,'Type Chart'!$C$2:$T$20,7,false)*HLOOKUP($K146,'Type Chart'!$C$2:$U$20,7,false)</f>
        <v>1</v>
      </c>
      <c r="AA146" s="960">
        <f t="array" ref="AA146">HLOOKUP($J146,'Type Chart'!$C$2:$T$20,8,false)*HLOOKUP($K146,'Type Chart'!$C$2:$U$20,8,false)</f>
        <v>2</v>
      </c>
      <c r="AB146" s="960">
        <f t="array" ref="AB146">HLOOKUP($J146,'Type Chart'!$C$2:$T$20,9,false)*HLOOKUP($K146,'Type Chart'!$C$2:$U$20,9,false)</f>
        <v>2</v>
      </c>
      <c r="AC146" s="960">
        <f t="array" ref="AC146">HLOOKUP($J146,'Type Chart'!$C$2:$T$20,10,false)*HLOOKUP($K146,'Type Chart'!$C$2:$U$20,10,false)</f>
        <v>1</v>
      </c>
      <c r="AD146" s="960">
        <f t="array" ref="AD146">HLOOKUP($J146,'Type Chart'!$C$2:$T$20,11,false)*HLOOKUP($K146,'Type Chart'!$C$2:$U$20,11,false)</f>
        <v>1</v>
      </c>
      <c r="AE146" s="960">
        <f t="array" ref="AE146">HLOOKUP($J146,'Type Chart'!$C$2:$T$20,12,false)*HLOOKUP($K146,'Type Chart'!$C$2:$U$20,12,false)</f>
        <v>1</v>
      </c>
      <c r="AF146" s="960">
        <f t="array" ref="AF146">HLOOKUP($J146,'Type Chart'!$C$2:$T$20,13,false)*HLOOKUP($K146,'Type Chart'!$C$2:$U$20,13,false)</f>
        <v>1</v>
      </c>
      <c r="AG146" s="960">
        <f t="array" ref="AG146">HLOOKUP($J146,'Type Chart'!$C$2:$T$20,14,false)*HLOOKUP($K146,'Type Chart'!$C$2:$U$20,14,false)</f>
        <v>1</v>
      </c>
      <c r="AH146" s="960">
        <f t="array" ref="AH146">HLOOKUP($J146,'Type Chart'!$C$2:$T$20,15,false)*HLOOKUP($K146,'Type Chart'!$C$2:$U$20,15,false)</f>
        <v>0.5</v>
      </c>
      <c r="AI146" s="960">
        <f t="array" ref="AI146">HLOOKUP($J146,'Type Chart'!$C$2:$T$20,16,false)*HLOOKUP($K146,'Type Chart'!$C$2:$U$20,16,false)</f>
        <v>1</v>
      </c>
      <c r="AJ146" s="960">
        <f t="array" ref="AJ146">HLOOKUP($J146,'Type Chart'!$C$2:$T$20,17,false)*HLOOKUP($K146,'Type Chart'!$C$2:$U$20,17,false)</f>
        <v>1</v>
      </c>
      <c r="AK146" s="960">
        <f t="array" ref="AK146">HLOOKUP($J146,'Type Chart'!$C$2:$T$20,18,false)*HLOOKUP($K146,'Type Chart'!$C$2:$U$20,18,false)</f>
        <v>2</v>
      </c>
      <c r="AL146" s="960">
        <f t="array" ref="AL146">HLOOKUP($J146,'Type Chart'!$C$2:$T$20,19,false)*HLOOKUP($K146,'Type Chart'!$C$2:$U$20,19,false)</f>
        <v>1</v>
      </c>
      <c r="AM146" s="1145" t="s">
        <v>1454</v>
      </c>
      <c r="AN146" s="1202" t="s">
        <v>1455</v>
      </c>
      <c r="AO146" s="1146" t="s">
        <v>1192</v>
      </c>
      <c r="AP146" s="936"/>
      <c r="AQ146" s="967"/>
      <c r="AR146" s="968"/>
      <c r="AS146" s="936"/>
    </row>
    <row r="147" ht="15.75" customHeight="1">
      <c r="A147" s="936"/>
      <c r="B147" s="948" t="s">
        <v>1458</v>
      </c>
      <c r="C147" s="950" t="s">
        <v>1459</v>
      </c>
      <c r="D147" s="950" t="s">
        <v>1459</v>
      </c>
      <c r="E147" s="952" t="s">
        <v>1459</v>
      </c>
      <c r="F147" s="940"/>
      <c r="G147" s="953"/>
      <c r="H147" s="969"/>
      <c r="I147" s="956" t="s">
        <v>1460</v>
      </c>
      <c r="J147" s="1056" t="s">
        <v>81</v>
      </c>
      <c r="K147" s="984" t="s">
        <v>216</v>
      </c>
      <c r="L147" s="959">
        <v>30.0</v>
      </c>
      <c r="M147" s="960">
        <v>105.0</v>
      </c>
      <c r="N147" s="960">
        <v>90.0</v>
      </c>
      <c r="O147" s="960">
        <v>25.0</v>
      </c>
      <c r="P147" s="960">
        <v>25.0</v>
      </c>
      <c r="Q147" s="960">
        <v>50.0</v>
      </c>
      <c r="R147" s="960">
        <v>136.0</v>
      </c>
      <c r="S147" s="960">
        <v>199.0</v>
      </c>
      <c r="T147" s="960">
        <v>218.0</v>
      </c>
      <c r="U147" s="960">
        <f t="array" ref="U147">HLOOKUP($J147,'Type Chart'!$C$2:$T$20,2,false)*HLOOKUP($K147,'Type Chart'!$C$2:$U$20,2,false)</f>
        <v>1</v>
      </c>
      <c r="V147" s="960">
        <f t="array" ref="V147">HLOOKUP($J147,'Type Chart'!$C$2:$T$20,3,false)*HLOOKUP($K147,'Type Chart'!$C$2:$U$20,3,false)</f>
        <v>1</v>
      </c>
      <c r="W147" s="960">
        <f t="array" ref="W147">HLOOKUP($J147,'Type Chart'!$C$2:$T$20,4,false)*HLOOKUP($K147,'Type Chart'!$C$2:$U$20,4,false)</f>
        <v>1</v>
      </c>
      <c r="X147" s="960">
        <f t="array" ref="X147">HLOOKUP($J147,'Type Chart'!$C$2:$T$20,5,false)*HLOOKUP($K147,'Type Chart'!$C$2:$U$20,5,false)</f>
        <v>1</v>
      </c>
      <c r="Y147" s="960">
        <f t="array" ref="Y147">HLOOKUP($J147,'Type Chart'!$C$2:$T$20,6,false)*HLOOKUP($K147,'Type Chart'!$C$2:$U$20,6,false)</f>
        <v>1</v>
      </c>
      <c r="Z147" s="960">
        <f t="array" ref="Z147">HLOOKUP($J147,'Type Chart'!$C$2:$T$20,7,false)*HLOOKUP($K147,'Type Chart'!$C$2:$U$20,7,false)</f>
        <v>1</v>
      </c>
      <c r="AA147" s="960">
        <f t="array" ref="AA147">HLOOKUP($J147,'Type Chart'!$C$2:$T$20,8,false)*HLOOKUP($K147,'Type Chart'!$C$2:$U$20,8,false)</f>
        <v>1</v>
      </c>
      <c r="AB147" s="960">
        <f t="array" ref="AB147">HLOOKUP($J147,'Type Chart'!$C$2:$T$20,9,false)*HLOOKUP($K147,'Type Chart'!$C$2:$U$20,9,false)</f>
        <v>1</v>
      </c>
      <c r="AC147" s="960">
        <f t="array" ref="AC147">HLOOKUP($J147,'Type Chart'!$C$2:$T$20,10,false)*HLOOKUP($K147,'Type Chart'!$C$2:$U$20,10,false)</f>
        <v>0.5</v>
      </c>
      <c r="AD147" s="960">
        <f t="array" ref="AD147">HLOOKUP($J147,'Type Chart'!$C$2:$T$20,11,false)*HLOOKUP($K147,'Type Chart'!$C$2:$U$20,11,false)</f>
        <v>0.5</v>
      </c>
      <c r="AE147" s="960">
        <f t="array" ref="AE147">HLOOKUP($J147,'Type Chart'!$C$2:$T$20,12,false)*HLOOKUP($K147,'Type Chart'!$C$2:$U$20,12,false)</f>
        <v>0.5</v>
      </c>
      <c r="AF147" s="960">
        <f t="array" ref="AF147">HLOOKUP($J147,'Type Chart'!$C$2:$T$20,13,false)*HLOOKUP($K147,'Type Chart'!$C$2:$U$20,13,false)</f>
        <v>2</v>
      </c>
      <c r="AG147" s="960">
        <f t="array" ref="AG147">HLOOKUP($J147,'Type Chart'!$C$2:$T$20,14,false)*HLOOKUP($K147,'Type Chart'!$C$2:$U$20,14,false)</f>
        <v>2</v>
      </c>
      <c r="AH147" s="960">
        <f t="array" ref="AH147">HLOOKUP($J147,'Type Chart'!$C$2:$T$20,15,false)*HLOOKUP($K147,'Type Chart'!$C$2:$U$20,15,false)</f>
        <v>1</v>
      </c>
      <c r="AI147" s="960">
        <f t="array" ref="AI147">HLOOKUP($J147,'Type Chart'!$C$2:$T$20,16,false)*HLOOKUP($K147,'Type Chart'!$C$2:$U$20,16,false)</f>
        <v>0.5</v>
      </c>
      <c r="AJ147" s="960">
        <f t="array" ref="AJ147">HLOOKUP($J147,'Type Chart'!$C$2:$T$20,17,false)*HLOOKUP($K147,'Type Chart'!$C$2:$U$20,17,false)</f>
        <v>1</v>
      </c>
      <c r="AK147" s="960">
        <f t="array" ref="AK147">HLOOKUP($J147,'Type Chart'!$C$2:$T$20,18,false)*HLOOKUP($K147,'Type Chart'!$C$2:$U$20,18,false)</f>
        <v>1</v>
      </c>
      <c r="AL147" s="960">
        <f t="array" ref="AL147">HLOOKUP($J147,'Type Chart'!$C$2:$T$20,19,false)*HLOOKUP($K147,'Type Chart'!$C$2:$U$20,19,false)</f>
        <v>1</v>
      </c>
      <c r="AM147" s="964" t="s">
        <v>1461</v>
      </c>
      <c r="AN147" s="965" t="s">
        <v>1385</v>
      </c>
      <c r="AO147" s="966" t="s">
        <v>1153</v>
      </c>
      <c r="AP147" s="936"/>
      <c r="AQ147" s="967"/>
      <c r="AR147" s="968"/>
      <c r="AS147" s="936"/>
    </row>
    <row r="148" ht="15.75" customHeight="1">
      <c r="A148" s="1099"/>
      <c r="B148" s="948" t="s">
        <v>1462</v>
      </c>
      <c r="C148" s="950" t="s">
        <v>1463</v>
      </c>
      <c r="D148" s="950" t="s">
        <v>1463</v>
      </c>
      <c r="E148" s="952" t="s">
        <v>1463</v>
      </c>
      <c r="F148" s="940"/>
      <c r="G148" s="953"/>
      <c r="H148" s="969"/>
      <c r="I148" s="956" t="s">
        <v>1464</v>
      </c>
      <c r="J148" s="1056" t="s">
        <v>81</v>
      </c>
      <c r="K148" s="984" t="s">
        <v>216</v>
      </c>
      <c r="L148" s="959">
        <v>55.0</v>
      </c>
      <c r="M148" s="960">
        <v>130.0</v>
      </c>
      <c r="N148" s="960">
        <v>115.0</v>
      </c>
      <c r="O148" s="960">
        <v>50.0</v>
      </c>
      <c r="P148" s="960">
        <v>50.0</v>
      </c>
      <c r="Q148" s="960">
        <v>75.0</v>
      </c>
      <c r="R148" s="960">
        <v>186.0</v>
      </c>
      <c r="S148" s="960">
        <v>249.0</v>
      </c>
      <c r="T148" s="960">
        <v>273.0</v>
      </c>
      <c r="U148" s="960">
        <f t="array" ref="U148">HLOOKUP($J148,'Type Chart'!$C$2:$T$20,2,false)*HLOOKUP($K148,'Type Chart'!$C$2:$U$20,2,false)</f>
        <v>1</v>
      </c>
      <c r="V148" s="960">
        <f t="array" ref="V148">HLOOKUP($J148,'Type Chart'!$C$2:$T$20,3,false)*HLOOKUP($K148,'Type Chart'!$C$2:$U$20,3,false)</f>
        <v>1</v>
      </c>
      <c r="W148" s="960">
        <f t="array" ref="W148">HLOOKUP($J148,'Type Chart'!$C$2:$T$20,4,false)*HLOOKUP($K148,'Type Chart'!$C$2:$U$20,4,false)</f>
        <v>1</v>
      </c>
      <c r="X148" s="960">
        <f t="array" ref="X148">HLOOKUP($J148,'Type Chart'!$C$2:$T$20,5,false)*HLOOKUP($K148,'Type Chart'!$C$2:$U$20,5,false)</f>
        <v>1</v>
      </c>
      <c r="Y148" s="960">
        <f t="array" ref="Y148">HLOOKUP($J148,'Type Chart'!$C$2:$T$20,6,false)*HLOOKUP($K148,'Type Chart'!$C$2:$U$20,6,false)</f>
        <v>1</v>
      </c>
      <c r="Z148" s="960">
        <f t="array" ref="Z148">HLOOKUP($J148,'Type Chart'!$C$2:$T$20,7,false)*HLOOKUP($K148,'Type Chart'!$C$2:$U$20,7,false)</f>
        <v>1</v>
      </c>
      <c r="AA148" s="960">
        <f t="array" ref="AA148">HLOOKUP($J148,'Type Chart'!$C$2:$T$20,8,false)*HLOOKUP($K148,'Type Chart'!$C$2:$U$20,8,false)</f>
        <v>1</v>
      </c>
      <c r="AB148" s="960">
        <f t="array" ref="AB148">HLOOKUP($J148,'Type Chart'!$C$2:$T$20,9,false)*HLOOKUP($K148,'Type Chart'!$C$2:$U$20,9,false)</f>
        <v>1</v>
      </c>
      <c r="AC148" s="960">
        <f t="array" ref="AC148">HLOOKUP($J148,'Type Chart'!$C$2:$T$20,10,false)*HLOOKUP($K148,'Type Chart'!$C$2:$U$20,10,false)</f>
        <v>0.5</v>
      </c>
      <c r="AD148" s="960">
        <f t="array" ref="AD148">HLOOKUP($J148,'Type Chart'!$C$2:$T$20,11,false)*HLOOKUP($K148,'Type Chart'!$C$2:$U$20,11,false)</f>
        <v>0.5</v>
      </c>
      <c r="AE148" s="960">
        <f t="array" ref="AE148">HLOOKUP($J148,'Type Chart'!$C$2:$T$20,12,false)*HLOOKUP($K148,'Type Chart'!$C$2:$U$20,12,false)</f>
        <v>0.5</v>
      </c>
      <c r="AF148" s="960">
        <f t="array" ref="AF148">HLOOKUP($J148,'Type Chart'!$C$2:$T$20,13,false)*HLOOKUP($K148,'Type Chart'!$C$2:$U$20,13,false)</f>
        <v>2</v>
      </c>
      <c r="AG148" s="960">
        <f t="array" ref="AG148">HLOOKUP($J148,'Type Chart'!$C$2:$T$20,14,false)*HLOOKUP($K148,'Type Chart'!$C$2:$U$20,14,false)</f>
        <v>2</v>
      </c>
      <c r="AH148" s="960">
        <f t="array" ref="AH148">HLOOKUP($J148,'Type Chart'!$C$2:$T$20,15,false)*HLOOKUP($K148,'Type Chart'!$C$2:$U$20,15,false)</f>
        <v>1</v>
      </c>
      <c r="AI148" s="960">
        <f t="array" ref="AI148">HLOOKUP($J148,'Type Chart'!$C$2:$T$20,16,false)*HLOOKUP($K148,'Type Chart'!$C$2:$U$20,16,false)</f>
        <v>0.5</v>
      </c>
      <c r="AJ148" s="960">
        <f t="array" ref="AJ148">HLOOKUP($J148,'Type Chart'!$C$2:$T$20,17,false)*HLOOKUP($K148,'Type Chart'!$C$2:$U$20,17,false)</f>
        <v>1</v>
      </c>
      <c r="AK148" s="960">
        <f t="array" ref="AK148">HLOOKUP($J148,'Type Chart'!$C$2:$T$20,18,false)*HLOOKUP($K148,'Type Chart'!$C$2:$U$20,18,false)</f>
        <v>1</v>
      </c>
      <c r="AL148" s="960">
        <f t="array" ref="AL148">HLOOKUP($J148,'Type Chart'!$C$2:$T$20,19,false)*HLOOKUP($K148,'Type Chart'!$C$2:$U$20,19,false)</f>
        <v>1</v>
      </c>
      <c r="AM148" s="1145" t="s">
        <v>1461</v>
      </c>
      <c r="AN148" s="1202" t="s">
        <v>1385</v>
      </c>
      <c r="AO148" s="1146" t="s">
        <v>1153</v>
      </c>
      <c r="AP148" s="936"/>
      <c r="AQ148" s="967"/>
      <c r="AR148" s="968"/>
      <c r="AS148" s="936"/>
    </row>
    <row r="149" ht="15.75" customHeight="1">
      <c r="A149" s="936"/>
      <c r="B149" s="948" t="s">
        <v>1465</v>
      </c>
      <c r="C149" s="950" t="s">
        <v>1466</v>
      </c>
      <c r="D149" s="950" t="s">
        <v>1466</v>
      </c>
      <c r="E149" s="952" t="s">
        <v>1466</v>
      </c>
      <c r="F149" s="940"/>
      <c r="G149" s="953"/>
      <c r="H149" s="969"/>
      <c r="I149" s="956" t="s">
        <v>1467</v>
      </c>
      <c r="J149" s="1196" t="s">
        <v>203</v>
      </c>
      <c r="K149" s="984" t="s">
        <v>216</v>
      </c>
      <c r="L149" s="959">
        <v>40.0</v>
      </c>
      <c r="M149" s="960">
        <v>30.0</v>
      </c>
      <c r="N149" s="960">
        <v>50.0</v>
      </c>
      <c r="O149" s="960">
        <v>55.0</v>
      </c>
      <c r="P149" s="960">
        <v>55.0</v>
      </c>
      <c r="Q149" s="960">
        <v>100.0</v>
      </c>
      <c r="R149" s="960">
        <v>236.0</v>
      </c>
      <c r="S149" s="960">
        <v>299.0</v>
      </c>
      <c r="T149" s="960">
        <v>328.0</v>
      </c>
      <c r="U149" s="960">
        <f t="array" ref="U149">HLOOKUP($J149,'Type Chart'!$C$2:$T$20,2,false)*HLOOKUP($K149,'Type Chart'!$C$2:$U$20,2,false)</f>
        <v>1</v>
      </c>
      <c r="V149" s="960">
        <f t="array" ref="V149">HLOOKUP($J149,'Type Chart'!$C$2:$T$20,3,false)*HLOOKUP($K149,'Type Chart'!$C$2:$U$20,3,false)</f>
        <v>1</v>
      </c>
      <c r="W149" s="960">
        <f t="array" ref="W149">HLOOKUP($J149,'Type Chart'!$C$2:$T$20,4,false)*HLOOKUP($K149,'Type Chart'!$C$2:$U$20,4,false)</f>
        <v>0.5</v>
      </c>
      <c r="X149" s="960">
        <f t="array" ref="X149">HLOOKUP($J149,'Type Chart'!$C$2:$T$20,5,false)*HLOOKUP($K149,'Type Chart'!$C$2:$U$20,5,false)</f>
        <v>1</v>
      </c>
      <c r="Y149" s="960">
        <f t="array" ref="Y149">HLOOKUP($J149,'Type Chart'!$C$2:$T$20,6,false)*HLOOKUP($K149,'Type Chart'!$C$2:$U$20,6,false)</f>
        <v>2</v>
      </c>
      <c r="Z149" s="960">
        <f t="array" ref="Z149">HLOOKUP($J149,'Type Chart'!$C$2:$T$20,7,false)*HLOOKUP($K149,'Type Chart'!$C$2:$U$20,7,false)</f>
        <v>1</v>
      </c>
      <c r="AA149" s="960">
        <f t="array" ref="AA149">HLOOKUP($J149,'Type Chart'!$C$2:$T$20,8,false)*HLOOKUP($K149,'Type Chart'!$C$2:$U$20,8,false)</f>
        <v>1</v>
      </c>
      <c r="AB149" s="960">
        <f t="array" ref="AB149">HLOOKUP($J149,'Type Chart'!$C$2:$T$20,9,false)*HLOOKUP($K149,'Type Chart'!$C$2:$U$20,9,false)</f>
        <v>1</v>
      </c>
      <c r="AC149" s="960">
        <f t="array" ref="AC149">HLOOKUP($J149,'Type Chart'!$C$2:$T$20,10,false)*HLOOKUP($K149,'Type Chart'!$C$2:$U$20,10,false)</f>
        <v>0.5</v>
      </c>
      <c r="AD149" s="960">
        <f t="array" ref="AD149">HLOOKUP($J149,'Type Chart'!$C$2:$T$20,11,false)*HLOOKUP($K149,'Type Chart'!$C$2:$U$20,11,false)</f>
        <v>1</v>
      </c>
      <c r="AE149" s="960">
        <f t="array" ref="AE149">HLOOKUP($J149,'Type Chart'!$C$2:$T$20,12,false)*HLOOKUP($K149,'Type Chart'!$C$2:$U$20,12,false)</f>
        <v>1</v>
      </c>
      <c r="AF149" s="960">
        <f t="array" ref="AF149">HLOOKUP($J149,'Type Chart'!$C$2:$T$20,13,false)*HLOOKUP($K149,'Type Chart'!$C$2:$U$20,13,false)</f>
        <v>1</v>
      </c>
      <c r="AG149" s="960">
        <f t="array" ref="AG149">HLOOKUP($J149,'Type Chart'!$C$2:$T$20,14,false)*HLOOKUP($K149,'Type Chart'!$C$2:$U$20,14,false)</f>
        <v>0.5</v>
      </c>
      <c r="AH149" s="960">
        <f t="array" ref="AH149">HLOOKUP($J149,'Type Chart'!$C$2:$T$20,15,false)*HLOOKUP($K149,'Type Chart'!$C$2:$U$20,15,false)</f>
        <v>1</v>
      </c>
      <c r="AI149" s="960">
        <f t="array" ref="AI149">HLOOKUP($J149,'Type Chart'!$C$2:$T$20,16,false)*HLOOKUP($K149,'Type Chart'!$C$2:$U$20,16,false)</f>
        <v>1</v>
      </c>
      <c r="AJ149" s="960">
        <f t="array" ref="AJ149">HLOOKUP($J149,'Type Chart'!$C$2:$T$20,17,false)*HLOOKUP($K149,'Type Chart'!$C$2:$U$20,17,false)</f>
        <v>1</v>
      </c>
      <c r="AK149" s="960">
        <f t="array" ref="AK149">HLOOKUP($J149,'Type Chart'!$C$2:$T$20,18,false)*HLOOKUP($K149,'Type Chart'!$C$2:$U$20,18,false)</f>
        <v>1</v>
      </c>
      <c r="AL149" s="960">
        <f t="array" ref="AL149">HLOOKUP($J149,'Type Chart'!$C$2:$T$20,19,false)*HLOOKUP($K149,'Type Chart'!$C$2:$U$20,19,false)</f>
        <v>1</v>
      </c>
      <c r="AM149" s="964" t="s">
        <v>1468</v>
      </c>
      <c r="AN149" s="965" t="s">
        <v>1067</v>
      </c>
      <c r="AO149" s="966" t="s">
        <v>1469</v>
      </c>
      <c r="AP149" s="936"/>
      <c r="AQ149" s="967"/>
      <c r="AR149" s="968"/>
      <c r="AS149" s="936"/>
    </row>
    <row r="150" ht="15.75" customHeight="1">
      <c r="A150" s="936"/>
      <c r="B150" s="948" t="s">
        <v>1470</v>
      </c>
      <c r="C150" s="950" t="str">
        <f t="shared" ref="C150:E150" si="3">C149&amp;"-hisui"</f>
        <v>voltorb-hisui</v>
      </c>
      <c r="D150" s="950" t="str">
        <f t="shared" si="3"/>
        <v>voltorb-hisui</v>
      </c>
      <c r="E150" s="952" t="str">
        <f t="shared" si="3"/>
        <v>voltorb-hisui</v>
      </c>
      <c r="F150" s="940"/>
      <c r="G150" s="953"/>
      <c r="H150" s="969"/>
      <c r="I150" s="956" t="s">
        <v>1471</v>
      </c>
      <c r="J150" s="1196" t="s">
        <v>203</v>
      </c>
      <c r="K150" s="957" t="s">
        <v>209</v>
      </c>
      <c r="L150" s="959">
        <v>40.0</v>
      </c>
      <c r="M150" s="960">
        <v>30.0</v>
      </c>
      <c r="N150" s="960">
        <v>50.0</v>
      </c>
      <c r="O150" s="960">
        <v>55.0</v>
      </c>
      <c r="P150" s="960">
        <v>55.0</v>
      </c>
      <c r="Q150" s="960">
        <v>100.0</v>
      </c>
      <c r="R150" s="960">
        <v>236.0</v>
      </c>
      <c r="S150" s="960">
        <v>299.0</v>
      </c>
      <c r="T150" s="960">
        <v>328.0</v>
      </c>
      <c r="U150" s="960">
        <f t="array" ref="U150">HLOOKUP($J150,'Type Chart'!$C$2:$T$20,2,false)*HLOOKUP($K150,'Type Chart'!$C$2:$U$20,2,false)</f>
        <v>1</v>
      </c>
      <c r="V150" s="960">
        <f t="array" ref="V150">HLOOKUP($J150,'Type Chart'!$C$2:$T$20,3,false)*HLOOKUP($K150,'Type Chart'!$C$2:$U$20,3,false)</f>
        <v>1</v>
      </c>
      <c r="W150" s="960">
        <f t="array" ref="W150">HLOOKUP($J150,'Type Chart'!$C$2:$T$20,4,false)*HLOOKUP($K150,'Type Chart'!$C$2:$U$20,4,false)</f>
        <v>1</v>
      </c>
      <c r="X150" s="960">
        <f t="array" ref="X150">HLOOKUP($J150,'Type Chart'!$C$2:$T$20,5,false)*HLOOKUP($K150,'Type Chart'!$C$2:$U$20,5,false)</f>
        <v>2</v>
      </c>
      <c r="Y150" s="960">
        <f t="array" ref="Y150">HLOOKUP($J150,'Type Chart'!$C$2:$T$20,6,false)*HLOOKUP($K150,'Type Chart'!$C$2:$U$20,6,false)</f>
        <v>1</v>
      </c>
      <c r="Z150" s="960">
        <f t="array" ref="Z150">HLOOKUP($J150,'Type Chart'!$C$2:$T$20,7,false)*HLOOKUP($K150,'Type Chart'!$C$2:$U$20,7,false)</f>
        <v>1</v>
      </c>
      <c r="AA150" s="960">
        <f t="array" ref="AA150">HLOOKUP($J150,'Type Chart'!$C$2:$T$20,8,false)*HLOOKUP($K150,'Type Chart'!$C$2:$U$20,8,false)</f>
        <v>2</v>
      </c>
      <c r="AB150" s="960">
        <f t="array" ref="AB150">HLOOKUP($J150,'Type Chart'!$C$2:$T$20,9,false)*HLOOKUP($K150,'Type Chart'!$C$2:$U$20,9,false)</f>
        <v>1</v>
      </c>
      <c r="AC150" s="960">
        <f t="array" ref="AC150">HLOOKUP($J150,'Type Chart'!$C$2:$T$20,10,false)*HLOOKUP($K150,'Type Chart'!$C$2:$U$20,10,false)</f>
        <v>0.5</v>
      </c>
      <c r="AD150" s="960">
        <f t="array" ref="AD150">HLOOKUP($J150,'Type Chart'!$C$2:$T$20,11,false)*HLOOKUP($K150,'Type Chart'!$C$2:$U$20,11,false)</f>
        <v>2</v>
      </c>
      <c r="AE150" s="960">
        <f t="array" ref="AE150">HLOOKUP($J150,'Type Chart'!$C$2:$T$20,12,false)*HLOOKUP($K150,'Type Chart'!$C$2:$U$20,12,false)</f>
        <v>0.5</v>
      </c>
      <c r="AF150" s="960">
        <f t="array" ref="AF150">HLOOKUP($J150,'Type Chart'!$C$2:$T$20,13,false)*HLOOKUP($K150,'Type Chart'!$C$2:$U$20,13,false)</f>
        <v>0.5</v>
      </c>
      <c r="AG150" s="960">
        <f t="array" ref="AG150">HLOOKUP($J150,'Type Chart'!$C$2:$T$20,14,false)*HLOOKUP($K150,'Type Chart'!$C$2:$U$20,14,false)</f>
        <v>0.25</v>
      </c>
      <c r="AH150" s="960">
        <f t="array" ref="AH150">HLOOKUP($J150,'Type Chart'!$C$2:$T$20,15,false)*HLOOKUP($K150,'Type Chart'!$C$2:$U$20,15,false)</f>
        <v>1</v>
      </c>
      <c r="AI150" s="960">
        <f t="array" ref="AI150">HLOOKUP($J150,'Type Chart'!$C$2:$T$20,16,false)*HLOOKUP($K150,'Type Chart'!$C$2:$U$20,16,false)</f>
        <v>2</v>
      </c>
      <c r="AJ150" s="960">
        <f t="array" ref="AJ150">HLOOKUP($J150,'Type Chart'!$C$2:$T$20,17,false)*HLOOKUP($K150,'Type Chart'!$C$2:$U$20,17,false)</f>
        <v>1</v>
      </c>
      <c r="AK150" s="960">
        <f t="array" ref="AK150">HLOOKUP($J150,'Type Chart'!$C$2:$T$20,18,false)*HLOOKUP($K150,'Type Chart'!$C$2:$U$20,18,false)</f>
        <v>1</v>
      </c>
      <c r="AL150" s="960">
        <f t="array" ref="AL150">HLOOKUP($J150,'Type Chart'!$C$2:$T$20,19,false)*HLOOKUP($K150,'Type Chart'!$C$2:$U$20,19,false)</f>
        <v>1</v>
      </c>
      <c r="AM150" s="964"/>
      <c r="AN150" s="965"/>
      <c r="AO150" s="966"/>
      <c r="AP150" s="936"/>
      <c r="AQ150" s="967"/>
      <c r="AR150" s="968"/>
      <c r="AS150" s="936"/>
    </row>
    <row r="151" ht="15.75" customHeight="1">
      <c r="A151" s="936"/>
      <c r="B151" s="948" t="s">
        <v>1472</v>
      </c>
      <c r="C151" s="950" t="s">
        <v>1473</v>
      </c>
      <c r="D151" s="950" t="s">
        <v>1473</v>
      </c>
      <c r="E151" s="952" t="s">
        <v>1473</v>
      </c>
      <c r="F151" s="940"/>
      <c r="G151" s="953"/>
      <c r="H151" s="969"/>
      <c r="I151" s="956" t="s">
        <v>710</v>
      </c>
      <c r="J151" s="1196" t="s">
        <v>203</v>
      </c>
      <c r="K151" s="957" t="s">
        <v>209</v>
      </c>
      <c r="L151" s="959">
        <v>60.0</v>
      </c>
      <c r="M151" s="960">
        <v>50.0</v>
      </c>
      <c r="N151" s="960">
        <v>70.0</v>
      </c>
      <c r="O151" s="960">
        <v>80.0</v>
      </c>
      <c r="P151" s="960">
        <v>80.0</v>
      </c>
      <c r="Q151" s="960">
        <v>150.0</v>
      </c>
      <c r="R151" s="960">
        <v>336.0</v>
      </c>
      <c r="S151" s="960">
        <v>399.0</v>
      </c>
      <c r="T151" s="960">
        <v>438.0</v>
      </c>
      <c r="U151" s="960">
        <f t="array" ref="U151">HLOOKUP($J151,'Type Chart'!$C$2:$T$20,2,false)*HLOOKUP($K151,'Type Chart'!$C$2:$U$20,2,false)</f>
        <v>1</v>
      </c>
      <c r="V151" s="960">
        <f t="array" ref="V151">HLOOKUP($J151,'Type Chart'!$C$2:$T$20,3,false)*HLOOKUP($K151,'Type Chart'!$C$2:$U$20,3,false)</f>
        <v>1</v>
      </c>
      <c r="W151" s="960">
        <f t="array" ref="W151">HLOOKUP($J151,'Type Chart'!$C$2:$T$20,4,false)*HLOOKUP($K151,'Type Chart'!$C$2:$U$20,4,false)</f>
        <v>1</v>
      </c>
      <c r="X151" s="960">
        <f t="array" ref="X151">HLOOKUP($J151,'Type Chart'!$C$2:$T$20,5,false)*HLOOKUP($K151,'Type Chart'!$C$2:$U$20,5,false)</f>
        <v>2</v>
      </c>
      <c r="Y151" s="960">
        <f t="array" ref="Y151">HLOOKUP($J151,'Type Chart'!$C$2:$T$20,6,false)*HLOOKUP($K151,'Type Chart'!$C$2:$U$20,6,false)</f>
        <v>1</v>
      </c>
      <c r="Z151" s="960">
        <f t="array" ref="Z151">HLOOKUP($J151,'Type Chart'!$C$2:$T$20,7,false)*HLOOKUP($K151,'Type Chart'!$C$2:$U$20,7,false)</f>
        <v>1</v>
      </c>
      <c r="AA151" s="960">
        <f t="array" ref="AA151">HLOOKUP($J151,'Type Chart'!$C$2:$T$20,8,false)*HLOOKUP($K151,'Type Chart'!$C$2:$U$20,8,false)</f>
        <v>2</v>
      </c>
      <c r="AB151" s="960">
        <f t="array" ref="AB151">HLOOKUP($J151,'Type Chart'!$C$2:$T$20,9,false)*HLOOKUP($K151,'Type Chart'!$C$2:$U$20,9,false)</f>
        <v>1</v>
      </c>
      <c r="AC151" s="960">
        <f t="array" ref="AC151">HLOOKUP($J151,'Type Chart'!$C$2:$T$20,10,false)*HLOOKUP($K151,'Type Chart'!$C$2:$U$20,10,false)</f>
        <v>0.5</v>
      </c>
      <c r="AD151" s="960">
        <f t="array" ref="AD151">HLOOKUP($J151,'Type Chart'!$C$2:$T$20,11,false)*HLOOKUP($K151,'Type Chart'!$C$2:$U$20,11,false)</f>
        <v>2</v>
      </c>
      <c r="AE151" s="960">
        <f t="array" ref="AE151">HLOOKUP($J151,'Type Chart'!$C$2:$T$20,12,false)*HLOOKUP($K151,'Type Chart'!$C$2:$U$20,12,false)</f>
        <v>0.5</v>
      </c>
      <c r="AF151" s="960">
        <f t="array" ref="AF151">HLOOKUP($J151,'Type Chart'!$C$2:$T$20,13,false)*HLOOKUP($K151,'Type Chart'!$C$2:$U$20,13,false)</f>
        <v>0.5</v>
      </c>
      <c r="AG151" s="960">
        <f t="array" ref="AG151">HLOOKUP($J151,'Type Chart'!$C$2:$T$20,14,false)*HLOOKUP($K151,'Type Chart'!$C$2:$U$20,14,false)</f>
        <v>0.25</v>
      </c>
      <c r="AH151" s="960">
        <f t="array" ref="AH151">HLOOKUP($J151,'Type Chart'!$C$2:$T$20,15,false)*HLOOKUP($K151,'Type Chart'!$C$2:$U$20,15,false)</f>
        <v>1</v>
      </c>
      <c r="AI151" s="960">
        <f t="array" ref="AI151">HLOOKUP($J151,'Type Chart'!$C$2:$T$20,16,false)*HLOOKUP($K151,'Type Chart'!$C$2:$U$20,16,false)</f>
        <v>2</v>
      </c>
      <c r="AJ151" s="960">
        <f t="array" ref="AJ151">HLOOKUP($J151,'Type Chart'!$C$2:$T$20,17,false)*HLOOKUP($K151,'Type Chart'!$C$2:$U$20,17,false)</f>
        <v>1</v>
      </c>
      <c r="AK151" s="960">
        <f t="array" ref="AK151">HLOOKUP($J151,'Type Chart'!$C$2:$T$20,18,false)*HLOOKUP($K151,'Type Chart'!$C$2:$U$20,18,false)</f>
        <v>1</v>
      </c>
      <c r="AL151" s="960">
        <f t="array" ref="AL151">HLOOKUP($J151,'Type Chart'!$C$2:$T$20,19,false)*HLOOKUP($K151,'Type Chart'!$C$2:$U$20,19,false)</f>
        <v>1</v>
      </c>
      <c r="AM151" s="964" t="s">
        <v>1468</v>
      </c>
      <c r="AN151" s="965" t="s">
        <v>1067</v>
      </c>
      <c r="AO151" s="966" t="s">
        <v>1469</v>
      </c>
      <c r="AP151" s="936"/>
      <c r="AQ151" s="967"/>
      <c r="AR151" s="968"/>
      <c r="AS151" s="936"/>
    </row>
    <row r="152" ht="15.75" customHeight="1">
      <c r="A152" s="936"/>
      <c r="B152" s="948" t="s">
        <v>1474</v>
      </c>
      <c r="C152" s="950" t="str">
        <f t="shared" ref="C152:E152" si="4">C151&amp;"-hisui"</f>
        <v>electrode-hisui</v>
      </c>
      <c r="D152" s="950" t="str">
        <f t="shared" si="4"/>
        <v>electrode-hisui</v>
      </c>
      <c r="E152" s="952" t="str">
        <f t="shared" si="4"/>
        <v>electrode-hisui</v>
      </c>
      <c r="F152" s="940"/>
      <c r="G152" s="953"/>
      <c r="H152" s="969"/>
      <c r="I152" s="956" t="s">
        <v>535</v>
      </c>
      <c r="J152" s="1196" t="s">
        <v>203</v>
      </c>
      <c r="K152" s="984"/>
      <c r="L152" s="959">
        <v>60.0</v>
      </c>
      <c r="M152" s="960">
        <v>50.0</v>
      </c>
      <c r="N152" s="960">
        <v>70.0</v>
      </c>
      <c r="O152" s="960">
        <v>80.0</v>
      </c>
      <c r="P152" s="960">
        <v>80.0</v>
      </c>
      <c r="Q152" s="960">
        <v>150.0</v>
      </c>
      <c r="R152" s="960">
        <v>336.0</v>
      </c>
      <c r="S152" s="960">
        <v>399.0</v>
      </c>
      <c r="T152" s="960">
        <v>438.0</v>
      </c>
      <c r="U152" s="960" t="str">
        <f t="array" ref="U152">HLOOKUP($J152,'Type Chart'!$C$2:$T$20,2,false)*HLOOKUP($K152,'Type Chart'!$C$2:$U$20,2,false)</f>
        <v>#N/A</v>
      </c>
      <c r="V152" s="960" t="str">
        <f t="array" ref="V152">HLOOKUP($J152,'Type Chart'!$C$2:$T$20,3,false)*HLOOKUP($K152,'Type Chart'!$C$2:$U$20,3,false)</f>
        <v>#N/A</v>
      </c>
      <c r="W152" s="960" t="str">
        <f t="array" ref="W152">HLOOKUP($J152,'Type Chart'!$C$2:$T$20,4,false)*HLOOKUP($K152,'Type Chart'!$C$2:$U$20,4,false)</f>
        <v>#N/A</v>
      </c>
      <c r="X152" s="960" t="str">
        <f t="array" ref="X152">HLOOKUP($J152,'Type Chart'!$C$2:$T$20,5,false)*HLOOKUP($K152,'Type Chart'!$C$2:$U$20,5,false)</f>
        <v>#N/A</v>
      </c>
      <c r="Y152" s="960" t="str">
        <f t="array" ref="Y152">HLOOKUP($J152,'Type Chart'!$C$2:$T$20,6,false)*HLOOKUP($K152,'Type Chart'!$C$2:$U$20,6,false)</f>
        <v>#N/A</v>
      </c>
      <c r="Z152" s="960" t="str">
        <f t="array" ref="Z152">HLOOKUP($J152,'Type Chart'!$C$2:$T$20,7,false)*HLOOKUP($K152,'Type Chart'!$C$2:$U$20,7,false)</f>
        <v>#N/A</v>
      </c>
      <c r="AA152" s="960" t="str">
        <f t="array" ref="AA152">HLOOKUP($J152,'Type Chart'!$C$2:$T$20,8,false)*HLOOKUP($K152,'Type Chart'!$C$2:$U$20,8,false)</f>
        <v>#N/A</v>
      </c>
      <c r="AB152" s="960" t="str">
        <f t="array" ref="AB152">HLOOKUP($J152,'Type Chart'!$C$2:$T$20,9,false)*HLOOKUP($K152,'Type Chart'!$C$2:$U$20,9,false)</f>
        <v>#N/A</v>
      </c>
      <c r="AC152" s="960" t="str">
        <f t="array" ref="AC152">HLOOKUP($J152,'Type Chart'!$C$2:$T$20,10,false)*HLOOKUP($K152,'Type Chart'!$C$2:$U$20,10,false)</f>
        <v>#N/A</v>
      </c>
      <c r="AD152" s="960" t="str">
        <f t="array" ref="AD152">HLOOKUP($J152,'Type Chart'!$C$2:$T$20,11,false)*HLOOKUP($K152,'Type Chart'!$C$2:$U$20,11,false)</f>
        <v>#N/A</v>
      </c>
      <c r="AE152" s="960" t="str">
        <f t="array" ref="AE152">HLOOKUP($J152,'Type Chart'!$C$2:$T$20,12,false)*HLOOKUP($K152,'Type Chart'!$C$2:$U$20,12,false)</f>
        <v>#N/A</v>
      </c>
      <c r="AF152" s="960" t="str">
        <f t="array" ref="AF152">HLOOKUP($J152,'Type Chart'!$C$2:$T$20,13,false)*HLOOKUP($K152,'Type Chart'!$C$2:$U$20,13,false)</f>
        <v>#N/A</v>
      </c>
      <c r="AG152" s="960" t="str">
        <f t="array" ref="AG152">HLOOKUP($J152,'Type Chart'!$C$2:$T$20,14,false)*HLOOKUP($K152,'Type Chart'!$C$2:$U$20,14,false)</f>
        <v>#N/A</v>
      </c>
      <c r="AH152" s="960" t="str">
        <f t="array" ref="AH152">HLOOKUP($J152,'Type Chart'!$C$2:$T$20,15,false)*HLOOKUP($K152,'Type Chart'!$C$2:$U$20,15,false)</f>
        <v>#N/A</v>
      </c>
      <c r="AI152" s="960" t="str">
        <f t="array" ref="AI152">HLOOKUP($J152,'Type Chart'!$C$2:$T$20,16,false)*HLOOKUP($K152,'Type Chart'!$C$2:$U$20,16,false)</f>
        <v>#N/A</v>
      </c>
      <c r="AJ152" s="960" t="str">
        <f t="array" ref="AJ152">HLOOKUP($J152,'Type Chart'!$C$2:$T$20,17,false)*HLOOKUP($K152,'Type Chart'!$C$2:$U$20,17,false)</f>
        <v>#N/A</v>
      </c>
      <c r="AK152" s="960" t="str">
        <f t="array" ref="AK152">HLOOKUP($J152,'Type Chart'!$C$2:$T$20,18,false)*HLOOKUP($K152,'Type Chart'!$C$2:$U$20,18,false)</f>
        <v>#N/A</v>
      </c>
      <c r="AL152" s="960" t="str">
        <f t="array" ref="AL152">HLOOKUP($J152,'Type Chart'!$C$2:$T$20,19,false)*HLOOKUP($K152,'Type Chart'!$C$2:$U$20,19,false)</f>
        <v>#N/A</v>
      </c>
      <c r="AM152" s="964"/>
      <c r="AN152" s="965"/>
      <c r="AO152" s="966"/>
      <c r="AP152" s="936"/>
      <c r="AQ152" s="967"/>
      <c r="AR152" s="968"/>
      <c r="AS152" s="936"/>
    </row>
    <row r="153" ht="15.75" customHeight="1">
      <c r="A153" s="936"/>
      <c r="B153" s="948" t="s">
        <v>1475</v>
      </c>
      <c r="C153" s="950" t="s">
        <v>1476</v>
      </c>
      <c r="D153" s="950" t="s">
        <v>1476</v>
      </c>
      <c r="E153" s="952" t="s">
        <v>1476</v>
      </c>
      <c r="F153" s="940"/>
      <c r="G153" s="953"/>
      <c r="H153" s="969"/>
      <c r="I153" s="998" t="s">
        <v>1477</v>
      </c>
      <c r="J153" s="957" t="s">
        <v>209</v>
      </c>
      <c r="K153" s="1203" t="s">
        <v>344</v>
      </c>
      <c r="L153" s="959">
        <v>60.0</v>
      </c>
      <c r="M153" s="960">
        <v>40.0</v>
      </c>
      <c r="N153" s="960">
        <v>80.0</v>
      </c>
      <c r="O153" s="960">
        <v>60.0</v>
      </c>
      <c r="P153" s="960">
        <v>45.0</v>
      </c>
      <c r="Q153" s="960">
        <v>40.0</v>
      </c>
      <c r="R153" s="960">
        <v>116.0</v>
      </c>
      <c r="S153" s="960">
        <v>179.0</v>
      </c>
      <c r="T153" s="960">
        <v>196.0</v>
      </c>
      <c r="U153" s="960">
        <f t="array" ref="U153">HLOOKUP($J153,'Type Chart'!$C$2:$T$20,2,false)*HLOOKUP($K153,'Type Chart'!$C$2:$U$20,2,false)</f>
        <v>1</v>
      </c>
      <c r="V153" s="960">
        <f t="array" ref="V153">HLOOKUP($J153,'Type Chart'!$C$2:$T$20,3,false)*HLOOKUP($K153,'Type Chart'!$C$2:$U$20,3,false)</f>
        <v>0.5</v>
      </c>
      <c r="W153" s="960">
        <f t="array" ref="W153">HLOOKUP($J153,'Type Chart'!$C$2:$T$20,4,false)*HLOOKUP($K153,'Type Chart'!$C$2:$U$20,4,false)</f>
        <v>2</v>
      </c>
      <c r="X153" s="960">
        <f t="array" ref="X153">HLOOKUP($J153,'Type Chart'!$C$2:$T$20,5,false)*HLOOKUP($K153,'Type Chart'!$C$2:$U$20,5,false)</f>
        <v>2</v>
      </c>
      <c r="Y153" s="960">
        <f t="array" ref="Y153">HLOOKUP($J153,'Type Chart'!$C$2:$T$20,6,false)*HLOOKUP($K153,'Type Chart'!$C$2:$U$20,6,false)</f>
        <v>0.5</v>
      </c>
      <c r="Z153" s="960">
        <f t="array" ref="Z153">HLOOKUP($J153,'Type Chart'!$C$2:$T$20,7,false)*HLOOKUP($K153,'Type Chart'!$C$2:$U$20,7,false)</f>
        <v>1</v>
      </c>
      <c r="AA153" s="960">
        <f t="array" ref="AA153">HLOOKUP($J153,'Type Chart'!$C$2:$T$20,8,false)*HLOOKUP($K153,'Type Chart'!$C$2:$U$20,8,false)</f>
        <v>4</v>
      </c>
      <c r="AB153" s="960">
        <f t="array" ref="AB153">HLOOKUP($J153,'Type Chart'!$C$2:$T$20,9,false)*HLOOKUP($K153,'Type Chart'!$C$2:$U$20,9,false)</f>
        <v>2</v>
      </c>
      <c r="AC153" s="960">
        <f t="array" ref="AC153">HLOOKUP($J153,'Type Chart'!$C$2:$T$20,10,false)*HLOOKUP($K153,'Type Chart'!$C$2:$U$20,10,false)</f>
        <v>1</v>
      </c>
      <c r="AD153" s="960">
        <f t="array" ref="AD153">HLOOKUP($J153,'Type Chart'!$C$2:$T$20,11,false)*HLOOKUP($K153,'Type Chart'!$C$2:$U$20,11,false)</f>
        <v>2</v>
      </c>
      <c r="AE153" s="960">
        <f t="array" ref="AE153">HLOOKUP($J153,'Type Chart'!$C$2:$T$20,12,false)*HLOOKUP($K153,'Type Chart'!$C$2:$U$20,12,false)</f>
        <v>0.5</v>
      </c>
      <c r="AF153" s="960">
        <f t="array" ref="AF153">HLOOKUP($J153,'Type Chart'!$C$2:$T$20,13,false)*HLOOKUP($K153,'Type Chart'!$C$2:$U$20,13,false)</f>
        <v>0.5</v>
      </c>
      <c r="AG153" s="960">
        <f t="array" ref="AG153">HLOOKUP($J153,'Type Chart'!$C$2:$T$20,14,false)*HLOOKUP($K153,'Type Chart'!$C$2:$U$20,14,false)</f>
        <v>0.5</v>
      </c>
      <c r="AH153" s="960">
        <f t="array" ref="AH153">HLOOKUP($J153,'Type Chart'!$C$2:$T$20,15,false)*HLOOKUP($K153,'Type Chart'!$C$2:$U$20,15,false)</f>
        <v>0.5</v>
      </c>
      <c r="AI153" s="960">
        <f t="array" ref="AI153">HLOOKUP($J153,'Type Chart'!$C$2:$T$20,16,false)*HLOOKUP($K153,'Type Chart'!$C$2:$U$20,16,false)</f>
        <v>2</v>
      </c>
      <c r="AJ153" s="960">
        <f t="array" ref="AJ153">HLOOKUP($J153,'Type Chart'!$C$2:$T$20,17,false)*HLOOKUP($K153,'Type Chart'!$C$2:$U$20,17,false)</f>
        <v>1</v>
      </c>
      <c r="AK153" s="960">
        <f t="array" ref="AK153">HLOOKUP($J153,'Type Chart'!$C$2:$T$20,18,false)*HLOOKUP($K153,'Type Chart'!$C$2:$U$20,18,false)</f>
        <v>2</v>
      </c>
      <c r="AL153" s="960">
        <f t="array" ref="AL153">HLOOKUP($J153,'Type Chart'!$C$2:$T$20,19,false)*HLOOKUP($K153,'Type Chart'!$C$2:$U$20,19,false)</f>
        <v>1</v>
      </c>
      <c r="AM153" s="964" t="s">
        <v>524</v>
      </c>
      <c r="AN153" s="965"/>
      <c r="AO153" s="966" t="s">
        <v>1478</v>
      </c>
      <c r="AP153" s="936"/>
      <c r="AQ153" s="967"/>
      <c r="AR153" s="968"/>
      <c r="AS153" s="936"/>
    </row>
    <row r="154" ht="15.75" customHeight="1">
      <c r="A154" s="936"/>
      <c r="B154" s="948" t="s">
        <v>1479</v>
      </c>
      <c r="C154" s="950" t="s">
        <v>1480</v>
      </c>
      <c r="D154" s="950" t="s">
        <v>1480</v>
      </c>
      <c r="E154" s="952" t="s">
        <v>1480</v>
      </c>
      <c r="F154" s="940"/>
      <c r="G154" s="953"/>
      <c r="H154" s="969"/>
      <c r="I154" s="998" t="s">
        <v>797</v>
      </c>
      <c r="J154" s="957" t="s">
        <v>209</v>
      </c>
      <c r="K154" s="1203" t="s">
        <v>344</v>
      </c>
      <c r="L154" s="959">
        <v>95.0</v>
      </c>
      <c r="M154" s="960">
        <v>95.0</v>
      </c>
      <c r="N154" s="960">
        <v>85.0</v>
      </c>
      <c r="O154" s="960">
        <v>125.0</v>
      </c>
      <c r="P154" s="960">
        <v>75.0</v>
      </c>
      <c r="Q154" s="960">
        <v>55.0</v>
      </c>
      <c r="R154" s="960">
        <v>146.0</v>
      </c>
      <c r="S154" s="960">
        <v>209.0</v>
      </c>
      <c r="T154" s="960">
        <v>229.0</v>
      </c>
      <c r="U154" s="960">
        <f t="array" ref="U154">HLOOKUP($J154,'Type Chart'!$C$2:$T$20,2,false)*HLOOKUP($K154,'Type Chart'!$C$2:$U$20,2,false)</f>
        <v>1</v>
      </c>
      <c r="V154" s="960">
        <f t="array" ref="V154">HLOOKUP($J154,'Type Chart'!$C$2:$T$20,3,false)*HLOOKUP($K154,'Type Chart'!$C$2:$U$20,3,false)</f>
        <v>0.5</v>
      </c>
      <c r="W154" s="960">
        <f t="array" ref="W154">HLOOKUP($J154,'Type Chart'!$C$2:$T$20,4,false)*HLOOKUP($K154,'Type Chart'!$C$2:$U$20,4,false)</f>
        <v>2</v>
      </c>
      <c r="X154" s="960">
        <f t="array" ref="X154">HLOOKUP($J154,'Type Chart'!$C$2:$T$20,5,false)*HLOOKUP($K154,'Type Chart'!$C$2:$U$20,5,false)</f>
        <v>2</v>
      </c>
      <c r="Y154" s="960">
        <f t="array" ref="Y154">HLOOKUP($J154,'Type Chart'!$C$2:$T$20,6,false)*HLOOKUP($K154,'Type Chart'!$C$2:$U$20,6,false)</f>
        <v>0.5</v>
      </c>
      <c r="Z154" s="960">
        <f t="array" ref="Z154">HLOOKUP($J154,'Type Chart'!$C$2:$T$20,7,false)*HLOOKUP($K154,'Type Chart'!$C$2:$U$20,7,false)</f>
        <v>1</v>
      </c>
      <c r="AA154" s="960">
        <f t="array" ref="AA154">HLOOKUP($J154,'Type Chart'!$C$2:$T$20,8,false)*HLOOKUP($K154,'Type Chart'!$C$2:$U$20,8,false)</f>
        <v>4</v>
      </c>
      <c r="AB154" s="960">
        <f t="array" ref="AB154">HLOOKUP($J154,'Type Chart'!$C$2:$T$20,9,false)*HLOOKUP($K154,'Type Chart'!$C$2:$U$20,9,false)</f>
        <v>2</v>
      </c>
      <c r="AC154" s="960">
        <f t="array" ref="AC154">HLOOKUP($J154,'Type Chart'!$C$2:$T$20,10,false)*HLOOKUP($K154,'Type Chart'!$C$2:$U$20,10,false)</f>
        <v>1</v>
      </c>
      <c r="AD154" s="960">
        <f t="array" ref="AD154">HLOOKUP($J154,'Type Chart'!$C$2:$T$20,11,false)*HLOOKUP($K154,'Type Chart'!$C$2:$U$20,11,false)</f>
        <v>2</v>
      </c>
      <c r="AE154" s="960">
        <f t="array" ref="AE154">HLOOKUP($J154,'Type Chart'!$C$2:$T$20,12,false)*HLOOKUP($K154,'Type Chart'!$C$2:$U$20,12,false)</f>
        <v>0.5</v>
      </c>
      <c r="AF154" s="960">
        <f t="array" ref="AF154">HLOOKUP($J154,'Type Chart'!$C$2:$T$20,13,false)*HLOOKUP($K154,'Type Chart'!$C$2:$U$20,13,false)</f>
        <v>0.5</v>
      </c>
      <c r="AG154" s="960">
        <f t="array" ref="AG154">HLOOKUP($J154,'Type Chart'!$C$2:$T$20,14,false)*HLOOKUP($K154,'Type Chart'!$C$2:$U$20,14,false)</f>
        <v>0.5</v>
      </c>
      <c r="AH154" s="960">
        <f t="array" ref="AH154">HLOOKUP($J154,'Type Chart'!$C$2:$T$20,15,false)*HLOOKUP($K154,'Type Chart'!$C$2:$U$20,15,false)</f>
        <v>0.5</v>
      </c>
      <c r="AI154" s="960">
        <f t="array" ref="AI154">HLOOKUP($J154,'Type Chart'!$C$2:$T$20,16,false)*HLOOKUP($K154,'Type Chart'!$C$2:$U$20,16,false)</f>
        <v>2</v>
      </c>
      <c r="AJ154" s="960">
        <f t="array" ref="AJ154">HLOOKUP($J154,'Type Chart'!$C$2:$T$20,17,false)*HLOOKUP($K154,'Type Chart'!$C$2:$U$20,17,false)</f>
        <v>1</v>
      </c>
      <c r="AK154" s="960">
        <f t="array" ref="AK154">HLOOKUP($J154,'Type Chart'!$C$2:$T$20,18,false)*HLOOKUP($K154,'Type Chart'!$C$2:$U$20,18,false)</f>
        <v>2</v>
      </c>
      <c r="AL154" s="960">
        <f t="array" ref="AL154">HLOOKUP($J154,'Type Chart'!$C$2:$T$20,19,false)*HLOOKUP($K154,'Type Chart'!$C$2:$U$20,19,false)</f>
        <v>1</v>
      </c>
      <c r="AM154" s="964" t="s">
        <v>524</v>
      </c>
      <c r="AN154" s="965"/>
      <c r="AO154" s="966" t="s">
        <v>1478</v>
      </c>
      <c r="AP154" s="936"/>
      <c r="AQ154" s="967"/>
      <c r="AR154" s="968"/>
      <c r="AS154" s="936"/>
    </row>
    <row r="155" ht="15.75" customHeight="1">
      <c r="A155" s="936"/>
      <c r="B155" s="948" t="s">
        <v>1481</v>
      </c>
      <c r="C155" s="950" t="s">
        <v>1482</v>
      </c>
      <c r="D155" s="950" t="s">
        <v>1482</v>
      </c>
      <c r="E155" s="952" t="s">
        <v>1483</v>
      </c>
      <c r="F155" s="940"/>
      <c r="G155" s="953"/>
      <c r="H155" s="969"/>
      <c r="I155" s="998" t="s">
        <v>733</v>
      </c>
      <c r="J155" s="957" t="s">
        <v>209</v>
      </c>
      <c r="K155" s="1006" t="s">
        <v>346</v>
      </c>
      <c r="L155" s="959">
        <v>95.0</v>
      </c>
      <c r="M155" s="960">
        <v>105.0</v>
      </c>
      <c r="N155" s="960">
        <v>85.0</v>
      </c>
      <c r="O155" s="960">
        <v>125.0</v>
      </c>
      <c r="P155" s="960">
        <v>75.0</v>
      </c>
      <c r="Q155" s="960">
        <v>45.0</v>
      </c>
      <c r="R155" s="960">
        <v>126.0</v>
      </c>
      <c r="S155" s="960">
        <v>189.0</v>
      </c>
      <c r="T155" s="960">
        <v>207.0</v>
      </c>
      <c r="U155" s="960">
        <f t="array" ref="U155">HLOOKUP($J155,'Type Chart'!$C$2:$T$20,2,false)*HLOOKUP($K155,'Type Chart'!$C$2:$U$20,2,false)</f>
        <v>1</v>
      </c>
      <c r="V155" s="960">
        <f t="array" ref="V155">HLOOKUP($J155,'Type Chart'!$C$2:$T$20,3,false)*HLOOKUP($K155,'Type Chart'!$C$2:$U$20,3,false)</f>
        <v>1</v>
      </c>
      <c r="W155" s="960">
        <f t="array" ref="W155">HLOOKUP($J155,'Type Chart'!$C$2:$T$20,4,false)*HLOOKUP($K155,'Type Chart'!$C$2:$U$20,4,false)</f>
        <v>2</v>
      </c>
      <c r="X155" s="960">
        <f t="array" ref="X155">HLOOKUP($J155,'Type Chart'!$C$2:$T$20,5,false)*HLOOKUP($K155,'Type Chart'!$C$2:$U$20,5,false)</f>
        <v>2</v>
      </c>
      <c r="Y155" s="960">
        <f t="array" ref="Y155">HLOOKUP($J155,'Type Chart'!$C$2:$T$20,6,false)*HLOOKUP($K155,'Type Chart'!$C$2:$U$20,6,false)</f>
        <v>0.5</v>
      </c>
      <c r="Z155" s="960">
        <f t="array" ref="Z155">HLOOKUP($J155,'Type Chart'!$C$2:$T$20,7,false)*HLOOKUP($K155,'Type Chart'!$C$2:$U$20,7,false)</f>
        <v>1</v>
      </c>
      <c r="AA155" s="960">
        <f t="array" ref="AA155">HLOOKUP($J155,'Type Chart'!$C$2:$T$20,8,false)*HLOOKUP($K155,'Type Chart'!$C$2:$U$20,8,false)</f>
        <v>2</v>
      </c>
      <c r="AB155" s="960">
        <f t="array" ref="AB155">HLOOKUP($J155,'Type Chart'!$C$2:$T$20,9,false)*HLOOKUP($K155,'Type Chart'!$C$2:$U$20,9,false)</f>
        <v>1</v>
      </c>
      <c r="AC155" s="960">
        <f t="array" ref="AC155">HLOOKUP($J155,'Type Chart'!$C$2:$T$20,10,false)*HLOOKUP($K155,'Type Chart'!$C$2:$U$20,10,false)</f>
        <v>1</v>
      </c>
      <c r="AD155" s="960">
        <f t="array" ref="AD155">HLOOKUP($J155,'Type Chart'!$C$2:$T$20,11,false)*HLOOKUP($K155,'Type Chart'!$C$2:$U$20,11,false)</f>
        <v>1</v>
      </c>
      <c r="AE155" s="960">
        <f t="array" ref="AE155">HLOOKUP($J155,'Type Chart'!$C$2:$T$20,12,false)*HLOOKUP($K155,'Type Chart'!$C$2:$U$20,12,false)</f>
        <v>0.25</v>
      </c>
      <c r="AF155" s="960">
        <f t="array" ref="AF155">HLOOKUP($J155,'Type Chart'!$C$2:$T$20,13,false)*HLOOKUP($K155,'Type Chart'!$C$2:$U$20,13,false)</f>
        <v>0.25</v>
      </c>
      <c r="AG155" s="960">
        <f t="array" ref="AG155">HLOOKUP($J155,'Type Chart'!$C$2:$T$20,14,false)*HLOOKUP($K155,'Type Chart'!$C$2:$U$20,14,false)</f>
        <v>0.25</v>
      </c>
      <c r="AH155" s="960">
        <f t="array" ref="AH155">HLOOKUP($J155,'Type Chart'!$C$2:$T$20,15,false)*HLOOKUP($K155,'Type Chart'!$C$2:$U$20,15,false)</f>
        <v>1</v>
      </c>
      <c r="AI155" s="960">
        <f t="array" ref="AI155">HLOOKUP($J155,'Type Chart'!$C$2:$T$20,16,false)*HLOOKUP($K155,'Type Chart'!$C$2:$U$20,16,false)</f>
        <v>4</v>
      </c>
      <c r="AJ155" s="960">
        <f t="array" ref="AJ155">HLOOKUP($J155,'Type Chart'!$C$2:$T$20,17,false)*HLOOKUP($K155,'Type Chart'!$C$2:$U$20,17,false)</f>
        <v>2</v>
      </c>
      <c r="AK155" s="960">
        <f t="array" ref="AK155">HLOOKUP($J155,'Type Chart'!$C$2:$T$20,18,false)*HLOOKUP($K155,'Type Chart'!$C$2:$U$20,18,false)</f>
        <v>1</v>
      </c>
      <c r="AL155" s="960">
        <f t="array" ref="AL155">HLOOKUP($J155,'Type Chart'!$C$2:$T$20,19,false)*HLOOKUP($K155,'Type Chart'!$C$2:$U$20,19,false)</f>
        <v>2</v>
      </c>
      <c r="AM155" s="964" t="s">
        <v>1188</v>
      </c>
      <c r="AN155" s="965"/>
      <c r="AO155" s="966" t="s">
        <v>1478</v>
      </c>
      <c r="AP155" s="936"/>
      <c r="AQ155" s="967"/>
      <c r="AR155" s="968"/>
      <c r="AS155" s="936"/>
    </row>
    <row r="156" ht="15.75" customHeight="1">
      <c r="A156" s="936"/>
      <c r="B156" s="948" t="s">
        <v>1484</v>
      </c>
      <c r="C156" s="950" t="s">
        <v>1485</v>
      </c>
      <c r="D156" s="950" t="s">
        <v>1485</v>
      </c>
      <c r="E156" s="952" t="s">
        <v>1485</v>
      </c>
      <c r="F156" s="940"/>
      <c r="G156" s="953"/>
      <c r="H156" s="969"/>
      <c r="I156" s="998" t="s">
        <v>1486</v>
      </c>
      <c r="J156" s="1204" t="s">
        <v>80</v>
      </c>
      <c r="K156" s="984" t="s">
        <v>216</v>
      </c>
      <c r="L156" s="959">
        <v>50.0</v>
      </c>
      <c r="M156" s="960">
        <v>50.0</v>
      </c>
      <c r="N156" s="960">
        <v>95.0</v>
      </c>
      <c r="O156" s="960">
        <v>40.0</v>
      </c>
      <c r="P156" s="960">
        <v>50.0</v>
      </c>
      <c r="Q156" s="960">
        <v>35.0</v>
      </c>
      <c r="R156" s="960">
        <v>106.0</v>
      </c>
      <c r="S156" s="960">
        <v>169.0</v>
      </c>
      <c r="T156" s="960">
        <v>185.0</v>
      </c>
      <c r="U156" s="960">
        <f t="array" ref="U156">HLOOKUP($J156,'Type Chart'!$C$2:$T$20,2,false)*HLOOKUP($K156,'Type Chart'!$C$2:$U$20,2,false)</f>
        <v>1</v>
      </c>
      <c r="V156" s="960">
        <f t="array" ref="V156">HLOOKUP($J156,'Type Chart'!$C$2:$T$20,3,false)*HLOOKUP($K156,'Type Chart'!$C$2:$U$20,3,false)</f>
        <v>1</v>
      </c>
      <c r="W156" s="960">
        <f t="array" ref="W156">HLOOKUP($J156,'Type Chart'!$C$2:$T$20,4,false)*HLOOKUP($K156,'Type Chart'!$C$2:$U$20,4,false)</f>
        <v>1</v>
      </c>
      <c r="X156" s="960">
        <f t="array" ref="X156">HLOOKUP($J156,'Type Chart'!$C$2:$T$20,5,false)*HLOOKUP($K156,'Type Chart'!$C$2:$U$20,5,false)</f>
        <v>0.5</v>
      </c>
      <c r="Y156" s="960">
        <f t="array" ref="Y156">HLOOKUP($J156,'Type Chart'!$C$2:$T$20,6,false)*HLOOKUP($K156,'Type Chart'!$C$2:$U$20,6,false)</f>
        <v>1</v>
      </c>
      <c r="Z156" s="960">
        <f t="array" ref="Z156">HLOOKUP($J156,'Type Chart'!$C$2:$T$20,7,false)*HLOOKUP($K156,'Type Chart'!$C$2:$U$20,7,false)</f>
        <v>0.5</v>
      </c>
      <c r="AA156" s="960">
        <f t="array" ref="AA156">HLOOKUP($J156,'Type Chart'!$C$2:$T$20,8,false)*HLOOKUP($K156,'Type Chart'!$C$2:$U$20,8,false)</f>
        <v>1</v>
      </c>
      <c r="AB156" s="960">
        <f t="array" ref="AB156">HLOOKUP($J156,'Type Chart'!$C$2:$T$20,9,false)*HLOOKUP($K156,'Type Chart'!$C$2:$U$20,9,false)</f>
        <v>1</v>
      </c>
      <c r="AC156" s="960">
        <f t="array" ref="AC156">HLOOKUP($J156,'Type Chart'!$C$2:$T$20,10,false)*HLOOKUP($K156,'Type Chart'!$C$2:$U$20,10,false)</f>
        <v>1</v>
      </c>
      <c r="AD156" s="960">
        <f t="array" ref="AD156">HLOOKUP($J156,'Type Chart'!$C$2:$T$20,11,false)*HLOOKUP($K156,'Type Chart'!$C$2:$U$20,11,false)</f>
        <v>1</v>
      </c>
      <c r="AE156" s="960">
        <f t="array" ref="AE156">HLOOKUP($J156,'Type Chart'!$C$2:$T$20,12,false)*HLOOKUP($K156,'Type Chart'!$C$2:$U$20,12,false)</f>
        <v>2</v>
      </c>
      <c r="AF156" s="960">
        <f t="array" ref="AF156">HLOOKUP($J156,'Type Chart'!$C$2:$T$20,13,false)*HLOOKUP($K156,'Type Chart'!$C$2:$U$20,13,false)</f>
        <v>2</v>
      </c>
      <c r="AG156" s="960">
        <f t="array" ref="AG156">HLOOKUP($J156,'Type Chart'!$C$2:$T$20,14,false)*HLOOKUP($K156,'Type Chart'!$C$2:$U$20,14,false)</f>
        <v>0</v>
      </c>
      <c r="AH156" s="960">
        <f t="array" ref="AH156">HLOOKUP($J156,'Type Chart'!$C$2:$T$20,15,false)*HLOOKUP($K156,'Type Chart'!$C$2:$U$20,15,false)</f>
        <v>1</v>
      </c>
      <c r="AI156" s="960">
        <f t="array" ref="AI156">HLOOKUP($J156,'Type Chart'!$C$2:$T$20,16,false)*HLOOKUP($K156,'Type Chart'!$C$2:$U$20,16,false)</f>
        <v>2</v>
      </c>
      <c r="AJ156" s="960">
        <f t="array" ref="AJ156">HLOOKUP($J156,'Type Chart'!$C$2:$T$20,17,false)*HLOOKUP($K156,'Type Chart'!$C$2:$U$20,17,false)</f>
        <v>1</v>
      </c>
      <c r="AK156" s="960">
        <f t="array" ref="AK156">HLOOKUP($J156,'Type Chart'!$C$2:$T$20,18,false)*HLOOKUP($K156,'Type Chart'!$C$2:$U$20,18,false)</f>
        <v>1</v>
      </c>
      <c r="AL156" s="960">
        <f t="array" ref="AL156">HLOOKUP($J156,'Type Chart'!$C$2:$T$20,19,false)*HLOOKUP($K156,'Type Chart'!$C$2:$U$20,19,false)</f>
        <v>1</v>
      </c>
      <c r="AM156" s="964" t="s">
        <v>1276</v>
      </c>
      <c r="AN156" s="965" t="s">
        <v>1068</v>
      </c>
      <c r="AO156" s="966" t="s">
        <v>1487</v>
      </c>
      <c r="AP156" s="936"/>
      <c r="AQ156" s="967"/>
      <c r="AR156" s="968"/>
      <c r="AS156" s="936"/>
    </row>
    <row r="157" ht="15.75" customHeight="1">
      <c r="A157" s="936"/>
      <c r="B157" s="948" t="s">
        <v>1488</v>
      </c>
      <c r="C157" s="950" t="s">
        <v>1489</v>
      </c>
      <c r="D157" s="950" t="s">
        <v>1489</v>
      </c>
      <c r="E157" s="952" t="s">
        <v>1489</v>
      </c>
      <c r="F157" s="940"/>
      <c r="G157" s="953"/>
      <c r="H157" s="969"/>
      <c r="I157" s="956" t="s">
        <v>1490</v>
      </c>
      <c r="J157" s="1204" t="s">
        <v>80</v>
      </c>
      <c r="K157" s="984" t="s">
        <v>216</v>
      </c>
      <c r="L157" s="959">
        <v>60.0</v>
      </c>
      <c r="M157" s="960">
        <v>80.0</v>
      </c>
      <c r="N157" s="960">
        <v>110.0</v>
      </c>
      <c r="O157" s="960">
        <v>50.0</v>
      </c>
      <c r="P157" s="960">
        <v>80.0</v>
      </c>
      <c r="Q157" s="960">
        <v>45.0</v>
      </c>
      <c r="R157" s="960">
        <v>126.0</v>
      </c>
      <c r="S157" s="960">
        <v>189.0</v>
      </c>
      <c r="T157" s="960">
        <v>207.0</v>
      </c>
      <c r="U157" s="960">
        <f t="array" ref="U157">HLOOKUP($J157,'Type Chart'!$C$2:$T$20,2,false)*HLOOKUP($K157,'Type Chart'!$C$2:$U$20,2,false)</f>
        <v>1</v>
      </c>
      <c r="V157" s="960">
        <f t="array" ref="V157">HLOOKUP($J157,'Type Chart'!$C$2:$T$20,3,false)*HLOOKUP($K157,'Type Chart'!$C$2:$U$20,3,false)</f>
        <v>1</v>
      </c>
      <c r="W157" s="960">
        <f t="array" ref="W157">HLOOKUP($J157,'Type Chart'!$C$2:$T$20,4,false)*HLOOKUP($K157,'Type Chart'!$C$2:$U$20,4,false)</f>
        <v>1</v>
      </c>
      <c r="X157" s="960">
        <f t="array" ref="X157">HLOOKUP($J157,'Type Chart'!$C$2:$T$20,5,false)*HLOOKUP($K157,'Type Chart'!$C$2:$U$20,5,false)</f>
        <v>0.5</v>
      </c>
      <c r="Y157" s="960">
        <f t="array" ref="Y157">HLOOKUP($J157,'Type Chart'!$C$2:$T$20,6,false)*HLOOKUP($K157,'Type Chart'!$C$2:$U$20,6,false)</f>
        <v>1</v>
      </c>
      <c r="Z157" s="960">
        <f t="array" ref="Z157">HLOOKUP($J157,'Type Chart'!$C$2:$T$20,7,false)*HLOOKUP($K157,'Type Chart'!$C$2:$U$20,7,false)</f>
        <v>0.5</v>
      </c>
      <c r="AA157" s="960">
        <f t="array" ref="AA157">HLOOKUP($J157,'Type Chart'!$C$2:$T$20,8,false)*HLOOKUP($K157,'Type Chart'!$C$2:$U$20,8,false)</f>
        <v>1</v>
      </c>
      <c r="AB157" s="960">
        <f t="array" ref="AB157">HLOOKUP($J157,'Type Chart'!$C$2:$T$20,9,false)*HLOOKUP($K157,'Type Chart'!$C$2:$U$20,9,false)</f>
        <v>1</v>
      </c>
      <c r="AC157" s="960">
        <f t="array" ref="AC157">HLOOKUP($J157,'Type Chart'!$C$2:$T$20,10,false)*HLOOKUP($K157,'Type Chart'!$C$2:$U$20,10,false)</f>
        <v>1</v>
      </c>
      <c r="AD157" s="960">
        <f t="array" ref="AD157">HLOOKUP($J157,'Type Chart'!$C$2:$T$20,11,false)*HLOOKUP($K157,'Type Chart'!$C$2:$U$20,11,false)</f>
        <v>1</v>
      </c>
      <c r="AE157" s="960">
        <f t="array" ref="AE157">HLOOKUP($J157,'Type Chart'!$C$2:$T$20,12,false)*HLOOKUP($K157,'Type Chart'!$C$2:$U$20,12,false)</f>
        <v>2</v>
      </c>
      <c r="AF157" s="960">
        <f t="array" ref="AF157">HLOOKUP($J157,'Type Chart'!$C$2:$T$20,13,false)*HLOOKUP($K157,'Type Chart'!$C$2:$U$20,13,false)</f>
        <v>2</v>
      </c>
      <c r="AG157" s="960">
        <f t="array" ref="AG157">HLOOKUP($J157,'Type Chart'!$C$2:$T$20,14,false)*HLOOKUP($K157,'Type Chart'!$C$2:$U$20,14,false)</f>
        <v>0</v>
      </c>
      <c r="AH157" s="960">
        <f t="array" ref="AH157">HLOOKUP($J157,'Type Chart'!$C$2:$T$20,15,false)*HLOOKUP($K157,'Type Chart'!$C$2:$U$20,15,false)</f>
        <v>1</v>
      </c>
      <c r="AI157" s="960">
        <f t="array" ref="AI157">HLOOKUP($J157,'Type Chart'!$C$2:$T$20,16,false)*HLOOKUP($K157,'Type Chart'!$C$2:$U$20,16,false)</f>
        <v>2</v>
      </c>
      <c r="AJ157" s="960">
        <f t="array" ref="AJ157">HLOOKUP($J157,'Type Chart'!$C$2:$T$20,17,false)*HLOOKUP($K157,'Type Chart'!$C$2:$U$20,17,false)</f>
        <v>1</v>
      </c>
      <c r="AK157" s="960">
        <f t="array" ref="AK157">HLOOKUP($J157,'Type Chart'!$C$2:$T$20,18,false)*HLOOKUP($K157,'Type Chart'!$C$2:$U$20,18,false)</f>
        <v>1</v>
      </c>
      <c r="AL157" s="960">
        <f t="array" ref="AL157">HLOOKUP($J157,'Type Chart'!$C$2:$T$20,19,false)*HLOOKUP($K157,'Type Chart'!$C$2:$U$20,19,false)</f>
        <v>1</v>
      </c>
      <c r="AM157" s="964" t="s">
        <v>1276</v>
      </c>
      <c r="AN157" s="965" t="s">
        <v>1068</v>
      </c>
      <c r="AO157" s="966" t="s">
        <v>1487</v>
      </c>
      <c r="AP157" s="936"/>
      <c r="AQ157" s="967"/>
      <c r="AR157" s="968"/>
      <c r="AS157" s="936"/>
    </row>
    <row r="158" ht="15.75" customHeight="1">
      <c r="A158" s="936"/>
      <c r="B158" s="948" t="s">
        <v>1491</v>
      </c>
      <c r="C158" s="950" t="s">
        <v>1492</v>
      </c>
      <c r="D158" s="950" t="s">
        <v>1492</v>
      </c>
      <c r="E158" s="952" t="s">
        <v>1493</v>
      </c>
      <c r="F158" s="940"/>
      <c r="G158" s="953"/>
      <c r="H158" s="969"/>
      <c r="I158" s="956" t="s">
        <v>1494</v>
      </c>
      <c r="J158" s="982" t="s">
        <v>150</v>
      </c>
      <c r="K158" s="1220" t="s">
        <v>215</v>
      </c>
      <c r="L158" s="959">
        <v>60.0</v>
      </c>
      <c r="M158" s="960">
        <v>80.0</v>
      </c>
      <c r="N158" s="960">
        <v>110.0</v>
      </c>
      <c r="O158" s="960">
        <v>50.0</v>
      </c>
      <c r="P158" s="960">
        <v>80.0</v>
      </c>
      <c r="Q158" s="960">
        <v>45.0</v>
      </c>
      <c r="R158" s="960">
        <v>126.0</v>
      </c>
      <c r="S158" s="960">
        <v>189.0</v>
      </c>
      <c r="T158" s="960">
        <v>207.0</v>
      </c>
      <c r="U158" s="960">
        <f t="array" ref="U158">HLOOKUP($J158,'Type Chart'!$C$2:$T$20,2,false)*HLOOKUP($K158,'Type Chart'!$C$2:$U$20,2,false)</f>
        <v>0</v>
      </c>
      <c r="V158" s="960">
        <f t="array" ref="V158">HLOOKUP($J158,'Type Chart'!$C$2:$T$20,3,false)*HLOOKUP($K158,'Type Chart'!$C$2:$U$20,3,false)</f>
        <v>0</v>
      </c>
      <c r="W158" s="960">
        <f t="array" ref="W158">HLOOKUP($J158,'Type Chart'!$C$2:$T$20,4,false)*HLOOKUP($K158,'Type Chart'!$C$2:$U$20,4,false)</f>
        <v>1</v>
      </c>
      <c r="X158" s="960">
        <f t="array" ref="X158">HLOOKUP($J158,'Type Chart'!$C$2:$T$20,5,false)*HLOOKUP($K158,'Type Chart'!$C$2:$U$20,5,false)</f>
        <v>0.5</v>
      </c>
      <c r="Y158" s="960">
        <f t="array" ref="Y158">HLOOKUP($J158,'Type Chart'!$C$2:$T$20,6,false)*HLOOKUP($K158,'Type Chart'!$C$2:$U$20,6,false)</f>
        <v>2</v>
      </c>
      <c r="Z158" s="960">
        <f t="array" ref="Z158">HLOOKUP($J158,'Type Chart'!$C$2:$T$20,7,false)*HLOOKUP($K158,'Type Chart'!$C$2:$U$20,7,false)</f>
        <v>2</v>
      </c>
      <c r="AA158" s="960">
        <f t="array" ref="AA158">HLOOKUP($J158,'Type Chart'!$C$2:$T$20,8,false)*HLOOKUP($K158,'Type Chart'!$C$2:$U$20,8,false)</f>
        <v>0.25</v>
      </c>
      <c r="AB158" s="960">
        <f t="array" ref="AB158">HLOOKUP($J158,'Type Chart'!$C$2:$T$20,9,false)*HLOOKUP($K158,'Type Chart'!$C$2:$U$20,9,false)</f>
        <v>2</v>
      </c>
      <c r="AC158" s="960">
        <f t="array" ref="AC158">HLOOKUP($J158,'Type Chart'!$C$2:$T$20,10,false)*HLOOKUP($K158,'Type Chart'!$C$2:$U$20,10,false)</f>
        <v>0.5</v>
      </c>
      <c r="AD158" s="960">
        <f t="array" ref="AD158">HLOOKUP($J158,'Type Chart'!$C$2:$T$20,11,false)*HLOOKUP($K158,'Type Chart'!$C$2:$U$20,11,false)</f>
        <v>0.5</v>
      </c>
      <c r="AE158" s="960">
        <f t="array" ref="AE158">HLOOKUP($J158,'Type Chart'!$C$2:$T$20,12,false)*HLOOKUP($K158,'Type Chart'!$C$2:$U$20,12,false)</f>
        <v>2</v>
      </c>
      <c r="AF158" s="960">
        <f t="array" ref="AF158">HLOOKUP($J158,'Type Chart'!$C$2:$T$20,13,false)*HLOOKUP($K158,'Type Chart'!$C$2:$U$20,13,false)</f>
        <v>0.5</v>
      </c>
      <c r="AG158" s="960">
        <f t="array" ref="AG158">HLOOKUP($J158,'Type Chart'!$C$2:$T$20,14,false)*HLOOKUP($K158,'Type Chart'!$C$2:$U$20,14,false)</f>
        <v>1</v>
      </c>
      <c r="AH158" s="960">
        <f t="array" ref="AH158">HLOOKUP($J158,'Type Chart'!$C$2:$T$20,15,false)*HLOOKUP($K158,'Type Chart'!$C$2:$U$20,15,false)</f>
        <v>1</v>
      </c>
      <c r="AI158" s="960">
        <f t="array" ref="AI158">HLOOKUP($J158,'Type Chart'!$C$2:$T$20,16,false)*HLOOKUP($K158,'Type Chart'!$C$2:$U$20,16,false)</f>
        <v>0.5</v>
      </c>
      <c r="AJ158" s="960">
        <f t="array" ref="AJ158">HLOOKUP($J158,'Type Chart'!$C$2:$T$20,17,false)*HLOOKUP($K158,'Type Chart'!$C$2:$U$20,17,false)</f>
        <v>1</v>
      </c>
      <c r="AK158" s="960">
        <f t="array" ref="AK158">HLOOKUP($J158,'Type Chart'!$C$2:$T$20,18,false)*HLOOKUP($K158,'Type Chart'!$C$2:$U$20,18,false)</f>
        <v>2</v>
      </c>
      <c r="AL158" s="960">
        <f t="array" ref="AL158">HLOOKUP($J158,'Type Chart'!$C$2:$T$20,19,false)*HLOOKUP($K158,'Type Chart'!$C$2:$U$20,19,false)</f>
        <v>0.5</v>
      </c>
      <c r="AM158" s="964" t="s">
        <v>1442</v>
      </c>
      <c r="AN158" s="965" t="s">
        <v>1068</v>
      </c>
      <c r="AO158" s="966" t="s">
        <v>1276</v>
      </c>
      <c r="AP158" s="936"/>
      <c r="AQ158" s="967"/>
      <c r="AR158" s="968"/>
      <c r="AS158" s="936"/>
    </row>
    <row r="159" ht="15.75" customHeight="1">
      <c r="A159" s="936"/>
      <c r="B159" s="948" t="s">
        <v>1495</v>
      </c>
      <c r="C159" s="950" t="s">
        <v>1496</v>
      </c>
      <c r="D159" s="950" t="s">
        <v>1496</v>
      </c>
      <c r="E159" s="952" t="s">
        <v>1496</v>
      </c>
      <c r="F159" s="940"/>
      <c r="G159" s="953"/>
      <c r="H159" s="969"/>
      <c r="I159" s="956" t="s">
        <v>639</v>
      </c>
      <c r="J159" s="1213" t="s">
        <v>341</v>
      </c>
      <c r="K159" s="984" t="s">
        <v>216</v>
      </c>
      <c r="L159" s="959">
        <v>50.0</v>
      </c>
      <c r="M159" s="960">
        <v>120.0</v>
      </c>
      <c r="N159" s="960">
        <v>53.0</v>
      </c>
      <c r="O159" s="960">
        <v>35.0</v>
      </c>
      <c r="P159" s="960">
        <v>110.0</v>
      </c>
      <c r="Q159" s="960">
        <v>87.0</v>
      </c>
      <c r="R159" s="960">
        <v>210.0</v>
      </c>
      <c r="S159" s="960">
        <v>273.0</v>
      </c>
      <c r="T159" s="960">
        <v>300.0</v>
      </c>
      <c r="U159" s="960">
        <f t="array" ref="U159">HLOOKUP($J159,'Type Chart'!$C$2:$T$20,2,false)*HLOOKUP($K159,'Type Chart'!$C$2:$U$20,2,false)</f>
        <v>1</v>
      </c>
      <c r="V159" s="960">
        <f t="array" ref="V159">HLOOKUP($J159,'Type Chart'!$C$2:$T$20,3,false)*HLOOKUP($K159,'Type Chart'!$C$2:$U$20,3,false)</f>
        <v>1</v>
      </c>
      <c r="W159" s="960">
        <f t="array" ref="W159">HLOOKUP($J159,'Type Chart'!$C$2:$T$20,4,false)*HLOOKUP($K159,'Type Chart'!$C$2:$U$20,4,false)</f>
        <v>2</v>
      </c>
      <c r="X159" s="960">
        <f t="array" ref="X159">HLOOKUP($J159,'Type Chart'!$C$2:$T$20,5,false)*HLOOKUP($K159,'Type Chart'!$C$2:$U$20,5,false)</f>
        <v>1</v>
      </c>
      <c r="Y159" s="960">
        <f t="array" ref="Y159">HLOOKUP($J159,'Type Chart'!$C$2:$T$20,6,false)*HLOOKUP($K159,'Type Chart'!$C$2:$U$20,6,false)</f>
        <v>1</v>
      </c>
      <c r="Z159" s="960">
        <f t="array" ref="Z159">HLOOKUP($J159,'Type Chart'!$C$2:$T$20,7,false)*HLOOKUP($K159,'Type Chart'!$C$2:$U$20,7,false)</f>
        <v>0.5</v>
      </c>
      <c r="AA159" s="960">
        <f t="array" ref="AA159">HLOOKUP($J159,'Type Chart'!$C$2:$T$20,8,false)*HLOOKUP($K159,'Type Chart'!$C$2:$U$20,8,false)</f>
        <v>0.5</v>
      </c>
      <c r="AB159" s="960">
        <f t="array" ref="AB159">HLOOKUP($J159,'Type Chart'!$C$2:$T$20,9,false)*HLOOKUP($K159,'Type Chart'!$C$2:$U$20,9,false)</f>
        <v>1</v>
      </c>
      <c r="AC159" s="960">
        <f t="array" ref="AC159">HLOOKUP($J159,'Type Chart'!$C$2:$T$20,10,false)*HLOOKUP($K159,'Type Chart'!$C$2:$U$20,10,false)</f>
        <v>1</v>
      </c>
      <c r="AD159" s="960">
        <f t="array" ref="AD159">HLOOKUP($J159,'Type Chart'!$C$2:$T$20,11,false)*HLOOKUP($K159,'Type Chart'!$C$2:$U$20,11,false)</f>
        <v>1</v>
      </c>
      <c r="AE159" s="960">
        <f t="array" ref="AE159">HLOOKUP($J159,'Type Chart'!$C$2:$T$20,12,false)*HLOOKUP($K159,'Type Chart'!$C$2:$U$20,12,false)</f>
        <v>1</v>
      </c>
      <c r="AF159" s="960">
        <f t="array" ref="AF159">HLOOKUP($J159,'Type Chart'!$C$2:$T$20,13,false)*HLOOKUP($K159,'Type Chart'!$C$2:$U$20,13,false)</f>
        <v>1</v>
      </c>
      <c r="AG159" s="960">
        <f t="array" ref="AG159">HLOOKUP($J159,'Type Chart'!$C$2:$T$20,14,false)*HLOOKUP($K159,'Type Chart'!$C$2:$U$20,14,false)</f>
        <v>1</v>
      </c>
      <c r="AH159" s="960">
        <f t="array" ref="AH159">HLOOKUP($J159,'Type Chart'!$C$2:$T$20,15,false)*HLOOKUP($K159,'Type Chart'!$C$2:$U$20,15,false)</f>
        <v>2</v>
      </c>
      <c r="AI159" s="960">
        <f t="array" ref="AI159">HLOOKUP($J159,'Type Chart'!$C$2:$T$20,16,false)*HLOOKUP($K159,'Type Chart'!$C$2:$U$20,16,false)</f>
        <v>1</v>
      </c>
      <c r="AJ159" s="960">
        <f t="array" ref="AJ159">HLOOKUP($J159,'Type Chart'!$C$2:$T$20,17,false)*HLOOKUP($K159,'Type Chart'!$C$2:$U$20,17,false)</f>
        <v>1</v>
      </c>
      <c r="AK159" s="960">
        <f t="array" ref="AK159">HLOOKUP($J159,'Type Chart'!$C$2:$T$20,18,false)*HLOOKUP($K159,'Type Chart'!$C$2:$U$20,18,false)</f>
        <v>0.5</v>
      </c>
      <c r="AL159" s="960">
        <f t="array" ref="AL159">HLOOKUP($J159,'Type Chart'!$C$2:$T$20,19,false)*HLOOKUP($K159,'Type Chart'!$C$2:$U$20,19,false)</f>
        <v>2</v>
      </c>
      <c r="AM159" s="964" t="s">
        <v>1250</v>
      </c>
      <c r="AN159" s="965" t="s">
        <v>1497</v>
      </c>
      <c r="AO159" s="966" t="s">
        <v>1498</v>
      </c>
      <c r="AP159" s="936"/>
      <c r="AQ159" s="967"/>
      <c r="AR159" s="968"/>
      <c r="AS159" s="936"/>
    </row>
    <row r="160" ht="15.75" customHeight="1">
      <c r="A160" s="1099"/>
      <c r="B160" s="948" t="s">
        <v>1499</v>
      </c>
      <c r="C160" s="950" t="s">
        <v>1500</v>
      </c>
      <c r="D160" s="950" t="s">
        <v>1500</v>
      </c>
      <c r="E160" s="952" t="s">
        <v>1500</v>
      </c>
      <c r="F160" s="940"/>
      <c r="G160" s="953"/>
      <c r="H160" s="969"/>
      <c r="I160" s="956" t="s">
        <v>696</v>
      </c>
      <c r="J160" s="1213" t="s">
        <v>341</v>
      </c>
      <c r="K160" s="984" t="s">
        <v>216</v>
      </c>
      <c r="L160" s="959">
        <v>50.0</v>
      </c>
      <c r="M160" s="960">
        <v>105.0</v>
      </c>
      <c r="N160" s="960">
        <v>79.0</v>
      </c>
      <c r="O160" s="960">
        <v>35.0</v>
      </c>
      <c r="P160" s="960">
        <v>110.0</v>
      </c>
      <c r="Q160" s="960">
        <v>76.0</v>
      </c>
      <c r="R160" s="960">
        <v>188.0</v>
      </c>
      <c r="S160" s="960">
        <v>251.0</v>
      </c>
      <c r="T160" s="960">
        <v>276.0</v>
      </c>
      <c r="U160" s="960">
        <f t="array" ref="U160">HLOOKUP($J160,'Type Chart'!$C$2:$T$20,2,false)*HLOOKUP($K160,'Type Chart'!$C$2:$U$20,2,false)</f>
        <v>1</v>
      </c>
      <c r="V160" s="960">
        <f t="array" ref="V160">HLOOKUP($J160,'Type Chart'!$C$2:$T$20,3,false)*HLOOKUP($K160,'Type Chart'!$C$2:$U$20,3,false)</f>
        <v>1</v>
      </c>
      <c r="W160" s="960">
        <f t="array" ref="W160">HLOOKUP($J160,'Type Chart'!$C$2:$T$20,4,false)*HLOOKUP($K160,'Type Chart'!$C$2:$U$20,4,false)</f>
        <v>2</v>
      </c>
      <c r="X160" s="960">
        <f t="array" ref="X160">HLOOKUP($J160,'Type Chart'!$C$2:$T$20,5,false)*HLOOKUP($K160,'Type Chart'!$C$2:$U$20,5,false)</f>
        <v>1</v>
      </c>
      <c r="Y160" s="960">
        <f t="array" ref="Y160">HLOOKUP($J160,'Type Chart'!$C$2:$T$20,6,false)*HLOOKUP($K160,'Type Chart'!$C$2:$U$20,6,false)</f>
        <v>1</v>
      </c>
      <c r="Z160" s="960">
        <f t="array" ref="Z160">HLOOKUP($J160,'Type Chart'!$C$2:$T$20,7,false)*HLOOKUP($K160,'Type Chart'!$C$2:$U$20,7,false)</f>
        <v>0.5</v>
      </c>
      <c r="AA160" s="960">
        <f t="array" ref="AA160">HLOOKUP($J160,'Type Chart'!$C$2:$T$20,8,false)*HLOOKUP($K160,'Type Chart'!$C$2:$U$20,8,false)</f>
        <v>0.5</v>
      </c>
      <c r="AB160" s="960">
        <f t="array" ref="AB160">HLOOKUP($J160,'Type Chart'!$C$2:$T$20,9,false)*HLOOKUP($K160,'Type Chart'!$C$2:$U$20,9,false)</f>
        <v>1</v>
      </c>
      <c r="AC160" s="960">
        <f t="array" ref="AC160">HLOOKUP($J160,'Type Chart'!$C$2:$T$20,10,false)*HLOOKUP($K160,'Type Chart'!$C$2:$U$20,10,false)</f>
        <v>1</v>
      </c>
      <c r="AD160" s="960">
        <f t="array" ref="AD160">HLOOKUP($J160,'Type Chart'!$C$2:$T$20,11,false)*HLOOKUP($K160,'Type Chart'!$C$2:$U$20,11,false)</f>
        <v>1</v>
      </c>
      <c r="AE160" s="960">
        <f t="array" ref="AE160">HLOOKUP($J160,'Type Chart'!$C$2:$T$20,12,false)*HLOOKUP($K160,'Type Chart'!$C$2:$U$20,12,false)</f>
        <v>1</v>
      </c>
      <c r="AF160" s="960">
        <f t="array" ref="AF160">HLOOKUP($J160,'Type Chart'!$C$2:$T$20,13,false)*HLOOKUP($K160,'Type Chart'!$C$2:$U$20,13,false)</f>
        <v>1</v>
      </c>
      <c r="AG160" s="960">
        <f t="array" ref="AG160">HLOOKUP($J160,'Type Chart'!$C$2:$T$20,14,false)*HLOOKUP($K160,'Type Chart'!$C$2:$U$20,14,false)</f>
        <v>1</v>
      </c>
      <c r="AH160" s="960">
        <f t="array" ref="AH160">HLOOKUP($J160,'Type Chart'!$C$2:$T$20,15,false)*HLOOKUP($K160,'Type Chart'!$C$2:$U$20,15,false)</f>
        <v>2</v>
      </c>
      <c r="AI160" s="960">
        <f t="array" ref="AI160">HLOOKUP($J160,'Type Chart'!$C$2:$T$20,16,false)*HLOOKUP($K160,'Type Chart'!$C$2:$U$20,16,false)</f>
        <v>1</v>
      </c>
      <c r="AJ160" s="960">
        <f t="array" ref="AJ160">HLOOKUP($J160,'Type Chart'!$C$2:$T$20,17,false)*HLOOKUP($K160,'Type Chart'!$C$2:$U$20,17,false)</f>
        <v>1</v>
      </c>
      <c r="AK160" s="960">
        <f t="array" ref="AK160">HLOOKUP($J160,'Type Chart'!$C$2:$T$20,18,false)*HLOOKUP($K160,'Type Chart'!$C$2:$U$20,18,false)</f>
        <v>0.5</v>
      </c>
      <c r="AL160" s="960">
        <f t="array" ref="AL160">HLOOKUP($J160,'Type Chart'!$C$2:$T$20,19,false)*HLOOKUP($K160,'Type Chart'!$C$2:$U$20,19,false)</f>
        <v>2</v>
      </c>
      <c r="AM160" s="1145" t="s">
        <v>1022</v>
      </c>
      <c r="AN160" s="1202" t="s">
        <v>1501</v>
      </c>
      <c r="AO160" s="1146" t="s">
        <v>1192</v>
      </c>
      <c r="AP160" s="936"/>
      <c r="AQ160" s="967"/>
      <c r="AR160" s="968"/>
      <c r="AS160" s="936"/>
    </row>
    <row r="161" ht="15.75" customHeight="1">
      <c r="A161" s="1099"/>
      <c r="B161" s="948" t="s">
        <v>1502</v>
      </c>
      <c r="C161" s="1197" t="s">
        <v>1503</v>
      </c>
      <c r="D161" s="1197" t="s">
        <v>1503</v>
      </c>
      <c r="E161" s="1147" t="s">
        <v>1503</v>
      </c>
      <c r="F161" s="940"/>
      <c r="G161" s="953"/>
      <c r="H161" s="969"/>
      <c r="I161" s="998" t="s">
        <v>1504</v>
      </c>
      <c r="J161" s="1216" t="s">
        <v>136</v>
      </c>
      <c r="K161" s="1199" t="s">
        <v>216</v>
      </c>
      <c r="L161" s="1200">
        <v>90.0</v>
      </c>
      <c r="M161" s="1201">
        <v>55.0</v>
      </c>
      <c r="N161" s="1201">
        <v>75.0</v>
      </c>
      <c r="O161" s="1201">
        <v>60.0</v>
      </c>
      <c r="P161" s="1201">
        <v>75.0</v>
      </c>
      <c r="Q161" s="1201">
        <v>30.0</v>
      </c>
      <c r="R161" s="960">
        <v>96.0</v>
      </c>
      <c r="S161" s="960">
        <v>159.0</v>
      </c>
      <c r="T161" s="960">
        <v>174.0</v>
      </c>
      <c r="U161" s="960">
        <f t="array" ref="U161">HLOOKUP($J161,'Type Chart'!$C$2:$T$20,2,false)*HLOOKUP($K161,'Type Chart'!$C$2:$U$20,2,false)</f>
        <v>1</v>
      </c>
      <c r="V161" s="960">
        <f t="array" ref="V161">HLOOKUP($J161,'Type Chart'!$C$2:$T$20,3,false)*HLOOKUP($K161,'Type Chart'!$C$2:$U$20,3,false)</f>
        <v>2</v>
      </c>
      <c r="W161" s="960">
        <f t="array" ref="W161">HLOOKUP($J161,'Type Chart'!$C$2:$T$20,4,false)*HLOOKUP($K161,'Type Chart'!$C$2:$U$20,4,false)</f>
        <v>1</v>
      </c>
      <c r="X161" s="960">
        <f t="array" ref="X161">HLOOKUP($J161,'Type Chart'!$C$2:$T$20,5,false)*HLOOKUP($K161,'Type Chart'!$C$2:$U$20,5,false)</f>
        <v>1</v>
      </c>
      <c r="Y161" s="960">
        <f t="array" ref="Y161">HLOOKUP($J161,'Type Chart'!$C$2:$T$20,6,false)*HLOOKUP($K161,'Type Chart'!$C$2:$U$20,6,false)</f>
        <v>1</v>
      </c>
      <c r="Z161" s="960">
        <f t="array" ref="Z161">HLOOKUP($J161,'Type Chart'!$C$2:$T$20,7,false)*HLOOKUP($K161,'Type Chart'!$C$2:$U$20,7,false)</f>
        <v>1</v>
      </c>
      <c r="AA161" s="960">
        <f t="array" ref="AA161">HLOOKUP($J161,'Type Chart'!$C$2:$T$20,8,false)*HLOOKUP($K161,'Type Chart'!$C$2:$U$20,8,false)</f>
        <v>1</v>
      </c>
      <c r="AB161" s="960">
        <f t="array" ref="AB161">HLOOKUP($J161,'Type Chart'!$C$2:$T$20,9,false)*HLOOKUP($K161,'Type Chart'!$C$2:$U$20,9,false)</f>
        <v>0</v>
      </c>
      <c r="AC161" s="960">
        <f t="array" ref="AC161">HLOOKUP($J161,'Type Chart'!$C$2:$T$20,10,false)*HLOOKUP($K161,'Type Chart'!$C$2:$U$20,10,false)</f>
        <v>1</v>
      </c>
      <c r="AD161" s="960">
        <f t="array" ref="AD161">HLOOKUP($J161,'Type Chart'!$C$2:$T$20,11,false)*HLOOKUP($K161,'Type Chart'!$C$2:$U$20,11,false)</f>
        <v>1</v>
      </c>
      <c r="AE161" s="960">
        <f t="array" ref="AE161">HLOOKUP($J161,'Type Chart'!$C$2:$T$20,12,false)*HLOOKUP($K161,'Type Chart'!$C$2:$U$20,12,false)</f>
        <v>1</v>
      </c>
      <c r="AF161" s="960">
        <f t="array" ref="AF161">HLOOKUP($J161,'Type Chart'!$C$2:$T$20,13,false)*HLOOKUP($K161,'Type Chart'!$C$2:$U$20,13,false)</f>
        <v>1</v>
      </c>
      <c r="AG161" s="960">
        <f t="array" ref="AG161">HLOOKUP($J161,'Type Chart'!$C$2:$T$20,14,false)*HLOOKUP($K161,'Type Chart'!$C$2:$U$20,14,false)</f>
        <v>1</v>
      </c>
      <c r="AH161" s="960">
        <f t="array" ref="AH161">HLOOKUP($J161,'Type Chart'!$C$2:$T$20,15,false)*HLOOKUP($K161,'Type Chart'!$C$2:$U$20,15,false)</f>
        <v>1</v>
      </c>
      <c r="AI161" s="960">
        <f t="array" ref="AI161">HLOOKUP($J161,'Type Chart'!$C$2:$T$20,16,false)*HLOOKUP($K161,'Type Chart'!$C$2:$U$20,16,false)</f>
        <v>1</v>
      </c>
      <c r="AJ161" s="960">
        <f t="array" ref="AJ161">HLOOKUP($J161,'Type Chart'!$C$2:$T$20,17,false)*HLOOKUP($K161,'Type Chart'!$C$2:$U$20,17,false)</f>
        <v>1</v>
      </c>
      <c r="AK161" s="960">
        <f t="array" ref="AK161">HLOOKUP($J161,'Type Chart'!$C$2:$T$20,18,false)*HLOOKUP($K161,'Type Chart'!$C$2:$U$20,18,false)</f>
        <v>1</v>
      </c>
      <c r="AL161" s="960">
        <f t="array" ref="AL161">HLOOKUP($J161,'Type Chart'!$C$2:$T$20,19,false)*HLOOKUP($K161,'Type Chart'!$C$2:$U$20,19,false)</f>
        <v>1</v>
      </c>
      <c r="AM161" s="1145" t="s">
        <v>1370</v>
      </c>
      <c r="AN161" s="965" t="s">
        <v>1369</v>
      </c>
      <c r="AO161" s="1146" t="s">
        <v>1258</v>
      </c>
      <c r="AP161" s="936"/>
      <c r="AQ161" s="967"/>
      <c r="AR161" s="968"/>
      <c r="AS161" s="936"/>
    </row>
    <row r="162" ht="15.75" customHeight="1">
      <c r="A162" s="1099"/>
      <c r="B162" s="948" t="s">
        <v>1505</v>
      </c>
      <c r="C162" s="1197" t="s">
        <v>1506</v>
      </c>
      <c r="D162" s="1197" t="s">
        <v>1506</v>
      </c>
      <c r="E162" s="1147" t="s">
        <v>1506</v>
      </c>
      <c r="F162" s="940"/>
      <c r="G162" s="953"/>
      <c r="H162" s="969"/>
      <c r="I162" s="998" t="s">
        <v>877</v>
      </c>
      <c r="J162" s="1209" t="s">
        <v>178</v>
      </c>
      <c r="K162" s="1199" t="s">
        <v>216</v>
      </c>
      <c r="L162" s="1200">
        <v>40.0</v>
      </c>
      <c r="M162" s="1201">
        <v>65.0</v>
      </c>
      <c r="N162" s="1201">
        <v>95.0</v>
      </c>
      <c r="O162" s="1201">
        <v>60.0</v>
      </c>
      <c r="P162" s="1201">
        <v>45.0</v>
      </c>
      <c r="Q162" s="1201">
        <v>35.0</v>
      </c>
      <c r="R162" s="960">
        <v>106.0</v>
      </c>
      <c r="S162" s="960">
        <v>169.0</v>
      </c>
      <c r="T162" s="960">
        <v>185.0</v>
      </c>
      <c r="U162" s="960">
        <f t="array" ref="U162">HLOOKUP($J162,'Type Chart'!$C$2:$T$20,2,false)*HLOOKUP($K162,'Type Chart'!$C$2:$U$20,2,false)</f>
        <v>1</v>
      </c>
      <c r="V162" s="960">
        <f t="array" ref="V162">HLOOKUP($J162,'Type Chart'!$C$2:$T$20,3,false)*HLOOKUP($K162,'Type Chart'!$C$2:$U$20,3,false)</f>
        <v>0.5</v>
      </c>
      <c r="W162" s="960">
        <f t="array" ref="W162">HLOOKUP($J162,'Type Chart'!$C$2:$T$20,4,false)*HLOOKUP($K162,'Type Chart'!$C$2:$U$20,4,false)</f>
        <v>1</v>
      </c>
      <c r="X162" s="960">
        <f t="array" ref="X162">HLOOKUP($J162,'Type Chart'!$C$2:$T$20,5,false)*HLOOKUP($K162,'Type Chart'!$C$2:$U$20,5,false)</f>
        <v>0.5</v>
      </c>
      <c r="Y162" s="960">
        <f t="array" ref="Y162">HLOOKUP($J162,'Type Chart'!$C$2:$T$20,6,false)*HLOOKUP($K162,'Type Chart'!$C$2:$U$20,6,false)</f>
        <v>2</v>
      </c>
      <c r="Z162" s="960">
        <f t="array" ref="Z162">HLOOKUP($J162,'Type Chart'!$C$2:$T$20,7,false)*HLOOKUP($K162,'Type Chart'!$C$2:$U$20,7,false)</f>
        <v>1</v>
      </c>
      <c r="AA162" s="960">
        <f t="array" ref="AA162">HLOOKUP($J162,'Type Chart'!$C$2:$T$20,8,false)*HLOOKUP($K162,'Type Chart'!$C$2:$U$20,8,false)</f>
        <v>0.5</v>
      </c>
      <c r="AB162" s="960">
        <f t="array" ref="AB162">HLOOKUP($J162,'Type Chart'!$C$2:$T$20,9,false)*HLOOKUP($K162,'Type Chart'!$C$2:$U$20,9,false)</f>
        <v>1</v>
      </c>
      <c r="AC162" s="960">
        <f t="array" ref="AC162">HLOOKUP($J162,'Type Chart'!$C$2:$T$20,10,false)*HLOOKUP($K162,'Type Chart'!$C$2:$U$20,10,false)</f>
        <v>1</v>
      </c>
      <c r="AD162" s="960">
        <f t="array" ref="AD162">HLOOKUP($J162,'Type Chart'!$C$2:$T$20,11,false)*HLOOKUP($K162,'Type Chart'!$C$2:$U$20,11,false)</f>
        <v>1</v>
      </c>
      <c r="AE162" s="960">
        <f t="array" ref="AE162">HLOOKUP($J162,'Type Chart'!$C$2:$T$20,12,false)*HLOOKUP($K162,'Type Chart'!$C$2:$U$20,12,false)</f>
        <v>1</v>
      </c>
      <c r="AF162" s="960">
        <f t="array" ref="AF162">HLOOKUP($J162,'Type Chart'!$C$2:$T$20,13,false)*HLOOKUP($K162,'Type Chart'!$C$2:$U$20,13,false)</f>
        <v>0.5</v>
      </c>
      <c r="AG162" s="960">
        <f t="array" ref="AG162">HLOOKUP($J162,'Type Chart'!$C$2:$T$20,14,false)*HLOOKUP($K162,'Type Chart'!$C$2:$U$20,14,false)</f>
        <v>1</v>
      </c>
      <c r="AH162" s="960">
        <f t="array" ref="AH162">HLOOKUP($J162,'Type Chart'!$C$2:$T$20,15,false)*HLOOKUP($K162,'Type Chart'!$C$2:$U$20,15,false)</f>
        <v>2</v>
      </c>
      <c r="AI162" s="960">
        <f t="array" ref="AI162">HLOOKUP($J162,'Type Chart'!$C$2:$T$20,16,false)*HLOOKUP($K162,'Type Chart'!$C$2:$U$20,16,false)</f>
        <v>1</v>
      </c>
      <c r="AJ162" s="960">
        <f t="array" ref="AJ162">HLOOKUP($J162,'Type Chart'!$C$2:$T$20,17,false)*HLOOKUP($K162,'Type Chart'!$C$2:$U$20,17,false)</f>
        <v>1</v>
      </c>
      <c r="AK162" s="960">
        <f t="array" ref="AK162">HLOOKUP($J162,'Type Chart'!$C$2:$T$20,18,false)*HLOOKUP($K162,'Type Chart'!$C$2:$U$20,18,false)</f>
        <v>1</v>
      </c>
      <c r="AL162" s="960">
        <f t="array" ref="AL162">HLOOKUP($J162,'Type Chart'!$C$2:$T$20,19,false)*HLOOKUP($K162,'Type Chart'!$C$2:$U$20,19,false)</f>
        <v>0.5</v>
      </c>
      <c r="AM162" s="1145" t="s">
        <v>1437</v>
      </c>
      <c r="AN162" s="1145" t="s">
        <v>1507</v>
      </c>
      <c r="AO162" s="1146" t="s">
        <v>1203</v>
      </c>
      <c r="AP162" s="936"/>
      <c r="AQ162" s="967"/>
      <c r="AR162" s="968"/>
      <c r="AS162" s="936"/>
    </row>
    <row r="163" ht="15.75" customHeight="1">
      <c r="A163" s="1099"/>
      <c r="B163" s="948" t="s">
        <v>1508</v>
      </c>
      <c r="C163" s="1197" t="s">
        <v>1509</v>
      </c>
      <c r="D163" s="1197" t="s">
        <v>1509</v>
      </c>
      <c r="E163" s="1147" t="s">
        <v>1509</v>
      </c>
      <c r="F163" s="940"/>
      <c r="G163" s="953"/>
      <c r="H163" s="969"/>
      <c r="I163" s="998" t="s">
        <v>637</v>
      </c>
      <c r="J163" s="1209" t="s">
        <v>178</v>
      </c>
      <c r="K163" s="1199" t="s">
        <v>216</v>
      </c>
      <c r="L163" s="1200">
        <v>65.0</v>
      </c>
      <c r="M163" s="1201">
        <v>90.0</v>
      </c>
      <c r="N163" s="1201">
        <v>120.0</v>
      </c>
      <c r="O163" s="1201">
        <v>85.0</v>
      </c>
      <c r="P163" s="1201">
        <v>70.0</v>
      </c>
      <c r="Q163" s="1201">
        <v>60.0</v>
      </c>
      <c r="R163" s="960">
        <v>156.0</v>
      </c>
      <c r="S163" s="960">
        <v>219.0</v>
      </c>
      <c r="T163" s="960">
        <v>240.0</v>
      </c>
      <c r="U163" s="960">
        <f t="array" ref="U163">HLOOKUP($J163,'Type Chart'!$C$2:$T$20,2,false)*HLOOKUP($K163,'Type Chart'!$C$2:$U$20,2,false)</f>
        <v>1</v>
      </c>
      <c r="V163" s="960">
        <f t="array" ref="V163">HLOOKUP($J163,'Type Chart'!$C$2:$T$20,3,false)*HLOOKUP($K163,'Type Chart'!$C$2:$U$20,3,false)</f>
        <v>0.5</v>
      </c>
      <c r="W163" s="960">
        <f t="array" ref="W163">HLOOKUP($J163,'Type Chart'!$C$2:$T$20,4,false)*HLOOKUP($K163,'Type Chart'!$C$2:$U$20,4,false)</f>
        <v>1</v>
      </c>
      <c r="X163" s="960">
        <f t="array" ref="X163">HLOOKUP($J163,'Type Chart'!$C$2:$T$20,5,false)*HLOOKUP($K163,'Type Chart'!$C$2:$U$20,5,false)</f>
        <v>0.5</v>
      </c>
      <c r="Y163" s="960">
        <f t="array" ref="Y163">HLOOKUP($J163,'Type Chart'!$C$2:$T$20,6,false)*HLOOKUP($K163,'Type Chart'!$C$2:$U$20,6,false)</f>
        <v>2</v>
      </c>
      <c r="Z163" s="960">
        <f t="array" ref="Z163">HLOOKUP($J163,'Type Chart'!$C$2:$T$20,7,false)*HLOOKUP($K163,'Type Chart'!$C$2:$U$20,7,false)</f>
        <v>1</v>
      </c>
      <c r="AA163" s="960">
        <f t="array" ref="AA163">HLOOKUP($J163,'Type Chart'!$C$2:$T$20,8,false)*HLOOKUP($K163,'Type Chart'!$C$2:$U$20,8,false)</f>
        <v>0.5</v>
      </c>
      <c r="AB163" s="960">
        <f t="array" ref="AB163">HLOOKUP($J163,'Type Chart'!$C$2:$T$20,9,false)*HLOOKUP($K163,'Type Chart'!$C$2:$U$20,9,false)</f>
        <v>1</v>
      </c>
      <c r="AC163" s="960">
        <f t="array" ref="AC163">HLOOKUP($J163,'Type Chart'!$C$2:$T$20,10,false)*HLOOKUP($K163,'Type Chart'!$C$2:$U$20,10,false)</f>
        <v>1</v>
      </c>
      <c r="AD163" s="960">
        <f t="array" ref="AD163">HLOOKUP($J163,'Type Chart'!$C$2:$T$20,11,false)*HLOOKUP($K163,'Type Chart'!$C$2:$U$20,11,false)</f>
        <v>1</v>
      </c>
      <c r="AE163" s="960">
        <f t="array" ref="AE163">HLOOKUP($J163,'Type Chart'!$C$2:$T$20,12,false)*HLOOKUP($K163,'Type Chart'!$C$2:$U$20,12,false)</f>
        <v>1</v>
      </c>
      <c r="AF163" s="960">
        <f t="array" ref="AF163">HLOOKUP($J163,'Type Chart'!$C$2:$T$20,13,false)*HLOOKUP($K163,'Type Chart'!$C$2:$U$20,13,false)</f>
        <v>0.5</v>
      </c>
      <c r="AG163" s="960">
        <f t="array" ref="AG163">HLOOKUP($J163,'Type Chart'!$C$2:$T$20,14,false)*HLOOKUP($K163,'Type Chart'!$C$2:$U$20,14,false)</f>
        <v>1</v>
      </c>
      <c r="AH163" s="960">
        <f t="array" ref="AH163">HLOOKUP($J163,'Type Chart'!$C$2:$T$20,15,false)*HLOOKUP($K163,'Type Chart'!$C$2:$U$20,15,false)</f>
        <v>2</v>
      </c>
      <c r="AI163" s="960">
        <f t="array" ref="AI163">HLOOKUP($J163,'Type Chart'!$C$2:$T$20,16,false)*HLOOKUP($K163,'Type Chart'!$C$2:$U$20,16,false)</f>
        <v>1</v>
      </c>
      <c r="AJ163" s="960">
        <f t="array" ref="AJ163">HLOOKUP($J163,'Type Chart'!$C$2:$T$20,17,false)*HLOOKUP($K163,'Type Chart'!$C$2:$U$20,17,false)</f>
        <v>1</v>
      </c>
      <c r="AK163" s="960">
        <f t="array" ref="AK163">HLOOKUP($J163,'Type Chart'!$C$2:$T$20,18,false)*HLOOKUP($K163,'Type Chart'!$C$2:$U$20,18,false)</f>
        <v>1</v>
      </c>
      <c r="AL163" s="960">
        <f t="array" ref="AL163">HLOOKUP($J163,'Type Chart'!$C$2:$T$20,19,false)*HLOOKUP($K163,'Type Chart'!$C$2:$U$20,19,false)</f>
        <v>0.5</v>
      </c>
      <c r="AM163" s="1145" t="s">
        <v>1437</v>
      </c>
      <c r="AN163" s="1145" t="s">
        <v>1507</v>
      </c>
      <c r="AO163" s="1146" t="s">
        <v>1203</v>
      </c>
      <c r="AP163" s="936"/>
      <c r="AQ163" s="967"/>
      <c r="AR163" s="968"/>
      <c r="AS163" s="936"/>
    </row>
    <row r="164" ht="15.75" customHeight="1">
      <c r="A164" s="936"/>
      <c r="B164" s="948" t="s">
        <v>1510</v>
      </c>
      <c r="C164" s="950" t="s">
        <v>1511</v>
      </c>
      <c r="D164" s="950" t="s">
        <v>1511</v>
      </c>
      <c r="E164" s="952" t="s">
        <v>1512</v>
      </c>
      <c r="F164" s="940"/>
      <c r="G164" s="953"/>
      <c r="H164" s="969"/>
      <c r="I164" s="956" t="s">
        <v>574</v>
      </c>
      <c r="J164" s="958" t="s">
        <v>178</v>
      </c>
      <c r="K164" s="1207" t="s">
        <v>127</v>
      </c>
      <c r="L164" s="959">
        <v>65.0</v>
      </c>
      <c r="M164" s="960">
        <v>90.0</v>
      </c>
      <c r="N164" s="960">
        <v>120.0</v>
      </c>
      <c r="O164" s="960">
        <v>85.0</v>
      </c>
      <c r="P164" s="960">
        <v>70.0</v>
      </c>
      <c r="Q164" s="960">
        <v>60.0</v>
      </c>
      <c r="R164" s="960">
        <v>156.0</v>
      </c>
      <c r="S164" s="960">
        <v>219.0</v>
      </c>
      <c r="T164" s="960">
        <v>240.0</v>
      </c>
      <c r="U164" s="960">
        <f t="array" ref="U164">HLOOKUP($J164,'Type Chart'!$C$2:$T$20,2,false)*HLOOKUP($K164,'Type Chart'!$C$2:$U$20,2,false)</f>
        <v>1</v>
      </c>
      <c r="V164" s="960">
        <f t="array" ref="V164">HLOOKUP($J164,'Type Chart'!$C$2:$T$20,3,false)*HLOOKUP($K164,'Type Chart'!$C$2:$U$20,3,false)</f>
        <v>0.25</v>
      </c>
      <c r="W164" s="960">
        <f t="array" ref="W164">HLOOKUP($J164,'Type Chart'!$C$2:$T$20,4,false)*HLOOKUP($K164,'Type Chart'!$C$2:$U$20,4,false)</f>
        <v>1</v>
      </c>
      <c r="X164" s="960">
        <f t="array" ref="X164">HLOOKUP($J164,'Type Chart'!$C$2:$T$20,5,false)*HLOOKUP($K164,'Type Chart'!$C$2:$U$20,5,false)</f>
        <v>1</v>
      </c>
      <c r="Y164" s="960">
        <f t="array" ref="Y164">HLOOKUP($J164,'Type Chart'!$C$2:$T$20,6,false)*HLOOKUP($K164,'Type Chart'!$C$2:$U$20,6,false)</f>
        <v>2</v>
      </c>
      <c r="Z164" s="960">
        <f t="array" ref="Z164">HLOOKUP($J164,'Type Chart'!$C$2:$T$20,7,false)*HLOOKUP($K164,'Type Chart'!$C$2:$U$20,7,false)</f>
        <v>1</v>
      </c>
      <c r="AA164" s="960">
        <f t="array" ref="AA164">HLOOKUP($J164,'Type Chart'!$C$2:$T$20,8,false)*HLOOKUP($K164,'Type Chart'!$C$2:$U$20,8,false)</f>
        <v>0.25</v>
      </c>
      <c r="AB164" s="960">
        <f t="array" ref="AB164">HLOOKUP($J164,'Type Chart'!$C$2:$T$20,9,false)*HLOOKUP($K164,'Type Chart'!$C$2:$U$20,9,false)</f>
        <v>1</v>
      </c>
      <c r="AC164" s="960">
        <f t="array" ref="AC164">HLOOKUP($J164,'Type Chart'!$C$2:$T$20,10,false)*HLOOKUP($K164,'Type Chart'!$C$2:$U$20,10,false)</f>
        <v>2</v>
      </c>
      <c r="AD164" s="960">
        <f t="array" ref="AD164">HLOOKUP($J164,'Type Chart'!$C$2:$T$20,11,false)*HLOOKUP($K164,'Type Chart'!$C$2:$U$20,11,false)</f>
        <v>1</v>
      </c>
      <c r="AE164" s="960">
        <f t="array" ref="AE164">HLOOKUP($J164,'Type Chart'!$C$2:$T$20,12,false)*HLOOKUP($K164,'Type Chart'!$C$2:$U$20,12,false)</f>
        <v>1</v>
      </c>
      <c r="AF164" s="960">
        <f t="array" ref="AF164">HLOOKUP($J164,'Type Chart'!$C$2:$T$20,13,false)*HLOOKUP($K164,'Type Chart'!$C$2:$U$20,13,false)</f>
        <v>0.5</v>
      </c>
      <c r="AG164" s="960">
        <f t="array" ref="AG164">HLOOKUP($J164,'Type Chart'!$C$2:$T$20,14,false)*HLOOKUP($K164,'Type Chart'!$C$2:$U$20,14,false)</f>
        <v>1</v>
      </c>
      <c r="AH164" s="960">
        <f t="array" ref="AH164">HLOOKUP($J164,'Type Chart'!$C$2:$T$20,15,false)*HLOOKUP($K164,'Type Chart'!$C$2:$U$20,15,false)</f>
        <v>2</v>
      </c>
      <c r="AI164" s="960">
        <f t="array" ref="AI164">HLOOKUP($J164,'Type Chart'!$C$2:$T$20,16,false)*HLOOKUP($K164,'Type Chart'!$C$2:$U$20,16,false)</f>
        <v>1</v>
      </c>
      <c r="AJ164" s="960">
        <f t="array" ref="AJ164">HLOOKUP($J164,'Type Chart'!$C$2:$T$20,17,false)*HLOOKUP($K164,'Type Chart'!$C$2:$U$20,17,false)</f>
        <v>0</v>
      </c>
      <c r="AK164" s="960">
        <f t="array" ref="AK164">HLOOKUP($J164,'Type Chart'!$C$2:$T$20,18,false)*HLOOKUP($K164,'Type Chart'!$C$2:$U$20,18,false)</f>
        <v>0.5</v>
      </c>
      <c r="AL164" s="960">
        <f t="array" ref="AL164">HLOOKUP($J164,'Type Chart'!$C$2:$T$20,19,false)*HLOOKUP($K164,'Type Chart'!$C$2:$U$20,19,false)</f>
        <v>0.5</v>
      </c>
      <c r="AM164" s="964" t="s">
        <v>1437</v>
      </c>
      <c r="AN164" s="964" t="s">
        <v>1507</v>
      </c>
      <c r="AO164" s="966" t="s">
        <v>1513</v>
      </c>
      <c r="AP164" s="936"/>
      <c r="AQ164" s="967"/>
      <c r="AR164" s="968"/>
      <c r="AS164" s="936"/>
    </row>
    <row r="165" ht="15.75" customHeight="1">
      <c r="A165" s="936"/>
      <c r="B165" s="948" t="s">
        <v>1514</v>
      </c>
      <c r="C165" s="950" t="s">
        <v>1515</v>
      </c>
      <c r="D165" s="950" t="s">
        <v>1515</v>
      </c>
      <c r="E165" s="952" t="s">
        <v>1515</v>
      </c>
      <c r="F165" s="940"/>
      <c r="G165" s="953"/>
      <c r="H165" s="969"/>
      <c r="I165" s="956" t="s">
        <v>1516</v>
      </c>
      <c r="J165" s="1204" t="s">
        <v>80</v>
      </c>
      <c r="K165" s="1214" t="s">
        <v>342</v>
      </c>
      <c r="L165" s="959">
        <v>80.0</v>
      </c>
      <c r="M165" s="960">
        <v>85.0</v>
      </c>
      <c r="N165" s="960">
        <v>95.0</v>
      </c>
      <c r="O165" s="960">
        <v>30.0</v>
      </c>
      <c r="P165" s="960">
        <v>30.0</v>
      </c>
      <c r="Q165" s="960">
        <v>25.0</v>
      </c>
      <c r="R165" s="960">
        <v>86.0</v>
      </c>
      <c r="S165" s="960">
        <v>149.0</v>
      </c>
      <c r="T165" s="960">
        <v>163.0</v>
      </c>
      <c r="U165" s="960">
        <f t="array" ref="U165">HLOOKUP($J165,'Type Chart'!$C$2:$T$20,2,false)*HLOOKUP($K165,'Type Chart'!$C$2:$U$20,2,false)</f>
        <v>0.5</v>
      </c>
      <c r="V165" s="960">
        <f t="array" ref="V165">HLOOKUP($J165,'Type Chart'!$C$2:$T$20,3,false)*HLOOKUP($K165,'Type Chart'!$C$2:$U$20,3,false)</f>
        <v>2</v>
      </c>
      <c r="W165" s="960">
        <f t="array" ref="W165">HLOOKUP($J165,'Type Chart'!$C$2:$T$20,4,false)*HLOOKUP($K165,'Type Chart'!$C$2:$U$20,4,false)</f>
        <v>0.5</v>
      </c>
      <c r="X165" s="960">
        <f t="array" ref="X165">HLOOKUP($J165,'Type Chart'!$C$2:$T$20,5,false)*HLOOKUP($K165,'Type Chart'!$C$2:$U$20,5,false)</f>
        <v>0.25</v>
      </c>
      <c r="Y165" s="960">
        <f t="array" ref="Y165">HLOOKUP($J165,'Type Chart'!$C$2:$T$20,6,false)*HLOOKUP($K165,'Type Chart'!$C$2:$U$20,6,false)</f>
        <v>2</v>
      </c>
      <c r="Z165" s="960">
        <f t="array" ref="Z165">HLOOKUP($J165,'Type Chart'!$C$2:$T$20,7,false)*HLOOKUP($K165,'Type Chart'!$C$2:$U$20,7,false)</f>
        <v>0.5</v>
      </c>
      <c r="AA165" s="960">
        <f t="array" ref="AA165">HLOOKUP($J165,'Type Chart'!$C$2:$T$20,8,false)*HLOOKUP($K165,'Type Chart'!$C$2:$U$20,8,false)</f>
        <v>1</v>
      </c>
      <c r="AB165" s="960">
        <f t="array" ref="AB165">HLOOKUP($J165,'Type Chart'!$C$2:$T$20,9,false)*HLOOKUP($K165,'Type Chart'!$C$2:$U$20,9,false)</f>
        <v>1</v>
      </c>
      <c r="AC165" s="960">
        <f t="array" ref="AC165">HLOOKUP($J165,'Type Chart'!$C$2:$T$20,10,false)*HLOOKUP($K165,'Type Chart'!$C$2:$U$20,10,false)</f>
        <v>2</v>
      </c>
      <c r="AD165" s="960">
        <f t="array" ref="AD165">HLOOKUP($J165,'Type Chart'!$C$2:$T$20,11,false)*HLOOKUP($K165,'Type Chart'!$C$2:$U$20,11,false)</f>
        <v>0.5</v>
      </c>
      <c r="AE165" s="960">
        <f t="array" ref="AE165">HLOOKUP($J165,'Type Chart'!$C$2:$T$20,12,false)*HLOOKUP($K165,'Type Chart'!$C$2:$U$20,12,false)</f>
        <v>4</v>
      </c>
      <c r="AF165" s="960">
        <f t="array" ref="AF165">HLOOKUP($J165,'Type Chart'!$C$2:$T$20,13,false)*HLOOKUP($K165,'Type Chart'!$C$2:$U$20,13,false)</f>
        <v>4</v>
      </c>
      <c r="AG165" s="960">
        <f t="array" ref="AG165">HLOOKUP($J165,'Type Chart'!$C$2:$T$20,14,false)*HLOOKUP($K165,'Type Chart'!$C$2:$U$20,14,false)</f>
        <v>0</v>
      </c>
      <c r="AH165" s="960">
        <f t="array" ref="AH165">HLOOKUP($J165,'Type Chart'!$C$2:$T$20,15,false)*HLOOKUP($K165,'Type Chart'!$C$2:$U$20,15,false)</f>
        <v>1</v>
      </c>
      <c r="AI165" s="960">
        <f t="array" ref="AI165">HLOOKUP($J165,'Type Chart'!$C$2:$T$20,16,false)*HLOOKUP($K165,'Type Chart'!$C$2:$U$20,16,false)</f>
        <v>2</v>
      </c>
      <c r="AJ165" s="960">
        <f t="array" ref="AJ165">HLOOKUP($J165,'Type Chart'!$C$2:$T$20,17,false)*HLOOKUP($K165,'Type Chart'!$C$2:$U$20,17,false)</f>
        <v>1</v>
      </c>
      <c r="AK165" s="960">
        <f t="array" ref="AK165">HLOOKUP($J165,'Type Chart'!$C$2:$T$20,18,false)*HLOOKUP($K165,'Type Chart'!$C$2:$U$20,18,false)</f>
        <v>1</v>
      </c>
      <c r="AL165" s="960">
        <f t="array" ref="AL165">HLOOKUP($J165,'Type Chart'!$C$2:$T$20,19,false)*HLOOKUP($K165,'Type Chart'!$C$2:$U$20,19,false)</f>
        <v>1</v>
      </c>
      <c r="AM165" s="964" t="s">
        <v>1068</v>
      </c>
      <c r="AN165" s="965" t="s">
        <v>1276</v>
      </c>
      <c r="AO165" s="966" t="s">
        <v>1497</v>
      </c>
      <c r="AP165" s="936"/>
      <c r="AQ165" s="967"/>
      <c r="AR165" s="968"/>
      <c r="AS165" s="936"/>
    </row>
    <row r="166" ht="15.75" customHeight="1">
      <c r="A166" s="1099"/>
      <c r="B166" s="948" t="s">
        <v>1517</v>
      </c>
      <c r="C166" s="1197" t="s">
        <v>1518</v>
      </c>
      <c r="D166" s="1197" t="s">
        <v>1518</v>
      </c>
      <c r="E166" s="1147" t="s">
        <v>1518</v>
      </c>
      <c r="F166" s="940"/>
      <c r="G166" s="953"/>
      <c r="H166" s="969"/>
      <c r="I166" s="998" t="s">
        <v>697</v>
      </c>
      <c r="J166" s="1223" t="s">
        <v>80</v>
      </c>
      <c r="K166" s="1222" t="s">
        <v>342</v>
      </c>
      <c r="L166" s="1200">
        <v>105.0</v>
      </c>
      <c r="M166" s="1201">
        <v>130.0</v>
      </c>
      <c r="N166" s="1201">
        <v>120.0</v>
      </c>
      <c r="O166" s="1201">
        <v>45.0</v>
      </c>
      <c r="P166" s="1201">
        <v>45.0</v>
      </c>
      <c r="Q166" s="1201">
        <v>40.0</v>
      </c>
      <c r="R166" s="960">
        <v>116.0</v>
      </c>
      <c r="S166" s="960">
        <v>179.0</v>
      </c>
      <c r="T166" s="960">
        <v>196.0</v>
      </c>
      <c r="U166" s="960">
        <f t="array" ref="U166">HLOOKUP($J166,'Type Chart'!$C$2:$T$20,2,false)*HLOOKUP($K166,'Type Chart'!$C$2:$U$20,2,false)</f>
        <v>0.5</v>
      </c>
      <c r="V166" s="960">
        <f t="array" ref="V166">HLOOKUP($J166,'Type Chart'!$C$2:$T$20,3,false)*HLOOKUP($K166,'Type Chart'!$C$2:$U$20,3,false)</f>
        <v>2</v>
      </c>
      <c r="W166" s="960">
        <f t="array" ref="W166">HLOOKUP($J166,'Type Chart'!$C$2:$T$20,4,false)*HLOOKUP($K166,'Type Chart'!$C$2:$U$20,4,false)</f>
        <v>0.5</v>
      </c>
      <c r="X166" s="960">
        <f t="array" ref="X166">HLOOKUP($J166,'Type Chart'!$C$2:$T$20,5,false)*HLOOKUP($K166,'Type Chart'!$C$2:$U$20,5,false)</f>
        <v>0.25</v>
      </c>
      <c r="Y166" s="960">
        <f t="array" ref="Y166">HLOOKUP($J166,'Type Chart'!$C$2:$T$20,6,false)*HLOOKUP($K166,'Type Chart'!$C$2:$U$20,6,false)</f>
        <v>2</v>
      </c>
      <c r="Z166" s="960">
        <f t="array" ref="Z166">HLOOKUP($J166,'Type Chart'!$C$2:$T$20,7,false)*HLOOKUP($K166,'Type Chart'!$C$2:$U$20,7,false)</f>
        <v>0.5</v>
      </c>
      <c r="AA166" s="960">
        <f t="array" ref="AA166">HLOOKUP($J166,'Type Chart'!$C$2:$T$20,8,false)*HLOOKUP($K166,'Type Chart'!$C$2:$U$20,8,false)</f>
        <v>1</v>
      </c>
      <c r="AB166" s="960">
        <f t="array" ref="AB166">HLOOKUP($J166,'Type Chart'!$C$2:$T$20,9,false)*HLOOKUP($K166,'Type Chart'!$C$2:$U$20,9,false)</f>
        <v>1</v>
      </c>
      <c r="AC166" s="960">
        <f t="array" ref="AC166">HLOOKUP($J166,'Type Chart'!$C$2:$T$20,10,false)*HLOOKUP($K166,'Type Chart'!$C$2:$U$20,10,false)</f>
        <v>2</v>
      </c>
      <c r="AD166" s="960">
        <f t="array" ref="AD166">HLOOKUP($J166,'Type Chart'!$C$2:$T$20,11,false)*HLOOKUP($K166,'Type Chart'!$C$2:$U$20,11,false)</f>
        <v>0.5</v>
      </c>
      <c r="AE166" s="960">
        <f t="array" ref="AE166">HLOOKUP($J166,'Type Chart'!$C$2:$T$20,12,false)*HLOOKUP($K166,'Type Chart'!$C$2:$U$20,12,false)</f>
        <v>4</v>
      </c>
      <c r="AF166" s="960">
        <f t="array" ref="AF166">HLOOKUP($J166,'Type Chart'!$C$2:$T$20,13,false)*HLOOKUP($K166,'Type Chart'!$C$2:$U$20,13,false)</f>
        <v>4</v>
      </c>
      <c r="AG166" s="960">
        <f t="array" ref="AG166">HLOOKUP($J166,'Type Chart'!$C$2:$T$20,14,false)*HLOOKUP($K166,'Type Chart'!$C$2:$U$20,14,false)</f>
        <v>0</v>
      </c>
      <c r="AH166" s="960">
        <f t="array" ref="AH166">HLOOKUP($J166,'Type Chart'!$C$2:$T$20,15,false)*HLOOKUP($K166,'Type Chart'!$C$2:$U$20,15,false)</f>
        <v>1</v>
      </c>
      <c r="AI166" s="960">
        <f t="array" ref="AI166">HLOOKUP($J166,'Type Chart'!$C$2:$T$20,16,false)*HLOOKUP($K166,'Type Chart'!$C$2:$U$20,16,false)</f>
        <v>2</v>
      </c>
      <c r="AJ166" s="960">
        <f t="array" ref="AJ166">HLOOKUP($J166,'Type Chart'!$C$2:$T$20,17,false)*HLOOKUP($K166,'Type Chart'!$C$2:$U$20,17,false)</f>
        <v>1</v>
      </c>
      <c r="AK166" s="960">
        <f t="array" ref="AK166">HLOOKUP($J166,'Type Chart'!$C$2:$T$20,18,false)*HLOOKUP($K166,'Type Chart'!$C$2:$U$20,18,false)</f>
        <v>1</v>
      </c>
      <c r="AL166" s="960">
        <f t="array" ref="AL166">HLOOKUP($J166,'Type Chart'!$C$2:$T$20,19,false)*HLOOKUP($K166,'Type Chart'!$C$2:$U$20,19,false)</f>
        <v>1</v>
      </c>
      <c r="AM166" s="1145" t="s">
        <v>1068</v>
      </c>
      <c r="AN166" s="965" t="s">
        <v>1276</v>
      </c>
      <c r="AO166" s="1146" t="s">
        <v>1497</v>
      </c>
      <c r="AP166" s="936"/>
      <c r="AQ166" s="967"/>
      <c r="AR166" s="968"/>
      <c r="AS166" s="936"/>
    </row>
    <row r="167" ht="15.75" customHeight="1">
      <c r="A167" s="936"/>
      <c r="B167" s="948" t="s">
        <v>1519</v>
      </c>
      <c r="C167" s="950" t="s">
        <v>152</v>
      </c>
      <c r="D167" s="950" t="s">
        <v>152</v>
      </c>
      <c r="E167" s="952" t="s">
        <v>152</v>
      </c>
      <c r="F167" s="940"/>
      <c r="G167" s="953"/>
      <c r="H167" s="969"/>
      <c r="I167" s="956" t="s">
        <v>130</v>
      </c>
      <c r="J167" s="1194" t="s">
        <v>136</v>
      </c>
      <c r="K167" s="984" t="s">
        <v>216</v>
      </c>
      <c r="L167" s="959">
        <v>250.0</v>
      </c>
      <c r="M167" s="960">
        <v>5.0</v>
      </c>
      <c r="N167" s="960">
        <v>5.0</v>
      </c>
      <c r="O167" s="960">
        <v>35.0</v>
      </c>
      <c r="P167" s="960">
        <v>105.0</v>
      </c>
      <c r="Q167" s="960">
        <v>50.0</v>
      </c>
      <c r="R167" s="960">
        <v>136.0</v>
      </c>
      <c r="S167" s="960">
        <v>199.0</v>
      </c>
      <c r="T167" s="960">
        <v>218.0</v>
      </c>
      <c r="U167" s="960">
        <f t="array" ref="U167">HLOOKUP($J167,'Type Chart'!$C$2:$T$20,2,false)*HLOOKUP($K167,'Type Chart'!$C$2:$U$20,2,false)</f>
        <v>1</v>
      </c>
      <c r="V167" s="960">
        <f t="array" ref="V167">HLOOKUP($J167,'Type Chart'!$C$2:$T$20,3,false)*HLOOKUP($K167,'Type Chart'!$C$2:$U$20,3,false)</f>
        <v>2</v>
      </c>
      <c r="W167" s="960">
        <f t="array" ref="W167">HLOOKUP($J167,'Type Chart'!$C$2:$T$20,4,false)*HLOOKUP($K167,'Type Chart'!$C$2:$U$20,4,false)</f>
        <v>1</v>
      </c>
      <c r="X167" s="960">
        <f t="array" ref="X167">HLOOKUP($J167,'Type Chart'!$C$2:$T$20,5,false)*HLOOKUP($K167,'Type Chart'!$C$2:$U$20,5,false)</f>
        <v>1</v>
      </c>
      <c r="Y167" s="960">
        <f t="array" ref="Y167">HLOOKUP($J167,'Type Chart'!$C$2:$T$20,6,false)*HLOOKUP($K167,'Type Chart'!$C$2:$U$20,6,false)</f>
        <v>1</v>
      </c>
      <c r="Z167" s="960">
        <f t="array" ref="Z167">HLOOKUP($J167,'Type Chart'!$C$2:$T$20,7,false)*HLOOKUP($K167,'Type Chart'!$C$2:$U$20,7,false)</f>
        <v>1</v>
      </c>
      <c r="AA167" s="960">
        <f t="array" ref="AA167">HLOOKUP($J167,'Type Chart'!$C$2:$T$20,8,false)*HLOOKUP($K167,'Type Chart'!$C$2:$U$20,8,false)</f>
        <v>1</v>
      </c>
      <c r="AB167" s="960">
        <f t="array" ref="AB167">HLOOKUP($J167,'Type Chart'!$C$2:$T$20,9,false)*HLOOKUP($K167,'Type Chart'!$C$2:$U$20,9,false)</f>
        <v>0</v>
      </c>
      <c r="AC167" s="960">
        <f t="array" ref="AC167">HLOOKUP($J167,'Type Chart'!$C$2:$T$20,10,false)*HLOOKUP($K167,'Type Chart'!$C$2:$U$20,10,false)</f>
        <v>1</v>
      </c>
      <c r="AD167" s="960">
        <f t="array" ref="AD167">HLOOKUP($J167,'Type Chart'!$C$2:$T$20,11,false)*HLOOKUP($K167,'Type Chart'!$C$2:$U$20,11,false)</f>
        <v>1</v>
      </c>
      <c r="AE167" s="960">
        <f t="array" ref="AE167">HLOOKUP($J167,'Type Chart'!$C$2:$T$20,12,false)*HLOOKUP($K167,'Type Chart'!$C$2:$U$20,12,false)</f>
        <v>1</v>
      </c>
      <c r="AF167" s="960">
        <f t="array" ref="AF167">HLOOKUP($J167,'Type Chart'!$C$2:$T$20,13,false)*HLOOKUP($K167,'Type Chart'!$C$2:$U$20,13,false)</f>
        <v>1</v>
      </c>
      <c r="AG167" s="960">
        <f t="array" ref="AG167">HLOOKUP($J167,'Type Chart'!$C$2:$T$20,14,false)*HLOOKUP($K167,'Type Chart'!$C$2:$U$20,14,false)</f>
        <v>1</v>
      </c>
      <c r="AH167" s="960">
        <f t="array" ref="AH167">HLOOKUP($J167,'Type Chart'!$C$2:$T$20,15,false)*HLOOKUP($K167,'Type Chart'!$C$2:$U$20,15,false)</f>
        <v>1</v>
      </c>
      <c r="AI167" s="960">
        <f t="array" ref="AI167">HLOOKUP($J167,'Type Chart'!$C$2:$T$20,16,false)*HLOOKUP($K167,'Type Chart'!$C$2:$U$20,16,false)</f>
        <v>1</v>
      </c>
      <c r="AJ167" s="960">
        <f t="array" ref="AJ167">HLOOKUP($J167,'Type Chart'!$C$2:$T$20,17,false)*HLOOKUP($K167,'Type Chart'!$C$2:$U$20,17,false)</f>
        <v>1</v>
      </c>
      <c r="AK167" s="960">
        <f t="array" ref="AK167">HLOOKUP($J167,'Type Chart'!$C$2:$T$20,18,false)*HLOOKUP($K167,'Type Chart'!$C$2:$U$20,18,false)</f>
        <v>1</v>
      </c>
      <c r="AL167" s="960">
        <f t="array" ref="AL167">HLOOKUP($J167,'Type Chart'!$C$2:$T$20,19,false)*HLOOKUP($K167,'Type Chart'!$C$2:$U$20,19,false)</f>
        <v>1</v>
      </c>
      <c r="AM167" s="964" t="s">
        <v>1520</v>
      </c>
      <c r="AN167" s="965" t="s">
        <v>1521</v>
      </c>
      <c r="AO167" s="966" t="s">
        <v>1522</v>
      </c>
      <c r="AP167" s="936"/>
      <c r="AQ167" s="967"/>
      <c r="AR167" s="968"/>
      <c r="AS167" s="936"/>
    </row>
    <row r="168" ht="15.75" customHeight="1">
      <c r="A168" s="936"/>
      <c r="B168" s="948" t="s">
        <v>1523</v>
      </c>
      <c r="C168" s="950" t="s">
        <v>1524</v>
      </c>
      <c r="D168" s="950" t="s">
        <v>1524</v>
      </c>
      <c r="E168" s="952" t="s">
        <v>1524</v>
      </c>
      <c r="F168" s="940"/>
      <c r="G168" s="953"/>
      <c r="H168" s="969"/>
      <c r="I168" s="998" t="s">
        <v>1525</v>
      </c>
      <c r="J168" s="957" t="s">
        <v>209</v>
      </c>
      <c r="K168" s="984" t="s">
        <v>216</v>
      </c>
      <c r="L168" s="959">
        <v>65.0</v>
      </c>
      <c r="M168" s="960">
        <v>55.0</v>
      </c>
      <c r="N168" s="960">
        <v>115.0</v>
      </c>
      <c r="O168" s="960">
        <v>100.0</v>
      </c>
      <c r="P168" s="960">
        <v>40.0</v>
      </c>
      <c r="Q168" s="960">
        <v>60.0</v>
      </c>
      <c r="R168" s="960">
        <v>156.0</v>
      </c>
      <c r="S168" s="960">
        <v>219.0</v>
      </c>
      <c r="T168" s="960">
        <v>240.0</v>
      </c>
      <c r="U168" s="960">
        <f t="array" ref="U168">HLOOKUP($J168,'Type Chart'!$C$2:$T$20,2,false)*HLOOKUP($K168,'Type Chart'!$C$2:$U$20,2,false)</f>
        <v>1</v>
      </c>
      <c r="V168" s="960">
        <f t="array" ref="V168">HLOOKUP($J168,'Type Chart'!$C$2:$T$20,3,false)*HLOOKUP($K168,'Type Chart'!$C$2:$U$20,3,false)</f>
        <v>1</v>
      </c>
      <c r="W168" s="960">
        <f t="array" ref="W168">HLOOKUP($J168,'Type Chart'!$C$2:$T$20,4,false)*HLOOKUP($K168,'Type Chart'!$C$2:$U$20,4,false)</f>
        <v>2</v>
      </c>
      <c r="X168" s="960">
        <f t="array" ref="X168">HLOOKUP($J168,'Type Chart'!$C$2:$T$20,5,false)*HLOOKUP($K168,'Type Chart'!$C$2:$U$20,5,false)</f>
        <v>2</v>
      </c>
      <c r="Y168" s="960">
        <f t="array" ref="Y168">HLOOKUP($J168,'Type Chart'!$C$2:$T$20,6,false)*HLOOKUP($K168,'Type Chart'!$C$2:$U$20,6,false)</f>
        <v>0.5</v>
      </c>
      <c r="Z168" s="960">
        <f t="array" ref="Z168">HLOOKUP($J168,'Type Chart'!$C$2:$T$20,7,false)*HLOOKUP($K168,'Type Chart'!$C$2:$U$20,7,false)</f>
        <v>1</v>
      </c>
      <c r="AA168" s="960">
        <f t="array" ref="AA168">HLOOKUP($J168,'Type Chart'!$C$2:$T$20,8,false)*HLOOKUP($K168,'Type Chart'!$C$2:$U$20,8,false)</f>
        <v>2</v>
      </c>
      <c r="AB168" s="960">
        <f t="array" ref="AB168">HLOOKUP($J168,'Type Chart'!$C$2:$T$20,9,false)*HLOOKUP($K168,'Type Chart'!$C$2:$U$20,9,false)</f>
        <v>1</v>
      </c>
      <c r="AC168" s="960">
        <f t="array" ref="AC168">HLOOKUP($J168,'Type Chart'!$C$2:$T$20,10,false)*HLOOKUP($K168,'Type Chart'!$C$2:$U$20,10,false)</f>
        <v>1</v>
      </c>
      <c r="AD168" s="960">
        <f t="array" ref="AD168">HLOOKUP($J168,'Type Chart'!$C$2:$T$20,11,false)*HLOOKUP($K168,'Type Chart'!$C$2:$U$20,11,false)</f>
        <v>2</v>
      </c>
      <c r="AE168" s="960">
        <f t="array" ref="AE168">HLOOKUP($J168,'Type Chart'!$C$2:$T$20,12,false)*HLOOKUP($K168,'Type Chart'!$C$2:$U$20,12,false)</f>
        <v>0.5</v>
      </c>
      <c r="AF168" s="960">
        <f t="array" ref="AF168">HLOOKUP($J168,'Type Chart'!$C$2:$T$20,13,false)*HLOOKUP($K168,'Type Chart'!$C$2:$U$20,13,false)</f>
        <v>0.5</v>
      </c>
      <c r="AG168" s="960">
        <f t="array" ref="AG168">HLOOKUP($J168,'Type Chart'!$C$2:$T$20,14,false)*HLOOKUP($K168,'Type Chart'!$C$2:$U$20,14,false)</f>
        <v>0.5</v>
      </c>
      <c r="AH168" s="960">
        <f t="array" ref="AH168">HLOOKUP($J168,'Type Chart'!$C$2:$T$20,15,false)*HLOOKUP($K168,'Type Chart'!$C$2:$U$20,15,false)</f>
        <v>1</v>
      </c>
      <c r="AI168" s="960">
        <f t="array" ref="AI168">HLOOKUP($J168,'Type Chart'!$C$2:$T$20,16,false)*HLOOKUP($K168,'Type Chart'!$C$2:$U$20,16,false)</f>
        <v>2</v>
      </c>
      <c r="AJ168" s="960">
        <f t="array" ref="AJ168">HLOOKUP($J168,'Type Chart'!$C$2:$T$20,17,false)*HLOOKUP($K168,'Type Chart'!$C$2:$U$20,17,false)</f>
        <v>1</v>
      </c>
      <c r="AK168" s="960">
        <f t="array" ref="AK168">HLOOKUP($J168,'Type Chart'!$C$2:$T$20,18,false)*HLOOKUP($K168,'Type Chart'!$C$2:$U$20,18,false)</f>
        <v>1</v>
      </c>
      <c r="AL168" s="960">
        <f t="array" ref="AL168">HLOOKUP($J168,'Type Chart'!$C$2:$T$20,19,false)*HLOOKUP($K168,'Type Chart'!$C$2:$U$20,19,false)</f>
        <v>1</v>
      </c>
      <c r="AM168" s="964" t="s">
        <v>524</v>
      </c>
      <c r="AN168" s="965" t="s">
        <v>1526</v>
      </c>
      <c r="AO168" s="966" t="s">
        <v>1371</v>
      </c>
      <c r="AP168" s="936"/>
      <c r="AQ168" s="967"/>
      <c r="AR168" s="968"/>
      <c r="AS168" s="936"/>
    </row>
    <row r="169" ht="15.75" customHeight="1">
      <c r="A169" s="936"/>
      <c r="B169" s="948" t="s">
        <v>1527</v>
      </c>
      <c r="C169" s="950" t="s">
        <v>1528</v>
      </c>
      <c r="D169" s="950" t="s">
        <v>1528</v>
      </c>
      <c r="E169" s="952" t="s">
        <v>1528</v>
      </c>
      <c r="F169" s="940"/>
      <c r="G169" s="953"/>
      <c r="H169" s="969"/>
      <c r="I169" s="956" t="s">
        <v>1529</v>
      </c>
      <c r="J169" s="1194" t="s">
        <v>136</v>
      </c>
      <c r="K169" s="984" t="s">
        <v>216</v>
      </c>
      <c r="L169" s="959">
        <v>105.0</v>
      </c>
      <c r="M169" s="960">
        <v>95.0</v>
      </c>
      <c r="N169" s="960">
        <v>80.0</v>
      </c>
      <c r="O169" s="960">
        <v>40.0</v>
      </c>
      <c r="P169" s="960">
        <v>80.0</v>
      </c>
      <c r="Q169" s="960">
        <v>90.0</v>
      </c>
      <c r="R169" s="960">
        <v>216.0</v>
      </c>
      <c r="S169" s="960">
        <v>279.0</v>
      </c>
      <c r="T169" s="960">
        <v>306.0</v>
      </c>
      <c r="U169" s="960">
        <f t="array" ref="U169">HLOOKUP($J169,'Type Chart'!$C$2:$T$20,2,false)*HLOOKUP($K169,'Type Chart'!$C$2:$U$20,2,false)</f>
        <v>1</v>
      </c>
      <c r="V169" s="960">
        <f t="array" ref="V169">HLOOKUP($J169,'Type Chart'!$C$2:$T$20,3,false)*HLOOKUP($K169,'Type Chart'!$C$2:$U$20,3,false)</f>
        <v>2</v>
      </c>
      <c r="W169" s="960">
        <f t="array" ref="W169">HLOOKUP($J169,'Type Chart'!$C$2:$T$20,4,false)*HLOOKUP($K169,'Type Chart'!$C$2:$U$20,4,false)</f>
        <v>1</v>
      </c>
      <c r="X169" s="960">
        <f t="array" ref="X169">HLOOKUP($J169,'Type Chart'!$C$2:$T$20,5,false)*HLOOKUP($K169,'Type Chart'!$C$2:$U$20,5,false)</f>
        <v>1</v>
      </c>
      <c r="Y169" s="960">
        <f t="array" ref="Y169">HLOOKUP($J169,'Type Chart'!$C$2:$T$20,6,false)*HLOOKUP($K169,'Type Chart'!$C$2:$U$20,6,false)</f>
        <v>1</v>
      </c>
      <c r="Z169" s="960">
        <f t="array" ref="Z169">HLOOKUP($J169,'Type Chart'!$C$2:$T$20,7,false)*HLOOKUP($K169,'Type Chart'!$C$2:$U$20,7,false)</f>
        <v>1</v>
      </c>
      <c r="AA169" s="960">
        <f t="array" ref="AA169">HLOOKUP($J169,'Type Chart'!$C$2:$T$20,8,false)*HLOOKUP($K169,'Type Chart'!$C$2:$U$20,8,false)</f>
        <v>1</v>
      </c>
      <c r="AB169" s="960">
        <f t="array" ref="AB169">HLOOKUP($J169,'Type Chart'!$C$2:$T$20,9,false)*HLOOKUP($K169,'Type Chart'!$C$2:$U$20,9,false)</f>
        <v>0</v>
      </c>
      <c r="AC169" s="960">
        <f t="array" ref="AC169">HLOOKUP($J169,'Type Chart'!$C$2:$T$20,10,false)*HLOOKUP($K169,'Type Chart'!$C$2:$U$20,10,false)</f>
        <v>1</v>
      </c>
      <c r="AD169" s="960">
        <f t="array" ref="AD169">HLOOKUP($J169,'Type Chart'!$C$2:$T$20,11,false)*HLOOKUP($K169,'Type Chart'!$C$2:$U$20,11,false)</f>
        <v>1</v>
      </c>
      <c r="AE169" s="960">
        <f t="array" ref="AE169">HLOOKUP($J169,'Type Chart'!$C$2:$T$20,12,false)*HLOOKUP($K169,'Type Chart'!$C$2:$U$20,12,false)</f>
        <v>1</v>
      </c>
      <c r="AF169" s="960">
        <f t="array" ref="AF169">HLOOKUP($J169,'Type Chart'!$C$2:$T$20,13,false)*HLOOKUP($K169,'Type Chart'!$C$2:$U$20,13,false)</f>
        <v>1</v>
      </c>
      <c r="AG169" s="960">
        <f t="array" ref="AG169">HLOOKUP($J169,'Type Chart'!$C$2:$T$20,14,false)*HLOOKUP($K169,'Type Chart'!$C$2:$U$20,14,false)</f>
        <v>1</v>
      </c>
      <c r="AH169" s="960">
        <f t="array" ref="AH169">HLOOKUP($J169,'Type Chart'!$C$2:$T$20,15,false)*HLOOKUP($K169,'Type Chart'!$C$2:$U$20,15,false)</f>
        <v>1</v>
      </c>
      <c r="AI169" s="960">
        <f t="array" ref="AI169">HLOOKUP($J169,'Type Chart'!$C$2:$T$20,16,false)*HLOOKUP($K169,'Type Chart'!$C$2:$U$20,16,false)</f>
        <v>1</v>
      </c>
      <c r="AJ169" s="960">
        <f t="array" ref="AJ169">HLOOKUP($J169,'Type Chart'!$C$2:$T$20,17,false)*HLOOKUP($K169,'Type Chart'!$C$2:$U$20,17,false)</f>
        <v>1</v>
      </c>
      <c r="AK169" s="960">
        <f t="array" ref="AK169">HLOOKUP($J169,'Type Chart'!$C$2:$T$20,18,false)*HLOOKUP($K169,'Type Chart'!$C$2:$U$20,18,false)</f>
        <v>1</v>
      </c>
      <c r="AL169" s="960">
        <f t="array" ref="AL169">HLOOKUP($J169,'Type Chart'!$C$2:$T$20,19,false)*HLOOKUP($K169,'Type Chart'!$C$2:$U$20,19,false)</f>
        <v>1</v>
      </c>
      <c r="AM169" s="964" t="s">
        <v>1403</v>
      </c>
      <c r="AN169" s="965" t="s">
        <v>1399</v>
      </c>
      <c r="AO169" s="966" t="s">
        <v>1192</v>
      </c>
      <c r="AP169" s="936"/>
      <c r="AQ169" s="967"/>
      <c r="AR169" s="968"/>
      <c r="AS169" s="936"/>
    </row>
    <row r="170" ht="15.75" customHeight="1">
      <c r="A170" s="936"/>
      <c r="B170" s="948" t="s">
        <v>1530</v>
      </c>
      <c r="C170" s="950" t="s">
        <v>1531</v>
      </c>
      <c r="D170" s="950" t="s">
        <v>1531</v>
      </c>
      <c r="E170" s="952" t="s">
        <v>1531</v>
      </c>
      <c r="F170" s="940"/>
      <c r="G170" s="953"/>
      <c r="H170" s="969"/>
      <c r="I170" s="956" t="s">
        <v>1532</v>
      </c>
      <c r="J170" s="1194" t="s">
        <v>136</v>
      </c>
      <c r="K170" s="984" t="s">
        <v>216</v>
      </c>
      <c r="L170" s="959">
        <v>105.0</v>
      </c>
      <c r="M170" s="960">
        <v>125.0</v>
      </c>
      <c r="N170" s="960">
        <v>100.0</v>
      </c>
      <c r="O170" s="960">
        <v>60.0</v>
      </c>
      <c r="P170" s="960">
        <v>100.0</v>
      </c>
      <c r="Q170" s="960">
        <v>100.0</v>
      </c>
      <c r="R170" s="960">
        <v>236.0</v>
      </c>
      <c r="S170" s="960">
        <v>299.0</v>
      </c>
      <c r="T170" s="960">
        <v>328.0</v>
      </c>
      <c r="U170" s="960">
        <f t="array" ref="U170">HLOOKUP($J170,'Type Chart'!$C$2:$T$20,2,false)*HLOOKUP($K170,'Type Chart'!$C$2:$U$20,2,false)</f>
        <v>1</v>
      </c>
      <c r="V170" s="960">
        <f t="array" ref="V170">HLOOKUP($J170,'Type Chart'!$C$2:$T$20,3,false)*HLOOKUP($K170,'Type Chart'!$C$2:$U$20,3,false)</f>
        <v>2</v>
      </c>
      <c r="W170" s="960">
        <f t="array" ref="W170">HLOOKUP($J170,'Type Chart'!$C$2:$T$20,4,false)*HLOOKUP($K170,'Type Chart'!$C$2:$U$20,4,false)</f>
        <v>1</v>
      </c>
      <c r="X170" s="960">
        <f t="array" ref="X170">HLOOKUP($J170,'Type Chart'!$C$2:$T$20,5,false)*HLOOKUP($K170,'Type Chart'!$C$2:$U$20,5,false)</f>
        <v>1</v>
      </c>
      <c r="Y170" s="960">
        <f t="array" ref="Y170">HLOOKUP($J170,'Type Chart'!$C$2:$T$20,6,false)*HLOOKUP($K170,'Type Chart'!$C$2:$U$20,6,false)</f>
        <v>1</v>
      </c>
      <c r="Z170" s="960">
        <f t="array" ref="Z170">HLOOKUP($J170,'Type Chart'!$C$2:$T$20,7,false)*HLOOKUP($K170,'Type Chart'!$C$2:$U$20,7,false)</f>
        <v>1</v>
      </c>
      <c r="AA170" s="960">
        <f t="array" ref="AA170">HLOOKUP($J170,'Type Chart'!$C$2:$T$20,8,false)*HLOOKUP($K170,'Type Chart'!$C$2:$U$20,8,false)</f>
        <v>1</v>
      </c>
      <c r="AB170" s="960">
        <f t="array" ref="AB170">HLOOKUP($J170,'Type Chart'!$C$2:$T$20,9,false)*HLOOKUP($K170,'Type Chart'!$C$2:$U$20,9,false)</f>
        <v>0</v>
      </c>
      <c r="AC170" s="960">
        <f t="array" ref="AC170">HLOOKUP($J170,'Type Chart'!$C$2:$T$20,10,false)*HLOOKUP($K170,'Type Chart'!$C$2:$U$20,10,false)</f>
        <v>1</v>
      </c>
      <c r="AD170" s="960">
        <f t="array" ref="AD170">HLOOKUP($J170,'Type Chart'!$C$2:$T$20,11,false)*HLOOKUP($K170,'Type Chart'!$C$2:$U$20,11,false)</f>
        <v>1</v>
      </c>
      <c r="AE170" s="960">
        <f t="array" ref="AE170">HLOOKUP($J170,'Type Chart'!$C$2:$T$20,12,false)*HLOOKUP($K170,'Type Chart'!$C$2:$U$20,12,false)</f>
        <v>1</v>
      </c>
      <c r="AF170" s="960">
        <f t="array" ref="AF170">HLOOKUP($J170,'Type Chart'!$C$2:$T$20,13,false)*HLOOKUP($K170,'Type Chart'!$C$2:$U$20,13,false)</f>
        <v>1</v>
      </c>
      <c r="AG170" s="960">
        <f t="array" ref="AG170">HLOOKUP($J170,'Type Chart'!$C$2:$T$20,14,false)*HLOOKUP($K170,'Type Chart'!$C$2:$U$20,14,false)</f>
        <v>1</v>
      </c>
      <c r="AH170" s="960">
        <f t="array" ref="AH170">HLOOKUP($J170,'Type Chart'!$C$2:$T$20,15,false)*HLOOKUP($K170,'Type Chart'!$C$2:$U$20,15,false)</f>
        <v>1</v>
      </c>
      <c r="AI170" s="960">
        <f t="array" ref="AI170">HLOOKUP($J170,'Type Chart'!$C$2:$T$20,16,false)*HLOOKUP($K170,'Type Chart'!$C$2:$U$20,16,false)</f>
        <v>1</v>
      </c>
      <c r="AJ170" s="960">
        <f t="array" ref="AJ170">HLOOKUP($J170,'Type Chart'!$C$2:$T$20,17,false)*HLOOKUP($K170,'Type Chart'!$C$2:$U$20,17,false)</f>
        <v>1</v>
      </c>
      <c r="AK170" s="960">
        <f t="array" ref="AK170">HLOOKUP($J170,'Type Chart'!$C$2:$T$20,18,false)*HLOOKUP($K170,'Type Chart'!$C$2:$U$20,18,false)</f>
        <v>1</v>
      </c>
      <c r="AL170" s="960">
        <f t="array" ref="AL170">HLOOKUP($J170,'Type Chart'!$C$2:$T$20,19,false)*HLOOKUP($K170,'Type Chart'!$C$2:$U$20,19,false)</f>
        <v>1</v>
      </c>
      <c r="AM170" s="964" t="s">
        <v>1399</v>
      </c>
      <c r="AN170" s="965"/>
      <c r="AO170" s="966"/>
      <c r="AP170" s="936"/>
      <c r="AQ170" s="967"/>
      <c r="AR170" s="968"/>
      <c r="AS170" s="936"/>
    </row>
    <row r="171" ht="15.75" customHeight="1">
      <c r="A171" s="936"/>
      <c r="B171" s="948" t="s">
        <v>1533</v>
      </c>
      <c r="C171" s="950" t="s">
        <v>1534</v>
      </c>
      <c r="D171" s="950" t="s">
        <v>1534</v>
      </c>
      <c r="E171" s="952" t="s">
        <v>1534</v>
      </c>
      <c r="F171" s="940"/>
      <c r="G171" s="953"/>
      <c r="H171" s="969"/>
      <c r="I171" s="956" t="s">
        <v>1535</v>
      </c>
      <c r="J171" s="1056" t="s">
        <v>81</v>
      </c>
      <c r="K171" s="984" t="s">
        <v>216</v>
      </c>
      <c r="L171" s="959">
        <v>30.0</v>
      </c>
      <c r="M171" s="960">
        <v>40.0</v>
      </c>
      <c r="N171" s="960">
        <v>70.0</v>
      </c>
      <c r="O171" s="960">
        <v>70.0</v>
      </c>
      <c r="P171" s="960">
        <v>25.0</v>
      </c>
      <c r="Q171" s="960">
        <v>60.0</v>
      </c>
      <c r="R171" s="960">
        <v>156.0</v>
      </c>
      <c r="S171" s="960">
        <v>219.0</v>
      </c>
      <c r="T171" s="960">
        <v>240.0</v>
      </c>
      <c r="U171" s="960">
        <f t="array" ref="U171">HLOOKUP($J171,'Type Chart'!$C$2:$T$20,2,false)*HLOOKUP($K171,'Type Chart'!$C$2:$U$20,2,false)</f>
        <v>1</v>
      </c>
      <c r="V171" s="960">
        <f t="array" ref="V171">HLOOKUP($J171,'Type Chart'!$C$2:$T$20,3,false)*HLOOKUP($K171,'Type Chart'!$C$2:$U$20,3,false)</f>
        <v>1</v>
      </c>
      <c r="W171" s="960">
        <f t="array" ref="W171">HLOOKUP($J171,'Type Chart'!$C$2:$T$20,4,false)*HLOOKUP($K171,'Type Chart'!$C$2:$U$20,4,false)</f>
        <v>1</v>
      </c>
      <c r="X171" s="960">
        <f t="array" ref="X171">HLOOKUP($J171,'Type Chart'!$C$2:$T$20,5,false)*HLOOKUP($K171,'Type Chart'!$C$2:$U$20,5,false)</f>
        <v>1</v>
      </c>
      <c r="Y171" s="960">
        <f t="array" ref="Y171">HLOOKUP($J171,'Type Chart'!$C$2:$T$20,6,false)*HLOOKUP($K171,'Type Chart'!$C$2:$U$20,6,false)</f>
        <v>1</v>
      </c>
      <c r="Z171" s="960">
        <f t="array" ref="Z171">HLOOKUP($J171,'Type Chart'!$C$2:$T$20,7,false)*HLOOKUP($K171,'Type Chart'!$C$2:$U$20,7,false)</f>
        <v>1</v>
      </c>
      <c r="AA171" s="960">
        <f t="array" ref="AA171">HLOOKUP($J171,'Type Chart'!$C$2:$T$20,8,false)*HLOOKUP($K171,'Type Chart'!$C$2:$U$20,8,false)</f>
        <v>1</v>
      </c>
      <c r="AB171" s="960">
        <f t="array" ref="AB171">HLOOKUP($J171,'Type Chart'!$C$2:$T$20,9,false)*HLOOKUP($K171,'Type Chart'!$C$2:$U$20,9,false)</f>
        <v>1</v>
      </c>
      <c r="AC171" s="960">
        <f t="array" ref="AC171">HLOOKUP($J171,'Type Chart'!$C$2:$T$20,10,false)*HLOOKUP($K171,'Type Chart'!$C$2:$U$20,10,false)</f>
        <v>0.5</v>
      </c>
      <c r="AD171" s="960">
        <f t="array" ref="AD171">HLOOKUP($J171,'Type Chart'!$C$2:$T$20,11,false)*HLOOKUP($K171,'Type Chart'!$C$2:$U$20,11,false)</f>
        <v>0.5</v>
      </c>
      <c r="AE171" s="960">
        <f t="array" ref="AE171">HLOOKUP($J171,'Type Chart'!$C$2:$T$20,12,false)*HLOOKUP($K171,'Type Chart'!$C$2:$U$20,12,false)</f>
        <v>0.5</v>
      </c>
      <c r="AF171" s="960">
        <f t="array" ref="AF171">HLOOKUP($J171,'Type Chart'!$C$2:$T$20,13,false)*HLOOKUP($K171,'Type Chart'!$C$2:$U$20,13,false)</f>
        <v>2</v>
      </c>
      <c r="AG171" s="960">
        <f t="array" ref="AG171">HLOOKUP($J171,'Type Chart'!$C$2:$T$20,14,false)*HLOOKUP($K171,'Type Chart'!$C$2:$U$20,14,false)</f>
        <v>2</v>
      </c>
      <c r="AH171" s="960">
        <f t="array" ref="AH171">HLOOKUP($J171,'Type Chart'!$C$2:$T$20,15,false)*HLOOKUP($K171,'Type Chart'!$C$2:$U$20,15,false)</f>
        <v>1</v>
      </c>
      <c r="AI171" s="960">
        <f t="array" ref="AI171">HLOOKUP($J171,'Type Chart'!$C$2:$T$20,16,false)*HLOOKUP($K171,'Type Chart'!$C$2:$U$20,16,false)</f>
        <v>0.5</v>
      </c>
      <c r="AJ171" s="960">
        <f t="array" ref="AJ171">HLOOKUP($J171,'Type Chart'!$C$2:$T$20,17,false)*HLOOKUP($K171,'Type Chart'!$C$2:$U$20,17,false)</f>
        <v>1</v>
      </c>
      <c r="AK171" s="960">
        <f t="array" ref="AK171">HLOOKUP($J171,'Type Chart'!$C$2:$T$20,18,false)*HLOOKUP($K171,'Type Chart'!$C$2:$U$20,18,false)</f>
        <v>1</v>
      </c>
      <c r="AL171" s="960">
        <f t="array" ref="AL171">HLOOKUP($J171,'Type Chart'!$C$2:$T$20,19,false)*HLOOKUP($K171,'Type Chart'!$C$2:$U$20,19,false)</f>
        <v>1</v>
      </c>
      <c r="AM171" s="964" t="s">
        <v>1259</v>
      </c>
      <c r="AN171" s="965" t="s">
        <v>1014</v>
      </c>
      <c r="AO171" s="966" t="s">
        <v>1211</v>
      </c>
      <c r="AP171" s="936"/>
      <c r="AQ171" s="967"/>
      <c r="AR171" s="968"/>
      <c r="AS171" s="936"/>
    </row>
    <row r="172" ht="15.75" customHeight="1">
      <c r="A172" s="936"/>
      <c r="B172" s="948" t="s">
        <v>1536</v>
      </c>
      <c r="C172" s="950" t="s">
        <v>1537</v>
      </c>
      <c r="D172" s="950" t="s">
        <v>1537</v>
      </c>
      <c r="E172" s="952" t="s">
        <v>1537</v>
      </c>
      <c r="F172" s="940"/>
      <c r="G172" s="953"/>
      <c r="H172" s="969"/>
      <c r="I172" s="998" t="s">
        <v>1538</v>
      </c>
      <c r="J172" s="1056" t="s">
        <v>81</v>
      </c>
      <c r="K172" s="984" t="s">
        <v>216</v>
      </c>
      <c r="L172" s="959">
        <v>55.0</v>
      </c>
      <c r="M172" s="960">
        <v>65.0</v>
      </c>
      <c r="N172" s="960">
        <v>95.0</v>
      </c>
      <c r="O172" s="960">
        <v>95.0</v>
      </c>
      <c r="P172" s="960">
        <v>45.0</v>
      </c>
      <c r="Q172" s="960">
        <v>85.0</v>
      </c>
      <c r="R172" s="960">
        <v>206.0</v>
      </c>
      <c r="S172" s="960">
        <v>269.0</v>
      </c>
      <c r="T172" s="960">
        <v>295.0</v>
      </c>
      <c r="U172" s="960">
        <f t="array" ref="U172">HLOOKUP($J172,'Type Chart'!$C$2:$T$20,2,false)*HLOOKUP($K172,'Type Chart'!$C$2:$U$20,2,false)</f>
        <v>1</v>
      </c>
      <c r="V172" s="960">
        <f t="array" ref="V172">HLOOKUP($J172,'Type Chart'!$C$2:$T$20,3,false)*HLOOKUP($K172,'Type Chart'!$C$2:$U$20,3,false)</f>
        <v>1</v>
      </c>
      <c r="W172" s="960">
        <f t="array" ref="W172">HLOOKUP($J172,'Type Chart'!$C$2:$T$20,4,false)*HLOOKUP($K172,'Type Chart'!$C$2:$U$20,4,false)</f>
        <v>1</v>
      </c>
      <c r="X172" s="960">
        <f t="array" ref="X172">HLOOKUP($J172,'Type Chart'!$C$2:$T$20,5,false)*HLOOKUP($K172,'Type Chart'!$C$2:$U$20,5,false)</f>
        <v>1</v>
      </c>
      <c r="Y172" s="960">
        <f t="array" ref="Y172">HLOOKUP($J172,'Type Chart'!$C$2:$T$20,6,false)*HLOOKUP($K172,'Type Chart'!$C$2:$U$20,6,false)</f>
        <v>1</v>
      </c>
      <c r="Z172" s="960">
        <f t="array" ref="Z172">HLOOKUP($J172,'Type Chart'!$C$2:$T$20,7,false)*HLOOKUP($K172,'Type Chart'!$C$2:$U$20,7,false)</f>
        <v>1</v>
      </c>
      <c r="AA172" s="960">
        <f t="array" ref="AA172">HLOOKUP($J172,'Type Chart'!$C$2:$T$20,8,false)*HLOOKUP($K172,'Type Chart'!$C$2:$U$20,8,false)</f>
        <v>1</v>
      </c>
      <c r="AB172" s="960">
        <f t="array" ref="AB172">HLOOKUP($J172,'Type Chart'!$C$2:$T$20,9,false)*HLOOKUP($K172,'Type Chart'!$C$2:$U$20,9,false)</f>
        <v>1</v>
      </c>
      <c r="AC172" s="960">
        <f t="array" ref="AC172">HLOOKUP($J172,'Type Chart'!$C$2:$T$20,10,false)*HLOOKUP($K172,'Type Chart'!$C$2:$U$20,10,false)</f>
        <v>0.5</v>
      </c>
      <c r="AD172" s="960">
        <f t="array" ref="AD172">HLOOKUP($J172,'Type Chart'!$C$2:$T$20,11,false)*HLOOKUP($K172,'Type Chart'!$C$2:$U$20,11,false)</f>
        <v>0.5</v>
      </c>
      <c r="AE172" s="960">
        <f t="array" ref="AE172">HLOOKUP($J172,'Type Chart'!$C$2:$T$20,12,false)*HLOOKUP($K172,'Type Chart'!$C$2:$U$20,12,false)</f>
        <v>0.5</v>
      </c>
      <c r="AF172" s="960">
        <f t="array" ref="AF172">HLOOKUP($J172,'Type Chart'!$C$2:$T$20,13,false)*HLOOKUP($K172,'Type Chart'!$C$2:$U$20,13,false)</f>
        <v>2</v>
      </c>
      <c r="AG172" s="960">
        <f t="array" ref="AG172">HLOOKUP($J172,'Type Chart'!$C$2:$T$20,14,false)*HLOOKUP($K172,'Type Chart'!$C$2:$U$20,14,false)</f>
        <v>2</v>
      </c>
      <c r="AH172" s="960">
        <f t="array" ref="AH172">HLOOKUP($J172,'Type Chart'!$C$2:$T$20,15,false)*HLOOKUP($K172,'Type Chart'!$C$2:$U$20,15,false)</f>
        <v>1</v>
      </c>
      <c r="AI172" s="960">
        <f t="array" ref="AI172">HLOOKUP($J172,'Type Chart'!$C$2:$T$20,16,false)*HLOOKUP($K172,'Type Chart'!$C$2:$U$20,16,false)</f>
        <v>0.5</v>
      </c>
      <c r="AJ172" s="960">
        <f t="array" ref="AJ172">HLOOKUP($J172,'Type Chart'!$C$2:$T$20,17,false)*HLOOKUP($K172,'Type Chart'!$C$2:$U$20,17,false)</f>
        <v>1</v>
      </c>
      <c r="AK172" s="960">
        <f t="array" ref="AK172">HLOOKUP($J172,'Type Chart'!$C$2:$T$20,18,false)*HLOOKUP($K172,'Type Chart'!$C$2:$U$20,18,false)</f>
        <v>1</v>
      </c>
      <c r="AL172" s="960">
        <f t="array" ref="AL172">HLOOKUP($J172,'Type Chart'!$C$2:$T$20,19,false)*HLOOKUP($K172,'Type Chart'!$C$2:$U$20,19,false)</f>
        <v>1</v>
      </c>
      <c r="AM172" s="964" t="s">
        <v>1146</v>
      </c>
      <c r="AN172" s="965" t="s">
        <v>1014</v>
      </c>
      <c r="AO172" s="966" t="s">
        <v>1211</v>
      </c>
      <c r="AP172" s="936"/>
      <c r="AQ172" s="967"/>
      <c r="AR172" s="968"/>
      <c r="AS172" s="936"/>
    </row>
    <row r="173" ht="15.75" customHeight="1">
      <c r="A173" s="936"/>
      <c r="B173" s="948" t="s">
        <v>1539</v>
      </c>
      <c r="C173" s="950" t="s">
        <v>1540</v>
      </c>
      <c r="D173" s="950" t="s">
        <v>1540</v>
      </c>
      <c r="E173" s="952" t="s">
        <v>1540</v>
      </c>
      <c r="F173" s="940"/>
      <c r="G173" s="953"/>
      <c r="H173" s="969"/>
      <c r="I173" s="998" t="s">
        <v>1541</v>
      </c>
      <c r="J173" s="1056" t="s">
        <v>81</v>
      </c>
      <c r="K173" s="984" t="s">
        <v>216</v>
      </c>
      <c r="L173" s="959">
        <v>45.0</v>
      </c>
      <c r="M173" s="960">
        <v>67.0</v>
      </c>
      <c r="N173" s="960">
        <v>60.0</v>
      </c>
      <c r="O173" s="960">
        <v>35.0</v>
      </c>
      <c r="P173" s="960">
        <v>50.0</v>
      </c>
      <c r="Q173" s="960">
        <v>63.0</v>
      </c>
      <c r="R173" s="960">
        <v>162.0</v>
      </c>
      <c r="S173" s="960">
        <v>225.0</v>
      </c>
      <c r="T173" s="960">
        <v>247.0</v>
      </c>
      <c r="U173" s="960">
        <f t="array" ref="U173">HLOOKUP($J173,'Type Chart'!$C$2:$T$20,2,false)*HLOOKUP($K173,'Type Chart'!$C$2:$U$20,2,false)</f>
        <v>1</v>
      </c>
      <c r="V173" s="960">
        <f t="array" ref="V173">HLOOKUP($J173,'Type Chart'!$C$2:$T$20,3,false)*HLOOKUP($K173,'Type Chart'!$C$2:$U$20,3,false)</f>
        <v>1</v>
      </c>
      <c r="W173" s="960">
        <f t="array" ref="W173">HLOOKUP($J173,'Type Chart'!$C$2:$T$20,4,false)*HLOOKUP($K173,'Type Chart'!$C$2:$U$20,4,false)</f>
        <v>1</v>
      </c>
      <c r="X173" s="960">
        <f t="array" ref="X173">HLOOKUP($J173,'Type Chart'!$C$2:$T$20,5,false)*HLOOKUP($K173,'Type Chart'!$C$2:$U$20,5,false)</f>
        <v>1</v>
      </c>
      <c r="Y173" s="960">
        <f t="array" ref="Y173">HLOOKUP($J173,'Type Chart'!$C$2:$T$20,6,false)*HLOOKUP($K173,'Type Chart'!$C$2:$U$20,6,false)</f>
        <v>1</v>
      </c>
      <c r="Z173" s="960">
        <f t="array" ref="Z173">HLOOKUP($J173,'Type Chart'!$C$2:$T$20,7,false)*HLOOKUP($K173,'Type Chart'!$C$2:$U$20,7,false)</f>
        <v>1</v>
      </c>
      <c r="AA173" s="960">
        <f t="array" ref="AA173">HLOOKUP($J173,'Type Chart'!$C$2:$T$20,8,false)*HLOOKUP($K173,'Type Chart'!$C$2:$U$20,8,false)</f>
        <v>1</v>
      </c>
      <c r="AB173" s="960">
        <f t="array" ref="AB173">HLOOKUP($J173,'Type Chart'!$C$2:$T$20,9,false)*HLOOKUP($K173,'Type Chart'!$C$2:$U$20,9,false)</f>
        <v>1</v>
      </c>
      <c r="AC173" s="960">
        <f t="array" ref="AC173">HLOOKUP($J173,'Type Chart'!$C$2:$T$20,10,false)*HLOOKUP($K173,'Type Chart'!$C$2:$U$20,10,false)</f>
        <v>0.5</v>
      </c>
      <c r="AD173" s="960">
        <f t="array" ref="AD173">HLOOKUP($J173,'Type Chart'!$C$2:$T$20,11,false)*HLOOKUP($K173,'Type Chart'!$C$2:$U$20,11,false)</f>
        <v>0.5</v>
      </c>
      <c r="AE173" s="960">
        <f t="array" ref="AE173">HLOOKUP($J173,'Type Chart'!$C$2:$T$20,12,false)*HLOOKUP($K173,'Type Chart'!$C$2:$U$20,12,false)</f>
        <v>0.5</v>
      </c>
      <c r="AF173" s="960">
        <f t="array" ref="AF173">HLOOKUP($J173,'Type Chart'!$C$2:$T$20,13,false)*HLOOKUP($K173,'Type Chart'!$C$2:$U$20,13,false)</f>
        <v>2</v>
      </c>
      <c r="AG173" s="960">
        <f t="array" ref="AG173">HLOOKUP($J173,'Type Chart'!$C$2:$T$20,14,false)*HLOOKUP($K173,'Type Chart'!$C$2:$U$20,14,false)</f>
        <v>2</v>
      </c>
      <c r="AH173" s="960">
        <f t="array" ref="AH173">HLOOKUP($J173,'Type Chart'!$C$2:$T$20,15,false)*HLOOKUP($K173,'Type Chart'!$C$2:$U$20,15,false)</f>
        <v>1</v>
      </c>
      <c r="AI173" s="960">
        <f t="array" ref="AI173">HLOOKUP($J173,'Type Chart'!$C$2:$T$20,16,false)*HLOOKUP($K173,'Type Chart'!$C$2:$U$20,16,false)</f>
        <v>0.5</v>
      </c>
      <c r="AJ173" s="960">
        <f t="array" ref="AJ173">HLOOKUP($J173,'Type Chart'!$C$2:$T$20,17,false)*HLOOKUP($K173,'Type Chart'!$C$2:$U$20,17,false)</f>
        <v>1</v>
      </c>
      <c r="AK173" s="960">
        <f t="array" ref="AK173">HLOOKUP($J173,'Type Chart'!$C$2:$T$20,18,false)*HLOOKUP($K173,'Type Chart'!$C$2:$U$20,18,false)</f>
        <v>1</v>
      </c>
      <c r="AL173" s="960">
        <f t="array" ref="AL173">HLOOKUP($J173,'Type Chart'!$C$2:$T$20,19,false)*HLOOKUP($K173,'Type Chart'!$C$2:$U$20,19,false)</f>
        <v>1</v>
      </c>
      <c r="AM173" s="964" t="s">
        <v>1259</v>
      </c>
      <c r="AN173" s="965" t="s">
        <v>1542</v>
      </c>
      <c r="AO173" s="966" t="s">
        <v>1068</v>
      </c>
      <c r="AP173" s="936"/>
      <c r="AQ173" s="967"/>
      <c r="AR173" s="968"/>
      <c r="AS173" s="936"/>
    </row>
    <row r="174" ht="15.75" customHeight="1">
      <c r="A174" s="936"/>
      <c r="B174" s="948" t="s">
        <v>1543</v>
      </c>
      <c r="C174" s="950" t="s">
        <v>1544</v>
      </c>
      <c r="D174" s="950" t="s">
        <v>1544</v>
      </c>
      <c r="E174" s="952" t="s">
        <v>1544</v>
      </c>
      <c r="F174" s="940"/>
      <c r="G174" s="953"/>
      <c r="H174" s="969"/>
      <c r="I174" s="956" t="s">
        <v>1545</v>
      </c>
      <c r="J174" s="1056" t="s">
        <v>81</v>
      </c>
      <c r="K174" s="984" t="s">
        <v>216</v>
      </c>
      <c r="L174" s="959">
        <v>80.0</v>
      </c>
      <c r="M174" s="960">
        <v>92.0</v>
      </c>
      <c r="N174" s="960">
        <v>65.0</v>
      </c>
      <c r="O174" s="960">
        <v>65.0</v>
      </c>
      <c r="P174" s="960">
        <v>80.0</v>
      </c>
      <c r="Q174" s="960">
        <v>68.0</v>
      </c>
      <c r="R174" s="960">
        <v>172.0</v>
      </c>
      <c r="S174" s="960">
        <v>235.0</v>
      </c>
      <c r="T174" s="960">
        <v>258.0</v>
      </c>
      <c r="U174" s="960">
        <f t="array" ref="U174">HLOOKUP($J174,'Type Chart'!$C$2:$T$20,2,false)*HLOOKUP($K174,'Type Chart'!$C$2:$U$20,2,false)</f>
        <v>1</v>
      </c>
      <c r="V174" s="960">
        <f t="array" ref="V174">HLOOKUP($J174,'Type Chart'!$C$2:$T$20,3,false)*HLOOKUP($K174,'Type Chart'!$C$2:$U$20,3,false)</f>
        <v>1</v>
      </c>
      <c r="W174" s="960">
        <f t="array" ref="W174">HLOOKUP($J174,'Type Chart'!$C$2:$T$20,4,false)*HLOOKUP($K174,'Type Chart'!$C$2:$U$20,4,false)</f>
        <v>1</v>
      </c>
      <c r="X174" s="960">
        <f t="array" ref="X174">HLOOKUP($J174,'Type Chart'!$C$2:$T$20,5,false)*HLOOKUP($K174,'Type Chart'!$C$2:$U$20,5,false)</f>
        <v>1</v>
      </c>
      <c r="Y174" s="960">
        <f t="array" ref="Y174">HLOOKUP($J174,'Type Chart'!$C$2:$T$20,6,false)*HLOOKUP($K174,'Type Chart'!$C$2:$U$20,6,false)</f>
        <v>1</v>
      </c>
      <c r="Z174" s="960">
        <f t="array" ref="Z174">HLOOKUP($J174,'Type Chart'!$C$2:$T$20,7,false)*HLOOKUP($K174,'Type Chart'!$C$2:$U$20,7,false)</f>
        <v>1</v>
      </c>
      <c r="AA174" s="960">
        <f t="array" ref="AA174">HLOOKUP($J174,'Type Chart'!$C$2:$T$20,8,false)*HLOOKUP($K174,'Type Chart'!$C$2:$U$20,8,false)</f>
        <v>1</v>
      </c>
      <c r="AB174" s="960">
        <f t="array" ref="AB174">HLOOKUP($J174,'Type Chart'!$C$2:$T$20,9,false)*HLOOKUP($K174,'Type Chart'!$C$2:$U$20,9,false)</f>
        <v>1</v>
      </c>
      <c r="AC174" s="960">
        <f t="array" ref="AC174">HLOOKUP($J174,'Type Chart'!$C$2:$T$20,10,false)*HLOOKUP($K174,'Type Chart'!$C$2:$U$20,10,false)</f>
        <v>0.5</v>
      </c>
      <c r="AD174" s="960">
        <f t="array" ref="AD174">HLOOKUP($J174,'Type Chart'!$C$2:$T$20,11,false)*HLOOKUP($K174,'Type Chart'!$C$2:$U$20,11,false)</f>
        <v>0.5</v>
      </c>
      <c r="AE174" s="960">
        <f t="array" ref="AE174">HLOOKUP($J174,'Type Chart'!$C$2:$T$20,12,false)*HLOOKUP($K174,'Type Chart'!$C$2:$U$20,12,false)</f>
        <v>0.5</v>
      </c>
      <c r="AF174" s="960">
        <f t="array" ref="AF174">HLOOKUP($J174,'Type Chart'!$C$2:$T$20,13,false)*HLOOKUP($K174,'Type Chart'!$C$2:$U$20,13,false)</f>
        <v>2</v>
      </c>
      <c r="AG174" s="960">
        <f t="array" ref="AG174">HLOOKUP($J174,'Type Chart'!$C$2:$T$20,14,false)*HLOOKUP($K174,'Type Chart'!$C$2:$U$20,14,false)</f>
        <v>2</v>
      </c>
      <c r="AH174" s="960">
        <f t="array" ref="AH174">HLOOKUP($J174,'Type Chart'!$C$2:$T$20,15,false)*HLOOKUP($K174,'Type Chart'!$C$2:$U$20,15,false)</f>
        <v>1</v>
      </c>
      <c r="AI174" s="960">
        <f t="array" ref="AI174">HLOOKUP($J174,'Type Chart'!$C$2:$T$20,16,false)*HLOOKUP($K174,'Type Chart'!$C$2:$U$20,16,false)</f>
        <v>0.5</v>
      </c>
      <c r="AJ174" s="960">
        <f t="array" ref="AJ174">HLOOKUP($J174,'Type Chart'!$C$2:$T$20,17,false)*HLOOKUP($K174,'Type Chart'!$C$2:$U$20,17,false)</f>
        <v>1</v>
      </c>
      <c r="AK174" s="960">
        <f t="array" ref="AK174">HLOOKUP($J174,'Type Chart'!$C$2:$T$20,18,false)*HLOOKUP($K174,'Type Chart'!$C$2:$U$20,18,false)</f>
        <v>1</v>
      </c>
      <c r="AL174" s="960">
        <f t="array" ref="AL174">HLOOKUP($J174,'Type Chart'!$C$2:$T$20,19,false)*HLOOKUP($K174,'Type Chart'!$C$2:$U$20,19,false)</f>
        <v>1</v>
      </c>
      <c r="AM174" s="964" t="s">
        <v>1259</v>
      </c>
      <c r="AN174" s="965" t="s">
        <v>1542</v>
      </c>
      <c r="AO174" s="966" t="s">
        <v>1068</v>
      </c>
      <c r="AP174" s="936"/>
      <c r="AQ174" s="967"/>
      <c r="AR174" s="968"/>
      <c r="AS174" s="936"/>
    </row>
    <row r="175" ht="15.75" customHeight="1">
      <c r="A175" s="936"/>
      <c r="B175" s="948" t="s">
        <v>1546</v>
      </c>
      <c r="C175" s="950" t="s">
        <v>1547</v>
      </c>
      <c r="D175" s="950" t="s">
        <v>1547</v>
      </c>
      <c r="E175" s="952" t="s">
        <v>1547</v>
      </c>
      <c r="F175" s="940"/>
      <c r="G175" s="953"/>
      <c r="H175" s="969"/>
      <c r="I175" s="956" t="s">
        <v>1548</v>
      </c>
      <c r="J175" s="1056" t="s">
        <v>81</v>
      </c>
      <c r="K175" s="984" t="s">
        <v>216</v>
      </c>
      <c r="L175" s="959">
        <v>30.0</v>
      </c>
      <c r="M175" s="960">
        <v>45.0</v>
      </c>
      <c r="N175" s="960">
        <v>55.0</v>
      </c>
      <c r="O175" s="960">
        <v>70.0</v>
      </c>
      <c r="P175" s="960">
        <v>55.0</v>
      </c>
      <c r="Q175" s="960">
        <v>85.0</v>
      </c>
      <c r="R175" s="960">
        <v>206.0</v>
      </c>
      <c r="S175" s="960">
        <v>269.0</v>
      </c>
      <c r="T175" s="960">
        <v>295.0</v>
      </c>
      <c r="U175" s="960">
        <f t="array" ref="U175">HLOOKUP($J175,'Type Chart'!$C$2:$T$20,2,false)*HLOOKUP($K175,'Type Chart'!$C$2:$U$20,2,false)</f>
        <v>1</v>
      </c>
      <c r="V175" s="960">
        <f t="array" ref="V175">HLOOKUP($J175,'Type Chart'!$C$2:$T$20,3,false)*HLOOKUP($K175,'Type Chart'!$C$2:$U$20,3,false)</f>
        <v>1</v>
      </c>
      <c r="W175" s="960">
        <f t="array" ref="W175">HLOOKUP($J175,'Type Chart'!$C$2:$T$20,4,false)*HLOOKUP($K175,'Type Chart'!$C$2:$U$20,4,false)</f>
        <v>1</v>
      </c>
      <c r="X175" s="960">
        <f t="array" ref="X175">HLOOKUP($J175,'Type Chart'!$C$2:$T$20,5,false)*HLOOKUP($K175,'Type Chart'!$C$2:$U$20,5,false)</f>
        <v>1</v>
      </c>
      <c r="Y175" s="960">
        <f t="array" ref="Y175">HLOOKUP($J175,'Type Chart'!$C$2:$T$20,6,false)*HLOOKUP($K175,'Type Chart'!$C$2:$U$20,6,false)</f>
        <v>1</v>
      </c>
      <c r="Z175" s="960">
        <f t="array" ref="Z175">HLOOKUP($J175,'Type Chart'!$C$2:$T$20,7,false)*HLOOKUP($K175,'Type Chart'!$C$2:$U$20,7,false)</f>
        <v>1</v>
      </c>
      <c r="AA175" s="960">
        <f t="array" ref="AA175">HLOOKUP($J175,'Type Chart'!$C$2:$T$20,8,false)*HLOOKUP($K175,'Type Chart'!$C$2:$U$20,8,false)</f>
        <v>1</v>
      </c>
      <c r="AB175" s="960">
        <f t="array" ref="AB175">HLOOKUP($J175,'Type Chart'!$C$2:$T$20,9,false)*HLOOKUP($K175,'Type Chart'!$C$2:$U$20,9,false)</f>
        <v>1</v>
      </c>
      <c r="AC175" s="960">
        <f t="array" ref="AC175">HLOOKUP($J175,'Type Chart'!$C$2:$T$20,10,false)*HLOOKUP($K175,'Type Chart'!$C$2:$U$20,10,false)</f>
        <v>0.5</v>
      </c>
      <c r="AD175" s="960">
        <f t="array" ref="AD175">HLOOKUP($J175,'Type Chart'!$C$2:$T$20,11,false)*HLOOKUP($K175,'Type Chart'!$C$2:$U$20,11,false)</f>
        <v>0.5</v>
      </c>
      <c r="AE175" s="960">
        <f t="array" ref="AE175">HLOOKUP($J175,'Type Chart'!$C$2:$T$20,12,false)*HLOOKUP($K175,'Type Chart'!$C$2:$U$20,12,false)</f>
        <v>0.5</v>
      </c>
      <c r="AF175" s="960">
        <f t="array" ref="AF175">HLOOKUP($J175,'Type Chart'!$C$2:$T$20,13,false)*HLOOKUP($K175,'Type Chart'!$C$2:$U$20,13,false)</f>
        <v>2</v>
      </c>
      <c r="AG175" s="960">
        <f t="array" ref="AG175">HLOOKUP($J175,'Type Chart'!$C$2:$T$20,14,false)*HLOOKUP($K175,'Type Chart'!$C$2:$U$20,14,false)</f>
        <v>2</v>
      </c>
      <c r="AH175" s="960">
        <f t="array" ref="AH175">HLOOKUP($J175,'Type Chart'!$C$2:$T$20,15,false)*HLOOKUP($K175,'Type Chart'!$C$2:$U$20,15,false)</f>
        <v>1</v>
      </c>
      <c r="AI175" s="960">
        <f t="array" ref="AI175">HLOOKUP($J175,'Type Chart'!$C$2:$T$20,16,false)*HLOOKUP($K175,'Type Chart'!$C$2:$U$20,16,false)</f>
        <v>0.5</v>
      </c>
      <c r="AJ175" s="960">
        <f t="array" ref="AJ175">HLOOKUP($J175,'Type Chart'!$C$2:$T$20,17,false)*HLOOKUP($K175,'Type Chart'!$C$2:$U$20,17,false)</f>
        <v>1</v>
      </c>
      <c r="AK175" s="960">
        <f t="array" ref="AK175">HLOOKUP($J175,'Type Chart'!$C$2:$T$20,18,false)*HLOOKUP($K175,'Type Chart'!$C$2:$U$20,18,false)</f>
        <v>1</v>
      </c>
      <c r="AL175" s="960">
        <f t="array" ref="AL175">HLOOKUP($J175,'Type Chart'!$C$2:$T$20,19,false)*HLOOKUP($K175,'Type Chart'!$C$2:$U$20,19,false)</f>
        <v>1</v>
      </c>
      <c r="AM175" s="964" t="s">
        <v>1549</v>
      </c>
      <c r="AN175" s="965" t="s">
        <v>1520</v>
      </c>
      <c r="AO175" s="966" t="s">
        <v>1389</v>
      </c>
      <c r="AP175" s="936"/>
      <c r="AQ175" s="967"/>
      <c r="AR175" s="968"/>
      <c r="AS175" s="936"/>
    </row>
    <row r="176" ht="15.75" customHeight="1">
      <c r="A176" s="936"/>
      <c r="B176" s="948" t="s">
        <v>1550</v>
      </c>
      <c r="C176" s="950" t="s">
        <v>1551</v>
      </c>
      <c r="D176" s="950" t="s">
        <v>1551</v>
      </c>
      <c r="E176" s="952" t="s">
        <v>1551</v>
      </c>
      <c r="F176" s="940"/>
      <c r="G176" s="953"/>
      <c r="H176" s="969"/>
      <c r="I176" s="956" t="s">
        <v>1552</v>
      </c>
      <c r="J176" s="1056" t="s">
        <v>81</v>
      </c>
      <c r="K176" s="1203" t="s">
        <v>344</v>
      </c>
      <c r="L176" s="959">
        <v>60.0</v>
      </c>
      <c r="M176" s="960">
        <v>75.0</v>
      </c>
      <c r="N176" s="960">
        <v>85.0</v>
      </c>
      <c r="O176" s="960">
        <v>100.0</v>
      </c>
      <c r="P176" s="960">
        <v>85.0</v>
      </c>
      <c r="Q176" s="960">
        <v>115.0</v>
      </c>
      <c r="R176" s="960">
        <v>266.0</v>
      </c>
      <c r="S176" s="960">
        <v>329.0</v>
      </c>
      <c r="T176" s="960">
        <v>361.0</v>
      </c>
      <c r="U176" s="960">
        <f t="array" ref="U176">HLOOKUP($J176,'Type Chart'!$C$2:$T$20,2,false)*HLOOKUP($K176,'Type Chart'!$C$2:$U$20,2,false)</f>
        <v>1</v>
      </c>
      <c r="V176" s="960">
        <f t="array" ref="V176">HLOOKUP($J176,'Type Chart'!$C$2:$T$20,3,false)*HLOOKUP($K176,'Type Chart'!$C$2:$U$20,3,false)</f>
        <v>0.5</v>
      </c>
      <c r="W176" s="960">
        <f t="array" ref="W176">HLOOKUP($J176,'Type Chart'!$C$2:$T$20,4,false)*HLOOKUP($K176,'Type Chart'!$C$2:$U$20,4,false)</f>
        <v>1</v>
      </c>
      <c r="X176" s="960">
        <f t="array" ref="X176">HLOOKUP($J176,'Type Chart'!$C$2:$T$20,5,false)*HLOOKUP($K176,'Type Chart'!$C$2:$U$20,5,false)</f>
        <v>1</v>
      </c>
      <c r="Y176" s="960">
        <f t="array" ref="Y176">HLOOKUP($J176,'Type Chart'!$C$2:$T$20,6,false)*HLOOKUP($K176,'Type Chart'!$C$2:$U$20,6,false)</f>
        <v>1</v>
      </c>
      <c r="Z176" s="960">
        <f t="array" ref="Z176">HLOOKUP($J176,'Type Chart'!$C$2:$T$20,7,false)*HLOOKUP($K176,'Type Chart'!$C$2:$U$20,7,false)</f>
        <v>1</v>
      </c>
      <c r="AA176" s="960">
        <f t="array" ref="AA176">HLOOKUP($J176,'Type Chart'!$C$2:$T$20,8,false)*HLOOKUP($K176,'Type Chart'!$C$2:$U$20,8,false)</f>
        <v>2</v>
      </c>
      <c r="AB176" s="960">
        <f t="array" ref="AB176">HLOOKUP($J176,'Type Chart'!$C$2:$T$20,9,false)*HLOOKUP($K176,'Type Chart'!$C$2:$U$20,9,false)</f>
        <v>2</v>
      </c>
      <c r="AC176" s="960">
        <f t="array" ref="AC176">HLOOKUP($J176,'Type Chart'!$C$2:$T$20,10,false)*HLOOKUP($K176,'Type Chart'!$C$2:$U$20,10,false)</f>
        <v>0.5</v>
      </c>
      <c r="AD176" s="960">
        <f t="array" ref="AD176">HLOOKUP($J176,'Type Chart'!$C$2:$T$20,11,false)*HLOOKUP($K176,'Type Chart'!$C$2:$U$20,11,false)</f>
        <v>0.5</v>
      </c>
      <c r="AE176" s="960">
        <f t="array" ref="AE176">HLOOKUP($J176,'Type Chart'!$C$2:$T$20,12,false)*HLOOKUP($K176,'Type Chart'!$C$2:$U$20,12,false)</f>
        <v>0.5</v>
      </c>
      <c r="AF176" s="960">
        <f t="array" ref="AF176">HLOOKUP($J176,'Type Chart'!$C$2:$T$20,13,false)*HLOOKUP($K176,'Type Chart'!$C$2:$U$20,13,false)</f>
        <v>2</v>
      </c>
      <c r="AG176" s="960">
        <f t="array" ref="AG176">HLOOKUP($J176,'Type Chart'!$C$2:$T$20,14,false)*HLOOKUP($K176,'Type Chart'!$C$2:$U$20,14,false)</f>
        <v>2</v>
      </c>
      <c r="AH176" s="960">
        <f t="array" ref="AH176">HLOOKUP($J176,'Type Chart'!$C$2:$T$20,15,false)*HLOOKUP($K176,'Type Chart'!$C$2:$U$20,15,false)</f>
        <v>0.5</v>
      </c>
      <c r="AI176" s="960">
        <f t="array" ref="AI176">HLOOKUP($J176,'Type Chart'!$C$2:$T$20,16,false)*HLOOKUP($K176,'Type Chart'!$C$2:$U$20,16,false)</f>
        <v>0.5</v>
      </c>
      <c r="AJ176" s="960">
        <f t="array" ref="AJ176">HLOOKUP($J176,'Type Chart'!$C$2:$T$20,17,false)*HLOOKUP($K176,'Type Chart'!$C$2:$U$20,17,false)</f>
        <v>1</v>
      </c>
      <c r="AK176" s="960">
        <f t="array" ref="AK176">HLOOKUP($J176,'Type Chart'!$C$2:$T$20,18,false)*HLOOKUP($K176,'Type Chart'!$C$2:$U$20,18,false)</f>
        <v>2</v>
      </c>
      <c r="AL176" s="960">
        <f t="array" ref="AL176">HLOOKUP($J176,'Type Chart'!$C$2:$T$20,19,false)*HLOOKUP($K176,'Type Chart'!$C$2:$U$20,19,false)</f>
        <v>1</v>
      </c>
      <c r="AM176" s="964" t="s">
        <v>1549</v>
      </c>
      <c r="AN176" s="965" t="s">
        <v>1520</v>
      </c>
      <c r="AO176" s="966" t="s">
        <v>1389</v>
      </c>
      <c r="AP176" s="936"/>
      <c r="AQ176" s="967"/>
      <c r="AR176" s="968"/>
      <c r="AS176" s="936"/>
    </row>
    <row r="177" ht="15.75" customHeight="1">
      <c r="A177" s="1099"/>
      <c r="B177" s="948" t="s">
        <v>1553</v>
      </c>
      <c r="C177" s="950" t="s">
        <v>1554</v>
      </c>
      <c r="D177" s="950" t="s">
        <v>1555</v>
      </c>
      <c r="E177" s="952" t="s">
        <v>1554</v>
      </c>
      <c r="F177" s="940"/>
      <c r="G177" s="953"/>
      <c r="H177" s="969"/>
      <c r="I177" s="956" t="s">
        <v>1556</v>
      </c>
      <c r="J177" s="1203" t="s">
        <v>344</v>
      </c>
      <c r="K177" s="1207" t="s">
        <v>127</v>
      </c>
      <c r="L177" s="959">
        <v>40.0</v>
      </c>
      <c r="M177" s="960">
        <v>45.0</v>
      </c>
      <c r="N177" s="960">
        <v>65.0</v>
      </c>
      <c r="O177" s="960">
        <v>100.0</v>
      </c>
      <c r="P177" s="960">
        <v>120.0</v>
      </c>
      <c r="Q177" s="960">
        <v>90.0</v>
      </c>
      <c r="R177" s="960">
        <v>216.0</v>
      </c>
      <c r="S177" s="960">
        <v>279.0</v>
      </c>
      <c r="T177" s="960">
        <v>306.0</v>
      </c>
      <c r="U177" s="960">
        <f t="array" ref="U177">HLOOKUP($J177,'Type Chart'!$C$2:$T$20,2,false)*HLOOKUP($K177,'Type Chart'!$C$2:$U$20,2,false)</f>
        <v>1</v>
      </c>
      <c r="V177" s="960">
        <f t="array" ref="V177">HLOOKUP($J177,'Type Chart'!$C$2:$T$20,3,false)*HLOOKUP($K177,'Type Chart'!$C$2:$U$20,3,false)</f>
        <v>0.25</v>
      </c>
      <c r="W177" s="960">
        <f t="array" ref="W177">HLOOKUP($J177,'Type Chart'!$C$2:$T$20,4,false)*HLOOKUP($K177,'Type Chart'!$C$2:$U$20,4,false)</f>
        <v>1</v>
      </c>
      <c r="X177" s="960">
        <f t="array" ref="X177">HLOOKUP($J177,'Type Chart'!$C$2:$T$20,5,false)*HLOOKUP($K177,'Type Chart'!$C$2:$U$20,5,false)</f>
        <v>2</v>
      </c>
      <c r="Y177" s="960">
        <f t="array" ref="Y177">HLOOKUP($J177,'Type Chart'!$C$2:$T$20,6,false)*HLOOKUP($K177,'Type Chart'!$C$2:$U$20,6,false)</f>
        <v>1</v>
      </c>
      <c r="Z177" s="960">
        <f t="array" ref="Z177">HLOOKUP($J177,'Type Chart'!$C$2:$T$20,7,false)*HLOOKUP($K177,'Type Chart'!$C$2:$U$20,7,false)</f>
        <v>1</v>
      </c>
      <c r="AA177" s="960">
        <f t="array" ref="AA177">HLOOKUP($J177,'Type Chart'!$C$2:$T$20,8,false)*HLOOKUP($K177,'Type Chart'!$C$2:$U$20,8,false)</f>
        <v>1</v>
      </c>
      <c r="AB177" s="960">
        <f t="array" ref="AB177">HLOOKUP($J177,'Type Chart'!$C$2:$T$20,9,false)*HLOOKUP($K177,'Type Chart'!$C$2:$U$20,9,false)</f>
        <v>2</v>
      </c>
      <c r="AC177" s="960">
        <f t="array" ref="AC177">HLOOKUP($J177,'Type Chart'!$C$2:$T$20,10,false)*HLOOKUP($K177,'Type Chart'!$C$2:$U$20,10,false)</f>
        <v>2</v>
      </c>
      <c r="AD177" s="960">
        <f t="array" ref="AD177">HLOOKUP($J177,'Type Chart'!$C$2:$T$20,11,false)*HLOOKUP($K177,'Type Chart'!$C$2:$U$20,11,false)</f>
        <v>1</v>
      </c>
      <c r="AE177" s="960">
        <f t="array" ref="AE177">HLOOKUP($J177,'Type Chart'!$C$2:$T$20,12,false)*HLOOKUP($K177,'Type Chart'!$C$2:$U$20,12,false)</f>
        <v>1</v>
      </c>
      <c r="AF177" s="960">
        <f t="array" ref="AF177">HLOOKUP($J177,'Type Chart'!$C$2:$T$20,13,false)*HLOOKUP($K177,'Type Chart'!$C$2:$U$20,13,false)</f>
        <v>1</v>
      </c>
      <c r="AG177" s="960">
        <f t="array" ref="AG177">HLOOKUP($J177,'Type Chart'!$C$2:$T$20,14,false)*HLOOKUP($K177,'Type Chart'!$C$2:$U$20,14,false)</f>
        <v>1</v>
      </c>
      <c r="AH177" s="960">
        <f t="array" ref="AH177">HLOOKUP($J177,'Type Chart'!$C$2:$T$20,15,false)*HLOOKUP($K177,'Type Chart'!$C$2:$U$20,15,false)</f>
        <v>0.5</v>
      </c>
      <c r="AI177" s="960">
        <f t="array" ref="AI177">HLOOKUP($J177,'Type Chart'!$C$2:$T$20,16,false)*HLOOKUP($K177,'Type Chart'!$C$2:$U$20,16,false)</f>
        <v>1</v>
      </c>
      <c r="AJ177" s="960">
        <f t="array" ref="AJ177">HLOOKUP($J177,'Type Chart'!$C$2:$T$20,17,false)*HLOOKUP($K177,'Type Chart'!$C$2:$U$20,17,false)</f>
        <v>0</v>
      </c>
      <c r="AK177" s="960">
        <f t="array" ref="AK177">HLOOKUP($J177,'Type Chart'!$C$2:$T$20,18,false)*HLOOKUP($K177,'Type Chart'!$C$2:$U$20,18,false)</f>
        <v>1</v>
      </c>
      <c r="AL177" s="960">
        <f t="array" ref="AL177">HLOOKUP($J177,'Type Chart'!$C$2:$T$20,19,false)*HLOOKUP($K177,'Type Chart'!$C$2:$U$20,19,false)</f>
        <v>1</v>
      </c>
      <c r="AM177" s="1145" t="s">
        <v>1468</v>
      </c>
      <c r="AN177" s="1202" t="s">
        <v>1557</v>
      </c>
      <c r="AO177" s="1146" t="s">
        <v>1239</v>
      </c>
      <c r="AP177" s="936"/>
      <c r="AQ177" s="967"/>
      <c r="AR177" s="968"/>
      <c r="AS177" s="936"/>
    </row>
    <row r="178" ht="15.75" customHeight="1">
      <c r="A178" s="1099"/>
      <c r="B178" s="948" t="s">
        <v>1558</v>
      </c>
      <c r="C178" s="1197" t="s">
        <v>1559</v>
      </c>
      <c r="D178" s="1197" t="s">
        <v>1560</v>
      </c>
      <c r="E178" s="1147" t="s">
        <v>1561</v>
      </c>
      <c r="F178" s="940"/>
      <c r="G178" s="953"/>
      <c r="H178" s="969"/>
      <c r="I178" s="998" t="s">
        <v>1562</v>
      </c>
      <c r="J178" s="1224" t="s">
        <v>345</v>
      </c>
      <c r="K178" s="1215" t="s">
        <v>344</v>
      </c>
      <c r="L178" s="1200">
        <v>50.0</v>
      </c>
      <c r="M178" s="1201">
        <v>65.0</v>
      </c>
      <c r="N178" s="1201">
        <v>65.0</v>
      </c>
      <c r="O178" s="1201">
        <v>90.0</v>
      </c>
      <c r="P178" s="1201">
        <v>90.0</v>
      </c>
      <c r="Q178" s="1201">
        <v>100.0</v>
      </c>
      <c r="R178" s="960">
        <v>236.0</v>
      </c>
      <c r="S178" s="960">
        <v>299.0</v>
      </c>
      <c r="T178" s="960">
        <v>328.0</v>
      </c>
      <c r="U178" s="960">
        <f t="array" ref="U178">HLOOKUP($J178,'Type Chart'!$C$2:$T$20,2,false)*HLOOKUP($K178,'Type Chart'!$C$2:$U$20,2,false)</f>
        <v>1</v>
      </c>
      <c r="V178" s="960">
        <f t="array" ref="V178">HLOOKUP($J178,'Type Chart'!$C$2:$T$20,3,false)*HLOOKUP($K178,'Type Chart'!$C$2:$U$20,3,false)</f>
        <v>1</v>
      </c>
      <c r="W178" s="960">
        <f t="array" ref="W178">HLOOKUP($J178,'Type Chart'!$C$2:$T$20,4,false)*HLOOKUP($K178,'Type Chart'!$C$2:$U$20,4,false)</f>
        <v>1</v>
      </c>
      <c r="X178" s="960">
        <f t="array" ref="X178">HLOOKUP($J178,'Type Chart'!$C$2:$T$20,5,false)*HLOOKUP($K178,'Type Chart'!$C$2:$U$20,5,false)</f>
        <v>1</v>
      </c>
      <c r="Y178" s="960">
        <f t="array" ref="Y178">HLOOKUP($J178,'Type Chart'!$C$2:$T$20,6,false)*HLOOKUP($K178,'Type Chart'!$C$2:$U$20,6,false)</f>
        <v>1</v>
      </c>
      <c r="Z178" s="960">
        <f t="array" ref="Z178">HLOOKUP($J178,'Type Chart'!$C$2:$T$20,7,false)*HLOOKUP($K178,'Type Chart'!$C$2:$U$20,7,false)</f>
        <v>2</v>
      </c>
      <c r="AA178" s="960">
        <f t="array" ref="AA178">HLOOKUP($J178,'Type Chart'!$C$2:$T$20,8,false)*HLOOKUP($K178,'Type Chart'!$C$2:$U$20,8,false)</f>
        <v>2</v>
      </c>
      <c r="AB178" s="960">
        <f t="array" ref="AB178">HLOOKUP($J178,'Type Chart'!$C$2:$T$20,9,false)*HLOOKUP($K178,'Type Chart'!$C$2:$U$20,9,false)</f>
        <v>2</v>
      </c>
      <c r="AC178" s="960">
        <f t="array" ref="AC178">HLOOKUP($J178,'Type Chart'!$C$2:$T$20,10,false)*HLOOKUP($K178,'Type Chart'!$C$2:$U$20,10,false)</f>
        <v>2</v>
      </c>
      <c r="AD178" s="960">
        <f t="array" ref="AD178">HLOOKUP($J178,'Type Chart'!$C$2:$T$20,11,false)*HLOOKUP($K178,'Type Chart'!$C$2:$U$20,11,false)</f>
        <v>2</v>
      </c>
      <c r="AE178" s="960">
        <f t="array" ref="AE178">HLOOKUP($J178,'Type Chart'!$C$2:$T$20,12,false)*HLOOKUP($K178,'Type Chart'!$C$2:$U$20,12,false)</f>
        <v>1</v>
      </c>
      <c r="AF178" s="960">
        <f t="array" ref="AF178">HLOOKUP($J178,'Type Chart'!$C$2:$T$20,13,false)*HLOOKUP($K178,'Type Chart'!$C$2:$U$20,13,false)</f>
        <v>1</v>
      </c>
      <c r="AG178" s="960">
        <f t="array" ref="AG178">HLOOKUP($J178,'Type Chart'!$C$2:$T$20,14,false)*HLOOKUP($K178,'Type Chart'!$C$2:$U$20,14,false)</f>
        <v>1</v>
      </c>
      <c r="AH178" s="960">
        <f t="array" ref="AH178">HLOOKUP($J178,'Type Chart'!$C$2:$T$20,15,false)*HLOOKUP($K178,'Type Chart'!$C$2:$U$20,15,false)</f>
        <v>0.5</v>
      </c>
      <c r="AI178" s="960">
        <f t="array" ref="AI178">HLOOKUP($J178,'Type Chart'!$C$2:$T$20,16,false)*HLOOKUP($K178,'Type Chart'!$C$2:$U$20,16,false)</f>
        <v>0.5</v>
      </c>
      <c r="AJ178" s="960">
        <f t="array" ref="AJ178">HLOOKUP($J178,'Type Chart'!$C$2:$T$20,17,false)*HLOOKUP($K178,'Type Chart'!$C$2:$U$20,17,false)</f>
        <v>1</v>
      </c>
      <c r="AK178" s="960">
        <f t="array" ref="AK178">HLOOKUP($J178,'Type Chart'!$C$2:$T$20,18,false)*HLOOKUP($K178,'Type Chart'!$C$2:$U$20,18,false)</f>
        <v>2</v>
      </c>
      <c r="AL178" s="960">
        <f t="array" ref="AL178">HLOOKUP($J178,'Type Chart'!$C$2:$T$20,19,false)*HLOOKUP($K178,'Type Chart'!$C$2:$U$20,19,false)</f>
        <v>1</v>
      </c>
      <c r="AM178" s="1145" t="s">
        <v>1265</v>
      </c>
      <c r="AN178" s="964" t="s">
        <v>1563</v>
      </c>
      <c r="AO178" s="966" t="s">
        <v>1239</v>
      </c>
      <c r="AP178" s="936"/>
      <c r="AQ178" s="967"/>
      <c r="AR178" s="968"/>
      <c r="AS178" s="936"/>
    </row>
    <row r="179" ht="15.75" customHeight="1">
      <c r="A179" s="1099"/>
      <c r="B179" s="948" t="s">
        <v>1564</v>
      </c>
      <c r="C179" s="1197" t="s">
        <v>1565</v>
      </c>
      <c r="D179" s="1197" t="s">
        <v>1565</v>
      </c>
      <c r="E179" s="1147" t="s">
        <v>1565</v>
      </c>
      <c r="F179" s="940"/>
      <c r="G179" s="953"/>
      <c r="H179" s="969"/>
      <c r="I179" s="998" t="s">
        <v>681</v>
      </c>
      <c r="J179" s="1225" t="s">
        <v>343</v>
      </c>
      <c r="K179" s="1210" t="s">
        <v>128</v>
      </c>
      <c r="L179" s="1200">
        <v>70.0</v>
      </c>
      <c r="M179" s="1201">
        <v>110.0</v>
      </c>
      <c r="N179" s="1201">
        <v>80.0</v>
      </c>
      <c r="O179" s="1201">
        <v>55.0</v>
      </c>
      <c r="P179" s="1201">
        <v>80.0</v>
      </c>
      <c r="Q179" s="1201">
        <v>105.0</v>
      </c>
      <c r="R179" s="960">
        <v>246.0</v>
      </c>
      <c r="S179" s="960">
        <v>309.0</v>
      </c>
      <c r="T179" s="960">
        <v>339.0</v>
      </c>
      <c r="U179" s="960">
        <f t="array" ref="U179">HLOOKUP($J179,'Type Chart'!$C$2:$T$20,2,false)*HLOOKUP($K179,'Type Chart'!$C$2:$U$20,2,false)</f>
        <v>1</v>
      </c>
      <c r="V179" s="960">
        <f t="array" ref="V179">HLOOKUP($J179,'Type Chart'!$C$2:$T$20,3,false)*HLOOKUP($K179,'Type Chart'!$C$2:$U$20,3,false)</f>
        <v>0.25</v>
      </c>
      <c r="W179" s="960">
        <f t="array" ref="W179">HLOOKUP($J179,'Type Chart'!$C$2:$T$20,4,false)*HLOOKUP($K179,'Type Chart'!$C$2:$U$20,4,false)</f>
        <v>2</v>
      </c>
      <c r="X179" s="960">
        <f t="array" ref="X179">HLOOKUP($J179,'Type Chart'!$C$2:$T$20,5,false)*HLOOKUP($K179,'Type Chart'!$C$2:$U$20,5,false)</f>
        <v>1</v>
      </c>
      <c r="Y179" s="960">
        <f t="array" ref="Y179">HLOOKUP($J179,'Type Chart'!$C$2:$T$20,6,false)*HLOOKUP($K179,'Type Chart'!$C$2:$U$20,6,false)</f>
        <v>0</v>
      </c>
      <c r="Z179" s="960">
        <f t="array" ref="Z179">HLOOKUP($J179,'Type Chart'!$C$2:$T$20,7,false)*HLOOKUP($K179,'Type Chart'!$C$2:$U$20,7,false)</f>
        <v>4</v>
      </c>
      <c r="AA179" s="960">
        <f t="array" ref="AA179">HLOOKUP($J179,'Type Chart'!$C$2:$T$20,8,false)*HLOOKUP($K179,'Type Chart'!$C$2:$U$20,8,false)</f>
        <v>0.5</v>
      </c>
      <c r="AB179" s="960">
        <f t="array" ref="AB179">HLOOKUP($J179,'Type Chart'!$C$2:$T$20,9,false)*HLOOKUP($K179,'Type Chart'!$C$2:$U$20,9,false)</f>
        <v>1</v>
      </c>
      <c r="AC179" s="960">
        <f t="array" ref="AC179">HLOOKUP($J179,'Type Chart'!$C$2:$T$20,10,false)*HLOOKUP($K179,'Type Chart'!$C$2:$U$20,10,false)</f>
        <v>1</v>
      </c>
      <c r="AD179" s="960">
        <f t="array" ref="AD179">HLOOKUP($J179,'Type Chart'!$C$2:$T$20,11,false)*HLOOKUP($K179,'Type Chart'!$C$2:$U$20,11,false)</f>
        <v>2</v>
      </c>
      <c r="AE179" s="960">
        <f t="array" ref="AE179">HLOOKUP($J179,'Type Chart'!$C$2:$T$20,12,false)*HLOOKUP($K179,'Type Chart'!$C$2:$U$20,12,false)</f>
        <v>1</v>
      </c>
      <c r="AF179" s="960">
        <f t="array" ref="AF179">HLOOKUP($J179,'Type Chart'!$C$2:$T$20,13,false)*HLOOKUP($K179,'Type Chart'!$C$2:$U$20,13,false)</f>
        <v>0.25</v>
      </c>
      <c r="AG179" s="960">
        <f t="array" ref="AG179">HLOOKUP($J179,'Type Chart'!$C$2:$T$20,14,false)*HLOOKUP($K179,'Type Chart'!$C$2:$U$20,14,false)</f>
        <v>2</v>
      </c>
      <c r="AH179" s="960">
        <f t="array" ref="AH179">HLOOKUP($J179,'Type Chart'!$C$2:$T$20,15,false)*HLOOKUP($K179,'Type Chart'!$C$2:$U$20,15,false)</f>
        <v>1</v>
      </c>
      <c r="AI179" s="960">
        <f t="array" ref="AI179">HLOOKUP($J179,'Type Chart'!$C$2:$T$20,16,false)*HLOOKUP($K179,'Type Chart'!$C$2:$U$20,16,false)</f>
        <v>2</v>
      </c>
      <c r="AJ179" s="960">
        <f t="array" ref="AJ179">HLOOKUP($J179,'Type Chart'!$C$2:$T$20,17,false)*HLOOKUP($K179,'Type Chart'!$C$2:$U$20,17,false)</f>
        <v>1</v>
      </c>
      <c r="AK179" s="960">
        <f t="array" ref="AK179">HLOOKUP($J179,'Type Chart'!$C$2:$T$20,18,false)*HLOOKUP($K179,'Type Chart'!$C$2:$U$20,18,false)</f>
        <v>1</v>
      </c>
      <c r="AL179" s="960">
        <f t="array" ref="AL179">HLOOKUP($J179,'Type Chart'!$C$2:$T$20,19,false)*HLOOKUP($K179,'Type Chart'!$C$2:$U$20,19,false)</f>
        <v>1</v>
      </c>
      <c r="AM179" s="1145" t="s">
        <v>1013</v>
      </c>
      <c r="AN179" s="965" t="s">
        <v>1239</v>
      </c>
      <c r="AO179" s="966" t="s">
        <v>1306</v>
      </c>
      <c r="AP179" s="936"/>
      <c r="AQ179" s="967"/>
      <c r="AR179" s="968"/>
      <c r="AS179" s="936"/>
    </row>
    <row r="180" ht="15.75" customHeight="1">
      <c r="A180" s="936"/>
      <c r="B180" s="948" t="s">
        <v>1566</v>
      </c>
      <c r="C180" s="950" t="s">
        <v>1567</v>
      </c>
      <c r="D180" s="950" t="s">
        <v>1567</v>
      </c>
      <c r="E180" s="952" t="s">
        <v>1567</v>
      </c>
      <c r="F180" s="940"/>
      <c r="G180" s="953"/>
      <c r="H180" s="969"/>
      <c r="I180" s="956" t="s">
        <v>1568</v>
      </c>
      <c r="J180" s="1205" t="s">
        <v>345</v>
      </c>
      <c r="K180" s="1203" t="s">
        <v>344</v>
      </c>
      <c r="L180" s="959">
        <v>65.0</v>
      </c>
      <c r="M180" s="960">
        <v>50.0</v>
      </c>
      <c r="N180" s="960">
        <v>35.0</v>
      </c>
      <c r="O180" s="960">
        <v>115.0</v>
      </c>
      <c r="P180" s="960">
        <v>95.0</v>
      </c>
      <c r="Q180" s="960">
        <v>95.0</v>
      </c>
      <c r="R180" s="960">
        <v>226.0</v>
      </c>
      <c r="S180" s="960">
        <v>289.0</v>
      </c>
      <c r="T180" s="960">
        <v>317.0</v>
      </c>
      <c r="U180" s="960">
        <f t="array" ref="U180">HLOOKUP($J180,'Type Chart'!$C$2:$T$20,2,false)*HLOOKUP($K180,'Type Chart'!$C$2:$U$20,2,false)</f>
        <v>1</v>
      </c>
      <c r="V180" s="960">
        <f t="array" ref="V180">HLOOKUP($J180,'Type Chart'!$C$2:$T$20,3,false)*HLOOKUP($K180,'Type Chart'!$C$2:$U$20,3,false)</f>
        <v>1</v>
      </c>
      <c r="W180" s="960">
        <f t="array" ref="W180">HLOOKUP($J180,'Type Chart'!$C$2:$T$20,4,false)*HLOOKUP($K180,'Type Chart'!$C$2:$U$20,4,false)</f>
        <v>1</v>
      </c>
      <c r="X180" s="960">
        <f t="array" ref="X180">HLOOKUP($J180,'Type Chart'!$C$2:$T$20,5,false)*HLOOKUP($K180,'Type Chart'!$C$2:$U$20,5,false)</f>
        <v>1</v>
      </c>
      <c r="Y180" s="960">
        <f t="array" ref="Y180">HLOOKUP($J180,'Type Chart'!$C$2:$T$20,6,false)*HLOOKUP($K180,'Type Chart'!$C$2:$U$20,6,false)</f>
        <v>1</v>
      </c>
      <c r="Z180" s="960">
        <f t="array" ref="Z180">HLOOKUP($J180,'Type Chart'!$C$2:$T$20,7,false)*HLOOKUP($K180,'Type Chart'!$C$2:$U$20,7,false)</f>
        <v>2</v>
      </c>
      <c r="AA180" s="960">
        <f t="array" ref="AA180">HLOOKUP($J180,'Type Chart'!$C$2:$T$20,8,false)*HLOOKUP($K180,'Type Chart'!$C$2:$U$20,8,false)</f>
        <v>2</v>
      </c>
      <c r="AB180" s="960">
        <f t="array" ref="AB180">HLOOKUP($J180,'Type Chart'!$C$2:$T$20,9,false)*HLOOKUP($K180,'Type Chart'!$C$2:$U$20,9,false)</f>
        <v>2</v>
      </c>
      <c r="AC180" s="960">
        <f t="array" ref="AC180">HLOOKUP($J180,'Type Chart'!$C$2:$T$20,10,false)*HLOOKUP($K180,'Type Chart'!$C$2:$U$20,10,false)</f>
        <v>2</v>
      </c>
      <c r="AD180" s="960">
        <f t="array" ref="AD180">HLOOKUP($J180,'Type Chart'!$C$2:$T$20,11,false)*HLOOKUP($K180,'Type Chart'!$C$2:$U$20,11,false)</f>
        <v>2</v>
      </c>
      <c r="AE180" s="960">
        <f t="array" ref="AE180">HLOOKUP($J180,'Type Chart'!$C$2:$T$20,12,false)*HLOOKUP($K180,'Type Chart'!$C$2:$U$20,12,false)</f>
        <v>1</v>
      </c>
      <c r="AF180" s="960">
        <f t="array" ref="AF180">HLOOKUP($J180,'Type Chart'!$C$2:$T$20,13,false)*HLOOKUP($K180,'Type Chart'!$C$2:$U$20,13,false)</f>
        <v>1</v>
      </c>
      <c r="AG180" s="960">
        <f t="array" ref="AG180">HLOOKUP($J180,'Type Chart'!$C$2:$T$20,14,false)*HLOOKUP($K180,'Type Chart'!$C$2:$U$20,14,false)</f>
        <v>1</v>
      </c>
      <c r="AH180" s="960">
        <f t="array" ref="AH180">HLOOKUP($J180,'Type Chart'!$C$2:$T$20,15,false)*HLOOKUP($K180,'Type Chart'!$C$2:$U$20,15,false)</f>
        <v>0.5</v>
      </c>
      <c r="AI180" s="960">
        <f t="array" ref="AI180">HLOOKUP($J180,'Type Chart'!$C$2:$T$20,16,false)*HLOOKUP($K180,'Type Chart'!$C$2:$U$20,16,false)</f>
        <v>0.5</v>
      </c>
      <c r="AJ180" s="960">
        <f t="array" ref="AJ180">HLOOKUP($J180,'Type Chart'!$C$2:$T$20,17,false)*HLOOKUP($K180,'Type Chart'!$C$2:$U$20,17,false)</f>
        <v>1</v>
      </c>
      <c r="AK180" s="960">
        <f t="array" ref="AK180">HLOOKUP($J180,'Type Chart'!$C$2:$T$20,18,false)*HLOOKUP($K180,'Type Chart'!$C$2:$U$20,18,false)</f>
        <v>2</v>
      </c>
      <c r="AL180" s="960">
        <f t="array" ref="AL180">HLOOKUP($J180,'Type Chart'!$C$2:$T$20,19,false)*HLOOKUP($K180,'Type Chart'!$C$2:$U$20,19,false)</f>
        <v>1</v>
      </c>
      <c r="AM180" s="964" t="s">
        <v>1369</v>
      </c>
      <c r="AN180" s="965" t="s">
        <v>1455</v>
      </c>
      <c r="AO180" s="966" t="s">
        <v>1210</v>
      </c>
      <c r="AP180" s="936"/>
      <c r="AQ180" s="967"/>
      <c r="AR180" s="968"/>
      <c r="AS180" s="936"/>
    </row>
    <row r="181" ht="15.75" customHeight="1">
      <c r="A181" s="936"/>
      <c r="B181" s="948" t="s">
        <v>1569</v>
      </c>
      <c r="C181" s="950" t="s">
        <v>1570</v>
      </c>
      <c r="D181" s="950" t="s">
        <v>1570</v>
      </c>
      <c r="E181" s="952" t="s">
        <v>1570</v>
      </c>
      <c r="F181" s="940"/>
      <c r="G181" s="953"/>
      <c r="H181" s="969"/>
      <c r="I181" s="956" t="s">
        <v>798</v>
      </c>
      <c r="J181" s="1196" t="s">
        <v>203</v>
      </c>
      <c r="K181" s="984" t="s">
        <v>216</v>
      </c>
      <c r="L181" s="959">
        <v>65.0</v>
      </c>
      <c r="M181" s="960">
        <v>83.0</v>
      </c>
      <c r="N181" s="960">
        <v>57.0</v>
      </c>
      <c r="O181" s="960">
        <v>95.0</v>
      </c>
      <c r="P181" s="960">
        <v>85.0</v>
      </c>
      <c r="Q181" s="960">
        <v>105.0</v>
      </c>
      <c r="R181" s="960">
        <v>246.0</v>
      </c>
      <c r="S181" s="960">
        <v>309.0</v>
      </c>
      <c r="T181" s="960">
        <v>339.0</v>
      </c>
      <c r="U181" s="960">
        <f t="array" ref="U181">HLOOKUP($J181,'Type Chart'!$C$2:$T$20,2,false)*HLOOKUP($K181,'Type Chart'!$C$2:$U$20,2,false)</f>
        <v>1</v>
      </c>
      <c r="V181" s="960">
        <f t="array" ref="V181">HLOOKUP($J181,'Type Chart'!$C$2:$T$20,3,false)*HLOOKUP($K181,'Type Chart'!$C$2:$U$20,3,false)</f>
        <v>1</v>
      </c>
      <c r="W181" s="960">
        <f t="array" ref="W181">HLOOKUP($J181,'Type Chart'!$C$2:$T$20,4,false)*HLOOKUP($K181,'Type Chart'!$C$2:$U$20,4,false)</f>
        <v>0.5</v>
      </c>
      <c r="X181" s="960">
        <f t="array" ref="X181">HLOOKUP($J181,'Type Chart'!$C$2:$T$20,5,false)*HLOOKUP($K181,'Type Chart'!$C$2:$U$20,5,false)</f>
        <v>1</v>
      </c>
      <c r="Y181" s="960">
        <f t="array" ref="Y181">HLOOKUP($J181,'Type Chart'!$C$2:$T$20,6,false)*HLOOKUP($K181,'Type Chart'!$C$2:$U$20,6,false)</f>
        <v>2</v>
      </c>
      <c r="Z181" s="960">
        <f t="array" ref="Z181">HLOOKUP($J181,'Type Chart'!$C$2:$T$20,7,false)*HLOOKUP($K181,'Type Chart'!$C$2:$U$20,7,false)</f>
        <v>1</v>
      </c>
      <c r="AA181" s="960">
        <f t="array" ref="AA181">HLOOKUP($J181,'Type Chart'!$C$2:$T$20,8,false)*HLOOKUP($K181,'Type Chart'!$C$2:$U$20,8,false)</f>
        <v>1</v>
      </c>
      <c r="AB181" s="960">
        <f t="array" ref="AB181">HLOOKUP($J181,'Type Chart'!$C$2:$T$20,9,false)*HLOOKUP($K181,'Type Chart'!$C$2:$U$20,9,false)</f>
        <v>1</v>
      </c>
      <c r="AC181" s="960">
        <f t="array" ref="AC181">HLOOKUP($J181,'Type Chart'!$C$2:$T$20,10,false)*HLOOKUP($K181,'Type Chart'!$C$2:$U$20,10,false)</f>
        <v>0.5</v>
      </c>
      <c r="AD181" s="960">
        <f t="array" ref="AD181">HLOOKUP($J181,'Type Chart'!$C$2:$T$20,11,false)*HLOOKUP($K181,'Type Chart'!$C$2:$U$20,11,false)</f>
        <v>1</v>
      </c>
      <c r="AE181" s="960">
        <f t="array" ref="AE181">HLOOKUP($J181,'Type Chart'!$C$2:$T$20,12,false)*HLOOKUP($K181,'Type Chart'!$C$2:$U$20,12,false)</f>
        <v>1</v>
      </c>
      <c r="AF181" s="960">
        <f t="array" ref="AF181">HLOOKUP($J181,'Type Chart'!$C$2:$T$20,13,false)*HLOOKUP($K181,'Type Chart'!$C$2:$U$20,13,false)</f>
        <v>1</v>
      </c>
      <c r="AG181" s="960">
        <f t="array" ref="AG181">HLOOKUP($J181,'Type Chart'!$C$2:$T$20,14,false)*HLOOKUP($K181,'Type Chart'!$C$2:$U$20,14,false)</f>
        <v>0.5</v>
      </c>
      <c r="AH181" s="960">
        <f t="array" ref="AH181">HLOOKUP($J181,'Type Chart'!$C$2:$T$20,15,false)*HLOOKUP($K181,'Type Chart'!$C$2:$U$20,15,false)</f>
        <v>1</v>
      </c>
      <c r="AI181" s="960">
        <f t="array" ref="AI181">HLOOKUP($J181,'Type Chart'!$C$2:$T$20,16,false)*HLOOKUP($K181,'Type Chart'!$C$2:$U$20,16,false)</f>
        <v>1</v>
      </c>
      <c r="AJ181" s="960">
        <f t="array" ref="AJ181">HLOOKUP($J181,'Type Chart'!$C$2:$T$20,17,false)*HLOOKUP($K181,'Type Chart'!$C$2:$U$20,17,false)</f>
        <v>1</v>
      </c>
      <c r="AK181" s="960">
        <f t="array" ref="AK181">HLOOKUP($J181,'Type Chart'!$C$2:$T$20,18,false)*HLOOKUP($K181,'Type Chart'!$C$2:$U$20,18,false)</f>
        <v>1</v>
      </c>
      <c r="AL181" s="960">
        <f t="array" ref="AL181">HLOOKUP($J181,'Type Chart'!$C$2:$T$20,19,false)*HLOOKUP($K181,'Type Chart'!$C$2:$U$20,19,false)</f>
        <v>1</v>
      </c>
      <c r="AM181" s="964" t="s">
        <v>1067</v>
      </c>
      <c r="AN181" s="965"/>
      <c r="AO181" s="966" t="s">
        <v>1265</v>
      </c>
      <c r="AP181" s="936"/>
      <c r="AQ181" s="967"/>
      <c r="AR181" s="968"/>
      <c r="AS181" s="936"/>
    </row>
    <row r="182" ht="15.75" customHeight="1">
      <c r="A182" s="936"/>
      <c r="B182" s="948" t="s">
        <v>1571</v>
      </c>
      <c r="C182" s="950" t="s">
        <v>1572</v>
      </c>
      <c r="D182" s="950" t="s">
        <v>1572</v>
      </c>
      <c r="E182" s="952" t="s">
        <v>1572</v>
      </c>
      <c r="F182" s="940"/>
      <c r="G182" s="953"/>
      <c r="H182" s="969"/>
      <c r="I182" s="956" t="s">
        <v>888</v>
      </c>
      <c r="J182" s="982" t="s">
        <v>150</v>
      </c>
      <c r="K182" s="984" t="s">
        <v>216</v>
      </c>
      <c r="L182" s="959">
        <v>65.0</v>
      </c>
      <c r="M182" s="960">
        <v>95.0</v>
      </c>
      <c r="N182" s="960">
        <v>57.0</v>
      </c>
      <c r="O182" s="960">
        <v>100.0</v>
      </c>
      <c r="P182" s="960">
        <v>85.0</v>
      </c>
      <c r="Q182" s="960">
        <v>93.0</v>
      </c>
      <c r="R182" s="960">
        <v>222.0</v>
      </c>
      <c r="S182" s="960">
        <v>285.0</v>
      </c>
      <c r="T182" s="960">
        <v>313.0</v>
      </c>
      <c r="U182" s="960">
        <f t="array" ref="U182">HLOOKUP($J182,'Type Chart'!$C$2:$T$20,2,false)*HLOOKUP($K182,'Type Chart'!$C$2:$U$20,2,false)</f>
        <v>1</v>
      </c>
      <c r="V182" s="960">
        <f t="array" ref="V182">HLOOKUP($J182,'Type Chart'!$C$2:$T$20,3,false)*HLOOKUP($K182,'Type Chart'!$C$2:$U$20,3,false)</f>
        <v>1</v>
      </c>
      <c r="W182" s="960">
        <f t="array" ref="W182">HLOOKUP($J182,'Type Chart'!$C$2:$T$20,4,false)*HLOOKUP($K182,'Type Chart'!$C$2:$U$20,4,false)</f>
        <v>1</v>
      </c>
      <c r="X182" s="960">
        <f t="array" ref="X182">HLOOKUP($J182,'Type Chart'!$C$2:$T$20,5,false)*HLOOKUP($K182,'Type Chart'!$C$2:$U$20,5,false)</f>
        <v>1</v>
      </c>
      <c r="Y182" s="960">
        <f t="array" ref="Y182">HLOOKUP($J182,'Type Chart'!$C$2:$T$20,6,false)*HLOOKUP($K182,'Type Chart'!$C$2:$U$20,6,false)</f>
        <v>2</v>
      </c>
      <c r="Z182" s="960">
        <f t="array" ref="Z182">HLOOKUP($J182,'Type Chart'!$C$2:$T$20,7,false)*HLOOKUP($K182,'Type Chart'!$C$2:$U$20,7,false)</f>
        <v>2</v>
      </c>
      <c r="AA182" s="960">
        <f t="array" ref="AA182">HLOOKUP($J182,'Type Chart'!$C$2:$T$20,8,false)*HLOOKUP($K182,'Type Chart'!$C$2:$U$20,8,false)</f>
        <v>0.5</v>
      </c>
      <c r="AB182" s="960">
        <f t="array" ref="AB182">HLOOKUP($J182,'Type Chart'!$C$2:$T$20,9,false)*HLOOKUP($K182,'Type Chart'!$C$2:$U$20,9,false)</f>
        <v>1</v>
      </c>
      <c r="AC182" s="960">
        <f t="array" ref="AC182">HLOOKUP($J182,'Type Chart'!$C$2:$T$20,10,false)*HLOOKUP($K182,'Type Chart'!$C$2:$U$20,10,false)</f>
        <v>0.5</v>
      </c>
      <c r="AD182" s="960">
        <f t="array" ref="AD182">HLOOKUP($J182,'Type Chart'!$C$2:$T$20,11,false)*HLOOKUP($K182,'Type Chart'!$C$2:$U$20,11,false)</f>
        <v>0.5</v>
      </c>
      <c r="AE182" s="960">
        <f t="array" ref="AE182">HLOOKUP($J182,'Type Chart'!$C$2:$T$20,12,false)*HLOOKUP($K182,'Type Chart'!$C$2:$U$20,12,false)</f>
        <v>2</v>
      </c>
      <c r="AF182" s="960">
        <f t="array" ref="AF182">HLOOKUP($J182,'Type Chart'!$C$2:$T$20,13,false)*HLOOKUP($K182,'Type Chart'!$C$2:$U$20,13,false)</f>
        <v>0.5</v>
      </c>
      <c r="AG182" s="960">
        <f t="array" ref="AG182">HLOOKUP($J182,'Type Chart'!$C$2:$T$20,14,false)*HLOOKUP($K182,'Type Chart'!$C$2:$U$20,14,false)</f>
        <v>1</v>
      </c>
      <c r="AH182" s="960">
        <f t="array" ref="AH182">HLOOKUP($J182,'Type Chart'!$C$2:$T$20,15,false)*HLOOKUP($K182,'Type Chart'!$C$2:$U$20,15,false)</f>
        <v>1</v>
      </c>
      <c r="AI182" s="960">
        <f t="array" ref="AI182">HLOOKUP($J182,'Type Chart'!$C$2:$T$20,16,false)*HLOOKUP($K182,'Type Chart'!$C$2:$U$20,16,false)</f>
        <v>0.5</v>
      </c>
      <c r="AJ182" s="960">
        <f t="array" ref="AJ182">HLOOKUP($J182,'Type Chart'!$C$2:$T$20,17,false)*HLOOKUP($K182,'Type Chart'!$C$2:$U$20,17,false)</f>
        <v>1</v>
      </c>
      <c r="AK182" s="960">
        <f t="array" ref="AK182">HLOOKUP($J182,'Type Chart'!$C$2:$T$20,18,false)*HLOOKUP($K182,'Type Chart'!$C$2:$U$20,18,false)</f>
        <v>1</v>
      </c>
      <c r="AL182" s="960">
        <f t="array" ref="AL182">HLOOKUP($J182,'Type Chart'!$C$2:$T$20,19,false)*HLOOKUP($K182,'Type Chart'!$C$2:$U$20,19,false)</f>
        <v>0.5</v>
      </c>
      <c r="AM182" s="964" t="s">
        <v>1353</v>
      </c>
      <c r="AN182" s="965"/>
      <c r="AO182" s="966" t="s">
        <v>1265</v>
      </c>
      <c r="AP182" s="936"/>
      <c r="AQ182" s="967"/>
      <c r="AR182" s="968"/>
      <c r="AS182" s="936"/>
    </row>
    <row r="183" ht="15.75" customHeight="1">
      <c r="A183" s="936"/>
      <c r="B183" s="948" t="s">
        <v>1573</v>
      </c>
      <c r="C183" s="950" t="s">
        <v>1574</v>
      </c>
      <c r="D183" s="950" t="s">
        <v>1574</v>
      </c>
      <c r="E183" s="952" t="s">
        <v>1574</v>
      </c>
      <c r="F183" s="940"/>
      <c r="G183" s="953"/>
      <c r="H183" s="969"/>
      <c r="I183" s="956" t="s">
        <v>1575</v>
      </c>
      <c r="J183" s="1180" t="s">
        <v>343</v>
      </c>
      <c r="K183" s="984" t="s">
        <v>216</v>
      </c>
      <c r="L183" s="959">
        <v>65.0</v>
      </c>
      <c r="M183" s="960">
        <v>125.0</v>
      </c>
      <c r="N183" s="960">
        <v>100.0</v>
      </c>
      <c r="O183" s="960">
        <v>55.0</v>
      </c>
      <c r="P183" s="960">
        <v>70.0</v>
      </c>
      <c r="Q183" s="960">
        <v>85.0</v>
      </c>
      <c r="R183" s="960">
        <v>206.0</v>
      </c>
      <c r="S183" s="960">
        <v>269.0</v>
      </c>
      <c r="T183" s="960">
        <v>295.0</v>
      </c>
      <c r="U183" s="960">
        <f t="array" ref="U183">HLOOKUP($J183,'Type Chart'!$C$2:$T$20,2,false)*HLOOKUP($K183,'Type Chart'!$C$2:$U$20,2,false)</f>
        <v>1</v>
      </c>
      <c r="V183" s="960">
        <f t="array" ref="V183">HLOOKUP($J183,'Type Chart'!$C$2:$T$20,3,false)*HLOOKUP($K183,'Type Chart'!$C$2:$U$20,3,false)</f>
        <v>0.5</v>
      </c>
      <c r="W183" s="960">
        <f t="array" ref="W183">HLOOKUP($J183,'Type Chart'!$C$2:$T$20,4,false)*HLOOKUP($K183,'Type Chart'!$C$2:$U$20,4,false)</f>
        <v>2</v>
      </c>
      <c r="X183" s="960">
        <f t="array" ref="X183">HLOOKUP($J183,'Type Chart'!$C$2:$T$20,5,false)*HLOOKUP($K183,'Type Chart'!$C$2:$U$20,5,false)</f>
        <v>1</v>
      </c>
      <c r="Y183" s="960">
        <f t="array" ref="Y183">HLOOKUP($J183,'Type Chart'!$C$2:$T$20,6,false)*HLOOKUP($K183,'Type Chart'!$C$2:$U$20,6,false)</f>
        <v>0.5</v>
      </c>
      <c r="Z183" s="960">
        <f t="array" ref="Z183">HLOOKUP($J183,'Type Chart'!$C$2:$T$20,7,false)*HLOOKUP($K183,'Type Chart'!$C$2:$U$20,7,false)</f>
        <v>2</v>
      </c>
      <c r="AA183" s="960">
        <f t="array" ref="AA183">HLOOKUP($J183,'Type Chart'!$C$2:$T$20,8,false)*HLOOKUP($K183,'Type Chart'!$C$2:$U$20,8,false)</f>
        <v>1</v>
      </c>
      <c r="AB183" s="960">
        <f t="array" ref="AB183">HLOOKUP($J183,'Type Chart'!$C$2:$T$20,9,false)*HLOOKUP($K183,'Type Chart'!$C$2:$U$20,9,false)</f>
        <v>1</v>
      </c>
      <c r="AC183" s="960">
        <f t="array" ref="AC183">HLOOKUP($J183,'Type Chart'!$C$2:$T$20,10,false)*HLOOKUP($K183,'Type Chart'!$C$2:$U$20,10,false)</f>
        <v>1</v>
      </c>
      <c r="AD183" s="960">
        <f t="array" ref="AD183">HLOOKUP($J183,'Type Chart'!$C$2:$T$20,11,false)*HLOOKUP($K183,'Type Chart'!$C$2:$U$20,11,false)</f>
        <v>2</v>
      </c>
      <c r="AE183" s="960">
        <f t="array" ref="AE183">HLOOKUP($J183,'Type Chart'!$C$2:$T$20,12,false)*HLOOKUP($K183,'Type Chart'!$C$2:$U$20,12,false)</f>
        <v>1</v>
      </c>
      <c r="AF183" s="960">
        <f t="array" ref="AF183">HLOOKUP($J183,'Type Chart'!$C$2:$T$20,13,false)*HLOOKUP($K183,'Type Chart'!$C$2:$U$20,13,false)</f>
        <v>0.5</v>
      </c>
      <c r="AG183" s="960">
        <f t="array" ref="AG183">HLOOKUP($J183,'Type Chart'!$C$2:$T$20,14,false)*HLOOKUP($K183,'Type Chart'!$C$2:$U$20,14,false)</f>
        <v>1</v>
      </c>
      <c r="AH183" s="960">
        <f t="array" ref="AH183">HLOOKUP($J183,'Type Chart'!$C$2:$T$20,15,false)*HLOOKUP($K183,'Type Chart'!$C$2:$U$20,15,false)</f>
        <v>1</v>
      </c>
      <c r="AI183" s="960">
        <f t="array" ref="AI183">HLOOKUP($J183,'Type Chart'!$C$2:$T$20,16,false)*HLOOKUP($K183,'Type Chart'!$C$2:$U$20,16,false)</f>
        <v>1</v>
      </c>
      <c r="AJ183" s="960">
        <f t="array" ref="AJ183">HLOOKUP($J183,'Type Chart'!$C$2:$T$20,17,false)*HLOOKUP($K183,'Type Chart'!$C$2:$U$20,17,false)</f>
        <v>1</v>
      </c>
      <c r="AK183" s="960">
        <f t="array" ref="AK183">HLOOKUP($J183,'Type Chart'!$C$2:$T$20,18,false)*HLOOKUP($K183,'Type Chart'!$C$2:$U$20,18,false)</f>
        <v>1</v>
      </c>
      <c r="AL183" s="960">
        <f t="array" ref="AL183">HLOOKUP($J183,'Type Chart'!$C$2:$T$20,19,false)*HLOOKUP($K183,'Type Chart'!$C$2:$U$20,19,false)</f>
        <v>1</v>
      </c>
      <c r="AM183" s="964" t="s">
        <v>1461</v>
      </c>
      <c r="AN183" s="965" t="s">
        <v>1576</v>
      </c>
      <c r="AO183" s="966" t="s">
        <v>1577</v>
      </c>
      <c r="AP183" s="936"/>
      <c r="AQ183" s="967"/>
      <c r="AR183" s="968"/>
      <c r="AS183" s="936"/>
    </row>
    <row r="184" ht="15.75" customHeight="1">
      <c r="A184" s="936"/>
      <c r="B184" s="948" t="s">
        <v>1578</v>
      </c>
      <c r="C184" s="950" t="s">
        <v>1579</v>
      </c>
      <c r="D184" s="950" t="s">
        <v>1579</v>
      </c>
      <c r="E184" s="952" t="s">
        <v>1579</v>
      </c>
      <c r="F184" s="940"/>
      <c r="G184" s="953"/>
      <c r="H184" s="969"/>
      <c r="I184" s="956" t="s">
        <v>1580</v>
      </c>
      <c r="J184" s="1180" t="s">
        <v>343</v>
      </c>
      <c r="K184" s="1001" t="s">
        <v>128</v>
      </c>
      <c r="L184" s="959">
        <v>65.0</v>
      </c>
      <c r="M184" s="960">
        <v>155.0</v>
      </c>
      <c r="N184" s="960">
        <v>120.0</v>
      </c>
      <c r="O184" s="960">
        <v>65.0</v>
      </c>
      <c r="P184" s="960">
        <v>90.0</v>
      </c>
      <c r="Q184" s="960">
        <v>105.0</v>
      </c>
      <c r="R184" s="960">
        <v>246.0</v>
      </c>
      <c r="S184" s="960">
        <v>309.0</v>
      </c>
      <c r="T184" s="960">
        <v>339.0</v>
      </c>
      <c r="U184" s="960">
        <f t="array" ref="U184">HLOOKUP($J184,'Type Chart'!$C$2:$T$20,2,false)*HLOOKUP($K184,'Type Chart'!$C$2:$U$20,2,false)</f>
        <v>1</v>
      </c>
      <c r="V184" s="960">
        <f t="array" ref="V184">HLOOKUP($J184,'Type Chart'!$C$2:$T$20,3,false)*HLOOKUP($K184,'Type Chart'!$C$2:$U$20,3,false)</f>
        <v>0.25</v>
      </c>
      <c r="W184" s="960">
        <f t="array" ref="W184">HLOOKUP($J184,'Type Chart'!$C$2:$T$20,4,false)*HLOOKUP($K184,'Type Chart'!$C$2:$U$20,4,false)</f>
        <v>2</v>
      </c>
      <c r="X184" s="960">
        <f t="array" ref="X184">HLOOKUP($J184,'Type Chart'!$C$2:$T$20,5,false)*HLOOKUP($K184,'Type Chart'!$C$2:$U$20,5,false)</f>
        <v>1</v>
      </c>
      <c r="Y184" s="960">
        <f t="array" ref="Y184">HLOOKUP($J184,'Type Chart'!$C$2:$T$20,6,false)*HLOOKUP($K184,'Type Chart'!$C$2:$U$20,6,false)</f>
        <v>0</v>
      </c>
      <c r="Z184" s="960">
        <f t="array" ref="Z184">HLOOKUP($J184,'Type Chart'!$C$2:$T$20,7,false)*HLOOKUP($K184,'Type Chart'!$C$2:$U$20,7,false)</f>
        <v>4</v>
      </c>
      <c r="AA184" s="960">
        <f t="array" ref="AA184">HLOOKUP($J184,'Type Chart'!$C$2:$T$20,8,false)*HLOOKUP($K184,'Type Chart'!$C$2:$U$20,8,false)</f>
        <v>0.5</v>
      </c>
      <c r="AB184" s="960">
        <f t="array" ref="AB184">HLOOKUP($J184,'Type Chart'!$C$2:$T$20,9,false)*HLOOKUP($K184,'Type Chart'!$C$2:$U$20,9,false)</f>
        <v>1</v>
      </c>
      <c r="AC184" s="960">
        <f t="array" ref="AC184">HLOOKUP($J184,'Type Chart'!$C$2:$T$20,10,false)*HLOOKUP($K184,'Type Chart'!$C$2:$U$20,10,false)</f>
        <v>1</v>
      </c>
      <c r="AD184" s="960">
        <f t="array" ref="AD184">HLOOKUP($J184,'Type Chart'!$C$2:$T$20,11,false)*HLOOKUP($K184,'Type Chart'!$C$2:$U$20,11,false)</f>
        <v>2</v>
      </c>
      <c r="AE184" s="960">
        <f t="array" ref="AE184">HLOOKUP($J184,'Type Chart'!$C$2:$T$20,12,false)*HLOOKUP($K184,'Type Chart'!$C$2:$U$20,12,false)</f>
        <v>1</v>
      </c>
      <c r="AF184" s="960">
        <f t="array" ref="AF184">HLOOKUP($J184,'Type Chart'!$C$2:$T$20,13,false)*HLOOKUP($K184,'Type Chart'!$C$2:$U$20,13,false)</f>
        <v>0.25</v>
      </c>
      <c r="AG184" s="960">
        <f t="array" ref="AG184">HLOOKUP($J184,'Type Chart'!$C$2:$T$20,14,false)*HLOOKUP($K184,'Type Chart'!$C$2:$U$20,14,false)</f>
        <v>2</v>
      </c>
      <c r="AH184" s="960">
        <f t="array" ref="AH184">HLOOKUP($J184,'Type Chart'!$C$2:$T$20,15,false)*HLOOKUP($K184,'Type Chart'!$C$2:$U$20,15,false)</f>
        <v>1</v>
      </c>
      <c r="AI184" s="960">
        <f t="array" ref="AI184">HLOOKUP($J184,'Type Chart'!$C$2:$T$20,16,false)*HLOOKUP($K184,'Type Chart'!$C$2:$U$20,16,false)</f>
        <v>2</v>
      </c>
      <c r="AJ184" s="960">
        <f t="array" ref="AJ184">HLOOKUP($J184,'Type Chart'!$C$2:$T$20,17,false)*HLOOKUP($K184,'Type Chart'!$C$2:$U$20,17,false)</f>
        <v>1</v>
      </c>
      <c r="AK184" s="960">
        <f t="array" ref="AK184">HLOOKUP($J184,'Type Chart'!$C$2:$T$20,18,false)*HLOOKUP($K184,'Type Chart'!$C$2:$U$20,18,false)</f>
        <v>1</v>
      </c>
      <c r="AL184" s="960">
        <f t="array" ref="AL184">HLOOKUP($J184,'Type Chart'!$C$2:$T$20,19,false)*HLOOKUP($K184,'Type Chart'!$C$2:$U$20,19,false)</f>
        <v>1</v>
      </c>
      <c r="AM184" s="964" t="s">
        <v>1581</v>
      </c>
      <c r="AN184" s="965"/>
      <c r="AO184" s="966"/>
      <c r="AP184" s="936"/>
      <c r="AQ184" s="967"/>
      <c r="AR184" s="968"/>
      <c r="AS184" s="936"/>
    </row>
    <row r="185" ht="15.75" customHeight="1">
      <c r="A185" s="936"/>
      <c r="B185" s="948" t="s">
        <v>1582</v>
      </c>
      <c r="C185" s="950" t="s">
        <v>1583</v>
      </c>
      <c r="D185" s="950" t="s">
        <v>1583</v>
      </c>
      <c r="E185" s="952" t="s">
        <v>1583</v>
      </c>
      <c r="F185" s="940"/>
      <c r="G185" s="953"/>
      <c r="H185" s="969"/>
      <c r="I185" s="956" t="s">
        <v>632</v>
      </c>
      <c r="J185" s="1194" t="s">
        <v>136</v>
      </c>
      <c r="K185" s="984" t="s">
        <v>216</v>
      </c>
      <c r="L185" s="959">
        <v>75.0</v>
      </c>
      <c r="M185" s="960">
        <v>100.0</v>
      </c>
      <c r="N185" s="960">
        <v>95.0</v>
      </c>
      <c r="O185" s="960">
        <v>40.0</v>
      </c>
      <c r="P185" s="960">
        <v>70.0</v>
      </c>
      <c r="Q185" s="960">
        <v>110.0</v>
      </c>
      <c r="R185" s="960">
        <v>256.0</v>
      </c>
      <c r="S185" s="960">
        <v>319.0</v>
      </c>
      <c r="T185" s="960">
        <v>350.0</v>
      </c>
      <c r="U185" s="960">
        <f t="array" ref="U185">HLOOKUP($J185,'Type Chart'!$C$2:$T$20,2,false)*HLOOKUP($K185,'Type Chart'!$C$2:$U$20,2,false)</f>
        <v>1</v>
      </c>
      <c r="V185" s="960">
        <f t="array" ref="V185">HLOOKUP($J185,'Type Chart'!$C$2:$T$20,3,false)*HLOOKUP($K185,'Type Chart'!$C$2:$U$20,3,false)</f>
        <v>2</v>
      </c>
      <c r="W185" s="960">
        <f t="array" ref="W185">HLOOKUP($J185,'Type Chart'!$C$2:$T$20,4,false)*HLOOKUP($K185,'Type Chart'!$C$2:$U$20,4,false)</f>
        <v>1</v>
      </c>
      <c r="X185" s="960">
        <f t="array" ref="X185">HLOOKUP($J185,'Type Chart'!$C$2:$T$20,5,false)*HLOOKUP($K185,'Type Chart'!$C$2:$U$20,5,false)</f>
        <v>1</v>
      </c>
      <c r="Y185" s="960">
        <f t="array" ref="Y185">HLOOKUP($J185,'Type Chart'!$C$2:$T$20,6,false)*HLOOKUP($K185,'Type Chart'!$C$2:$U$20,6,false)</f>
        <v>1</v>
      </c>
      <c r="Z185" s="960">
        <f t="array" ref="Z185">HLOOKUP($J185,'Type Chart'!$C$2:$T$20,7,false)*HLOOKUP($K185,'Type Chart'!$C$2:$U$20,7,false)</f>
        <v>1</v>
      </c>
      <c r="AA185" s="960">
        <f t="array" ref="AA185">HLOOKUP($J185,'Type Chart'!$C$2:$T$20,8,false)*HLOOKUP($K185,'Type Chart'!$C$2:$U$20,8,false)</f>
        <v>1</v>
      </c>
      <c r="AB185" s="960">
        <f t="array" ref="AB185">HLOOKUP($J185,'Type Chart'!$C$2:$T$20,9,false)*HLOOKUP($K185,'Type Chart'!$C$2:$U$20,9,false)</f>
        <v>0</v>
      </c>
      <c r="AC185" s="960">
        <f t="array" ref="AC185">HLOOKUP($J185,'Type Chart'!$C$2:$T$20,10,false)*HLOOKUP($K185,'Type Chart'!$C$2:$U$20,10,false)</f>
        <v>1</v>
      </c>
      <c r="AD185" s="960">
        <f t="array" ref="AD185">HLOOKUP($J185,'Type Chart'!$C$2:$T$20,11,false)*HLOOKUP($K185,'Type Chart'!$C$2:$U$20,11,false)</f>
        <v>1</v>
      </c>
      <c r="AE185" s="960">
        <f t="array" ref="AE185">HLOOKUP($J185,'Type Chart'!$C$2:$T$20,12,false)*HLOOKUP($K185,'Type Chart'!$C$2:$U$20,12,false)</f>
        <v>1</v>
      </c>
      <c r="AF185" s="960">
        <f t="array" ref="AF185">HLOOKUP($J185,'Type Chart'!$C$2:$T$20,13,false)*HLOOKUP($K185,'Type Chart'!$C$2:$U$20,13,false)</f>
        <v>1</v>
      </c>
      <c r="AG185" s="960">
        <f t="array" ref="AG185">HLOOKUP($J185,'Type Chart'!$C$2:$T$20,14,false)*HLOOKUP($K185,'Type Chart'!$C$2:$U$20,14,false)</f>
        <v>1</v>
      </c>
      <c r="AH185" s="960">
        <f t="array" ref="AH185">HLOOKUP($J185,'Type Chart'!$C$2:$T$20,15,false)*HLOOKUP($K185,'Type Chart'!$C$2:$U$20,15,false)</f>
        <v>1</v>
      </c>
      <c r="AI185" s="960">
        <f t="array" ref="AI185">HLOOKUP($J185,'Type Chart'!$C$2:$T$20,16,false)*HLOOKUP($K185,'Type Chart'!$C$2:$U$20,16,false)</f>
        <v>1</v>
      </c>
      <c r="AJ185" s="960">
        <f t="array" ref="AJ185">HLOOKUP($J185,'Type Chart'!$C$2:$T$20,17,false)*HLOOKUP($K185,'Type Chart'!$C$2:$U$20,17,false)</f>
        <v>1</v>
      </c>
      <c r="AK185" s="960">
        <f t="array" ref="AK185">HLOOKUP($J185,'Type Chart'!$C$2:$T$20,18,false)*HLOOKUP($K185,'Type Chart'!$C$2:$U$20,18,false)</f>
        <v>1</v>
      </c>
      <c r="AL185" s="960">
        <f t="array" ref="AL185">HLOOKUP($J185,'Type Chart'!$C$2:$T$20,19,false)*HLOOKUP($K185,'Type Chart'!$C$2:$U$20,19,false)</f>
        <v>1</v>
      </c>
      <c r="AM185" s="964" t="s">
        <v>1061</v>
      </c>
      <c r="AN185" s="965" t="s">
        <v>1266</v>
      </c>
      <c r="AO185" s="966" t="s">
        <v>1153</v>
      </c>
      <c r="AP185" s="936"/>
      <c r="AQ185" s="967"/>
      <c r="AR185" s="968"/>
      <c r="AS185" s="936"/>
    </row>
    <row r="186" ht="15.75" customHeight="1">
      <c r="A186" s="1099"/>
      <c r="B186" s="948" t="s">
        <v>1584</v>
      </c>
      <c r="C186" s="950" t="s">
        <v>1585</v>
      </c>
      <c r="D186" s="950" t="s">
        <v>1585</v>
      </c>
      <c r="E186" s="952" t="s">
        <v>1585</v>
      </c>
      <c r="F186" s="940"/>
      <c r="G186" s="953"/>
      <c r="H186" s="969"/>
      <c r="I186" s="956" t="s">
        <v>633</v>
      </c>
      <c r="J186" s="1213" t="s">
        <v>341</v>
      </c>
      <c r="K186" s="984" t="s">
        <v>216</v>
      </c>
      <c r="L186" s="959">
        <v>75.0</v>
      </c>
      <c r="M186" s="960">
        <v>110.0</v>
      </c>
      <c r="N186" s="960">
        <v>105.0</v>
      </c>
      <c r="O186" s="960">
        <v>30.0</v>
      </c>
      <c r="P186" s="960">
        <v>70.0</v>
      </c>
      <c r="Q186" s="960">
        <v>100.0</v>
      </c>
      <c r="R186" s="960">
        <v>236.0</v>
      </c>
      <c r="S186" s="960">
        <v>299.0</v>
      </c>
      <c r="T186" s="960">
        <v>328.0</v>
      </c>
      <c r="U186" s="960">
        <f t="array" ref="U186">HLOOKUP($J186,'Type Chart'!$C$2:$T$20,2,false)*HLOOKUP($K186,'Type Chart'!$C$2:$U$20,2,false)</f>
        <v>1</v>
      </c>
      <c r="V186" s="960">
        <f t="array" ref="V186">HLOOKUP($J186,'Type Chart'!$C$2:$T$20,3,false)*HLOOKUP($K186,'Type Chart'!$C$2:$U$20,3,false)</f>
        <v>1</v>
      </c>
      <c r="W186" s="960">
        <f t="array" ref="W186">HLOOKUP($J186,'Type Chart'!$C$2:$T$20,4,false)*HLOOKUP($K186,'Type Chart'!$C$2:$U$20,4,false)</f>
        <v>2</v>
      </c>
      <c r="X186" s="960">
        <f t="array" ref="X186">HLOOKUP($J186,'Type Chart'!$C$2:$T$20,5,false)*HLOOKUP($K186,'Type Chart'!$C$2:$U$20,5,false)</f>
        <v>1</v>
      </c>
      <c r="Y186" s="960">
        <f t="array" ref="Y186">HLOOKUP($J186,'Type Chart'!$C$2:$T$20,6,false)*HLOOKUP($K186,'Type Chart'!$C$2:$U$20,6,false)</f>
        <v>1</v>
      </c>
      <c r="Z186" s="960">
        <f t="array" ref="Z186">HLOOKUP($J186,'Type Chart'!$C$2:$T$20,7,false)*HLOOKUP($K186,'Type Chart'!$C$2:$U$20,7,false)</f>
        <v>0.5</v>
      </c>
      <c r="AA186" s="960">
        <f t="array" ref="AA186">HLOOKUP($J186,'Type Chart'!$C$2:$T$20,8,false)*HLOOKUP($K186,'Type Chart'!$C$2:$U$20,8,false)</f>
        <v>0.5</v>
      </c>
      <c r="AB186" s="960">
        <f t="array" ref="AB186">HLOOKUP($J186,'Type Chart'!$C$2:$T$20,9,false)*HLOOKUP($K186,'Type Chart'!$C$2:$U$20,9,false)</f>
        <v>1</v>
      </c>
      <c r="AC186" s="960">
        <f t="array" ref="AC186">HLOOKUP($J186,'Type Chart'!$C$2:$T$20,10,false)*HLOOKUP($K186,'Type Chart'!$C$2:$U$20,10,false)</f>
        <v>1</v>
      </c>
      <c r="AD186" s="960">
        <f t="array" ref="AD186">HLOOKUP($J186,'Type Chart'!$C$2:$T$20,11,false)*HLOOKUP($K186,'Type Chart'!$C$2:$U$20,11,false)</f>
        <v>1</v>
      </c>
      <c r="AE186" s="960">
        <f t="array" ref="AE186">HLOOKUP($J186,'Type Chart'!$C$2:$T$20,12,false)*HLOOKUP($K186,'Type Chart'!$C$2:$U$20,12,false)</f>
        <v>1</v>
      </c>
      <c r="AF186" s="960">
        <f t="array" ref="AF186">HLOOKUP($J186,'Type Chart'!$C$2:$T$20,13,false)*HLOOKUP($K186,'Type Chart'!$C$2:$U$20,13,false)</f>
        <v>1</v>
      </c>
      <c r="AG186" s="960">
        <f t="array" ref="AG186">HLOOKUP($J186,'Type Chart'!$C$2:$T$20,14,false)*HLOOKUP($K186,'Type Chart'!$C$2:$U$20,14,false)</f>
        <v>1</v>
      </c>
      <c r="AH186" s="960">
        <f t="array" ref="AH186">HLOOKUP($J186,'Type Chart'!$C$2:$T$20,15,false)*HLOOKUP($K186,'Type Chart'!$C$2:$U$20,15,false)</f>
        <v>2</v>
      </c>
      <c r="AI186" s="960">
        <f t="array" ref="AI186">HLOOKUP($J186,'Type Chart'!$C$2:$T$20,16,false)*HLOOKUP($K186,'Type Chart'!$C$2:$U$20,16,false)</f>
        <v>1</v>
      </c>
      <c r="AJ186" s="960">
        <f t="array" ref="AJ186">HLOOKUP($J186,'Type Chart'!$C$2:$T$20,17,false)*HLOOKUP($K186,'Type Chart'!$C$2:$U$20,17,false)</f>
        <v>1</v>
      </c>
      <c r="AK186" s="960">
        <f t="array" ref="AK186">HLOOKUP($J186,'Type Chart'!$C$2:$T$20,18,false)*HLOOKUP($K186,'Type Chart'!$C$2:$U$20,18,false)</f>
        <v>0.5</v>
      </c>
      <c r="AL186" s="960">
        <f t="array" ref="AL186">HLOOKUP($J186,'Type Chart'!$C$2:$T$20,19,false)*HLOOKUP($K186,'Type Chart'!$C$2:$U$20,19,false)</f>
        <v>2</v>
      </c>
      <c r="AM186" s="1145"/>
      <c r="AN186" s="965"/>
      <c r="AO186" s="1146"/>
      <c r="AP186" s="936"/>
      <c r="AQ186" s="967"/>
      <c r="AR186" s="968"/>
      <c r="AS186" s="936"/>
    </row>
    <row r="187" ht="15.75" customHeight="1">
      <c r="A187" s="936"/>
      <c r="B187" s="948" t="s">
        <v>1586</v>
      </c>
      <c r="C187" s="950" t="s">
        <v>1587</v>
      </c>
      <c r="D187" s="950" t="s">
        <v>1588</v>
      </c>
      <c r="E187" s="952" t="s">
        <v>1587</v>
      </c>
      <c r="F187" s="940"/>
      <c r="G187" s="953"/>
      <c r="H187" s="969"/>
      <c r="I187" s="1226" t="s">
        <v>548</v>
      </c>
      <c r="J187" s="1213" t="s">
        <v>341</v>
      </c>
      <c r="K187" s="982" t="s">
        <v>150</v>
      </c>
      <c r="L187" s="959">
        <v>75.0</v>
      </c>
      <c r="M187" s="960">
        <v>110.0</v>
      </c>
      <c r="N187" s="960">
        <v>105.0</v>
      </c>
      <c r="O187" s="960">
        <v>30.0</v>
      </c>
      <c r="P187" s="960">
        <v>70.0</v>
      </c>
      <c r="Q187" s="960">
        <v>100.0</v>
      </c>
      <c r="R187" s="960">
        <v>236.0</v>
      </c>
      <c r="S187" s="960">
        <v>299.0</v>
      </c>
      <c r="T187" s="960">
        <v>328.0</v>
      </c>
      <c r="U187" s="960">
        <f t="array" ref="U187">HLOOKUP($J187,'Type Chart'!$C$2:$T$20,2,false)*HLOOKUP($K187,'Type Chart'!$C$2:$U$20,2,false)</f>
        <v>1</v>
      </c>
      <c r="V187" s="960">
        <f t="array" ref="V187">HLOOKUP($J187,'Type Chart'!$C$2:$T$20,3,false)*HLOOKUP($K187,'Type Chart'!$C$2:$U$20,3,false)</f>
        <v>1</v>
      </c>
      <c r="W187" s="960">
        <f t="array" ref="W187">HLOOKUP($J187,'Type Chart'!$C$2:$T$20,4,false)*HLOOKUP($K187,'Type Chart'!$C$2:$U$20,4,false)</f>
        <v>2</v>
      </c>
      <c r="X187" s="960">
        <f t="array" ref="X187">HLOOKUP($J187,'Type Chart'!$C$2:$T$20,5,false)*HLOOKUP($K187,'Type Chart'!$C$2:$U$20,5,false)</f>
        <v>1</v>
      </c>
      <c r="Y187" s="960">
        <f t="array" ref="Y187">HLOOKUP($J187,'Type Chart'!$C$2:$T$20,6,false)*HLOOKUP($K187,'Type Chart'!$C$2:$U$20,6,false)</f>
        <v>2</v>
      </c>
      <c r="Z187" s="960">
        <f t="array" ref="Z187">HLOOKUP($J187,'Type Chart'!$C$2:$T$20,7,false)*HLOOKUP($K187,'Type Chart'!$C$2:$U$20,7,false)</f>
        <v>1</v>
      </c>
      <c r="AA187" s="960">
        <f t="array" ref="AA187">HLOOKUP($J187,'Type Chart'!$C$2:$T$20,8,false)*HLOOKUP($K187,'Type Chart'!$C$2:$U$20,8,false)</f>
        <v>0.25</v>
      </c>
      <c r="AB187" s="960">
        <f t="array" ref="AB187">HLOOKUP($J187,'Type Chart'!$C$2:$T$20,9,false)*HLOOKUP($K187,'Type Chart'!$C$2:$U$20,9,false)</f>
        <v>1</v>
      </c>
      <c r="AC187" s="960">
        <f t="array" ref="AC187">HLOOKUP($J187,'Type Chart'!$C$2:$T$20,10,false)*HLOOKUP($K187,'Type Chart'!$C$2:$U$20,10,false)</f>
        <v>0.5</v>
      </c>
      <c r="AD187" s="960">
        <f t="array" ref="AD187">HLOOKUP($J187,'Type Chart'!$C$2:$T$20,11,false)*HLOOKUP($K187,'Type Chart'!$C$2:$U$20,11,false)</f>
        <v>0.5</v>
      </c>
      <c r="AE187" s="960">
        <f t="array" ref="AE187">HLOOKUP($J187,'Type Chart'!$C$2:$T$20,12,false)*HLOOKUP($K187,'Type Chart'!$C$2:$U$20,12,false)</f>
        <v>2</v>
      </c>
      <c r="AF187" s="960">
        <f t="array" ref="AF187">HLOOKUP($J187,'Type Chart'!$C$2:$T$20,13,false)*HLOOKUP($K187,'Type Chart'!$C$2:$U$20,13,false)</f>
        <v>0.5</v>
      </c>
      <c r="AG187" s="960">
        <f t="array" ref="AG187">HLOOKUP($J187,'Type Chart'!$C$2:$T$20,14,false)*HLOOKUP($K187,'Type Chart'!$C$2:$U$20,14,false)</f>
        <v>1</v>
      </c>
      <c r="AH187" s="960">
        <f t="array" ref="AH187">HLOOKUP($J187,'Type Chart'!$C$2:$T$20,15,false)*HLOOKUP($K187,'Type Chart'!$C$2:$U$20,15,false)</f>
        <v>2</v>
      </c>
      <c r="AI187" s="960">
        <f t="array" ref="AI187">HLOOKUP($J187,'Type Chart'!$C$2:$T$20,16,false)*HLOOKUP($K187,'Type Chart'!$C$2:$U$20,16,false)</f>
        <v>0.5</v>
      </c>
      <c r="AJ187" s="960">
        <f t="array" ref="AJ187">HLOOKUP($J187,'Type Chart'!$C$2:$T$20,17,false)*HLOOKUP($K187,'Type Chart'!$C$2:$U$20,17,false)</f>
        <v>1</v>
      </c>
      <c r="AK187" s="960">
        <f t="array" ref="AK187">HLOOKUP($J187,'Type Chart'!$C$2:$T$20,18,false)*HLOOKUP($K187,'Type Chart'!$C$2:$U$20,18,false)</f>
        <v>0.5</v>
      </c>
      <c r="AL187" s="960">
        <f t="array" ref="AL187">HLOOKUP($J187,'Type Chart'!$C$2:$T$20,19,false)*HLOOKUP($K187,'Type Chart'!$C$2:$U$20,19,false)</f>
        <v>1</v>
      </c>
      <c r="AM187" s="964"/>
      <c r="AN187" s="965"/>
      <c r="AO187" s="966"/>
      <c r="AP187" s="936"/>
      <c r="AQ187" s="967"/>
      <c r="AR187" s="968"/>
      <c r="AS187" s="936"/>
    </row>
    <row r="188" ht="15.75" customHeight="1">
      <c r="A188" s="936"/>
      <c r="B188" s="948" t="s">
        <v>1589</v>
      </c>
      <c r="C188" s="950" t="s">
        <v>1590</v>
      </c>
      <c r="D188" s="950" t="s">
        <v>1591</v>
      </c>
      <c r="E188" s="952" t="s">
        <v>1590</v>
      </c>
      <c r="F188" s="940"/>
      <c r="G188" s="953"/>
      <c r="H188" s="969"/>
      <c r="I188" s="1226" t="s">
        <v>513</v>
      </c>
      <c r="J188" s="1213" t="s">
        <v>341</v>
      </c>
      <c r="K188" s="1056" t="s">
        <v>81</v>
      </c>
      <c r="L188" s="959">
        <v>75.0</v>
      </c>
      <c r="M188" s="960">
        <v>110.0</v>
      </c>
      <c r="N188" s="960">
        <v>105.0</v>
      </c>
      <c r="O188" s="960">
        <v>30.0</v>
      </c>
      <c r="P188" s="960">
        <v>70.0</v>
      </c>
      <c r="Q188" s="960">
        <v>100.0</v>
      </c>
      <c r="R188" s="960">
        <v>236.0</v>
      </c>
      <c r="S188" s="960">
        <v>299.0</v>
      </c>
      <c r="T188" s="960">
        <v>328.0</v>
      </c>
      <c r="U188" s="960">
        <f t="array" ref="U188">HLOOKUP($J188,'Type Chart'!$C$2:$T$20,2,false)*HLOOKUP($K188,'Type Chart'!$C$2:$U$20,2,false)</f>
        <v>1</v>
      </c>
      <c r="V188" s="960">
        <f t="array" ref="V188">HLOOKUP($J188,'Type Chart'!$C$2:$T$20,3,false)*HLOOKUP($K188,'Type Chart'!$C$2:$U$20,3,false)</f>
        <v>1</v>
      </c>
      <c r="W188" s="960">
        <f t="array" ref="W188">HLOOKUP($J188,'Type Chart'!$C$2:$T$20,4,false)*HLOOKUP($K188,'Type Chart'!$C$2:$U$20,4,false)</f>
        <v>2</v>
      </c>
      <c r="X188" s="960">
        <f t="array" ref="X188">HLOOKUP($J188,'Type Chart'!$C$2:$T$20,5,false)*HLOOKUP($K188,'Type Chart'!$C$2:$U$20,5,false)</f>
        <v>1</v>
      </c>
      <c r="Y188" s="960">
        <f t="array" ref="Y188">HLOOKUP($J188,'Type Chart'!$C$2:$T$20,6,false)*HLOOKUP($K188,'Type Chart'!$C$2:$U$20,6,false)</f>
        <v>1</v>
      </c>
      <c r="Z188" s="960">
        <f t="array" ref="Z188">HLOOKUP($J188,'Type Chart'!$C$2:$T$20,7,false)*HLOOKUP($K188,'Type Chart'!$C$2:$U$20,7,false)</f>
        <v>0.5</v>
      </c>
      <c r="AA188" s="960">
        <f t="array" ref="AA188">HLOOKUP($J188,'Type Chart'!$C$2:$T$20,8,false)*HLOOKUP($K188,'Type Chart'!$C$2:$U$20,8,false)</f>
        <v>0.5</v>
      </c>
      <c r="AB188" s="960">
        <f t="array" ref="AB188">HLOOKUP($J188,'Type Chart'!$C$2:$T$20,9,false)*HLOOKUP($K188,'Type Chart'!$C$2:$U$20,9,false)</f>
        <v>1</v>
      </c>
      <c r="AC188" s="960">
        <f t="array" ref="AC188">HLOOKUP($J188,'Type Chart'!$C$2:$T$20,10,false)*HLOOKUP($K188,'Type Chart'!$C$2:$U$20,10,false)</f>
        <v>0.5</v>
      </c>
      <c r="AD188" s="960">
        <f t="array" ref="AD188">HLOOKUP($J188,'Type Chart'!$C$2:$T$20,11,false)*HLOOKUP($K188,'Type Chart'!$C$2:$U$20,11,false)</f>
        <v>0.5</v>
      </c>
      <c r="AE188" s="960">
        <f t="array" ref="AE188">HLOOKUP($J188,'Type Chart'!$C$2:$T$20,12,false)*HLOOKUP($K188,'Type Chart'!$C$2:$U$20,12,false)</f>
        <v>0.5</v>
      </c>
      <c r="AF188" s="960">
        <f t="array" ref="AF188">HLOOKUP($J188,'Type Chart'!$C$2:$T$20,13,false)*HLOOKUP($K188,'Type Chart'!$C$2:$U$20,13,false)</f>
        <v>2</v>
      </c>
      <c r="AG188" s="960">
        <f t="array" ref="AG188">HLOOKUP($J188,'Type Chart'!$C$2:$T$20,14,false)*HLOOKUP($K188,'Type Chart'!$C$2:$U$20,14,false)</f>
        <v>2</v>
      </c>
      <c r="AH188" s="960">
        <f t="array" ref="AH188">HLOOKUP($J188,'Type Chart'!$C$2:$T$20,15,false)*HLOOKUP($K188,'Type Chart'!$C$2:$U$20,15,false)</f>
        <v>2</v>
      </c>
      <c r="AI188" s="960">
        <f t="array" ref="AI188">HLOOKUP($J188,'Type Chart'!$C$2:$T$20,16,false)*HLOOKUP($K188,'Type Chart'!$C$2:$U$20,16,false)</f>
        <v>0.5</v>
      </c>
      <c r="AJ188" s="960">
        <f t="array" ref="AJ188">HLOOKUP($J188,'Type Chart'!$C$2:$T$20,17,false)*HLOOKUP($K188,'Type Chart'!$C$2:$U$20,17,false)</f>
        <v>1</v>
      </c>
      <c r="AK188" s="960">
        <f t="array" ref="AK188">HLOOKUP($J188,'Type Chart'!$C$2:$T$20,18,false)*HLOOKUP($K188,'Type Chart'!$C$2:$U$20,18,false)</f>
        <v>0.5</v>
      </c>
      <c r="AL188" s="960">
        <f t="array" ref="AL188">HLOOKUP($J188,'Type Chart'!$C$2:$T$20,19,false)*HLOOKUP($K188,'Type Chart'!$C$2:$U$20,19,false)</f>
        <v>2</v>
      </c>
      <c r="AM188" s="964"/>
      <c r="AN188" s="965"/>
      <c r="AO188" s="966"/>
      <c r="AP188" s="936"/>
      <c r="AQ188" s="967"/>
      <c r="AR188" s="968"/>
      <c r="AS188" s="936"/>
    </row>
    <row r="189" ht="15.75" customHeight="1">
      <c r="A189" s="936"/>
      <c r="B189" s="948" t="s">
        <v>1592</v>
      </c>
      <c r="C189" s="950" t="s">
        <v>1593</v>
      </c>
      <c r="D189" s="950" t="s">
        <v>1593</v>
      </c>
      <c r="E189" s="952" t="s">
        <v>1593</v>
      </c>
      <c r="F189" s="940"/>
      <c r="G189" s="953"/>
      <c r="H189" s="969"/>
      <c r="I189" s="956" t="s">
        <v>221</v>
      </c>
      <c r="J189" s="1056" t="s">
        <v>81</v>
      </c>
      <c r="K189" s="984" t="s">
        <v>216</v>
      </c>
      <c r="L189" s="959">
        <v>20.0</v>
      </c>
      <c r="M189" s="960">
        <v>10.0</v>
      </c>
      <c r="N189" s="960">
        <v>55.0</v>
      </c>
      <c r="O189" s="960">
        <v>15.0</v>
      </c>
      <c r="P189" s="960">
        <v>20.0</v>
      </c>
      <c r="Q189" s="960">
        <v>80.0</v>
      </c>
      <c r="R189" s="960">
        <v>196.0</v>
      </c>
      <c r="S189" s="960">
        <v>259.0</v>
      </c>
      <c r="T189" s="960">
        <v>284.0</v>
      </c>
      <c r="U189" s="960">
        <f t="array" ref="U189">HLOOKUP($J189,'Type Chart'!$C$2:$T$20,2,false)*HLOOKUP($K189,'Type Chart'!$C$2:$U$20,2,false)</f>
        <v>1</v>
      </c>
      <c r="V189" s="960">
        <f t="array" ref="V189">HLOOKUP($J189,'Type Chart'!$C$2:$T$20,3,false)*HLOOKUP($K189,'Type Chart'!$C$2:$U$20,3,false)</f>
        <v>1</v>
      </c>
      <c r="W189" s="960">
        <f t="array" ref="W189">HLOOKUP($J189,'Type Chart'!$C$2:$T$20,4,false)*HLOOKUP($K189,'Type Chart'!$C$2:$U$20,4,false)</f>
        <v>1</v>
      </c>
      <c r="X189" s="960">
        <f t="array" ref="X189">HLOOKUP($J189,'Type Chart'!$C$2:$T$20,5,false)*HLOOKUP($K189,'Type Chart'!$C$2:$U$20,5,false)</f>
        <v>1</v>
      </c>
      <c r="Y189" s="960">
        <f t="array" ref="Y189">HLOOKUP($J189,'Type Chart'!$C$2:$T$20,6,false)*HLOOKUP($K189,'Type Chart'!$C$2:$U$20,6,false)</f>
        <v>1</v>
      </c>
      <c r="Z189" s="960">
        <f t="array" ref="Z189">HLOOKUP($J189,'Type Chart'!$C$2:$T$20,7,false)*HLOOKUP($K189,'Type Chart'!$C$2:$U$20,7,false)</f>
        <v>1</v>
      </c>
      <c r="AA189" s="960">
        <f t="array" ref="AA189">HLOOKUP($J189,'Type Chart'!$C$2:$T$20,8,false)*HLOOKUP($K189,'Type Chart'!$C$2:$U$20,8,false)</f>
        <v>1</v>
      </c>
      <c r="AB189" s="960">
        <f t="array" ref="AB189">HLOOKUP($J189,'Type Chart'!$C$2:$T$20,9,false)*HLOOKUP($K189,'Type Chart'!$C$2:$U$20,9,false)</f>
        <v>1</v>
      </c>
      <c r="AC189" s="960">
        <f t="array" ref="AC189">HLOOKUP($J189,'Type Chart'!$C$2:$T$20,10,false)*HLOOKUP($K189,'Type Chart'!$C$2:$U$20,10,false)</f>
        <v>0.5</v>
      </c>
      <c r="AD189" s="960">
        <f t="array" ref="AD189">HLOOKUP($J189,'Type Chart'!$C$2:$T$20,11,false)*HLOOKUP($K189,'Type Chart'!$C$2:$U$20,11,false)</f>
        <v>0.5</v>
      </c>
      <c r="AE189" s="960">
        <f t="array" ref="AE189">HLOOKUP($J189,'Type Chart'!$C$2:$T$20,12,false)*HLOOKUP($K189,'Type Chart'!$C$2:$U$20,12,false)</f>
        <v>0.5</v>
      </c>
      <c r="AF189" s="960">
        <f t="array" ref="AF189">HLOOKUP($J189,'Type Chart'!$C$2:$T$20,13,false)*HLOOKUP($K189,'Type Chart'!$C$2:$U$20,13,false)</f>
        <v>2</v>
      </c>
      <c r="AG189" s="960">
        <f t="array" ref="AG189">HLOOKUP($J189,'Type Chart'!$C$2:$T$20,14,false)*HLOOKUP($K189,'Type Chart'!$C$2:$U$20,14,false)</f>
        <v>2</v>
      </c>
      <c r="AH189" s="960">
        <f t="array" ref="AH189">HLOOKUP($J189,'Type Chart'!$C$2:$T$20,15,false)*HLOOKUP($K189,'Type Chart'!$C$2:$U$20,15,false)</f>
        <v>1</v>
      </c>
      <c r="AI189" s="960">
        <f t="array" ref="AI189">HLOOKUP($J189,'Type Chart'!$C$2:$T$20,16,false)*HLOOKUP($K189,'Type Chart'!$C$2:$U$20,16,false)</f>
        <v>0.5</v>
      </c>
      <c r="AJ189" s="960">
        <f t="array" ref="AJ189">HLOOKUP($J189,'Type Chart'!$C$2:$T$20,17,false)*HLOOKUP($K189,'Type Chart'!$C$2:$U$20,17,false)</f>
        <v>1</v>
      </c>
      <c r="AK189" s="960">
        <f t="array" ref="AK189">HLOOKUP($J189,'Type Chart'!$C$2:$T$20,18,false)*HLOOKUP($K189,'Type Chart'!$C$2:$U$20,18,false)</f>
        <v>1</v>
      </c>
      <c r="AL189" s="960">
        <f t="array" ref="AL189">HLOOKUP($J189,'Type Chart'!$C$2:$T$20,19,false)*HLOOKUP($K189,'Type Chart'!$C$2:$U$20,19,false)</f>
        <v>1</v>
      </c>
      <c r="AM189" s="964" t="s">
        <v>1259</v>
      </c>
      <c r="AN189" s="965"/>
      <c r="AO189" s="966" t="s">
        <v>1243</v>
      </c>
      <c r="AP189" s="936"/>
      <c r="AQ189" s="967"/>
      <c r="AR189" s="968"/>
      <c r="AS189" s="936"/>
    </row>
    <row r="190" ht="15.75" customHeight="1">
      <c r="A190" s="936"/>
      <c r="B190" s="948" t="s">
        <v>1594</v>
      </c>
      <c r="C190" s="950" t="s">
        <v>1595</v>
      </c>
      <c r="D190" s="950" t="s">
        <v>1595</v>
      </c>
      <c r="E190" s="952" t="s">
        <v>1595</v>
      </c>
      <c r="F190" s="940"/>
      <c r="G190" s="953"/>
      <c r="H190" s="969"/>
      <c r="I190" s="956" t="s">
        <v>566</v>
      </c>
      <c r="J190" s="1056" t="s">
        <v>81</v>
      </c>
      <c r="K190" s="1001" t="s">
        <v>128</v>
      </c>
      <c r="L190" s="959">
        <v>95.0</v>
      </c>
      <c r="M190" s="960">
        <v>125.0</v>
      </c>
      <c r="N190" s="960">
        <v>79.0</v>
      </c>
      <c r="O190" s="960">
        <v>60.0</v>
      </c>
      <c r="P190" s="960">
        <v>100.0</v>
      </c>
      <c r="Q190" s="960">
        <v>81.0</v>
      </c>
      <c r="R190" s="960">
        <v>198.0</v>
      </c>
      <c r="S190" s="960">
        <v>261.0</v>
      </c>
      <c r="T190" s="960">
        <v>287.0</v>
      </c>
      <c r="U190" s="960">
        <f t="array" ref="U190">HLOOKUP($J190,'Type Chart'!$C$2:$T$20,2,false)*HLOOKUP($K190,'Type Chart'!$C$2:$U$20,2,false)</f>
        <v>1</v>
      </c>
      <c r="V190" s="960">
        <f t="array" ref="V190">HLOOKUP($J190,'Type Chart'!$C$2:$T$20,3,false)*HLOOKUP($K190,'Type Chart'!$C$2:$U$20,3,false)</f>
        <v>0.5</v>
      </c>
      <c r="W190" s="960">
        <f t="array" ref="W190">HLOOKUP($J190,'Type Chart'!$C$2:$T$20,4,false)*HLOOKUP($K190,'Type Chart'!$C$2:$U$20,4,false)</f>
        <v>1</v>
      </c>
      <c r="X190" s="960">
        <f t="array" ref="X190">HLOOKUP($J190,'Type Chart'!$C$2:$T$20,5,false)*HLOOKUP($K190,'Type Chart'!$C$2:$U$20,5,false)</f>
        <v>1</v>
      </c>
      <c r="Y190" s="960">
        <f t="array" ref="Y190">HLOOKUP($J190,'Type Chart'!$C$2:$T$20,6,false)*HLOOKUP($K190,'Type Chart'!$C$2:$U$20,6,false)</f>
        <v>0</v>
      </c>
      <c r="Z190" s="960">
        <f t="array" ref="Z190">HLOOKUP($J190,'Type Chart'!$C$2:$T$20,7,false)*HLOOKUP($K190,'Type Chart'!$C$2:$U$20,7,false)</f>
        <v>2</v>
      </c>
      <c r="AA190" s="960">
        <f t="array" ref="AA190">HLOOKUP($J190,'Type Chart'!$C$2:$T$20,8,false)*HLOOKUP($K190,'Type Chart'!$C$2:$U$20,8,false)</f>
        <v>0.5</v>
      </c>
      <c r="AB190" s="960">
        <f t="array" ref="AB190">HLOOKUP($J190,'Type Chart'!$C$2:$T$20,9,false)*HLOOKUP($K190,'Type Chart'!$C$2:$U$20,9,false)</f>
        <v>1</v>
      </c>
      <c r="AC190" s="960">
        <f t="array" ref="AC190">HLOOKUP($J190,'Type Chart'!$C$2:$T$20,10,false)*HLOOKUP($K190,'Type Chart'!$C$2:$U$20,10,false)</f>
        <v>0.5</v>
      </c>
      <c r="AD190" s="960">
        <f t="array" ref="AD190">HLOOKUP($J190,'Type Chart'!$C$2:$T$20,11,false)*HLOOKUP($K190,'Type Chart'!$C$2:$U$20,11,false)</f>
        <v>0.5</v>
      </c>
      <c r="AE190" s="960">
        <f t="array" ref="AE190">HLOOKUP($J190,'Type Chart'!$C$2:$T$20,12,false)*HLOOKUP($K190,'Type Chart'!$C$2:$U$20,12,false)</f>
        <v>0.5</v>
      </c>
      <c r="AF190" s="960">
        <f t="array" ref="AF190">HLOOKUP($J190,'Type Chart'!$C$2:$T$20,13,false)*HLOOKUP($K190,'Type Chart'!$C$2:$U$20,13,false)</f>
        <v>1</v>
      </c>
      <c r="AG190" s="960">
        <f t="array" ref="AG190">HLOOKUP($J190,'Type Chart'!$C$2:$T$20,14,false)*HLOOKUP($K190,'Type Chart'!$C$2:$U$20,14,false)</f>
        <v>4</v>
      </c>
      <c r="AH190" s="960">
        <f t="array" ref="AH190">HLOOKUP($J190,'Type Chart'!$C$2:$T$20,15,false)*HLOOKUP($K190,'Type Chart'!$C$2:$U$20,15,false)</f>
        <v>1</v>
      </c>
      <c r="AI190" s="960">
        <f t="array" ref="AI190">HLOOKUP($J190,'Type Chart'!$C$2:$T$20,16,false)*HLOOKUP($K190,'Type Chart'!$C$2:$U$20,16,false)</f>
        <v>1</v>
      </c>
      <c r="AJ190" s="960">
        <f t="array" ref="AJ190">HLOOKUP($J190,'Type Chart'!$C$2:$T$20,17,false)*HLOOKUP($K190,'Type Chart'!$C$2:$U$20,17,false)</f>
        <v>1</v>
      </c>
      <c r="AK190" s="960">
        <f t="array" ref="AK190">HLOOKUP($J190,'Type Chart'!$C$2:$T$20,18,false)*HLOOKUP($K190,'Type Chart'!$C$2:$U$20,18,false)</f>
        <v>1</v>
      </c>
      <c r="AL190" s="960">
        <f t="array" ref="AL190">HLOOKUP($J190,'Type Chart'!$C$2:$T$20,19,false)*HLOOKUP($K190,'Type Chart'!$C$2:$U$20,19,false)</f>
        <v>1</v>
      </c>
      <c r="AM190" s="964" t="s">
        <v>1061</v>
      </c>
      <c r="AN190" s="965"/>
      <c r="AO190" s="966" t="s">
        <v>1577</v>
      </c>
      <c r="AP190" s="936"/>
      <c r="AQ190" s="967"/>
      <c r="AR190" s="968"/>
      <c r="AS190" s="936"/>
    </row>
    <row r="191" ht="15.75" customHeight="1">
      <c r="A191" s="936"/>
      <c r="B191" s="948" t="s">
        <v>1596</v>
      </c>
      <c r="C191" s="950" t="s">
        <v>1597</v>
      </c>
      <c r="D191" s="950" t="s">
        <v>1597</v>
      </c>
      <c r="E191" s="952" t="s">
        <v>1597</v>
      </c>
      <c r="F191" s="940"/>
      <c r="G191" s="953"/>
      <c r="H191" s="969"/>
      <c r="I191" s="956" t="s">
        <v>1598</v>
      </c>
      <c r="J191" s="1056" t="s">
        <v>81</v>
      </c>
      <c r="K191" s="1195" t="s">
        <v>193</v>
      </c>
      <c r="L191" s="959">
        <v>95.0</v>
      </c>
      <c r="M191" s="960">
        <v>155.0</v>
      </c>
      <c r="N191" s="960">
        <v>109.0</v>
      </c>
      <c r="O191" s="960">
        <v>70.0</v>
      </c>
      <c r="P191" s="960">
        <v>130.0</v>
      </c>
      <c r="Q191" s="960">
        <v>81.0</v>
      </c>
      <c r="R191" s="960">
        <v>198.0</v>
      </c>
      <c r="S191" s="960">
        <v>261.0</v>
      </c>
      <c r="T191" s="960">
        <v>287.0</v>
      </c>
      <c r="U191" s="960">
        <f t="array" ref="U191">HLOOKUP($J191,'Type Chart'!$C$2:$T$20,2,false)*HLOOKUP($K191,'Type Chart'!$C$2:$U$20,2,false)</f>
        <v>1</v>
      </c>
      <c r="V191" s="960">
        <f t="array" ref="V191">HLOOKUP($J191,'Type Chart'!$C$2:$T$20,3,false)*HLOOKUP($K191,'Type Chart'!$C$2:$U$20,3,false)</f>
        <v>2</v>
      </c>
      <c r="W191" s="960">
        <f t="array" ref="W191">HLOOKUP($J191,'Type Chart'!$C$2:$T$20,4,false)*HLOOKUP($K191,'Type Chart'!$C$2:$U$20,4,false)</f>
        <v>1</v>
      </c>
      <c r="X191" s="960">
        <f t="array" ref="X191">HLOOKUP($J191,'Type Chart'!$C$2:$T$20,5,false)*HLOOKUP($K191,'Type Chart'!$C$2:$U$20,5,false)</f>
        <v>1</v>
      </c>
      <c r="Y191" s="960">
        <f t="array" ref="Y191">HLOOKUP($J191,'Type Chart'!$C$2:$T$20,6,false)*HLOOKUP($K191,'Type Chart'!$C$2:$U$20,6,false)</f>
        <v>1</v>
      </c>
      <c r="Z191" s="960">
        <f t="array" ref="Z191">HLOOKUP($J191,'Type Chart'!$C$2:$T$20,7,false)*HLOOKUP($K191,'Type Chart'!$C$2:$U$20,7,false)</f>
        <v>1</v>
      </c>
      <c r="AA191" s="960">
        <f t="array" ref="AA191">HLOOKUP($J191,'Type Chart'!$C$2:$T$20,8,false)*HLOOKUP($K191,'Type Chart'!$C$2:$U$20,8,false)</f>
        <v>2</v>
      </c>
      <c r="AB191" s="960">
        <f t="array" ref="AB191">HLOOKUP($J191,'Type Chart'!$C$2:$T$20,9,false)*HLOOKUP($K191,'Type Chart'!$C$2:$U$20,9,false)</f>
        <v>0.5</v>
      </c>
      <c r="AC191" s="960">
        <f t="array" ref="AC191">HLOOKUP($J191,'Type Chart'!$C$2:$T$20,10,false)*HLOOKUP($K191,'Type Chart'!$C$2:$U$20,10,false)</f>
        <v>0.5</v>
      </c>
      <c r="AD191" s="960">
        <f t="array" ref="AD191">HLOOKUP($J191,'Type Chart'!$C$2:$T$20,11,false)*HLOOKUP($K191,'Type Chart'!$C$2:$U$20,11,false)</f>
        <v>0.5</v>
      </c>
      <c r="AE191" s="960">
        <f t="array" ref="AE191">HLOOKUP($J191,'Type Chart'!$C$2:$T$20,12,false)*HLOOKUP($K191,'Type Chart'!$C$2:$U$20,12,false)</f>
        <v>0.5</v>
      </c>
      <c r="AF191" s="960">
        <f t="array" ref="AF191">HLOOKUP($J191,'Type Chart'!$C$2:$T$20,13,false)*HLOOKUP($K191,'Type Chart'!$C$2:$U$20,13,false)</f>
        <v>2</v>
      </c>
      <c r="AG191" s="960">
        <f t="array" ref="AG191">HLOOKUP($J191,'Type Chart'!$C$2:$T$20,14,false)*HLOOKUP($K191,'Type Chart'!$C$2:$U$20,14,false)</f>
        <v>2</v>
      </c>
      <c r="AH191" s="960">
        <f t="array" ref="AH191">HLOOKUP($J191,'Type Chart'!$C$2:$T$20,15,false)*HLOOKUP($K191,'Type Chart'!$C$2:$U$20,15,false)</f>
        <v>0</v>
      </c>
      <c r="AI191" s="960">
        <f t="array" ref="AI191">HLOOKUP($J191,'Type Chart'!$C$2:$T$20,16,false)*HLOOKUP($K191,'Type Chart'!$C$2:$U$20,16,false)</f>
        <v>0.5</v>
      </c>
      <c r="AJ191" s="960">
        <f t="array" ref="AJ191">HLOOKUP($J191,'Type Chart'!$C$2:$T$20,17,false)*HLOOKUP($K191,'Type Chart'!$C$2:$U$20,17,false)</f>
        <v>1</v>
      </c>
      <c r="AK191" s="960">
        <f t="array" ref="AK191">HLOOKUP($J191,'Type Chart'!$C$2:$T$20,18,false)*HLOOKUP($K191,'Type Chart'!$C$2:$U$20,18,false)</f>
        <v>0.5</v>
      </c>
      <c r="AL191" s="960">
        <f t="array" ref="AL191">HLOOKUP($J191,'Type Chart'!$C$2:$T$20,19,false)*HLOOKUP($K191,'Type Chart'!$C$2:$U$20,19,false)</f>
        <v>2</v>
      </c>
      <c r="AM191" s="964" t="s">
        <v>1576</v>
      </c>
      <c r="AN191" s="965"/>
      <c r="AO191" s="966"/>
      <c r="AP191" s="936"/>
      <c r="AQ191" s="967"/>
      <c r="AR191" s="968"/>
      <c r="AS191" s="936"/>
    </row>
    <row r="192" ht="15.75" customHeight="1">
      <c r="A192" s="936"/>
      <c r="B192" s="948" t="s">
        <v>1599</v>
      </c>
      <c r="C192" s="950" t="s">
        <v>1600</v>
      </c>
      <c r="D192" s="950" t="s">
        <v>1600</v>
      </c>
      <c r="E192" s="952" t="s">
        <v>1600</v>
      </c>
      <c r="F192" s="940"/>
      <c r="G192" s="953"/>
      <c r="H192" s="969"/>
      <c r="I192" s="956" t="s">
        <v>734</v>
      </c>
      <c r="J192" s="1056" t="s">
        <v>81</v>
      </c>
      <c r="K192" s="1205" t="s">
        <v>345</v>
      </c>
      <c r="L192" s="959">
        <v>130.0</v>
      </c>
      <c r="M192" s="960">
        <v>85.0</v>
      </c>
      <c r="N192" s="960">
        <v>80.0</v>
      </c>
      <c r="O192" s="960">
        <v>85.0</v>
      </c>
      <c r="P192" s="960">
        <v>95.0</v>
      </c>
      <c r="Q192" s="960">
        <v>60.0</v>
      </c>
      <c r="R192" s="960">
        <v>156.0</v>
      </c>
      <c r="S192" s="960">
        <v>219.0</v>
      </c>
      <c r="T192" s="960">
        <v>240.0</v>
      </c>
      <c r="U192" s="960">
        <f t="array" ref="U192">HLOOKUP($J192,'Type Chart'!$C$2:$T$20,2,false)*HLOOKUP($K192,'Type Chart'!$C$2:$U$20,2,false)</f>
        <v>1</v>
      </c>
      <c r="V192" s="960">
        <f t="array" ref="V192">HLOOKUP($J192,'Type Chart'!$C$2:$T$20,3,false)*HLOOKUP($K192,'Type Chart'!$C$2:$U$20,3,false)</f>
        <v>2</v>
      </c>
      <c r="W192" s="960">
        <f t="array" ref="W192">HLOOKUP($J192,'Type Chart'!$C$2:$T$20,4,false)*HLOOKUP($K192,'Type Chart'!$C$2:$U$20,4,false)</f>
        <v>1</v>
      </c>
      <c r="X192" s="960">
        <f t="array" ref="X192">HLOOKUP($J192,'Type Chart'!$C$2:$T$20,5,false)*HLOOKUP($K192,'Type Chart'!$C$2:$U$20,5,false)</f>
        <v>1</v>
      </c>
      <c r="Y192" s="960">
        <f t="array" ref="Y192">HLOOKUP($J192,'Type Chart'!$C$2:$T$20,6,false)*HLOOKUP($K192,'Type Chart'!$C$2:$U$20,6,false)</f>
        <v>1</v>
      </c>
      <c r="Z192" s="960">
        <f t="array" ref="Z192">HLOOKUP($J192,'Type Chart'!$C$2:$T$20,7,false)*HLOOKUP($K192,'Type Chart'!$C$2:$U$20,7,false)</f>
        <v>2</v>
      </c>
      <c r="AA192" s="960">
        <f t="array" ref="AA192">HLOOKUP($J192,'Type Chart'!$C$2:$T$20,8,false)*HLOOKUP($K192,'Type Chart'!$C$2:$U$20,8,false)</f>
        <v>1</v>
      </c>
      <c r="AB192" s="960">
        <f t="array" ref="AB192">HLOOKUP($J192,'Type Chart'!$C$2:$T$20,9,false)*HLOOKUP($K192,'Type Chart'!$C$2:$U$20,9,false)</f>
        <v>1</v>
      </c>
      <c r="AC192" s="960">
        <f t="array" ref="AC192">HLOOKUP($J192,'Type Chart'!$C$2:$T$20,10,false)*HLOOKUP($K192,'Type Chart'!$C$2:$U$20,10,false)</f>
        <v>1</v>
      </c>
      <c r="AD192" s="960">
        <f t="array" ref="AD192">HLOOKUP($J192,'Type Chart'!$C$2:$T$20,11,false)*HLOOKUP($K192,'Type Chart'!$C$2:$U$20,11,false)</f>
        <v>1</v>
      </c>
      <c r="AE192" s="960">
        <f t="array" ref="AE192">HLOOKUP($J192,'Type Chart'!$C$2:$T$20,12,false)*HLOOKUP($K192,'Type Chart'!$C$2:$U$20,12,false)</f>
        <v>0.5</v>
      </c>
      <c r="AF192" s="960">
        <f t="array" ref="AF192">HLOOKUP($J192,'Type Chart'!$C$2:$T$20,13,false)*HLOOKUP($K192,'Type Chart'!$C$2:$U$20,13,false)</f>
        <v>2</v>
      </c>
      <c r="AG192" s="960">
        <f t="array" ref="AG192">HLOOKUP($J192,'Type Chart'!$C$2:$T$20,14,false)*HLOOKUP($K192,'Type Chart'!$C$2:$U$20,14,false)</f>
        <v>2</v>
      </c>
      <c r="AH192" s="960">
        <f t="array" ref="AH192">HLOOKUP($J192,'Type Chart'!$C$2:$T$20,15,false)*HLOOKUP($K192,'Type Chart'!$C$2:$U$20,15,false)</f>
        <v>1</v>
      </c>
      <c r="AI192" s="960">
        <f t="array" ref="AI192">HLOOKUP($J192,'Type Chart'!$C$2:$T$20,16,false)*HLOOKUP($K192,'Type Chart'!$C$2:$U$20,16,false)</f>
        <v>0.25</v>
      </c>
      <c r="AJ192" s="960">
        <f t="array" ref="AJ192">HLOOKUP($J192,'Type Chart'!$C$2:$T$20,17,false)*HLOOKUP($K192,'Type Chart'!$C$2:$U$20,17,false)</f>
        <v>1</v>
      </c>
      <c r="AK192" s="960">
        <f t="array" ref="AK192">HLOOKUP($J192,'Type Chart'!$C$2:$T$20,18,false)*HLOOKUP($K192,'Type Chart'!$C$2:$U$20,18,false)</f>
        <v>1</v>
      </c>
      <c r="AL192" s="960">
        <f t="array" ref="AL192">HLOOKUP($J192,'Type Chart'!$C$2:$T$20,19,false)*HLOOKUP($K192,'Type Chart'!$C$2:$U$20,19,false)</f>
        <v>1</v>
      </c>
      <c r="AM192" s="964" t="s">
        <v>1283</v>
      </c>
      <c r="AN192" s="965" t="s">
        <v>1385</v>
      </c>
      <c r="AO192" s="966" t="s">
        <v>1409</v>
      </c>
      <c r="AP192" s="936"/>
      <c r="AQ192" s="967"/>
      <c r="AR192" s="968"/>
      <c r="AS192" s="936"/>
    </row>
    <row r="193" ht="15.75" customHeight="1">
      <c r="A193" s="936"/>
      <c r="B193" s="948" t="s">
        <v>1601</v>
      </c>
      <c r="C193" s="950" t="s">
        <v>1602</v>
      </c>
      <c r="D193" s="950" t="s">
        <v>1602</v>
      </c>
      <c r="E193" s="952" t="s">
        <v>1602</v>
      </c>
      <c r="F193" s="940"/>
      <c r="G193" s="953"/>
      <c r="H193" s="969"/>
      <c r="I193" s="956" t="s">
        <v>709</v>
      </c>
      <c r="J193" s="1194" t="s">
        <v>136</v>
      </c>
      <c r="K193" s="984" t="s">
        <v>216</v>
      </c>
      <c r="L193" s="959">
        <v>48.0</v>
      </c>
      <c r="M193" s="960">
        <v>48.0</v>
      </c>
      <c r="N193" s="960">
        <v>48.0</v>
      </c>
      <c r="O193" s="960">
        <v>48.0</v>
      </c>
      <c r="P193" s="960">
        <v>48.0</v>
      </c>
      <c r="Q193" s="960">
        <v>48.0</v>
      </c>
      <c r="R193" s="960">
        <v>132.0</v>
      </c>
      <c r="S193" s="960">
        <v>195.0</v>
      </c>
      <c r="T193" s="960">
        <v>214.0</v>
      </c>
      <c r="U193" s="960">
        <f t="array" ref="U193">HLOOKUP($J193,'Type Chart'!$C$2:$T$20,2,false)*HLOOKUP($K193,'Type Chart'!$C$2:$U$20,2,false)</f>
        <v>1</v>
      </c>
      <c r="V193" s="960">
        <f t="array" ref="V193">HLOOKUP($J193,'Type Chart'!$C$2:$T$20,3,false)*HLOOKUP($K193,'Type Chart'!$C$2:$U$20,3,false)</f>
        <v>2</v>
      </c>
      <c r="W193" s="960">
        <f t="array" ref="W193">HLOOKUP($J193,'Type Chart'!$C$2:$T$20,4,false)*HLOOKUP($K193,'Type Chart'!$C$2:$U$20,4,false)</f>
        <v>1</v>
      </c>
      <c r="X193" s="960">
        <f t="array" ref="X193">HLOOKUP($J193,'Type Chart'!$C$2:$T$20,5,false)*HLOOKUP($K193,'Type Chart'!$C$2:$U$20,5,false)</f>
        <v>1</v>
      </c>
      <c r="Y193" s="960">
        <f t="array" ref="Y193">HLOOKUP($J193,'Type Chart'!$C$2:$T$20,6,false)*HLOOKUP($K193,'Type Chart'!$C$2:$U$20,6,false)</f>
        <v>1</v>
      </c>
      <c r="Z193" s="960">
        <f t="array" ref="Z193">HLOOKUP($J193,'Type Chart'!$C$2:$T$20,7,false)*HLOOKUP($K193,'Type Chart'!$C$2:$U$20,7,false)</f>
        <v>1</v>
      </c>
      <c r="AA193" s="960">
        <f t="array" ref="AA193">HLOOKUP($J193,'Type Chart'!$C$2:$T$20,8,false)*HLOOKUP($K193,'Type Chart'!$C$2:$U$20,8,false)</f>
        <v>1</v>
      </c>
      <c r="AB193" s="960">
        <f t="array" ref="AB193">HLOOKUP($J193,'Type Chart'!$C$2:$T$20,9,false)*HLOOKUP($K193,'Type Chart'!$C$2:$U$20,9,false)</f>
        <v>0</v>
      </c>
      <c r="AC193" s="960">
        <f t="array" ref="AC193">HLOOKUP($J193,'Type Chart'!$C$2:$T$20,10,false)*HLOOKUP($K193,'Type Chart'!$C$2:$U$20,10,false)</f>
        <v>1</v>
      </c>
      <c r="AD193" s="960">
        <f t="array" ref="AD193">HLOOKUP($J193,'Type Chart'!$C$2:$T$20,11,false)*HLOOKUP($K193,'Type Chart'!$C$2:$U$20,11,false)</f>
        <v>1</v>
      </c>
      <c r="AE193" s="960">
        <f t="array" ref="AE193">HLOOKUP($J193,'Type Chart'!$C$2:$T$20,12,false)*HLOOKUP($K193,'Type Chart'!$C$2:$U$20,12,false)</f>
        <v>1</v>
      </c>
      <c r="AF193" s="960">
        <f t="array" ref="AF193">HLOOKUP($J193,'Type Chart'!$C$2:$T$20,13,false)*HLOOKUP($K193,'Type Chart'!$C$2:$U$20,13,false)</f>
        <v>1</v>
      </c>
      <c r="AG193" s="960">
        <f t="array" ref="AG193">HLOOKUP($J193,'Type Chart'!$C$2:$T$20,14,false)*HLOOKUP($K193,'Type Chart'!$C$2:$U$20,14,false)</f>
        <v>1</v>
      </c>
      <c r="AH193" s="960">
        <f t="array" ref="AH193">HLOOKUP($J193,'Type Chart'!$C$2:$T$20,15,false)*HLOOKUP($K193,'Type Chart'!$C$2:$U$20,15,false)</f>
        <v>1</v>
      </c>
      <c r="AI193" s="960">
        <f t="array" ref="AI193">HLOOKUP($J193,'Type Chart'!$C$2:$T$20,16,false)*HLOOKUP($K193,'Type Chart'!$C$2:$U$20,16,false)</f>
        <v>1</v>
      </c>
      <c r="AJ193" s="960">
        <f t="array" ref="AJ193">HLOOKUP($J193,'Type Chart'!$C$2:$T$20,17,false)*HLOOKUP($K193,'Type Chart'!$C$2:$U$20,17,false)</f>
        <v>1</v>
      </c>
      <c r="AK193" s="960">
        <f t="array" ref="AK193">HLOOKUP($J193,'Type Chart'!$C$2:$T$20,18,false)*HLOOKUP($K193,'Type Chart'!$C$2:$U$20,18,false)</f>
        <v>1</v>
      </c>
      <c r="AL193" s="960">
        <f t="array" ref="AL193">HLOOKUP($J193,'Type Chart'!$C$2:$T$20,19,false)*HLOOKUP($K193,'Type Chart'!$C$2:$U$20,19,false)</f>
        <v>1</v>
      </c>
      <c r="AM193" s="964" t="s">
        <v>1250</v>
      </c>
      <c r="AN193" s="965"/>
      <c r="AO193" s="966" t="s">
        <v>1603</v>
      </c>
      <c r="AP193" s="936"/>
      <c r="AQ193" s="967"/>
      <c r="AR193" s="968"/>
      <c r="AS193" s="936"/>
    </row>
    <row r="194" ht="15.75" customHeight="1">
      <c r="A194" s="1099"/>
      <c r="B194" s="948" t="s">
        <v>1604</v>
      </c>
      <c r="C194" s="950" t="s">
        <v>1605</v>
      </c>
      <c r="D194" s="950" t="s">
        <v>1605</v>
      </c>
      <c r="E194" s="952" t="s">
        <v>1605</v>
      </c>
      <c r="F194" s="940"/>
      <c r="G194" s="953"/>
      <c r="H194" s="969"/>
      <c r="I194" s="956" t="s">
        <v>1606</v>
      </c>
      <c r="J194" s="1194" t="s">
        <v>136</v>
      </c>
      <c r="K194" s="984" t="s">
        <v>216</v>
      </c>
      <c r="L194" s="959">
        <v>55.0</v>
      </c>
      <c r="M194" s="960">
        <v>55.0</v>
      </c>
      <c r="N194" s="960">
        <v>50.0</v>
      </c>
      <c r="O194" s="960">
        <v>45.0</v>
      </c>
      <c r="P194" s="960">
        <v>65.0</v>
      </c>
      <c r="Q194" s="960">
        <v>55.0</v>
      </c>
      <c r="R194" s="960">
        <v>146.0</v>
      </c>
      <c r="S194" s="960">
        <v>209.0</v>
      </c>
      <c r="T194" s="960">
        <v>229.0</v>
      </c>
      <c r="U194" s="960">
        <f t="array" ref="U194">HLOOKUP($J194,'Type Chart'!$C$2:$T$20,2,false)*HLOOKUP($K194,'Type Chart'!$C$2:$U$20,2,false)</f>
        <v>1</v>
      </c>
      <c r="V194" s="960">
        <f t="array" ref="V194">HLOOKUP($J194,'Type Chart'!$C$2:$T$20,3,false)*HLOOKUP($K194,'Type Chart'!$C$2:$U$20,3,false)</f>
        <v>2</v>
      </c>
      <c r="W194" s="960">
        <f t="array" ref="W194">HLOOKUP($J194,'Type Chart'!$C$2:$T$20,4,false)*HLOOKUP($K194,'Type Chart'!$C$2:$U$20,4,false)</f>
        <v>1</v>
      </c>
      <c r="X194" s="960">
        <f t="array" ref="X194">HLOOKUP($J194,'Type Chart'!$C$2:$T$20,5,false)*HLOOKUP($K194,'Type Chart'!$C$2:$U$20,5,false)</f>
        <v>1</v>
      </c>
      <c r="Y194" s="960">
        <f t="array" ref="Y194">HLOOKUP($J194,'Type Chart'!$C$2:$T$20,6,false)*HLOOKUP($K194,'Type Chart'!$C$2:$U$20,6,false)</f>
        <v>1</v>
      </c>
      <c r="Z194" s="960">
        <f t="array" ref="Z194">HLOOKUP($J194,'Type Chart'!$C$2:$T$20,7,false)*HLOOKUP($K194,'Type Chart'!$C$2:$U$20,7,false)</f>
        <v>1</v>
      </c>
      <c r="AA194" s="960">
        <f t="array" ref="AA194">HLOOKUP($J194,'Type Chart'!$C$2:$T$20,8,false)*HLOOKUP($K194,'Type Chart'!$C$2:$U$20,8,false)</f>
        <v>1</v>
      </c>
      <c r="AB194" s="960">
        <f t="array" ref="AB194">HLOOKUP($J194,'Type Chart'!$C$2:$T$20,9,false)*HLOOKUP($K194,'Type Chart'!$C$2:$U$20,9,false)</f>
        <v>0</v>
      </c>
      <c r="AC194" s="960">
        <f t="array" ref="AC194">HLOOKUP($J194,'Type Chart'!$C$2:$T$20,10,false)*HLOOKUP($K194,'Type Chart'!$C$2:$U$20,10,false)</f>
        <v>1</v>
      </c>
      <c r="AD194" s="960">
        <f t="array" ref="AD194">HLOOKUP($J194,'Type Chart'!$C$2:$T$20,11,false)*HLOOKUP($K194,'Type Chart'!$C$2:$U$20,11,false)</f>
        <v>1</v>
      </c>
      <c r="AE194" s="960">
        <f t="array" ref="AE194">HLOOKUP($J194,'Type Chart'!$C$2:$T$20,12,false)*HLOOKUP($K194,'Type Chart'!$C$2:$U$20,12,false)</f>
        <v>1</v>
      </c>
      <c r="AF194" s="960">
        <f t="array" ref="AF194">HLOOKUP($J194,'Type Chart'!$C$2:$T$20,13,false)*HLOOKUP($K194,'Type Chart'!$C$2:$U$20,13,false)</f>
        <v>1</v>
      </c>
      <c r="AG194" s="960">
        <f t="array" ref="AG194">HLOOKUP($J194,'Type Chart'!$C$2:$T$20,14,false)*HLOOKUP($K194,'Type Chart'!$C$2:$U$20,14,false)</f>
        <v>1</v>
      </c>
      <c r="AH194" s="960">
        <f t="array" ref="AH194">HLOOKUP($J194,'Type Chart'!$C$2:$T$20,15,false)*HLOOKUP($K194,'Type Chart'!$C$2:$U$20,15,false)</f>
        <v>1</v>
      </c>
      <c r="AI194" s="960">
        <f t="array" ref="AI194">HLOOKUP($J194,'Type Chart'!$C$2:$T$20,16,false)*HLOOKUP($K194,'Type Chart'!$C$2:$U$20,16,false)</f>
        <v>1</v>
      </c>
      <c r="AJ194" s="960">
        <f t="array" ref="AJ194">HLOOKUP($J194,'Type Chart'!$C$2:$T$20,17,false)*HLOOKUP($K194,'Type Chart'!$C$2:$U$20,17,false)</f>
        <v>1</v>
      </c>
      <c r="AK194" s="960">
        <f t="array" ref="AK194">HLOOKUP($J194,'Type Chart'!$C$2:$T$20,18,false)*HLOOKUP($K194,'Type Chart'!$C$2:$U$20,18,false)</f>
        <v>1</v>
      </c>
      <c r="AL194" s="960">
        <f t="array" ref="AL194">HLOOKUP($J194,'Type Chart'!$C$2:$T$20,19,false)*HLOOKUP($K194,'Type Chart'!$C$2:$U$20,19,false)</f>
        <v>1</v>
      </c>
      <c r="AM194" s="1145" t="s">
        <v>988</v>
      </c>
      <c r="AN194" s="964" t="s">
        <v>1018</v>
      </c>
      <c r="AO194" s="1146" t="s">
        <v>1359</v>
      </c>
      <c r="AP194" s="936"/>
      <c r="AQ194" s="967"/>
      <c r="AR194" s="968"/>
      <c r="AS194" s="936"/>
    </row>
    <row r="195" ht="15.75" customHeight="1">
      <c r="A195" s="1099"/>
      <c r="B195" s="948" t="s">
        <v>1607</v>
      </c>
      <c r="C195" s="1197" t="s">
        <v>1608</v>
      </c>
      <c r="D195" s="1197" t="s">
        <v>1608</v>
      </c>
      <c r="E195" s="1147" t="s">
        <v>1608</v>
      </c>
      <c r="F195" s="940"/>
      <c r="G195" s="953"/>
      <c r="H195" s="969"/>
      <c r="I195" s="998" t="s">
        <v>1609</v>
      </c>
      <c r="J195" s="1216" t="s">
        <v>136</v>
      </c>
      <c r="K195" s="1199" t="s">
        <v>216</v>
      </c>
      <c r="L195" s="1200">
        <v>65.0</v>
      </c>
      <c r="M195" s="1201">
        <v>75.0</v>
      </c>
      <c r="N195" s="1201">
        <v>70.0</v>
      </c>
      <c r="O195" s="1201">
        <v>65.0</v>
      </c>
      <c r="P195" s="1201">
        <v>85.0</v>
      </c>
      <c r="Q195" s="1201">
        <v>75.0</v>
      </c>
      <c r="R195" s="960">
        <v>186.0</v>
      </c>
      <c r="S195" s="960">
        <v>249.0</v>
      </c>
      <c r="T195" s="960">
        <v>273.0</v>
      </c>
      <c r="U195" s="960">
        <f t="array" ref="U195">HLOOKUP($J195,'Type Chart'!$C$2:$T$20,2,false)*HLOOKUP($K195,'Type Chart'!$C$2:$U$20,2,false)</f>
        <v>1</v>
      </c>
      <c r="V195" s="960">
        <f t="array" ref="V195">HLOOKUP($J195,'Type Chart'!$C$2:$T$20,3,false)*HLOOKUP($K195,'Type Chart'!$C$2:$U$20,3,false)</f>
        <v>2</v>
      </c>
      <c r="W195" s="960">
        <f t="array" ref="W195">HLOOKUP($J195,'Type Chart'!$C$2:$T$20,4,false)*HLOOKUP($K195,'Type Chart'!$C$2:$U$20,4,false)</f>
        <v>1</v>
      </c>
      <c r="X195" s="960">
        <f t="array" ref="X195">HLOOKUP($J195,'Type Chart'!$C$2:$T$20,5,false)*HLOOKUP($K195,'Type Chart'!$C$2:$U$20,5,false)</f>
        <v>1</v>
      </c>
      <c r="Y195" s="960">
        <f t="array" ref="Y195">HLOOKUP($J195,'Type Chart'!$C$2:$T$20,6,false)*HLOOKUP($K195,'Type Chart'!$C$2:$U$20,6,false)</f>
        <v>1</v>
      </c>
      <c r="Z195" s="960">
        <f t="array" ref="Z195">HLOOKUP($J195,'Type Chart'!$C$2:$T$20,7,false)*HLOOKUP($K195,'Type Chart'!$C$2:$U$20,7,false)</f>
        <v>1</v>
      </c>
      <c r="AA195" s="960">
        <f t="array" ref="AA195">HLOOKUP($J195,'Type Chart'!$C$2:$T$20,8,false)*HLOOKUP($K195,'Type Chart'!$C$2:$U$20,8,false)</f>
        <v>1</v>
      </c>
      <c r="AB195" s="960">
        <f t="array" ref="AB195">HLOOKUP($J195,'Type Chart'!$C$2:$T$20,9,false)*HLOOKUP($K195,'Type Chart'!$C$2:$U$20,9,false)</f>
        <v>0</v>
      </c>
      <c r="AC195" s="960">
        <f t="array" ref="AC195">HLOOKUP($J195,'Type Chart'!$C$2:$T$20,10,false)*HLOOKUP($K195,'Type Chart'!$C$2:$U$20,10,false)</f>
        <v>1</v>
      </c>
      <c r="AD195" s="960">
        <f t="array" ref="AD195">HLOOKUP($J195,'Type Chart'!$C$2:$T$20,11,false)*HLOOKUP($K195,'Type Chart'!$C$2:$U$20,11,false)</f>
        <v>1</v>
      </c>
      <c r="AE195" s="960">
        <f t="array" ref="AE195">HLOOKUP($J195,'Type Chart'!$C$2:$T$20,12,false)*HLOOKUP($K195,'Type Chart'!$C$2:$U$20,12,false)</f>
        <v>1</v>
      </c>
      <c r="AF195" s="960">
        <f t="array" ref="AF195">HLOOKUP($J195,'Type Chart'!$C$2:$T$20,13,false)*HLOOKUP($K195,'Type Chart'!$C$2:$U$20,13,false)</f>
        <v>1</v>
      </c>
      <c r="AG195" s="960">
        <f t="array" ref="AG195">HLOOKUP($J195,'Type Chart'!$C$2:$T$20,14,false)*HLOOKUP($K195,'Type Chart'!$C$2:$U$20,14,false)</f>
        <v>1</v>
      </c>
      <c r="AH195" s="960">
        <f t="array" ref="AH195">HLOOKUP($J195,'Type Chart'!$C$2:$T$20,15,false)*HLOOKUP($K195,'Type Chart'!$C$2:$U$20,15,false)</f>
        <v>1</v>
      </c>
      <c r="AI195" s="960">
        <f t="array" ref="AI195">HLOOKUP($J195,'Type Chart'!$C$2:$T$20,16,false)*HLOOKUP($K195,'Type Chart'!$C$2:$U$20,16,false)</f>
        <v>1</v>
      </c>
      <c r="AJ195" s="960">
        <f t="array" ref="AJ195">HLOOKUP($J195,'Type Chart'!$C$2:$T$20,17,false)*HLOOKUP($K195,'Type Chart'!$C$2:$U$20,17,false)</f>
        <v>1</v>
      </c>
      <c r="AK195" s="960">
        <f t="array" ref="AK195">HLOOKUP($J195,'Type Chart'!$C$2:$T$20,18,false)*HLOOKUP($K195,'Type Chart'!$C$2:$U$20,18,false)</f>
        <v>1</v>
      </c>
      <c r="AL195" s="960">
        <f t="array" ref="AL195">HLOOKUP($J195,'Type Chart'!$C$2:$T$20,19,false)*HLOOKUP($K195,'Type Chart'!$C$2:$U$20,19,false)</f>
        <v>1</v>
      </c>
      <c r="AM195" s="1145" t="s">
        <v>988</v>
      </c>
      <c r="AN195" s="1145" t="s">
        <v>1018</v>
      </c>
      <c r="AO195" s="1146" t="s">
        <v>1359</v>
      </c>
      <c r="AP195" s="936"/>
      <c r="AQ195" s="967"/>
      <c r="AR195" s="968"/>
      <c r="AS195" s="936"/>
    </row>
    <row r="196" ht="15.75" customHeight="1">
      <c r="A196" s="936"/>
      <c r="B196" s="948" t="s">
        <v>1610</v>
      </c>
      <c r="C196" s="950" t="s">
        <v>1611</v>
      </c>
      <c r="D196" s="950" t="s">
        <v>1611</v>
      </c>
      <c r="E196" s="952" t="s">
        <v>1611</v>
      </c>
      <c r="F196" s="940"/>
      <c r="G196" s="953"/>
      <c r="H196" s="969"/>
      <c r="I196" s="956" t="s">
        <v>600</v>
      </c>
      <c r="J196" s="1056" t="s">
        <v>81</v>
      </c>
      <c r="K196" s="984" t="s">
        <v>216</v>
      </c>
      <c r="L196" s="959">
        <v>130.0</v>
      </c>
      <c r="M196" s="960">
        <v>65.0</v>
      </c>
      <c r="N196" s="960">
        <v>60.0</v>
      </c>
      <c r="O196" s="960">
        <v>110.0</v>
      </c>
      <c r="P196" s="960">
        <v>95.0</v>
      </c>
      <c r="Q196" s="960">
        <v>65.0</v>
      </c>
      <c r="R196" s="960">
        <v>166.0</v>
      </c>
      <c r="S196" s="960">
        <v>229.0</v>
      </c>
      <c r="T196" s="960">
        <v>251.0</v>
      </c>
      <c r="U196" s="960">
        <f t="array" ref="U196">HLOOKUP($J196,'Type Chart'!$C$2:$T$20,2,false)*HLOOKUP($K196,'Type Chart'!$C$2:$U$20,2,false)</f>
        <v>1</v>
      </c>
      <c r="V196" s="960">
        <f t="array" ref="V196">HLOOKUP($J196,'Type Chart'!$C$2:$T$20,3,false)*HLOOKUP($K196,'Type Chart'!$C$2:$U$20,3,false)</f>
        <v>1</v>
      </c>
      <c r="W196" s="960">
        <f t="array" ref="W196">HLOOKUP($J196,'Type Chart'!$C$2:$T$20,4,false)*HLOOKUP($K196,'Type Chart'!$C$2:$U$20,4,false)</f>
        <v>1</v>
      </c>
      <c r="X196" s="960">
        <f t="array" ref="X196">HLOOKUP($J196,'Type Chart'!$C$2:$T$20,5,false)*HLOOKUP($K196,'Type Chart'!$C$2:$U$20,5,false)</f>
        <v>1</v>
      </c>
      <c r="Y196" s="960">
        <f t="array" ref="Y196">HLOOKUP($J196,'Type Chart'!$C$2:$T$20,6,false)*HLOOKUP($K196,'Type Chart'!$C$2:$U$20,6,false)</f>
        <v>1</v>
      </c>
      <c r="Z196" s="960">
        <f t="array" ref="Z196">HLOOKUP($J196,'Type Chart'!$C$2:$T$20,7,false)*HLOOKUP($K196,'Type Chart'!$C$2:$U$20,7,false)</f>
        <v>1</v>
      </c>
      <c r="AA196" s="960">
        <f t="array" ref="AA196">HLOOKUP($J196,'Type Chart'!$C$2:$T$20,8,false)*HLOOKUP($K196,'Type Chart'!$C$2:$U$20,8,false)</f>
        <v>1</v>
      </c>
      <c r="AB196" s="960">
        <f t="array" ref="AB196">HLOOKUP($J196,'Type Chart'!$C$2:$T$20,9,false)*HLOOKUP($K196,'Type Chart'!$C$2:$U$20,9,false)</f>
        <v>1</v>
      </c>
      <c r="AC196" s="960">
        <f t="array" ref="AC196">HLOOKUP($J196,'Type Chart'!$C$2:$T$20,10,false)*HLOOKUP($K196,'Type Chart'!$C$2:$U$20,10,false)</f>
        <v>0.5</v>
      </c>
      <c r="AD196" s="960">
        <f t="array" ref="AD196">HLOOKUP($J196,'Type Chart'!$C$2:$T$20,11,false)*HLOOKUP($K196,'Type Chart'!$C$2:$U$20,11,false)</f>
        <v>0.5</v>
      </c>
      <c r="AE196" s="960">
        <f t="array" ref="AE196">HLOOKUP($J196,'Type Chart'!$C$2:$T$20,12,false)*HLOOKUP($K196,'Type Chart'!$C$2:$U$20,12,false)</f>
        <v>0.5</v>
      </c>
      <c r="AF196" s="960">
        <f t="array" ref="AF196">HLOOKUP($J196,'Type Chart'!$C$2:$T$20,13,false)*HLOOKUP($K196,'Type Chart'!$C$2:$U$20,13,false)</f>
        <v>2</v>
      </c>
      <c r="AG196" s="960">
        <f t="array" ref="AG196">HLOOKUP($J196,'Type Chart'!$C$2:$T$20,14,false)*HLOOKUP($K196,'Type Chart'!$C$2:$U$20,14,false)</f>
        <v>2</v>
      </c>
      <c r="AH196" s="960">
        <f t="array" ref="AH196">HLOOKUP($J196,'Type Chart'!$C$2:$T$20,15,false)*HLOOKUP($K196,'Type Chart'!$C$2:$U$20,15,false)</f>
        <v>1</v>
      </c>
      <c r="AI196" s="960">
        <f t="array" ref="AI196">HLOOKUP($J196,'Type Chart'!$C$2:$T$20,16,false)*HLOOKUP($K196,'Type Chart'!$C$2:$U$20,16,false)</f>
        <v>0.5</v>
      </c>
      <c r="AJ196" s="960">
        <f t="array" ref="AJ196">HLOOKUP($J196,'Type Chart'!$C$2:$T$20,17,false)*HLOOKUP($K196,'Type Chart'!$C$2:$U$20,17,false)</f>
        <v>1</v>
      </c>
      <c r="AK196" s="960">
        <f t="array" ref="AK196">HLOOKUP($J196,'Type Chart'!$C$2:$T$20,18,false)*HLOOKUP($K196,'Type Chart'!$C$2:$U$20,18,false)</f>
        <v>1</v>
      </c>
      <c r="AL196" s="960">
        <f t="array" ref="AL196">HLOOKUP($J196,'Type Chart'!$C$2:$T$20,19,false)*HLOOKUP($K196,'Type Chart'!$C$2:$U$20,19,false)</f>
        <v>1</v>
      </c>
      <c r="AM196" s="964" t="s">
        <v>1283</v>
      </c>
      <c r="AN196" s="965"/>
      <c r="AO196" s="966" t="s">
        <v>1409</v>
      </c>
      <c r="AP196" s="936"/>
      <c r="AQ196" s="967"/>
      <c r="AR196" s="968"/>
      <c r="AS196" s="936"/>
    </row>
    <row r="197" ht="15.75" customHeight="1">
      <c r="A197" s="1099"/>
      <c r="B197" s="948" t="s">
        <v>1612</v>
      </c>
      <c r="C197" s="950" t="s">
        <v>1613</v>
      </c>
      <c r="D197" s="950" t="s">
        <v>1613</v>
      </c>
      <c r="E197" s="952" t="s">
        <v>1613</v>
      </c>
      <c r="F197" s="940"/>
      <c r="G197" s="953"/>
      <c r="H197" s="969"/>
      <c r="I197" s="956" t="s">
        <v>653</v>
      </c>
      <c r="J197" s="1196" t="s">
        <v>203</v>
      </c>
      <c r="K197" s="984" t="s">
        <v>216</v>
      </c>
      <c r="L197" s="959">
        <v>65.0</v>
      </c>
      <c r="M197" s="960">
        <v>65.0</v>
      </c>
      <c r="N197" s="960">
        <v>60.0</v>
      </c>
      <c r="O197" s="960">
        <v>110.0</v>
      </c>
      <c r="P197" s="960">
        <v>95.0</v>
      </c>
      <c r="Q197" s="960">
        <v>130.0</v>
      </c>
      <c r="R197" s="960">
        <v>296.0</v>
      </c>
      <c r="S197" s="960">
        <v>359.0</v>
      </c>
      <c r="T197" s="960">
        <v>394.0</v>
      </c>
      <c r="U197" s="960">
        <f t="array" ref="U197">HLOOKUP($J197,'Type Chart'!$C$2:$T$20,2,false)*HLOOKUP($K197,'Type Chart'!$C$2:$U$20,2,false)</f>
        <v>1</v>
      </c>
      <c r="V197" s="960">
        <f t="array" ref="V197">HLOOKUP($J197,'Type Chart'!$C$2:$T$20,3,false)*HLOOKUP($K197,'Type Chart'!$C$2:$U$20,3,false)</f>
        <v>1</v>
      </c>
      <c r="W197" s="960">
        <f t="array" ref="W197">HLOOKUP($J197,'Type Chart'!$C$2:$T$20,4,false)*HLOOKUP($K197,'Type Chart'!$C$2:$U$20,4,false)</f>
        <v>0.5</v>
      </c>
      <c r="X197" s="960">
        <f t="array" ref="X197">HLOOKUP($J197,'Type Chart'!$C$2:$T$20,5,false)*HLOOKUP($K197,'Type Chart'!$C$2:$U$20,5,false)</f>
        <v>1</v>
      </c>
      <c r="Y197" s="960">
        <f t="array" ref="Y197">HLOOKUP($J197,'Type Chart'!$C$2:$T$20,6,false)*HLOOKUP($K197,'Type Chart'!$C$2:$U$20,6,false)</f>
        <v>2</v>
      </c>
      <c r="Z197" s="960">
        <f t="array" ref="Z197">HLOOKUP($J197,'Type Chart'!$C$2:$T$20,7,false)*HLOOKUP($K197,'Type Chart'!$C$2:$U$20,7,false)</f>
        <v>1</v>
      </c>
      <c r="AA197" s="960">
        <f t="array" ref="AA197">HLOOKUP($J197,'Type Chart'!$C$2:$T$20,8,false)*HLOOKUP($K197,'Type Chart'!$C$2:$U$20,8,false)</f>
        <v>1</v>
      </c>
      <c r="AB197" s="960">
        <f t="array" ref="AB197">HLOOKUP($J197,'Type Chart'!$C$2:$T$20,9,false)*HLOOKUP($K197,'Type Chart'!$C$2:$U$20,9,false)</f>
        <v>1</v>
      </c>
      <c r="AC197" s="960">
        <f t="array" ref="AC197">HLOOKUP($J197,'Type Chart'!$C$2:$T$20,10,false)*HLOOKUP($K197,'Type Chart'!$C$2:$U$20,10,false)</f>
        <v>0.5</v>
      </c>
      <c r="AD197" s="960">
        <f t="array" ref="AD197">HLOOKUP($J197,'Type Chart'!$C$2:$T$20,11,false)*HLOOKUP($K197,'Type Chart'!$C$2:$U$20,11,false)</f>
        <v>1</v>
      </c>
      <c r="AE197" s="960">
        <f t="array" ref="AE197">HLOOKUP($J197,'Type Chart'!$C$2:$T$20,12,false)*HLOOKUP($K197,'Type Chart'!$C$2:$U$20,12,false)</f>
        <v>1</v>
      </c>
      <c r="AF197" s="960">
        <f t="array" ref="AF197">HLOOKUP($J197,'Type Chart'!$C$2:$T$20,13,false)*HLOOKUP($K197,'Type Chart'!$C$2:$U$20,13,false)</f>
        <v>1</v>
      </c>
      <c r="AG197" s="960">
        <f t="array" ref="AG197">HLOOKUP($J197,'Type Chart'!$C$2:$T$20,14,false)*HLOOKUP($K197,'Type Chart'!$C$2:$U$20,14,false)</f>
        <v>0.5</v>
      </c>
      <c r="AH197" s="960">
        <f t="array" ref="AH197">HLOOKUP($J197,'Type Chart'!$C$2:$T$20,15,false)*HLOOKUP($K197,'Type Chart'!$C$2:$U$20,15,false)</f>
        <v>1</v>
      </c>
      <c r="AI197" s="960">
        <f t="array" ref="AI197">HLOOKUP($J197,'Type Chart'!$C$2:$T$20,16,false)*HLOOKUP($K197,'Type Chart'!$C$2:$U$20,16,false)</f>
        <v>1</v>
      </c>
      <c r="AJ197" s="960">
        <f t="array" ref="AJ197">HLOOKUP($J197,'Type Chart'!$C$2:$T$20,17,false)*HLOOKUP($K197,'Type Chart'!$C$2:$U$20,17,false)</f>
        <v>1</v>
      </c>
      <c r="AK197" s="960">
        <f t="array" ref="AK197">HLOOKUP($J197,'Type Chart'!$C$2:$T$20,18,false)*HLOOKUP($K197,'Type Chart'!$C$2:$U$20,18,false)</f>
        <v>1</v>
      </c>
      <c r="AL197" s="960">
        <f t="array" ref="AL197">HLOOKUP($J197,'Type Chart'!$C$2:$T$20,19,false)*HLOOKUP($K197,'Type Chart'!$C$2:$U$20,19,false)</f>
        <v>1</v>
      </c>
      <c r="AM197" s="1145" t="s">
        <v>1614</v>
      </c>
      <c r="AN197" s="1202"/>
      <c r="AO197" s="1146" t="s">
        <v>1615</v>
      </c>
      <c r="AP197" s="936"/>
      <c r="AQ197" s="967"/>
      <c r="AR197" s="968"/>
      <c r="AS197" s="936"/>
    </row>
    <row r="198" ht="15.75" customHeight="1">
      <c r="A198" s="936"/>
      <c r="B198" s="948" t="s">
        <v>1616</v>
      </c>
      <c r="C198" s="950" t="s">
        <v>1617</v>
      </c>
      <c r="D198" s="950" t="s">
        <v>1617</v>
      </c>
      <c r="E198" s="952" t="s">
        <v>1617</v>
      </c>
      <c r="F198" s="940"/>
      <c r="G198" s="953"/>
      <c r="H198" s="969"/>
      <c r="I198" s="956" t="s">
        <v>751</v>
      </c>
      <c r="J198" s="982" t="s">
        <v>150</v>
      </c>
      <c r="K198" s="984" t="s">
        <v>216</v>
      </c>
      <c r="L198" s="959">
        <v>65.0</v>
      </c>
      <c r="M198" s="960">
        <v>130.0</v>
      </c>
      <c r="N198" s="960">
        <v>60.0</v>
      </c>
      <c r="O198" s="960">
        <v>95.0</v>
      </c>
      <c r="P198" s="960">
        <v>110.0</v>
      </c>
      <c r="Q198" s="960">
        <v>65.0</v>
      </c>
      <c r="R198" s="960">
        <v>166.0</v>
      </c>
      <c r="S198" s="960">
        <v>229.0</v>
      </c>
      <c r="T198" s="960">
        <v>251.0</v>
      </c>
      <c r="U198" s="960">
        <f t="array" ref="U198">HLOOKUP($J198,'Type Chart'!$C$2:$T$20,2,false)*HLOOKUP($K198,'Type Chart'!$C$2:$U$20,2,false)</f>
        <v>1</v>
      </c>
      <c r="V198" s="960">
        <f t="array" ref="V198">HLOOKUP($J198,'Type Chart'!$C$2:$T$20,3,false)*HLOOKUP($K198,'Type Chart'!$C$2:$U$20,3,false)</f>
        <v>1</v>
      </c>
      <c r="W198" s="960">
        <f t="array" ref="W198">HLOOKUP($J198,'Type Chart'!$C$2:$T$20,4,false)*HLOOKUP($K198,'Type Chart'!$C$2:$U$20,4,false)</f>
        <v>1</v>
      </c>
      <c r="X198" s="960">
        <f t="array" ref="X198">HLOOKUP($J198,'Type Chart'!$C$2:$T$20,5,false)*HLOOKUP($K198,'Type Chart'!$C$2:$U$20,5,false)</f>
        <v>1</v>
      </c>
      <c r="Y198" s="960">
        <f t="array" ref="Y198">HLOOKUP($J198,'Type Chart'!$C$2:$T$20,6,false)*HLOOKUP($K198,'Type Chart'!$C$2:$U$20,6,false)</f>
        <v>2</v>
      </c>
      <c r="Z198" s="960">
        <f t="array" ref="Z198">HLOOKUP($J198,'Type Chart'!$C$2:$T$20,7,false)*HLOOKUP($K198,'Type Chart'!$C$2:$U$20,7,false)</f>
        <v>2</v>
      </c>
      <c r="AA198" s="960">
        <f t="array" ref="AA198">HLOOKUP($J198,'Type Chart'!$C$2:$T$20,8,false)*HLOOKUP($K198,'Type Chart'!$C$2:$U$20,8,false)</f>
        <v>0.5</v>
      </c>
      <c r="AB198" s="960">
        <f t="array" ref="AB198">HLOOKUP($J198,'Type Chart'!$C$2:$T$20,9,false)*HLOOKUP($K198,'Type Chart'!$C$2:$U$20,9,false)</f>
        <v>1</v>
      </c>
      <c r="AC198" s="960">
        <f t="array" ref="AC198">HLOOKUP($J198,'Type Chart'!$C$2:$T$20,10,false)*HLOOKUP($K198,'Type Chart'!$C$2:$U$20,10,false)</f>
        <v>0.5</v>
      </c>
      <c r="AD198" s="960">
        <f t="array" ref="AD198">HLOOKUP($J198,'Type Chart'!$C$2:$T$20,11,false)*HLOOKUP($K198,'Type Chart'!$C$2:$U$20,11,false)</f>
        <v>0.5</v>
      </c>
      <c r="AE198" s="960">
        <f t="array" ref="AE198">HLOOKUP($J198,'Type Chart'!$C$2:$T$20,12,false)*HLOOKUP($K198,'Type Chart'!$C$2:$U$20,12,false)</f>
        <v>2</v>
      </c>
      <c r="AF198" s="960">
        <f t="array" ref="AF198">HLOOKUP($J198,'Type Chart'!$C$2:$T$20,13,false)*HLOOKUP($K198,'Type Chart'!$C$2:$U$20,13,false)</f>
        <v>0.5</v>
      </c>
      <c r="AG198" s="960">
        <f t="array" ref="AG198">HLOOKUP($J198,'Type Chart'!$C$2:$T$20,14,false)*HLOOKUP($K198,'Type Chart'!$C$2:$U$20,14,false)</f>
        <v>1</v>
      </c>
      <c r="AH198" s="960">
        <f t="array" ref="AH198">HLOOKUP($J198,'Type Chart'!$C$2:$T$20,15,false)*HLOOKUP($K198,'Type Chart'!$C$2:$U$20,15,false)</f>
        <v>1</v>
      </c>
      <c r="AI198" s="960">
        <f t="array" ref="AI198">HLOOKUP($J198,'Type Chart'!$C$2:$T$20,16,false)*HLOOKUP($K198,'Type Chart'!$C$2:$U$20,16,false)</f>
        <v>0.5</v>
      </c>
      <c r="AJ198" s="960">
        <f t="array" ref="AJ198">HLOOKUP($J198,'Type Chart'!$C$2:$T$20,17,false)*HLOOKUP($K198,'Type Chart'!$C$2:$U$20,17,false)</f>
        <v>1</v>
      </c>
      <c r="AK198" s="960">
        <f t="array" ref="AK198">HLOOKUP($J198,'Type Chart'!$C$2:$T$20,18,false)*HLOOKUP($K198,'Type Chart'!$C$2:$U$20,18,false)</f>
        <v>1</v>
      </c>
      <c r="AL198" s="960">
        <f t="array" ref="AL198">HLOOKUP($J198,'Type Chart'!$C$2:$T$20,19,false)*HLOOKUP($K198,'Type Chart'!$C$2:$U$20,19,false)</f>
        <v>0.5</v>
      </c>
      <c r="AM198" s="964" t="s">
        <v>1172</v>
      </c>
      <c r="AN198" s="965"/>
      <c r="AO198" s="966" t="s">
        <v>1038</v>
      </c>
      <c r="AP198" s="936"/>
      <c r="AQ198" s="967"/>
      <c r="AR198" s="968"/>
      <c r="AS198" s="936"/>
    </row>
    <row r="199" ht="15.75" customHeight="1">
      <c r="A199" s="936"/>
      <c r="B199" s="948" t="s">
        <v>1618</v>
      </c>
      <c r="C199" s="950" t="s">
        <v>1619</v>
      </c>
      <c r="D199" s="950" t="s">
        <v>1619</v>
      </c>
      <c r="E199" s="952" t="s">
        <v>1619</v>
      </c>
      <c r="F199" s="940"/>
      <c r="G199" s="953"/>
      <c r="H199" s="969"/>
      <c r="I199" s="956" t="s">
        <v>889</v>
      </c>
      <c r="J199" s="1194" t="s">
        <v>136</v>
      </c>
      <c r="K199" s="984" t="s">
        <v>216</v>
      </c>
      <c r="L199" s="959">
        <v>65.0</v>
      </c>
      <c r="M199" s="960">
        <v>60.0</v>
      </c>
      <c r="N199" s="960">
        <v>70.0</v>
      </c>
      <c r="O199" s="960">
        <v>85.0</v>
      </c>
      <c r="P199" s="960">
        <v>75.0</v>
      </c>
      <c r="Q199" s="960">
        <v>40.0</v>
      </c>
      <c r="R199" s="960">
        <v>116.0</v>
      </c>
      <c r="S199" s="960">
        <v>179.0</v>
      </c>
      <c r="T199" s="960">
        <v>196.0</v>
      </c>
      <c r="U199" s="960">
        <f t="array" ref="U199">HLOOKUP($J199,'Type Chart'!$C$2:$T$20,2,false)*HLOOKUP($K199,'Type Chart'!$C$2:$U$20,2,false)</f>
        <v>1</v>
      </c>
      <c r="V199" s="960">
        <f t="array" ref="V199">HLOOKUP($J199,'Type Chart'!$C$2:$T$20,3,false)*HLOOKUP($K199,'Type Chart'!$C$2:$U$20,3,false)</f>
        <v>2</v>
      </c>
      <c r="W199" s="960">
        <f t="array" ref="W199">HLOOKUP($J199,'Type Chart'!$C$2:$T$20,4,false)*HLOOKUP($K199,'Type Chart'!$C$2:$U$20,4,false)</f>
        <v>1</v>
      </c>
      <c r="X199" s="960">
        <f t="array" ref="X199">HLOOKUP($J199,'Type Chart'!$C$2:$T$20,5,false)*HLOOKUP($K199,'Type Chart'!$C$2:$U$20,5,false)</f>
        <v>1</v>
      </c>
      <c r="Y199" s="960">
        <f t="array" ref="Y199">HLOOKUP($J199,'Type Chart'!$C$2:$T$20,6,false)*HLOOKUP($K199,'Type Chart'!$C$2:$U$20,6,false)</f>
        <v>1</v>
      </c>
      <c r="Z199" s="960">
        <f t="array" ref="Z199">HLOOKUP($J199,'Type Chart'!$C$2:$T$20,7,false)*HLOOKUP($K199,'Type Chart'!$C$2:$U$20,7,false)</f>
        <v>1</v>
      </c>
      <c r="AA199" s="960">
        <f t="array" ref="AA199">HLOOKUP($J199,'Type Chart'!$C$2:$T$20,8,false)*HLOOKUP($K199,'Type Chart'!$C$2:$U$20,8,false)</f>
        <v>1</v>
      </c>
      <c r="AB199" s="960">
        <f t="array" ref="AB199">HLOOKUP($J199,'Type Chart'!$C$2:$T$20,9,false)*HLOOKUP($K199,'Type Chart'!$C$2:$U$20,9,false)</f>
        <v>0</v>
      </c>
      <c r="AC199" s="960">
        <f t="array" ref="AC199">HLOOKUP($J199,'Type Chart'!$C$2:$T$20,10,false)*HLOOKUP($K199,'Type Chart'!$C$2:$U$20,10,false)</f>
        <v>1</v>
      </c>
      <c r="AD199" s="960">
        <f t="array" ref="AD199">HLOOKUP($J199,'Type Chart'!$C$2:$T$20,11,false)*HLOOKUP($K199,'Type Chart'!$C$2:$U$20,11,false)</f>
        <v>1</v>
      </c>
      <c r="AE199" s="960">
        <f t="array" ref="AE199">HLOOKUP($J199,'Type Chart'!$C$2:$T$20,12,false)*HLOOKUP($K199,'Type Chart'!$C$2:$U$20,12,false)</f>
        <v>1</v>
      </c>
      <c r="AF199" s="960">
        <f t="array" ref="AF199">HLOOKUP($J199,'Type Chart'!$C$2:$T$20,13,false)*HLOOKUP($K199,'Type Chart'!$C$2:$U$20,13,false)</f>
        <v>1</v>
      </c>
      <c r="AG199" s="960">
        <f t="array" ref="AG199">HLOOKUP($J199,'Type Chart'!$C$2:$T$20,14,false)*HLOOKUP($K199,'Type Chart'!$C$2:$U$20,14,false)</f>
        <v>1</v>
      </c>
      <c r="AH199" s="960">
        <f t="array" ref="AH199">HLOOKUP($J199,'Type Chart'!$C$2:$T$20,15,false)*HLOOKUP($K199,'Type Chart'!$C$2:$U$20,15,false)</f>
        <v>1</v>
      </c>
      <c r="AI199" s="960">
        <f t="array" ref="AI199">HLOOKUP($J199,'Type Chart'!$C$2:$T$20,16,false)*HLOOKUP($K199,'Type Chart'!$C$2:$U$20,16,false)</f>
        <v>1</v>
      </c>
      <c r="AJ199" s="960">
        <f t="array" ref="AJ199">HLOOKUP($J199,'Type Chart'!$C$2:$T$20,17,false)*HLOOKUP($K199,'Type Chart'!$C$2:$U$20,17,false)</f>
        <v>1</v>
      </c>
      <c r="AK199" s="960">
        <f t="array" ref="AK199">HLOOKUP($J199,'Type Chart'!$C$2:$T$20,18,false)*HLOOKUP($K199,'Type Chart'!$C$2:$U$20,18,false)</f>
        <v>1</v>
      </c>
      <c r="AL199" s="960">
        <f t="array" ref="AL199">HLOOKUP($J199,'Type Chart'!$C$2:$T$20,19,false)*HLOOKUP($K199,'Type Chart'!$C$2:$U$20,19,false)</f>
        <v>1</v>
      </c>
      <c r="AM199" s="964" t="s">
        <v>1302</v>
      </c>
      <c r="AN199" s="965" t="s">
        <v>1620</v>
      </c>
      <c r="AO199" s="966" t="s">
        <v>1389</v>
      </c>
      <c r="AP199" s="936"/>
      <c r="AQ199" s="967"/>
      <c r="AR199" s="968"/>
      <c r="AS199" s="936"/>
    </row>
    <row r="200" ht="15.75" customHeight="1">
      <c r="A200" s="936"/>
      <c r="B200" s="948" t="s">
        <v>1621</v>
      </c>
      <c r="C200" s="950" t="s">
        <v>1622</v>
      </c>
      <c r="D200" s="950" t="s">
        <v>1622</v>
      </c>
      <c r="E200" s="952" t="s">
        <v>1622</v>
      </c>
      <c r="F200" s="940"/>
      <c r="G200" s="953"/>
      <c r="H200" s="969"/>
      <c r="I200" s="956" t="s">
        <v>1623</v>
      </c>
      <c r="J200" s="1214" t="s">
        <v>342</v>
      </c>
      <c r="K200" s="1056" t="s">
        <v>81</v>
      </c>
      <c r="L200" s="959">
        <v>35.0</v>
      </c>
      <c r="M200" s="960">
        <v>40.0</v>
      </c>
      <c r="N200" s="960">
        <v>100.0</v>
      </c>
      <c r="O200" s="960">
        <v>90.0</v>
      </c>
      <c r="P200" s="960">
        <v>55.0</v>
      </c>
      <c r="Q200" s="960">
        <v>35.0</v>
      </c>
      <c r="R200" s="960">
        <v>106.0</v>
      </c>
      <c r="S200" s="960">
        <v>169.0</v>
      </c>
      <c r="T200" s="960">
        <v>185.0</v>
      </c>
      <c r="U200" s="960">
        <f t="array" ref="U200">HLOOKUP($J200,'Type Chart'!$C$2:$T$20,2,false)*HLOOKUP($K200,'Type Chart'!$C$2:$U$20,2,false)</f>
        <v>0.5</v>
      </c>
      <c r="V200" s="960">
        <f t="array" ref="V200">HLOOKUP($J200,'Type Chart'!$C$2:$T$20,3,false)*HLOOKUP($K200,'Type Chart'!$C$2:$U$20,3,false)</f>
        <v>2</v>
      </c>
      <c r="W200" s="960">
        <f t="array" ref="W200">HLOOKUP($J200,'Type Chart'!$C$2:$T$20,4,false)*HLOOKUP($K200,'Type Chart'!$C$2:$U$20,4,false)</f>
        <v>0.5</v>
      </c>
      <c r="X200" s="960">
        <f t="array" ref="X200">HLOOKUP($J200,'Type Chart'!$C$2:$T$20,5,false)*HLOOKUP($K200,'Type Chart'!$C$2:$U$20,5,false)</f>
        <v>0.5</v>
      </c>
      <c r="Y200" s="960">
        <f t="array" ref="Y200">HLOOKUP($J200,'Type Chart'!$C$2:$T$20,6,false)*HLOOKUP($K200,'Type Chart'!$C$2:$U$20,6,false)</f>
        <v>2</v>
      </c>
      <c r="Z200" s="960">
        <f t="array" ref="Z200">HLOOKUP($J200,'Type Chart'!$C$2:$T$20,7,false)*HLOOKUP($K200,'Type Chart'!$C$2:$U$20,7,false)</f>
        <v>1</v>
      </c>
      <c r="AA200" s="960">
        <f t="array" ref="AA200">HLOOKUP($J200,'Type Chart'!$C$2:$T$20,8,false)*HLOOKUP($K200,'Type Chart'!$C$2:$U$20,8,false)</f>
        <v>1</v>
      </c>
      <c r="AB200" s="960">
        <f t="array" ref="AB200">HLOOKUP($J200,'Type Chart'!$C$2:$T$20,9,false)*HLOOKUP($K200,'Type Chart'!$C$2:$U$20,9,false)</f>
        <v>1</v>
      </c>
      <c r="AC200" s="960">
        <f t="array" ref="AC200">HLOOKUP($J200,'Type Chart'!$C$2:$T$20,10,false)*HLOOKUP($K200,'Type Chart'!$C$2:$U$20,10,false)</f>
        <v>1</v>
      </c>
      <c r="AD200" s="960">
        <f t="array" ref="AD200">HLOOKUP($J200,'Type Chart'!$C$2:$T$20,11,false)*HLOOKUP($K200,'Type Chart'!$C$2:$U$20,11,false)</f>
        <v>0.25</v>
      </c>
      <c r="AE200" s="960">
        <f t="array" ref="AE200">HLOOKUP($J200,'Type Chart'!$C$2:$T$20,12,false)*HLOOKUP($K200,'Type Chart'!$C$2:$U$20,12,false)</f>
        <v>1</v>
      </c>
      <c r="AF200" s="960">
        <f t="array" ref="AF200">HLOOKUP($J200,'Type Chart'!$C$2:$T$20,13,false)*HLOOKUP($K200,'Type Chart'!$C$2:$U$20,13,false)</f>
        <v>4</v>
      </c>
      <c r="AG200" s="960">
        <f t="array" ref="AG200">HLOOKUP($J200,'Type Chart'!$C$2:$T$20,14,false)*HLOOKUP($K200,'Type Chart'!$C$2:$U$20,14,false)</f>
        <v>2</v>
      </c>
      <c r="AH200" s="960">
        <f t="array" ref="AH200">HLOOKUP($J200,'Type Chart'!$C$2:$T$20,15,false)*HLOOKUP($K200,'Type Chart'!$C$2:$U$20,15,false)</f>
        <v>1</v>
      </c>
      <c r="AI200" s="960">
        <f t="array" ref="AI200">HLOOKUP($J200,'Type Chart'!$C$2:$T$20,16,false)*HLOOKUP($K200,'Type Chart'!$C$2:$U$20,16,false)</f>
        <v>0.5</v>
      </c>
      <c r="AJ200" s="960">
        <f t="array" ref="AJ200">HLOOKUP($J200,'Type Chart'!$C$2:$T$20,17,false)*HLOOKUP($K200,'Type Chart'!$C$2:$U$20,17,false)</f>
        <v>1</v>
      </c>
      <c r="AK200" s="960">
        <f t="array" ref="AK200">HLOOKUP($J200,'Type Chart'!$C$2:$T$20,18,false)*HLOOKUP($K200,'Type Chart'!$C$2:$U$20,18,false)</f>
        <v>1</v>
      </c>
      <c r="AL200" s="960">
        <f t="array" ref="AL200">HLOOKUP($J200,'Type Chart'!$C$2:$T$20,19,false)*HLOOKUP($K200,'Type Chart'!$C$2:$U$20,19,false)</f>
        <v>1</v>
      </c>
      <c r="AM200" s="964" t="s">
        <v>1259</v>
      </c>
      <c r="AN200" s="965" t="s">
        <v>1385</v>
      </c>
      <c r="AO200" s="966" t="s">
        <v>1450</v>
      </c>
      <c r="AP200" s="936"/>
      <c r="AQ200" s="967"/>
      <c r="AR200" s="968"/>
      <c r="AS200" s="936"/>
    </row>
    <row r="201" ht="15.75" customHeight="1">
      <c r="A201" s="936"/>
      <c r="B201" s="948" t="s">
        <v>1624</v>
      </c>
      <c r="C201" s="950" t="s">
        <v>1625</v>
      </c>
      <c r="D201" s="950" t="s">
        <v>1625</v>
      </c>
      <c r="E201" s="952" t="s">
        <v>1625</v>
      </c>
      <c r="F201" s="940"/>
      <c r="G201" s="953"/>
      <c r="H201" s="969"/>
      <c r="I201" s="956" t="s">
        <v>1626</v>
      </c>
      <c r="J201" s="1214" t="s">
        <v>342</v>
      </c>
      <c r="K201" s="1056" t="s">
        <v>81</v>
      </c>
      <c r="L201" s="959">
        <v>70.0</v>
      </c>
      <c r="M201" s="960">
        <v>60.0</v>
      </c>
      <c r="N201" s="960">
        <v>125.0</v>
      </c>
      <c r="O201" s="960">
        <v>115.0</v>
      </c>
      <c r="P201" s="960">
        <v>70.0</v>
      </c>
      <c r="Q201" s="960">
        <v>55.0</v>
      </c>
      <c r="R201" s="960">
        <v>146.0</v>
      </c>
      <c r="S201" s="960">
        <v>209.0</v>
      </c>
      <c r="T201" s="960">
        <v>229.0</v>
      </c>
      <c r="U201" s="960">
        <f t="array" ref="U201">HLOOKUP($J201,'Type Chart'!$C$2:$T$20,2,false)*HLOOKUP($K201,'Type Chart'!$C$2:$U$20,2,false)</f>
        <v>0.5</v>
      </c>
      <c r="V201" s="960">
        <f t="array" ref="V201">HLOOKUP($J201,'Type Chart'!$C$2:$T$20,3,false)*HLOOKUP($K201,'Type Chart'!$C$2:$U$20,3,false)</f>
        <v>2</v>
      </c>
      <c r="W201" s="960">
        <f t="array" ref="W201">HLOOKUP($J201,'Type Chart'!$C$2:$T$20,4,false)*HLOOKUP($K201,'Type Chart'!$C$2:$U$20,4,false)</f>
        <v>0.5</v>
      </c>
      <c r="X201" s="960">
        <f t="array" ref="X201">HLOOKUP($J201,'Type Chart'!$C$2:$T$20,5,false)*HLOOKUP($K201,'Type Chart'!$C$2:$U$20,5,false)</f>
        <v>0.5</v>
      </c>
      <c r="Y201" s="960">
        <f t="array" ref="Y201">HLOOKUP($J201,'Type Chart'!$C$2:$T$20,6,false)*HLOOKUP($K201,'Type Chart'!$C$2:$U$20,6,false)</f>
        <v>2</v>
      </c>
      <c r="Z201" s="960">
        <f t="array" ref="Z201">HLOOKUP($J201,'Type Chart'!$C$2:$T$20,7,false)*HLOOKUP($K201,'Type Chart'!$C$2:$U$20,7,false)</f>
        <v>1</v>
      </c>
      <c r="AA201" s="960">
        <f t="array" ref="AA201">HLOOKUP($J201,'Type Chart'!$C$2:$T$20,8,false)*HLOOKUP($K201,'Type Chart'!$C$2:$U$20,8,false)</f>
        <v>1</v>
      </c>
      <c r="AB201" s="960">
        <f t="array" ref="AB201">HLOOKUP($J201,'Type Chart'!$C$2:$T$20,9,false)*HLOOKUP($K201,'Type Chart'!$C$2:$U$20,9,false)</f>
        <v>1</v>
      </c>
      <c r="AC201" s="960">
        <f t="array" ref="AC201">HLOOKUP($J201,'Type Chart'!$C$2:$T$20,10,false)*HLOOKUP($K201,'Type Chart'!$C$2:$U$20,10,false)</f>
        <v>1</v>
      </c>
      <c r="AD201" s="960">
        <f t="array" ref="AD201">HLOOKUP($J201,'Type Chart'!$C$2:$T$20,11,false)*HLOOKUP($K201,'Type Chart'!$C$2:$U$20,11,false)</f>
        <v>0.25</v>
      </c>
      <c r="AE201" s="960">
        <f t="array" ref="AE201">HLOOKUP($J201,'Type Chart'!$C$2:$T$20,12,false)*HLOOKUP($K201,'Type Chart'!$C$2:$U$20,12,false)</f>
        <v>1</v>
      </c>
      <c r="AF201" s="960">
        <f t="array" ref="AF201">HLOOKUP($J201,'Type Chart'!$C$2:$T$20,13,false)*HLOOKUP($K201,'Type Chart'!$C$2:$U$20,13,false)</f>
        <v>4</v>
      </c>
      <c r="AG201" s="960">
        <f t="array" ref="AG201">HLOOKUP($J201,'Type Chart'!$C$2:$T$20,14,false)*HLOOKUP($K201,'Type Chart'!$C$2:$U$20,14,false)</f>
        <v>2</v>
      </c>
      <c r="AH201" s="960">
        <f t="array" ref="AH201">HLOOKUP($J201,'Type Chart'!$C$2:$T$20,15,false)*HLOOKUP($K201,'Type Chart'!$C$2:$U$20,15,false)</f>
        <v>1</v>
      </c>
      <c r="AI201" s="960">
        <f t="array" ref="AI201">HLOOKUP($J201,'Type Chart'!$C$2:$T$20,16,false)*HLOOKUP($K201,'Type Chart'!$C$2:$U$20,16,false)</f>
        <v>0.5</v>
      </c>
      <c r="AJ201" s="960">
        <f t="array" ref="AJ201">HLOOKUP($J201,'Type Chart'!$C$2:$T$20,17,false)*HLOOKUP($K201,'Type Chart'!$C$2:$U$20,17,false)</f>
        <v>1</v>
      </c>
      <c r="AK201" s="960">
        <f t="array" ref="AK201">HLOOKUP($J201,'Type Chart'!$C$2:$T$20,18,false)*HLOOKUP($K201,'Type Chart'!$C$2:$U$20,18,false)</f>
        <v>1</v>
      </c>
      <c r="AL201" s="960">
        <f t="array" ref="AL201">HLOOKUP($J201,'Type Chart'!$C$2:$T$20,19,false)*HLOOKUP($K201,'Type Chart'!$C$2:$U$20,19,false)</f>
        <v>1</v>
      </c>
      <c r="AM201" s="964" t="s">
        <v>1259</v>
      </c>
      <c r="AN201" s="965" t="s">
        <v>1385</v>
      </c>
      <c r="AO201" s="966" t="s">
        <v>1450</v>
      </c>
      <c r="AP201" s="936"/>
      <c r="AQ201" s="967"/>
      <c r="AR201" s="968"/>
      <c r="AS201" s="936"/>
    </row>
    <row r="202" ht="15.75" customHeight="1">
      <c r="A202" s="936"/>
      <c r="B202" s="948" t="s">
        <v>1627</v>
      </c>
      <c r="C202" s="950" t="s">
        <v>1628</v>
      </c>
      <c r="D202" s="950" t="s">
        <v>1628</v>
      </c>
      <c r="E202" s="952" t="s">
        <v>1628</v>
      </c>
      <c r="F202" s="940"/>
      <c r="G202" s="953"/>
      <c r="H202" s="969"/>
      <c r="I202" s="956" t="s">
        <v>1629</v>
      </c>
      <c r="J202" s="1214" t="s">
        <v>342</v>
      </c>
      <c r="K202" s="1056" t="s">
        <v>81</v>
      </c>
      <c r="L202" s="959">
        <v>30.0</v>
      </c>
      <c r="M202" s="960">
        <v>80.0</v>
      </c>
      <c r="N202" s="960">
        <v>90.0</v>
      </c>
      <c r="O202" s="960">
        <v>55.0</v>
      </c>
      <c r="P202" s="960">
        <v>45.0</v>
      </c>
      <c r="Q202" s="960">
        <v>55.0</v>
      </c>
      <c r="R202" s="960">
        <v>146.0</v>
      </c>
      <c r="S202" s="960">
        <v>209.0</v>
      </c>
      <c r="T202" s="960">
        <v>229.0</v>
      </c>
      <c r="U202" s="960">
        <f t="array" ref="U202">HLOOKUP($J202,'Type Chart'!$C$2:$T$20,2,false)*HLOOKUP($K202,'Type Chart'!$C$2:$U$20,2,false)</f>
        <v>0.5</v>
      </c>
      <c r="V202" s="960">
        <f t="array" ref="V202">HLOOKUP($J202,'Type Chart'!$C$2:$T$20,3,false)*HLOOKUP($K202,'Type Chart'!$C$2:$U$20,3,false)</f>
        <v>2</v>
      </c>
      <c r="W202" s="960">
        <f t="array" ref="W202">HLOOKUP($J202,'Type Chart'!$C$2:$T$20,4,false)*HLOOKUP($K202,'Type Chart'!$C$2:$U$20,4,false)</f>
        <v>0.5</v>
      </c>
      <c r="X202" s="960">
        <f t="array" ref="X202">HLOOKUP($J202,'Type Chart'!$C$2:$T$20,5,false)*HLOOKUP($K202,'Type Chart'!$C$2:$U$20,5,false)</f>
        <v>0.5</v>
      </c>
      <c r="Y202" s="960">
        <f t="array" ref="Y202">HLOOKUP($J202,'Type Chart'!$C$2:$T$20,6,false)*HLOOKUP($K202,'Type Chart'!$C$2:$U$20,6,false)</f>
        <v>2</v>
      </c>
      <c r="Z202" s="960">
        <f t="array" ref="Z202">HLOOKUP($J202,'Type Chart'!$C$2:$T$20,7,false)*HLOOKUP($K202,'Type Chart'!$C$2:$U$20,7,false)</f>
        <v>1</v>
      </c>
      <c r="AA202" s="960">
        <f t="array" ref="AA202">HLOOKUP($J202,'Type Chart'!$C$2:$T$20,8,false)*HLOOKUP($K202,'Type Chart'!$C$2:$U$20,8,false)</f>
        <v>1</v>
      </c>
      <c r="AB202" s="960">
        <f t="array" ref="AB202">HLOOKUP($J202,'Type Chart'!$C$2:$T$20,9,false)*HLOOKUP($K202,'Type Chart'!$C$2:$U$20,9,false)</f>
        <v>1</v>
      </c>
      <c r="AC202" s="960">
        <f t="array" ref="AC202">HLOOKUP($J202,'Type Chart'!$C$2:$T$20,10,false)*HLOOKUP($K202,'Type Chart'!$C$2:$U$20,10,false)</f>
        <v>1</v>
      </c>
      <c r="AD202" s="960">
        <f t="array" ref="AD202">HLOOKUP($J202,'Type Chart'!$C$2:$T$20,11,false)*HLOOKUP($K202,'Type Chart'!$C$2:$U$20,11,false)</f>
        <v>0.25</v>
      </c>
      <c r="AE202" s="960">
        <f t="array" ref="AE202">HLOOKUP($J202,'Type Chart'!$C$2:$T$20,12,false)*HLOOKUP($K202,'Type Chart'!$C$2:$U$20,12,false)</f>
        <v>1</v>
      </c>
      <c r="AF202" s="960">
        <f t="array" ref="AF202">HLOOKUP($J202,'Type Chart'!$C$2:$T$20,13,false)*HLOOKUP($K202,'Type Chart'!$C$2:$U$20,13,false)</f>
        <v>4</v>
      </c>
      <c r="AG202" s="960">
        <f t="array" ref="AG202">HLOOKUP($J202,'Type Chart'!$C$2:$T$20,14,false)*HLOOKUP($K202,'Type Chart'!$C$2:$U$20,14,false)</f>
        <v>2</v>
      </c>
      <c r="AH202" s="960">
        <f t="array" ref="AH202">HLOOKUP($J202,'Type Chart'!$C$2:$T$20,15,false)*HLOOKUP($K202,'Type Chart'!$C$2:$U$20,15,false)</f>
        <v>1</v>
      </c>
      <c r="AI202" s="960">
        <f t="array" ref="AI202">HLOOKUP($J202,'Type Chart'!$C$2:$T$20,16,false)*HLOOKUP($K202,'Type Chart'!$C$2:$U$20,16,false)</f>
        <v>0.5</v>
      </c>
      <c r="AJ202" s="960">
        <f t="array" ref="AJ202">HLOOKUP($J202,'Type Chart'!$C$2:$T$20,17,false)*HLOOKUP($K202,'Type Chart'!$C$2:$U$20,17,false)</f>
        <v>1</v>
      </c>
      <c r="AK202" s="960">
        <f t="array" ref="AK202">HLOOKUP($J202,'Type Chart'!$C$2:$T$20,18,false)*HLOOKUP($K202,'Type Chart'!$C$2:$U$20,18,false)</f>
        <v>1</v>
      </c>
      <c r="AL202" s="960">
        <f t="array" ref="AL202">HLOOKUP($J202,'Type Chart'!$C$2:$T$20,19,false)*HLOOKUP($K202,'Type Chart'!$C$2:$U$20,19,false)</f>
        <v>1</v>
      </c>
      <c r="AM202" s="964" t="s">
        <v>1259</v>
      </c>
      <c r="AN202" s="965" t="s">
        <v>1487</v>
      </c>
      <c r="AO202" s="966" t="s">
        <v>1450</v>
      </c>
      <c r="AP202" s="936"/>
      <c r="AQ202" s="967"/>
      <c r="AR202" s="968"/>
      <c r="AS202" s="936"/>
    </row>
    <row r="203" ht="15.75" customHeight="1">
      <c r="A203" s="936"/>
      <c r="B203" s="948" t="s">
        <v>1630</v>
      </c>
      <c r="C203" s="950" t="s">
        <v>1631</v>
      </c>
      <c r="D203" s="950" t="s">
        <v>1631</v>
      </c>
      <c r="E203" s="952" t="s">
        <v>1631</v>
      </c>
      <c r="F203" s="940"/>
      <c r="G203" s="953"/>
      <c r="H203" s="969"/>
      <c r="I203" s="956" t="s">
        <v>1632</v>
      </c>
      <c r="J203" s="1214" t="s">
        <v>342</v>
      </c>
      <c r="K203" s="1056" t="s">
        <v>81</v>
      </c>
      <c r="L203" s="959">
        <v>60.0</v>
      </c>
      <c r="M203" s="960">
        <v>115.0</v>
      </c>
      <c r="N203" s="960">
        <v>105.0</v>
      </c>
      <c r="O203" s="960">
        <v>65.0</v>
      </c>
      <c r="P203" s="960">
        <v>70.0</v>
      </c>
      <c r="Q203" s="960">
        <v>80.0</v>
      </c>
      <c r="R203" s="960">
        <v>196.0</v>
      </c>
      <c r="S203" s="960">
        <v>259.0</v>
      </c>
      <c r="T203" s="960">
        <v>284.0</v>
      </c>
      <c r="U203" s="960">
        <f t="array" ref="U203">HLOOKUP($J203,'Type Chart'!$C$2:$T$20,2,false)*HLOOKUP($K203,'Type Chart'!$C$2:$U$20,2,false)</f>
        <v>0.5</v>
      </c>
      <c r="V203" s="960">
        <f t="array" ref="V203">HLOOKUP($J203,'Type Chart'!$C$2:$T$20,3,false)*HLOOKUP($K203,'Type Chart'!$C$2:$U$20,3,false)</f>
        <v>2</v>
      </c>
      <c r="W203" s="960">
        <f t="array" ref="W203">HLOOKUP($J203,'Type Chart'!$C$2:$T$20,4,false)*HLOOKUP($K203,'Type Chart'!$C$2:$U$20,4,false)</f>
        <v>0.5</v>
      </c>
      <c r="X203" s="960">
        <f t="array" ref="X203">HLOOKUP($J203,'Type Chart'!$C$2:$T$20,5,false)*HLOOKUP($K203,'Type Chart'!$C$2:$U$20,5,false)</f>
        <v>0.5</v>
      </c>
      <c r="Y203" s="960">
        <f t="array" ref="Y203">HLOOKUP($J203,'Type Chart'!$C$2:$T$20,6,false)*HLOOKUP($K203,'Type Chart'!$C$2:$U$20,6,false)</f>
        <v>2</v>
      </c>
      <c r="Z203" s="960">
        <f t="array" ref="Z203">HLOOKUP($J203,'Type Chart'!$C$2:$T$20,7,false)*HLOOKUP($K203,'Type Chart'!$C$2:$U$20,7,false)</f>
        <v>1</v>
      </c>
      <c r="AA203" s="960">
        <f t="array" ref="AA203">HLOOKUP($J203,'Type Chart'!$C$2:$T$20,8,false)*HLOOKUP($K203,'Type Chart'!$C$2:$U$20,8,false)</f>
        <v>1</v>
      </c>
      <c r="AB203" s="960">
        <f t="array" ref="AB203">HLOOKUP($J203,'Type Chart'!$C$2:$T$20,9,false)*HLOOKUP($K203,'Type Chart'!$C$2:$U$20,9,false)</f>
        <v>1</v>
      </c>
      <c r="AC203" s="960">
        <f t="array" ref="AC203">HLOOKUP($J203,'Type Chart'!$C$2:$T$20,10,false)*HLOOKUP($K203,'Type Chart'!$C$2:$U$20,10,false)</f>
        <v>1</v>
      </c>
      <c r="AD203" s="960">
        <f t="array" ref="AD203">HLOOKUP($J203,'Type Chart'!$C$2:$T$20,11,false)*HLOOKUP($K203,'Type Chart'!$C$2:$U$20,11,false)</f>
        <v>0.25</v>
      </c>
      <c r="AE203" s="960">
        <f t="array" ref="AE203">HLOOKUP($J203,'Type Chart'!$C$2:$T$20,12,false)*HLOOKUP($K203,'Type Chart'!$C$2:$U$20,12,false)</f>
        <v>1</v>
      </c>
      <c r="AF203" s="960">
        <f t="array" ref="AF203">HLOOKUP($J203,'Type Chart'!$C$2:$T$20,13,false)*HLOOKUP($K203,'Type Chart'!$C$2:$U$20,13,false)</f>
        <v>4</v>
      </c>
      <c r="AG203" s="960">
        <f t="array" ref="AG203">HLOOKUP($J203,'Type Chart'!$C$2:$T$20,14,false)*HLOOKUP($K203,'Type Chart'!$C$2:$U$20,14,false)</f>
        <v>2</v>
      </c>
      <c r="AH203" s="960">
        <f t="array" ref="AH203">HLOOKUP($J203,'Type Chart'!$C$2:$T$20,15,false)*HLOOKUP($K203,'Type Chart'!$C$2:$U$20,15,false)</f>
        <v>1</v>
      </c>
      <c r="AI203" s="960">
        <f t="array" ref="AI203">HLOOKUP($J203,'Type Chart'!$C$2:$T$20,16,false)*HLOOKUP($K203,'Type Chart'!$C$2:$U$20,16,false)</f>
        <v>0.5</v>
      </c>
      <c r="AJ203" s="960">
        <f t="array" ref="AJ203">HLOOKUP($J203,'Type Chart'!$C$2:$T$20,17,false)*HLOOKUP($K203,'Type Chart'!$C$2:$U$20,17,false)</f>
        <v>1</v>
      </c>
      <c r="AK203" s="960">
        <f t="array" ref="AK203">HLOOKUP($J203,'Type Chart'!$C$2:$T$20,18,false)*HLOOKUP($K203,'Type Chart'!$C$2:$U$20,18,false)</f>
        <v>1</v>
      </c>
      <c r="AL203" s="960">
        <f t="array" ref="AL203">HLOOKUP($J203,'Type Chart'!$C$2:$T$20,19,false)*HLOOKUP($K203,'Type Chart'!$C$2:$U$20,19,false)</f>
        <v>1</v>
      </c>
      <c r="AM203" s="964" t="s">
        <v>1259</v>
      </c>
      <c r="AN203" s="965" t="s">
        <v>1487</v>
      </c>
      <c r="AO203" s="966" t="s">
        <v>1450</v>
      </c>
      <c r="AP203" s="936"/>
      <c r="AQ203" s="967"/>
      <c r="AR203" s="968"/>
      <c r="AS203" s="936"/>
    </row>
    <row r="204" ht="15.75" customHeight="1">
      <c r="A204" s="1099"/>
      <c r="B204" s="948" t="s">
        <v>1633</v>
      </c>
      <c r="C204" s="950" t="s">
        <v>1634</v>
      </c>
      <c r="D204" s="950" t="s">
        <v>1634</v>
      </c>
      <c r="E204" s="952" t="s">
        <v>1634</v>
      </c>
      <c r="F204" s="940"/>
      <c r="G204" s="953"/>
      <c r="H204" s="969"/>
      <c r="I204" s="956" t="s">
        <v>1635</v>
      </c>
      <c r="J204" s="1214" t="s">
        <v>342</v>
      </c>
      <c r="K204" s="1001" t="s">
        <v>128</v>
      </c>
      <c r="L204" s="959">
        <v>80.0</v>
      </c>
      <c r="M204" s="960">
        <v>105.0</v>
      </c>
      <c r="N204" s="960">
        <v>65.0</v>
      </c>
      <c r="O204" s="960">
        <v>60.0</v>
      </c>
      <c r="P204" s="960">
        <v>75.0</v>
      </c>
      <c r="Q204" s="960">
        <v>130.0</v>
      </c>
      <c r="R204" s="960">
        <v>296.0</v>
      </c>
      <c r="S204" s="960">
        <v>359.0</v>
      </c>
      <c r="T204" s="960">
        <v>394.0</v>
      </c>
      <c r="U204" s="960">
        <f t="array" ref="U204">HLOOKUP($J204,'Type Chart'!$C$2:$T$20,2,false)*HLOOKUP($K204,'Type Chart'!$C$2:$U$20,2,false)</f>
        <v>0.5</v>
      </c>
      <c r="V204" s="960">
        <f t="array" ref="V204">HLOOKUP($J204,'Type Chart'!$C$2:$T$20,3,false)*HLOOKUP($K204,'Type Chart'!$C$2:$U$20,3,false)</f>
        <v>1</v>
      </c>
      <c r="W204" s="960">
        <f t="array" ref="W204">HLOOKUP($J204,'Type Chart'!$C$2:$T$20,4,false)*HLOOKUP($K204,'Type Chart'!$C$2:$U$20,4,false)</f>
        <v>0.5</v>
      </c>
      <c r="X204" s="960">
        <f t="array" ref="X204">HLOOKUP($J204,'Type Chart'!$C$2:$T$20,5,false)*HLOOKUP($K204,'Type Chart'!$C$2:$U$20,5,false)</f>
        <v>0.5</v>
      </c>
      <c r="Y204" s="960">
        <f t="array" ref="Y204">HLOOKUP($J204,'Type Chart'!$C$2:$T$20,6,false)*HLOOKUP($K204,'Type Chart'!$C$2:$U$20,6,false)</f>
        <v>0</v>
      </c>
      <c r="Z204" s="960">
        <f t="array" ref="Z204">HLOOKUP($J204,'Type Chart'!$C$2:$T$20,7,false)*HLOOKUP($K204,'Type Chart'!$C$2:$U$20,7,false)</f>
        <v>2</v>
      </c>
      <c r="AA204" s="960">
        <f t="array" ref="AA204">HLOOKUP($J204,'Type Chart'!$C$2:$T$20,8,false)*HLOOKUP($K204,'Type Chart'!$C$2:$U$20,8,false)</f>
        <v>0.5</v>
      </c>
      <c r="AB204" s="960">
        <f t="array" ref="AB204">HLOOKUP($J204,'Type Chart'!$C$2:$T$20,9,false)*HLOOKUP($K204,'Type Chart'!$C$2:$U$20,9,false)</f>
        <v>1</v>
      </c>
      <c r="AC204" s="960">
        <f t="array" ref="AC204">HLOOKUP($J204,'Type Chart'!$C$2:$T$20,10,false)*HLOOKUP($K204,'Type Chart'!$C$2:$U$20,10,false)</f>
        <v>2</v>
      </c>
      <c r="AD204" s="960">
        <f t="array" ref="AD204">HLOOKUP($J204,'Type Chart'!$C$2:$T$20,11,false)*HLOOKUP($K204,'Type Chart'!$C$2:$U$20,11,false)</f>
        <v>0.5</v>
      </c>
      <c r="AE204" s="960">
        <f t="array" ref="AE204">HLOOKUP($J204,'Type Chart'!$C$2:$T$20,12,false)*HLOOKUP($K204,'Type Chart'!$C$2:$U$20,12,false)</f>
        <v>2</v>
      </c>
      <c r="AF204" s="960">
        <f t="array" ref="AF204">HLOOKUP($J204,'Type Chart'!$C$2:$T$20,13,false)*HLOOKUP($K204,'Type Chart'!$C$2:$U$20,13,false)</f>
        <v>1</v>
      </c>
      <c r="AG204" s="960">
        <f t="array" ref="AG204">HLOOKUP($J204,'Type Chart'!$C$2:$T$20,14,false)*HLOOKUP($K204,'Type Chart'!$C$2:$U$20,14,false)</f>
        <v>2</v>
      </c>
      <c r="AH204" s="960">
        <f t="array" ref="AH204">HLOOKUP($J204,'Type Chart'!$C$2:$T$20,15,false)*HLOOKUP($K204,'Type Chart'!$C$2:$U$20,15,false)</f>
        <v>1</v>
      </c>
      <c r="AI204" s="960">
        <f t="array" ref="AI204">HLOOKUP($J204,'Type Chart'!$C$2:$T$20,16,false)*HLOOKUP($K204,'Type Chart'!$C$2:$U$20,16,false)</f>
        <v>2</v>
      </c>
      <c r="AJ204" s="960">
        <f t="array" ref="AJ204">HLOOKUP($J204,'Type Chart'!$C$2:$T$20,17,false)*HLOOKUP($K204,'Type Chart'!$C$2:$U$20,17,false)</f>
        <v>1</v>
      </c>
      <c r="AK204" s="960">
        <f t="array" ref="AK204">HLOOKUP($J204,'Type Chart'!$C$2:$T$20,18,false)*HLOOKUP($K204,'Type Chart'!$C$2:$U$20,18,false)</f>
        <v>1</v>
      </c>
      <c r="AL204" s="960">
        <f t="array" ref="AL204">HLOOKUP($J204,'Type Chart'!$C$2:$T$20,19,false)*HLOOKUP($K204,'Type Chart'!$C$2:$U$20,19,false)</f>
        <v>1</v>
      </c>
      <c r="AM204" s="1145" t="s">
        <v>1276</v>
      </c>
      <c r="AN204" s="965" t="s">
        <v>1636</v>
      </c>
      <c r="AO204" s="1146" t="s">
        <v>1062</v>
      </c>
      <c r="AP204" s="936"/>
      <c r="AQ204" s="967"/>
      <c r="AR204" s="968"/>
      <c r="AS204" s="936"/>
    </row>
    <row r="205" ht="15.75" customHeight="1">
      <c r="A205" s="936"/>
      <c r="B205" s="948" t="s">
        <v>1637</v>
      </c>
      <c r="C205" s="950" t="s">
        <v>1638</v>
      </c>
      <c r="D205" s="950" t="s">
        <v>1638</v>
      </c>
      <c r="E205" s="952" t="s">
        <v>1638</v>
      </c>
      <c r="F205" s="940"/>
      <c r="G205" s="953"/>
      <c r="H205" s="969"/>
      <c r="I205" s="956" t="s">
        <v>1639</v>
      </c>
      <c r="J205" s="1214" t="s">
        <v>342</v>
      </c>
      <c r="K205" s="1001" t="s">
        <v>128</v>
      </c>
      <c r="L205" s="959">
        <v>80.0</v>
      </c>
      <c r="M205" s="960">
        <v>135.0</v>
      </c>
      <c r="N205" s="960">
        <v>85.0</v>
      </c>
      <c r="O205" s="960">
        <v>70.0</v>
      </c>
      <c r="P205" s="960">
        <v>95.0</v>
      </c>
      <c r="Q205" s="960">
        <v>150.0</v>
      </c>
      <c r="R205" s="960">
        <v>336.0</v>
      </c>
      <c r="S205" s="960">
        <v>399.0</v>
      </c>
      <c r="T205" s="960">
        <v>438.0</v>
      </c>
      <c r="U205" s="960">
        <f t="array" ref="U205">HLOOKUP($J205,'Type Chart'!$C$2:$T$20,2,false)*HLOOKUP($K205,'Type Chart'!$C$2:$U$20,2,false)</f>
        <v>0.5</v>
      </c>
      <c r="V205" s="960">
        <f t="array" ref="V205">HLOOKUP($J205,'Type Chart'!$C$2:$T$20,3,false)*HLOOKUP($K205,'Type Chart'!$C$2:$U$20,3,false)</f>
        <v>1</v>
      </c>
      <c r="W205" s="960">
        <f t="array" ref="W205">HLOOKUP($J205,'Type Chart'!$C$2:$T$20,4,false)*HLOOKUP($K205,'Type Chart'!$C$2:$U$20,4,false)</f>
        <v>0.5</v>
      </c>
      <c r="X205" s="960">
        <f t="array" ref="X205">HLOOKUP($J205,'Type Chart'!$C$2:$T$20,5,false)*HLOOKUP($K205,'Type Chart'!$C$2:$U$20,5,false)</f>
        <v>0.5</v>
      </c>
      <c r="Y205" s="960">
        <f t="array" ref="Y205">HLOOKUP($J205,'Type Chart'!$C$2:$T$20,6,false)*HLOOKUP($K205,'Type Chart'!$C$2:$U$20,6,false)</f>
        <v>0</v>
      </c>
      <c r="Z205" s="960">
        <f t="array" ref="Z205">HLOOKUP($J205,'Type Chart'!$C$2:$T$20,7,false)*HLOOKUP($K205,'Type Chart'!$C$2:$U$20,7,false)</f>
        <v>2</v>
      </c>
      <c r="AA205" s="960">
        <f t="array" ref="AA205">HLOOKUP($J205,'Type Chart'!$C$2:$T$20,8,false)*HLOOKUP($K205,'Type Chart'!$C$2:$U$20,8,false)</f>
        <v>0.5</v>
      </c>
      <c r="AB205" s="960">
        <f t="array" ref="AB205">HLOOKUP($J205,'Type Chart'!$C$2:$T$20,9,false)*HLOOKUP($K205,'Type Chart'!$C$2:$U$20,9,false)</f>
        <v>1</v>
      </c>
      <c r="AC205" s="960">
        <f t="array" ref="AC205">HLOOKUP($J205,'Type Chart'!$C$2:$T$20,10,false)*HLOOKUP($K205,'Type Chart'!$C$2:$U$20,10,false)</f>
        <v>2</v>
      </c>
      <c r="AD205" s="960">
        <f t="array" ref="AD205">HLOOKUP($J205,'Type Chart'!$C$2:$T$20,11,false)*HLOOKUP($K205,'Type Chart'!$C$2:$U$20,11,false)</f>
        <v>0.5</v>
      </c>
      <c r="AE205" s="960">
        <f t="array" ref="AE205">HLOOKUP($J205,'Type Chart'!$C$2:$T$20,12,false)*HLOOKUP($K205,'Type Chart'!$C$2:$U$20,12,false)</f>
        <v>2</v>
      </c>
      <c r="AF205" s="960">
        <f t="array" ref="AF205">HLOOKUP($J205,'Type Chart'!$C$2:$T$20,13,false)*HLOOKUP($K205,'Type Chart'!$C$2:$U$20,13,false)</f>
        <v>1</v>
      </c>
      <c r="AG205" s="960">
        <f t="array" ref="AG205">HLOOKUP($J205,'Type Chart'!$C$2:$T$20,14,false)*HLOOKUP($K205,'Type Chart'!$C$2:$U$20,14,false)</f>
        <v>2</v>
      </c>
      <c r="AH205" s="960">
        <f t="array" ref="AH205">HLOOKUP($J205,'Type Chart'!$C$2:$T$20,15,false)*HLOOKUP($K205,'Type Chart'!$C$2:$U$20,15,false)</f>
        <v>1</v>
      </c>
      <c r="AI205" s="960">
        <f t="array" ref="AI205">HLOOKUP($J205,'Type Chart'!$C$2:$T$20,16,false)*HLOOKUP($K205,'Type Chart'!$C$2:$U$20,16,false)</f>
        <v>2</v>
      </c>
      <c r="AJ205" s="960">
        <f t="array" ref="AJ205">HLOOKUP($J205,'Type Chart'!$C$2:$T$20,17,false)*HLOOKUP($K205,'Type Chart'!$C$2:$U$20,17,false)</f>
        <v>1</v>
      </c>
      <c r="AK205" s="960">
        <f t="array" ref="AK205">HLOOKUP($J205,'Type Chart'!$C$2:$T$20,18,false)*HLOOKUP($K205,'Type Chart'!$C$2:$U$20,18,false)</f>
        <v>1</v>
      </c>
      <c r="AL205" s="960">
        <f t="array" ref="AL205">HLOOKUP($J205,'Type Chart'!$C$2:$T$20,19,false)*HLOOKUP($K205,'Type Chart'!$C$2:$U$20,19,false)</f>
        <v>1</v>
      </c>
      <c r="AM205" s="964" t="s">
        <v>932</v>
      </c>
      <c r="AN205" s="965"/>
      <c r="AO205" s="966"/>
      <c r="AP205" s="936"/>
      <c r="AQ205" s="967"/>
      <c r="AR205" s="968"/>
      <c r="AS205" s="936"/>
    </row>
    <row r="206" ht="15.75" customHeight="1">
      <c r="A206" s="936"/>
      <c r="B206" s="948" t="s">
        <v>1640</v>
      </c>
      <c r="C206" s="950" t="s">
        <v>1641</v>
      </c>
      <c r="D206" s="950" t="s">
        <v>1641</v>
      </c>
      <c r="E206" s="952" t="s">
        <v>1641</v>
      </c>
      <c r="F206" s="940"/>
      <c r="G206" s="953"/>
      <c r="H206" s="969"/>
      <c r="I206" s="956" t="s">
        <v>517</v>
      </c>
      <c r="J206" s="1194" t="s">
        <v>136</v>
      </c>
      <c r="K206" s="984" t="s">
        <v>216</v>
      </c>
      <c r="L206" s="959">
        <v>160.0</v>
      </c>
      <c r="M206" s="960">
        <v>110.0</v>
      </c>
      <c r="N206" s="960">
        <v>65.0</v>
      </c>
      <c r="O206" s="960">
        <v>65.0</v>
      </c>
      <c r="P206" s="960">
        <v>110.0</v>
      </c>
      <c r="Q206" s="960">
        <v>30.0</v>
      </c>
      <c r="R206" s="960">
        <v>96.0</v>
      </c>
      <c r="S206" s="960">
        <v>159.0</v>
      </c>
      <c r="T206" s="960">
        <v>174.0</v>
      </c>
      <c r="U206" s="960">
        <f t="array" ref="U206">HLOOKUP($J206,'Type Chart'!$C$2:$T$20,2,false)*HLOOKUP($K206,'Type Chart'!$C$2:$U$20,2,false)</f>
        <v>1</v>
      </c>
      <c r="V206" s="960">
        <f t="array" ref="V206">HLOOKUP($J206,'Type Chart'!$C$2:$T$20,3,false)*HLOOKUP($K206,'Type Chart'!$C$2:$U$20,3,false)</f>
        <v>2</v>
      </c>
      <c r="W206" s="960">
        <f t="array" ref="W206">HLOOKUP($J206,'Type Chart'!$C$2:$T$20,4,false)*HLOOKUP($K206,'Type Chart'!$C$2:$U$20,4,false)</f>
        <v>1</v>
      </c>
      <c r="X206" s="960">
        <f t="array" ref="X206">HLOOKUP($J206,'Type Chart'!$C$2:$T$20,5,false)*HLOOKUP($K206,'Type Chart'!$C$2:$U$20,5,false)</f>
        <v>1</v>
      </c>
      <c r="Y206" s="960">
        <f t="array" ref="Y206">HLOOKUP($J206,'Type Chart'!$C$2:$T$20,6,false)*HLOOKUP($K206,'Type Chart'!$C$2:$U$20,6,false)</f>
        <v>1</v>
      </c>
      <c r="Z206" s="960">
        <f t="array" ref="Z206">HLOOKUP($J206,'Type Chart'!$C$2:$T$20,7,false)*HLOOKUP($K206,'Type Chart'!$C$2:$U$20,7,false)</f>
        <v>1</v>
      </c>
      <c r="AA206" s="960">
        <f t="array" ref="AA206">HLOOKUP($J206,'Type Chart'!$C$2:$T$20,8,false)*HLOOKUP($K206,'Type Chart'!$C$2:$U$20,8,false)</f>
        <v>1</v>
      </c>
      <c r="AB206" s="960">
        <f t="array" ref="AB206">HLOOKUP($J206,'Type Chart'!$C$2:$T$20,9,false)*HLOOKUP($K206,'Type Chart'!$C$2:$U$20,9,false)</f>
        <v>0</v>
      </c>
      <c r="AC206" s="960">
        <f t="array" ref="AC206">HLOOKUP($J206,'Type Chart'!$C$2:$T$20,10,false)*HLOOKUP($K206,'Type Chart'!$C$2:$U$20,10,false)</f>
        <v>1</v>
      </c>
      <c r="AD206" s="960">
        <f t="array" ref="AD206">HLOOKUP($J206,'Type Chart'!$C$2:$T$20,11,false)*HLOOKUP($K206,'Type Chart'!$C$2:$U$20,11,false)</f>
        <v>1</v>
      </c>
      <c r="AE206" s="960">
        <f t="array" ref="AE206">HLOOKUP($J206,'Type Chart'!$C$2:$T$20,12,false)*HLOOKUP($K206,'Type Chart'!$C$2:$U$20,12,false)</f>
        <v>1</v>
      </c>
      <c r="AF206" s="960">
        <f t="array" ref="AF206">HLOOKUP($J206,'Type Chart'!$C$2:$T$20,13,false)*HLOOKUP($K206,'Type Chart'!$C$2:$U$20,13,false)</f>
        <v>1</v>
      </c>
      <c r="AG206" s="960">
        <f t="array" ref="AG206">HLOOKUP($J206,'Type Chart'!$C$2:$T$20,14,false)*HLOOKUP($K206,'Type Chart'!$C$2:$U$20,14,false)</f>
        <v>1</v>
      </c>
      <c r="AH206" s="960">
        <f t="array" ref="AH206">HLOOKUP($J206,'Type Chart'!$C$2:$T$20,15,false)*HLOOKUP($K206,'Type Chart'!$C$2:$U$20,15,false)</f>
        <v>1</v>
      </c>
      <c r="AI206" s="960">
        <f t="array" ref="AI206">HLOOKUP($J206,'Type Chart'!$C$2:$T$20,16,false)*HLOOKUP($K206,'Type Chart'!$C$2:$U$20,16,false)</f>
        <v>1</v>
      </c>
      <c r="AJ206" s="960">
        <f t="array" ref="AJ206">HLOOKUP($J206,'Type Chart'!$C$2:$T$20,17,false)*HLOOKUP($K206,'Type Chart'!$C$2:$U$20,17,false)</f>
        <v>1</v>
      </c>
      <c r="AK206" s="960">
        <f t="array" ref="AK206">HLOOKUP($J206,'Type Chart'!$C$2:$T$20,18,false)*HLOOKUP($K206,'Type Chart'!$C$2:$U$20,18,false)</f>
        <v>1</v>
      </c>
      <c r="AL206" s="960">
        <f t="array" ref="AL206">HLOOKUP($J206,'Type Chart'!$C$2:$T$20,19,false)*HLOOKUP($K206,'Type Chart'!$C$2:$U$20,19,false)</f>
        <v>1</v>
      </c>
      <c r="AM206" s="964" t="s">
        <v>1642</v>
      </c>
      <c r="AN206" s="965" t="s">
        <v>760</v>
      </c>
      <c r="AO206" s="966" t="s">
        <v>1044</v>
      </c>
      <c r="AP206" s="936"/>
      <c r="AQ206" s="967"/>
      <c r="AR206" s="968"/>
      <c r="AS206" s="936"/>
    </row>
    <row r="207" ht="15.75" customHeight="1">
      <c r="A207" s="1099"/>
      <c r="B207" s="948" t="s">
        <v>1643</v>
      </c>
      <c r="C207" s="950" t="s">
        <v>1644</v>
      </c>
      <c r="D207" s="950" t="s">
        <v>1644</v>
      </c>
      <c r="E207" s="952" t="s">
        <v>1644</v>
      </c>
      <c r="F207" s="940"/>
      <c r="G207" s="953"/>
      <c r="H207" s="969"/>
      <c r="I207" s="956" t="s">
        <v>704</v>
      </c>
      <c r="J207" s="1205" t="s">
        <v>345</v>
      </c>
      <c r="K207" s="1001" t="s">
        <v>128</v>
      </c>
      <c r="L207" s="959">
        <v>90.0</v>
      </c>
      <c r="M207" s="960">
        <v>85.0</v>
      </c>
      <c r="N207" s="960">
        <v>100.0</v>
      </c>
      <c r="O207" s="960">
        <v>95.0</v>
      </c>
      <c r="P207" s="960">
        <v>125.0</v>
      </c>
      <c r="Q207" s="960">
        <v>85.0</v>
      </c>
      <c r="R207" s="960">
        <v>206.0</v>
      </c>
      <c r="S207" s="960">
        <v>269.0</v>
      </c>
      <c r="T207" s="960">
        <v>295.0</v>
      </c>
      <c r="U207" s="960">
        <f t="array" ref="U207">HLOOKUP($J207,'Type Chart'!$C$2:$T$20,2,false)*HLOOKUP($K207,'Type Chart'!$C$2:$U$20,2,false)</f>
        <v>1</v>
      </c>
      <c r="V207" s="960">
        <f t="array" ref="V207">HLOOKUP($J207,'Type Chart'!$C$2:$T$20,3,false)*HLOOKUP($K207,'Type Chart'!$C$2:$U$20,3,false)</f>
        <v>1</v>
      </c>
      <c r="W207" s="960">
        <f t="array" ref="W207">HLOOKUP($J207,'Type Chart'!$C$2:$T$20,4,false)*HLOOKUP($K207,'Type Chart'!$C$2:$U$20,4,false)</f>
        <v>1</v>
      </c>
      <c r="X207" s="960">
        <f t="array" ref="X207">HLOOKUP($J207,'Type Chart'!$C$2:$T$20,5,false)*HLOOKUP($K207,'Type Chart'!$C$2:$U$20,5,false)</f>
        <v>1</v>
      </c>
      <c r="Y207" s="960">
        <f t="array" ref="Y207">HLOOKUP($J207,'Type Chart'!$C$2:$T$20,6,false)*HLOOKUP($K207,'Type Chart'!$C$2:$U$20,6,false)</f>
        <v>0</v>
      </c>
      <c r="Z207" s="960">
        <f t="array" ref="Z207">HLOOKUP($J207,'Type Chart'!$C$2:$T$20,7,false)*HLOOKUP($K207,'Type Chart'!$C$2:$U$20,7,false)</f>
        <v>4</v>
      </c>
      <c r="AA207" s="960">
        <f t="array" ref="AA207">HLOOKUP($J207,'Type Chart'!$C$2:$T$20,8,false)*HLOOKUP($K207,'Type Chart'!$C$2:$U$20,8,false)</f>
        <v>0.5</v>
      </c>
      <c r="AB207" s="960">
        <f t="array" ref="AB207">HLOOKUP($J207,'Type Chart'!$C$2:$T$20,9,false)*HLOOKUP($K207,'Type Chart'!$C$2:$U$20,9,false)</f>
        <v>1</v>
      </c>
      <c r="AC207" s="960">
        <f t="array" ref="AC207">HLOOKUP($J207,'Type Chart'!$C$2:$T$20,10,false)*HLOOKUP($K207,'Type Chart'!$C$2:$U$20,10,false)</f>
        <v>2</v>
      </c>
      <c r="AD207" s="960">
        <f t="array" ref="AD207">HLOOKUP($J207,'Type Chart'!$C$2:$T$20,11,false)*HLOOKUP($K207,'Type Chart'!$C$2:$U$20,11,false)</f>
        <v>2</v>
      </c>
      <c r="AE207" s="960">
        <f t="array" ref="AE207">HLOOKUP($J207,'Type Chart'!$C$2:$T$20,12,false)*HLOOKUP($K207,'Type Chart'!$C$2:$U$20,12,false)</f>
        <v>1</v>
      </c>
      <c r="AF207" s="960">
        <f t="array" ref="AF207">HLOOKUP($J207,'Type Chart'!$C$2:$T$20,13,false)*HLOOKUP($K207,'Type Chart'!$C$2:$U$20,13,false)</f>
        <v>0.5</v>
      </c>
      <c r="AG207" s="960">
        <f t="array" ref="AG207">HLOOKUP($J207,'Type Chart'!$C$2:$T$20,14,false)*HLOOKUP($K207,'Type Chart'!$C$2:$U$20,14,false)</f>
        <v>2</v>
      </c>
      <c r="AH207" s="960">
        <f t="array" ref="AH207">HLOOKUP($J207,'Type Chart'!$C$2:$T$20,15,false)*HLOOKUP($K207,'Type Chart'!$C$2:$U$20,15,false)</f>
        <v>1</v>
      </c>
      <c r="AI207" s="960">
        <f t="array" ref="AI207">HLOOKUP($J207,'Type Chart'!$C$2:$T$20,16,false)*HLOOKUP($K207,'Type Chart'!$C$2:$U$20,16,false)</f>
        <v>1</v>
      </c>
      <c r="AJ207" s="960">
        <f t="array" ref="AJ207">HLOOKUP($J207,'Type Chart'!$C$2:$T$20,17,false)*HLOOKUP($K207,'Type Chart'!$C$2:$U$20,17,false)</f>
        <v>1</v>
      </c>
      <c r="AK207" s="960">
        <f t="array" ref="AK207">HLOOKUP($J207,'Type Chart'!$C$2:$T$20,18,false)*HLOOKUP($K207,'Type Chart'!$C$2:$U$20,18,false)</f>
        <v>1</v>
      </c>
      <c r="AL207" s="960">
        <f t="array" ref="AL207">HLOOKUP($J207,'Type Chart'!$C$2:$T$20,19,false)*HLOOKUP($K207,'Type Chart'!$C$2:$U$20,19,false)</f>
        <v>1</v>
      </c>
      <c r="AM207" s="1145" t="s">
        <v>1636</v>
      </c>
      <c r="AN207" s="1202"/>
      <c r="AO207" s="1146" t="s">
        <v>1135</v>
      </c>
      <c r="AP207" s="936"/>
      <c r="AQ207" s="967"/>
      <c r="AR207" s="968"/>
      <c r="AS207" s="936"/>
    </row>
    <row r="208" ht="15.75" customHeight="1">
      <c r="A208" s="1099"/>
      <c r="B208" s="948" t="s">
        <v>1645</v>
      </c>
      <c r="C208" s="950" t="s">
        <v>1646</v>
      </c>
      <c r="D208" s="950" t="s">
        <v>1646</v>
      </c>
      <c r="E208" s="952" t="s">
        <v>1647</v>
      </c>
      <c r="F208" s="940"/>
      <c r="G208" s="953"/>
      <c r="H208" s="969"/>
      <c r="I208" s="956" t="s">
        <v>645</v>
      </c>
      <c r="J208" s="1203" t="s">
        <v>344</v>
      </c>
      <c r="K208" s="1001" t="s">
        <v>128</v>
      </c>
      <c r="L208" s="959">
        <v>90.0</v>
      </c>
      <c r="M208" s="960">
        <v>85.0</v>
      </c>
      <c r="N208" s="960">
        <v>85.0</v>
      </c>
      <c r="O208" s="960">
        <v>125.0</v>
      </c>
      <c r="P208" s="960">
        <v>100.0</v>
      </c>
      <c r="Q208" s="960">
        <v>95.0</v>
      </c>
      <c r="R208" s="960">
        <v>226.0</v>
      </c>
      <c r="S208" s="960">
        <v>289.0</v>
      </c>
      <c r="T208" s="960">
        <v>317.0</v>
      </c>
      <c r="U208" s="960">
        <f t="array" ref="U208">HLOOKUP($J208,'Type Chart'!$C$2:$T$20,2,false)*HLOOKUP($K208,'Type Chart'!$C$2:$U$20,2,false)</f>
        <v>1</v>
      </c>
      <c r="V208" s="960">
        <f t="array" ref="V208">HLOOKUP($J208,'Type Chart'!$C$2:$T$20,3,false)*HLOOKUP($K208,'Type Chart'!$C$2:$U$20,3,false)</f>
        <v>0.25</v>
      </c>
      <c r="W208" s="960">
        <f t="array" ref="W208">HLOOKUP($J208,'Type Chart'!$C$2:$T$20,4,false)*HLOOKUP($K208,'Type Chart'!$C$2:$U$20,4,false)</f>
        <v>1</v>
      </c>
      <c r="X208" s="960">
        <f t="array" ref="X208">HLOOKUP($J208,'Type Chart'!$C$2:$T$20,5,false)*HLOOKUP($K208,'Type Chart'!$C$2:$U$20,5,false)</f>
        <v>1</v>
      </c>
      <c r="Y208" s="960">
        <f t="array" ref="Y208">HLOOKUP($J208,'Type Chart'!$C$2:$T$20,6,false)*HLOOKUP($K208,'Type Chart'!$C$2:$U$20,6,false)</f>
        <v>0</v>
      </c>
      <c r="Z208" s="960">
        <f t="array" ref="Z208">HLOOKUP($J208,'Type Chart'!$C$2:$T$20,7,false)*HLOOKUP($K208,'Type Chart'!$C$2:$U$20,7,false)</f>
        <v>2</v>
      </c>
      <c r="AA208" s="960">
        <f t="array" ref="AA208">HLOOKUP($J208,'Type Chart'!$C$2:$T$20,8,false)*HLOOKUP($K208,'Type Chart'!$C$2:$U$20,8,false)</f>
        <v>1</v>
      </c>
      <c r="AB208" s="960">
        <f t="array" ref="AB208">HLOOKUP($J208,'Type Chart'!$C$2:$T$20,9,false)*HLOOKUP($K208,'Type Chart'!$C$2:$U$20,9,false)</f>
        <v>2</v>
      </c>
      <c r="AC208" s="960">
        <f t="array" ref="AC208">HLOOKUP($J208,'Type Chart'!$C$2:$T$20,10,false)*HLOOKUP($K208,'Type Chart'!$C$2:$U$20,10,false)</f>
        <v>1</v>
      </c>
      <c r="AD208" s="960">
        <f t="array" ref="AD208">HLOOKUP($J208,'Type Chart'!$C$2:$T$20,11,false)*HLOOKUP($K208,'Type Chart'!$C$2:$U$20,11,false)</f>
        <v>1</v>
      </c>
      <c r="AE208" s="960">
        <f t="array" ref="AE208">HLOOKUP($J208,'Type Chart'!$C$2:$T$20,12,false)*HLOOKUP($K208,'Type Chart'!$C$2:$U$20,12,false)</f>
        <v>1</v>
      </c>
      <c r="AF208" s="960">
        <f t="array" ref="AF208">HLOOKUP($J208,'Type Chart'!$C$2:$T$20,13,false)*HLOOKUP($K208,'Type Chart'!$C$2:$U$20,13,false)</f>
        <v>0.5</v>
      </c>
      <c r="AG208" s="960">
        <f t="array" ref="AG208">HLOOKUP($J208,'Type Chart'!$C$2:$T$20,14,false)*HLOOKUP($K208,'Type Chart'!$C$2:$U$20,14,false)</f>
        <v>2</v>
      </c>
      <c r="AH208" s="960">
        <f t="array" ref="AH208">HLOOKUP($J208,'Type Chart'!$C$2:$T$20,15,false)*HLOOKUP($K208,'Type Chart'!$C$2:$U$20,15,false)</f>
        <v>0.5</v>
      </c>
      <c r="AI208" s="960">
        <f t="array" ref="AI208">HLOOKUP($J208,'Type Chart'!$C$2:$T$20,16,false)*HLOOKUP($K208,'Type Chart'!$C$2:$U$20,16,false)</f>
        <v>2</v>
      </c>
      <c r="AJ208" s="960">
        <f t="array" ref="AJ208">HLOOKUP($J208,'Type Chart'!$C$2:$T$20,17,false)*HLOOKUP($K208,'Type Chart'!$C$2:$U$20,17,false)</f>
        <v>1</v>
      </c>
      <c r="AK208" s="960">
        <f t="array" ref="AK208">HLOOKUP($J208,'Type Chart'!$C$2:$T$20,18,false)*HLOOKUP($K208,'Type Chart'!$C$2:$U$20,18,false)</f>
        <v>2</v>
      </c>
      <c r="AL208" s="960">
        <f t="array" ref="AL208">HLOOKUP($J208,'Type Chart'!$C$2:$T$20,19,false)*HLOOKUP($K208,'Type Chart'!$C$2:$U$20,19,false)</f>
        <v>1</v>
      </c>
      <c r="AM208" s="1145" t="s">
        <v>1185</v>
      </c>
      <c r="AN208" s="1202"/>
      <c r="AO208" s="1146"/>
      <c r="AP208" s="936"/>
      <c r="AQ208" s="967"/>
      <c r="AR208" s="968"/>
      <c r="AS208" s="936"/>
    </row>
    <row r="209" ht="15.75" customHeight="1">
      <c r="A209" s="936"/>
      <c r="B209" s="948" t="s">
        <v>1648</v>
      </c>
      <c r="C209" s="950" t="s">
        <v>167</v>
      </c>
      <c r="D209" s="950" t="s">
        <v>167</v>
      </c>
      <c r="E209" s="952" t="s">
        <v>167</v>
      </c>
      <c r="F209" s="940"/>
      <c r="G209" s="953"/>
      <c r="H209" s="969"/>
      <c r="I209" s="956" t="s">
        <v>112</v>
      </c>
      <c r="J209" s="1196" t="s">
        <v>203</v>
      </c>
      <c r="K209" s="1001" t="s">
        <v>128</v>
      </c>
      <c r="L209" s="959">
        <v>90.0</v>
      </c>
      <c r="M209" s="960">
        <v>90.0</v>
      </c>
      <c r="N209" s="960">
        <v>85.0</v>
      </c>
      <c r="O209" s="960">
        <v>125.0</v>
      </c>
      <c r="P209" s="960">
        <v>90.0</v>
      </c>
      <c r="Q209" s="960">
        <v>100.0</v>
      </c>
      <c r="R209" s="960">
        <v>236.0</v>
      </c>
      <c r="S209" s="960">
        <v>299.0</v>
      </c>
      <c r="T209" s="960">
        <v>328.0</v>
      </c>
      <c r="U209" s="960">
        <f t="array" ref="U209">HLOOKUP($J209,'Type Chart'!$C$2:$T$20,2,false)*HLOOKUP($K209,'Type Chart'!$C$2:$U$20,2,false)</f>
        <v>1</v>
      </c>
      <c r="V209" s="960">
        <f t="array" ref="V209">HLOOKUP($J209,'Type Chart'!$C$2:$T$20,3,false)*HLOOKUP($K209,'Type Chart'!$C$2:$U$20,3,false)</f>
        <v>0.5</v>
      </c>
      <c r="W209" s="960">
        <f t="array" ref="W209">HLOOKUP($J209,'Type Chart'!$C$2:$T$20,4,false)*HLOOKUP($K209,'Type Chart'!$C$2:$U$20,4,false)</f>
        <v>0.5</v>
      </c>
      <c r="X209" s="960">
        <f t="array" ref="X209">HLOOKUP($J209,'Type Chart'!$C$2:$T$20,5,false)*HLOOKUP($K209,'Type Chart'!$C$2:$U$20,5,false)</f>
        <v>1</v>
      </c>
      <c r="Y209" s="960">
        <f t="array" ref="Y209">HLOOKUP($J209,'Type Chart'!$C$2:$T$20,6,false)*HLOOKUP($K209,'Type Chart'!$C$2:$U$20,6,false)</f>
        <v>0</v>
      </c>
      <c r="Z209" s="960">
        <f t="array" ref="Z209">HLOOKUP($J209,'Type Chart'!$C$2:$T$20,7,false)*HLOOKUP($K209,'Type Chart'!$C$2:$U$20,7,false)</f>
        <v>2</v>
      </c>
      <c r="AA209" s="960">
        <f t="array" ref="AA209">HLOOKUP($J209,'Type Chart'!$C$2:$T$20,8,false)*HLOOKUP($K209,'Type Chart'!$C$2:$U$20,8,false)</f>
        <v>0.5</v>
      </c>
      <c r="AB209" s="960">
        <f t="array" ref="AB209">HLOOKUP($J209,'Type Chart'!$C$2:$T$20,9,false)*HLOOKUP($K209,'Type Chart'!$C$2:$U$20,9,false)</f>
        <v>1</v>
      </c>
      <c r="AC209" s="960">
        <f t="array" ref="AC209">HLOOKUP($J209,'Type Chart'!$C$2:$T$20,10,false)*HLOOKUP($K209,'Type Chart'!$C$2:$U$20,10,false)</f>
        <v>0.5</v>
      </c>
      <c r="AD209" s="960">
        <f t="array" ref="AD209">HLOOKUP($J209,'Type Chart'!$C$2:$T$20,11,false)*HLOOKUP($K209,'Type Chart'!$C$2:$U$20,11,false)</f>
        <v>1</v>
      </c>
      <c r="AE209" s="960">
        <f t="array" ref="AE209">HLOOKUP($J209,'Type Chart'!$C$2:$T$20,12,false)*HLOOKUP($K209,'Type Chart'!$C$2:$U$20,12,false)</f>
        <v>1</v>
      </c>
      <c r="AF209" s="960">
        <f t="array" ref="AF209">HLOOKUP($J209,'Type Chart'!$C$2:$T$20,13,false)*HLOOKUP($K209,'Type Chart'!$C$2:$U$20,13,false)</f>
        <v>0.5</v>
      </c>
      <c r="AG209" s="960">
        <f t="array" ref="AG209">HLOOKUP($J209,'Type Chart'!$C$2:$T$20,14,false)*HLOOKUP($K209,'Type Chart'!$C$2:$U$20,14,false)</f>
        <v>1</v>
      </c>
      <c r="AH209" s="960">
        <f t="array" ref="AH209">HLOOKUP($J209,'Type Chart'!$C$2:$T$20,15,false)*HLOOKUP($K209,'Type Chart'!$C$2:$U$20,15,false)</f>
        <v>1</v>
      </c>
      <c r="AI209" s="960">
        <f t="array" ref="AI209">HLOOKUP($J209,'Type Chart'!$C$2:$T$20,16,false)*HLOOKUP($K209,'Type Chart'!$C$2:$U$20,16,false)</f>
        <v>2</v>
      </c>
      <c r="AJ209" s="960">
        <f t="array" ref="AJ209">HLOOKUP($J209,'Type Chart'!$C$2:$T$20,17,false)*HLOOKUP($K209,'Type Chart'!$C$2:$U$20,17,false)</f>
        <v>1</v>
      </c>
      <c r="AK209" s="960">
        <f t="array" ref="AK209">HLOOKUP($J209,'Type Chart'!$C$2:$T$20,18,false)*HLOOKUP($K209,'Type Chart'!$C$2:$U$20,18,false)</f>
        <v>1</v>
      </c>
      <c r="AL209" s="960">
        <f t="array" ref="AL209">HLOOKUP($J209,'Type Chart'!$C$2:$T$20,19,false)*HLOOKUP($K209,'Type Chart'!$C$2:$U$20,19,false)</f>
        <v>1</v>
      </c>
      <c r="AM209" s="964" t="s">
        <v>1636</v>
      </c>
      <c r="AN209" s="965"/>
      <c r="AO209" s="966" t="s">
        <v>1067</v>
      </c>
      <c r="AP209" s="936"/>
      <c r="AQ209" s="967"/>
      <c r="AR209" s="968"/>
      <c r="AS209" s="936"/>
    </row>
    <row r="210" ht="15.75" customHeight="1">
      <c r="A210" s="936"/>
      <c r="B210" s="948" t="s">
        <v>1649</v>
      </c>
      <c r="C210" s="950" t="s">
        <v>1650</v>
      </c>
      <c r="D210" s="950" t="s">
        <v>1650</v>
      </c>
      <c r="E210" s="952" t="s">
        <v>1651</v>
      </c>
      <c r="F210" s="940"/>
      <c r="G210" s="953"/>
      <c r="H210" s="969"/>
      <c r="I210" s="956" t="s">
        <v>433</v>
      </c>
      <c r="J210" s="1213" t="s">
        <v>341</v>
      </c>
      <c r="K210" s="1001" t="s">
        <v>128</v>
      </c>
      <c r="L210" s="959">
        <v>90.0</v>
      </c>
      <c r="M210" s="960">
        <v>125.0</v>
      </c>
      <c r="N210" s="960">
        <v>90.0</v>
      </c>
      <c r="O210" s="960">
        <v>85.0</v>
      </c>
      <c r="P210" s="960">
        <v>90.0</v>
      </c>
      <c r="Q210" s="960">
        <v>100.0</v>
      </c>
      <c r="R210" s="960">
        <v>236.0</v>
      </c>
      <c r="S210" s="960">
        <v>299.0</v>
      </c>
      <c r="T210" s="960">
        <v>328.0</v>
      </c>
      <c r="U210" s="960">
        <f t="array" ref="U210">HLOOKUP($J210,'Type Chart'!$C$2:$T$20,2,false)*HLOOKUP($K210,'Type Chart'!$C$2:$U$20,2,false)</f>
        <v>1</v>
      </c>
      <c r="V210" s="960">
        <f t="array" ref="V210">HLOOKUP($J210,'Type Chart'!$C$2:$T$20,3,false)*HLOOKUP($K210,'Type Chart'!$C$2:$U$20,3,false)</f>
        <v>0.5</v>
      </c>
      <c r="W210" s="960">
        <f t="array" ref="W210">HLOOKUP($J210,'Type Chart'!$C$2:$T$20,4,false)*HLOOKUP($K210,'Type Chart'!$C$2:$U$20,4,false)</f>
        <v>2</v>
      </c>
      <c r="X210" s="960">
        <f t="array" ref="X210">HLOOKUP($J210,'Type Chart'!$C$2:$T$20,5,false)*HLOOKUP($K210,'Type Chart'!$C$2:$U$20,5,false)</f>
        <v>1</v>
      </c>
      <c r="Y210" s="960">
        <f t="array" ref="Y210">HLOOKUP($J210,'Type Chart'!$C$2:$T$20,6,false)*HLOOKUP($K210,'Type Chart'!$C$2:$U$20,6,false)</f>
        <v>0</v>
      </c>
      <c r="Z210" s="960">
        <f t="array" ref="Z210">HLOOKUP($J210,'Type Chart'!$C$2:$T$20,7,false)*HLOOKUP($K210,'Type Chart'!$C$2:$U$20,7,false)</f>
        <v>1</v>
      </c>
      <c r="AA210" s="960">
        <f t="array" ref="AA210">HLOOKUP($J210,'Type Chart'!$C$2:$T$20,8,false)*HLOOKUP($K210,'Type Chart'!$C$2:$U$20,8,false)</f>
        <v>0.25</v>
      </c>
      <c r="AB210" s="960">
        <f t="array" ref="AB210">HLOOKUP($J210,'Type Chart'!$C$2:$T$20,9,false)*HLOOKUP($K210,'Type Chart'!$C$2:$U$20,9,false)</f>
        <v>1</v>
      </c>
      <c r="AC210" s="960">
        <f t="array" ref="AC210">HLOOKUP($J210,'Type Chart'!$C$2:$T$20,10,false)*HLOOKUP($K210,'Type Chart'!$C$2:$U$20,10,false)</f>
        <v>1</v>
      </c>
      <c r="AD210" s="960">
        <f t="array" ref="AD210">HLOOKUP($J210,'Type Chart'!$C$2:$T$20,11,false)*HLOOKUP($K210,'Type Chart'!$C$2:$U$20,11,false)</f>
        <v>1</v>
      </c>
      <c r="AE210" s="960">
        <f t="array" ref="AE210">HLOOKUP($J210,'Type Chart'!$C$2:$T$20,12,false)*HLOOKUP($K210,'Type Chart'!$C$2:$U$20,12,false)</f>
        <v>1</v>
      </c>
      <c r="AF210" s="960">
        <f t="array" ref="AF210">HLOOKUP($J210,'Type Chart'!$C$2:$T$20,13,false)*HLOOKUP($K210,'Type Chart'!$C$2:$U$20,13,false)</f>
        <v>0.5</v>
      </c>
      <c r="AG210" s="960">
        <f t="array" ref="AG210">HLOOKUP($J210,'Type Chart'!$C$2:$T$20,14,false)*HLOOKUP($K210,'Type Chart'!$C$2:$U$20,14,false)</f>
        <v>2</v>
      </c>
      <c r="AH210" s="960">
        <f t="array" ref="AH210">HLOOKUP($J210,'Type Chart'!$C$2:$T$20,15,false)*HLOOKUP($K210,'Type Chart'!$C$2:$U$20,15,false)</f>
        <v>2</v>
      </c>
      <c r="AI210" s="960">
        <f t="array" ref="AI210">HLOOKUP($J210,'Type Chart'!$C$2:$T$20,16,false)*HLOOKUP($K210,'Type Chart'!$C$2:$U$20,16,false)</f>
        <v>2</v>
      </c>
      <c r="AJ210" s="960">
        <f t="array" ref="AJ210">HLOOKUP($J210,'Type Chart'!$C$2:$T$20,17,false)*HLOOKUP($K210,'Type Chart'!$C$2:$U$20,17,false)</f>
        <v>1</v>
      </c>
      <c r="AK210" s="960">
        <f t="array" ref="AK210">HLOOKUP($J210,'Type Chart'!$C$2:$T$20,18,false)*HLOOKUP($K210,'Type Chart'!$C$2:$U$20,18,false)</f>
        <v>0.5</v>
      </c>
      <c r="AL210" s="960">
        <f t="array" ref="AL210">HLOOKUP($J210,'Type Chart'!$C$2:$T$20,19,false)*HLOOKUP($K210,'Type Chart'!$C$2:$U$20,19,false)</f>
        <v>2</v>
      </c>
      <c r="AM210" s="964" t="s">
        <v>1267</v>
      </c>
      <c r="AN210" s="965"/>
      <c r="AO210" s="966"/>
      <c r="AP210" s="936"/>
      <c r="AQ210" s="967"/>
      <c r="AR210" s="968"/>
      <c r="AS210" s="936"/>
    </row>
    <row r="211" ht="15.75" customHeight="1">
      <c r="A211" s="936"/>
      <c r="B211" s="948" t="s">
        <v>1652</v>
      </c>
      <c r="C211" s="950" t="s">
        <v>1653</v>
      </c>
      <c r="D211" s="950" t="s">
        <v>1653</v>
      </c>
      <c r="E211" s="952" t="s">
        <v>1653</v>
      </c>
      <c r="F211" s="940"/>
      <c r="G211" s="953"/>
      <c r="H211" s="969"/>
      <c r="I211" s="956" t="s">
        <v>545</v>
      </c>
      <c r="J211" s="982" t="s">
        <v>150</v>
      </c>
      <c r="K211" s="1001" t="s">
        <v>128</v>
      </c>
      <c r="L211" s="959">
        <v>90.0</v>
      </c>
      <c r="M211" s="960">
        <v>100.0</v>
      </c>
      <c r="N211" s="960">
        <v>90.0</v>
      </c>
      <c r="O211" s="960">
        <v>125.0</v>
      </c>
      <c r="P211" s="960">
        <v>85.0</v>
      </c>
      <c r="Q211" s="960">
        <v>90.0</v>
      </c>
      <c r="R211" s="960">
        <v>216.0</v>
      </c>
      <c r="S211" s="960">
        <v>279.0</v>
      </c>
      <c r="T211" s="960">
        <v>306.0</v>
      </c>
      <c r="U211" s="960">
        <f t="array" ref="U211">HLOOKUP($J211,'Type Chart'!$C$2:$T$20,2,false)*HLOOKUP($K211,'Type Chart'!$C$2:$U$20,2,false)</f>
        <v>1</v>
      </c>
      <c r="V211" s="960">
        <f t="array" ref="V211">HLOOKUP($J211,'Type Chart'!$C$2:$T$20,3,false)*HLOOKUP($K211,'Type Chart'!$C$2:$U$20,3,false)</f>
        <v>0.5</v>
      </c>
      <c r="W211" s="960">
        <f t="array" ref="W211">HLOOKUP($J211,'Type Chart'!$C$2:$T$20,4,false)*HLOOKUP($K211,'Type Chart'!$C$2:$U$20,4,false)</f>
        <v>1</v>
      </c>
      <c r="X211" s="960">
        <f t="array" ref="X211">HLOOKUP($J211,'Type Chart'!$C$2:$T$20,5,false)*HLOOKUP($K211,'Type Chart'!$C$2:$U$20,5,false)</f>
        <v>1</v>
      </c>
      <c r="Y211" s="960">
        <f t="array" ref="Y211">HLOOKUP($J211,'Type Chart'!$C$2:$T$20,6,false)*HLOOKUP($K211,'Type Chart'!$C$2:$U$20,6,false)</f>
        <v>0</v>
      </c>
      <c r="Z211" s="960">
        <f t="array" ref="Z211">HLOOKUP($J211,'Type Chart'!$C$2:$T$20,7,false)*HLOOKUP($K211,'Type Chart'!$C$2:$U$20,7,false)</f>
        <v>4</v>
      </c>
      <c r="AA211" s="960">
        <f t="array" ref="AA211">HLOOKUP($J211,'Type Chart'!$C$2:$T$20,8,false)*HLOOKUP($K211,'Type Chart'!$C$2:$U$20,8,false)</f>
        <v>0.25</v>
      </c>
      <c r="AB211" s="960">
        <f t="array" ref="AB211">HLOOKUP($J211,'Type Chart'!$C$2:$T$20,9,false)*HLOOKUP($K211,'Type Chart'!$C$2:$U$20,9,false)</f>
        <v>1</v>
      </c>
      <c r="AC211" s="960">
        <f t="array" ref="AC211">HLOOKUP($J211,'Type Chart'!$C$2:$T$20,10,false)*HLOOKUP($K211,'Type Chart'!$C$2:$U$20,10,false)</f>
        <v>0.5</v>
      </c>
      <c r="AD211" s="960">
        <f t="array" ref="AD211">HLOOKUP($J211,'Type Chart'!$C$2:$T$20,11,false)*HLOOKUP($K211,'Type Chart'!$C$2:$U$20,11,false)</f>
        <v>0.5</v>
      </c>
      <c r="AE211" s="960">
        <f t="array" ref="AE211">HLOOKUP($J211,'Type Chart'!$C$2:$T$20,12,false)*HLOOKUP($K211,'Type Chart'!$C$2:$U$20,12,false)</f>
        <v>2</v>
      </c>
      <c r="AF211" s="960">
        <f t="array" ref="AF211">HLOOKUP($J211,'Type Chart'!$C$2:$T$20,13,false)*HLOOKUP($K211,'Type Chart'!$C$2:$U$20,13,false)</f>
        <v>0.25</v>
      </c>
      <c r="AG211" s="960">
        <f t="array" ref="AG211">HLOOKUP($J211,'Type Chart'!$C$2:$T$20,14,false)*HLOOKUP($K211,'Type Chart'!$C$2:$U$20,14,false)</f>
        <v>2</v>
      </c>
      <c r="AH211" s="960">
        <f t="array" ref="AH211">HLOOKUP($J211,'Type Chart'!$C$2:$T$20,15,false)*HLOOKUP($K211,'Type Chart'!$C$2:$U$20,15,false)</f>
        <v>1</v>
      </c>
      <c r="AI211" s="960">
        <f t="array" ref="AI211">HLOOKUP($J211,'Type Chart'!$C$2:$T$20,16,false)*HLOOKUP($K211,'Type Chart'!$C$2:$U$20,16,false)</f>
        <v>1</v>
      </c>
      <c r="AJ211" s="960">
        <f t="array" ref="AJ211">HLOOKUP($J211,'Type Chart'!$C$2:$T$20,17,false)*HLOOKUP($K211,'Type Chart'!$C$2:$U$20,17,false)</f>
        <v>1</v>
      </c>
      <c r="AK211" s="960">
        <f t="array" ref="AK211">HLOOKUP($J211,'Type Chart'!$C$2:$T$20,18,false)*HLOOKUP($K211,'Type Chart'!$C$2:$U$20,18,false)</f>
        <v>1</v>
      </c>
      <c r="AL211" s="960">
        <f t="array" ref="AL211">HLOOKUP($J211,'Type Chart'!$C$2:$T$20,19,false)*HLOOKUP($K211,'Type Chart'!$C$2:$U$20,19,false)</f>
        <v>0.5</v>
      </c>
      <c r="AM211" s="964" t="s">
        <v>1636</v>
      </c>
      <c r="AN211" s="965"/>
      <c r="AO211" s="966" t="s">
        <v>1353</v>
      </c>
      <c r="AP211" s="936"/>
      <c r="AQ211" s="967"/>
      <c r="AR211" s="968"/>
      <c r="AS211" s="936"/>
    </row>
    <row r="212" ht="15.75" customHeight="1">
      <c r="A212" s="936"/>
      <c r="B212" s="948" t="s">
        <v>1654</v>
      </c>
      <c r="C212" s="950" t="s">
        <v>1655</v>
      </c>
      <c r="D212" s="950" t="s">
        <v>1655</v>
      </c>
      <c r="E212" s="952" t="s">
        <v>1656</v>
      </c>
      <c r="F212" s="940"/>
      <c r="G212" s="953"/>
      <c r="H212" s="969"/>
      <c r="I212" s="956" t="s">
        <v>480</v>
      </c>
      <c r="J212" s="1195" t="s">
        <v>193</v>
      </c>
      <c r="K212" s="1001" t="s">
        <v>128</v>
      </c>
      <c r="L212" s="959">
        <v>90.0</v>
      </c>
      <c r="M212" s="960">
        <v>85.0</v>
      </c>
      <c r="N212" s="960">
        <v>90.0</v>
      </c>
      <c r="O212" s="960">
        <v>100.0</v>
      </c>
      <c r="P212" s="960">
        <v>125.0</v>
      </c>
      <c r="Q212" s="960">
        <v>90.0</v>
      </c>
      <c r="R212" s="960">
        <v>216.0</v>
      </c>
      <c r="S212" s="960">
        <v>279.0</v>
      </c>
      <c r="T212" s="960">
        <v>306.0</v>
      </c>
      <c r="U212" s="960">
        <f t="array" ref="U212">HLOOKUP($J212,'Type Chart'!$C$2:$T$20,2,false)*HLOOKUP($K212,'Type Chart'!$C$2:$U$20,2,false)</f>
        <v>1</v>
      </c>
      <c r="V212" s="960">
        <f t="array" ref="V212">HLOOKUP($J212,'Type Chart'!$C$2:$T$20,3,false)*HLOOKUP($K212,'Type Chart'!$C$2:$U$20,3,false)</f>
        <v>1</v>
      </c>
      <c r="W212" s="960">
        <f t="array" ref="W212">HLOOKUP($J212,'Type Chart'!$C$2:$T$20,4,false)*HLOOKUP($K212,'Type Chart'!$C$2:$U$20,4,false)</f>
        <v>1</v>
      </c>
      <c r="X212" s="960">
        <f t="array" ref="X212">HLOOKUP($J212,'Type Chart'!$C$2:$T$20,5,false)*HLOOKUP($K212,'Type Chart'!$C$2:$U$20,5,false)</f>
        <v>1</v>
      </c>
      <c r="Y212" s="960">
        <f t="array" ref="Y212">HLOOKUP($J212,'Type Chart'!$C$2:$T$20,6,false)*HLOOKUP($K212,'Type Chart'!$C$2:$U$20,6,false)</f>
        <v>0</v>
      </c>
      <c r="Z212" s="960">
        <f t="array" ref="Z212">HLOOKUP($J212,'Type Chart'!$C$2:$T$20,7,false)*HLOOKUP($K212,'Type Chart'!$C$2:$U$20,7,false)</f>
        <v>2</v>
      </c>
      <c r="AA212" s="960">
        <f t="array" ref="AA212">HLOOKUP($J212,'Type Chart'!$C$2:$T$20,8,false)*HLOOKUP($K212,'Type Chart'!$C$2:$U$20,8,false)</f>
        <v>1</v>
      </c>
      <c r="AB212" s="960">
        <f t="array" ref="AB212">HLOOKUP($J212,'Type Chart'!$C$2:$T$20,9,false)*HLOOKUP($K212,'Type Chart'!$C$2:$U$20,9,false)</f>
        <v>0.5</v>
      </c>
      <c r="AC212" s="960">
        <f t="array" ref="AC212">HLOOKUP($J212,'Type Chart'!$C$2:$T$20,10,false)*HLOOKUP($K212,'Type Chart'!$C$2:$U$20,10,false)</f>
        <v>1</v>
      </c>
      <c r="AD212" s="960">
        <f t="array" ref="AD212">HLOOKUP($J212,'Type Chart'!$C$2:$T$20,11,false)*HLOOKUP($K212,'Type Chart'!$C$2:$U$20,11,false)</f>
        <v>1</v>
      </c>
      <c r="AE212" s="960">
        <f t="array" ref="AE212">HLOOKUP($J212,'Type Chart'!$C$2:$T$20,12,false)*HLOOKUP($K212,'Type Chart'!$C$2:$U$20,12,false)</f>
        <v>1</v>
      </c>
      <c r="AF212" s="960">
        <f t="array" ref="AF212">HLOOKUP($J212,'Type Chart'!$C$2:$T$20,13,false)*HLOOKUP($K212,'Type Chart'!$C$2:$U$20,13,false)</f>
        <v>0.5</v>
      </c>
      <c r="AG212" s="960">
        <f t="array" ref="AG212">HLOOKUP($J212,'Type Chart'!$C$2:$T$20,14,false)*HLOOKUP($K212,'Type Chart'!$C$2:$U$20,14,false)</f>
        <v>2</v>
      </c>
      <c r="AH212" s="960">
        <f t="array" ref="AH212">HLOOKUP($J212,'Type Chart'!$C$2:$T$20,15,false)*HLOOKUP($K212,'Type Chart'!$C$2:$U$20,15,false)</f>
        <v>0</v>
      </c>
      <c r="AI212" s="960">
        <f t="array" ref="AI212">HLOOKUP($J212,'Type Chart'!$C$2:$T$20,16,false)*HLOOKUP($K212,'Type Chart'!$C$2:$U$20,16,false)</f>
        <v>2</v>
      </c>
      <c r="AJ212" s="960">
        <f t="array" ref="AJ212">HLOOKUP($J212,'Type Chart'!$C$2:$T$20,17,false)*HLOOKUP($K212,'Type Chart'!$C$2:$U$20,17,false)</f>
        <v>1</v>
      </c>
      <c r="AK212" s="960">
        <f t="array" ref="AK212">HLOOKUP($J212,'Type Chart'!$C$2:$T$20,18,false)*HLOOKUP($K212,'Type Chart'!$C$2:$U$20,18,false)</f>
        <v>0.5</v>
      </c>
      <c r="AL212" s="960">
        <f t="array" ref="AL212">HLOOKUP($J212,'Type Chart'!$C$2:$T$20,19,false)*HLOOKUP($K212,'Type Chart'!$C$2:$U$20,19,false)</f>
        <v>2</v>
      </c>
      <c r="AM212" s="964" t="s">
        <v>1657</v>
      </c>
      <c r="AN212" s="965"/>
      <c r="AO212" s="966"/>
      <c r="AP212" s="936"/>
      <c r="AQ212" s="967"/>
      <c r="AR212" s="968"/>
      <c r="AS212" s="936"/>
    </row>
    <row r="213" ht="15.75" customHeight="1">
      <c r="A213" s="936"/>
      <c r="B213" s="948" t="s">
        <v>1658</v>
      </c>
      <c r="C213" s="950" t="s">
        <v>1659</v>
      </c>
      <c r="D213" s="950" t="s">
        <v>1659</v>
      </c>
      <c r="E213" s="952" t="s">
        <v>1659</v>
      </c>
      <c r="F213" s="940"/>
      <c r="G213" s="953"/>
      <c r="H213" s="969"/>
      <c r="I213" s="956" t="s">
        <v>1660</v>
      </c>
      <c r="J213" s="1006" t="s">
        <v>346</v>
      </c>
      <c r="K213" s="984" t="s">
        <v>216</v>
      </c>
      <c r="L213" s="959">
        <v>41.0</v>
      </c>
      <c r="M213" s="960">
        <v>64.0</v>
      </c>
      <c r="N213" s="960">
        <v>45.0</v>
      </c>
      <c r="O213" s="960">
        <v>50.0</v>
      </c>
      <c r="P213" s="960">
        <v>50.0</v>
      </c>
      <c r="Q213" s="960">
        <v>50.0</v>
      </c>
      <c r="R213" s="960">
        <v>136.0</v>
      </c>
      <c r="S213" s="960">
        <v>199.0</v>
      </c>
      <c r="T213" s="960">
        <v>218.0</v>
      </c>
      <c r="U213" s="960">
        <f t="array" ref="U213">HLOOKUP($J213,'Type Chart'!$C$2:$T$20,2,false)*HLOOKUP($K213,'Type Chart'!$C$2:$U$20,2,false)</f>
        <v>1</v>
      </c>
      <c r="V213" s="960">
        <f t="array" ref="V213">HLOOKUP($J213,'Type Chart'!$C$2:$T$20,3,false)*HLOOKUP($K213,'Type Chart'!$C$2:$U$20,3,false)</f>
        <v>1</v>
      </c>
      <c r="W213" s="960">
        <f t="array" ref="W213">HLOOKUP($J213,'Type Chart'!$C$2:$T$20,4,false)*HLOOKUP($K213,'Type Chart'!$C$2:$U$20,4,false)</f>
        <v>1</v>
      </c>
      <c r="X213" s="960">
        <f t="array" ref="X213">HLOOKUP($J213,'Type Chart'!$C$2:$T$20,5,false)*HLOOKUP($K213,'Type Chart'!$C$2:$U$20,5,false)</f>
        <v>1</v>
      </c>
      <c r="Y213" s="960">
        <f t="array" ref="Y213">HLOOKUP($J213,'Type Chart'!$C$2:$T$20,6,false)*HLOOKUP($K213,'Type Chart'!$C$2:$U$20,6,false)</f>
        <v>1</v>
      </c>
      <c r="Z213" s="960">
        <f t="array" ref="Z213">HLOOKUP($J213,'Type Chart'!$C$2:$T$20,7,false)*HLOOKUP($K213,'Type Chart'!$C$2:$U$20,7,false)</f>
        <v>1</v>
      </c>
      <c r="AA213" s="960">
        <f t="array" ref="AA213">HLOOKUP($J213,'Type Chart'!$C$2:$T$20,8,false)*HLOOKUP($K213,'Type Chart'!$C$2:$U$20,8,false)</f>
        <v>1</v>
      </c>
      <c r="AB213" s="960">
        <f t="array" ref="AB213">HLOOKUP($J213,'Type Chart'!$C$2:$T$20,9,false)*HLOOKUP($K213,'Type Chart'!$C$2:$U$20,9,false)</f>
        <v>1</v>
      </c>
      <c r="AC213" s="960">
        <f t="array" ref="AC213">HLOOKUP($J213,'Type Chart'!$C$2:$T$20,10,false)*HLOOKUP($K213,'Type Chart'!$C$2:$U$20,10,false)</f>
        <v>1</v>
      </c>
      <c r="AD213" s="960">
        <f t="array" ref="AD213">HLOOKUP($J213,'Type Chart'!$C$2:$T$20,11,false)*HLOOKUP($K213,'Type Chart'!$C$2:$U$20,11,false)</f>
        <v>0.5</v>
      </c>
      <c r="AE213" s="960">
        <f t="array" ref="AE213">HLOOKUP($J213,'Type Chart'!$C$2:$T$20,12,false)*HLOOKUP($K213,'Type Chart'!$C$2:$U$20,12,false)</f>
        <v>0.5</v>
      </c>
      <c r="AF213" s="960">
        <f t="array" ref="AF213">HLOOKUP($J213,'Type Chart'!$C$2:$T$20,13,false)*HLOOKUP($K213,'Type Chart'!$C$2:$U$20,13,false)</f>
        <v>0.5</v>
      </c>
      <c r="AG213" s="960">
        <f t="array" ref="AG213">HLOOKUP($J213,'Type Chart'!$C$2:$T$20,14,false)*HLOOKUP($K213,'Type Chart'!$C$2:$U$20,14,false)</f>
        <v>0.5</v>
      </c>
      <c r="AH213" s="960">
        <f t="array" ref="AH213">HLOOKUP($J213,'Type Chart'!$C$2:$T$20,15,false)*HLOOKUP($K213,'Type Chart'!$C$2:$U$20,15,false)</f>
        <v>1</v>
      </c>
      <c r="AI213" s="960">
        <f t="array" ref="AI213">HLOOKUP($J213,'Type Chart'!$C$2:$T$20,16,false)*HLOOKUP($K213,'Type Chart'!$C$2:$U$20,16,false)</f>
        <v>2</v>
      </c>
      <c r="AJ213" s="960">
        <f t="array" ref="AJ213">HLOOKUP($J213,'Type Chart'!$C$2:$T$20,17,false)*HLOOKUP($K213,'Type Chart'!$C$2:$U$20,17,false)</f>
        <v>2</v>
      </c>
      <c r="AK213" s="960">
        <f t="array" ref="AK213">HLOOKUP($J213,'Type Chart'!$C$2:$T$20,18,false)*HLOOKUP($K213,'Type Chart'!$C$2:$U$20,18,false)</f>
        <v>1</v>
      </c>
      <c r="AL213" s="960">
        <f t="array" ref="AL213">HLOOKUP($J213,'Type Chart'!$C$2:$T$20,19,false)*HLOOKUP($K213,'Type Chart'!$C$2:$U$20,19,false)</f>
        <v>2</v>
      </c>
      <c r="AM213" s="964" t="s">
        <v>998</v>
      </c>
      <c r="AN213" s="965"/>
      <c r="AO213" s="966" t="s">
        <v>1661</v>
      </c>
      <c r="AP213" s="936"/>
      <c r="AQ213" s="967"/>
      <c r="AR213" s="968"/>
      <c r="AS213" s="936"/>
    </row>
    <row r="214" ht="15.75" customHeight="1">
      <c r="A214" s="936"/>
      <c r="B214" s="948" t="s">
        <v>1662</v>
      </c>
      <c r="C214" s="950" t="s">
        <v>1663</v>
      </c>
      <c r="D214" s="950" t="s">
        <v>1663</v>
      </c>
      <c r="E214" s="952" t="s">
        <v>1663</v>
      </c>
      <c r="F214" s="940"/>
      <c r="G214" s="953"/>
      <c r="H214" s="969"/>
      <c r="I214" s="956" t="s">
        <v>820</v>
      </c>
      <c r="J214" s="1006" t="s">
        <v>346</v>
      </c>
      <c r="K214" s="984" t="s">
        <v>216</v>
      </c>
      <c r="L214" s="959">
        <v>61.0</v>
      </c>
      <c r="M214" s="960">
        <v>84.0</v>
      </c>
      <c r="N214" s="960">
        <v>65.0</v>
      </c>
      <c r="O214" s="960">
        <v>70.0</v>
      </c>
      <c r="P214" s="960">
        <v>70.0</v>
      </c>
      <c r="Q214" s="960">
        <v>70.0</v>
      </c>
      <c r="R214" s="960">
        <v>176.0</v>
      </c>
      <c r="S214" s="960">
        <v>239.0</v>
      </c>
      <c r="T214" s="960">
        <v>262.0</v>
      </c>
      <c r="U214" s="960">
        <f t="array" ref="U214">HLOOKUP($J214,'Type Chart'!$C$2:$T$20,2,false)*HLOOKUP($K214,'Type Chart'!$C$2:$U$20,2,false)</f>
        <v>1</v>
      </c>
      <c r="V214" s="960">
        <f t="array" ref="V214">HLOOKUP($J214,'Type Chart'!$C$2:$T$20,3,false)*HLOOKUP($K214,'Type Chart'!$C$2:$U$20,3,false)</f>
        <v>1</v>
      </c>
      <c r="W214" s="960">
        <f t="array" ref="W214">HLOOKUP($J214,'Type Chart'!$C$2:$T$20,4,false)*HLOOKUP($K214,'Type Chart'!$C$2:$U$20,4,false)</f>
        <v>1</v>
      </c>
      <c r="X214" s="960">
        <f t="array" ref="X214">HLOOKUP($J214,'Type Chart'!$C$2:$T$20,5,false)*HLOOKUP($K214,'Type Chart'!$C$2:$U$20,5,false)</f>
        <v>1</v>
      </c>
      <c r="Y214" s="960">
        <f t="array" ref="Y214">HLOOKUP($J214,'Type Chart'!$C$2:$T$20,6,false)*HLOOKUP($K214,'Type Chart'!$C$2:$U$20,6,false)</f>
        <v>1</v>
      </c>
      <c r="Z214" s="960">
        <f t="array" ref="Z214">HLOOKUP($J214,'Type Chart'!$C$2:$T$20,7,false)*HLOOKUP($K214,'Type Chart'!$C$2:$U$20,7,false)</f>
        <v>1</v>
      </c>
      <c r="AA214" s="960">
        <f t="array" ref="AA214">HLOOKUP($J214,'Type Chart'!$C$2:$T$20,8,false)*HLOOKUP($K214,'Type Chart'!$C$2:$U$20,8,false)</f>
        <v>1</v>
      </c>
      <c r="AB214" s="960">
        <f t="array" ref="AB214">HLOOKUP($J214,'Type Chart'!$C$2:$T$20,9,false)*HLOOKUP($K214,'Type Chart'!$C$2:$U$20,9,false)</f>
        <v>1</v>
      </c>
      <c r="AC214" s="960">
        <f t="array" ref="AC214">HLOOKUP($J214,'Type Chart'!$C$2:$T$20,10,false)*HLOOKUP($K214,'Type Chart'!$C$2:$U$20,10,false)</f>
        <v>1</v>
      </c>
      <c r="AD214" s="960">
        <f t="array" ref="AD214">HLOOKUP($J214,'Type Chart'!$C$2:$T$20,11,false)*HLOOKUP($K214,'Type Chart'!$C$2:$U$20,11,false)</f>
        <v>0.5</v>
      </c>
      <c r="AE214" s="960">
        <f t="array" ref="AE214">HLOOKUP($J214,'Type Chart'!$C$2:$T$20,12,false)*HLOOKUP($K214,'Type Chart'!$C$2:$U$20,12,false)</f>
        <v>0.5</v>
      </c>
      <c r="AF214" s="960">
        <f t="array" ref="AF214">HLOOKUP($J214,'Type Chart'!$C$2:$T$20,13,false)*HLOOKUP($K214,'Type Chart'!$C$2:$U$20,13,false)</f>
        <v>0.5</v>
      </c>
      <c r="AG214" s="960">
        <f t="array" ref="AG214">HLOOKUP($J214,'Type Chart'!$C$2:$T$20,14,false)*HLOOKUP($K214,'Type Chart'!$C$2:$U$20,14,false)</f>
        <v>0.5</v>
      </c>
      <c r="AH214" s="960">
        <f t="array" ref="AH214">HLOOKUP($J214,'Type Chart'!$C$2:$T$20,15,false)*HLOOKUP($K214,'Type Chart'!$C$2:$U$20,15,false)</f>
        <v>1</v>
      </c>
      <c r="AI214" s="960">
        <f t="array" ref="AI214">HLOOKUP($J214,'Type Chart'!$C$2:$T$20,16,false)*HLOOKUP($K214,'Type Chart'!$C$2:$U$20,16,false)</f>
        <v>2</v>
      </c>
      <c r="AJ214" s="960">
        <f t="array" ref="AJ214">HLOOKUP($J214,'Type Chart'!$C$2:$T$20,17,false)*HLOOKUP($K214,'Type Chart'!$C$2:$U$20,17,false)</f>
        <v>2</v>
      </c>
      <c r="AK214" s="960">
        <f t="array" ref="AK214">HLOOKUP($J214,'Type Chart'!$C$2:$T$20,18,false)*HLOOKUP($K214,'Type Chart'!$C$2:$U$20,18,false)</f>
        <v>1</v>
      </c>
      <c r="AL214" s="960">
        <f t="array" ref="AL214">HLOOKUP($J214,'Type Chart'!$C$2:$T$20,19,false)*HLOOKUP($K214,'Type Chart'!$C$2:$U$20,19,false)</f>
        <v>2</v>
      </c>
      <c r="AM214" s="964" t="s">
        <v>998</v>
      </c>
      <c r="AN214" s="965"/>
      <c r="AO214" s="966" t="s">
        <v>1661</v>
      </c>
      <c r="AP214" s="936"/>
      <c r="AQ214" s="967"/>
      <c r="AR214" s="968"/>
      <c r="AS214" s="936"/>
    </row>
    <row r="215" ht="15.75" customHeight="1">
      <c r="A215" s="1099"/>
      <c r="B215" s="948" t="s">
        <v>1664</v>
      </c>
      <c r="C215" s="950" t="s">
        <v>157</v>
      </c>
      <c r="D215" s="950" t="s">
        <v>157</v>
      </c>
      <c r="E215" s="952" t="s">
        <v>157</v>
      </c>
      <c r="F215" s="940"/>
      <c r="G215" s="953"/>
      <c r="H215" s="969"/>
      <c r="I215" s="956" t="s">
        <v>85</v>
      </c>
      <c r="J215" s="1006" t="s">
        <v>346</v>
      </c>
      <c r="K215" s="1001" t="s">
        <v>128</v>
      </c>
      <c r="L215" s="959">
        <v>91.0</v>
      </c>
      <c r="M215" s="960">
        <v>134.0</v>
      </c>
      <c r="N215" s="960">
        <v>95.0</v>
      </c>
      <c r="O215" s="960">
        <v>100.0</v>
      </c>
      <c r="P215" s="960">
        <v>100.0</v>
      </c>
      <c r="Q215" s="960">
        <v>80.0</v>
      </c>
      <c r="R215" s="960">
        <v>196.0</v>
      </c>
      <c r="S215" s="960">
        <v>259.0</v>
      </c>
      <c r="T215" s="960">
        <v>284.0</v>
      </c>
      <c r="U215" s="960">
        <f t="array" ref="U215">HLOOKUP($J215,'Type Chart'!$C$2:$T$20,2,false)*HLOOKUP($K215,'Type Chart'!$C$2:$U$20,2,false)</f>
        <v>1</v>
      </c>
      <c r="V215" s="960">
        <f t="array" ref="V215">HLOOKUP($J215,'Type Chart'!$C$2:$T$20,3,false)*HLOOKUP($K215,'Type Chart'!$C$2:$U$20,3,false)</f>
        <v>0.5</v>
      </c>
      <c r="W215" s="960">
        <f t="array" ref="W215">HLOOKUP($J215,'Type Chart'!$C$2:$T$20,4,false)*HLOOKUP($K215,'Type Chart'!$C$2:$U$20,4,false)</f>
        <v>1</v>
      </c>
      <c r="X215" s="960">
        <f t="array" ref="X215">HLOOKUP($J215,'Type Chart'!$C$2:$T$20,5,false)*HLOOKUP($K215,'Type Chart'!$C$2:$U$20,5,false)</f>
        <v>1</v>
      </c>
      <c r="Y215" s="960">
        <f t="array" ref="Y215">HLOOKUP($J215,'Type Chart'!$C$2:$T$20,6,false)*HLOOKUP($K215,'Type Chart'!$C$2:$U$20,6,false)</f>
        <v>0</v>
      </c>
      <c r="Z215" s="960">
        <f t="array" ref="Z215">HLOOKUP($J215,'Type Chart'!$C$2:$T$20,7,false)*HLOOKUP($K215,'Type Chart'!$C$2:$U$20,7,false)</f>
        <v>2</v>
      </c>
      <c r="AA215" s="960">
        <f t="array" ref="AA215">HLOOKUP($J215,'Type Chart'!$C$2:$T$20,8,false)*HLOOKUP($K215,'Type Chart'!$C$2:$U$20,8,false)</f>
        <v>0.5</v>
      </c>
      <c r="AB215" s="960">
        <f t="array" ref="AB215">HLOOKUP($J215,'Type Chart'!$C$2:$T$20,9,false)*HLOOKUP($K215,'Type Chart'!$C$2:$U$20,9,false)</f>
        <v>1</v>
      </c>
      <c r="AC215" s="960">
        <f t="array" ref="AC215">HLOOKUP($J215,'Type Chart'!$C$2:$T$20,10,false)*HLOOKUP($K215,'Type Chart'!$C$2:$U$20,10,false)</f>
        <v>1</v>
      </c>
      <c r="AD215" s="960">
        <f t="array" ref="AD215">HLOOKUP($J215,'Type Chart'!$C$2:$T$20,11,false)*HLOOKUP($K215,'Type Chart'!$C$2:$U$20,11,false)</f>
        <v>0.5</v>
      </c>
      <c r="AE215" s="960">
        <f t="array" ref="AE215">HLOOKUP($J215,'Type Chart'!$C$2:$T$20,12,false)*HLOOKUP($K215,'Type Chart'!$C$2:$U$20,12,false)</f>
        <v>0.5</v>
      </c>
      <c r="AF215" s="960">
        <f t="array" ref="AF215">HLOOKUP($J215,'Type Chart'!$C$2:$T$20,13,false)*HLOOKUP($K215,'Type Chart'!$C$2:$U$20,13,false)</f>
        <v>0.25</v>
      </c>
      <c r="AG215" s="960">
        <f t="array" ref="AG215">HLOOKUP($J215,'Type Chart'!$C$2:$T$20,14,false)*HLOOKUP($K215,'Type Chart'!$C$2:$U$20,14,false)</f>
        <v>1</v>
      </c>
      <c r="AH215" s="960">
        <f t="array" ref="AH215">HLOOKUP($J215,'Type Chart'!$C$2:$T$20,15,false)*HLOOKUP($K215,'Type Chart'!$C$2:$U$20,15,false)</f>
        <v>1</v>
      </c>
      <c r="AI215" s="960">
        <f t="array" ref="AI215">HLOOKUP($J215,'Type Chart'!$C$2:$T$20,16,false)*HLOOKUP($K215,'Type Chart'!$C$2:$U$20,16,false)</f>
        <v>4</v>
      </c>
      <c r="AJ215" s="960">
        <f t="array" ref="AJ215">HLOOKUP($J215,'Type Chart'!$C$2:$T$20,17,false)*HLOOKUP($K215,'Type Chart'!$C$2:$U$20,17,false)</f>
        <v>2</v>
      </c>
      <c r="AK215" s="960">
        <f t="array" ref="AK215">HLOOKUP($J215,'Type Chart'!$C$2:$T$20,18,false)*HLOOKUP($K215,'Type Chart'!$C$2:$U$20,18,false)</f>
        <v>1</v>
      </c>
      <c r="AL215" s="960">
        <f t="array" ref="AL215">HLOOKUP($J215,'Type Chart'!$C$2:$T$20,19,false)*HLOOKUP($K215,'Type Chart'!$C$2:$U$20,19,false)</f>
        <v>2</v>
      </c>
      <c r="AM215" s="1145" t="s">
        <v>1192</v>
      </c>
      <c r="AN215" s="965"/>
      <c r="AO215" s="966" t="s">
        <v>1665</v>
      </c>
      <c r="AP215" s="936"/>
      <c r="AQ215" s="967"/>
      <c r="AR215" s="968"/>
      <c r="AS215" s="936"/>
    </row>
    <row r="216" ht="15.75" customHeight="1">
      <c r="A216" s="936"/>
      <c r="B216" s="948" t="s">
        <v>1666</v>
      </c>
      <c r="C216" s="950" t="s">
        <v>1667</v>
      </c>
      <c r="D216" s="950" t="s">
        <v>1667</v>
      </c>
      <c r="E216" s="952" t="s">
        <v>1667</v>
      </c>
      <c r="F216" s="940"/>
      <c r="G216" s="953"/>
      <c r="H216" s="969"/>
      <c r="I216" s="950" t="s">
        <v>1667</v>
      </c>
      <c r="J216" s="1203" t="s">
        <v>344</v>
      </c>
      <c r="K216" s="984" t="s">
        <v>216</v>
      </c>
      <c r="L216" s="959">
        <v>106.0</v>
      </c>
      <c r="M216" s="960">
        <v>110.0</v>
      </c>
      <c r="N216" s="960">
        <v>90.0</v>
      </c>
      <c r="O216" s="960">
        <v>154.0</v>
      </c>
      <c r="P216" s="960">
        <v>90.0</v>
      </c>
      <c r="Q216" s="960">
        <v>130.0</v>
      </c>
      <c r="R216" s="960">
        <v>296.0</v>
      </c>
      <c r="S216" s="960">
        <v>359.0</v>
      </c>
      <c r="T216" s="960">
        <v>394.0</v>
      </c>
      <c r="U216" s="960">
        <f t="array" ref="U216">HLOOKUP($J216,'Type Chart'!$C$2:$T$20,2,false)*HLOOKUP($K216,'Type Chart'!$C$2:$U$20,2,false)</f>
        <v>1</v>
      </c>
      <c r="V216" s="960">
        <f t="array" ref="V216">HLOOKUP($J216,'Type Chart'!$C$2:$T$20,3,false)*HLOOKUP($K216,'Type Chart'!$C$2:$U$20,3,false)</f>
        <v>0.5</v>
      </c>
      <c r="W216" s="960">
        <f t="array" ref="W216">HLOOKUP($J216,'Type Chart'!$C$2:$T$20,4,false)*HLOOKUP($K216,'Type Chart'!$C$2:$U$20,4,false)</f>
        <v>1</v>
      </c>
      <c r="X216" s="960">
        <f t="array" ref="X216">HLOOKUP($J216,'Type Chart'!$C$2:$T$20,5,false)*HLOOKUP($K216,'Type Chart'!$C$2:$U$20,5,false)</f>
        <v>1</v>
      </c>
      <c r="Y216" s="960">
        <f t="array" ref="Y216">HLOOKUP($J216,'Type Chart'!$C$2:$T$20,6,false)*HLOOKUP($K216,'Type Chart'!$C$2:$U$20,6,false)</f>
        <v>1</v>
      </c>
      <c r="Z216" s="960">
        <f t="array" ref="Z216">HLOOKUP($J216,'Type Chart'!$C$2:$T$20,7,false)*HLOOKUP($K216,'Type Chart'!$C$2:$U$20,7,false)</f>
        <v>1</v>
      </c>
      <c r="AA216" s="960">
        <f t="array" ref="AA216">HLOOKUP($J216,'Type Chart'!$C$2:$T$20,8,false)*HLOOKUP($K216,'Type Chart'!$C$2:$U$20,8,false)</f>
        <v>2</v>
      </c>
      <c r="AB216" s="960">
        <f t="array" ref="AB216">HLOOKUP($J216,'Type Chart'!$C$2:$T$20,9,false)*HLOOKUP($K216,'Type Chart'!$C$2:$U$20,9,false)</f>
        <v>2</v>
      </c>
      <c r="AC216" s="960">
        <f t="array" ref="AC216">HLOOKUP($J216,'Type Chart'!$C$2:$T$20,10,false)*HLOOKUP($K216,'Type Chart'!$C$2:$U$20,10,false)</f>
        <v>1</v>
      </c>
      <c r="AD216" s="960">
        <f t="array" ref="AD216">HLOOKUP($J216,'Type Chart'!$C$2:$T$20,11,false)*HLOOKUP($K216,'Type Chart'!$C$2:$U$20,11,false)</f>
        <v>1</v>
      </c>
      <c r="AE216" s="960">
        <f t="array" ref="AE216">HLOOKUP($J216,'Type Chart'!$C$2:$T$20,12,false)*HLOOKUP($K216,'Type Chart'!$C$2:$U$20,12,false)</f>
        <v>1</v>
      </c>
      <c r="AF216" s="960">
        <f t="array" ref="AF216">HLOOKUP($J216,'Type Chart'!$C$2:$T$20,13,false)*HLOOKUP($K216,'Type Chart'!$C$2:$U$20,13,false)</f>
        <v>1</v>
      </c>
      <c r="AG216" s="960">
        <f t="array" ref="AG216">HLOOKUP($J216,'Type Chart'!$C$2:$T$20,14,false)*HLOOKUP($K216,'Type Chart'!$C$2:$U$20,14,false)</f>
        <v>1</v>
      </c>
      <c r="AH216" s="960">
        <f t="array" ref="AH216">HLOOKUP($J216,'Type Chart'!$C$2:$T$20,15,false)*HLOOKUP($K216,'Type Chart'!$C$2:$U$20,15,false)</f>
        <v>0.5</v>
      </c>
      <c r="AI216" s="960">
        <f t="array" ref="AI216">HLOOKUP($J216,'Type Chart'!$C$2:$T$20,16,false)*HLOOKUP($K216,'Type Chart'!$C$2:$U$20,16,false)</f>
        <v>1</v>
      </c>
      <c r="AJ216" s="960">
        <f t="array" ref="AJ216">HLOOKUP($J216,'Type Chart'!$C$2:$T$20,17,false)*HLOOKUP($K216,'Type Chart'!$C$2:$U$20,17,false)</f>
        <v>1</v>
      </c>
      <c r="AK216" s="960">
        <f t="array" ref="AK216">HLOOKUP($J216,'Type Chart'!$C$2:$T$20,18,false)*HLOOKUP($K216,'Type Chart'!$C$2:$U$20,18,false)</f>
        <v>2</v>
      </c>
      <c r="AL216" s="960">
        <f t="array" ref="AL216">HLOOKUP($J216,'Type Chart'!$C$2:$T$20,19,false)*HLOOKUP($K216,'Type Chart'!$C$2:$U$20,19,false)</f>
        <v>1</v>
      </c>
      <c r="AM216" s="964" t="s">
        <v>1636</v>
      </c>
      <c r="AN216" s="965"/>
      <c r="AO216" s="966" t="s">
        <v>1062</v>
      </c>
      <c r="AP216" s="936"/>
      <c r="AQ216" s="967"/>
      <c r="AR216" s="968"/>
      <c r="AS216" s="936"/>
    </row>
    <row r="217" ht="15.75" customHeight="1">
      <c r="A217" s="936"/>
      <c r="B217" s="948" t="s">
        <v>1668</v>
      </c>
      <c r="C217" s="950" t="s">
        <v>1669</v>
      </c>
      <c r="D217" s="950" t="s">
        <v>1670</v>
      </c>
      <c r="E217" s="952" t="s">
        <v>1669</v>
      </c>
      <c r="F217" s="940"/>
      <c r="G217" s="953"/>
      <c r="H217" s="969"/>
      <c r="I217" s="1227" t="s">
        <v>1671</v>
      </c>
      <c r="J217" s="1203" t="s">
        <v>344</v>
      </c>
      <c r="K217" s="1213" t="s">
        <v>341</v>
      </c>
      <c r="L217" s="959">
        <v>106.0</v>
      </c>
      <c r="M217" s="960">
        <v>190.0</v>
      </c>
      <c r="N217" s="960">
        <v>100.0</v>
      </c>
      <c r="O217" s="960">
        <v>154.0</v>
      </c>
      <c r="P217" s="960">
        <v>100.0</v>
      </c>
      <c r="Q217" s="960">
        <v>130.0</v>
      </c>
      <c r="R217" s="960">
        <v>296.0</v>
      </c>
      <c r="S217" s="960">
        <v>359.0</v>
      </c>
      <c r="T217" s="960">
        <v>394.0</v>
      </c>
      <c r="U217" s="960">
        <f t="array" ref="U217">HLOOKUP($J217,'Type Chart'!$C$2:$T$20,2,false)*HLOOKUP($K217,'Type Chart'!$C$2:$U$20,2,false)</f>
        <v>1</v>
      </c>
      <c r="V217" s="960">
        <f t="array" ref="V217">HLOOKUP($J217,'Type Chart'!$C$2:$T$20,3,false)*HLOOKUP($K217,'Type Chart'!$C$2:$U$20,3,false)</f>
        <v>0.5</v>
      </c>
      <c r="W217" s="960">
        <f t="array" ref="W217">HLOOKUP($J217,'Type Chart'!$C$2:$T$20,4,false)*HLOOKUP($K217,'Type Chart'!$C$2:$U$20,4,false)</f>
        <v>2</v>
      </c>
      <c r="X217" s="960">
        <f t="array" ref="X217">HLOOKUP($J217,'Type Chart'!$C$2:$T$20,5,false)*HLOOKUP($K217,'Type Chart'!$C$2:$U$20,5,false)</f>
        <v>1</v>
      </c>
      <c r="Y217" s="960">
        <f t="array" ref="Y217">HLOOKUP($J217,'Type Chart'!$C$2:$T$20,6,false)*HLOOKUP($K217,'Type Chart'!$C$2:$U$20,6,false)</f>
        <v>1</v>
      </c>
      <c r="Z217" s="960">
        <f t="array" ref="Z217">HLOOKUP($J217,'Type Chart'!$C$2:$T$20,7,false)*HLOOKUP($K217,'Type Chart'!$C$2:$U$20,7,false)</f>
        <v>0.5</v>
      </c>
      <c r="AA217" s="960">
        <f t="array" ref="AA217">HLOOKUP($J217,'Type Chart'!$C$2:$T$20,8,false)*HLOOKUP($K217,'Type Chart'!$C$2:$U$20,8,false)</f>
        <v>1</v>
      </c>
      <c r="AB217" s="960">
        <f t="array" ref="AB217">HLOOKUP($J217,'Type Chart'!$C$2:$T$20,9,false)*HLOOKUP($K217,'Type Chart'!$C$2:$U$20,9,false)</f>
        <v>2</v>
      </c>
      <c r="AC217" s="960">
        <f t="array" ref="AC217">HLOOKUP($J217,'Type Chart'!$C$2:$T$20,10,false)*HLOOKUP($K217,'Type Chart'!$C$2:$U$20,10,false)</f>
        <v>1</v>
      </c>
      <c r="AD217" s="960">
        <f t="array" ref="AD217">HLOOKUP($J217,'Type Chart'!$C$2:$T$20,11,false)*HLOOKUP($K217,'Type Chart'!$C$2:$U$20,11,false)</f>
        <v>1</v>
      </c>
      <c r="AE217" s="960">
        <f t="array" ref="AE217">HLOOKUP($J217,'Type Chart'!$C$2:$T$20,12,false)*HLOOKUP($K217,'Type Chart'!$C$2:$U$20,12,false)</f>
        <v>1</v>
      </c>
      <c r="AF217" s="960">
        <f t="array" ref="AF217">HLOOKUP($J217,'Type Chart'!$C$2:$T$20,13,false)*HLOOKUP($K217,'Type Chart'!$C$2:$U$20,13,false)</f>
        <v>1</v>
      </c>
      <c r="AG217" s="960">
        <f t="array" ref="AG217">HLOOKUP($J217,'Type Chart'!$C$2:$T$20,14,false)*HLOOKUP($K217,'Type Chart'!$C$2:$U$20,14,false)</f>
        <v>1</v>
      </c>
      <c r="AH217" s="960">
        <f t="array" ref="AH217">HLOOKUP($J217,'Type Chart'!$C$2:$T$20,15,false)*HLOOKUP($K217,'Type Chart'!$C$2:$U$20,15,false)</f>
        <v>1</v>
      </c>
      <c r="AI217" s="960">
        <f t="array" ref="AI217">HLOOKUP($J217,'Type Chart'!$C$2:$T$20,16,false)*HLOOKUP($K217,'Type Chart'!$C$2:$U$20,16,false)</f>
        <v>1</v>
      </c>
      <c r="AJ217" s="960">
        <f t="array" ref="AJ217">HLOOKUP($J217,'Type Chart'!$C$2:$T$20,17,false)*HLOOKUP($K217,'Type Chart'!$C$2:$U$20,17,false)</f>
        <v>1</v>
      </c>
      <c r="AK217" s="960">
        <f t="array" ref="AK217">HLOOKUP($J217,'Type Chart'!$C$2:$T$20,18,false)*HLOOKUP($K217,'Type Chart'!$C$2:$U$20,18,false)</f>
        <v>1</v>
      </c>
      <c r="AL217" s="960">
        <f t="array" ref="AL217">HLOOKUP($J217,'Type Chart'!$C$2:$T$20,19,false)*HLOOKUP($K217,'Type Chart'!$C$2:$U$20,19,false)</f>
        <v>2</v>
      </c>
      <c r="AM217" s="964" t="s">
        <v>1306</v>
      </c>
      <c r="AN217" s="965"/>
      <c r="AO217" s="966"/>
      <c r="AP217" s="936"/>
      <c r="AQ217" s="967"/>
      <c r="AR217" s="968"/>
      <c r="AS217" s="936"/>
    </row>
    <row r="218" ht="15.75" customHeight="1">
      <c r="A218" s="936"/>
      <c r="B218" s="948" t="s">
        <v>1672</v>
      </c>
      <c r="C218" s="950" t="s">
        <v>1673</v>
      </c>
      <c r="D218" s="950" t="s">
        <v>1674</v>
      </c>
      <c r="E218" s="952" t="s">
        <v>1673</v>
      </c>
      <c r="F218" s="940"/>
      <c r="G218" s="953"/>
      <c r="H218" s="969"/>
      <c r="I218" s="1227" t="s">
        <v>1675</v>
      </c>
      <c r="J218" s="1203" t="s">
        <v>344</v>
      </c>
      <c r="K218" s="984" t="s">
        <v>216</v>
      </c>
      <c r="L218" s="959">
        <v>106.0</v>
      </c>
      <c r="M218" s="960">
        <v>150.0</v>
      </c>
      <c r="N218" s="960">
        <v>70.0</v>
      </c>
      <c r="O218" s="960">
        <v>194.0</v>
      </c>
      <c r="P218" s="960">
        <v>120.0</v>
      </c>
      <c r="Q218" s="960">
        <v>140.0</v>
      </c>
      <c r="R218" s="960">
        <v>316.0</v>
      </c>
      <c r="S218" s="960">
        <v>379.0</v>
      </c>
      <c r="T218" s="960">
        <v>416.0</v>
      </c>
      <c r="U218" s="960">
        <f t="array" ref="U218">HLOOKUP($J218,'Type Chart'!$C$2:$T$20,2,false)*HLOOKUP($K218,'Type Chart'!$C$2:$U$20,2,false)</f>
        <v>1</v>
      </c>
      <c r="V218" s="960">
        <f t="array" ref="V218">HLOOKUP($J218,'Type Chart'!$C$2:$T$20,3,false)*HLOOKUP($K218,'Type Chart'!$C$2:$U$20,3,false)</f>
        <v>0.5</v>
      </c>
      <c r="W218" s="960">
        <f t="array" ref="W218">HLOOKUP($J218,'Type Chart'!$C$2:$T$20,4,false)*HLOOKUP($K218,'Type Chart'!$C$2:$U$20,4,false)</f>
        <v>1</v>
      </c>
      <c r="X218" s="960">
        <f t="array" ref="X218">HLOOKUP($J218,'Type Chart'!$C$2:$T$20,5,false)*HLOOKUP($K218,'Type Chart'!$C$2:$U$20,5,false)</f>
        <v>1</v>
      </c>
      <c r="Y218" s="960">
        <f t="array" ref="Y218">HLOOKUP($J218,'Type Chart'!$C$2:$T$20,6,false)*HLOOKUP($K218,'Type Chart'!$C$2:$U$20,6,false)</f>
        <v>1</v>
      </c>
      <c r="Z218" s="960">
        <f t="array" ref="Z218">HLOOKUP($J218,'Type Chart'!$C$2:$T$20,7,false)*HLOOKUP($K218,'Type Chart'!$C$2:$U$20,7,false)</f>
        <v>1</v>
      </c>
      <c r="AA218" s="960">
        <f t="array" ref="AA218">HLOOKUP($J218,'Type Chart'!$C$2:$T$20,8,false)*HLOOKUP($K218,'Type Chart'!$C$2:$U$20,8,false)</f>
        <v>2</v>
      </c>
      <c r="AB218" s="960">
        <f t="array" ref="AB218">HLOOKUP($J218,'Type Chart'!$C$2:$T$20,9,false)*HLOOKUP($K218,'Type Chart'!$C$2:$U$20,9,false)</f>
        <v>2</v>
      </c>
      <c r="AC218" s="960">
        <f t="array" ref="AC218">HLOOKUP($J218,'Type Chart'!$C$2:$T$20,10,false)*HLOOKUP($K218,'Type Chart'!$C$2:$U$20,10,false)</f>
        <v>1</v>
      </c>
      <c r="AD218" s="960">
        <f t="array" ref="AD218">HLOOKUP($J218,'Type Chart'!$C$2:$T$20,11,false)*HLOOKUP($K218,'Type Chart'!$C$2:$U$20,11,false)</f>
        <v>1</v>
      </c>
      <c r="AE218" s="960">
        <f t="array" ref="AE218">HLOOKUP($J218,'Type Chart'!$C$2:$T$20,12,false)*HLOOKUP($K218,'Type Chart'!$C$2:$U$20,12,false)</f>
        <v>1</v>
      </c>
      <c r="AF218" s="960">
        <f t="array" ref="AF218">HLOOKUP($J218,'Type Chart'!$C$2:$T$20,13,false)*HLOOKUP($K218,'Type Chart'!$C$2:$U$20,13,false)</f>
        <v>1</v>
      </c>
      <c r="AG218" s="960">
        <f t="array" ref="AG218">HLOOKUP($J218,'Type Chart'!$C$2:$T$20,14,false)*HLOOKUP($K218,'Type Chart'!$C$2:$U$20,14,false)</f>
        <v>1</v>
      </c>
      <c r="AH218" s="960">
        <f t="array" ref="AH218">HLOOKUP($J218,'Type Chart'!$C$2:$T$20,15,false)*HLOOKUP($K218,'Type Chart'!$C$2:$U$20,15,false)</f>
        <v>0.5</v>
      </c>
      <c r="AI218" s="960">
        <f t="array" ref="AI218">HLOOKUP($J218,'Type Chart'!$C$2:$T$20,16,false)*HLOOKUP($K218,'Type Chart'!$C$2:$U$20,16,false)</f>
        <v>1</v>
      </c>
      <c r="AJ218" s="960">
        <f t="array" ref="AJ218">HLOOKUP($J218,'Type Chart'!$C$2:$T$20,17,false)*HLOOKUP($K218,'Type Chart'!$C$2:$U$20,17,false)</f>
        <v>1</v>
      </c>
      <c r="AK218" s="960">
        <f t="array" ref="AK218">HLOOKUP($J218,'Type Chart'!$C$2:$T$20,18,false)*HLOOKUP($K218,'Type Chart'!$C$2:$U$20,18,false)</f>
        <v>2</v>
      </c>
      <c r="AL218" s="960">
        <f t="array" ref="AL218">HLOOKUP($J218,'Type Chart'!$C$2:$T$20,19,false)*HLOOKUP($K218,'Type Chart'!$C$2:$U$20,19,false)</f>
        <v>1</v>
      </c>
      <c r="AM218" s="964" t="s">
        <v>1454</v>
      </c>
      <c r="AN218" s="965"/>
      <c r="AO218" s="966"/>
      <c r="AP218" s="936"/>
      <c r="AQ218" s="967"/>
      <c r="AR218" s="968"/>
      <c r="AS218" s="936"/>
    </row>
    <row r="219" ht="15.75" customHeight="1">
      <c r="A219" s="936"/>
      <c r="B219" s="948" t="s">
        <v>1676</v>
      </c>
      <c r="C219" s="950" t="s">
        <v>1677</v>
      </c>
      <c r="D219" s="950" t="s">
        <v>1677</v>
      </c>
      <c r="E219" s="952" t="s">
        <v>1677</v>
      </c>
      <c r="F219" s="940"/>
      <c r="G219" s="953"/>
      <c r="H219" s="969"/>
      <c r="I219" s="956" t="s">
        <v>415</v>
      </c>
      <c r="J219" s="1203" t="s">
        <v>344</v>
      </c>
      <c r="K219" s="984" t="s">
        <v>216</v>
      </c>
      <c r="L219" s="959">
        <v>100.0</v>
      </c>
      <c r="M219" s="960">
        <v>100.0</v>
      </c>
      <c r="N219" s="960">
        <v>100.0</v>
      </c>
      <c r="O219" s="960">
        <v>100.0</v>
      </c>
      <c r="P219" s="960">
        <v>100.0</v>
      </c>
      <c r="Q219" s="960">
        <v>100.0</v>
      </c>
      <c r="R219" s="960">
        <v>236.0</v>
      </c>
      <c r="S219" s="960">
        <v>299.0</v>
      </c>
      <c r="T219" s="960">
        <v>328.0</v>
      </c>
      <c r="U219" s="960">
        <f t="array" ref="U219">HLOOKUP($J219,'Type Chart'!$C$2:$T$20,2,false)*HLOOKUP($K219,'Type Chart'!$C$2:$U$20,2,false)</f>
        <v>1</v>
      </c>
      <c r="V219" s="960">
        <f t="array" ref="V219">HLOOKUP($J219,'Type Chart'!$C$2:$T$20,3,false)*HLOOKUP($K219,'Type Chart'!$C$2:$U$20,3,false)</f>
        <v>0.5</v>
      </c>
      <c r="W219" s="960">
        <f t="array" ref="W219">HLOOKUP($J219,'Type Chart'!$C$2:$T$20,4,false)*HLOOKUP($K219,'Type Chart'!$C$2:$U$20,4,false)</f>
        <v>1</v>
      </c>
      <c r="X219" s="960">
        <f t="array" ref="X219">HLOOKUP($J219,'Type Chart'!$C$2:$T$20,5,false)*HLOOKUP($K219,'Type Chart'!$C$2:$U$20,5,false)</f>
        <v>1</v>
      </c>
      <c r="Y219" s="960">
        <f t="array" ref="Y219">HLOOKUP($J219,'Type Chart'!$C$2:$T$20,6,false)*HLOOKUP($K219,'Type Chart'!$C$2:$U$20,6,false)</f>
        <v>1</v>
      </c>
      <c r="Z219" s="960">
        <f t="array" ref="Z219">HLOOKUP($J219,'Type Chart'!$C$2:$T$20,7,false)*HLOOKUP($K219,'Type Chart'!$C$2:$U$20,7,false)</f>
        <v>1</v>
      </c>
      <c r="AA219" s="960">
        <f t="array" ref="AA219">HLOOKUP($J219,'Type Chart'!$C$2:$T$20,8,false)*HLOOKUP($K219,'Type Chart'!$C$2:$U$20,8,false)</f>
        <v>2</v>
      </c>
      <c r="AB219" s="960">
        <f t="array" ref="AB219">HLOOKUP($J219,'Type Chart'!$C$2:$T$20,9,false)*HLOOKUP($K219,'Type Chart'!$C$2:$U$20,9,false)</f>
        <v>2</v>
      </c>
      <c r="AC219" s="960">
        <f t="array" ref="AC219">HLOOKUP($J219,'Type Chart'!$C$2:$T$20,10,false)*HLOOKUP($K219,'Type Chart'!$C$2:$U$20,10,false)</f>
        <v>1</v>
      </c>
      <c r="AD219" s="960">
        <f t="array" ref="AD219">HLOOKUP($J219,'Type Chart'!$C$2:$T$20,11,false)*HLOOKUP($K219,'Type Chart'!$C$2:$U$20,11,false)</f>
        <v>1</v>
      </c>
      <c r="AE219" s="960">
        <f t="array" ref="AE219">HLOOKUP($J219,'Type Chart'!$C$2:$T$20,12,false)*HLOOKUP($K219,'Type Chart'!$C$2:$U$20,12,false)</f>
        <v>1</v>
      </c>
      <c r="AF219" s="960">
        <f t="array" ref="AF219">HLOOKUP($J219,'Type Chart'!$C$2:$T$20,13,false)*HLOOKUP($K219,'Type Chart'!$C$2:$U$20,13,false)</f>
        <v>1</v>
      </c>
      <c r="AG219" s="960">
        <f t="array" ref="AG219">HLOOKUP($J219,'Type Chart'!$C$2:$T$20,14,false)*HLOOKUP($K219,'Type Chart'!$C$2:$U$20,14,false)</f>
        <v>1</v>
      </c>
      <c r="AH219" s="960">
        <f t="array" ref="AH219">HLOOKUP($J219,'Type Chart'!$C$2:$T$20,15,false)*HLOOKUP($K219,'Type Chart'!$C$2:$U$20,15,false)</f>
        <v>0.5</v>
      </c>
      <c r="AI219" s="960">
        <f t="array" ref="AI219">HLOOKUP($J219,'Type Chart'!$C$2:$T$20,16,false)*HLOOKUP($K219,'Type Chart'!$C$2:$U$20,16,false)</f>
        <v>1</v>
      </c>
      <c r="AJ219" s="960">
        <f t="array" ref="AJ219">HLOOKUP($J219,'Type Chart'!$C$2:$T$20,17,false)*HLOOKUP($K219,'Type Chart'!$C$2:$U$20,17,false)</f>
        <v>1</v>
      </c>
      <c r="AK219" s="960">
        <f t="array" ref="AK219">HLOOKUP($J219,'Type Chart'!$C$2:$T$20,18,false)*HLOOKUP($K219,'Type Chart'!$C$2:$U$20,18,false)</f>
        <v>2</v>
      </c>
      <c r="AL219" s="960">
        <f t="array" ref="AL219">HLOOKUP($J219,'Type Chart'!$C$2:$T$20,19,false)*HLOOKUP($K219,'Type Chart'!$C$2:$U$20,19,false)</f>
        <v>1</v>
      </c>
      <c r="AM219" s="964" t="s">
        <v>1292</v>
      </c>
      <c r="AN219" s="965"/>
      <c r="AO219" s="966"/>
      <c r="AP219" s="936"/>
      <c r="AQ219" s="967"/>
      <c r="AR219" s="968"/>
      <c r="AS219" s="936"/>
    </row>
    <row r="220" ht="15.75" customHeight="1">
      <c r="A220" s="936"/>
      <c r="B220" s="948" t="s">
        <v>1678</v>
      </c>
      <c r="C220" s="950" t="s">
        <v>1679</v>
      </c>
      <c r="D220" s="950" t="s">
        <v>1679</v>
      </c>
      <c r="E220" s="952" t="s">
        <v>1679</v>
      </c>
      <c r="F220" s="940"/>
      <c r="G220" s="953"/>
      <c r="H220" s="969"/>
      <c r="I220" s="956" t="s">
        <v>1680</v>
      </c>
      <c r="J220" s="957" t="s">
        <v>209</v>
      </c>
      <c r="K220" s="984" t="s">
        <v>216</v>
      </c>
      <c r="L220" s="959">
        <v>45.0</v>
      </c>
      <c r="M220" s="960">
        <v>49.0</v>
      </c>
      <c r="N220" s="960">
        <v>65.0</v>
      </c>
      <c r="O220" s="960">
        <v>49.0</v>
      </c>
      <c r="P220" s="960">
        <v>65.0</v>
      </c>
      <c r="Q220" s="960">
        <v>45.0</v>
      </c>
      <c r="R220" s="960">
        <v>126.0</v>
      </c>
      <c r="S220" s="960">
        <v>189.0</v>
      </c>
      <c r="T220" s="960">
        <v>207.0</v>
      </c>
      <c r="U220" s="960">
        <f t="array" ref="U220">HLOOKUP($J220,'Type Chart'!$C$2:$T$20,2,false)*HLOOKUP($K220,'Type Chart'!$C$2:$U$20,2,false)</f>
        <v>1</v>
      </c>
      <c r="V220" s="960">
        <f t="array" ref="V220">HLOOKUP($J220,'Type Chart'!$C$2:$T$20,3,false)*HLOOKUP($K220,'Type Chart'!$C$2:$U$20,3,false)</f>
        <v>1</v>
      </c>
      <c r="W220" s="960">
        <f t="array" ref="W220">HLOOKUP($J220,'Type Chart'!$C$2:$T$20,4,false)*HLOOKUP($K220,'Type Chart'!$C$2:$U$20,4,false)</f>
        <v>2</v>
      </c>
      <c r="X220" s="960">
        <f t="array" ref="X220">HLOOKUP($J220,'Type Chart'!$C$2:$T$20,5,false)*HLOOKUP($K220,'Type Chart'!$C$2:$U$20,5,false)</f>
        <v>2</v>
      </c>
      <c r="Y220" s="960">
        <f t="array" ref="Y220">HLOOKUP($J220,'Type Chart'!$C$2:$T$20,6,false)*HLOOKUP($K220,'Type Chart'!$C$2:$U$20,6,false)</f>
        <v>0.5</v>
      </c>
      <c r="Z220" s="960">
        <f t="array" ref="Z220">HLOOKUP($J220,'Type Chart'!$C$2:$T$20,7,false)*HLOOKUP($K220,'Type Chart'!$C$2:$U$20,7,false)</f>
        <v>1</v>
      </c>
      <c r="AA220" s="960">
        <f t="array" ref="AA220">HLOOKUP($J220,'Type Chart'!$C$2:$T$20,8,false)*HLOOKUP($K220,'Type Chart'!$C$2:$U$20,8,false)</f>
        <v>2</v>
      </c>
      <c r="AB220" s="960">
        <f t="array" ref="AB220">HLOOKUP($J220,'Type Chart'!$C$2:$T$20,9,false)*HLOOKUP($K220,'Type Chart'!$C$2:$U$20,9,false)</f>
        <v>1</v>
      </c>
      <c r="AC220" s="960">
        <f t="array" ref="AC220">HLOOKUP($J220,'Type Chart'!$C$2:$T$20,10,false)*HLOOKUP($K220,'Type Chart'!$C$2:$U$20,10,false)</f>
        <v>1</v>
      </c>
      <c r="AD220" s="960">
        <f t="array" ref="AD220">HLOOKUP($J220,'Type Chart'!$C$2:$T$20,11,false)*HLOOKUP($K220,'Type Chart'!$C$2:$U$20,11,false)</f>
        <v>2</v>
      </c>
      <c r="AE220" s="960">
        <f t="array" ref="AE220">HLOOKUP($J220,'Type Chart'!$C$2:$T$20,12,false)*HLOOKUP($K220,'Type Chart'!$C$2:$U$20,12,false)</f>
        <v>0.5</v>
      </c>
      <c r="AF220" s="960">
        <f t="array" ref="AF220">HLOOKUP($J220,'Type Chart'!$C$2:$T$20,13,false)*HLOOKUP($K220,'Type Chart'!$C$2:$U$20,13,false)</f>
        <v>0.5</v>
      </c>
      <c r="AG220" s="960">
        <f t="array" ref="AG220">HLOOKUP($J220,'Type Chart'!$C$2:$T$20,14,false)*HLOOKUP($K220,'Type Chart'!$C$2:$U$20,14,false)</f>
        <v>0.5</v>
      </c>
      <c r="AH220" s="960">
        <f t="array" ref="AH220">HLOOKUP($J220,'Type Chart'!$C$2:$T$20,15,false)*HLOOKUP($K220,'Type Chart'!$C$2:$U$20,15,false)</f>
        <v>1</v>
      </c>
      <c r="AI220" s="960">
        <f t="array" ref="AI220">HLOOKUP($J220,'Type Chart'!$C$2:$T$20,16,false)*HLOOKUP($K220,'Type Chart'!$C$2:$U$20,16,false)</f>
        <v>2</v>
      </c>
      <c r="AJ220" s="960">
        <f t="array" ref="AJ220">HLOOKUP($J220,'Type Chart'!$C$2:$T$20,17,false)*HLOOKUP($K220,'Type Chart'!$C$2:$U$20,17,false)</f>
        <v>1</v>
      </c>
      <c r="AK220" s="960">
        <f t="array" ref="AK220">HLOOKUP($J220,'Type Chart'!$C$2:$T$20,18,false)*HLOOKUP($K220,'Type Chart'!$C$2:$U$20,18,false)</f>
        <v>1</v>
      </c>
      <c r="AL220" s="960">
        <f t="array" ref="AL220">HLOOKUP($J220,'Type Chart'!$C$2:$T$20,19,false)*HLOOKUP($K220,'Type Chart'!$C$2:$U$20,19,false)</f>
        <v>1</v>
      </c>
      <c r="AM220" s="964" t="s">
        <v>522</v>
      </c>
      <c r="AN220" s="965"/>
      <c r="AO220" s="966" t="s">
        <v>1526</v>
      </c>
      <c r="AP220" s="936"/>
      <c r="AQ220" s="967"/>
      <c r="AR220" s="968"/>
      <c r="AS220" s="936"/>
    </row>
    <row r="221" ht="15.75" customHeight="1">
      <c r="A221" s="1099"/>
      <c r="B221" s="948" t="s">
        <v>1681</v>
      </c>
      <c r="C221" s="1197" t="s">
        <v>1682</v>
      </c>
      <c r="D221" s="1197" t="s">
        <v>1682</v>
      </c>
      <c r="E221" s="1147" t="s">
        <v>1682</v>
      </c>
      <c r="F221" s="940"/>
      <c r="G221" s="953"/>
      <c r="H221" s="969"/>
      <c r="I221" s="998" t="s">
        <v>890</v>
      </c>
      <c r="J221" s="1228" t="s">
        <v>209</v>
      </c>
      <c r="K221" s="1199" t="s">
        <v>216</v>
      </c>
      <c r="L221" s="1200">
        <v>60.0</v>
      </c>
      <c r="M221" s="1201">
        <v>62.0</v>
      </c>
      <c r="N221" s="1201">
        <v>80.0</v>
      </c>
      <c r="O221" s="1201">
        <v>63.0</v>
      </c>
      <c r="P221" s="1201">
        <v>80.0</v>
      </c>
      <c r="Q221" s="1201">
        <v>60.0</v>
      </c>
      <c r="R221" s="960">
        <v>156.0</v>
      </c>
      <c r="S221" s="960">
        <v>219.0</v>
      </c>
      <c r="T221" s="960">
        <v>240.0</v>
      </c>
      <c r="U221" s="960">
        <f t="array" ref="U221">HLOOKUP($J221,'Type Chart'!$C$2:$T$20,2,false)*HLOOKUP($K221,'Type Chart'!$C$2:$U$20,2,false)</f>
        <v>1</v>
      </c>
      <c r="V221" s="960">
        <f t="array" ref="V221">HLOOKUP($J221,'Type Chart'!$C$2:$T$20,3,false)*HLOOKUP($K221,'Type Chart'!$C$2:$U$20,3,false)</f>
        <v>1</v>
      </c>
      <c r="W221" s="960">
        <f t="array" ref="W221">HLOOKUP($J221,'Type Chart'!$C$2:$T$20,4,false)*HLOOKUP($K221,'Type Chart'!$C$2:$U$20,4,false)</f>
        <v>2</v>
      </c>
      <c r="X221" s="960">
        <f t="array" ref="X221">HLOOKUP($J221,'Type Chart'!$C$2:$T$20,5,false)*HLOOKUP($K221,'Type Chart'!$C$2:$U$20,5,false)</f>
        <v>2</v>
      </c>
      <c r="Y221" s="960">
        <f t="array" ref="Y221">HLOOKUP($J221,'Type Chart'!$C$2:$T$20,6,false)*HLOOKUP($K221,'Type Chart'!$C$2:$U$20,6,false)</f>
        <v>0.5</v>
      </c>
      <c r="Z221" s="960">
        <f t="array" ref="Z221">HLOOKUP($J221,'Type Chart'!$C$2:$T$20,7,false)*HLOOKUP($K221,'Type Chart'!$C$2:$U$20,7,false)</f>
        <v>1</v>
      </c>
      <c r="AA221" s="960">
        <f t="array" ref="AA221">HLOOKUP($J221,'Type Chart'!$C$2:$T$20,8,false)*HLOOKUP($K221,'Type Chart'!$C$2:$U$20,8,false)</f>
        <v>2</v>
      </c>
      <c r="AB221" s="960">
        <f t="array" ref="AB221">HLOOKUP($J221,'Type Chart'!$C$2:$T$20,9,false)*HLOOKUP($K221,'Type Chart'!$C$2:$U$20,9,false)</f>
        <v>1</v>
      </c>
      <c r="AC221" s="960">
        <f t="array" ref="AC221">HLOOKUP($J221,'Type Chart'!$C$2:$T$20,10,false)*HLOOKUP($K221,'Type Chart'!$C$2:$U$20,10,false)</f>
        <v>1</v>
      </c>
      <c r="AD221" s="960">
        <f t="array" ref="AD221">HLOOKUP($J221,'Type Chart'!$C$2:$T$20,11,false)*HLOOKUP($K221,'Type Chart'!$C$2:$U$20,11,false)</f>
        <v>2</v>
      </c>
      <c r="AE221" s="960">
        <f t="array" ref="AE221">HLOOKUP($J221,'Type Chart'!$C$2:$T$20,12,false)*HLOOKUP($K221,'Type Chart'!$C$2:$U$20,12,false)</f>
        <v>0.5</v>
      </c>
      <c r="AF221" s="960">
        <f t="array" ref="AF221">HLOOKUP($J221,'Type Chart'!$C$2:$T$20,13,false)*HLOOKUP($K221,'Type Chart'!$C$2:$U$20,13,false)</f>
        <v>0.5</v>
      </c>
      <c r="AG221" s="960">
        <f t="array" ref="AG221">HLOOKUP($J221,'Type Chart'!$C$2:$T$20,14,false)*HLOOKUP($K221,'Type Chart'!$C$2:$U$20,14,false)</f>
        <v>0.5</v>
      </c>
      <c r="AH221" s="960">
        <f t="array" ref="AH221">HLOOKUP($J221,'Type Chart'!$C$2:$T$20,15,false)*HLOOKUP($K221,'Type Chart'!$C$2:$U$20,15,false)</f>
        <v>1</v>
      </c>
      <c r="AI221" s="960">
        <f t="array" ref="AI221">HLOOKUP($J221,'Type Chart'!$C$2:$T$20,16,false)*HLOOKUP($K221,'Type Chart'!$C$2:$U$20,16,false)</f>
        <v>2</v>
      </c>
      <c r="AJ221" s="960">
        <f t="array" ref="AJ221">HLOOKUP($J221,'Type Chart'!$C$2:$T$20,17,false)*HLOOKUP($K221,'Type Chart'!$C$2:$U$20,17,false)</f>
        <v>1</v>
      </c>
      <c r="AK221" s="960">
        <f t="array" ref="AK221">HLOOKUP($J221,'Type Chart'!$C$2:$T$20,18,false)*HLOOKUP($K221,'Type Chart'!$C$2:$U$20,18,false)</f>
        <v>1</v>
      </c>
      <c r="AL221" s="960">
        <f t="array" ref="AL221">HLOOKUP($J221,'Type Chart'!$C$2:$T$20,19,false)*HLOOKUP($K221,'Type Chart'!$C$2:$U$20,19,false)</f>
        <v>1</v>
      </c>
      <c r="AM221" s="1145" t="s">
        <v>522</v>
      </c>
      <c r="AN221" s="965"/>
      <c r="AO221" s="1146" t="s">
        <v>1526</v>
      </c>
      <c r="AP221" s="936"/>
      <c r="AQ221" s="967"/>
      <c r="AR221" s="968"/>
      <c r="AS221" s="936"/>
    </row>
    <row r="222" ht="15.75" customHeight="1">
      <c r="A222" s="936"/>
      <c r="B222" s="948" t="s">
        <v>1683</v>
      </c>
      <c r="C222" s="950" t="s">
        <v>1684</v>
      </c>
      <c r="D222" s="950" t="s">
        <v>1684</v>
      </c>
      <c r="E222" s="952" t="s">
        <v>1684</v>
      </c>
      <c r="F222" s="940"/>
      <c r="G222" s="953"/>
      <c r="H222" s="969"/>
      <c r="I222" s="956" t="s">
        <v>735</v>
      </c>
      <c r="J222" s="957" t="s">
        <v>209</v>
      </c>
      <c r="K222" s="984" t="s">
        <v>216</v>
      </c>
      <c r="L222" s="959">
        <v>80.0</v>
      </c>
      <c r="M222" s="960">
        <v>82.0</v>
      </c>
      <c r="N222" s="960">
        <v>100.0</v>
      </c>
      <c r="O222" s="960">
        <v>83.0</v>
      </c>
      <c r="P222" s="960">
        <v>100.0</v>
      </c>
      <c r="Q222" s="960">
        <v>80.0</v>
      </c>
      <c r="R222" s="960">
        <v>196.0</v>
      </c>
      <c r="S222" s="960">
        <v>259.0</v>
      </c>
      <c r="T222" s="960">
        <v>284.0</v>
      </c>
      <c r="U222" s="960">
        <f t="array" ref="U222">HLOOKUP($J222,'Type Chart'!$C$2:$T$20,2,false)*HLOOKUP($K222,'Type Chart'!$C$2:$U$20,2,false)</f>
        <v>1</v>
      </c>
      <c r="V222" s="960">
        <f t="array" ref="V222">HLOOKUP($J222,'Type Chart'!$C$2:$T$20,3,false)*HLOOKUP($K222,'Type Chart'!$C$2:$U$20,3,false)</f>
        <v>1</v>
      </c>
      <c r="W222" s="960">
        <f t="array" ref="W222">HLOOKUP($J222,'Type Chart'!$C$2:$T$20,4,false)*HLOOKUP($K222,'Type Chart'!$C$2:$U$20,4,false)</f>
        <v>2</v>
      </c>
      <c r="X222" s="960">
        <f t="array" ref="X222">HLOOKUP($J222,'Type Chart'!$C$2:$T$20,5,false)*HLOOKUP($K222,'Type Chart'!$C$2:$U$20,5,false)</f>
        <v>2</v>
      </c>
      <c r="Y222" s="960">
        <f t="array" ref="Y222">HLOOKUP($J222,'Type Chart'!$C$2:$T$20,6,false)*HLOOKUP($K222,'Type Chart'!$C$2:$U$20,6,false)</f>
        <v>0.5</v>
      </c>
      <c r="Z222" s="960">
        <f t="array" ref="Z222">HLOOKUP($J222,'Type Chart'!$C$2:$T$20,7,false)*HLOOKUP($K222,'Type Chart'!$C$2:$U$20,7,false)</f>
        <v>1</v>
      </c>
      <c r="AA222" s="960">
        <f t="array" ref="AA222">HLOOKUP($J222,'Type Chart'!$C$2:$T$20,8,false)*HLOOKUP($K222,'Type Chart'!$C$2:$U$20,8,false)</f>
        <v>2</v>
      </c>
      <c r="AB222" s="960">
        <f t="array" ref="AB222">HLOOKUP($J222,'Type Chart'!$C$2:$T$20,9,false)*HLOOKUP($K222,'Type Chart'!$C$2:$U$20,9,false)</f>
        <v>1</v>
      </c>
      <c r="AC222" s="960">
        <f t="array" ref="AC222">HLOOKUP($J222,'Type Chart'!$C$2:$T$20,10,false)*HLOOKUP($K222,'Type Chart'!$C$2:$U$20,10,false)</f>
        <v>1</v>
      </c>
      <c r="AD222" s="960">
        <f t="array" ref="AD222">HLOOKUP($J222,'Type Chart'!$C$2:$T$20,11,false)*HLOOKUP($K222,'Type Chart'!$C$2:$U$20,11,false)</f>
        <v>2</v>
      </c>
      <c r="AE222" s="960">
        <f t="array" ref="AE222">HLOOKUP($J222,'Type Chart'!$C$2:$T$20,12,false)*HLOOKUP($K222,'Type Chart'!$C$2:$U$20,12,false)</f>
        <v>0.5</v>
      </c>
      <c r="AF222" s="960">
        <f t="array" ref="AF222">HLOOKUP($J222,'Type Chart'!$C$2:$T$20,13,false)*HLOOKUP($K222,'Type Chart'!$C$2:$U$20,13,false)</f>
        <v>0.5</v>
      </c>
      <c r="AG222" s="960">
        <f t="array" ref="AG222">HLOOKUP($J222,'Type Chart'!$C$2:$T$20,14,false)*HLOOKUP($K222,'Type Chart'!$C$2:$U$20,14,false)</f>
        <v>0.5</v>
      </c>
      <c r="AH222" s="960">
        <f t="array" ref="AH222">HLOOKUP($J222,'Type Chart'!$C$2:$T$20,15,false)*HLOOKUP($K222,'Type Chart'!$C$2:$U$20,15,false)</f>
        <v>1</v>
      </c>
      <c r="AI222" s="960">
        <f t="array" ref="AI222">HLOOKUP($J222,'Type Chart'!$C$2:$T$20,16,false)*HLOOKUP($K222,'Type Chart'!$C$2:$U$20,16,false)</f>
        <v>2</v>
      </c>
      <c r="AJ222" s="960">
        <f t="array" ref="AJ222">HLOOKUP($J222,'Type Chart'!$C$2:$T$20,17,false)*HLOOKUP($K222,'Type Chart'!$C$2:$U$20,17,false)</f>
        <v>1</v>
      </c>
      <c r="AK222" s="960">
        <f t="array" ref="AK222">HLOOKUP($J222,'Type Chart'!$C$2:$T$20,18,false)*HLOOKUP($K222,'Type Chart'!$C$2:$U$20,18,false)</f>
        <v>1</v>
      </c>
      <c r="AL222" s="960">
        <f t="array" ref="AL222">HLOOKUP($J222,'Type Chart'!$C$2:$T$20,19,false)*HLOOKUP($K222,'Type Chart'!$C$2:$U$20,19,false)</f>
        <v>1</v>
      </c>
      <c r="AM222" s="964" t="s">
        <v>522</v>
      </c>
      <c r="AN222" s="965"/>
      <c r="AO222" s="966" t="s">
        <v>1526</v>
      </c>
      <c r="AP222" s="936"/>
      <c r="AQ222" s="967"/>
      <c r="AR222" s="968"/>
      <c r="AS222" s="936"/>
    </row>
    <row r="223" ht="15.75" customHeight="1">
      <c r="A223" s="936"/>
      <c r="B223" s="948" t="s">
        <v>1685</v>
      </c>
      <c r="C223" s="950" t="s">
        <v>1686</v>
      </c>
      <c r="D223" s="950" t="s">
        <v>1686</v>
      </c>
      <c r="E223" s="952" t="s">
        <v>1686</v>
      </c>
      <c r="F223" s="940"/>
      <c r="G223" s="953"/>
      <c r="H223" s="969"/>
      <c r="I223" s="956" t="s">
        <v>1687</v>
      </c>
      <c r="J223" s="982" t="s">
        <v>150</v>
      </c>
      <c r="K223" s="984" t="s">
        <v>216</v>
      </c>
      <c r="L223" s="959">
        <v>39.0</v>
      </c>
      <c r="M223" s="960">
        <v>52.0</v>
      </c>
      <c r="N223" s="960">
        <v>43.0</v>
      </c>
      <c r="O223" s="960">
        <v>60.0</v>
      </c>
      <c r="P223" s="960">
        <v>50.0</v>
      </c>
      <c r="Q223" s="960">
        <v>65.0</v>
      </c>
      <c r="R223" s="960">
        <v>166.0</v>
      </c>
      <c r="S223" s="960">
        <v>229.0</v>
      </c>
      <c r="T223" s="960">
        <v>251.0</v>
      </c>
      <c r="U223" s="960">
        <f t="array" ref="U223">HLOOKUP($J223,'Type Chart'!$C$2:$T$20,2,false)*HLOOKUP($K223,'Type Chart'!$C$2:$U$20,2,false)</f>
        <v>1</v>
      </c>
      <c r="V223" s="960">
        <f t="array" ref="V223">HLOOKUP($J223,'Type Chart'!$C$2:$T$20,3,false)*HLOOKUP($K223,'Type Chart'!$C$2:$U$20,3,false)</f>
        <v>1</v>
      </c>
      <c r="W223" s="960">
        <f t="array" ref="W223">HLOOKUP($J223,'Type Chart'!$C$2:$T$20,4,false)*HLOOKUP($K223,'Type Chart'!$C$2:$U$20,4,false)</f>
        <v>1</v>
      </c>
      <c r="X223" s="960">
        <f t="array" ref="X223">HLOOKUP($J223,'Type Chart'!$C$2:$T$20,5,false)*HLOOKUP($K223,'Type Chart'!$C$2:$U$20,5,false)</f>
        <v>1</v>
      </c>
      <c r="Y223" s="960">
        <f t="array" ref="Y223">HLOOKUP($J223,'Type Chart'!$C$2:$T$20,6,false)*HLOOKUP($K223,'Type Chart'!$C$2:$U$20,6,false)</f>
        <v>2</v>
      </c>
      <c r="Z223" s="960">
        <f t="array" ref="Z223">HLOOKUP($J223,'Type Chart'!$C$2:$T$20,7,false)*HLOOKUP($K223,'Type Chart'!$C$2:$U$20,7,false)</f>
        <v>2</v>
      </c>
      <c r="AA223" s="960">
        <f t="array" ref="AA223">HLOOKUP($J223,'Type Chart'!$C$2:$T$20,8,false)*HLOOKUP($K223,'Type Chart'!$C$2:$U$20,8,false)</f>
        <v>0.5</v>
      </c>
      <c r="AB223" s="960">
        <f t="array" ref="AB223">HLOOKUP($J223,'Type Chart'!$C$2:$T$20,9,false)*HLOOKUP($K223,'Type Chart'!$C$2:$U$20,9,false)</f>
        <v>1</v>
      </c>
      <c r="AC223" s="960">
        <f t="array" ref="AC223">HLOOKUP($J223,'Type Chart'!$C$2:$T$20,10,false)*HLOOKUP($K223,'Type Chart'!$C$2:$U$20,10,false)</f>
        <v>0.5</v>
      </c>
      <c r="AD223" s="960">
        <f t="array" ref="AD223">HLOOKUP($J223,'Type Chart'!$C$2:$T$20,11,false)*HLOOKUP($K223,'Type Chart'!$C$2:$U$20,11,false)</f>
        <v>0.5</v>
      </c>
      <c r="AE223" s="960">
        <f t="array" ref="AE223">HLOOKUP($J223,'Type Chart'!$C$2:$T$20,12,false)*HLOOKUP($K223,'Type Chart'!$C$2:$U$20,12,false)</f>
        <v>2</v>
      </c>
      <c r="AF223" s="960">
        <f t="array" ref="AF223">HLOOKUP($J223,'Type Chart'!$C$2:$T$20,13,false)*HLOOKUP($K223,'Type Chart'!$C$2:$U$20,13,false)</f>
        <v>0.5</v>
      </c>
      <c r="AG223" s="960">
        <f t="array" ref="AG223">HLOOKUP($J223,'Type Chart'!$C$2:$T$20,14,false)*HLOOKUP($K223,'Type Chart'!$C$2:$U$20,14,false)</f>
        <v>1</v>
      </c>
      <c r="AH223" s="960">
        <f t="array" ref="AH223">HLOOKUP($J223,'Type Chart'!$C$2:$T$20,15,false)*HLOOKUP($K223,'Type Chart'!$C$2:$U$20,15,false)</f>
        <v>1</v>
      </c>
      <c r="AI223" s="960">
        <f t="array" ref="AI223">HLOOKUP($J223,'Type Chart'!$C$2:$T$20,16,false)*HLOOKUP($K223,'Type Chart'!$C$2:$U$20,16,false)</f>
        <v>0.5</v>
      </c>
      <c r="AJ223" s="960">
        <f t="array" ref="AJ223">HLOOKUP($J223,'Type Chart'!$C$2:$T$20,17,false)*HLOOKUP($K223,'Type Chart'!$C$2:$U$20,17,false)</f>
        <v>1</v>
      </c>
      <c r="AK223" s="960">
        <f t="array" ref="AK223">HLOOKUP($J223,'Type Chart'!$C$2:$T$20,18,false)*HLOOKUP($K223,'Type Chart'!$C$2:$U$20,18,false)</f>
        <v>1</v>
      </c>
      <c r="AL223" s="960">
        <f t="array" ref="AL223">HLOOKUP($J223,'Type Chart'!$C$2:$T$20,19,false)*HLOOKUP($K223,'Type Chart'!$C$2:$U$20,19,false)</f>
        <v>0.5</v>
      </c>
      <c r="AM223" s="964" t="s">
        <v>830</v>
      </c>
      <c r="AN223" s="965"/>
      <c r="AO223" s="966" t="s">
        <v>1172</v>
      </c>
      <c r="AP223" s="936"/>
      <c r="AQ223" s="967"/>
      <c r="AR223" s="968"/>
      <c r="AS223" s="936"/>
    </row>
    <row r="224" ht="15.75" customHeight="1">
      <c r="A224" s="936"/>
      <c r="B224" s="948" t="s">
        <v>1688</v>
      </c>
      <c r="C224" s="950" t="s">
        <v>1689</v>
      </c>
      <c r="D224" s="950" t="s">
        <v>1689</v>
      </c>
      <c r="E224" s="952" t="s">
        <v>1689</v>
      </c>
      <c r="F224" s="940"/>
      <c r="G224" s="953"/>
      <c r="H224" s="969"/>
      <c r="I224" s="956" t="s">
        <v>856</v>
      </c>
      <c r="J224" s="982" t="s">
        <v>150</v>
      </c>
      <c r="K224" s="984" t="s">
        <v>216</v>
      </c>
      <c r="L224" s="959">
        <v>58.0</v>
      </c>
      <c r="M224" s="960">
        <v>64.0</v>
      </c>
      <c r="N224" s="960">
        <v>58.0</v>
      </c>
      <c r="O224" s="960">
        <v>80.0</v>
      </c>
      <c r="P224" s="960">
        <v>65.0</v>
      </c>
      <c r="Q224" s="960">
        <v>80.0</v>
      </c>
      <c r="R224" s="960">
        <v>196.0</v>
      </c>
      <c r="S224" s="960">
        <v>259.0</v>
      </c>
      <c r="T224" s="960">
        <v>284.0</v>
      </c>
      <c r="U224" s="960">
        <f t="array" ref="U224">HLOOKUP($J224,'Type Chart'!$C$2:$T$20,2,false)*HLOOKUP($K224,'Type Chart'!$C$2:$U$20,2,false)</f>
        <v>1</v>
      </c>
      <c r="V224" s="960">
        <f t="array" ref="V224">HLOOKUP($J224,'Type Chart'!$C$2:$T$20,3,false)*HLOOKUP($K224,'Type Chart'!$C$2:$U$20,3,false)</f>
        <v>1</v>
      </c>
      <c r="W224" s="960">
        <f t="array" ref="W224">HLOOKUP($J224,'Type Chart'!$C$2:$T$20,4,false)*HLOOKUP($K224,'Type Chart'!$C$2:$U$20,4,false)</f>
        <v>1</v>
      </c>
      <c r="X224" s="960">
        <f t="array" ref="X224">HLOOKUP($J224,'Type Chart'!$C$2:$T$20,5,false)*HLOOKUP($K224,'Type Chart'!$C$2:$U$20,5,false)</f>
        <v>1</v>
      </c>
      <c r="Y224" s="960">
        <f t="array" ref="Y224">HLOOKUP($J224,'Type Chart'!$C$2:$T$20,6,false)*HLOOKUP($K224,'Type Chart'!$C$2:$U$20,6,false)</f>
        <v>2</v>
      </c>
      <c r="Z224" s="960">
        <f t="array" ref="Z224">HLOOKUP($J224,'Type Chart'!$C$2:$T$20,7,false)*HLOOKUP($K224,'Type Chart'!$C$2:$U$20,7,false)</f>
        <v>2</v>
      </c>
      <c r="AA224" s="960">
        <f t="array" ref="AA224">HLOOKUP($J224,'Type Chart'!$C$2:$T$20,8,false)*HLOOKUP($K224,'Type Chart'!$C$2:$U$20,8,false)</f>
        <v>0.5</v>
      </c>
      <c r="AB224" s="960">
        <f t="array" ref="AB224">HLOOKUP($J224,'Type Chart'!$C$2:$T$20,9,false)*HLOOKUP($K224,'Type Chart'!$C$2:$U$20,9,false)</f>
        <v>1</v>
      </c>
      <c r="AC224" s="960">
        <f t="array" ref="AC224">HLOOKUP($J224,'Type Chart'!$C$2:$T$20,10,false)*HLOOKUP($K224,'Type Chart'!$C$2:$U$20,10,false)</f>
        <v>0.5</v>
      </c>
      <c r="AD224" s="960">
        <f t="array" ref="AD224">HLOOKUP($J224,'Type Chart'!$C$2:$T$20,11,false)*HLOOKUP($K224,'Type Chart'!$C$2:$U$20,11,false)</f>
        <v>0.5</v>
      </c>
      <c r="AE224" s="960">
        <f t="array" ref="AE224">HLOOKUP($J224,'Type Chart'!$C$2:$T$20,12,false)*HLOOKUP($K224,'Type Chart'!$C$2:$U$20,12,false)</f>
        <v>2</v>
      </c>
      <c r="AF224" s="960">
        <f t="array" ref="AF224">HLOOKUP($J224,'Type Chart'!$C$2:$T$20,13,false)*HLOOKUP($K224,'Type Chart'!$C$2:$U$20,13,false)</f>
        <v>0.5</v>
      </c>
      <c r="AG224" s="960">
        <f t="array" ref="AG224">HLOOKUP($J224,'Type Chart'!$C$2:$T$20,14,false)*HLOOKUP($K224,'Type Chart'!$C$2:$U$20,14,false)</f>
        <v>1</v>
      </c>
      <c r="AH224" s="960">
        <f t="array" ref="AH224">HLOOKUP($J224,'Type Chart'!$C$2:$T$20,15,false)*HLOOKUP($K224,'Type Chart'!$C$2:$U$20,15,false)</f>
        <v>1</v>
      </c>
      <c r="AI224" s="960">
        <f t="array" ref="AI224">HLOOKUP($J224,'Type Chart'!$C$2:$T$20,16,false)*HLOOKUP($K224,'Type Chart'!$C$2:$U$20,16,false)</f>
        <v>0.5</v>
      </c>
      <c r="AJ224" s="960">
        <f t="array" ref="AJ224">HLOOKUP($J224,'Type Chart'!$C$2:$T$20,17,false)*HLOOKUP($K224,'Type Chart'!$C$2:$U$20,17,false)</f>
        <v>1</v>
      </c>
      <c r="AK224" s="960">
        <f t="array" ref="AK224">HLOOKUP($J224,'Type Chart'!$C$2:$T$20,18,false)*HLOOKUP($K224,'Type Chart'!$C$2:$U$20,18,false)</f>
        <v>1</v>
      </c>
      <c r="AL224" s="960">
        <f t="array" ref="AL224">HLOOKUP($J224,'Type Chart'!$C$2:$T$20,19,false)*HLOOKUP($K224,'Type Chart'!$C$2:$U$20,19,false)</f>
        <v>0.5</v>
      </c>
      <c r="AM224" s="964" t="s">
        <v>830</v>
      </c>
      <c r="AN224" s="965"/>
      <c r="AO224" s="966" t="s">
        <v>1172</v>
      </c>
      <c r="AP224" s="936"/>
      <c r="AQ224" s="967"/>
      <c r="AR224" s="968"/>
      <c r="AS224" s="936"/>
    </row>
    <row r="225" ht="15.75" customHeight="1">
      <c r="A225" s="936"/>
      <c r="B225" s="948" t="s">
        <v>1690</v>
      </c>
      <c r="C225" s="950" t="s">
        <v>1691</v>
      </c>
      <c r="D225" s="950" t="s">
        <v>1691</v>
      </c>
      <c r="E225" s="952" t="s">
        <v>1691</v>
      </c>
      <c r="F225" s="940"/>
      <c r="G225" s="953"/>
      <c r="H225" s="969"/>
      <c r="I225" s="956" t="s">
        <v>690</v>
      </c>
      <c r="J225" s="982" t="s">
        <v>150</v>
      </c>
      <c r="K225" s="984" t="s">
        <v>216</v>
      </c>
      <c r="L225" s="959">
        <v>78.0</v>
      </c>
      <c r="M225" s="960">
        <v>84.0</v>
      </c>
      <c r="N225" s="960">
        <v>78.0</v>
      </c>
      <c r="O225" s="960">
        <v>109.0</v>
      </c>
      <c r="P225" s="960">
        <v>85.0</v>
      </c>
      <c r="Q225" s="960">
        <v>100.0</v>
      </c>
      <c r="R225" s="960">
        <v>236.0</v>
      </c>
      <c r="S225" s="960">
        <v>299.0</v>
      </c>
      <c r="T225" s="960">
        <v>328.0</v>
      </c>
      <c r="U225" s="960">
        <f t="array" ref="U225">HLOOKUP($J225,'Type Chart'!$C$2:$T$20,2,false)*HLOOKUP($K225,'Type Chart'!$C$2:$U$20,2,false)</f>
        <v>1</v>
      </c>
      <c r="V225" s="960">
        <f t="array" ref="V225">HLOOKUP($J225,'Type Chart'!$C$2:$T$20,3,false)*HLOOKUP($K225,'Type Chart'!$C$2:$U$20,3,false)</f>
        <v>1</v>
      </c>
      <c r="W225" s="960">
        <f t="array" ref="W225">HLOOKUP($J225,'Type Chart'!$C$2:$T$20,4,false)*HLOOKUP($K225,'Type Chart'!$C$2:$U$20,4,false)</f>
        <v>1</v>
      </c>
      <c r="X225" s="960">
        <f t="array" ref="X225">HLOOKUP($J225,'Type Chart'!$C$2:$T$20,5,false)*HLOOKUP($K225,'Type Chart'!$C$2:$U$20,5,false)</f>
        <v>1</v>
      </c>
      <c r="Y225" s="960">
        <f t="array" ref="Y225">HLOOKUP($J225,'Type Chart'!$C$2:$T$20,6,false)*HLOOKUP($K225,'Type Chart'!$C$2:$U$20,6,false)</f>
        <v>2</v>
      </c>
      <c r="Z225" s="960">
        <f t="array" ref="Z225">HLOOKUP($J225,'Type Chart'!$C$2:$T$20,7,false)*HLOOKUP($K225,'Type Chart'!$C$2:$U$20,7,false)</f>
        <v>2</v>
      </c>
      <c r="AA225" s="960">
        <f t="array" ref="AA225">HLOOKUP($J225,'Type Chart'!$C$2:$T$20,8,false)*HLOOKUP($K225,'Type Chart'!$C$2:$U$20,8,false)</f>
        <v>0.5</v>
      </c>
      <c r="AB225" s="960">
        <f t="array" ref="AB225">HLOOKUP($J225,'Type Chart'!$C$2:$T$20,9,false)*HLOOKUP($K225,'Type Chart'!$C$2:$U$20,9,false)</f>
        <v>1</v>
      </c>
      <c r="AC225" s="960">
        <f t="array" ref="AC225">HLOOKUP($J225,'Type Chart'!$C$2:$T$20,10,false)*HLOOKUP($K225,'Type Chart'!$C$2:$U$20,10,false)</f>
        <v>0.5</v>
      </c>
      <c r="AD225" s="960">
        <f t="array" ref="AD225">HLOOKUP($J225,'Type Chart'!$C$2:$T$20,11,false)*HLOOKUP($K225,'Type Chart'!$C$2:$U$20,11,false)</f>
        <v>0.5</v>
      </c>
      <c r="AE225" s="960">
        <f t="array" ref="AE225">HLOOKUP($J225,'Type Chart'!$C$2:$T$20,12,false)*HLOOKUP($K225,'Type Chart'!$C$2:$U$20,12,false)</f>
        <v>2</v>
      </c>
      <c r="AF225" s="960">
        <f t="array" ref="AF225">HLOOKUP($J225,'Type Chart'!$C$2:$T$20,13,false)*HLOOKUP($K225,'Type Chart'!$C$2:$U$20,13,false)</f>
        <v>0.5</v>
      </c>
      <c r="AG225" s="960">
        <f t="array" ref="AG225">HLOOKUP($J225,'Type Chart'!$C$2:$T$20,14,false)*HLOOKUP($K225,'Type Chart'!$C$2:$U$20,14,false)</f>
        <v>1</v>
      </c>
      <c r="AH225" s="960">
        <f t="array" ref="AH225">HLOOKUP($J225,'Type Chart'!$C$2:$T$20,15,false)*HLOOKUP($K225,'Type Chart'!$C$2:$U$20,15,false)</f>
        <v>1</v>
      </c>
      <c r="AI225" s="960">
        <f t="array" ref="AI225">HLOOKUP($J225,'Type Chart'!$C$2:$T$20,16,false)*HLOOKUP($K225,'Type Chart'!$C$2:$U$20,16,false)</f>
        <v>0.5</v>
      </c>
      <c r="AJ225" s="960">
        <f t="array" ref="AJ225">HLOOKUP($J225,'Type Chart'!$C$2:$T$20,17,false)*HLOOKUP($K225,'Type Chart'!$C$2:$U$20,17,false)</f>
        <v>1</v>
      </c>
      <c r="AK225" s="960">
        <f t="array" ref="AK225">HLOOKUP($J225,'Type Chart'!$C$2:$T$20,18,false)*HLOOKUP($K225,'Type Chart'!$C$2:$U$20,18,false)</f>
        <v>1</v>
      </c>
      <c r="AL225" s="960">
        <f t="array" ref="AL225">HLOOKUP($J225,'Type Chart'!$C$2:$T$20,19,false)*HLOOKUP($K225,'Type Chart'!$C$2:$U$20,19,false)</f>
        <v>0.5</v>
      </c>
      <c r="AM225" s="964" t="s">
        <v>830</v>
      </c>
      <c r="AN225" s="965"/>
      <c r="AO225" s="966" t="s">
        <v>1172</v>
      </c>
      <c r="AP225" s="936"/>
      <c r="AQ225" s="967"/>
      <c r="AR225" s="968"/>
      <c r="AS225" s="936"/>
    </row>
    <row r="226" ht="15.75" customHeight="1">
      <c r="A226" s="936"/>
      <c r="B226" s="948" t="s">
        <v>1692</v>
      </c>
      <c r="C226" s="950" t="str">
        <f t="shared" ref="C226:E226" si="5">C225&amp;"-hisui"</f>
        <v>typhlosion-hisui</v>
      </c>
      <c r="D226" s="950" t="str">
        <f t="shared" si="5"/>
        <v>typhlosion-hisui</v>
      </c>
      <c r="E226" s="952" t="str">
        <f t="shared" si="5"/>
        <v>typhlosion-hisui</v>
      </c>
      <c r="F226" s="940"/>
      <c r="G226" s="953"/>
      <c r="H226" s="969"/>
      <c r="I226" s="956" t="s">
        <v>634</v>
      </c>
      <c r="J226" s="982" t="s">
        <v>150</v>
      </c>
      <c r="K226" s="1220" t="s">
        <v>215</v>
      </c>
      <c r="L226" s="959">
        <v>73.0</v>
      </c>
      <c r="M226" s="960">
        <v>84.0</v>
      </c>
      <c r="N226" s="960">
        <v>78.0</v>
      </c>
      <c r="O226" s="960">
        <v>119.0</v>
      </c>
      <c r="P226" s="960">
        <v>85.0</v>
      </c>
      <c r="Q226" s="960">
        <v>95.0</v>
      </c>
      <c r="R226" s="960">
        <v>226.0</v>
      </c>
      <c r="S226" s="960">
        <v>289.0</v>
      </c>
      <c r="T226" s="960">
        <v>317.0</v>
      </c>
      <c r="U226" s="960">
        <f t="array" ref="U226">HLOOKUP($J226,'Type Chart'!$C$2:$T$20,2,false)*HLOOKUP($K226,'Type Chart'!$C$2:$U$20,2,false)</f>
        <v>0</v>
      </c>
      <c r="V226" s="960">
        <f t="array" ref="V226">HLOOKUP($J226,'Type Chart'!$C$2:$T$20,3,false)*HLOOKUP($K226,'Type Chart'!$C$2:$U$20,3,false)</f>
        <v>0</v>
      </c>
      <c r="W226" s="960">
        <f t="array" ref="W226">HLOOKUP($J226,'Type Chart'!$C$2:$T$20,4,false)*HLOOKUP($K226,'Type Chart'!$C$2:$U$20,4,false)</f>
        <v>1</v>
      </c>
      <c r="X226" s="960">
        <f t="array" ref="X226">HLOOKUP($J226,'Type Chart'!$C$2:$T$20,5,false)*HLOOKUP($K226,'Type Chart'!$C$2:$U$20,5,false)</f>
        <v>0.5</v>
      </c>
      <c r="Y226" s="960">
        <f t="array" ref="Y226">HLOOKUP($J226,'Type Chart'!$C$2:$T$20,6,false)*HLOOKUP($K226,'Type Chart'!$C$2:$U$20,6,false)</f>
        <v>2</v>
      </c>
      <c r="Z226" s="960">
        <f t="array" ref="Z226">HLOOKUP($J226,'Type Chart'!$C$2:$T$20,7,false)*HLOOKUP($K226,'Type Chart'!$C$2:$U$20,7,false)</f>
        <v>2</v>
      </c>
      <c r="AA226" s="960">
        <f t="array" ref="AA226">HLOOKUP($J226,'Type Chart'!$C$2:$T$20,8,false)*HLOOKUP($K226,'Type Chart'!$C$2:$U$20,8,false)</f>
        <v>0.25</v>
      </c>
      <c r="AB226" s="960">
        <f t="array" ref="AB226">HLOOKUP($J226,'Type Chart'!$C$2:$T$20,9,false)*HLOOKUP($K226,'Type Chart'!$C$2:$U$20,9,false)</f>
        <v>2</v>
      </c>
      <c r="AC226" s="960">
        <f t="array" ref="AC226">HLOOKUP($J226,'Type Chart'!$C$2:$T$20,10,false)*HLOOKUP($K226,'Type Chart'!$C$2:$U$20,10,false)</f>
        <v>0.5</v>
      </c>
      <c r="AD226" s="960">
        <f t="array" ref="AD226">HLOOKUP($J226,'Type Chart'!$C$2:$T$20,11,false)*HLOOKUP($K226,'Type Chart'!$C$2:$U$20,11,false)</f>
        <v>0.5</v>
      </c>
      <c r="AE226" s="960">
        <f t="array" ref="AE226">HLOOKUP($J226,'Type Chart'!$C$2:$T$20,12,false)*HLOOKUP($K226,'Type Chart'!$C$2:$U$20,12,false)</f>
        <v>2</v>
      </c>
      <c r="AF226" s="960">
        <f t="array" ref="AF226">HLOOKUP($J226,'Type Chart'!$C$2:$T$20,13,false)*HLOOKUP($K226,'Type Chart'!$C$2:$U$20,13,false)</f>
        <v>0.5</v>
      </c>
      <c r="AG226" s="960">
        <f t="array" ref="AG226">HLOOKUP($J226,'Type Chart'!$C$2:$T$20,14,false)*HLOOKUP($K226,'Type Chart'!$C$2:$U$20,14,false)</f>
        <v>1</v>
      </c>
      <c r="AH226" s="960">
        <f t="array" ref="AH226">HLOOKUP($J226,'Type Chart'!$C$2:$T$20,15,false)*HLOOKUP($K226,'Type Chart'!$C$2:$U$20,15,false)</f>
        <v>1</v>
      </c>
      <c r="AI226" s="960">
        <f t="array" ref="AI226">HLOOKUP($J226,'Type Chart'!$C$2:$T$20,16,false)*HLOOKUP($K226,'Type Chart'!$C$2:$U$20,16,false)</f>
        <v>0.5</v>
      </c>
      <c r="AJ226" s="960">
        <f t="array" ref="AJ226">HLOOKUP($J226,'Type Chart'!$C$2:$T$20,17,false)*HLOOKUP($K226,'Type Chart'!$C$2:$U$20,17,false)</f>
        <v>1</v>
      </c>
      <c r="AK226" s="960">
        <f t="array" ref="AK226">HLOOKUP($J226,'Type Chart'!$C$2:$T$20,18,false)*HLOOKUP($K226,'Type Chart'!$C$2:$U$20,18,false)</f>
        <v>2</v>
      </c>
      <c r="AL226" s="960">
        <f t="array" ref="AL226">HLOOKUP($J226,'Type Chart'!$C$2:$T$20,19,false)*HLOOKUP($K226,'Type Chart'!$C$2:$U$20,19,false)</f>
        <v>0.5</v>
      </c>
      <c r="AM226" s="964" t="s">
        <v>830</v>
      </c>
      <c r="AN226" s="965"/>
      <c r="AO226" s="966" t="s">
        <v>1188</v>
      </c>
      <c r="AP226" s="936"/>
      <c r="AQ226" s="967"/>
      <c r="AR226" s="968"/>
      <c r="AS226" s="936"/>
    </row>
    <row r="227" ht="15.75" customHeight="1">
      <c r="A227" s="1099"/>
      <c r="B227" s="948" t="s">
        <v>1693</v>
      </c>
      <c r="C227" s="950" t="s">
        <v>1694</v>
      </c>
      <c r="D227" s="950" t="s">
        <v>1694</v>
      </c>
      <c r="E227" s="952" t="s">
        <v>1694</v>
      </c>
      <c r="F227" s="940"/>
      <c r="G227" s="953"/>
      <c r="H227" s="969"/>
      <c r="I227" s="956" t="s">
        <v>1695</v>
      </c>
      <c r="J227" s="1056" t="s">
        <v>81</v>
      </c>
      <c r="K227" s="984" t="s">
        <v>216</v>
      </c>
      <c r="L227" s="959">
        <v>50.0</v>
      </c>
      <c r="M227" s="960">
        <v>65.0</v>
      </c>
      <c r="N227" s="960">
        <v>64.0</v>
      </c>
      <c r="O227" s="960">
        <v>44.0</v>
      </c>
      <c r="P227" s="960">
        <v>48.0</v>
      </c>
      <c r="Q227" s="960">
        <v>43.0</v>
      </c>
      <c r="R227" s="960">
        <v>122.0</v>
      </c>
      <c r="S227" s="960">
        <v>185.0</v>
      </c>
      <c r="T227" s="960">
        <v>203.0</v>
      </c>
      <c r="U227" s="960">
        <f t="array" ref="U227">HLOOKUP($J227,'Type Chart'!$C$2:$T$20,2,false)*HLOOKUP($K227,'Type Chart'!$C$2:$U$20,2,false)</f>
        <v>1</v>
      </c>
      <c r="V227" s="960">
        <f t="array" ref="V227">HLOOKUP($J227,'Type Chart'!$C$2:$T$20,3,false)*HLOOKUP($K227,'Type Chart'!$C$2:$U$20,3,false)</f>
        <v>1</v>
      </c>
      <c r="W227" s="960">
        <f t="array" ref="W227">HLOOKUP($J227,'Type Chart'!$C$2:$T$20,4,false)*HLOOKUP($K227,'Type Chart'!$C$2:$U$20,4,false)</f>
        <v>1</v>
      </c>
      <c r="X227" s="960">
        <f t="array" ref="X227">HLOOKUP($J227,'Type Chart'!$C$2:$T$20,5,false)*HLOOKUP($K227,'Type Chart'!$C$2:$U$20,5,false)</f>
        <v>1</v>
      </c>
      <c r="Y227" s="960">
        <f t="array" ref="Y227">HLOOKUP($J227,'Type Chart'!$C$2:$T$20,6,false)*HLOOKUP($K227,'Type Chart'!$C$2:$U$20,6,false)</f>
        <v>1</v>
      </c>
      <c r="Z227" s="960">
        <f t="array" ref="Z227">HLOOKUP($J227,'Type Chart'!$C$2:$T$20,7,false)*HLOOKUP($K227,'Type Chart'!$C$2:$U$20,7,false)</f>
        <v>1</v>
      </c>
      <c r="AA227" s="960">
        <f t="array" ref="AA227">HLOOKUP($J227,'Type Chart'!$C$2:$T$20,8,false)*HLOOKUP($K227,'Type Chart'!$C$2:$U$20,8,false)</f>
        <v>1</v>
      </c>
      <c r="AB227" s="960">
        <f t="array" ref="AB227">HLOOKUP($J227,'Type Chart'!$C$2:$T$20,9,false)*HLOOKUP($K227,'Type Chart'!$C$2:$U$20,9,false)</f>
        <v>1</v>
      </c>
      <c r="AC227" s="960">
        <f t="array" ref="AC227">HLOOKUP($J227,'Type Chart'!$C$2:$T$20,10,false)*HLOOKUP($K227,'Type Chart'!$C$2:$U$20,10,false)</f>
        <v>0.5</v>
      </c>
      <c r="AD227" s="960">
        <f t="array" ref="AD227">HLOOKUP($J227,'Type Chart'!$C$2:$T$20,11,false)*HLOOKUP($K227,'Type Chart'!$C$2:$U$20,11,false)</f>
        <v>0.5</v>
      </c>
      <c r="AE227" s="960">
        <f t="array" ref="AE227">HLOOKUP($J227,'Type Chart'!$C$2:$T$20,12,false)*HLOOKUP($K227,'Type Chart'!$C$2:$U$20,12,false)</f>
        <v>0.5</v>
      </c>
      <c r="AF227" s="960">
        <f t="array" ref="AF227">HLOOKUP($J227,'Type Chart'!$C$2:$T$20,13,false)*HLOOKUP($K227,'Type Chart'!$C$2:$U$20,13,false)</f>
        <v>2</v>
      </c>
      <c r="AG227" s="960">
        <f t="array" ref="AG227">HLOOKUP($J227,'Type Chart'!$C$2:$T$20,14,false)*HLOOKUP($K227,'Type Chart'!$C$2:$U$20,14,false)</f>
        <v>2</v>
      </c>
      <c r="AH227" s="960">
        <f t="array" ref="AH227">HLOOKUP($J227,'Type Chart'!$C$2:$T$20,15,false)*HLOOKUP($K227,'Type Chart'!$C$2:$U$20,15,false)</f>
        <v>1</v>
      </c>
      <c r="AI227" s="960">
        <f t="array" ref="AI227">HLOOKUP($J227,'Type Chart'!$C$2:$T$20,16,false)*HLOOKUP($K227,'Type Chart'!$C$2:$U$20,16,false)</f>
        <v>0.5</v>
      </c>
      <c r="AJ227" s="960">
        <f t="array" ref="AJ227">HLOOKUP($J227,'Type Chart'!$C$2:$T$20,17,false)*HLOOKUP($K227,'Type Chart'!$C$2:$U$20,17,false)</f>
        <v>1</v>
      </c>
      <c r="AK227" s="960">
        <f t="array" ref="AK227">HLOOKUP($J227,'Type Chart'!$C$2:$T$20,18,false)*HLOOKUP($K227,'Type Chart'!$C$2:$U$20,18,false)</f>
        <v>1</v>
      </c>
      <c r="AL227" s="960">
        <f t="array" ref="AL227">HLOOKUP($J227,'Type Chart'!$C$2:$T$20,19,false)*HLOOKUP($K227,'Type Chart'!$C$2:$U$20,19,false)</f>
        <v>1</v>
      </c>
      <c r="AM227" s="1145" t="s">
        <v>959</v>
      </c>
      <c r="AN227" s="965"/>
      <c r="AO227" s="1146" t="s">
        <v>1153</v>
      </c>
      <c r="AP227" s="936"/>
      <c r="AQ227" s="967"/>
      <c r="AR227" s="968"/>
      <c r="AS227" s="936"/>
    </row>
    <row r="228" ht="15.75" customHeight="1">
      <c r="A228" s="1099"/>
      <c r="B228" s="948" t="s">
        <v>1696</v>
      </c>
      <c r="C228" s="950" t="s">
        <v>1697</v>
      </c>
      <c r="D228" s="950" t="s">
        <v>1697</v>
      </c>
      <c r="E228" s="952" t="s">
        <v>1697</v>
      </c>
      <c r="F228" s="940"/>
      <c r="G228" s="953"/>
      <c r="H228" s="969"/>
      <c r="I228" s="956" t="s">
        <v>891</v>
      </c>
      <c r="J228" s="1056" t="s">
        <v>81</v>
      </c>
      <c r="K228" s="984" t="s">
        <v>216</v>
      </c>
      <c r="L228" s="959">
        <v>65.0</v>
      </c>
      <c r="M228" s="960">
        <v>80.0</v>
      </c>
      <c r="N228" s="960">
        <v>80.0</v>
      </c>
      <c r="O228" s="960">
        <v>59.0</v>
      </c>
      <c r="P228" s="960">
        <v>63.0</v>
      </c>
      <c r="Q228" s="960">
        <v>58.0</v>
      </c>
      <c r="R228" s="960">
        <v>152.0</v>
      </c>
      <c r="S228" s="960">
        <v>215.0</v>
      </c>
      <c r="T228" s="960">
        <v>236.0</v>
      </c>
      <c r="U228" s="960">
        <f t="array" ref="U228">HLOOKUP($J228,'Type Chart'!$C$2:$T$20,2,false)*HLOOKUP($K228,'Type Chart'!$C$2:$U$20,2,false)</f>
        <v>1</v>
      </c>
      <c r="V228" s="960">
        <f t="array" ref="V228">HLOOKUP($J228,'Type Chart'!$C$2:$T$20,3,false)*HLOOKUP($K228,'Type Chart'!$C$2:$U$20,3,false)</f>
        <v>1</v>
      </c>
      <c r="W228" s="960">
        <f t="array" ref="W228">HLOOKUP($J228,'Type Chart'!$C$2:$T$20,4,false)*HLOOKUP($K228,'Type Chart'!$C$2:$U$20,4,false)</f>
        <v>1</v>
      </c>
      <c r="X228" s="960">
        <f t="array" ref="X228">HLOOKUP($J228,'Type Chart'!$C$2:$T$20,5,false)*HLOOKUP($K228,'Type Chart'!$C$2:$U$20,5,false)</f>
        <v>1</v>
      </c>
      <c r="Y228" s="960">
        <f t="array" ref="Y228">HLOOKUP($J228,'Type Chart'!$C$2:$T$20,6,false)*HLOOKUP($K228,'Type Chart'!$C$2:$U$20,6,false)</f>
        <v>1</v>
      </c>
      <c r="Z228" s="960">
        <f t="array" ref="Z228">HLOOKUP($J228,'Type Chart'!$C$2:$T$20,7,false)*HLOOKUP($K228,'Type Chart'!$C$2:$U$20,7,false)</f>
        <v>1</v>
      </c>
      <c r="AA228" s="960">
        <f t="array" ref="AA228">HLOOKUP($J228,'Type Chart'!$C$2:$T$20,8,false)*HLOOKUP($K228,'Type Chart'!$C$2:$U$20,8,false)</f>
        <v>1</v>
      </c>
      <c r="AB228" s="960">
        <f t="array" ref="AB228">HLOOKUP($J228,'Type Chart'!$C$2:$T$20,9,false)*HLOOKUP($K228,'Type Chart'!$C$2:$U$20,9,false)</f>
        <v>1</v>
      </c>
      <c r="AC228" s="960">
        <f t="array" ref="AC228">HLOOKUP($J228,'Type Chart'!$C$2:$T$20,10,false)*HLOOKUP($K228,'Type Chart'!$C$2:$U$20,10,false)</f>
        <v>0.5</v>
      </c>
      <c r="AD228" s="960">
        <f t="array" ref="AD228">HLOOKUP($J228,'Type Chart'!$C$2:$T$20,11,false)*HLOOKUP($K228,'Type Chart'!$C$2:$U$20,11,false)</f>
        <v>0.5</v>
      </c>
      <c r="AE228" s="960">
        <f t="array" ref="AE228">HLOOKUP($J228,'Type Chart'!$C$2:$T$20,12,false)*HLOOKUP($K228,'Type Chart'!$C$2:$U$20,12,false)</f>
        <v>0.5</v>
      </c>
      <c r="AF228" s="960">
        <f t="array" ref="AF228">HLOOKUP($J228,'Type Chart'!$C$2:$T$20,13,false)*HLOOKUP($K228,'Type Chart'!$C$2:$U$20,13,false)</f>
        <v>2</v>
      </c>
      <c r="AG228" s="960">
        <f t="array" ref="AG228">HLOOKUP($J228,'Type Chart'!$C$2:$T$20,14,false)*HLOOKUP($K228,'Type Chart'!$C$2:$U$20,14,false)</f>
        <v>2</v>
      </c>
      <c r="AH228" s="960">
        <f t="array" ref="AH228">HLOOKUP($J228,'Type Chart'!$C$2:$T$20,15,false)*HLOOKUP($K228,'Type Chart'!$C$2:$U$20,15,false)</f>
        <v>1</v>
      </c>
      <c r="AI228" s="960">
        <f t="array" ref="AI228">HLOOKUP($J228,'Type Chart'!$C$2:$T$20,16,false)*HLOOKUP($K228,'Type Chart'!$C$2:$U$20,16,false)</f>
        <v>0.5</v>
      </c>
      <c r="AJ228" s="960">
        <f t="array" ref="AJ228">HLOOKUP($J228,'Type Chart'!$C$2:$T$20,17,false)*HLOOKUP($K228,'Type Chart'!$C$2:$U$20,17,false)</f>
        <v>1</v>
      </c>
      <c r="AK228" s="960">
        <f t="array" ref="AK228">HLOOKUP($J228,'Type Chart'!$C$2:$T$20,18,false)*HLOOKUP($K228,'Type Chart'!$C$2:$U$20,18,false)</f>
        <v>1</v>
      </c>
      <c r="AL228" s="960">
        <f t="array" ref="AL228">HLOOKUP($J228,'Type Chart'!$C$2:$T$20,19,false)*HLOOKUP($K228,'Type Chart'!$C$2:$U$20,19,false)</f>
        <v>1</v>
      </c>
      <c r="AM228" s="1145" t="s">
        <v>959</v>
      </c>
      <c r="AN228" s="965"/>
      <c r="AO228" s="1146" t="s">
        <v>1153</v>
      </c>
      <c r="AP228" s="936"/>
      <c r="AQ228" s="967"/>
      <c r="AR228" s="968"/>
      <c r="AS228" s="936"/>
    </row>
    <row r="229" ht="15.75" customHeight="1">
      <c r="A229" s="936"/>
      <c r="B229" s="948" t="s">
        <v>1698</v>
      </c>
      <c r="C229" s="950" t="s">
        <v>1699</v>
      </c>
      <c r="D229" s="950" t="s">
        <v>1699</v>
      </c>
      <c r="E229" s="952" t="s">
        <v>1699</v>
      </c>
      <c r="F229" s="940"/>
      <c r="G229" s="953"/>
      <c r="H229" s="969"/>
      <c r="I229" s="956" t="s">
        <v>606</v>
      </c>
      <c r="J229" s="1056" t="s">
        <v>81</v>
      </c>
      <c r="K229" s="984" t="s">
        <v>216</v>
      </c>
      <c r="L229" s="959">
        <v>85.0</v>
      </c>
      <c r="M229" s="960">
        <v>105.0</v>
      </c>
      <c r="N229" s="960">
        <v>100.0</v>
      </c>
      <c r="O229" s="960">
        <v>79.0</v>
      </c>
      <c r="P229" s="960">
        <v>83.0</v>
      </c>
      <c r="Q229" s="960">
        <v>78.0</v>
      </c>
      <c r="R229" s="960">
        <v>192.0</v>
      </c>
      <c r="S229" s="960">
        <v>255.0</v>
      </c>
      <c r="T229" s="960">
        <v>280.0</v>
      </c>
      <c r="U229" s="960">
        <f t="array" ref="U229">HLOOKUP($J229,'Type Chart'!$C$2:$T$20,2,false)*HLOOKUP($K229,'Type Chart'!$C$2:$U$20,2,false)</f>
        <v>1</v>
      </c>
      <c r="V229" s="960">
        <f t="array" ref="V229">HLOOKUP($J229,'Type Chart'!$C$2:$T$20,3,false)*HLOOKUP($K229,'Type Chart'!$C$2:$U$20,3,false)</f>
        <v>1</v>
      </c>
      <c r="W229" s="960">
        <f t="array" ref="W229">HLOOKUP($J229,'Type Chart'!$C$2:$T$20,4,false)*HLOOKUP($K229,'Type Chart'!$C$2:$U$20,4,false)</f>
        <v>1</v>
      </c>
      <c r="X229" s="960">
        <f t="array" ref="X229">HLOOKUP($J229,'Type Chart'!$C$2:$T$20,5,false)*HLOOKUP($K229,'Type Chart'!$C$2:$U$20,5,false)</f>
        <v>1</v>
      </c>
      <c r="Y229" s="960">
        <f t="array" ref="Y229">HLOOKUP($J229,'Type Chart'!$C$2:$T$20,6,false)*HLOOKUP($K229,'Type Chart'!$C$2:$U$20,6,false)</f>
        <v>1</v>
      </c>
      <c r="Z229" s="960">
        <f t="array" ref="Z229">HLOOKUP($J229,'Type Chart'!$C$2:$T$20,7,false)*HLOOKUP($K229,'Type Chart'!$C$2:$U$20,7,false)</f>
        <v>1</v>
      </c>
      <c r="AA229" s="960">
        <f t="array" ref="AA229">HLOOKUP($J229,'Type Chart'!$C$2:$T$20,8,false)*HLOOKUP($K229,'Type Chart'!$C$2:$U$20,8,false)</f>
        <v>1</v>
      </c>
      <c r="AB229" s="960">
        <f t="array" ref="AB229">HLOOKUP($J229,'Type Chart'!$C$2:$T$20,9,false)*HLOOKUP($K229,'Type Chart'!$C$2:$U$20,9,false)</f>
        <v>1</v>
      </c>
      <c r="AC229" s="960">
        <f t="array" ref="AC229">HLOOKUP($J229,'Type Chart'!$C$2:$T$20,10,false)*HLOOKUP($K229,'Type Chart'!$C$2:$U$20,10,false)</f>
        <v>0.5</v>
      </c>
      <c r="AD229" s="960">
        <f t="array" ref="AD229">HLOOKUP($J229,'Type Chart'!$C$2:$T$20,11,false)*HLOOKUP($K229,'Type Chart'!$C$2:$U$20,11,false)</f>
        <v>0.5</v>
      </c>
      <c r="AE229" s="960">
        <f t="array" ref="AE229">HLOOKUP($J229,'Type Chart'!$C$2:$T$20,12,false)*HLOOKUP($K229,'Type Chart'!$C$2:$U$20,12,false)</f>
        <v>0.5</v>
      </c>
      <c r="AF229" s="960">
        <f t="array" ref="AF229">HLOOKUP($J229,'Type Chart'!$C$2:$T$20,13,false)*HLOOKUP($K229,'Type Chart'!$C$2:$U$20,13,false)</f>
        <v>2</v>
      </c>
      <c r="AG229" s="960">
        <f t="array" ref="AG229">HLOOKUP($J229,'Type Chart'!$C$2:$T$20,14,false)*HLOOKUP($K229,'Type Chart'!$C$2:$U$20,14,false)</f>
        <v>2</v>
      </c>
      <c r="AH229" s="960">
        <f t="array" ref="AH229">HLOOKUP($J229,'Type Chart'!$C$2:$T$20,15,false)*HLOOKUP($K229,'Type Chart'!$C$2:$U$20,15,false)</f>
        <v>1</v>
      </c>
      <c r="AI229" s="960">
        <f t="array" ref="AI229">HLOOKUP($J229,'Type Chart'!$C$2:$T$20,16,false)*HLOOKUP($K229,'Type Chart'!$C$2:$U$20,16,false)</f>
        <v>0.5</v>
      </c>
      <c r="AJ229" s="960">
        <f t="array" ref="AJ229">HLOOKUP($J229,'Type Chart'!$C$2:$T$20,17,false)*HLOOKUP($K229,'Type Chart'!$C$2:$U$20,17,false)</f>
        <v>1</v>
      </c>
      <c r="AK229" s="960">
        <f t="array" ref="AK229">HLOOKUP($J229,'Type Chart'!$C$2:$T$20,18,false)*HLOOKUP($K229,'Type Chart'!$C$2:$U$20,18,false)</f>
        <v>1</v>
      </c>
      <c r="AL229" s="960">
        <f t="array" ref="AL229">HLOOKUP($J229,'Type Chart'!$C$2:$T$20,19,false)*HLOOKUP($K229,'Type Chart'!$C$2:$U$20,19,false)</f>
        <v>1</v>
      </c>
      <c r="AM229" s="964" t="s">
        <v>959</v>
      </c>
      <c r="AN229" s="965"/>
      <c r="AO229" s="966" t="s">
        <v>1153</v>
      </c>
      <c r="AP229" s="936"/>
      <c r="AQ229" s="967"/>
      <c r="AR229" s="968"/>
      <c r="AS229" s="936"/>
    </row>
    <row r="230" ht="15.75" customHeight="1">
      <c r="A230" s="1099"/>
      <c r="B230" s="948" t="s">
        <v>1700</v>
      </c>
      <c r="C230" s="1197" t="s">
        <v>1701</v>
      </c>
      <c r="D230" s="1197" t="s">
        <v>1701</v>
      </c>
      <c r="E230" s="1147" t="s">
        <v>1701</v>
      </c>
      <c r="F230" s="940"/>
      <c r="G230" s="953"/>
      <c r="H230" s="969"/>
      <c r="I230" s="998" t="s">
        <v>1702</v>
      </c>
      <c r="J230" s="1216" t="s">
        <v>136</v>
      </c>
      <c r="K230" s="1199" t="s">
        <v>216</v>
      </c>
      <c r="L230" s="1200">
        <v>35.0</v>
      </c>
      <c r="M230" s="1201">
        <v>46.0</v>
      </c>
      <c r="N230" s="1201">
        <v>34.0</v>
      </c>
      <c r="O230" s="1201">
        <v>35.0</v>
      </c>
      <c r="P230" s="1201">
        <v>45.0</v>
      </c>
      <c r="Q230" s="1201">
        <v>20.0</v>
      </c>
      <c r="R230" s="960">
        <v>76.0</v>
      </c>
      <c r="S230" s="960">
        <v>139.0</v>
      </c>
      <c r="T230" s="960">
        <v>152.0</v>
      </c>
      <c r="U230" s="960">
        <f t="array" ref="U230">HLOOKUP($J230,'Type Chart'!$C$2:$T$20,2,false)*HLOOKUP($K230,'Type Chart'!$C$2:$U$20,2,false)</f>
        <v>1</v>
      </c>
      <c r="V230" s="960">
        <f t="array" ref="V230">HLOOKUP($J230,'Type Chart'!$C$2:$T$20,3,false)*HLOOKUP($K230,'Type Chart'!$C$2:$U$20,3,false)</f>
        <v>2</v>
      </c>
      <c r="W230" s="960">
        <f t="array" ref="W230">HLOOKUP($J230,'Type Chart'!$C$2:$T$20,4,false)*HLOOKUP($K230,'Type Chart'!$C$2:$U$20,4,false)</f>
        <v>1</v>
      </c>
      <c r="X230" s="960">
        <f t="array" ref="X230">HLOOKUP($J230,'Type Chart'!$C$2:$T$20,5,false)*HLOOKUP($K230,'Type Chart'!$C$2:$U$20,5,false)</f>
        <v>1</v>
      </c>
      <c r="Y230" s="960">
        <f t="array" ref="Y230">HLOOKUP($J230,'Type Chart'!$C$2:$T$20,6,false)*HLOOKUP($K230,'Type Chart'!$C$2:$U$20,6,false)</f>
        <v>1</v>
      </c>
      <c r="Z230" s="960">
        <f t="array" ref="Z230">HLOOKUP($J230,'Type Chart'!$C$2:$T$20,7,false)*HLOOKUP($K230,'Type Chart'!$C$2:$U$20,7,false)</f>
        <v>1</v>
      </c>
      <c r="AA230" s="960">
        <f t="array" ref="AA230">HLOOKUP($J230,'Type Chart'!$C$2:$T$20,8,false)*HLOOKUP($K230,'Type Chart'!$C$2:$U$20,8,false)</f>
        <v>1</v>
      </c>
      <c r="AB230" s="960">
        <f t="array" ref="AB230">HLOOKUP($J230,'Type Chart'!$C$2:$T$20,9,false)*HLOOKUP($K230,'Type Chart'!$C$2:$U$20,9,false)</f>
        <v>0</v>
      </c>
      <c r="AC230" s="960">
        <f t="array" ref="AC230">HLOOKUP($J230,'Type Chart'!$C$2:$T$20,10,false)*HLOOKUP($K230,'Type Chart'!$C$2:$U$20,10,false)</f>
        <v>1</v>
      </c>
      <c r="AD230" s="960">
        <f t="array" ref="AD230">HLOOKUP($J230,'Type Chart'!$C$2:$T$20,11,false)*HLOOKUP($K230,'Type Chart'!$C$2:$U$20,11,false)</f>
        <v>1</v>
      </c>
      <c r="AE230" s="960">
        <f t="array" ref="AE230">HLOOKUP($J230,'Type Chart'!$C$2:$T$20,12,false)*HLOOKUP($K230,'Type Chart'!$C$2:$U$20,12,false)</f>
        <v>1</v>
      </c>
      <c r="AF230" s="960">
        <f t="array" ref="AF230">HLOOKUP($J230,'Type Chart'!$C$2:$T$20,13,false)*HLOOKUP($K230,'Type Chart'!$C$2:$U$20,13,false)</f>
        <v>1</v>
      </c>
      <c r="AG230" s="960">
        <f t="array" ref="AG230">HLOOKUP($J230,'Type Chart'!$C$2:$T$20,14,false)*HLOOKUP($K230,'Type Chart'!$C$2:$U$20,14,false)</f>
        <v>1</v>
      </c>
      <c r="AH230" s="960">
        <f t="array" ref="AH230">HLOOKUP($J230,'Type Chart'!$C$2:$T$20,15,false)*HLOOKUP($K230,'Type Chart'!$C$2:$U$20,15,false)</f>
        <v>1</v>
      </c>
      <c r="AI230" s="960">
        <f t="array" ref="AI230">HLOOKUP($J230,'Type Chart'!$C$2:$T$20,16,false)*HLOOKUP($K230,'Type Chart'!$C$2:$U$20,16,false)</f>
        <v>1</v>
      </c>
      <c r="AJ230" s="960">
        <f t="array" ref="AJ230">HLOOKUP($J230,'Type Chart'!$C$2:$T$20,17,false)*HLOOKUP($K230,'Type Chart'!$C$2:$U$20,17,false)</f>
        <v>1</v>
      </c>
      <c r="AK230" s="960">
        <f t="array" ref="AK230">HLOOKUP($J230,'Type Chart'!$C$2:$T$20,18,false)*HLOOKUP($K230,'Type Chart'!$C$2:$U$20,18,false)</f>
        <v>1</v>
      </c>
      <c r="AL230" s="960">
        <f t="array" ref="AL230">HLOOKUP($J230,'Type Chart'!$C$2:$T$20,19,false)*HLOOKUP($K230,'Type Chart'!$C$2:$U$20,19,false)</f>
        <v>1</v>
      </c>
      <c r="AM230" s="1145" t="s">
        <v>988</v>
      </c>
      <c r="AN230" s="965" t="s">
        <v>1022</v>
      </c>
      <c r="AO230" s="1146" t="s">
        <v>1188</v>
      </c>
      <c r="AP230" s="936"/>
      <c r="AQ230" s="967"/>
      <c r="AR230" s="968"/>
      <c r="AS230" s="936"/>
    </row>
    <row r="231" ht="15.75" customHeight="1">
      <c r="A231" s="936"/>
      <c r="B231" s="948" t="s">
        <v>1703</v>
      </c>
      <c r="C231" s="950" t="s">
        <v>1704</v>
      </c>
      <c r="D231" s="950" t="s">
        <v>1704</v>
      </c>
      <c r="E231" s="952" t="s">
        <v>1704</v>
      </c>
      <c r="F231" s="940"/>
      <c r="G231" s="953"/>
      <c r="H231" s="969"/>
      <c r="I231" s="998" t="s">
        <v>878</v>
      </c>
      <c r="J231" s="1194" t="s">
        <v>136</v>
      </c>
      <c r="K231" s="984" t="s">
        <v>216</v>
      </c>
      <c r="L231" s="959">
        <v>85.0</v>
      </c>
      <c r="M231" s="960">
        <v>76.0</v>
      </c>
      <c r="N231" s="960">
        <v>64.0</v>
      </c>
      <c r="O231" s="960">
        <v>45.0</v>
      </c>
      <c r="P231" s="960">
        <v>55.0</v>
      </c>
      <c r="Q231" s="960">
        <v>90.0</v>
      </c>
      <c r="R231" s="960">
        <v>216.0</v>
      </c>
      <c r="S231" s="960">
        <v>279.0</v>
      </c>
      <c r="T231" s="960">
        <v>306.0</v>
      </c>
      <c r="U231" s="960">
        <f t="array" ref="U231">HLOOKUP($J231,'Type Chart'!$C$2:$T$20,2,false)*HLOOKUP($K231,'Type Chart'!$C$2:$U$20,2,false)</f>
        <v>1</v>
      </c>
      <c r="V231" s="960">
        <f t="array" ref="V231">HLOOKUP($J231,'Type Chart'!$C$2:$T$20,3,false)*HLOOKUP($K231,'Type Chart'!$C$2:$U$20,3,false)</f>
        <v>2</v>
      </c>
      <c r="W231" s="960">
        <f t="array" ref="W231">HLOOKUP($J231,'Type Chart'!$C$2:$T$20,4,false)*HLOOKUP($K231,'Type Chart'!$C$2:$U$20,4,false)</f>
        <v>1</v>
      </c>
      <c r="X231" s="960">
        <f t="array" ref="X231">HLOOKUP($J231,'Type Chart'!$C$2:$T$20,5,false)*HLOOKUP($K231,'Type Chart'!$C$2:$U$20,5,false)</f>
        <v>1</v>
      </c>
      <c r="Y231" s="960">
        <f t="array" ref="Y231">HLOOKUP($J231,'Type Chart'!$C$2:$T$20,6,false)*HLOOKUP($K231,'Type Chart'!$C$2:$U$20,6,false)</f>
        <v>1</v>
      </c>
      <c r="Z231" s="960">
        <f t="array" ref="Z231">HLOOKUP($J231,'Type Chart'!$C$2:$T$20,7,false)*HLOOKUP($K231,'Type Chart'!$C$2:$U$20,7,false)</f>
        <v>1</v>
      </c>
      <c r="AA231" s="960">
        <f t="array" ref="AA231">HLOOKUP($J231,'Type Chart'!$C$2:$T$20,8,false)*HLOOKUP($K231,'Type Chart'!$C$2:$U$20,8,false)</f>
        <v>1</v>
      </c>
      <c r="AB231" s="960">
        <f t="array" ref="AB231">HLOOKUP($J231,'Type Chart'!$C$2:$T$20,9,false)*HLOOKUP($K231,'Type Chart'!$C$2:$U$20,9,false)</f>
        <v>0</v>
      </c>
      <c r="AC231" s="960">
        <f t="array" ref="AC231">HLOOKUP($J231,'Type Chart'!$C$2:$T$20,10,false)*HLOOKUP($K231,'Type Chart'!$C$2:$U$20,10,false)</f>
        <v>1</v>
      </c>
      <c r="AD231" s="960">
        <f t="array" ref="AD231">HLOOKUP($J231,'Type Chart'!$C$2:$T$20,11,false)*HLOOKUP($K231,'Type Chart'!$C$2:$U$20,11,false)</f>
        <v>1</v>
      </c>
      <c r="AE231" s="960">
        <f t="array" ref="AE231">HLOOKUP($J231,'Type Chart'!$C$2:$T$20,12,false)*HLOOKUP($K231,'Type Chart'!$C$2:$U$20,12,false)</f>
        <v>1</v>
      </c>
      <c r="AF231" s="960">
        <f t="array" ref="AF231">HLOOKUP($J231,'Type Chart'!$C$2:$T$20,13,false)*HLOOKUP($K231,'Type Chart'!$C$2:$U$20,13,false)</f>
        <v>1</v>
      </c>
      <c r="AG231" s="960">
        <f t="array" ref="AG231">HLOOKUP($J231,'Type Chart'!$C$2:$T$20,14,false)*HLOOKUP($K231,'Type Chart'!$C$2:$U$20,14,false)</f>
        <v>1</v>
      </c>
      <c r="AH231" s="960">
        <f t="array" ref="AH231">HLOOKUP($J231,'Type Chart'!$C$2:$T$20,15,false)*HLOOKUP($K231,'Type Chart'!$C$2:$U$20,15,false)</f>
        <v>1</v>
      </c>
      <c r="AI231" s="960">
        <f t="array" ref="AI231">HLOOKUP($J231,'Type Chart'!$C$2:$T$20,16,false)*HLOOKUP($K231,'Type Chart'!$C$2:$U$20,16,false)</f>
        <v>1</v>
      </c>
      <c r="AJ231" s="960">
        <f t="array" ref="AJ231">HLOOKUP($J231,'Type Chart'!$C$2:$T$20,17,false)*HLOOKUP($K231,'Type Chart'!$C$2:$U$20,17,false)</f>
        <v>1</v>
      </c>
      <c r="AK231" s="960">
        <f t="array" ref="AK231">HLOOKUP($J231,'Type Chart'!$C$2:$T$20,18,false)*HLOOKUP($K231,'Type Chart'!$C$2:$U$20,18,false)</f>
        <v>1</v>
      </c>
      <c r="AL231" s="960">
        <f t="array" ref="AL231">HLOOKUP($J231,'Type Chart'!$C$2:$T$20,19,false)*HLOOKUP($K231,'Type Chart'!$C$2:$U$20,19,false)</f>
        <v>1</v>
      </c>
      <c r="AM231" s="964" t="s">
        <v>988</v>
      </c>
      <c r="AN231" s="965" t="s">
        <v>1022</v>
      </c>
      <c r="AO231" s="966" t="s">
        <v>1188</v>
      </c>
      <c r="AP231" s="936"/>
      <c r="AQ231" s="967"/>
      <c r="AR231" s="968"/>
      <c r="AS231" s="936"/>
    </row>
    <row r="232" ht="15.75" customHeight="1">
      <c r="A232" s="1099"/>
      <c r="B232" s="948" t="s">
        <v>1705</v>
      </c>
      <c r="C232" s="1197" t="s">
        <v>1706</v>
      </c>
      <c r="D232" s="1197" t="s">
        <v>1706</v>
      </c>
      <c r="E232" s="1147" t="s">
        <v>1706</v>
      </c>
      <c r="F232" s="940"/>
      <c r="G232" s="953"/>
      <c r="H232" s="969"/>
      <c r="I232" s="998" t="s">
        <v>1707</v>
      </c>
      <c r="J232" s="1216" t="s">
        <v>136</v>
      </c>
      <c r="K232" s="1210" t="s">
        <v>128</v>
      </c>
      <c r="L232" s="1200">
        <v>60.0</v>
      </c>
      <c r="M232" s="1201">
        <v>30.0</v>
      </c>
      <c r="N232" s="1201">
        <v>30.0</v>
      </c>
      <c r="O232" s="1201">
        <v>36.0</v>
      </c>
      <c r="P232" s="1201">
        <v>56.0</v>
      </c>
      <c r="Q232" s="1201">
        <v>50.0</v>
      </c>
      <c r="R232" s="960">
        <v>136.0</v>
      </c>
      <c r="S232" s="960">
        <v>199.0</v>
      </c>
      <c r="T232" s="960">
        <v>218.0</v>
      </c>
      <c r="U232" s="960">
        <f t="array" ref="U232">HLOOKUP($J232,'Type Chart'!$C$2:$T$20,2,false)*HLOOKUP($K232,'Type Chart'!$C$2:$U$20,2,false)</f>
        <v>1</v>
      </c>
      <c r="V232" s="960">
        <f t="array" ref="V232">HLOOKUP($J232,'Type Chart'!$C$2:$T$20,3,false)*HLOOKUP($K232,'Type Chart'!$C$2:$U$20,3,false)</f>
        <v>1</v>
      </c>
      <c r="W232" s="960">
        <f t="array" ref="W232">HLOOKUP($J232,'Type Chart'!$C$2:$T$20,4,false)*HLOOKUP($K232,'Type Chart'!$C$2:$U$20,4,false)</f>
        <v>1</v>
      </c>
      <c r="X232" s="960">
        <f t="array" ref="X232">HLOOKUP($J232,'Type Chart'!$C$2:$T$20,5,false)*HLOOKUP($K232,'Type Chart'!$C$2:$U$20,5,false)</f>
        <v>1</v>
      </c>
      <c r="Y232" s="960">
        <f t="array" ref="Y232">HLOOKUP($J232,'Type Chart'!$C$2:$T$20,6,false)*HLOOKUP($K232,'Type Chart'!$C$2:$U$20,6,false)</f>
        <v>0</v>
      </c>
      <c r="Z232" s="960">
        <f t="array" ref="Z232">HLOOKUP($J232,'Type Chart'!$C$2:$T$20,7,false)*HLOOKUP($K232,'Type Chart'!$C$2:$U$20,7,false)</f>
        <v>2</v>
      </c>
      <c r="AA232" s="960">
        <f t="array" ref="AA232">HLOOKUP($J232,'Type Chart'!$C$2:$T$20,8,false)*HLOOKUP($K232,'Type Chart'!$C$2:$U$20,8,false)</f>
        <v>0.5</v>
      </c>
      <c r="AB232" s="960">
        <f t="array" ref="AB232">HLOOKUP($J232,'Type Chart'!$C$2:$T$20,9,false)*HLOOKUP($K232,'Type Chart'!$C$2:$U$20,9,false)</f>
        <v>0</v>
      </c>
      <c r="AC232" s="960">
        <f t="array" ref="AC232">HLOOKUP($J232,'Type Chart'!$C$2:$T$20,10,false)*HLOOKUP($K232,'Type Chart'!$C$2:$U$20,10,false)</f>
        <v>1</v>
      </c>
      <c r="AD232" s="960">
        <f t="array" ref="AD232">HLOOKUP($J232,'Type Chart'!$C$2:$T$20,11,false)*HLOOKUP($K232,'Type Chart'!$C$2:$U$20,11,false)</f>
        <v>1</v>
      </c>
      <c r="AE232" s="960">
        <f t="array" ref="AE232">HLOOKUP($J232,'Type Chart'!$C$2:$T$20,12,false)*HLOOKUP($K232,'Type Chart'!$C$2:$U$20,12,false)</f>
        <v>1</v>
      </c>
      <c r="AF232" s="960">
        <f t="array" ref="AF232">HLOOKUP($J232,'Type Chart'!$C$2:$T$20,13,false)*HLOOKUP($K232,'Type Chart'!$C$2:$U$20,13,false)</f>
        <v>0.5</v>
      </c>
      <c r="AG232" s="960">
        <f t="array" ref="AG232">HLOOKUP($J232,'Type Chart'!$C$2:$T$20,14,false)*HLOOKUP($K232,'Type Chart'!$C$2:$U$20,14,false)</f>
        <v>2</v>
      </c>
      <c r="AH232" s="960">
        <f t="array" ref="AH232">HLOOKUP($J232,'Type Chart'!$C$2:$T$20,15,false)*HLOOKUP($K232,'Type Chart'!$C$2:$U$20,15,false)</f>
        <v>1</v>
      </c>
      <c r="AI232" s="960">
        <f t="array" ref="AI232">HLOOKUP($J232,'Type Chart'!$C$2:$T$20,16,false)*HLOOKUP($K232,'Type Chart'!$C$2:$U$20,16,false)</f>
        <v>2</v>
      </c>
      <c r="AJ232" s="960">
        <f t="array" ref="AJ232">HLOOKUP($J232,'Type Chart'!$C$2:$T$20,17,false)*HLOOKUP($K232,'Type Chart'!$C$2:$U$20,17,false)</f>
        <v>1</v>
      </c>
      <c r="AK232" s="960">
        <f t="array" ref="AK232">HLOOKUP($J232,'Type Chart'!$C$2:$T$20,18,false)*HLOOKUP($K232,'Type Chart'!$C$2:$U$20,18,false)</f>
        <v>1</v>
      </c>
      <c r="AL232" s="960">
        <f t="array" ref="AL232">HLOOKUP($J232,'Type Chart'!$C$2:$T$20,19,false)*HLOOKUP($K232,'Type Chart'!$C$2:$U$20,19,false)</f>
        <v>1</v>
      </c>
      <c r="AM232" s="1145" t="s">
        <v>1454</v>
      </c>
      <c r="AN232" s="1202" t="s">
        <v>1022</v>
      </c>
      <c r="AO232" s="1146" t="s">
        <v>1003</v>
      </c>
      <c r="AP232" s="936"/>
      <c r="AQ232" s="967"/>
      <c r="AR232" s="968"/>
      <c r="AS232" s="936"/>
    </row>
    <row r="233" ht="15.75" customHeight="1">
      <c r="A233" s="936"/>
      <c r="B233" s="948" t="s">
        <v>1708</v>
      </c>
      <c r="C233" s="950" t="s">
        <v>1709</v>
      </c>
      <c r="D233" s="950" t="s">
        <v>1709</v>
      </c>
      <c r="E233" s="952" t="s">
        <v>1709</v>
      </c>
      <c r="F233" s="940"/>
      <c r="G233" s="953"/>
      <c r="H233" s="969"/>
      <c r="I233" s="956" t="s">
        <v>880</v>
      </c>
      <c r="J233" s="1194" t="s">
        <v>136</v>
      </c>
      <c r="K233" s="1001" t="s">
        <v>128</v>
      </c>
      <c r="L233" s="959">
        <v>100.0</v>
      </c>
      <c r="M233" s="960">
        <v>50.0</v>
      </c>
      <c r="N233" s="960">
        <v>50.0</v>
      </c>
      <c r="O233" s="960">
        <v>86.0</v>
      </c>
      <c r="P233" s="960">
        <v>96.0</v>
      </c>
      <c r="Q233" s="960">
        <v>70.0</v>
      </c>
      <c r="R233" s="960">
        <v>176.0</v>
      </c>
      <c r="S233" s="960">
        <v>239.0</v>
      </c>
      <c r="T233" s="960">
        <v>262.0</v>
      </c>
      <c r="U233" s="960">
        <f t="array" ref="U233">HLOOKUP($J233,'Type Chart'!$C$2:$T$20,2,false)*HLOOKUP($K233,'Type Chart'!$C$2:$U$20,2,false)</f>
        <v>1</v>
      </c>
      <c r="V233" s="960">
        <f t="array" ref="V233">HLOOKUP($J233,'Type Chart'!$C$2:$T$20,3,false)*HLOOKUP($K233,'Type Chart'!$C$2:$U$20,3,false)</f>
        <v>1</v>
      </c>
      <c r="W233" s="960">
        <f t="array" ref="W233">HLOOKUP($J233,'Type Chart'!$C$2:$T$20,4,false)*HLOOKUP($K233,'Type Chart'!$C$2:$U$20,4,false)</f>
        <v>1</v>
      </c>
      <c r="X233" s="960">
        <f t="array" ref="X233">HLOOKUP($J233,'Type Chart'!$C$2:$T$20,5,false)*HLOOKUP($K233,'Type Chart'!$C$2:$U$20,5,false)</f>
        <v>1</v>
      </c>
      <c r="Y233" s="960">
        <f t="array" ref="Y233">HLOOKUP($J233,'Type Chart'!$C$2:$T$20,6,false)*HLOOKUP($K233,'Type Chart'!$C$2:$U$20,6,false)</f>
        <v>0</v>
      </c>
      <c r="Z233" s="960">
        <f t="array" ref="Z233">HLOOKUP($J233,'Type Chart'!$C$2:$T$20,7,false)*HLOOKUP($K233,'Type Chart'!$C$2:$U$20,7,false)</f>
        <v>2</v>
      </c>
      <c r="AA233" s="960">
        <f t="array" ref="AA233">HLOOKUP($J233,'Type Chart'!$C$2:$T$20,8,false)*HLOOKUP($K233,'Type Chart'!$C$2:$U$20,8,false)</f>
        <v>0.5</v>
      </c>
      <c r="AB233" s="960">
        <f t="array" ref="AB233">HLOOKUP($J233,'Type Chart'!$C$2:$T$20,9,false)*HLOOKUP($K233,'Type Chart'!$C$2:$U$20,9,false)</f>
        <v>0</v>
      </c>
      <c r="AC233" s="960">
        <f t="array" ref="AC233">HLOOKUP($J233,'Type Chart'!$C$2:$T$20,10,false)*HLOOKUP($K233,'Type Chart'!$C$2:$U$20,10,false)</f>
        <v>1</v>
      </c>
      <c r="AD233" s="960">
        <f t="array" ref="AD233">HLOOKUP($J233,'Type Chart'!$C$2:$T$20,11,false)*HLOOKUP($K233,'Type Chart'!$C$2:$U$20,11,false)</f>
        <v>1</v>
      </c>
      <c r="AE233" s="960">
        <f t="array" ref="AE233">HLOOKUP($J233,'Type Chart'!$C$2:$T$20,12,false)*HLOOKUP($K233,'Type Chart'!$C$2:$U$20,12,false)</f>
        <v>1</v>
      </c>
      <c r="AF233" s="960">
        <f t="array" ref="AF233">HLOOKUP($J233,'Type Chart'!$C$2:$T$20,13,false)*HLOOKUP($K233,'Type Chart'!$C$2:$U$20,13,false)</f>
        <v>0.5</v>
      </c>
      <c r="AG233" s="960">
        <f t="array" ref="AG233">HLOOKUP($J233,'Type Chart'!$C$2:$T$20,14,false)*HLOOKUP($K233,'Type Chart'!$C$2:$U$20,14,false)</f>
        <v>2</v>
      </c>
      <c r="AH233" s="960">
        <f t="array" ref="AH233">HLOOKUP($J233,'Type Chart'!$C$2:$T$20,15,false)*HLOOKUP($K233,'Type Chart'!$C$2:$U$20,15,false)</f>
        <v>1</v>
      </c>
      <c r="AI233" s="960">
        <f t="array" ref="AI233">HLOOKUP($J233,'Type Chart'!$C$2:$T$20,16,false)*HLOOKUP($K233,'Type Chart'!$C$2:$U$20,16,false)</f>
        <v>2</v>
      </c>
      <c r="AJ233" s="960">
        <f t="array" ref="AJ233">HLOOKUP($J233,'Type Chart'!$C$2:$T$20,17,false)*HLOOKUP($K233,'Type Chart'!$C$2:$U$20,17,false)</f>
        <v>1</v>
      </c>
      <c r="AK233" s="960">
        <f t="array" ref="AK233">HLOOKUP($J233,'Type Chart'!$C$2:$T$20,18,false)*HLOOKUP($K233,'Type Chart'!$C$2:$U$20,18,false)</f>
        <v>1</v>
      </c>
      <c r="AL233" s="960">
        <f t="array" ref="AL233">HLOOKUP($J233,'Type Chart'!$C$2:$T$20,19,false)*HLOOKUP($K233,'Type Chart'!$C$2:$U$20,19,false)</f>
        <v>1</v>
      </c>
      <c r="AM233" s="964" t="s">
        <v>1454</v>
      </c>
      <c r="AN233" s="965" t="s">
        <v>1022</v>
      </c>
      <c r="AO233" s="966" t="s">
        <v>1003</v>
      </c>
      <c r="AP233" s="936"/>
      <c r="AQ233" s="967"/>
      <c r="AR233" s="968"/>
      <c r="AS233" s="936"/>
    </row>
    <row r="234" ht="15.75" customHeight="1">
      <c r="A234" s="936"/>
      <c r="B234" s="948" t="s">
        <v>1710</v>
      </c>
      <c r="C234" s="950" t="s">
        <v>1711</v>
      </c>
      <c r="D234" s="950" t="s">
        <v>1711</v>
      </c>
      <c r="E234" s="1147" t="s">
        <v>1711</v>
      </c>
      <c r="F234" s="940"/>
      <c r="G234" s="953"/>
      <c r="H234" s="969"/>
      <c r="I234" s="998" t="s">
        <v>1712</v>
      </c>
      <c r="J234" s="1180" t="s">
        <v>343</v>
      </c>
      <c r="K234" s="1001" t="s">
        <v>128</v>
      </c>
      <c r="L234" s="959">
        <v>40.0</v>
      </c>
      <c r="M234" s="960">
        <v>20.0</v>
      </c>
      <c r="N234" s="960">
        <v>30.0</v>
      </c>
      <c r="O234" s="960">
        <v>40.0</v>
      </c>
      <c r="P234" s="960">
        <v>80.0</v>
      </c>
      <c r="Q234" s="960">
        <v>55.0</v>
      </c>
      <c r="R234" s="960">
        <v>146.0</v>
      </c>
      <c r="S234" s="960">
        <v>209.0</v>
      </c>
      <c r="T234" s="960">
        <v>229.0</v>
      </c>
      <c r="U234" s="960">
        <f t="array" ref="U234">HLOOKUP($J234,'Type Chart'!$C$2:$T$20,2,false)*HLOOKUP($K234,'Type Chart'!$C$2:$U$20,2,false)</f>
        <v>1</v>
      </c>
      <c r="V234" s="960">
        <f t="array" ref="V234">HLOOKUP($J234,'Type Chart'!$C$2:$T$20,3,false)*HLOOKUP($K234,'Type Chart'!$C$2:$U$20,3,false)</f>
        <v>0.25</v>
      </c>
      <c r="W234" s="960">
        <f t="array" ref="W234">HLOOKUP($J234,'Type Chart'!$C$2:$T$20,4,false)*HLOOKUP($K234,'Type Chart'!$C$2:$U$20,4,false)</f>
        <v>2</v>
      </c>
      <c r="X234" s="960">
        <f t="array" ref="X234">HLOOKUP($J234,'Type Chart'!$C$2:$T$20,5,false)*HLOOKUP($K234,'Type Chart'!$C$2:$U$20,5,false)</f>
        <v>1</v>
      </c>
      <c r="Y234" s="960">
        <f t="array" ref="Y234">HLOOKUP($J234,'Type Chart'!$C$2:$T$20,6,false)*HLOOKUP($K234,'Type Chart'!$C$2:$U$20,6,false)</f>
        <v>0</v>
      </c>
      <c r="Z234" s="960">
        <f t="array" ref="Z234">HLOOKUP($J234,'Type Chart'!$C$2:$T$20,7,false)*HLOOKUP($K234,'Type Chart'!$C$2:$U$20,7,false)</f>
        <v>4</v>
      </c>
      <c r="AA234" s="960">
        <f t="array" ref="AA234">HLOOKUP($J234,'Type Chart'!$C$2:$T$20,8,false)*HLOOKUP($K234,'Type Chart'!$C$2:$U$20,8,false)</f>
        <v>0.5</v>
      </c>
      <c r="AB234" s="960">
        <f t="array" ref="AB234">HLOOKUP($J234,'Type Chart'!$C$2:$T$20,9,false)*HLOOKUP($K234,'Type Chart'!$C$2:$U$20,9,false)</f>
        <v>1</v>
      </c>
      <c r="AC234" s="960">
        <f t="array" ref="AC234">HLOOKUP($J234,'Type Chart'!$C$2:$T$20,10,false)*HLOOKUP($K234,'Type Chart'!$C$2:$U$20,10,false)</f>
        <v>1</v>
      </c>
      <c r="AD234" s="960">
        <f t="array" ref="AD234">HLOOKUP($J234,'Type Chart'!$C$2:$T$20,11,false)*HLOOKUP($K234,'Type Chart'!$C$2:$U$20,11,false)</f>
        <v>2</v>
      </c>
      <c r="AE234" s="960">
        <f t="array" ref="AE234">HLOOKUP($J234,'Type Chart'!$C$2:$T$20,12,false)*HLOOKUP($K234,'Type Chart'!$C$2:$U$20,12,false)</f>
        <v>1</v>
      </c>
      <c r="AF234" s="960">
        <f t="array" ref="AF234">HLOOKUP($J234,'Type Chart'!$C$2:$T$20,13,false)*HLOOKUP($K234,'Type Chart'!$C$2:$U$20,13,false)</f>
        <v>0.25</v>
      </c>
      <c r="AG234" s="960">
        <f t="array" ref="AG234">HLOOKUP($J234,'Type Chart'!$C$2:$T$20,14,false)*HLOOKUP($K234,'Type Chart'!$C$2:$U$20,14,false)</f>
        <v>2</v>
      </c>
      <c r="AH234" s="960">
        <f t="array" ref="AH234">HLOOKUP($J234,'Type Chart'!$C$2:$T$20,15,false)*HLOOKUP($K234,'Type Chart'!$C$2:$U$20,15,false)</f>
        <v>1</v>
      </c>
      <c r="AI234" s="960">
        <f t="array" ref="AI234">HLOOKUP($J234,'Type Chart'!$C$2:$T$20,16,false)*HLOOKUP($K234,'Type Chart'!$C$2:$U$20,16,false)</f>
        <v>2</v>
      </c>
      <c r="AJ234" s="960">
        <f t="array" ref="AJ234">HLOOKUP($J234,'Type Chart'!$C$2:$T$20,17,false)*HLOOKUP($K234,'Type Chart'!$C$2:$U$20,17,false)</f>
        <v>1</v>
      </c>
      <c r="AK234" s="960">
        <f t="array" ref="AK234">HLOOKUP($J234,'Type Chart'!$C$2:$T$20,18,false)*HLOOKUP($K234,'Type Chart'!$C$2:$U$20,18,false)</f>
        <v>1</v>
      </c>
      <c r="AL234" s="960">
        <f t="array" ref="AL234">HLOOKUP($J234,'Type Chart'!$C$2:$T$20,19,false)*HLOOKUP($K234,'Type Chart'!$C$2:$U$20,19,false)</f>
        <v>1</v>
      </c>
      <c r="AM234" s="964" t="s">
        <v>1013</v>
      </c>
      <c r="AN234" s="965" t="s">
        <v>1403</v>
      </c>
      <c r="AO234" s="966" t="s">
        <v>1243</v>
      </c>
      <c r="AP234" s="936"/>
      <c r="AQ234" s="967"/>
      <c r="AR234" s="968"/>
      <c r="AS234" s="936"/>
    </row>
    <row r="235" ht="15.75" customHeight="1">
      <c r="A235" s="936"/>
      <c r="B235" s="948" t="s">
        <v>1713</v>
      </c>
      <c r="C235" s="950" t="s">
        <v>1714</v>
      </c>
      <c r="D235" s="950" t="s">
        <v>1714</v>
      </c>
      <c r="E235" s="952" t="s">
        <v>1714</v>
      </c>
      <c r="F235" s="940"/>
      <c r="G235" s="953"/>
      <c r="H235" s="969"/>
      <c r="I235" s="998" t="s">
        <v>1715</v>
      </c>
      <c r="J235" s="1180" t="s">
        <v>343</v>
      </c>
      <c r="K235" s="1001" t="s">
        <v>128</v>
      </c>
      <c r="L235" s="959">
        <v>55.0</v>
      </c>
      <c r="M235" s="960">
        <v>35.0</v>
      </c>
      <c r="N235" s="960">
        <v>50.0</v>
      </c>
      <c r="O235" s="960">
        <v>55.0</v>
      </c>
      <c r="P235" s="960">
        <v>110.0</v>
      </c>
      <c r="Q235" s="960">
        <v>85.0</v>
      </c>
      <c r="R235" s="960">
        <v>206.0</v>
      </c>
      <c r="S235" s="960">
        <v>269.0</v>
      </c>
      <c r="T235" s="960">
        <v>295.0</v>
      </c>
      <c r="U235" s="960">
        <f t="array" ref="U235">HLOOKUP($J235,'Type Chart'!$C$2:$T$20,2,false)*HLOOKUP($K235,'Type Chart'!$C$2:$U$20,2,false)</f>
        <v>1</v>
      </c>
      <c r="V235" s="960">
        <f t="array" ref="V235">HLOOKUP($J235,'Type Chart'!$C$2:$T$20,3,false)*HLOOKUP($K235,'Type Chart'!$C$2:$U$20,3,false)</f>
        <v>0.25</v>
      </c>
      <c r="W235" s="960">
        <f t="array" ref="W235">HLOOKUP($J235,'Type Chart'!$C$2:$T$20,4,false)*HLOOKUP($K235,'Type Chart'!$C$2:$U$20,4,false)</f>
        <v>2</v>
      </c>
      <c r="X235" s="960">
        <f t="array" ref="X235">HLOOKUP($J235,'Type Chart'!$C$2:$T$20,5,false)*HLOOKUP($K235,'Type Chart'!$C$2:$U$20,5,false)</f>
        <v>1</v>
      </c>
      <c r="Y235" s="960">
        <f t="array" ref="Y235">HLOOKUP($J235,'Type Chart'!$C$2:$T$20,6,false)*HLOOKUP($K235,'Type Chart'!$C$2:$U$20,6,false)</f>
        <v>0</v>
      </c>
      <c r="Z235" s="960">
        <f t="array" ref="Z235">HLOOKUP($J235,'Type Chart'!$C$2:$T$20,7,false)*HLOOKUP($K235,'Type Chart'!$C$2:$U$20,7,false)</f>
        <v>4</v>
      </c>
      <c r="AA235" s="960">
        <f t="array" ref="AA235">HLOOKUP($J235,'Type Chart'!$C$2:$T$20,8,false)*HLOOKUP($K235,'Type Chart'!$C$2:$U$20,8,false)</f>
        <v>0.5</v>
      </c>
      <c r="AB235" s="960">
        <f t="array" ref="AB235">HLOOKUP($J235,'Type Chart'!$C$2:$T$20,9,false)*HLOOKUP($K235,'Type Chart'!$C$2:$U$20,9,false)</f>
        <v>1</v>
      </c>
      <c r="AC235" s="960">
        <f t="array" ref="AC235">HLOOKUP($J235,'Type Chart'!$C$2:$T$20,10,false)*HLOOKUP($K235,'Type Chart'!$C$2:$U$20,10,false)</f>
        <v>1</v>
      </c>
      <c r="AD235" s="960">
        <f t="array" ref="AD235">HLOOKUP($J235,'Type Chart'!$C$2:$T$20,11,false)*HLOOKUP($K235,'Type Chart'!$C$2:$U$20,11,false)</f>
        <v>2</v>
      </c>
      <c r="AE235" s="960">
        <f t="array" ref="AE235">HLOOKUP($J235,'Type Chart'!$C$2:$T$20,12,false)*HLOOKUP($K235,'Type Chart'!$C$2:$U$20,12,false)</f>
        <v>1</v>
      </c>
      <c r="AF235" s="960">
        <f t="array" ref="AF235">HLOOKUP($J235,'Type Chart'!$C$2:$T$20,13,false)*HLOOKUP($K235,'Type Chart'!$C$2:$U$20,13,false)</f>
        <v>0.25</v>
      </c>
      <c r="AG235" s="960">
        <f t="array" ref="AG235">HLOOKUP($J235,'Type Chart'!$C$2:$T$20,14,false)*HLOOKUP($K235,'Type Chart'!$C$2:$U$20,14,false)</f>
        <v>2</v>
      </c>
      <c r="AH235" s="960">
        <f t="array" ref="AH235">HLOOKUP($J235,'Type Chart'!$C$2:$T$20,15,false)*HLOOKUP($K235,'Type Chart'!$C$2:$U$20,15,false)</f>
        <v>1</v>
      </c>
      <c r="AI235" s="960">
        <f t="array" ref="AI235">HLOOKUP($J235,'Type Chart'!$C$2:$T$20,16,false)*HLOOKUP($K235,'Type Chart'!$C$2:$U$20,16,false)</f>
        <v>2</v>
      </c>
      <c r="AJ235" s="960">
        <f t="array" ref="AJ235">HLOOKUP($J235,'Type Chart'!$C$2:$T$20,17,false)*HLOOKUP($K235,'Type Chart'!$C$2:$U$20,17,false)</f>
        <v>1</v>
      </c>
      <c r="AK235" s="960">
        <f t="array" ref="AK235">HLOOKUP($J235,'Type Chart'!$C$2:$T$20,18,false)*HLOOKUP($K235,'Type Chart'!$C$2:$U$20,18,false)</f>
        <v>1</v>
      </c>
      <c r="AL235" s="960">
        <f t="array" ref="AL235">HLOOKUP($J235,'Type Chart'!$C$2:$T$20,19,false)*HLOOKUP($K235,'Type Chart'!$C$2:$U$20,19,false)</f>
        <v>1</v>
      </c>
      <c r="AM235" s="964" t="s">
        <v>1013</v>
      </c>
      <c r="AN235" s="965" t="s">
        <v>1403</v>
      </c>
      <c r="AO235" s="1146" t="s">
        <v>1501</v>
      </c>
      <c r="AP235" s="936"/>
      <c r="AQ235" s="967"/>
      <c r="AR235" s="968"/>
      <c r="AS235" s="936"/>
    </row>
    <row r="236" ht="15.75" customHeight="1">
      <c r="A236" s="936"/>
      <c r="B236" s="948" t="s">
        <v>1716</v>
      </c>
      <c r="C236" s="950" t="s">
        <v>1717</v>
      </c>
      <c r="D236" s="950" t="s">
        <v>1717</v>
      </c>
      <c r="E236" s="952" t="s">
        <v>1717</v>
      </c>
      <c r="F236" s="940"/>
      <c r="G236" s="953"/>
      <c r="H236" s="969"/>
      <c r="I236" s="956" t="s">
        <v>1718</v>
      </c>
      <c r="J236" s="1180" t="s">
        <v>343</v>
      </c>
      <c r="K236" s="958" t="s">
        <v>178</v>
      </c>
      <c r="L236" s="959">
        <v>40.0</v>
      </c>
      <c r="M236" s="960">
        <v>60.0</v>
      </c>
      <c r="N236" s="960">
        <v>40.0</v>
      </c>
      <c r="O236" s="960">
        <v>40.0</v>
      </c>
      <c r="P236" s="960">
        <v>40.0</v>
      </c>
      <c r="Q236" s="960">
        <v>30.0</v>
      </c>
      <c r="R236" s="960">
        <v>96.0</v>
      </c>
      <c r="S236" s="960">
        <v>159.0</v>
      </c>
      <c r="T236" s="960">
        <v>174.0</v>
      </c>
      <c r="U236" s="960">
        <f t="array" ref="U236">HLOOKUP($J236,'Type Chart'!$C$2:$T$20,2,false)*HLOOKUP($K236,'Type Chart'!$C$2:$U$20,2,false)</f>
        <v>1</v>
      </c>
      <c r="V236" s="960">
        <f t="array" ref="V236">HLOOKUP($J236,'Type Chart'!$C$2:$T$20,3,false)*HLOOKUP($K236,'Type Chart'!$C$2:$U$20,3,false)</f>
        <v>0.25</v>
      </c>
      <c r="W236" s="960">
        <f t="array" ref="W236">HLOOKUP($J236,'Type Chart'!$C$2:$T$20,4,false)*HLOOKUP($K236,'Type Chart'!$C$2:$U$20,4,false)</f>
        <v>2</v>
      </c>
      <c r="X236" s="960">
        <f t="array" ref="X236">HLOOKUP($J236,'Type Chart'!$C$2:$T$20,5,false)*HLOOKUP($K236,'Type Chart'!$C$2:$U$20,5,false)</f>
        <v>0.5</v>
      </c>
      <c r="Y236" s="960">
        <f t="array" ref="Y236">HLOOKUP($J236,'Type Chart'!$C$2:$T$20,6,false)*HLOOKUP($K236,'Type Chart'!$C$2:$U$20,6,false)</f>
        <v>1</v>
      </c>
      <c r="Z236" s="960">
        <f t="array" ref="Z236">HLOOKUP($J236,'Type Chart'!$C$2:$T$20,7,false)*HLOOKUP($K236,'Type Chart'!$C$2:$U$20,7,false)</f>
        <v>2</v>
      </c>
      <c r="AA236" s="960">
        <f t="array" ref="AA236">HLOOKUP($J236,'Type Chart'!$C$2:$T$20,8,false)*HLOOKUP($K236,'Type Chart'!$C$2:$U$20,8,false)</f>
        <v>0.5</v>
      </c>
      <c r="AB236" s="960">
        <f t="array" ref="AB236">HLOOKUP($J236,'Type Chart'!$C$2:$T$20,9,false)*HLOOKUP($K236,'Type Chart'!$C$2:$U$20,9,false)</f>
        <v>1</v>
      </c>
      <c r="AC236" s="960">
        <f t="array" ref="AC236">HLOOKUP($J236,'Type Chart'!$C$2:$T$20,10,false)*HLOOKUP($K236,'Type Chart'!$C$2:$U$20,10,false)</f>
        <v>1</v>
      </c>
      <c r="AD236" s="960">
        <f t="array" ref="AD236">HLOOKUP($J236,'Type Chart'!$C$2:$T$20,11,false)*HLOOKUP($K236,'Type Chart'!$C$2:$U$20,11,false)</f>
        <v>2</v>
      </c>
      <c r="AE236" s="960">
        <f t="array" ref="AE236">HLOOKUP($J236,'Type Chart'!$C$2:$T$20,12,false)*HLOOKUP($K236,'Type Chart'!$C$2:$U$20,12,false)</f>
        <v>1</v>
      </c>
      <c r="AF236" s="960">
        <f t="array" ref="AF236">HLOOKUP($J236,'Type Chart'!$C$2:$T$20,13,false)*HLOOKUP($K236,'Type Chart'!$C$2:$U$20,13,false)</f>
        <v>0.25</v>
      </c>
      <c r="AG236" s="960">
        <f t="array" ref="AG236">HLOOKUP($J236,'Type Chart'!$C$2:$T$20,14,false)*HLOOKUP($K236,'Type Chart'!$C$2:$U$20,14,false)</f>
        <v>1</v>
      </c>
      <c r="AH236" s="960">
        <f t="array" ref="AH236">HLOOKUP($J236,'Type Chart'!$C$2:$T$20,15,false)*HLOOKUP($K236,'Type Chart'!$C$2:$U$20,15,false)</f>
        <v>2</v>
      </c>
      <c r="AI236" s="960">
        <f t="array" ref="AI236">HLOOKUP($J236,'Type Chart'!$C$2:$T$20,16,false)*HLOOKUP($K236,'Type Chart'!$C$2:$U$20,16,false)</f>
        <v>1</v>
      </c>
      <c r="AJ236" s="960">
        <f t="array" ref="AJ236">HLOOKUP($J236,'Type Chart'!$C$2:$T$20,17,false)*HLOOKUP($K236,'Type Chart'!$C$2:$U$20,17,false)</f>
        <v>1</v>
      </c>
      <c r="AK236" s="960">
        <f t="array" ref="AK236">HLOOKUP($J236,'Type Chart'!$C$2:$T$20,18,false)*HLOOKUP($K236,'Type Chart'!$C$2:$U$20,18,false)</f>
        <v>1</v>
      </c>
      <c r="AL236" s="960">
        <f t="array" ref="AL236">HLOOKUP($J236,'Type Chart'!$C$2:$T$20,19,false)*HLOOKUP($K236,'Type Chart'!$C$2:$U$20,19,false)</f>
        <v>0.5</v>
      </c>
      <c r="AM236" s="964" t="s">
        <v>1013</v>
      </c>
      <c r="AN236" s="965" t="s">
        <v>1454</v>
      </c>
      <c r="AO236" s="966" t="s">
        <v>1014</v>
      </c>
      <c r="AP236" s="936"/>
      <c r="AQ236" s="967"/>
      <c r="AR236" s="968"/>
      <c r="AS236" s="936"/>
    </row>
    <row r="237" ht="15.75" customHeight="1">
      <c r="A237" s="936"/>
      <c r="B237" s="948" t="s">
        <v>1719</v>
      </c>
      <c r="C237" s="950" t="s">
        <v>1720</v>
      </c>
      <c r="D237" s="950" t="s">
        <v>1720</v>
      </c>
      <c r="E237" s="952" t="s">
        <v>1720</v>
      </c>
      <c r="F237" s="940"/>
      <c r="G237" s="953"/>
      <c r="H237" s="969"/>
      <c r="I237" s="956" t="s">
        <v>879</v>
      </c>
      <c r="J237" s="1180" t="s">
        <v>343</v>
      </c>
      <c r="K237" s="958" t="s">
        <v>178</v>
      </c>
      <c r="L237" s="959">
        <v>70.0</v>
      </c>
      <c r="M237" s="960">
        <v>90.0</v>
      </c>
      <c r="N237" s="960">
        <v>70.0</v>
      </c>
      <c r="O237" s="960">
        <v>60.0</v>
      </c>
      <c r="P237" s="960">
        <v>70.0</v>
      </c>
      <c r="Q237" s="960">
        <v>40.0</v>
      </c>
      <c r="R237" s="960">
        <v>116.0</v>
      </c>
      <c r="S237" s="960">
        <v>179.0</v>
      </c>
      <c r="T237" s="960">
        <v>196.0</v>
      </c>
      <c r="U237" s="960">
        <f t="array" ref="U237">HLOOKUP($J237,'Type Chart'!$C$2:$T$20,2,false)*HLOOKUP($K237,'Type Chart'!$C$2:$U$20,2,false)</f>
        <v>1</v>
      </c>
      <c r="V237" s="960">
        <f t="array" ref="V237">HLOOKUP($J237,'Type Chart'!$C$2:$T$20,3,false)*HLOOKUP($K237,'Type Chart'!$C$2:$U$20,3,false)</f>
        <v>0.25</v>
      </c>
      <c r="W237" s="960">
        <f t="array" ref="W237">HLOOKUP($J237,'Type Chart'!$C$2:$T$20,4,false)*HLOOKUP($K237,'Type Chart'!$C$2:$U$20,4,false)</f>
        <v>2</v>
      </c>
      <c r="X237" s="960">
        <f t="array" ref="X237">HLOOKUP($J237,'Type Chart'!$C$2:$T$20,5,false)*HLOOKUP($K237,'Type Chart'!$C$2:$U$20,5,false)</f>
        <v>0.5</v>
      </c>
      <c r="Y237" s="960">
        <f t="array" ref="Y237">HLOOKUP($J237,'Type Chart'!$C$2:$T$20,6,false)*HLOOKUP($K237,'Type Chart'!$C$2:$U$20,6,false)</f>
        <v>1</v>
      </c>
      <c r="Z237" s="960">
        <f t="array" ref="Z237">HLOOKUP($J237,'Type Chart'!$C$2:$T$20,7,false)*HLOOKUP($K237,'Type Chart'!$C$2:$U$20,7,false)</f>
        <v>2</v>
      </c>
      <c r="AA237" s="960">
        <f t="array" ref="AA237">HLOOKUP($J237,'Type Chart'!$C$2:$T$20,8,false)*HLOOKUP($K237,'Type Chart'!$C$2:$U$20,8,false)</f>
        <v>0.5</v>
      </c>
      <c r="AB237" s="960">
        <f t="array" ref="AB237">HLOOKUP($J237,'Type Chart'!$C$2:$T$20,9,false)*HLOOKUP($K237,'Type Chart'!$C$2:$U$20,9,false)</f>
        <v>1</v>
      </c>
      <c r="AC237" s="960">
        <f t="array" ref="AC237">HLOOKUP($J237,'Type Chart'!$C$2:$T$20,10,false)*HLOOKUP($K237,'Type Chart'!$C$2:$U$20,10,false)</f>
        <v>1</v>
      </c>
      <c r="AD237" s="960">
        <f t="array" ref="AD237">HLOOKUP($J237,'Type Chart'!$C$2:$T$20,11,false)*HLOOKUP($K237,'Type Chart'!$C$2:$U$20,11,false)</f>
        <v>2</v>
      </c>
      <c r="AE237" s="960">
        <f t="array" ref="AE237">HLOOKUP($J237,'Type Chart'!$C$2:$T$20,12,false)*HLOOKUP($K237,'Type Chart'!$C$2:$U$20,12,false)</f>
        <v>1</v>
      </c>
      <c r="AF237" s="960">
        <f t="array" ref="AF237">HLOOKUP($J237,'Type Chart'!$C$2:$T$20,13,false)*HLOOKUP($K237,'Type Chart'!$C$2:$U$20,13,false)</f>
        <v>0.25</v>
      </c>
      <c r="AG237" s="960">
        <f t="array" ref="AG237">HLOOKUP($J237,'Type Chart'!$C$2:$T$20,14,false)*HLOOKUP($K237,'Type Chart'!$C$2:$U$20,14,false)</f>
        <v>1</v>
      </c>
      <c r="AH237" s="960">
        <f t="array" ref="AH237">HLOOKUP($J237,'Type Chart'!$C$2:$T$20,15,false)*HLOOKUP($K237,'Type Chart'!$C$2:$U$20,15,false)</f>
        <v>2</v>
      </c>
      <c r="AI237" s="960">
        <f t="array" ref="AI237">HLOOKUP($J237,'Type Chart'!$C$2:$T$20,16,false)*HLOOKUP($K237,'Type Chart'!$C$2:$U$20,16,false)</f>
        <v>1</v>
      </c>
      <c r="AJ237" s="960">
        <f t="array" ref="AJ237">HLOOKUP($J237,'Type Chart'!$C$2:$T$20,17,false)*HLOOKUP($K237,'Type Chart'!$C$2:$U$20,17,false)</f>
        <v>1</v>
      </c>
      <c r="AK237" s="960">
        <f t="array" ref="AK237">HLOOKUP($J237,'Type Chart'!$C$2:$T$20,18,false)*HLOOKUP($K237,'Type Chart'!$C$2:$U$20,18,false)</f>
        <v>1</v>
      </c>
      <c r="AL237" s="960">
        <f t="array" ref="AL237">HLOOKUP($J237,'Type Chart'!$C$2:$T$20,19,false)*HLOOKUP($K237,'Type Chart'!$C$2:$U$20,19,false)</f>
        <v>0.5</v>
      </c>
      <c r="AM237" s="964" t="s">
        <v>1013</v>
      </c>
      <c r="AN237" s="965" t="s">
        <v>1454</v>
      </c>
      <c r="AO237" s="966" t="s">
        <v>1014</v>
      </c>
      <c r="AP237" s="936"/>
      <c r="AQ237" s="967"/>
      <c r="AR237" s="968"/>
      <c r="AS237" s="936"/>
    </row>
    <row r="238" ht="15.75" customHeight="1">
      <c r="A238" s="936"/>
      <c r="B238" s="948" t="s">
        <v>1721</v>
      </c>
      <c r="C238" s="950" t="s">
        <v>1722</v>
      </c>
      <c r="D238" s="950" t="s">
        <v>1722</v>
      </c>
      <c r="E238" s="952" t="s">
        <v>1722</v>
      </c>
      <c r="F238" s="940"/>
      <c r="G238" s="953"/>
      <c r="H238" s="969"/>
      <c r="I238" s="956" t="s">
        <v>1723</v>
      </c>
      <c r="J238" s="958" t="s">
        <v>178</v>
      </c>
      <c r="K238" s="1001" t="s">
        <v>128</v>
      </c>
      <c r="L238" s="959">
        <v>85.0</v>
      </c>
      <c r="M238" s="960">
        <v>90.0</v>
      </c>
      <c r="N238" s="960">
        <v>80.0</v>
      </c>
      <c r="O238" s="960">
        <v>70.0</v>
      </c>
      <c r="P238" s="960">
        <v>80.0</v>
      </c>
      <c r="Q238" s="960">
        <v>130.0</v>
      </c>
      <c r="R238" s="960">
        <v>296.0</v>
      </c>
      <c r="S238" s="960">
        <v>359.0</v>
      </c>
      <c r="T238" s="960">
        <v>394.0</v>
      </c>
      <c r="U238" s="960">
        <f t="array" ref="U238">HLOOKUP($J238,'Type Chart'!$C$2:$T$20,2,false)*HLOOKUP($K238,'Type Chart'!$C$2:$U$20,2,false)</f>
        <v>1</v>
      </c>
      <c r="V238" s="960">
        <f t="array" ref="V238">HLOOKUP($J238,'Type Chart'!$C$2:$T$20,3,false)*HLOOKUP($K238,'Type Chart'!$C$2:$U$20,3,false)</f>
        <v>0.25</v>
      </c>
      <c r="W238" s="960">
        <f t="array" ref="W238">HLOOKUP($J238,'Type Chart'!$C$2:$T$20,4,false)*HLOOKUP($K238,'Type Chart'!$C$2:$U$20,4,false)</f>
        <v>1</v>
      </c>
      <c r="X238" s="960">
        <f t="array" ref="X238">HLOOKUP($J238,'Type Chart'!$C$2:$T$20,5,false)*HLOOKUP($K238,'Type Chart'!$C$2:$U$20,5,false)</f>
        <v>0.5</v>
      </c>
      <c r="Y238" s="960">
        <f t="array" ref="Y238">HLOOKUP($J238,'Type Chart'!$C$2:$T$20,6,false)*HLOOKUP($K238,'Type Chart'!$C$2:$U$20,6,false)</f>
        <v>0</v>
      </c>
      <c r="Z238" s="960">
        <f t="array" ref="Z238">HLOOKUP($J238,'Type Chart'!$C$2:$T$20,7,false)*HLOOKUP($K238,'Type Chart'!$C$2:$U$20,7,false)</f>
        <v>2</v>
      </c>
      <c r="AA238" s="960">
        <f t="array" ref="AA238">HLOOKUP($J238,'Type Chart'!$C$2:$T$20,8,false)*HLOOKUP($K238,'Type Chart'!$C$2:$U$20,8,false)</f>
        <v>0.25</v>
      </c>
      <c r="AB238" s="960">
        <f t="array" ref="AB238">HLOOKUP($J238,'Type Chart'!$C$2:$T$20,9,false)*HLOOKUP($K238,'Type Chart'!$C$2:$U$20,9,false)</f>
        <v>1</v>
      </c>
      <c r="AC238" s="960">
        <f t="array" ref="AC238">HLOOKUP($J238,'Type Chart'!$C$2:$T$20,10,false)*HLOOKUP($K238,'Type Chart'!$C$2:$U$20,10,false)</f>
        <v>1</v>
      </c>
      <c r="AD238" s="960">
        <f t="array" ref="AD238">HLOOKUP($J238,'Type Chart'!$C$2:$T$20,11,false)*HLOOKUP($K238,'Type Chart'!$C$2:$U$20,11,false)</f>
        <v>1</v>
      </c>
      <c r="AE238" s="960">
        <f t="array" ref="AE238">HLOOKUP($J238,'Type Chart'!$C$2:$T$20,12,false)*HLOOKUP($K238,'Type Chart'!$C$2:$U$20,12,false)</f>
        <v>1</v>
      </c>
      <c r="AF238" s="960">
        <f t="array" ref="AF238">HLOOKUP($J238,'Type Chart'!$C$2:$T$20,13,false)*HLOOKUP($K238,'Type Chart'!$C$2:$U$20,13,false)</f>
        <v>0.25</v>
      </c>
      <c r="AG238" s="960">
        <f t="array" ref="AG238">HLOOKUP($J238,'Type Chart'!$C$2:$T$20,14,false)*HLOOKUP($K238,'Type Chart'!$C$2:$U$20,14,false)</f>
        <v>2</v>
      </c>
      <c r="AH238" s="960">
        <f t="array" ref="AH238">HLOOKUP($J238,'Type Chart'!$C$2:$T$20,15,false)*HLOOKUP($K238,'Type Chart'!$C$2:$U$20,15,false)</f>
        <v>2</v>
      </c>
      <c r="AI238" s="960">
        <f t="array" ref="AI238">HLOOKUP($J238,'Type Chart'!$C$2:$T$20,16,false)*HLOOKUP($K238,'Type Chart'!$C$2:$U$20,16,false)</f>
        <v>2</v>
      </c>
      <c r="AJ238" s="960">
        <f t="array" ref="AJ238">HLOOKUP($J238,'Type Chart'!$C$2:$T$20,17,false)*HLOOKUP($K238,'Type Chart'!$C$2:$U$20,17,false)</f>
        <v>1</v>
      </c>
      <c r="AK238" s="960">
        <f t="array" ref="AK238">HLOOKUP($J238,'Type Chart'!$C$2:$T$20,18,false)*HLOOKUP($K238,'Type Chart'!$C$2:$U$20,18,false)</f>
        <v>1</v>
      </c>
      <c r="AL238" s="960">
        <f t="array" ref="AL238">HLOOKUP($J238,'Type Chart'!$C$2:$T$20,19,false)*HLOOKUP($K238,'Type Chart'!$C$2:$U$20,19,false)</f>
        <v>0.5</v>
      </c>
      <c r="AM238" s="964" t="s">
        <v>1192</v>
      </c>
      <c r="AN238" s="965"/>
      <c r="AO238" s="966" t="s">
        <v>1193</v>
      </c>
      <c r="AP238" s="936"/>
      <c r="AQ238" s="967"/>
      <c r="AR238" s="968"/>
      <c r="AS238" s="936"/>
    </row>
    <row r="239" ht="15.75" customHeight="1">
      <c r="A239" s="936"/>
      <c r="B239" s="948" t="s">
        <v>1724</v>
      </c>
      <c r="C239" s="950" t="s">
        <v>1725</v>
      </c>
      <c r="D239" s="950" t="s">
        <v>1725</v>
      </c>
      <c r="E239" s="952" t="s">
        <v>1725</v>
      </c>
      <c r="F239" s="940"/>
      <c r="G239" s="953"/>
      <c r="H239" s="969"/>
      <c r="I239" s="956" t="s">
        <v>1726</v>
      </c>
      <c r="J239" s="1056" t="s">
        <v>81</v>
      </c>
      <c r="K239" s="1196" t="s">
        <v>203</v>
      </c>
      <c r="L239" s="959">
        <v>75.0</v>
      </c>
      <c r="M239" s="960">
        <v>38.0</v>
      </c>
      <c r="N239" s="960">
        <v>38.0</v>
      </c>
      <c r="O239" s="960">
        <v>56.0</v>
      </c>
      <c r="P239" s="960">
        <v>56.0</v>
      </c>
      <c r="Q239" s="960">
        <v>67.0</v>
      </c>
      <c r="R239" s="960">
        <v>170.0</v>
      </c>
      <c r="S239" s="960">
        <v>233.0</v>
      </c>
      <c r="T239" s="960">
        <v>256.0</v>
      </c>
      <c r="U239" s="960">
        <f t="array" ref="U239">HLOOKUP($J239,'Type Chart'!$C$2:$T$20,2,false)*HLOOKUP($K239,'Type Chart'!$C$2:$U$20,2,false)</f>
        <v>1</v>
      </c>
      <c r="V239" s="960">
        <f t="array" ref="V239">HLOOKUP($J239,'Type Chart'!$C$2:$T$20,3,false)*HLOOKUP($K239,'Type Chart'!$C$2:$U$20,3,false)</f>
        <v>1</v>
      </c>
      <c r="W239" s="960">
        <f t="array" ref="W239">HLOOKUP($J239,'Type Chart'!$C$2:$T$20,4,false)*HLOOKUP($K239,'Type Chart'!$C$2:$U$20,4,false)</f>
        <v>0.5</v>
      </c>
      <c r="X239" s="960">
        <f t="array" ref="X239">HLOOKUP($J239,'Type Chart'!$C$2:$T$20,5,false)*HLOOKUP($K239,'Type Chart'!$C$2:$U$20,5,false)</f>
        <v>1</v>
      </c>
      <c r="Y239" s="960">
        <f t="array" ref="Y239">HLOOKUP($J239,'Type Chart'!$C$2:$T$20,6,false)*HLOOKUP($K239,'Type Chart'!$C$2:$U$20,6,false)</f>
        <v>2</v>
      </c>
      <c r="Z239" s="960">
        <f t="array" ref="Z239">HLOOKUP($J239,'Type Chart'!$C$2:$T$20,7,false)*HLOOKUP($K239,'Type Chart'!$C$2:$U$20,7,false)</f>
        <v>1</v>
      </c>
      <c r="AA239" s="960">
        <f t="array" ref="AA239">HLOOKUP($J239,'Type Chart'!$C$2:$T$20,8,false)*HLOOKUP($K239,'Type Chart'!$C$2:$U$20,8,false)</f>
        <v>1</v>
      </c>
      <c r="AB239" s="960">
        <f t="array" ref="AB239">HLOOKUP($J239,'Type Chart'!$C$2:$T$20,9,false)*HLOOKUP($K239,'Type Chart'!$C$2:$U$20,9,false)</f>
        <v>1</v>
      </c>
      <c r="AC239" s="960">
        <f t="array" ref="AC239">HLOOKUP($J239,'Type Chart'!$C$2:$T$20,10,false)*HLOOKUP($K239,'Type Chart'!$C$2:$U$20,10,false)</f>
        <v>0.25</v>
      </c>
      <c r="AD239" s="960">
        <f t="array" ref="AD239">HLOOKUP($J239,'Type Chart'!$C$2:$T$20,11,false)*HLOOKUP($K239,'Type Chart'!$C$2:$U$20,11,false)</f>
        <v>0.5</v>
      </c>
      <c r="AE239" s="960">
        <f t="array" ref="AE239">HLOOKUP($J239,'Type Chart'!$C$2:$T$20,12,false)*HLOOKUP($K239,'Type Chart'!$C$2:$U$20,12,false)</f>
        <v>0.5</v>
      </c>
      <c r="AF239" s="960">
        <f t="array" ref="AF239">HLOOKUP($J239,'Type Chart'!$C$2:$T$20,13,false)*HLOOKUP($K239,'Type Chart'!$C$2:$U$20,13,false)</f>
        <v>2</v>
      </c>
      <c r="AG239" s="960">
        <f t="array" ref="AG239">HLOOKUP($J239,'Type Chart'!$C$2:$T$20,14,false)*HLOOKUP($K239,'Type Chart'!$C$2:$U$20,14,false)</f>
        <v>1</v>
      </c>
      <c r="AH239" s="960">
        <f t="array" ref="AH239">HLOOKUP($J239,'Type Chart'!$C$2:$T$20,15,false)*HLOOKUP($K239,'Type Chart'!$C$2:$U$20,15,false)</f>
        <v>1</v>
      </c>
      <c r="AI239" s="960">
        <f t="array" ref="AI239">HLOOKUP($J239,'Type Chart'!$C$2:$T$20,16,false)*HLOOKUP($K239,'Type Chart'!$C$2:$U$20,16,false)</f>
        <v>0.5</v>
      </c>
      <c r="AJ239" s="960">
        <f t="array" ref="AJ239">HLOOKUP($J239,'Type Chart'!$C$2:$T$20,17,false)*HLOOKUP($K239,'Type Chart'!$C$2:$U$20,17,false)</f>
        <v>1</v>
      </c>
      <c r="AK239" s="960">
        <f t="array" ref="AK239">HLOOKUP($J239,'Type Chart'!$C$2:$T$20,18,false)*HLOOKUP($K239,'Type Chart'!$C$2:$U$20,18,false)</f>
        <v>1</v>
      </c>
      <c r="AL239" s="960">
        <f t="array" ref="AL239">HLOOKUP($J239,'Type Chart'!$C$2:$T$20,19,false)*HLOOKUP($K239,'Type Chart'!$C$2:$U$20,19,false)</f>
        <v>1</v>
      </c>
      <c r="AM239" s="964" t="s">
        <v>1614</v>
      </c>
      <c r="AN239" s="965" t="s">
        <v>1549</v>
      </c>
      <c r="AO239" s="966" t="s">
        <v>1283</v>
      </c>
      <c r="AP239" s="936"/>
      <c r="AQ239" s="967"/>
      <c r="AR239" s="968"/>
      <c r="AS239" s="936"/>
    </row>
    <row r="240" ht="15.75" customHeight="1">
      <c r="A240" s="936"/>
      <c r="B240" s="948" t="s">
        <v>1727</v>
      </c>
      <c r="C240" s="950" t="s">
        <v>1728</v>
      </c>
      <c r="D240" s="950" t="s">
        <v>1728</v>
      </c>
      <c r="E240" s="952" t="s">
        <v>1728</v>
      </c>
      <c r="F240" s="940"/>
      <c r="G240" s="953"/>
      <c r="H240" s="969"/>
      <c r="I240" s="956" t="s">
        <v>698</v>
      </c>
      <c r="J240" s="1056" t="s">
        <v>81</v>
      </c>
      <c r="K240" s="1196" t="s">
        <v>203</v>
      </c>
      <c r="L240" s="959">
        <v>125.0</v>
      </c>
      <c r="M240" s="960">
        <v>58.0</v>
      </c>
      <c r="N240" s="960">
        <v>58.0</v>
      </c>
      <c r="O240" s="960">
        <v>76.0</v>
      </c>
      <c r="P240" s="960">
        <v>76.0</v>
      </c>
      <c r="Q240" s="960">
        <v>67.0</v>
      </c>
      <c r="R240" s="960">
        <v>170.0</v>
      </c>
      <c r="S240" s="960">
        <v>233.0</v>
      </c>
      <c r="T240" s="960">
        <v>256.0</v>
      </c>
      <c r="U240" s="960">
        <f t="array" ref="U240">HLOOKUP($J240,'Type Chart'!$C$2:$T$20,2,false)*HLOOKUP($K240,'Type Chart'!$C$2:$U$20,2,false)</f>
        <v>1</v>
      </c>
      <c r="V240" s="960">
        <f t="array" ref="V240">HLOOKUP($J240,'Type Chart'!$C$2:$T$20,3,false)*HLOOKUP($K240,'Type Chart'!$C$2:$U$20,3,false)</f>
        <v>1</v>
      </c>
      <c r="W240" s="960">
        <f t="array" ref="W240">HLOOKUP($J240,'Type Chart'!$C$2:$T$20,4,false)*HLOOKUP($K240,'Type Chart'!$C$2:$U$20,4,false)</f>
        <v>0.5</v>
      </c>
      <c r="X240" s="960">
        <f t="array" ref="X240">HLOOKUP($J240,'Type Chart'!$C$2:$T$20,5,false)*HLOOKUP($K240,'Type Chart'!$C$2:$U$20,5,false)</f>
        <v>1</v>
      </c>
      <c r="Y240" s="960">
        <f t="array" ref="Y240">HLOOKUP($J240,'Type Chart'!$C$2:$T$20,6,false)*HLOOKUP($K240,'Type Chart'!$C$2:$U$20,6,false)</f>
        <v>2</v>
      </c>
      <c r="Z240" s="960">
        <f t="array" ref="Z240">HLOOKUP($J240,'Type Chart'!$C$2:$T$20,7,false)*HLOOKUP($K240,'Type Chart'!$C$2:$U$20,7,false)</f>
        <v>1</v>
      </c>
      <c r="AA240" s="960">
        <f t="array" ref="AA240">HLOOKUP($J240,'Type Chart'!$C$2:$T$20,8,false)*HLOOKUP($K240,'Type Chart'!$C$2:$U$20,8,false)</f>
        <v>1</v>
      </c>
      <c r="AB240" s="960">
        <f t="array" ref="AB240">HLOOKUP($J240,'Type Chart'!$C$2:$T$20,9,false)*HLOOKUP($K240,'Type Chart'!$C$2:$U$20,9,false)</f>
        <v>1</v>
      </c>
      <c r="AC240" s="960">
        <f t="array" ref="AC240">HLOOKUP($J240,'Type Chart'!$C$2:$T$20,10,false)*HLOOKUP($K240,'Type Chart'!$C$2:$U$20,10,false)</f>
        <v>0.25</v>
      </c>
      <c r="AD240" s="960">
        <f t="array" ref="AD240">HLOOKUP($J240,'Type Chart'!$C$2:$T$20,11,false)*HLOOKUP($K240,'Type Chart'!$C$2:$U$20,11,false)</f>
        <v>0.5</v>
      </c>
      <c r="AE240" s="960">
        <f t="array" ref="AE240">HLOOKUP($J240,'Type Chart'!$C$2:$T$20,12,false)*HLOOKUP($K240,'Type Chart'!$C$2:$U$20,12,false)</f>
        <v>0.5</v>
      </c>
      <c r="AF240" s="960">
        <f t="array" ref="AF240">HLOOKUP($J240,'Type Chart'!$C$2:$T$20,13,false)*HLOOKUP($K240,'Type Chart'!$C$2:$U$20,13,false)</f>
        <v>2</v>
      </c>
      <c r="AG240" s="960">
        <f t="array" ref="AG240">HLOOKUP($J240,'Type Chart'!$C$2:$T$20,14,false)*HLOOKUP($K240,'Type Chart'!$C$2:$U$20,14,false)</f>
        <v>1</v>
      </c>
      <c r="AH240" s="960">
        <f t="array" ref="AH240">HLOOKUP($J240,'Type Chart'!$C$2:$T$20,15,false)*HLOOKUP($K240,'Type Chart'!$C$2:$U$20,15,false)</f>
        <v>1</v>
      </c>
      <c r="AI240" s="960">
        <f t="array" ref="AI240">HLOOKUP($J240,'Type Chart'!$C$2:$T$20,16,false)*HLOOKUP($K240,'Type Chart'!$C$2:$U$20,16,false)</f>
        <v>0.5</v>
      </c>
      <c r="AJ240" s="960">
        <f t="array" ref="AJ240">HLOOKUP($J240,'Type Chart'!$C$2:$T$20,17,false)*HLOOKUP($K240,'Type Chart'!$C$2:$U$20,17,false)</f>
        <v>1</v>
      </c>
      <c r="AK240" s="960">
        <f t="array" ref="AK240">HLOOKUP($J240,'Type Chart'!$C$2:$T$20,18,false)*HLOOKUP($K240,'Type Chart'!$C$2:$U$20,18,false)</f>
        <v>1</v>
      </c>
      <c r="AL240" s="960">
        <f t="array" ref="AL240">HLOOKUP($J240,'Type Chart'!$C$2:$T$20,19,false)*HLOOKUP($K240,'Type Chart'!$C$2:$U$20,19,false)</f>
        <v>1</v>
      </c>
      <c r="AM240" s="964" t="s">
        <v>1614</v>
      </c>
      <c r="AN240" s="965" t="s">
        <v>1549</v>
      </c>
      <c r="AO240" s="966" t="s">
        <v>1283</v>
      </c>
      <c r="AP240" s="936"/>
      <c r="AQ240" s="967"/>
      <c r="AR240" s="968"/>
      <c r="AS240" s="936"/>
    </row>
    <row r="241" ht="15.75" customHeight="1">
      <c r="A241" s="936"/>
      <c r="B241" s="948" t="s">
        <v>1729</v>
      </c>
      <c r="C241" s="950" t="s">
        <v>1730</v>
      </c>
      <c r="D241" s="950" t="s">
        <v>1730</v>
      </c>
      <c r="E241" s="952" t="s">
        <v>1730</v>
      </c>
      <c r="F241" s="940"/>
      <c r="G241" s="953"/>
      <c r="H241" s="969"/>
      <c r="I241" s="998" t="s">
        <v>1731</v>
      </c>
      <c r="J241" s="1196" t="s">
        <v>203</v>
      </c>
      <c r="K241" s="984" t="s">
        <v>216</v>
      </c>
      <c r="L241" s="959">
        <v>20.0</v>
      </c>
      <c r="M241" s="960">
        <v>40.0</v>
      </c>
      <c r="N241" s="960">
        <v>15.0</v>
      </c>
      <c r="O241" s="960">
        <v>35.0</v>
      </c>
      <c r="P241" s="960">
        <v>35.0</v>
      </c>
      <c r="Q241" s="960">
        <v>60.0</v>
      </c>
      <c r="R241" s="960">
        <v>156.0</v>
      </c>
      <c r="S241" s="960">
        <v>219.0</v>
      </c>
      <c r="T241" s="960">
        <v>240.0</v>
      </c>
      <c r="U241" s="960">
        <f t="array" ref="U241">HLOOKUP($J241,'Type Chart'!$C$2:$T$20,2,false)*HLOOKUP($K241,'Type Chart'!$C$2:$U$20,2,false)</f>
        <v>1</v>
      </c>
      <c r="V241" s="960">
        <f t="array" ref="V241">HLOOKUP($J241,'Type Chart'!$C$2:$T$20,3,false)*HLOOKUP($K241,'Type Chart'!$C$2:$U$20,3,false)</f>
        <v>1</v>
      </c>
      <c r="W241" s="960">
        <f t="array" ref="W241">HLOOKUP($J241,'Type Chart'!$C$2:$T$20,4,false)*HLOOKUP($K241,'Type Chart'!$C$2:$U$20,4,false)</f>
        <v>0.5</v>
      </c>
      <c r="X241" s="960">
        <f t="array" ref="X241">HLOOKUP($J241,'Type Chart'!$C$2:$T$20,5,false)*HLOOKUP($K241,'Type Chart'!$C$2:$U$20,5,false)</f>
        <v>1</v>
      </c>
      <c r="Y241" s="960">
        <f t="array" ref="Y241">HLOOKUP($J241,'Type Chart'!$C$2:$T$20,6,false)*HLOOKUP($K241,'Type Chart'!$C$2:$U$20,6,false)</f>
        <v>2</v>
      </c>
      <c r="Z241" s="960">
        <f t="array" ref="Z241">HLOOKUP($J241,'Type Chart'!$C$2:$T$20,7,false)*HLOOKUP($K241,'Type Chart'!$C$2:$U$20,7,false)</f>
        <v>1</v>
      </c>
      <c r="AA241" s="960">
        <f t="array" ref="AA241">HLOOKUP($J241,'Type Chart'!$C$2:$T$20,8,false)*HLOOKUP($K241,'Type Chart'!$C$2:$U$20,8,false)</f>
        <v>1</v>
      </c>
      <c r="AB241" s="960">
        <f t="array" ref="AB241">HLOOKUP($J241,'Type Chart'!$C$2:$T$20,9,false)*HLOOKUP($K241,'Type Chart'!$C$2:$U$20,9,false)</f>
        <v>1</v>
      </c>
      <c r="AC241" s="960">
        <f t="array" ref="AC241">HLOOKUP($J241,'Type Chart'!$C$2:$T$20,10,false)*HLOOKUP($K241,'Type Chart'!$C$2:$U$20,10,false)</f>
        <v>0.5</v>
      </c>
      <c r="AD241" s="960">
        <f t="array" ref="AD241">HLOOKUP($J241,'Type Chart'!$C$2:$T$20,11,false)*HLOOKUP($K241,'Type Chart'!$C$2:$U$20,11,false)</f>
        <v>1</v>
      </c>
      <c r="AE241" s="960">
        <f t="array" ref="AE241">HLOOKUP($J241,'Type Chart'!$C$2:$T$20,12,false)*HLOOKUP($K241,'Type Chart'!$C$2:$U$20,12,false)</f>
        <v>1</v>
      </c>
      <c r="AF241" s="960">
        <f t="array" ref="AF241">HLOOKUP($J241,'Type Chart'!$C$2:$T$20,13,false)*HLOOKUP($K241,'Type Chart'!$C$2:$U$20,13,false)</f>
        <v>1</v>
      </c>
      <c r="AG241" s="960">
        <f t="array" ref="AG241">HLOOKUP($J241,'Type Chart'!$C$2:$T$20,14,false)*HLOOKUP($K241,'Type Chart'!$C$2:$U$20,14,false)</f>
        <v>0.5</v>
      </c>
      <c r="AH241" s="960">
        <f t="array" ref="AH241">HLOOKUP($J241,'Type Chart'!$C$2:$T$20,15,false)*HLOOKUP($K241,'Type Chart'!$C$2:$U$20,15,false)</f>
        <v>1</v>
      </c>
      <c r="AI241" s="960">
        <f t="array" ref="AI241">HLOOKUP($J241,'Type Chart'!$C$2:$T$20,16,false)*HLOOKUP($K241,'Type Chart'!$C$2:$U$20,16,false)</f>
        <v>1</v>
      </c>
      <c r="AJ241" s="960">
        <f t="array" ref="AJ241">HLOOKUP($J241,'Type Chart'!$C$2:$T$20,17,false)*HLOOKUP($K241,'Type Chart'!$C$2:$U$20,17,false)</f>
        <v>1</v>
      </c>
      <c r="AK241" s="960">
        <f t="array" ref="AK241">HLOOKUP($J241,'Type Chart'!$C$2:$T$20,18,false)*HLOOKUP($K241,'Type Chart'!$C$2:$U$20,18,false)</f>
        <v>1</v>
      </c>
      <c r="AL241" s="960">
        <f t="array" ref="AL241">HLOOKUP($J241,'Type Chart'!$C$2:$T$20,19,false)*HLOOKUP($K241,'Type Chart'!$C$2:$U$20,19,false)</f>
        <v>1</v>
      </c>
      <c r="AM241" s="964" t="s">
        <v>1067</v>
      </c>
      <c r="AN241" s="965"/>
      <c r="AO241" s="966" t="s">
        <v>1068</v>
      </c>
      <c r="AP241" s="936"/>
      <c r="AQ241" s="967"/>
      <c r="AR241" s="968"/>
      <c r="AS241" s="936"/>
    </row>
    <row r="242" ht="15.75" customHeight="1">
      <c r="A242" s="936"/>
      <c r="B242" s="948" t="s">
        <v>1732</v>
      </c>
      <c r="C242" s="950" t="s">
        <v>1733</v>
      </c>
      <c r="D242" s="950" t="s">
        <v>1734</v>
      </c>
      <c r="E242" s="952" t="s">
        <v>1733</v>
      </c>
      <c r="F242" s="940"/>
      <c r="G242" s="953"/>
      <c r="H242" s="969"/>
      <c r="I242" s="956" t="s">
        <v>1735</v>
      </c>
      <c r="J242" s="1196" t="s">
        <v>203</v>
      </c>
      <c r="K242" s="984" t="s">
        <v>216</v>
      </c>
      <c r="L242" s="959">
        <v>20.0</v>
      </c>
      <c r="M242" s="960">
        <v>40.0</v>
      </c>
      <c r="N242" s="960">
        <v>15.0</v>
      </c>
      <c r="O242" s="960">
        <v>35.0</v>
      </c>
      <c r="P242" s="960">
        <v>35.0</v>
      </c>
      <c r="Q242" s="960">
        <v>60.0</v>
      </c>
      <c r="R242" s="960">
        <v>156.0</v>
      </c>
      <c r="S242" s="960">
        <v>219.0</v>
      </c>
      <c r="T242" s="960">
        <v>240.0</v>
      </c>
      <c r="U242" s="960">
        <f t="array" ref="U242">HLOOKUP($J242,'Type Chart'!$C$2:$T$20,2,false)*HLOOKUP($K242,'Type Chart'!$C$2:$U$20,2,false)</f>
        <v>1</v>
      </c>
      <c r="V242" s="960">
        <f t="array" ref="V242">HLOOKUP($J242,'Type Chart'!$C$2:$T$20,3,false)*HLOOKUP($K242,'Type Chart'!$C$2:$U$20,3,false)</f>
        <v>1</v>
      </c>
      <c r="W242" s="960">
        <f t="array" ref="W242">HLOOKUP($J242,'Type Chart'!$C$2:$T$20,4,false)*HLOOKUP($K242,'Type Chart'!$C$2:$U$20,4,false)</f>
        <v>0.5</v>
      </c>
      <c r="X242" s="960">
        <f t="array" ref="X242">HLOOKUP($J242,'Type Chart'!$C$2:$T$20,5,false)*HLOOKUP($K242,'Type Chart'!$C$2:$U$20,5,false)</f>
        <v>1</v>
      </c>
      <c r="Y242" s="960">
        <f t="array" ref="Y242">HLOOKUP($J242,'Type Chart'!$C$2:$T$20,6,false)*HLOOKUP($K242,'Type Chart'!$C$2:$U$20,6,false)</f>
        <v>2</v>
      </c>
      <c r="Z242" s="960">
        <f t="array" ref="Z242">HLOOKUP($J242,'Type Chart'!$C$2:$T$20,7,false)*HLOOKUP($K242,'Type Chart'!$C$2:$U$20,7,false)</f>
        <v>1</v>
      </c>
      <c r="AA242" s="960">
        <f t="array" ref="AA242">HLOOKUP($J242,'Type Chart'!$C$2:$T$20,8,false)*HLOOKUP($K242,'Type Chart'!$C$2:$U$20,8,false)</f>
        <v>1</v>
      </c>
      <c r="AB242" s="960">
        <f t="array" ref="AB242">HLOOKUP($J242,'Type Chart'!$C$2:$T$20,9,false)*HLOOKUP($K242,'Type Chart'!$C$2:$U$20,9,false)</f>
        <v>1</v>
      </c>
      <c r="AC242" s="960">
        <f t="array" ref="AC242">HLOOKUP($J242,'Type Chart'!$C$2:$T$20,10,false)*HLOOKUP($K242,'Type Chart'!$C$2:$U$20,10,false)</f>
        <v>0.5</v>
      </c>
      <c r="AD242" s="960">
        <f t="array" ref="AD242">HLOOKUP($J242,'Type Chart'!$C$2:$T$20,11,false)*HLOOKUP($K242,'Type Chart'!$C$2:$U$20,11,false)</f>
        <v>1</v>
      </c>
      <c r="AE242" s="960">
        <f t="array" ref="AE242">HLOOKUP($J242,'Type Chart'!$C$2:$T$20,12,false)*HLOOKUP($K242,'Type Chart'!$C$2:$U$20,12,false)</f>
        <v>1</v>
      </c>
      <c r="AF242" s="960">
        <f t="array" ref="AF242">HLOOKUP($J242,'Type Chart'!$C$2:$T$20,13,false)*HLOOKUP($K242,'Type Chart'!$C$2:$U$20,13,false)</f>
        <v>1</v>
      </c>
      <c r="AG242" s="960">
        <f t="array" ref="AG242">HLOOKUP($J242,'Type Chart'!$C$2:$T$20,14,false)*HLOOKUP($K242,'Type Chart'!$C$2:$U$20,14,false)</f>
        <v>0.5</v>
      </c>
      <c r="AH242" s="960">
        <f t="array" ref="AH242">HLOOKUP($J242,'Type Chart'!$C$2:$T$20,15,false)*HLOOKUP($K242,'Type Chart'!$C$2:$U$20,15,false)</f>
        <v>1</v>
      </c>
      <c r="AI242" s="960">
        <f t="array" ref="AI242">HLOOKUP($J242,'Type Chart'!$C$2:$T$20,16,false)*HLOOKUP($K242,'Type Chart'!$C$2:$U$20,16,false)</f>
        <v>1</v>
      </c>
      <c r="AJ242" s="960">
        <f t="array" ref="AJ242">HLOOKUP($J242,'Type Chart'!$C$2:$T$20,17,false)*HLOOKUP($K242,'Type Chart'!$C$2:$U$20,17,false)</f>
        <v>1</v>
      </c>
      <c r="AK242" s="960">
        <f t="array" ref="AK242">HLOOKUP($J242,'Type Chart'!$C$2:$T$20,18,false)*HLOOKUP($K242,'Type Chart'!$C$2:$U$20,18,false)</f>
        <v>1</v>
      </c>
      <c r="AL242" s="960">
        <f t="array" ref="AL242">HLOOKUP($J242,'Type Chart'!$C$2:$T$20,19,false)*HLOOKUP($K242,'Type Chart'!$C$2:$U$20,19,false)</f>
        <v>1</v>
      </c>
      <c r="AM242" s="964" t="s">
        <v>1067</v>
      </c>
      <c r="AN242" s="965"/>
      <c r="AO242" s="966" t="s">
        <v>1068</v>
      </c>
      <c r="AP242" s="936"/>
      <c r="AQ242" s="967"/>
      <c r="AR242" s="968"/>
      <c r="AS242" s="936"/>
    </row>
    <row r="243" ht="15.75" customHeight="1">
      <c r="A243" s="936"/>
      <c r="B243" s="948" t="s">
        <v>1736</v>
      </c>
      <c r="C243" s="950" t="s">
        <v>1737</v>
      </c>
      <c r="D243" s="950" t="s">
        <v>1737</v>
      </c>
      <c r="E243" s="952" t="s">
        <v>1737</v>
      </c>
      <c r="F243" s="940"/>
      <c r="G243" s="953"/>
      <c r="H243" s="969"/>
      <c r="I243" s="956" t="s">
        <v>1738</v>
      </c>
      <c r="J243" s="1207" t="s">
        <v>127</v>
      </c>
      <c r="K243" s="984" t="s">
        <v>216</v>
      </c>
      <c r="L243" s="959">
        <v>50.0</v>
      </c>
      <c r="M243" s="960">
        <v>25.0</v>
      </c>
      <c r="N243" s="960">
        <v>28.0</v>
      </c>
      <c r="O243" s="960">
        <v>45.0</v>
      </c>
      <c r="P243" s="960">
        <v>55.0</v>
      </c>
      <c r="Q243" s="960">
        <v>15.0</v>
      </c>
      <c r="R243" s="960">
        <v>66.0</v>
      </c>
      <c r="S243" s="960">
        <v>129.0</v>
      </c>
      <c r="T243" s="960">
        <v>141.0</v>
      </c>
      <c r="U243" s="960">
        <f t="array" ref="U243">HLOOKUP($J243,'Type Chart'!$C$2:$T$20,2,false)*HLOOKUP($K243,'Type Chart'!$C$2:$U$20,2,false)</f>
        <v>1</v>
      </c>
      <c r="V243" s="960">
        <f t="array" ref="V243">HLOOKUP($J243,'Type Chart'!$C$2:$T$20,3,false)*HLOOKUP($K243,'Type Chart'!$C$2:$U$20,3,false)</f>
        <v>0.5</v>
      </c>
      <c r="W243" s="960">
        <f t="array" ref="W243">HLOOKUP($J243,'Type Chart'!$C$2:$T$20,4,false)*HLOOKUP($K243,'Type Chart'!$C$2:$U$20,4,false)</f>
        <v>1</v>
      </c>
      <c r="X243" s="960">
        <f t="array" ref="X243">HLOOKUP($J243,'Type Chart'!$C$2:$T$20,5,false)*HLOOKUP($K243,'Type Chart'!$C$2:$U$20,5,false)</f>
        <v>2</v>
      </c>
      <c r="Y243" s="960">
        <f t="array" ref="Y243">HLOOKUP($J243,'Type Chart'!$C$2:$T$20,6,false)*HLOOKUP($K243,'Type Chart'!$C$2:$U$20,6,false)</f>
        <v>1</v>
      </c>
      <c r="Z243" s="960">
        <f t="array" ref="Z243">HLOOKUP($J243,'Type Chart'!$C$2:$T$20,7,false)*HLOOKUP($K243,'Type Chart'!$C$2:$U$20,7,false)</f>
        <v>1</v>
      </c>
      <c r="AA243" s="960">
        <f t="array" ref="AA243">HLOOKUP($J243,'Type Chart'!$C$2:$T$20,8,false)*HLOOKUP($K243,'Type Chart'!$C$2:$U$20,8,false)</f>
        <v>0.5</v>
      </c>
      <c r="AB243" s="960">
        <f t="array" ref="AB243">HLOOKUP($J243,'Type Chart'!$C$2:$T$20,9,false)*HLOOKUP($K243,'Type Chart'!$C$2:$U$20,9,false)</f>
        <v>1</v>
      </c>
      <c r="AC243" s="960">
        <f t="array" ref="AC243">HLOOKUP($J243,'Type Chart'!$C$2:$T$20,10,false)*HLOOKUP($K243,'Type Chart'!$C$2:$U$20,10,false)</f>
        <v>2</v>
      </c>
      <c r="AD243" s="960">
        <f t="array" ref="AD243">HLOOKUP($J243,'Type Chart'!$C$2:$T$20,11,false)*HLOOKUP($K243,'Type Chart'!$C$2:$U$20,11,false)</f>
        <v>1</v>
      </c>
      <c r="AE243" s="960">
        <f t="array" ref="AE243">HLOOKUP($J243,'Type Chart'!$C$2:$T$20,12,false)*HLOOKUP($K243,'Type Chart'!$C$2:$U$20,12,false)</f>
        <v>1</v>
      </c>
      <c r="AF243" s="960">
        <f t="array" ref="AF243">HLOOKUP($J243,'Type Chart'!$C$2:$T$20,13,false)*HLOOKUP($K243,'Type Chart'!$C$2:$U$20,13,false)</f>
        <v>1</v>
      </c>
      <c r="AG243" s="960">
        <f t="array" ref="AG243">HLOOKUP($J243,'Type Chart'!$C$2:$T$20,14,false)*HLOOKUP($K243,'Type Chart'!$C$2:$U$20,14,false)</f>
        <v>1</v>
      </c>
      <c r="AH243" s="960">
        <f t="array" ref="AH243">HLOOKUP($J243,'Type Chart'!$C$2:$T$20,15,false)*HLOOKUP($K243,'Type Chart'!$C$2:$U$20,15,false)</f>
        <v>1</v>
      </c>
      <c r="AI243" s="960">
        <f t="array" ref="AI243">HLOOKUP($J243,'Type Chart'!$C$2:$T$20,16,false)*HLOOKUP($K243,'Type Chart'!$C$2:$U$20,16,false)</f>
        <v>1</v>
      </c>
      <c r="AJ243" s="960">
        <f t="array" ref="AJ243">HLOOKUP($J243,'Type Chart'!$C$2:$T$20,17,false)*HLOOKUP($K243,'Type Chart'!$C$2:$U$20,17,false)</f>
        <v>0</v>
      </c>
      <c r="AK243" s="960">
        <f t="array" ref="AK243">HLOOKUP($J243,'Type Chart'!$C$2:$T$20,18,false)*HLOOKUP($K243,'Type Chart'!$C$2:$U$20,18,false)</f>
        <v>0.5</v>
      </c>
      <c r="AL243" s="960">
        <f t="array" ref="AL243">HLOOKUP($J243,'Type Chart'!$C$2:$T$20,19,false)*HLOOKUP($K243,'Type Chart'!$C$2:$U$20,19,false)</f>
        <v>1</v>
      </c>
      <c r="AM243" s="964" t="s">
        <v>1165</v>
      </c>
      <c r="AN243" s="965" t="s">
        <v>1166</v>
      </c>
      <c r="AO243" s="966" t="s">
        <v>1167</v>
      </c>
      <c r="AP243" s="936"/>
      <c r="AQ243" s="967"/>
      <c r="AR243" s="968"/>
      <c r="AS243" s="936"/>
    </row>
    <row r="244" ht="15.75" customHeight="1">
      <c r="A244" s="936"/>
      <c r="B244" s="948" t="s">
        <v>1739</v>
      </c>
      <c r="C244" s="950" t="s">
        <v>1740</v>
      </c>
      <c r="D244" s="950" t="s">
        <v>1740</v>
      </c>
      <c r="E244" s="952" t="s">
        <v>1740</v>
      </c>
      <c r="F244" s="940"/>
      <c r="G244" s="953"/>
      <c r="H244" s="969"/>
      <c r="I244" s="956" t="s">
        <v>1741</v>
      </c>
      <c r="J244" s="1194" t="s">
        <v>136</v>
      </c>
      <c r="K244" s="1207" t="s">
        <v>127</v>
      </c>
      <c r="L244" s="959">
        <v>90.0</v>
      </c>
      <c r="M244" s="960">
        <v>30.0</v>
      </c>
      <c r="N244" s="960">
        <v>15.0</v>
      </c>
      <c r="O244" s="960">
        <v>40.0</v>
      </c>
      <c r="P244" s="960">
        <v>20.0</v>
      </c>
      <c r="Q244" s="960">
        <v>15.0</v>
      </c>
      <c r="R244" s="960">
        <v>66.0</v>
      </c>
      <c r="S244" s="960">
        <v>129.0</v>
      </c>
      <c r="T244" s="960">
        <v>141.0</v>
      </c>
      <c r="U244" s="960">
        <f t="array" ref="U244">HLOOKUP($J244,'Type Chart'!$C$2:$T$20,2,false)*HLOOKUP($K244,'Type Chart'!$C$2:$U$20,2,false)</f>
        <v>1</v>
      </c>
      <c r="V244" s="960">
        <f t="array" ref="V244">HLOOKUP($J244,'Type Chart'!$C$2:$T$20,3,false)*HLOOKUP($K244,'Type Chart'!$C$2:$U$20,3,false)</f>
        <v>1</v>
      </c>
      <c r="W244" s="960">
        <f t="array" ref="W244">HLOOKUP($J244,'Type Chart'!$C$2:$T$20,4,false)*HLOOKUP($K244,'Type Chart'!$C$2:$U$20,4,false)</f>
        <v>1</v>
      </c>
      <c r="X244" s="960">
        <f t="array" ref="X244">HLOOKUP($J244,'Type Chart'!$C$2:$T$20,5,false)*HLOOKUP($K244,'Type Chart'!$C$2:$U$20,5,false)</f>
        <v>2</v>
      </c>
      <c r="Y244" s="960">
        <f t="array" ref="Y244">HLOOKUP($J244,'Type Chart'!$C$2:$T$20,6,false)*HLOOKUP($K244,'Type Chart'!$C$2:$U$20,6,false)</f>
        <v>1</v>
      </c>
      <c r="Z244" s="960">
        <f t="array" ref="Z244">HLOOKUP($J244,'Type Chart'!$C$2:$T$20,7,false)*HLOOKUP($K244,'Type Chart'!$C$2:$U$20,7,false)</f>
        <v>1</v>
      </c>
      <c r="AA244" s="960">
        <f t="array" ref="AA244">HLOOKUP($J244,'Type Chart'!$C$2:$T$20,8,false)*HLOOKUP($K244,'Type Chart'!$C$2:$U$20,8,false)</f>
        <v>0.5</v>
      </c>
      <c r="AB244" s="960">
        <f t="array" ref="AB244">HLOOKUP($J244,'Type Chart'!$C$2:$T$20,9,false)*HLOOKUP($K244,'Type Chart'!$C$2:$U$20,9,false)</f>
        <v>0</v>
      </c>
      <c r="AC244" s="960">
        <f t="array" ref="AC244">HLOOKUP($J244,'Type Chart'!$C$2:$T$20,10,false)*HLOOKUP($K244,'Type Chart'!$C$2:$U$20,10,false)</f>
        <v>2</v>
      </c>
      <c r="AD244" s="960">
        <f t="array" ref="AD244">HLOOKUP($J244,'Type Chart'!$C$2:$T$20,11,false)*HLOOKUP($K244,'Type Chart'!$C$2:$U$20,11,false)</f>
        <v>1</v>
      </c>
      <c r="AE244" s="960">
        <f t="array" ref="AE244">HLOOKUP($J244,'Type Chart'!$C$2:$T$20,12,false)*HLOOKUP($K244,'Type Chart'!$C$2:$U$20,12,false)</f>
        <v>1</v>
      </c>
      <c r="AF244" s="960">
        <f t="array" ref="AF244">HLOOKUP($J244,'Type Chart'!$C$2:$T$20,13,false)*HLOOKUP($K244,'Type Chart'!$C$2:$U$20,13,false)</f>
        <v>1</v>
      </c>
      <c r="AG244" s="960">
        <f t="array" ref="AG244">HLOOKUP($J244,'Type Chart'!$C$2:$T$20,14,false)*HLOOKUP($K244,'Type Chart'!$C$2:$U$20,14,false)</f>
        <v>1</v>
      </c>
      <c r="AH244" s="960">
        <f t="array" ref="AH244">HLOOKUP($J244,'Type Chart'!$C$2:$T$20,15,false)*HLOOKUP($K244,'Type Chart'!$C$2:$U$20,15,false)</f>
        <v>1</v>
      </c>
      <c r="AI244" s="960">
        <f t="array" ref="AI244">HLOOKUP($J244,'Type Chart'!$C$2:$T$20,16,false)*HLOOKUP($K244,'Type Chart'!$C$2:$U$20,16,false)</f>
        <v>1</v>
      </c>
      <c r="AJ244" s="960">
        <f t="array" ref="AJ244">HLOOKUP($J244,'Type Chart'!$C$2:$T$20,17,false)*HLOOKUP($K244,'Type Chart'!$C$2:$U$20,17,false)</f>
        <v>0</v>
      </c>
      <c r="AK244" s="960">
        <f t="array" ref="AK244">HLOOKUP($J244,'Type Chart'!$C$2:$T$20,18,false)*HLOOKUP($K244,'Type Chart'!$C$2:$U$20,18,false)</f>
        <v>0.5</v>
      </c>
      <c r="AL244" s="960">
        <f t="array" ref="AL244">HLOOKUP($J244,'Type Chart'!$C$2:$T$20,19,false)*HLOOKUP($K244,'Type Chart'!$C$2:$U$20,19,false)</f>
        <v>1</v>
      </c>
      <c r="AM244" s="964" t="s">
        <v>1165</v>
      </c>
      <c r="AN244" s="965" t="s">
        <v>1185</v>
      </c>
      <c r="AO244" s="966" t="s">
        <v>1167</v>
      </c>
      <c r="AP244" s="936"/>
      <c r="AQ244" s="967"/>
      <c r="AR244" s="968"/>
      <c r="AS244" s="936"/>
    </row>
    <row r="245" ht="15.75" customHeight="1">
      <c r="A245" s="936"/>
      <c r="B245" s="948" t="s">
        <v>1742</v>
      </c>
      <c r="C245" s="950" t="s">
        <v>1743</v>
      </c>
      <c r="D245" s="950" t="s">
        <v>1743</v>
      </c>
      <c r="E245" s="952" t="s">
        <v>1743</v>
      </c>
      <c r="F245" s="940"/>
      <c r="G245" s="953"/>
      <c r="H245" s="969"/>
      <c r="I245" s="998" t="s">
        <v>1744</v>
      </c>
      <c r="J245" s="1207" t="s">
        <v>127</v>
      </c>
      <c r="K245" s="984" t="s">
        <v>216</v>
      </c>
      <c r="L245" s="959">
        <v>35.0</v>
      </c>
      <c r="M245" s="960">
        <v>20.0</v>
      </c>
      <c r="N245" s="960">
        <v>65.0</v>
      </c>
      <c r="O245" s="960">
        <v>40.0</v>
      </c>
      <c r="P245" s="960">
        <v>65.0</v>
      </c>
      <c r="Q245" s="960">
        <v>20.0</v>
      </c>
      <c r="R245" s="960">
        <v>76.0</v>
      </c>
      <c r="S245" s="960">
        <v>139.0</v>
      </c>
      <c r="T245" s="960">
        <v>152.0</v>
      </c>
      <c r="U245" s="960">
        <f t="array" ref="U245">HLOOKUP($J245,'Type Chart'!$C$2:$T$20,2,false)*HLOOKUP($K245,'Type Chart'!$C$2:$U$20,2,false)</f>
        <v>1</v>
      </c>
      <c r="V245" s="960">
        <f t="array" ref="V245">HLOOKUP($J245,'Type Chart'!$C$2:$T$20,3,false)*HLOOKUP($K245,'Type Chart'!$C$2:$U$20,3,false)</f>
        <v>0.5</v>
      </c>
      <c r="W245" s="960">
        <f t="array" ref="W245">HLOOKUP($J245,'Type Chart'!$C$2:$T$20,4,false)*HLOOKUP($K245,'Type Chart'!$C$2:$U$20,4,false)</f>
        <v>1</v>
      </c>
      <c r="X245" s="960">
        <f t="array" ref="X245">HLOOKUP($J245,'Type Chart'!$C$2:$T$20,5,false)*HLOOKUP($K245,'Type Chart'!$C$2:$U$20,5,false)</f>
        <v>2</v>
      </c>
      <c r="Y245" s="960">
        <f t="array" ref="Y245">HLOOKUP($J245,'Type Chart'!$C$2:$T$20,6,false)*HLOOKUP($K245,'Type Chart'!$C$2:$U$20,6,false)</f>
        <v>1</v>
      </c>
      <c r="Z245" s="960">
        <f t="array" ref="Z245">HLOOKUP($J245,'Type Chart'!$C$2:$T$20,7,false)*HLOOKUP($K245,'Type Chart'!$C$2:$U$20,7,false)</f>
        <v>1</v>
      </c>
      <c r="AA245" s="960">
        <f t="array" ref="AA245">HLOOKUP($J245,'Type Chart'!$C$2:$T$20,8,false)*HLOOKUP($K245,'Type Chart'!$C$2:$U$20,8,false)</f>
        <v>0.5</v>
      </c>
      <c r="AB245" s="960">
        <f t="array" ref="AB245">HLOOKUP($J245,'Type Chart'!$C$2:$T$20,9,false)*HLOOKUP($K245,'Type Chart'!$C$2:$U$20,9,false)</f>
        <v>1</v>
      </c>
      <c r="AC245" s="960">
        <f t="array" ref="AC245">HLOOKUP($J245,'Type Chart'!$C$2:$T$20,10,false)*HLOOKUP($K245,'Type Chart'!$C$2:$U$20,10,false)</f>
        <v>2</v>
      </c>
      <c r="AD245" s="960">
        <f t="array" ref="AD245">HLOOKUP($J245,'Type Chart'!$C$2:$T$20,11,false)*HLOOKUP($K245,'Type Chart'!$C$2:$U$20,11,false)</f>
        <v>1</v>
      </c>
      <c r="AE245" s="960">
        <f t="array" ref="AE245">HLOOKUP($J245,'Type Chart'!$C$2:$T$20,12,false)*HLOOKUP($K245,'Type Chart'!$C$2:$U$20,12,false)</f>
        <v>1</v>
      </c>
      <c r="AF245" s="960">
        <f t="array" ref="AF245">HLOOKUP($J245,'Type Chart'!$C$2:$T$20,13,false)*HLOOKUP($K245,'Type Chart'!$C$2:$U$20,13,false)</f>
        <v>1</v>
      </c>
      <c r="AG245" s="960">
        <f t="array" ref="AG245">HLOOKUP($J245,'Type Chart'!$C$2:$T$20,14,false)*HLOOKUP($K245,'Type Chart'!$C$2:$U$20,14,false)</f>
        <v>1</v>
      </c>
      <c r="AH245" s="960">
        <f t="array" ref="AH245">HLOOKUP($J245,'Type Chart'!$C$2:$T$20,15,false)*HLOOKUP($K245,'Type Chart'!$C$2:$U$20,15,false)</f>
        <v>1</v>
      </c>
      <c r="AI245" s="960">
        <f t="array" ref="AI245">HLOOKUP($J245,'Type Chart'!$C$2:$T$20,16,false)*HLOOKUP($K245,'Type Chart'!$C$2:$U$20,16,false)</f>
        <v>1</v>
      </c>
      <c r="AJ245" s="960">
        <f t="array" ref="AJ245">HLOOKUP($J245,'Type Chart'!$C$2:$T$20,17,false)*HLOOKUP($K245,'Type Chart'!$C$2:$U$20,17,false)</f>
        <v>0</v>
      </c>
      <c r="AK245" s="960">
        <f t="array" ref="AK245">HLOOKUP($J245,'Type Chart'!$C$2:$T$20,18,false)*HLOOKUP($K245,'Type Chart'!$C$2:$U$20,18,false)</f>
        <v>0.5</v>
      </c>
      <c r="AL245" s="960">
        <f t="array" ref="AL245">HLOOKUP($J245,'Type Chart'!$C$2:$T$20,19,false)*HLOOKUP($K245,'Type Chart'!$C$2:$U$20,19,false)</f>
        <v>1</v>
      </c>
      <c r="AM245" s="964" t="s">
        <v>1039</v>
      </c>
      <c r="AN245" s="965" t="s">
        <v>1521</v>
      </c>
      <c r="AO245" s="966" t="s">
        <v>1745</v>
      </c>
      <c r="AP245" s="936"/>
      <c r="AQ245" s="967"/>
      <c r="AR245" s="968"/>
      <c r="AS245" s="936"/>
    </row>
    <row r="246" ht="15.75" customHeight="1">
      <c r="A246" s="936"/>
      <c r="B246" s="948" t="s">
        <v>1746</v>
      </c>
      <c r="C246" s="950" t="s">
        <v>1747</v>
      </c>
      <c r="D246" s="950" t="s">
        <v>1747</v>
      </c>
      <c r="E246" s="952" t="s">
        <v>1747</v>
      </c>
      <c r="F246" s="940"/>
      <c r="G246" s="953"/>
      <c r="H246" s="969"/>
      <c r="I246" s="956" t="s">
        <v>1748</v>
      </c>
      <c r="J246" s="1207" t="s">
        <v>127</v>
      </c>
      <c r="K246" s="1001" t="s">
        <v>128</v>
      </c>
      <c r="L246" s="959">
        <v>55.0</v>
      </c>
      <c r="M246" s="960">
        <v>40.0</v>
      </c>
      <c r="N246" s="960">
        <v>85.0</v>
      </c>
      <c r="O246" s="960">
        <v>80.0</v>
      </c>
      <c r="P246" s="960">
        <v>105.0</v>
      </c>
      <c r="Q246" s="960">
        <v>40.0</v>
      </c>
      <c r="R246" s="960">
        <v>116.0</v>
      </c>
      <c r="S246" s="960">
        <v>179.0</v>
      </c>
      <c r="T246" s="960">
        <v>196.0</v>
      </c>
      <c r="U246" s="960">
        <f t="array" ref="U246">HLOOKUP($J246,'Type Chart'!$C$2:$T$20,2,false)*HLOOKUP($K246,'Type Chart'!$C$2:$U$20,2,false)</f>
        <v>1</v>
      </c>
      <c r="V246" s="960">
        <f t="array" ref="V246">HLOOKUP($J246,'Type Chart'!$C$2:$T$20,3,false)*HLOOKUP($K246,'Type Chart'!$C$2:$U$20,3,false)</f>
        <v>0.25</v>
      </c>
      <c r="W246" s="960">
        <f t="array" ref="W246">HLOOKUP($J246,'Type Chart'!$C$2:$T$20,4,false)*HLOOKUP($K246,'Type Chart'!$C$2:$U$20,4,false)</f>
        <v>1</v>
      </c>
      <c r="X246" s="960">
        <f t="array" ref="X246">HLOOKUP($J246,'Type Chart'!$C$2:$T$20,5,false)*HLOOKUP($K246,'Type Chart'!$C$2:$U$20,5,false)</f>
        <v>2</v>
      </c>
      <c r="Y246" s="960">
        <f t="array" ref="Y246">HLOOKUP($J246,'Type Chart'!$C$2:$T$20,6,false)*HLOOKUP($K246,'Type Chart'!$C$2:$U$20,6,false)</f>
        <v>0</v>
      </c>
      <c r="Z246" s="960">
        <f t="array" ref="Z246">HLOOKUP($J246,'Type Chart'!$C$2:$T$20,7,false)*HLOOKUP($K246,'Type Chart'!$C$2:$U$20,7,false)</f>
        <v>2</v>
      </c>
      <c r="AA246" s="960">
        <f t="array" ref="AA246">HLOOKUP($J246,'Type Chart'!$C$2:$T$20,8,false)*HLOOKUP($K246,'Type Chart'!$C$2:$U$20,8,false)</f>
        <v>0.25</v>
      </c>
      <c r="AB246" s="960">
        <f t="array" ref="AB246">HLOOKUP($J246,'Type Chart'!$C$2:$T$20,9,false)*HLOOKUP($K246,'Type Chart'!$C$2:$U$20,9,false)</f>
        <v>1</v>
      </c>
      <c r="AC246" s="960">
        <f t="array" ref="AC246">HLOOKUP($J246,'Type Chart'!$C$2:$T$20,10,false)*HLOOKUP($K246,'Type Chart'!$C$2:$U$20,10,false)</f>
        <v>2</v>
      </c>
      <c r="AD246" s="960">
        <f t="array" ref="AD246">HLOOKUP($J246,'Type Chart'!$C$2:$T$20,11,false)*HLOOKUP($K246,'Type Chart'!$C$2:$U$20,11,false)</f>
        <v>1</v>
      </c>
      <c r="AE246" s="960">
        <f t="array" ref="AE246">HLOOKUP($J246,'Type Chart'!$C$2:$T$20,12,false)*HLOOKUP($K246,'Type Chart'!$C$2:$U$20,12,false)</f>
        <v>1</v>
      </c>
      <c r="AF246" s="960">
        <f t="array" ref="AF246">HLOOKUP($J246,'Type Chart'!$C$2:$T$20,13,false)*HLOOKUP($K246,'Type Chart'!$C$2:$U$20,13,false)</f>
        <v>0.5</v>
      </c>
      <c r="AG246" s="960">
        <f t="array" ref="AG246">HLOOKUP($J246,'Type Chart'!$C$2:$T$20,14,false)*HLOOKUP($K246,'Type Chart'!$C$2:$U$20,14,false)</f>
        <v>2</v>
      </c>
      <c r="AH246" s="960">
        <f t="array" ref="AH246">HLOOKUP($J246,'Type Chart'!$C$2:$T$20,15,false)*HLOOKUP($K246,'Type Chart'!$C$2:$U$20,15,false)</f>
        <v>1</v>
      </c>
      <c r="AI246" s="960">
        <f t="array" ref="AI246">HLOOKUP($J246,'Type Chart'!$C$2:$T$20,16,false)*HLOOKUP($K246,'Type Chart'!$C$2:$U$20,16,false)</f>
        <v>2</v>
      </c>
      <c r="AJ246" s="960">
        <f t="array" ref="AJ246">HLOOKUP($J246,'Type Chart'!$C$2:$T$20,17,false)*HLOOKUP($K246,'Type Chart'!$C$2:$U$20,17,false)</f>
        <v>0</v>
      </c>
      <c r="AK246" s="960">
        <f t="array" ref="AK246">HLOOKUP($J246,'Type Chart'!$C$2:$T$20,18,false)*HLOOKUP($K246,'Type Chart'!$C$2:$U$20,18,false)</f>
        <v>0.5</v>
      </c>
      <c r="AL246" s="960">
        <f t="array" ref="AL246">HLOOKUP($J246,'Type Chart'!$C$2:$T$20,19,false)*HLOOKUP($K246,'Type Chart'!$C$2:$U$20,19,false)</f>
        <v>1</v>
      </c>
      <c r="AM246" s="964" t="s">
        <v>1039</v>
      </c>
      <c r="AN246" s="965" t="s">
        <v>1521</v>
      </c>
      <c r="AO246" s="966" t="s">
        <v>1745</v>
      </c>
      <c r="AP246" s="936"/>
      <c r="AQ246" s="967"/>
      <c r="AR246" s="968"/>
      <c r="AS246" s="936"/>
    </row>
    <row r="247" ht="15.75" customHeight="1">
      <c r="A247" s="936"/>
      <c r="B247" s="948" t="s">
        <v>1749</v>
      </c>
      <c r="C247" s="950" t="s">
        <v>1750</v>
      </c>
      <c r="D247" s="950" t="s">
        <v>1750</v>
      </c>
      <c r="E247" s="952" t="s">
        <v>1750</v>
      </c>
      <c r="F247" s="940"/>
      <c r="G247" s="953"/>
      <c r="H247" s="969"/>
      <c r="I247" s="956" t="s">
        <v>1751</v>
      </c>
      <c r="J247" s="1203" t="s">
        <v>344</v>
      </c>
      <c r="K247" s="1001" t="s">
        <v>128</v>
      </c>
      <c r="L247" s="959">
        <v>40.0</v>
      </c>
      <c r="M247" s="960">
        <v>50.0</v>
      </c>
      <c r="N247" s="960">
        <v>45.0</v>
      </c>
      <c r="O247" s="960">
        <v>70.0</v>
      </c>
      <c r="P247" s="960">
        <v>45.0</v>
      </c>
      <c r="Q247" s="960">
        <v>70.0</v>
      </c>
      <c r="R247" s="960">
        <v>176.0</v>
      </c>
      <c r="S247" s="960">
        <v>239.0</v>
      </c>
      <c r="T247" s="960">
        <v>262.0</v>
      </c>
      <c r="U247" s="960">
        <f t="array" ref="U247">HLOOKUP($J247,'Type Chart'!$C$2:$T$20,2,false)*HLOOKUP($K247,'Type Chart'!$C$2:$U$20,2,false)</f>
        <v>1</v>
      </c>
      <c r="V247" s="960">
        <f t="array" ref="V247">HLOOKUP($J247,'Type Chart'!$C$2:$T$20,3,false)*HLOOKUP($K247,'Type Chart'!$C$2:$U$20,3,false)</f>
        <v>0.25</v>
      </c>
      <c r="W247" s="960">
        <f t="array" ref="W247">HLOOKUP($J247,'Type Chart'!$C$2:$T$20,4,false)*HLOOKUP($K247,'Type Chart'!$C$2:$U$20,4,false)</f>
        <v>1</v>
      </c>
      <c r="X247" s="960">
        <f t="array" ref="X247">HLOOKUP($J247,'Type Chart'!$C$2:$T$20,5,false)*HLOOKUP($K247,'Type Chart'!$C$2:$U$20,5,false)</f>
        <v>1</v>
      </c>
      <c r="Y247" s="960">
        <f t="array" ref="Y247">HLOOKUP($J247,'Type Chart'!$C$2:$T$20,6,false)*HLOOKUP($K247,'Type Chart'!$C$2:$U$20,6,false)</f>
        <v>0</v>
      </c>
      <c r="Z247" s="960">
        <f t="array" ref="Z247">HLOOKUP($J247,'Type Chart'!$C$2:$T$20,7,false)*HLOOKUP($K247,'Type Chart'!$C$2:$U$20,7,false)</f>
        <v>2</v>
      </c>
      <c r="AA247" s="960">
        <f t="array" ref="AA247">HLOOKUP($J247,'Type Chart'!$C$2:$T$20,8,false)*HLOOKUP($K247,'Type Chart'!$C$2:$U$20,8,false)</f>
        <v>1</v>
      </c>
      <c r="AB247" s="960">
        <f t="array" ref="AB247">HLOOKUP($J247,'Type Chart'!$C$2:$T$20,9,false)*HLOOKUP($K247,'Type Chart'!$C$2:$U$20,9,false)</f>
        <v>2</v>
      </c>
      <c r="AC247" s="960">
        <f t="array" ref="AC247">HLOOKUP($J247,'Type Chart'!$C$2:$T$20,10,false)*HLOOKUP($K247,'Type Chart'!$C$2:$U$20,10,false)</f>
        <v>1</v>
      </c>
      <c r="AD247" s="960">
        <f t="array" ref="AD247">HLOOKUP($J247,'Type Chart'!$C$2:$T$20,11,false)*HLOOKUP($K247,'Type Chart'!$C$2:$U$20,11,false)</f>
        <v>1</v>
      </c>
      <c r="AE247" s="960">
        <f t="array" ref="AE247">HLOOKUP($J247,'Type Chart'!$C$2:$T$20,12,false)*HLOOKUP($K247,'Type Chart'!$C$2:$U$20,12,false)</f>
        <v>1</v>
      </c>
      <c r="AF247" s="960">
        <f t="array" ref="AF247">HLOOKUP($J247,'Type Chart'!$C$2:$T$20,13,false)*HLOOKUP($K247,'Type Chart'!$C$2:$U$20,13,false)</f>
        <v>0.5</v>
      </c>
      <c r="AG247" s="960">
        <f t="array" ref="AG247">HLOOKUP($J247,'Type Chart'!$C$2:$T$20,14,false)*HLOOKUP($K247,'Type Chart'!$C$2:$U$20,14,false)</f>
        <v>2</v>
      </c>
      <c r="AH247" s="960">
        <f t="array" ref="AH247">HLOOKUP($J247,'Type Chart'!$C$2:$T$20,15,false)*HLOOKUP($K247,'Type Chart'!$C$2:$U$20,15,false)</f>
        <v>0.5</v>
      </c>
      <c r="AI247" s="960">
        <f t="array" ref="AI247">HLOOKUP($J247,'Type Chart'!$C$2:$T$20,16,false)*HLOOKUP($K247,'Type Chart'!$C$2:$U$20,16,false)</f>
        <v>2</v>
      </c>
      <c r="AJ247" s="960">
        <f t="array" ref="AJ247">HLOOKUP($J247,'Type Chart'!$C$2:$T$20,17,false)*HLOOKUP($K247,'Type Chart'!$C$2:$U$20,17,false)</f>
        <v>1</v>
      </c>
      <c r="AK247" s="960">
        <f t="array" ref="AK247">HLOOKUP($J247,'Type Chart'!$C$2:$T$20,18,false)*HLOOKUP($K247,'Type Chart'!$C$2:$U$20,18,false)</f>
        <v>2</v>
      </c>
      <c r="AL247" s="960">
        <f t="array" ref="AL247">HLOOKUP($J247,'Type Chart'!$C$2:$T$20,19,false)*HLOOKUP($K247,'Type Chart'!$C$2:$U$20,19,false)</f>
        <v>1</v>
      </c>
      <c r="AM247" s="964" t="s">
        <v>1292</v>
      </c>
      <c r="AN247" s="965" t="s">
        <v>1403</v>
      </c>
      <c r="AO247" s="966" t="s">
        <v>1752</v>
      </c>
      <c r="AP247" s="936"/>
      <c r="AQ247" s="967"/>
      <c r="AR247" s="968"/>
      <c r="AS247" s="936"/>
    </row>
    <row r="248" ht="15.75" customHeight="1">
      <c r="A248" s="936"/>
      <c r="B248" s="948" t="s">
        <v>1753</v>
      </c>
      <c r="C248" s="950" t="s">
        <v>1754</v>
      </c>
      <c r="D248" s="950" t="s">
        <v>1754</v>
      </c>
      <c r="E248" s="952" t="s">
        <v>1754</v>
      </c>
      <c r="F248" s="940"/>
      <c r="G248" s="953"/>
      <c r="H248" s="969"/>
      <c r="I248" s="956" t="s">
        <v>1755</v>
      </c>
      <c r="J248" s="1203" t="s">
        <v>344</v>
      </c>
      <c r="K248" s="1001" t="s">
        <v>128</v>
      </c>
      <c r="L248" s="959">
        <v>65.0</v>
      </c>
      <c r="M248" s="960">
        <v>75.0</v>
      </c>
      <c r="N248" s="960">
        <v>70.0</v>
      </c>
      <c r="O248" s="960">
        <v>95.0</v>
      </c>
      <c r="P248" s="960">
        <v>70.0</v>
      </c>
      <c r="Q248" s="960">
        <v>95.0</v>
      </c>
      <c r="R248" s="960">
        <v>226.0</v>
      </c>
      <c r="S248" s="960">
        <v>289.0</v>
      </c>
      <c r="T248" s="960">
        <v>317.0</v>
      </c>
      <c r="U248" s="960">
        <f t="array" ref="U248">HLOOKUP($J248,'Type Chart'!$C$2:$T$20,2,false)*HLOOKUP($K248,'Type Chart'!$C$2:$U$20,2,false)</f>
        <v>1</v>
      </c>
      <c r="V248" s="960">
        <f t="array" ref="V248">HLOOKUP($J248,'Type Chart'!$C$2:$T$20,3,false)*HLOOKUP($K248,'Type Chart'!$C$2:$U$20,3,false)</f>
        <v>0.25</v>
      </c>
      <c r="W248" s="960">
        <f t="array" ref="W248">HLOOKUP($J248,'Type Chart'!$C$2:$T$20,4,false)*HLOOKUP($K248,'Type Chart'!$C$2:$U$20,4,false)</f>
        <v>1</v>
      </c>
      <c r="X248" s="960">
        <f t="array" ref="X248">HLOOKUP($J248,'Type Chart'!$C$2:$T$20,5,false)*HLOOKUP($K248,'Type Chart'!$C$2:$U$20,5,false)</f>
        <v>1</v>
      </c>
      <c r="Y248" s="960">
        <f t="array" ref="Y248">HLOOKUP($J248,'Type Chart'!$C$2:$T$20,6,false)*HLOOKUP($K248,'Type Chart'!$C$2:$U$20,6,false)</f>
        <v>0</v>
      </c>
      <c r="Z248" s="960">
        <f t="array" ref="Z248">HLOOKUP($J248,'Type Chart'!$C$2:$T$20,7,false)*HLOOKUP($K248,'Type Chart'!$C$2:$U$20,7,false)</f>
        <v>2</v>
      </c>
      <c r="AA248" s="960">
        <f t="array" ref="AA248">HLOOKUP($J248,'Type Chart'!$C$2:$T$20,8,false)*HLOOKUP($K248,'Type Chart'!$C$2:$U$20,8,false)</f>
        <v>1</v>
      </c>
      <c r="AB248" s="960">
        <f t="array" ref="AB248">HLOOKUP($J248,'Type Chart'!$C$2:$T$20,9,false)*HLOOKUP($K248,'Type Chart'!$C$2:$U$20,9,false)</f>
        <v>2</v>
      </c>
      <c r="AC248" s="960">
        <f t="array" ref="AC248">HLOOKUP($J248,'Type Chart'!$C$2:$T$20,10,false)*HLOOKUP($K248,'Type Chart'!$C$2:$U$20,10,false)</f>
        <v>1</v>
      </c>
      <c r="AD248" s="960">
        <f t="array" ref="AD248">HLOOKUP($J248,'Type Chart'!$C$2:$T$20,11,false)*HLOOKUP($K248,'Type Chart'!$C$2:$U$20,11,false)</f>
        <v>1</v>
      </c>
      <c r="AE248" s="960">
        <f t="array" ref="AE248">HLOOKUP($J248,'Type Chart'!$C$2:$T$20,12,false)*HLOOKUP($K248,'Type Chart'!$C$2:$U$20,12,false)</f>
        <v>1</v>
      </c>
      <c r="AF248" s="960">
        <f t="array" ref="AF248">HLOOKUP($J248,'Type Chart'!$C$2:$T$20,13,false)*HLOOKUP($K248,'Type Chart'!$C$2:$U$20,13,false)</f>
        <v>0.5</v>
      </c>
      <c r="AG248" s="960">
        <f t="array" ref="AG248">HLOOKUP($J248,'Type Chart'!$C$2:$T$20,14,false)*HLOOKUP($K248,'Type Chart'!$C$2:$U$20,14,false)</f>
        <v>2</v>
      </c>
      <c r="AH248" s="960">
        <f t="array" ref="AH248">HLOOKUP($J248,'Type Chart'!$C$2:$T$20,15,false)*HLOOKUP($K248,'Type Chart'!$C$2:$U$20,15,false)</f>
        <v>0.5</v>
      </c>
      <c r="AI248" s="960">
        <f t="array" ref="AI248">HLOOKUP($J248,'Type Chart'!$C$2:$T$20,16,false)*HLOOKUP($K248,'Type Chart'!$C$2:$U$20,16,false)</f>
        <v>2</v>
      </c>
      <c r="AJ248" s="960">
        <f t="array" ref="AJ248">HLOOKUP($J248,'Type Chart'!$C$2:$T$20,17,false)*HLOOKUP($K248,'Type Chart'!$C$2:$U$20,17,false)</f>
        <v>1</v>
      </c>
      <c r="AK248" s="960">
        <f t="array" ref="AK248">HLOOKUP($J248,'Type Chart'!$C$2:$T$20,18,false)*HLOOKUP($K248,'Type Chart'!$C$2:$U$20,18,false)</f>
        <v>2</v>
      </c>
      <c r="AL248" s="960">
        <f t="array" ref="AL248">HLOOKUP($J248,'Type Chart'!$C$2:$T$20,19,false)*HLOOKUP($K248,'Type Chart'!$C$2:$U$20,19,false)</f>
        <v>1</v>
      </c>
      <c r="AM248" s="964" t="s">
        <v>1292</v>
      </c>
      <c r="AN248" s="965" t="s">
        <v>1403</v>
      </c>
      <c r="AO248" s="966" t="s">
        <v>1752</v>
      </c>
      <c r="AP248" s="936"/>
      <c r="AQ248" s="967"/>
      <c r="AR248" s="968"/>
      <c r="AS248" s="936"/>
    </row>
    <row r="249" ht="15.75" customHeight="1">
      <c r="A249" s="936"/>
      <c r="B249" s="948" t="s">
        <v>1756</v>
      </c>
      <c r="C249" s="950" t="s">
        <v>1757</v>
      </c>
      <c r="D249" s="950" t="s">
        <v>1757</v>
      </c>
      <c r="E249" s="952" t="s">
        <v>1757</v>
      </c>
      <c r="F249" s="940"/>
      <c r="G249" s="953"/>
      <c r="H249" s="969"/>
      <c r="I249" s="956" t="s">
        <v>1758</v>
      </c>
      <c r="J249" s="1196" t="s">
        <v>203</v>
      </c>
      <c r="K249" s="984" t="s">
        <v>216</v>
      </c>
      <c r="L249" s="959">
        <v>55.0</v>
      </c>
      <c r="M249" s="960">
        <v>40.0</v>
      </c>
      <c r="N249" s="960">
        <v>40.0</v>
      </c>
      <c r="O249" s="960">
        <v>65.0</v>
      </c>
      <c r="P249" s="960">
        <v>45.0</v>
      </c>
      <c r="Q249" s="960">
        <v>35.0</v>
      </c>
      <c r="R249" s="960">
        <v>106.0</v>
      </c>
      <c r="S249" s="960">
        <v>169.0</v>
      </c>
      <c r="T249" s="960">
        <v>185.0</v>
      </c>
      <c r="U249" s="960">
        <f t="array" ref="U249">HLOOKUP($J249,'Type Chart'!$C$2:$T$20,2,false)*HLOOKUP($K249,'Type Chart'!$C$2:$U$20,2,false)</f>
        <v>1</v>
      </c>
      <c r="V249" s="960">
        <f t="array" ref="V249">HLOOKUP($J249,'Type Chart'!$C$2:$T$20,3,false)*HLOOKUP($K249,'Type Chart'!$C$2:$U$20,3,false)</f>
        <v>1</v>
      </c>
      <c r="W249" s="960">
        <f t="array" ref="W249">HLOOKUP($J249,'Type Chart'!$C$2:$T$20,4,false)*HLOOKUP($K249,'Type Chart'!$C$2:$U$20,4,false)</f>
        <v>0.5</v>
      </c>
      <c r="X249" s="960">
        <f t="array" ref="X249">HLOOKUP($J249,'Type Chart'!$C$2:$T$20,5,false)*HLOOKUP($K249,'Type Chart'!$C$2:$U$20,5,false)</f>
        <v>1</v>
      </c>
      <c r="Y249" s="960">
        <f t="array" ref="Y249">HLOOKUP($J249,'Type Chart'!$C$2:$T$20,6,false)*HLOOKUP($K249,'Type Chart'!$C$2:$U$20,6,false)</f>
        <v>2</v>
      </c>
      <c r="Z249" s="960">
        <f t="array" ref="Z249">HLOOKUP($J249,'Type Chart'!$C$2:$T$20,7,false)*HLOOKUP($K249,'Type Chart'!$C$2:$U$20,7,false)</f>
        <v>1</v>
      </c>
      <c r="AA249" s="960">
        <f t="array" ref="AA249">HLOOKUP($J249,'Type Chart'!$C$2:$T$20,8,false)*HLOOKUP($K249,'Type Chart'!$C$2:$U$20,8,false)</f>
        <v>1</v>
      </c>
      <c r="AB249" s="960">
        <f t="array" ref="AB249">HLOOKUP($J249,'Type Chart'!$C$2:$T$20,9,false)*HLOOKUP($K249,'Type Chart'!$C$2:$U$20,9,false)</f>
        <v>1</v>
      </c>
      <c r="AC249" s="960">
        <f t="array" ref="AC249">HLOOKUP($J249,'Type Chart'!$C$2:$T$20,10,false)*HLOOKUP($K249,'Type Chart'!$C$2:$U$20,10,false)</f>
        <v>0.5</v>
      </c>
      <c r="AD249" s="960">
        <f t="array" ref="AD249">HLOOKUP($J249,'Type Chart'!$C$2:$T$20,11,false)*HLOOKUP($K249,'Type Chart'!$C$2:$U$20,11,false)</f>
        <v>1</v>
      </c>
      <c r="AE249" s="960">
        <f t="array" ref="AE249">HLOOKUP($J249,'Type Chart'!$C$2:$T$20,12,false)*HLOOKUP($K249,'Type Chart'!$C$2:$U$20,12,false)</f>
        <v>1</v>
      </c>
      <c r="AF249" s="960">
        <f t="array" ref="AF249">HLOOKUP($J249,'Type Chart'!$C$2:$T$20,13,false)*HLOOKUP($K249,'Type Chart'!$C$2:$U$20,13,false)</f>
        <v>1</v>
      </c>
      <c r="AG249" s="960">
        <f t="array" ref="AG249">HLOOKUP($J249,'Type Chart'!$C$2:$T$20,14,false)*HLOOKUP($K249,'Type Chart'!$C$2:$U$20,14,false)</f>
        <v>0.5</v>
      </c>
      <c r="AH249" s="960">
        <f t="array" ref="AH249">HLOOKUP($J249,'Type Chart'!$C$2:$T$20,15,false)*HLOOKUP($K249,'Type Chart'!$C$2:$U$20,15,false)</f>
        <v>1</v>
      </c>
      <c r="AI249" s="960">
        <f t="array" ref="AI249">HLOOKUP($J249,'Type Chart'!$C$2:$T$20,16,false)*HLOOKUP($K249,'Type Chart'!$C$2:$U$20,16,false)</f>
        <v>1</v>
      </c>
      <c r="AJ249" s="960">
        <f t="array" ref="AJ249">HLOOKUP($J249,'Type Chart'!$C$2:$T$20,17,false)*HLOOKUP($K249,'Type Chart'!$C$2:$U$20,17,false)</f>
        <v>1</v>
      </c>
      <c r="AK249" s="960">
        <f t="array" ref="AK249">HLOOKUP($J249,'Type Chart'!$C$2:$T$20,18,false)*HLOOKUP($K249,'Type Chart'!$C$2:$U$20,18,false)</f>
        <v>1</v>
      </c>
      <c r="AL249" s="960">
        <f t="array" ref="AL249">HLOOKUP($J249,'Type Chart'!$C$2:$T$20,19,false)*HLOOKUP($K249,'Type Chart'!$C$2:$U$20,19,false)</f>
        <v>1</v>
      </c>
      <c r="AM249" s="964" t="s">
        <v>1067</v>
      </c>
      <c r="AN249" s="965"/>
      <c r="AO249" s="966" t="s">
        <v>1759</v>
      </c>
      <c r="AP249" s="936"/>
      <c r="AQ249" s="967"/>
      <c r="AR249" s="968"/>
      <c r="AS249" s="936"/>
    </row>
    <row r="250" ht="15.75" customHeight="1">
      <c r="A250" s="936"/>
      <c r="B250" s="948" t="s">
        <v>1760</v>
      </c>
      <c r="C250" s="950" t="s">
        <v>1761</v>
      </c>
      <c r="D250" s="950" t="s">
        <v>1761</v>
      </c>
      <c r="E250" s="952" t="s">
        <v>1761</v>
      </c>
      <c r="F250" s="940"/>
      <c r="G250" s="953"/>
      <c r="H250" s="969"/>
      <c r="I250" s="956" t="s">
        <v>824</v>
      </c>
      <c r="J250" s="1196" t="s">
        <v>203</v>
      </c>
      <c r="K250" s="984" t="s">
        <v>216</v>
      </c>
      <c r="L250" s="959">
        <v>70.0</v>
      </c>
      <c r="M250" s="960">
        <v>55.0</v>
      </c>
      <c r="N250" s="960">
        <v>55.0</v>
      </c>
      <c r="O250" s="960">
        <v>80.0</v>
      </c>
      <c r="P250" s="960">
        <v>60.0</v>
      </c>
      <c r="Q250" s="960">
        <v>45.0</v>
      </c>
      <c r="R250" s="960">
        <v>126.0</v>
      </c>
      <c r="S250" s="960">
        <v>189.0</v>
      </c>
      <c r="T250" s="960">
        <v>207.0</v>
      </c>
      <c r="U250" s="960">
        <f t="array" ref="U250">HLOOKUP($J250,'Type Chart'!$C$2:$T$20,2,false)*HLOOKUP($K250,'Type Chart'!$C$2:$U$20,2,false)</f>
        <v>1</v>
      </c>
      <c r="V250" s="960">
        <f t="array" ref="V250">HLOOKUP($J250,'Type Chart'!$C$2:$T$20,3,false)*HLOOKUP($K250,'Type Chart'!$C$2:$U$20,3,false)</f>
        <v>1</v>
      </c>
      <c r="W250" s="960">
        <f t="array" ref="W250">HLOOKUP($J250,'Type Chart'!$C$2:$T$20,4,false)*HLOOKUP($K250,'Type Chart'!$C$2:$U$20,4,false)</f>
        <v>0.5</v>
      </c>
      <c r="X250" s="960">
        <f t="array" ref="X250">HLOOKUP($J250,'Type Chart'!$C$2:$T$20,5,false)*HLOOKUP($K250,'Type Chart'!$C$2:$U$20,5,false)</f>
        <v>1</v>
      </c>
      <c r="Y250" s="960">
        <f t="array" ref="Y250">HLOOKUP($J250,'Type Chart'!$C$2:$T$20,6,false)*HLOOKUP($K250,'Type Chart'!$C$2:$U$20,6,false)</f>
        <v>2</v>
      </c>
      <c r="Z250" s="960">
        <f t="array" ref="Z250">HLOOKUP($J250,'Type Chart'!$C$2:$T$20,7,false)*HLOOKUP($K250,'Type Chart'!$C$2:$U$20,7,false)</f>
        <v>1</v>
      </c>
      <c r="AA250" s="960">
        <f t="array" ref="AA250">HLOOKUP($J250,'Type Chart'!$C$2:$T$20,8,false)*HLOOKUP($K250,'Type Chart'!$C$2:$U$20,8,false)</f>
        <v>1</v>
      </c>
      <c r="AB250" s="960">
        <f t="array" ref="AB250">HLOOKUP($J250,'Type Chart'!$C$2:$T$20,9,false)*HLOOKUP($K250,'Type Chart'!$C$2:$U$20,9,false)</f>
        <v>1</v>
      </c>
      <c r="AC250" s="960">
        <f t="array" ref="AC250">HLOOKUP($J250,'Type Chart'!$C$2:$T$20,10,false)*HLOOKUP($K250,'Type Chart'!$C$2:$U$20,10,false)</f>
        <v>0.5</v>
      </c>
      <c r="AD250" s="960">
        <f t="array" ref="AD250">HLOOKUP($J250,'Type Chart'!$C$2:$T$20,11,false)*HLOOKUP($K250,'Type Chart'!$C$2:$U$20,11,false)</f>
        <v>1</v>
      </c>
      <c r="AE250" s="960">
        <f t="array" ref="AE250">HLOOKUP($J250,'Type Chart'!$C$2:$T$20,12,false)*HLOOKUP($K250,'Type Chart'!$C$2:$U$20,12,false)</f>
        <v>1</v>
      </c>
      <c r="AF250" s="960">
        <f t="array" ref="AF250">HLOOKUP($J250,'Type Chart'!$C$2:$T$20,13,false)*HLOOKUP($K250,'Type Chart'!$C$2:$U$20,13,false)</f>
        <v>1</v>
      </c>
      <c r="AG250" s="960">
        <f t="array" ref="AG250">HLOOKUP($J250,'Type Chart'!$C$2:$T$20,14,false)*HLOOKUP($K250,'Type Chart'!$C$2:$U$20,14,false)</f>
        <v>0.5</v>
      </c>
      <c r="AH250" s="960">
        <f t="array" ref="AH250">HLOOKUP($J250,'Type Chart'!$C$2:$T$20,15,false)*HLOOKUP($K250,'Type Chart'!$C$2:$U$20,15,false)</f>
        <v>1</v>
      </c>
      <c r="AI250" s="960">
        <f t="array" ref="AI250">HLOOKUP($J250,'Type Chart'!$C$2:$T$20,16,false)*HLOOKUP($K250,'Type Chart'!$C$2:$U$20,16,false)</f>
        <v>1</v>
      </c>
      <c r="AJ250" s="960">
        <f t="array" ref="AJ250">HLOOKUP($J250,'Type Chart'!$C$2:$T$20,17,false)*HLOOKUP($K250,'Type Chart'!$C$2:$U$20,17,false)</f>
        <v>1</v>
      </c>
      <c r="AK250" s="960">
        <f t="array" ref="AK250">HLOOKUP($J250,'Type Chart'!$C$2:$T$20,18,false)*HLOOKUP($K250,'Type Chart'!$C$2:$U$20,18,false)</f>
        <v>1</v>
      </c>
      <c r="AL250" s="960">
        <f t="array" ref="AL250">HLOOKUP($J250,'Type Chart'!$C$2:$T$20,19,false)*HLOOKUP($K250,'Type Chart'!$C$2:$U$20,19,false)</f>
        <v>1</v>
      </c>
      <c r="AM250" s="964" t="s">
        <v>1067</v>
      </c>
      <c r="AN250" s="965"/>
      <c r="AO250" s="966" t="s">
        <v>1759</v>
      </c>
      <c r="AP250" s="936"/>
      <c r="AQ250" s="967"/>
      <c r="AR250" s="968"/>
      <c r="AS250" s="936"/>
    </row>
    <row r="251" ht="15.75" customHeight="1">
      <c r="A251" s="936"/>
      <c r="B251" s="948" t="s">
        <v>1762</v>
      </c>
      <c r="C251" s="950" t="s">
        <v>1763</v>
      </c>
      <c r="D251" s="950" t="s">
        <v>1763</v>
      </c>
      <c r="E251" s="952" t="s">
        <v>1763</v>
      </c>
      <c r="F251" s="940"/>
      <c r="G251" s="953"/>
      <c r="H251" s="969"/>
      <c r="I251" s="998" t="s">
        <v>741</v>
      </c>
      <c r="J251" s="1196" t="s">
        <v>203</v>
      </c>
      <c r="K251" s="984" t="s">
        <v>216</v>
      </c>
      <c r="L251" s="959">
        <v>90.0</v>
      </c>
      <c r="M251" s="960">
        <v>75.0</v>
      </c>
      <c r="N251" s="960">
        <v>85.0</v>
      </c>
      <c r="O251" s="960">
        <v>115.0</v>
      </c>
      <c r="P251" s="960">
        <v>90.0</v>
      </c>
      <c r="Q251" s="960">
        <v>55.0</v>
      </c>
      <c r="R251" s="960">
        <v>146.0</v>
      </c>
      <c r="S251" s="960">
        <v>209.0</v>
      </c>
      <c r="T251" s="960">
        <v>229.0</v>
      </c>
      <c r="U251" s="960">
        <f t="array" ref="U251">HLOOKUP($J251,'Type Chart'!$C$2:$T$20,2,false)*HLOOKUP($K251,'Type Chart'!$C$2:$U$20,2,false)</f>
        <v>1</v>
      </c>
      <c r="V251" s="960">
        <f t="array" ref="V251">HLOOKUP($J251,'Type Chart'!$C$2:$T$20,3,false)*HLOOKUP($K251,'Type Chart'!$C$2:$U$20,3,false)</f>
        <v>1</v>
      </c>
      <c r="W251" s="960">
        <f t="array" ref="W251">HLOOKUP($J251,'Type Chart'!$C$2:$T$20,4,false)*HLOOKUP($K251,'Type Chart'!$C$2:$U$20,4,false)</f>
        <v>0.5</v>
      </c>
      <c r="X251" s="960">
        <f t="array" ref="X251">HLOOKUP($J251,'Type Chart'!$C$2:$T$20,5,false)*HLOOKUP($K251,'Type Chart'!$C$2:$U$20,5,false)</f>
        <v>1</v>
      </c>
      <c r="Y251" s="960">
        <f t="array" ref="Y251">HLOOKUP($J251,'Type Chart'!$C$2:$T$20,6,false)*HLOOKUP($K251,'Type Chart'!$C$2:$U$20,6,false)</f>
        <v>2</v>
      </c>
      <c r="Z251" s="960">
        <f t="array" ref="Z251">HLOOKUP($J251,'Type Chart'!$C$2:$T$20,7,false)*HLOOKUP($K251,'Type Chart'!$C$2:$U$20,7,false)</f>
        <v>1</v>
      </c>
      <c r="AA251" s="960">
        <f t="array" ref="AA251">HLOOKUP($J251,'Type Chart'!$C$2:$T$20,8,false)*HLOOKUP($K251,'Type Chart'!$C$2:$U$20,8,false)</f>
        <v>1</v>
      </c>
      <c r="AB251" s="960">
        <f t="array" ref="AB251">HLOOKUP($J251,'Type Chart'!$C$2:$T$20,9,false)*HLOOKUP($K251,'Type Chart'!$C$2:$U$20,9,false)</f>
        <v>1</v>
      </c>
      <c r="AC251" s="960">
        <f t="array" ref="AC251">HLOOKUP($J251,'Type Chart'!$C$2:$T$20,10,false)*HLOOKUP($K251,'Type Chart'!$C$2:$U$20,10,false)</f>
        <v>0.5</v>
      </c>
      <c r="AD251" s="960">
        <f t="array" ref="AD251">HLOOKUP($J251,'Type Chart'!$C$2:$T$20,11,false)*HLOOKUP($K251,'Type Chart'!$C$2:$U$20,11,false)</f>
        <v>1</v>
      </c>
      <c r="AE251" s="960">
        <f t="array" ref="AE251">HLOOKUP($J251,'Type Chart'!$C$2:$T$20,12,false)*HLOOKUP($K251,'Type Chart'!$C$2:$U$20,12,false)</f>
        <v>1</v>
      </c>
      <c r="AF251" s="960">
        <f t="array" ref="AF251">HLOOKUP($J251,'Type Chart'!$C$2:$T$20,13,false)*HLOOKUP($K251,'Type Chart'!$C$2:$U$20,13,false)</f>
        <v>1</v>
      </c>
      <c r="AG251" s="960">
        <f t="array" ref="AG251">HLOOKUP($J251,'Type Chart'!$C$2:$T$20,14,false)*HLOOKUP($K251,'Type Chart'!$C$2:$U$20,14,false)</f>
        <v>0.5</v>
      </c>
      <c r="AH251" s="960">
        <f t="array" ref="AH251">HLOOKUP($J251,'Type Chart'!$C$2:$T$20,15,false)*HLOOKUP($K251,'Type Chart'!$C$2:$U$20,15,false)</f>
        <v>1</v>
      </c>
      <c r="AI251" s="960">
        <f t="array" ref="AI251">HLOOKUP($J251,'Type Chart'!$C$2:$T$20,16,false)*HLOOKUP($K251,'Type Chart'!$C$2:$U$20,16,false)</f>
        <v>1</v>
      </c>
      <c r="AJ251" s="960">
        <f t="array" ref="AJ251">HLOOKUP($J251,'Type Chart'!$C$2:$T$20,17,false)*HLOOKUP($K251,'Type Chart'!$C$2:$U$20,17,false)</f>
        <v>1</v>
      </c>
      <c r="AK251" s="960">
        <f t="array" ref="AK251">HLOOKUP($J251,'Type Chart'!$C$2:$T$20,18,false)*HLOOKUP($K251,'Type Chart'!$C$2:$U$20,18,false)</f>
        <v>1</v>
      </c>
      <c r="AL251" s="960">
        <f t="array" ref="AL251">HLOOKUP($J251,'Type Chart'!$C$2:$T$20,19,false)*HLOOKUP($K251,'Type Chart'!$C$2:$U$20,19,false)</f>
        <v>1</v>
      </c>
      <c r="AM251" s="964" t="s">
        <v>1067</v>
      </c>
      <c r="AN251" s="965"/>
      <c r="AO251" s="966" t="s">
        <v>1759</v>
      </c>
      <c r="AP251" s="936"/>
      <c r="AQ251" s="967"/>
      <c r="AR251" s="968"/>
      <c r="AS251" s="936"/>
    </row>
    <row r="252" ht="15.75" customHeight="1">
      <c r="A252" s="936"/>
      <c r="B252" s="948" t="s">
        <v>1764</v>
      </c>
      <c r="C252" s="950" t="s">
        <v>1765</v>
      </c>
      <c r="D252" s="950" t="s">
        <v>1765</v>
      </c>
      <c r="E252" s="952" t="s">
        <v>1765</v>
      </c>
      <c r="F252" s="940"/>
      <c r="G252" s="953"/>
      <c r="H252" s="969"/>
      <c r="I252" s="956" t="s">
        <v>1766</v>
      </c>
      <c r="J252" s="1196" t="s">
        <v>203</v>
      </c>
      <c r="K252" s="1006" t="s">
        <v>346</v>
      </c>
      <c r="L252" s="959">
        <v>90.0</v>
      </c>
      <c r="M252" s="960">
        <v>95.0</v>
      </c>
      <c r="N252" s="960">
        <v>105.0</v>
      </c>
      <c r="O252" s="960">
        <v>165.0</v>
      </c>
      <c r="P252" s="960">
        <v>110.0</v>
      </c>
      <c r="Q252" s="960">
        <v>45.0</v>
      </c>
      <c r="R252" s="960">
        <v>126.0</v>
      </c>
      <c r="S252" s="960">
        <v>189.0</v>
      </c>
      <c r="T252" s="960">
        <v>207.0</v>
      </c>
      <c r="U252" s="960">
        <f t="array" ref="U252">HLOOKUP($J252,'Type Chart'!$C$2:$T$20,2,false)*HLOOKUP($K252,'Type Chart'!$C$2:$U$20,2,false)</f>
        <v>1</v>
      </c>
      <c r="V252" s="960">
        <f t="array" ref="V252">HLOOKUP($J252,'Type Chart'!$C$2:$T$20,3,false)*HLOOKUP($K252,'Type Chart'!$C$2:$U$20,3,false)</f>
        <v>1</v>
      </c>
      <c r="W252" s="960">
        <f t="array" ref="W252">HLOOKUP($J252,'Type Chart'!$C$2:$T$20,4,false)*HLOOKUP($K252,'Type Chart'!$C$2:$U$20,4,false)</f>
        <v>0.5</v>
      </c>
      <c r="X252" s="960">
        <f t="array" ref="X252">HLOOKUP($J252,'Type Chart'!$C$2:$T$20,5,false)*HLOOKUP($K252,'Type Chart'!$C$2:$U$20,5,false)</f>
        <v>1</v>
      </c>
      <c r="Y252" s="960">
        <f t="array" ref="Y252">HLOOKUP($J252,'Type Chart'!$C$2:$T$20,6,false)*HLOOKUP($K252,'Type Chart'!$C$2:$U$20,6,false)</f>
        <v>2</v>
      </c>
      <c r="Z252" s="960">
        <f t="array" ref="Z252">HLOOKUP($J252,'Type Chart'!$C$2:$T$20,7,false)*HLOOKUP($K252,'Type Chart'!$C$2:$U$20,7,false)</f>
        <v>1</v>
      </c>
      <c r="AA252" s="960">
        <f t="array" ref="AA252">HLOOKUP($J252,'Type Chart'!$C$2:$T$20,8,false)*HLOOKUP($K252,'Type Chart'!$C$2:$U$20,8,false)</f>
        <v>1</v>
      </c>
      <c r="AB252" s="960">
        <f t="array" ref="AB252">HLOOKUP($J252,'Type Chart'!$C$2:$T$20,9,false)*HLOOKUP($K252,'Type Chart'!$C$2:$U$20,9,false)</f>
        <v>1</v>
      </c>
      <c r="AC252" s="960">
        <f t="array" ref="AC252">HLOOKUP($J252,'Type Chart'!$C$2:$T$20,10,false)*HLOOKUP($K252,'Type Chart'!$C$2:$U$20,10,false)</f>
        <v>0.5</v>
      </c>
      <c r="AD252" s="960">
        <f t="array" ref="AD252">HLOOKUP($J252,'Type Chart'!$C$2:$T$20,11,false)*HLOOKUP($K252,'Type Chart'!$C$2:$U$20,11,false)</f>
        <v>0.5</v>
      </c>
      <c r="AE252" s="960">
        <f t="array" ref="AE252">HLOOKUP($J252,'Type Chart'!$C$2:$T$20,12,false)*HLOOKUP($K252,'Type Chart'!$C$2:$U$20,12,false)</f>
        <v>0.5</v>
      </c>
      <c r="AF252" s="960">
        <f t="array" ref="AF252">HLOOKUP($J252,'Type Chart'!$C$2:$T$20,13,false)*HLOOKUP($K252,'Type Chart'!$C$2:$U$20,13,false)</f>
        <v>0.5</v>
      </c>
      <c r="AG252" s="960">
        <f t="array" ref="AG252">HLOOKUP($J252,'Type Chart'!$C$2:$T$20,14,false)*HLOOKUP($K252,'Type Chart'!$C$2:$U$20,14,false)</f>
        <v>0.25</v>
      </c>
      <c r="AH252" s="960">
        <f t="array" ref="AH252">HLOOKUP($J252,'Type Chart'!$C$2:$T$20,15,false)*HLOOKUP($K252,'Type Chart'!$C$2:$U$20,15,false)</f>
        <v>1</v>
      </c>
      <c r="AI252" s="960">
        <f t="array" ref="AI252">HLOOKUP($J252,'Type Chart'!$C$2:$T$20,16,false)*HLOOKUP($K252,'Type Chart'!$C$2:$U$20,16,false)</f>
        <v>2</v>
      </c>
      <c r="AJ252" s="960">
        <f t="array" ref="AJ252">HLOOKUP($J252,'Type Chart'!$C$2:$T$20,17,false)*HLOOKUP($K252,'Type Chart'!$C$2:$U$20,17,false)</f>
        <v>2</v>
      </c>
      <c r="AK252" s="960">
        <f t="array" ref="AK252">HLOOKUP($J252,'Type Chart'!$C$2:$T$20,18,false)*HLOOKUP($K252,'Type Chart'!$C$2:$U$20,18,false)</f>
        <v>1</v>
      </c>
      <c r="AL252" s="960">
        <f t="array" ref="AL252">HLOOKUP($J252,'Type Chart'!$C$2:$T$20,19,false)*HLOOKUP($K252,'Type Chart'!$C$2:$U$20,19,false)</f>
        <v>2</v>
      </c>
      <c r="AM252" s="964" t="s">
        <v>1576</v>
      </c>
      <c r="AN252" s="965"/>
      <c r="AO252" s="966"/>
      <c r="AP252" s="936"/>
      <c r="AQ252" s="967"/>
      <c r="AR252" s="968"/>
      <c r="AS252" s="936"/>
    </row>
    <row r="253" ht="15.75" customHeight="1">
      <c r="A253" s="936"/>
      <c r="B253" s="948" t="s">
        <v>1767</v>
      </c>
      <c r="C253" s="950" t="s">
        <v>1768</v>
      </c>
      <c r="D253" s="950" t="s">
        <v>1768</v>
      </c>
      <c r="E253" s="952" t="s">
        <v>1768</v>
      </c>
      <c r="F253" s="940"/>
      <c r="G253" s="953"/>
      <c r="H253" s="969"/>
      <c r="I253" s="956" t="s">
        <v>799</v>
      </c>
      <c r="J253" s="957" t="s">
        <v>209</v>
      </c>
      <c r="K253" s="984" t="s">
        <v>216</v>
      </c>
      <c r="L253" s="959">
        <v>75.0</v>
      </c>
      <c r="M253" s="960">
        <v>80.0</v>
      </c>
      <c r="N253" s="960">
        <v>95.0</v>
      </c>
      <c r="O253" s="960">
        <v>90.0</v>
      </c>
      <c r="P253" s="960">
        <v>100.0</v>
      </c>
      <c r="Q253" s="960">
        <v>50.0</v>
      </c>
      <c r="R253" s="960">
        <v>136.0</v>
      </c>
      <c r="S253" s="960">
        <v>199.0</v>
      </c>
      <c r="T253" s="960">
        <v>218.0</v>
      </c>
      <c r="U253" s="960">
        <f t="array" ref="U253">HLOOKUP($J253,'Type Chart'!$C$2:$T$20,2,false)*HLOOKUP($K253,'Type Chart'!$C$2:$U$20,2,false)</f>
        <v>1</v>
      </c>
      <c r="V253" s="960">
        <f t="array" ref="V253">HLOOKUP($J253,'Type Chart'!$C$2:$T$20,3,false)*HLOOKUP($K253,'Type Chart'!$C$2:$U$20,3,false)</f>
        <v>1</v>
      </c>
      <c r="W253" s="960">
        <f t="array" ref="W253">HLOOKUP($J253,'Type Chart'!$C$2:$T$20,4,false)*HLOOKUP($K253,'Type Chart'!$C$2:$U$20,4,false)</f>
        <v>2</v>
      </c>
      <c r="X253" s="960">
        <f t="array" ref="X253">HLOOKUP($J253,'Type Chart'!$C$2:$T$20,5,false)*HLOOKUP($K253,'Type Chart'!$C$2:$U$20,5,false)</f>
        <v>2</v>
      </c>
      <c r="Y253" s="960">
        <f t="array" ref="Y253">HLOOKUP($J253,'Type Chart'!$C$2:$T$20,6,false)*HLOOKUP($K253,'Type Chart'!$C$2:$U$20,6,false)</f>
        <v>0.5</v>
      </c>
      <c r="Z253" s="960">
        <f t="array" ref="Z253">HLOOKUP($J253,'Type Chart'!$C$2:$T$20,7,false)*HLOOKUP($K253,'Type Chart'!$C$2:$U$20,7,false)</f>
        <v>1</v>
      </c>
      <c r="AA253" s="960">
        <f t="array" ref="AA253">HLOOKUP($J253,'Type Chart'!$C$2:$T$20,8,false)*HLOOKUP($K253,'Type Chart'!$C$2:$U$20,8,false)</f>
        <v>2</v>
      </c>
      <c r="AB253" s="960">
        <f t="array" ref="AB253">HLOOKUP($J253,'Type Chart'!$C$2:$T$20,9,false)*HLOOKUP($K253,'Type Chart'!$C$2:$U$20,9,false)</f>
        <v>1</v>
      </c>
      <c r="AC253" s="960">
        <f t="array" ref="AC253">HLOOKUP($J253,'Type Chart'!$C$2:$T$20,10,false)*HLOOKUP($K253,'Type Chart'!$C$2:$U$20,10,false)</f>
        <v>1</v>
      </c>
      <c r="AD253" s="960">
        <f t="array" ref="AD253">HLOOKUP($J253,'Type Chart'!$C$2:$T$20,11,false)*HLOOKUP($K253,'Type Chart'!$C$2:$U$20,11,false)</f>
        <v>2</v>
      </c>
      <c r="AE253" s="960">
        <f t="array" ref="AE253">HLOOKUP($J253,'Type Chart'!$C$2:$T$20,12,false)*HLOOKUP($K253,'Type Chart'!$C$2:$U$20,12,false)</f>
        <v>0.5</v>
      </c>
      <c r="AF253" s="960">
        <f t="array" ref="AF253">HLOOKUP($J253,'Type Chart'!$C$2:$T$20,13,false)*HLOOKUP($K253,'Type Chart'!$C$2:$U$20,13,false)</f>
        <v>0.5</v>
      </c>
      <c r="AG253" s="960">
        <f t="array" ref="AG253">HLOOKUP($J253,'Type Chart'!$C$2:$T$20,14,false)*HLOOKUP($K253,'Type Chart'!$C$2:$U$20,14,false)</f>
        <v>0.5</v>
      </c>
      <c r="AH253" s="960">
        <f t="array" ref="AH253">HLOOKUP($J253,'Type Chart'!$C$2:$T$20,15,false)*HLOOKUP($K253,'Type Chart'!$C$2:$U$20,15,false)</f>
        <v>1</v>
      </c>
      <c r="AI253" s="960">
        <f t="array" ref="AI253">HLOOKUP($J253,'Type Chart'!$C$2:$T$20,16,false)*HLOOKUP($K253,'Type Chart'!$C$2:$U$20,16,false)</f>
        <v>2</v>
      </c>
      <c r="AJ253" s="960">
        <f t="array" ref="AJ253">HLOOKUP($J253,'Type Chart'!$C$2:$T$20,17,false)*HLOOKUP($K253,'Type Chart'!$C$2:$U$20,17,false)</f>
        <v>1</v>
      </c>
      <c r="AK253" s="960">
        <f t="array" ref="AK253">HLOOKUP($J253,'Type Chart'!$C$2:$T$20,18,false)*HLOOKUP($K253,'Type Chart'!$C$2:$U$20,18,false)</f>
        <v>1</v>
      </c>
      <c r="AL253" s="960">
        <f t="array" ref="AL253">HLOOKUP($J253,'Type Chart'!$C$2:$T$20,19,false)*HLOOKUP($K253,'Type Chart'!$C$2:$U$20,19,false)</f>
        <v>1</v>
      </c>
      <c r="AM253" s="964" t="s">
        <v>524</v>
      </c>
      <c r="AN253" s="965"/>
      <c r="AO253" s="966" t="s">
        <v>1522</v>
      </c>
      <c r="AP253" s="936"/>
      <c r="AQ253" s="967"/>
      <c r="AR253" s="968"/>
      <c r="AS253" s="936"/>
    </row>
    <row r="254" ht="15.75" customHeight="1">
      <c r="A254" s="936"/>
      <c r="B254" s="948" t="s">
        <v>1769</v>
      </c>
      <c r="C254" s="950" t="s">
        <v>1770</v>
      </c>
      <c r="D254" s="950" t="s">
        <v>1770</v>
      </c>
      <c r="E254" s="952" t="s">
        <v>1770</v>
      </c>
      <c r="F254" s="940"/>
      <c r="G254" s="953"/>
      <c r="H254" s="969"/>
      <c r="I254" s="998" t="s">
        <v>906</v>
      </c>
      <c r="J254" s="1056" t="s">
        <v>81</v>
      </c>
      <c r="K254" s="1207" t="s">
        <v>127</v>
      </c>
      <c r="L254" s="1200">
        <v>70.0</v>
      </c>
      <c r="M254" s="1201">
        <v>20.0</v>
      </c>
      <c r="N254" s="1201">
        <v>50.0</v>
      </c>
      <c r="O254" s="1201">
        <v>20.0</v>
      </c>
      <c r="P254" s="1201">
        <v>50.0</v>
      </c>
      <c r="Q254" s="1201">
        <v>40.0</v>
      </c>
      <c r="R254" s="960">
        <v>116.0</v>
      </c>
      <c r="S254" s="960">
        <v>179.0</v>
      </c>
      <c r="T254" s="960">
        <v>196.0</v>
      </c>
      <c r="U254" s="960">
        <f t="array" ref="U254">HLOOKUP($J254,'Type Chart'!$C$2:$T$20,2,false)*HLOOKUP($K254,'Type Chart'!$C$2:$U$20,2,false)</f>
        <v>1</v>
      </c>
      <c r="V254" s="960">
        <f t="array" ref="V254">HLOOKUP($J254,'Type Chart'!$C$2:$T$20,3,false)*HLOOKUP($K254,'Type Chart'!$C$2:$U$20,3,false)</f>
        <v>0.5</v>
      </c>
      <c r="W254" s="960">
        <f t="array" ref="W254">HLOOKUP($J254,'Type Chart'!$C$2:$T$20,4,false)*HLOOKUP($K254,'Type Chart'!$C$2:$U$20,4,false)</f>
        <v>1</v>
      </c>
      <c r="X254" s="960">
        <f t="array" ref="X254">HLOOKUP($J254,'Type Chart'!$C$2:$T$20,5,false)*HLOOKUP($K254,'Type Chart'!$C$2:$U$20,5,false)</f>
        <v>2</v>
      </c>
      <c r="Y254" s="960">
        <f t="array" ref="Y254">HLOOKUP($J254,'Type Chart'!$C$2:$T$20,6,false)*HLOOKUP($K254,'Type Chart'!$C$2:$U$20,6,false)</f>
        <v>1</v>
      </c>
      <c r="Z254" s="960">
        <f t="array" ref="Z254">HLOOKUP($J254,'Type Chart'!$C$2:$T$20,7,false)*HLOOKUP($K254,'Type Chart'!$C$2:$U$20,7,false)</f>
        <v>1</v>
      </c>
      <c r="AA254" s="960">
        <f t="array" ref="AA254">HLOOKUP($J254,'Type Chart'!$C$2:$T$20,8,false)*HLOOKUP($K254,'Type Chart'!$C$2:$U$20,8,false)</f>
        <v>0.5</v>
      </c>
      <c r="AB254" s="960">
        <f t="array" ref="AB254">HLOOKUP($J254,'Type Chart'!$C$2:$T$20,9,false)*HLOOKUP($K254,'Type Chart'!$C$2:$U$20,9,false)</f>
        <v>1</v>
      </c>
      <c r="AC254" s="960">
        <f t="array" ref="AC254">HLOOKUP($J254,'Type Chart'!$C$2:$T$20,10,false)*HLOOKUP($K254,'Type Chart'!$C$2:$U$20,10,false)</f>
        <v>1</v>
      </c>
      <c r="AD254" s="960">
        <f t="array" ref="AD254">HLOOKUP($J254,'Type Chart'!$C$2:$T$20,11,false)*HLOOKUP($K254,'Type Chart'!$C$2:$U$20,11,false)</f>
        <v>0.5</v>
      </c>
      <c r="AE254" s="960">
        <f t="array" ref="AE254">HLOOKUP($J254,'Type Chart'!$C$2:$T$20,12,false)*HLOOKUP($K254,'Type Chart'!$C$2:$U$20,12,false)</f>
        <v>0.5</v>
      </c>
      <c r="AF254" s="960">
        <f t="array" ref="AF254">HLOOKUP($J254,'Type Chart'!$C$2:$T$20,13,false)*HLOOKUP($K254,'Type Chart'!$C$2:$U$20,13,false)</f>
        <v>2</v>
      </c>
      <c r="AG254" s="960">
        <f t="array" ref="AG254">HLOOKUP($J254,'Type Chart'!$C$2:$T$20,14,false)*HLOOKUP($K254,'Type Chart'!$C$2:$U$20,14,false)</f>
        <v>2</v>
      </c>
      <c r="AH254" s="960">
        <f t="array" ref="AH254">HLOOKUP($J254,'Type Chart'!$C$2:$T$20,15,false)*HLOOKUP($K254,'Type Chart'!$C$2:$U$20,15,false)</f>
        <v>1</v>
      </c>
      <c r="AI254" s="960">
        <f t="array" ref="AI254">HLOOKUP($J254,'Type Chart'!$C$2:$T$20,16,false)*HLOOKUP($K254,'Type Chart'!$C$2:$U$20,16,false)</f>
        <v>0.5</v>
      </c>
      <c r="AJ254" s="960">
        <f t="array" ref="AJ254">HLOOKUP($J254,'Type Chart'!$C$2:$T$20,17,false)*HLOOKUP($K254,'Type Chart'!$C$2:$U$20,17,false)</f>
        <v>0</v>
      </c>
      <c r="AK254" s="960">
        <f t="array" ref="AK254">HLOOKUP($J254,'Type Chart'!$C$2:$T$20,18,false)*HLOOKUP($K254,'Type Chart'!$C$2:$U$20,18,false)</f>
        <v>0.5</v>
      </c>
      <c r="AL254" s="960">
        <f t="array" ref="AL254">HLOOKUP($J254,'Type Chart'!$C$2:$T$20,19,false)*HLOOKUP($K254,'Type Chart'!$C$2:$U$20,19,false)</f>
        <v>1</v>
      </c>
      <c r="AM254" s="964" t="s">
        <v>760</v>
      </c>
      <c r="AN254" s="965" t="s">
        <v>1771</v>
      </c>
      <c r="AO254" s="966" t="s">
        <v>1772</v>
      </c>
      <c r="AP254" s="936"/>
      <c r="AQ254" s="967"/>
      <c r="AR254" s="968"/>
      <c r="AS254" s="936"/>
    </row>
    <row r="255" ht="15.75" customHeight="1">
      <c r="A255" s="936"/>
      <c r="B255" s="948" t="s">
        <v>1773</v>
      </c>
      <c r="C255" s="950" t="s">
        <v>1774</v>
      </c>
      <c r="D255" s="950" t="s">
        <v>1774</v>
      </c>
      <c r="E255" s="952" t="s">
        <v>1774</v>
      </c>
      <c r="F255" s="940"/>
      <c r="G255" s="953"/>
      <c r="H255" s="969"/>
      <c r="I255" s="956" t="s">
        <v>422</v>
      </c>
      <c r="J255" s="1056" t="s">
        <v>81</v>
      </c>
      <c r="K255" s="1207" t="s">
        <v>127</v>
      </c>
      <c r="L255" s="959">
        <v>100.0</v>
      </c>
      <c r="M255" s="960">
        <v>50.0</v>
      </c>
      <c r="N255" s="960">
        <v>80.0</v>
      </c>
      <c r="O255" s="960">
        <v>60.0</v>
      </c>
      <c r="P255" s="960">
        <v>80.0</v>
      </c>
      <c r="Q255" s="960">
        <v>50.0</v>
      </c>
      <c r="R255" s="960">
        <v>136.0</v>
      </c>
      <c r="S255" s="960">
        <v>199.0</v>
      </c>
      <c r="T255" s="960">
        <v>218.0</v>
      </c>
      <c r="U255" s="960">
        <f t="array" ref="U255">HLOOKUP($J255,'Type Chart'!$C$2:$T$20,2,false)*HLOOKUP($K255,'Type Chart'!$C$2:$U$20,2,false)</f>
        <v>1</v>
      </c>
      <c r="V255" s="960">
        <f t="array" ref="V255">HLOOKUP($J255,'Type Chart'!$C$2:$T$20,3,false)*HLOOKUP($K255,'Type Chart'!$C$2:$U$20,3,false)</f>
        <v>0.5</v>
      </c>
      <c r="W255" s="960">
        <f t="array" ref="W255">HLOOKUP($J255,'Type Chart'!$C$2:$T$20,4,false)*HLOOKUP($K255,'Type Chart'!$C$2:$U$20,4,false)</f>
        <v>1</v>
      </c>
      <c r="X255" s="960">
        <f t="array" ref="X255">HLOOKUP($J255,'Type Chart'!$C$2:$T$20,5,false)*HLOOKUP($K255,'Type Chart'!$C$2:$U$20,5,false)</f>
        <v>2</v>
      </c>
      <c r="Y255" s="960">
        <f t="array" ref="Y255">HLOOKUP($J255,'Type Chart'!$C$2:$T$20,6,false)*HLOOKUP($K255,'Type Chart'!$C$2:$U$20,6,false)</f>
        <v>1</v>
      </c>
      <c r="Z255" s="960">
        <f t="array" ref="Z255">HLOOKUP($J255,'Type Chart'!$C$2:$T$20,7,false)*HLOOKUP($K255,'Type Chart'!$C$2:$U$20,7,false)</f>
        <v>1</v>
      </c>
      <c r="AA255" s="960">
        <f t="array" ref="AA255">HLOOKUP($J255,'Type Chart'!$C$2:$T$20,8,false)*HLOOKUP($K255,'Type Chart'!$C$2:$U$20,8,false)</f>
        <v>0.5</v>
      </c>
      <c r="AB255" s="960">
        <f t="array" ref="AB255">HLOOKUP($J255,'Type Chart'!$C$2:$T$20,9,false)*HLOOKUP($K255,'Type Chart'!$C$2:$U$20,9,false)</f>
        <v>1</v>
      </c>
      <c r="AC255" s="960">
        <f t="array" ref="AC255">HLOOKUP($J255,'Type Chart'!$C$2:$T$20,10,false)*HLOOKUP($K255,'Type Chart'!$C$2:$U$20,10,false)</f>
        <v>1</v>
      </c>
      <c r="AD255" s="960">
        <f t="array" ref="AD255">HLOOKUP($J255,'Type Chart'!$C$2:$T$20,11,false)*HLOOKUP($K255,'Type Chart'!$C$2:$U$20,11,false)</f>
        <v>0.5</v>
      </c>
      <c r="AE255" s="960">
        <f t="array" ref="AE255">HLOOKUP($J255,'Type Chart'!$C$2:$T$20,12,false)*HLOOKUP($K255,'Type Chart'!$C$2:$U$20,12,false)</f>
        <v>0.5</v>
      </c>
      <c r="AF255" s="960">
        <f t="array" ref="AF255">HLOOKUP($J255,'Type Chart'!$C$2:$T$20,13,false)*HLOOKUP($K255,'Type Chart'!$C$2:$U$20,13,false)</f>
        <v>2</v>
      </c>
      <c r="AG255" s="960">
        <f t="array" ref="AG255">HLOOKUP($J255,'Type Chart'!$C$2:$T$20,14,false)*HLOOKUP($K255,'Type Chart'!$C$2:$U$20,14,false)</f>
        <v>2</v>
      </c>
      <c r="AH255" s="960">
        <f t="array" ref="AH255">HLOOKUP($J255,'Type Chart'!$C$2:$T$20,15,false)*HLOOKUP($K255,'Type Chart'!$C$2:$U$20,15,false)</f>
        <v>1</v>
      </c>
      <c r="AI255" s="960">
        <f t="array" ref="AI255">HLOOKUP($J255,'Type Chart'!$C$2:$T$20,16,false)*HLOOKUP($K255,'Type Chart'!$C$2:$U$20,16,false)</f>
        <v>0.5</v>
      </c>
      <c r="AJ255" s="960">
        <f t="array" ref="AJ255">HLOOKUP($J255,'Type Chart'!$C$2:$T$20,17,false)*HLOOKUP($K255,'Type Chart'!$C$2:$U$20,17,false)</f>
        <v>0</v>
      </c>
      <c r="AK255" s="960">
        <f t="array" ref="AK255">HLOOKUP($J255,'Type Chart'!$C$2:$T$20,18,false)*HLOOKUP($K255,'Type Chart'!$C$2:$U$20,18,false)</f>
        <v>0.5</v>
      </c>
      <c r="AL255" s="960">
        <f t="array" ref="AL255">HLOOKUP($J255,'Type Chart'!$C$2:$T$20,19,false)*HLOOKUP($K255,'Type Chart'!$C$2:$U$20,19,false)</f>
        <v>1</v>
      </c>
      <c r="AM255" s="964" t="s">
        <v>760</v>
      </c>
      <c r="AN255" s="965" t="s">
        <v>1771</v>
      </c>
      <c r="AO255" s="966" t="s">
        <v>1772</v>
      </c>
      <c r="AP255" s="936"/>
      <c r="AQ255" s="967"/>
      <c r="AR255" s="968"/>
      <c r="AS255" s="936"/>
    </row>
    <row r="256" ht="15.75" customHeight="1">
      <c r="A256" s="936"/>
      <c r="B256" s="948" t="s">
        <v>1775</v>
      </c>
      <c r="C256" s="950" t="s">
        <v>1776</v>
      </c>
      <c r="D256" s="950" t="s">
        <v>1776</v>
      </c>
      <c r="E256" s="952" t="s">
        <v>1776</v>
      </c>
      <c r="F256" s="940"/>
      <c r="G256" s="953"/>
      <c r="H256" s="969"/>
      <c r="I256" s="956" t="s">
        <v>868</v>
      </c>
      <c r="J256" s="1214" t="s">
        <v>342</v>
      </c>
      <c r="K256" s="984" t="s">
        <v>216</v>
      </c>
      <c r="L256" s="959">
        <v>70.0</v>
      </c>
      <c r="M256" s="960">
        <v>100.0</v>
      </c>
      <c r="N256" s="960">
        <v>115.0</v>
      </c>
      <c r="O256" s="960">
        <v>30.0</v>
      </c>
      <c r="P256" s="960">
        <v>65.0</v>
      </c>
      <c r="Q256" s="960">
        <v>30.0</v>
      </c>
      <c r="R256" s="960">
        <v>96.0</v>
      </c>
      <c r="S256" s="960">
        <v>159.0</v>
      </c>
      <c r="T256" s="960">
        <v>174.0</v>
      </c>
      <c r="U256" s="960">
        <f t="array" ref="U256">HLOOKUP($J256,'Type Chart'!$C$2:$T$20,2,false)*HLOOKUP($K256,'Type Chart'!$C$2:$U$20,2,false)</f>
        <v>0.5</v>
      </c>
      <c r="V256" s="960">
        <f t="array" ref="V256">HLOOKUP($J256,'Type Chart'!$C$2:$T$20,3,false)*HLOOKUP($K256,'Type Chart'!$C$2:$U$20,3,false)</f>
        <v>2</v>
      </c>
      <c r="W256" s="960">
        <f t="array" ref="W256">HLOOKUP($J256,'Type Chart'!$C$2:$T$20,4,false)*HLOOKUP($K256,'Type Chart'!$C$2:$U$20,4,false)</f>
        <v>0.5</v>
      </c>
      <c r="X256" s="960">
        <f t="array" ref="X256">HLOOKUP($J256,'Type Chart'!$C$2:$T$20,5,false)*HLOOKUP($K256,'Type Chart'!$C$2:$U$20,5,false)</f>
        <v>0.5</v>
      </c>
      <c r="Y256" s="960">
        <f t="array" ref="Y256">HLOOKUP($J256,'Type Chart'!$C$2:$T$20,6,false)*HLOOKUP($K256,'Type Chart'!$C$2:$U$20,6,false)</f>
        <v>2</v>
      </c>
      <c r="Z256" s="960">
        <f t="array" ref="Z256">HLOOKUP($J256,'Type Chart'!$C$2:$T$20,7,false)*HLOOKUP($K256,'Type Chart'!$C$2:$U$20,7,false)</f>
        <v>1</v>
      </c>
      <c r="AA256" s="960">
        <f t="array" ref="AA256">HLOOKUP($J256,'Type Chart'!$C$2:$T$20,8,false)*HLOOKUP($K256,'Type Chart'!$C$2:$U$20,8,false)</f>
        <v>1</v>
      </c>
      <c r="AB256" s="960">
        <f t="array" ref="AB256">HLOOKUP($J256,'Type Chart'!$C$2:$T$20,9,false)*HLOOKUP($K256,'Type Chart'!$C$2:$U$20,9,false)</f>
        <v>1</v>
      </c>
      <c r="AC256" s="960">
        <f t="array" ref="AC256">HLOOKUP($J256,'Type Chart'!$C$2:$T$20,10,false)*HLOOKUP($K256,'Type Chart'!$C$2:$U$20,10,false)</f>
        <v>2</v>
      </c>
      <c r="AD256" s="960">
        <f t="array" ref="AD256">HLOOKUP($J256,'Type Chart'!$C$2:$T$20,11,false)*HLOOKUP($K256,'Type Chart'!$C$2:$U$20,11,false)</f>
        <v>0.5</v>
      </c>
      <c r="AE256" s="960">
        <f t="array" ref="AE256">HLOOKUP($J256,'Type Chart'!$C$2:$T$20,12,false)*HLOOKUP($K256,'Type Chart'!$C$2:$U$20,12,false)</f>
        <v>2</v>
      </c>
      <c r="AF256" s="960">
        <f t="array" ref="AF256">HLOOKUP($J256,'Type Chart'!$C$2:$T$20,13,false)*HLOOKUP($K256,'Type Chart'!$C$2:$U$20,13,false)</f>
        <v>2</v>
      </c>
      <c r="AG256" s="960">
        <f t="array" ref="AG256">HLOOKUP($J256,'Type Chart'!$C$2:$T$20,14,false)*HLOOKUP($K256,'Type Chart'!$C$2:$U$20,14,false)</f>
        <v>1</v>
      </c>
      <c r="AH256" s="960">
        <f t="array" ref="AH256">HLOOKUP($J256,'Type Chart'!$C$2:$T$20,15,false)*HLOOKUP($K256,'Type Chart'!$C$2:$U$20,15,false)</f>
        <v>1</v>
      </c>
      <c r="AI256" s="960">
        <f t="array" ref="AI256">HLOOKUP($J256,'Type Chart'!$C$2:$T$20,16,false)*HLOOKUP($K256,'Type Chart'!$C$2:$U$20,16,false)</f>
        <v>1</v>
      </c>
      <c r="AJ256" s="960">
        <f t="array" ref="AJ256">HLOOKUP($J256,'Type Chart'!$C$2:$T$20,17,false)*HLOOKUP($K256,'Type Chart'!$C$2:$U$20,17,false)</f>
        <v>1</v>
      </c>
      <c r="AK256" s="960">
        <f t="array" ref="AK256">HLOOKUP($J256,'Type Chart'!$C$2:$T$20,18,false)*HLOOKUP($K256,'Type Chart'!$C$2:$U$20,18,false)</f>
        <v>1</v>
      </c>
      <c r="AL256" s="960">
        <f t="array" ref="AL256">HLOOKUP($J256,'Type Chart'!$C$2:$T$20,19,false)*HLOOKUP($K256,'Type Chart'!$C$2:$U$20,19,false)</f>
        <v>1</v>
      </c>
      <c r="AM256" s="964" t="s">
        <v>1331</v>
      </c>
      <c r="AN256" s="965" t="s">
        <v>1276</v>
      </c>
      <c r="AO256" s="966" t="s">
        <v>1243</v>
      </c>
      <c r="AP256" s="936"/>
      <c r="AQ256" s="967"/>
      <c r="AR256" s="968"/>
      <c r="AS256" s="936"/>
    </row>
    <row r="257" ht="15.75" customHeight="1">
      <c r="A257" s="936"/>
      <c r="B257" s="948" t="s">
        <v>1777</v>
      </c>
      <c r="C257" s="950" t="s">
        <v>1778</v>
      </c>
      <c r="D257" s="950" t="s">
        <v>1778</v>
      </c>
      <c r="E257" s="952" t="s">
        <v>1778</v>
      </c>
      <c r="F257" s="940"/>
      <c r="G257" s="953"/>
      <c r="H257" s="969"/>
      <c r="I257" s="956" t="s">
        <v>604</v>
      </c>
      <c r="J257" s="1056" t="s">
        <v>81</v>
      </c>
      <c r="K257" s="984" t="s">
        <v>216</v>
      </c>
      <c r="L257" s="959">
        <v>90.0</v>
      </c>
      <c r="M257" s="960">
        <v>75.0</v>
      </c>
      <c r="N257" s="960">
        <v>75.0</v>
      </c>
      <c r="O257" s="960">
        <v>90.0</v>
      </c>
      <c r="P257" s="960">
        <v>100.0</v>
      </c>
      <c r="Q257" s="960">
        <v>70.0</v>
      </c>
      <c r="R257" s="960">
        <v>176.0</v>
      </c>
      <c r="S257" s="960">
        <v>239.0</v>
      </c>
      <c r="T257" s="960">
        <v>262.0</v>
      </c>
      <c r="U257" s="960">
        <f t="array" ref="U257">HLOOKUP($J257,'Type Chart'!$C$2:$T$20,2,false)*HLOOKUP($K257,'Type Chart'!$C$2:$U$20,2,false)</f>
        <v>1</v>
      </c>
      <c r="V257" s="960">
        <f t="array" ref="V257">HLOOKUP($J257,'Type Chart'!$C$2:$T$20,3,false)*HLOOKUP($K257,'Type Chart'!$C$2:$U$20,3,false)</f>
        <v>1</v>
      </c>
      <c r="W257" s="960">
        <f t="array" ref="W257">HLOOKUP($J257,'Type Chart'!$C$2:$T$20,4,false)*HLOOKUP($K257,'Type Chart'!$C$2:$U$20,4,false)</f>
        <v>1</v>
      </c>
      <c r="X257" s="960">
        <f t="array" ref="X257">HLOOKUP($J257,'Type Chart'!$C$2:$T$20,5,false)*HLOOKUP($K257,'Type Chart'!$C$2:$U$20,5,false)</f>
        <v>1</v>
      </c>
      <c r="Y257" s="960">
        <f t="array" ref="Y257">HLOOKUP($J257,'Type Chart'!$C$2:$T$20,6,false)*HLOOKUP($K257,'Type Chart'!$C$2:$U$20,6,false)</f>
        <v>1</v>
      </c>
      <c r="Z257" s="960">
        <f t="array" ref="Z257">HLOOKUP($J257,'Type Chart'!$C$2:$T$20,7,false)*HLOOKUP($K257,'Type Chart'!$C$2:$U$20,7,false)</f>
        <v>1</v>
      </c>
      <c r="AA257" s="960">
        <f t="array" ref="AA257">HLOOKUP($J257,'Type Chart'!$C$2:$T$20,8,false)*HLOOKUP($K257,'Type Chart'!$C$2:$U$20,8,false)</f>
        <v>1</v>
      </c>
      <c r="AB257" s="960">
        <f t="array" ref="AB257">HLOOKUP($J257,'Type Chart'!$C$2:$T$20,9,false)*HLOOKUP($K257,'Type Chart'!$C$2:$U$20,9,false)</f>
        <v>1</v>
      </c>
      <c r="AC257" s="960">
        <f t="array" ref="AC257">HLOOKUP($J257,'Type Chart'!$C$2:$T$20,10,false)*HLOOKUP($K257,'Type Chart'!$C$2:$U$20,10,false)</f>
        <v>0.5</v>
      </c>
      <c r="AD257" s="960">
        <f t="array" ref="AD257">HLOOKUP($J257,'Type Chart'!$C$2:$T$20,11,false)*HLOOKUP($K257,'Type Chart'!$C$2:$U$20,11,false)</f>
        <v>0.5</v>
      </c>
      <c r="AE257" s="960">
        <f t="array" ref="AE257">HLOOKUP($J257,'Type Chart'!$C$2:$T$20,12,false)*HLOOKUP($K257,'Type Chart'!$C$2:$U$20,12,false)</f>
        <v>0.5</v>
      </c>
      <c r="AF257" s="960">
        <f t="array" ref="AF257">HLOOKUP($J257,'Type Chart'!$C$2:$T$20,13,false)*HLOOKUP($K257,'Type Chart'!$C$2:$U$20,13,false)</f>
        <v>2</v>
      </c>
      <c r="AG257" s="960">
        <f t="array" ref="AG257">HLOOKUP($J257,'Type Chart'!$C$2:$T$20,14,false)*HLOOKUP($K257,'Type Chart'!$C$2:$U$20,14,false)</f>
        <v>2</v>
      </c>
      <c r="AH257" s="960">
        <f t="array" ref="AH257">HLOOKUP($J257,'Type Chart'!$C$2:$T$20,15,false)*HLOOKUP($K257,'Type Chart'!$C$2:$U$20,15,false)</f>
        <v>1</v>
      </c>
      <c r="AI257" s="960">
        <f t="array" ref="AI257">HLOOKUP($J257,'Type Chart'!$C$2:$T$20,16,false)*HLOOKUP($K257,'Type Chart'!$C$2:$U$20,16,false)</f>
        <v>0.5</v>
      </c>
      <c r="AJ257" s="960">
        <f t="array" ref="AJ257">HLOOKUP($J257,'Type Chart'!$C$2:$T$20,17,false)*HLOOKUP($K257,'Type Chart'!$C$2:$U$20,17,false)</f>
        <v>1</v>
      </c>
      <c r="AK257" s="960">
        <f t="array" ref="AK257">HLOOKUP($J257,'Type Chart'!$C$2:$T$20,18,false)*HLOOKUP($K257,'Type Chart'!$C$2:$U$20,18,false)</f>
        <v>1</v>
      </c>
      <c r="AL257" s="960">
        <f t="array" ref="AL257">HLOOKUP($J257,'Type Chart'!$C$2:$T$20,19,false)*HLOOKUP($K257,'Type Chart'!$C$2:$U$20,19,false)</f>
        <v>1</v>
      </c>
      <c r="AM257" s="964" t="s">
        <v>1283</v>
      </c>
      <c r="AN257" s="965" t="s">
        <v>1211</v>
      </c>
      <c r="AO257" s="966" t="s">
        <v>349</v>
      </c>
      <c r="AP257" s="936"/>
      <c r="AQ257" s="967"/>
      <c r="AR257" s="968"/>
      <c r="AS257" s="936"/>
    </row>
    <row r="258" ht="15.75" customHeight="1">
      <c r="A258" s="936"/>
      <c r="B258" s="948" t="s">
        <v>1779</v>
      </c>
      <c r="C258" s="950" t="s">
        <v>1780</v>
      </c>
      <c r="D258" s="950" t="s">
        <v>1780</v>
      </c>
      <c r="E258" s="952" t="s">
        <v>1780</v>
      </c>
      <c r="F258" s="940"/>
      <c r="G258" s="953"/>
      <c r="H258" s="969"/>
      <c r="I258" s="956" t="s">
        <v>1781</v>
      </c>
      <c r="J258" s="957" t="s">
        <v>209</v>
      </c>
      <c r="K258" s="1001" t="s">
        <v>128</v>
      </c>
      <c r="L258" s="959">
        <v>35.0</v>
      </c>
      <c r="M258" s="960">
        <v>35.0</v>
      </c>
      <c r="N258" s="960">
        <v>40.0</v>
      </c>
      <c r="O258" s="960">
        <v>35.0</v>
      </c>
      <c r="P258" s="960">
        <v>55.0</v>
      </c>
      <c r="Q258" s="960">
        <v>50.0</v>
      </c>
      <c r="R258" s="960">
        <v>136.0</v>
      </c>
      <c r="S258" s="960">
        <v>199.0</v>
      </c>
      <c r="T258" s="960">
        <v>218.0</v>
      </c>
      <c r="U258" s="960">
        <f t="array" ref="U258">HLOOKUP($J258,'Type Chart'!$C$2:$T$20,2,false)*HLOOKUP($K258,'Type Chart'!$C$2:$U$20,2,false)</f>
        <v>1</v>
      </c>
      <c r="V258" s="960">
        <f t="array" ref="V258">HLOOKUP($J258,'Type Chart'!$C$2:$T$20,3,false)*HLOOKUP($K258,'Type Chart'!$C$2:$U$20,3,false)</f>
        <v>0.5</v>
      </c>
      <c r="W258" s="960">
        <f t="array" ref="W258">HLOOKUP($J258,'Type Chart'!$C$2:$T$20,4,false)*HLOOKUP($K258,'Type Chart'!$C$2:$U$20,4,false)</f>
        <v>2</v>
      </c>
      <c r="X258" s="960">
        <f t="array" ref="X258">HLOOKUP($J258,'Type Chart'!$C$2:$T$20,5,false)*HLOOKUP($K258,'Type Chart'!$C$2:$U$20,5,false)</f>
        <v>2</v>
      </c>
      <c r="Y258" s="960">
        <f t="array" ref="Y258">HLOOKUP($J258,'Type Chart'!$C$2:$T$20,6,false)*HLOOKUP($K258,'Type Chart'!$C$2:$U$20,6,false)</f>
        <v>0</v>
      </c>
      <c r="Z258" s="960">
        <f t="array" ref="Z258">HLOOKUP($J258,'Type Chart'!$C$2:$T$20,7,false)*HLOOKUP($K258,'Type Chart'!$C$2:$U$20,7,false)</f>
        <v>2</v>
      </c>
      <c r="AA258" s="960">
        <f t="array" ref="AA258">HLOOKUP($J258,'Type Chart'!$C$2:$T$20,8,false)*HLOOKUP($K258,'Type Chart'!$C$2:$U$20,8,false)</f>
        <v>1</v>
      </c>
      <c r="AB258" s="960">
        <f t="array" ref="AB258">HLOOKUP($J258,'Type Chart'!$C$2:$T$20,9,false)*HLOOKUP($K258,'Type Chart'!$C$2:$U$20,9,false)</f>
        <v>1</v>
      </c>
      <c r="AC258" s="960">
        <f t="array" ref="AC258">HLOOKUP($J258,'Type Chart'!$C$2:$T$20,10,false)*HLOOKUP($K258,'Type Chart'!$C$2:$U$20,10,false)</f>
        <v>1</v>
      </c>
      <c r="AD258" s="960">
        <f t="array" ref="AD258">HLOOKUP($J258,'Type Chart'!$C$2:$T$20,11,false)*HLOOKUP($K258,'Type Chart'!$C$2:$U$20,11,false)</f>
        <v>2</v>
      </c>
      <c r="AE258" s="960">
        <f t="array" ref="AE258">HLOOKUP($J258,'Type Chart'!$C$2:$T$20,12,false)*HLOOKUP($K258,'Type Chart'!$C$2:$U$20,12,false)</f>
        <v>0.5</v>
      </c>
      <c r="AF258" s="960">
        <f t="array" ref="AF258">HLOOKUP($J258,'Type Chart'!$C$2:$T$20,13,false)*HLOOKUP($K258,'Type Chart'!$C$2:$U$20,13,false)</f>
        <v>0.25</v>
      </c>
      <c r="AG258" s="960">
        <f t="array" ref="AG258">HLOOKUP($J258,'Type Chart'!$C$2:$T$20,14,false)*HLOOKUP($K258,'Type Chart'!$C$2:$U$20,14,false)</f>
        <v>1</v>
      </c>
      <c r="AH258" s="960">
        <f t="array" ref="AH258">HLOOKUP($J258,'Type Chart'!$C$2:$T$20,15,false)*HLOOKUP($K258,'Type Chart'!$C$2:$U$20,15,false)</f>
        <v>1</v>
      </c>
      <c r="AI258" s="960">
        <f t="array" ref="AI258">HLOOKUP($J258,'Type Chart'!$C$2:$T$20,16,false)*HLOOKUP($K258,'Type Chart'!$C$2:$U$20,16,false)</f>
        <v>4</v>
      </c>
      <c r="AJ258" s="960">
        <f t="array" ref="AJ258">HLOOKUP($J258,'Type Chart'!$C$2:$T$20,17,false)*HLOOKUP($K258,'Type Chart'!$C$2:$U$20,17,false)</f>
        <v>1</v>
      </c>
      <c r="AK258" s="960">
        <f t="array" ref="AK258">HLOOKUP($J258,'Type Chart'!$C$2:$T$20,18,false)*HLOOKUP($K258,'Type Chart'!$C$2:$U$20,18,false)</f>
        <v>1</v>
      </c>
      <c r="AL258" s="960">
        <f t="array" ref="AL258">HLOOKUP($J258,'Type Chart'!$C$2:$T$20,19,false)*HLOOKUP($K258,'Type Chart'!$C$2:$U$20,19,false)</f>
        <v>1</v>
      </c>
      <c r="AM258" s="964" t="s">
        <v>524</v>
      </c>
      <c r="AN258" s="965" t="s">
        <v>1526</v>
      </c>
      <c r="AO258" s="966" t="s">
        <v>1193</v>
      </c>
      <c r="AP258" s="936"/>
      <c r="AQ258" s="967"/>
      <c r="AR258" s="968"/>
      <c r="AS258" s="936"/>
    </row>
    <row r="259" ht="15.75" customHeight="1">
      <c r="A259" s="936"/>
      <c r="B259" s="948" t="s">
        <v>1782</v>
      </c>
      <c r="C259" s="950" t="s">
        <v>1783</v>
      </c>
      <c r="D259" s="950" t="s">
        <v>1783</v>
      </c>
      <c r="E259" s="952" t="s">
        <v>1783</v>
      </c>
      <c r="F259" s="940"/>
      <c r="G259" s="953"/>
      <c r="H259" s="969"/>
      <c r="I259" s="956" t="s">
        <v>1784</v>
      </c>
      <c r="J259" s="957" t="s">
        <v>209</v>
      </c>
      <c r="K259" s="1001" t="s">
        <v>128</v>
      </c>
      <c r="L259" s="959">
        <v>55.0</v>
      </c>
      <c r="M259" s="960">
        <v>45.0</v>
      </c>
      <c r="N259" s="960">
        <v>50.0</v>
      </c>
      <c r="O259" s="960">
        <v>45.0</v>
      </c>
      <c r="P259" s="960">
        <v>65.0</v>
      </c>
      <c r="Q259" s="960">
        <v>80.0</v>
      </c>
      <c r="R259" s="960">
        <v>196.0</v>
      </c>
      <c r="S259" s="960">
        <v>259.0</v>
      </c>
      <c r="T259" s="960">
        <v>284.0</v>
      </c>
      <c r="U259" s="960">
        <f t="array" ref="U259">HLOOKUP($J259,'Type Chart'!$C$2:$T$20,2,false)*HLOOKUP($K259,'Type Chart'!$C$2:$U$20,2,false)</f>
        <v>1</v>
      </c>
      <c r="V259" s="960">
        <f t="array" ref="V259">HLOOKUP($J259,'Type Chart'!$C$2:$T$20,3,false)*HLOOKUP($K259,'Type Chart'!$C$2:$U$20,3,false)</f>
        <v>0.5</v>
      </c>
      <c r="W259" s="960">
        <f t="array" ref="W259">HLOOKUP($J259,'Type Chart'!$C$2:$T$20,4,false)*HLOOKUP($K259,'Type Chart'!$C$2:$U$20,4,false)</f>
        <v>2</v>
      </c>
      <c r="X259" s="960">
        <f t="array" ref="X259">HLOOKUP($J259,'Type Chart'!$C$2:$T$20,5,false)*HLOOKUP($K259,'Type Chart'!$C$2:$U$20,5,false)</f>
        <v>2</v>
      </c>
      <c r="Y259" s="960">
        <f t="array" ref="Y259">HLOOKUP($J259,'Type Chart'!$C$2:$T$20,6,false)*HLOOKUP($K259,'Type Chart'!$C$2:$U$20,6,false)</f>
        <v>0</v>
      </c>
      <c r="Z259" s="960">
        <f t="array" ref="Z259">HLOOKUP($J259,'Type Chart'!$C$2:$T$20,7,false)*HLOOKUP($K259,'Type Chart'!$C$2:$U$20,7,false)</f>
        <v>2</v>
      </c>
      <c r="AA259" s="960">
        <f t="array" ref="AA259">HLOOKUP($J259,'Type Chart'!$C$2:$T$20,8,false)*HLOOKUP($K259,'Type Chart'!$C$2:$U$20,8,false)</f>
        <v>1</v>
      </c>
      <c r="AB259" s="960">
        <f t="array" ref="AB259">HLOOKUP($J259,'Type Chart'!$C$2:$T$20,9,false)*HLOOKUP($K259,'Type Chart'!$C$2:$U$20,9,false)</f>
        <v>1</v>
      </c>
      <c r="AC259" s="960">
        <f t="array" ref="AC259">HLOOKUP($J259,'Type Chart'!$C$2:$T$20,10,false)*HLOOKUP($K259,'Type Chart'!$C$2:$U$20,10,false)</f>
        <v>1</v>
      </c>
      <c r="AD259" s="960">
        <f t="array" ref="AD259">HLOOKUP($J259,'Type Chart'!$C$2:$T$20,11,false)*HLOOKUP($K259,'Type Chart'!$C$2:$U$20,11,false)</f>
        <v>2</v>
      </c>
      <c r="AE259" s="960">
        <f t="array" ref="AE259">HLOOKUP($J259,'Type Chart'!$C$2:$T$20,12,false)*HLOOKUP($K259,'Type Chart'!$C$2:$U$20,12,false)</f>
        <v>0.5</v>
      </c>
      <c r="AF259" s="960">
        <f t="array" ref="AF259">HLOOKUP($J259,'Type Chart'!$C$2:$T$20,13,false)*HLOOKUP($K259,'Type Chart'!$C$2:$U$20,13,false)</f>
        <v>0.25</v>
      </c>
      <c r="AG259" s="960">
        <f t="array" ref="AG259">HLOOKUP($J259,'Type Chart'!$C$2:$T$20,14,false)*HLOOKUP($K259,'Type Chart'!$C$2:$U$20,14,false)</f>
        <v>1</v>
      </c>
      <c r="AH259" s="960">
        <f t="array" ref="AH259">HLOOKUP($J259,'Type Chart'!$C$2:$T$20,15,false)*HLOOKUP($K259,'Type Chart'!$C$2:$U$20,15,false)</f>
        <v>1</v>
      </c>
      <c r="AI259" s="960">
        <f t="array" ref="AI259">HLOOKUP($J259,'Type Chart'!$C$2:$T$20,16,false)*HLOOKUP($K259,'Type Chart'!$C$2:$U$20,16,false)</f>
        <v>4</v>
      </c>
      <c r="AJ259" s="960">
        <f t="array" ref="AJ259">HLOOKUP($J259,'Type Chart'!$C$2:$T$20,17,false)*HLOOKUP($K259,'Type Chart'!$C$2:$U$20,17,false)</f>
        <v>1</v>
      </c>
      <c r="AK259" s="960">
        <f t="array" ref="AK259">HLOOKUP($J259,'Type Chart'!$C$2:$T$20,18,false)*HLOOKUP($K259,'Type Chart'!$C$2:$U$20,18,false)</f>
        <v>1</v>
      </c>
      <c r="AL259" s="960">
        <f t="array" ref="AL259">HLOOKUP($J259,'Type Chart'!$C$2:$T$20,19,false)*HLOOKUP($K259,'Type Chart'!$C$2:$U$20,19,false)</f>
        <v>1</v>
      </c>
      <c r="AM259" s="964" t="s">
        <v>524</v>
      </c>
      <c r="AN259" s="965" t="s">
        <v>1526</v>
      </c>
      <c r="AO259" s="966" t="s">
        <v>1193</v>
      </c>
      <c r="AP259" s="936"/>
      <c r="AQ259" s="967"/>
      <c r="AR259" s="968"/>
      <c r="AS259" s="936"/>
    </row>
    <row r="260" ht="15.75" customHeight="1">
      <c r="A260" s="936"/>
      <c r="B260" s="948" t="s">
        <v>1785</v>
      </c>
      <c r="C260" s="950" t="s">
        <v>1786</v>
      </c>
      <c r="D260" s="950" t="s">
        <v>1786</v>
      </c>
      <c r="E260" s="952" t="s">
        <v>1786</v>
      </c>
      <c r="F260" s="940"/>
      <c r="G260" s="953"/>
      <c r="H260" s="969"/>
      <c r="I260" s="956" t="s">
        <v>842</v>
      </c>
      <c r="J260" s="957" t="s">
        <v>209</v>
      </c>
      <c r="K260" s="1001" t="s">
        <v>128</v>
      </c>
      <c r="L260" s="959">
        <v>75.0</v>
      </c>
      <c r="M260" s="960">
        <v>55.0</v>
      </c>
      <c r="N260" s="960">
        <v>70.0</v>
      </c>
      <c r="O260" s="960">
        <v>55.0</v>
      </c>
      <c r="P260" s="960">
        <v>95.0</v>
      </c>
      <c r="Q260" s="960">
        <v>110.0</v>
      </c>
      <c r="R260" s="960">
        <v>256.0</v>
      </c>
      <c r="S260" s="960">
        <v>319.0</v>
      </c>
      <c r="T260" s="960">
        <v>350.0</v>
      </c>
      <c r="U260" s="960">
        <f t="array" ref="U260">HLOOKUP($J260,'Type Chart'!$C$2:$T$20,2,false)*HLOOKUP($K260,'Type Chart'!$C$2:$U$20,2,false)</f>
        <v>1</v>
      </c>
      <c r="V260" s="960">
        <f t="array" ref="V260">HLOOKUP($J260,'Type Chart'!$C$2:$T$20,3,false)*HLOOKUP($K260,'Type Chart'!$C$2:$U$20,3,false)</f>
        <v>0.5</v>
      </c>
      <c r="W260" s="960">
        <f t="array" ref="W260">HLOOKUP($J260,'Type Chart'!$C$2:$T$20,4,false)*HLOOKUP($K260,'Type Chart'!$C$2:$U$20,4,false)</f>
        <v>2</v>
      </c>
      <c r="X260" s="960">
        <f t="array" ref="X260">HLOOKUP($J260,'Type Chart'!$C$2:$T$20,5,false)*HLOOKUP($K260,'Type Chart'!$C$2:$U$20,5,false)</f>
        <v>2</v>
      </c>
      <c r="Y260" s="960">
        <f t="array" ref="Y260">HLOOKUP($J260,'Type Chart'!$C$2:$T$20,6,false)*HLOOKUP($K260,'Type Chart'!$C$2:$U$20,6,false)</f>
        <v>0</v>
      </c>
      <c r="Z260" s="960">
        <f t="array" ref="Z260">HLOOKUP($J260,'Type Chart'!$C$2:$T$20,7,false)*HLOOKUP($K260,'Type Chart'!$C$2:$U$20,7,false)</f>
        <v>2</v>
      </c>
      <c r="AA260" s="960">
        <f t="array" ref="AA260">HLOOKUP($J260,'Type Chart'!$C$2:$T$20,8,false)*HLOOKUP($K260,'Type Chart'!$C$2:$U$20,8,false)</f>
        <v>1</v>
      </c>
      <c r="AB260" s="960">
        <f t="array" ref="AB260">HLOOKUP($J260,'Type Chart'!$C$2:$T$20,9,false)*HLOOKUP($K260,'Type Chart'!$C$2:$U$20,9,false)</f>
        <v>1</v>
      </c>
      <c r="AC260" s="960">
        <f t="array" ref="AC260">HLOOKUP($J260,'Type Chart'!$C$2:$T$20,10,false)*HLOOKUP($K260,'Type Chart'!$C$2:$U$20,10,false)</f>
        <v>1</v>
      </c>
      <c r="AD260" s="960">
        <f t="array" ref="AD260">HLOOKUP($J260,'Type Chart'!$C$2:$T$20,11,false)*HLOOKUP($K260,'Type Chart'!$C$2:$U$20,11,false)</f>
        <v>2</v>
      </c>
      <c r="AE260" s="960">
        <f t="array" ref="AE260">HLOOKUP($J260,'Type Chart'!$C$2:$T$20,12,false)*HLOOKUP($K260,'Type Chart'!$C$2:$U$20,12,false)</f>
        <v>0.5</v>
      </c>
      <c r="AF260" s="960">
        <f t="array" ref="AF260">HLOOKUP($J260,'Type Chart'!$C$2:$T$20,13,false)*HLOOKUP($K260,'Type Chart'!$C$2:$U$20,13,false)</f>
        <v>0.25</v>
      </c>
      <c r="AG260" s="960">
        <f t="array" ref="AG260">HLOOKUP($J260,'Type Chart'!$C$2:$T$20,14,false)*HLOOKUP($K260,'Type Chart'!$C$2:$U$20,14,false)</f>
        <v>1</v>
      </c>
      <c r="AH260" s="960">
        <f t="array" ref="AH260">HLOOKUP($J260,'Type Chart'!$C$2:$T$20,15,false)*HLOOKUP($K260,'Type Chart'!$C$2:$U$20,15,false)</f>
        <v>1</v>
      </c>
      <c r="AI260" s="960">
        <f t="array" ref="AI260">HLOOKUP($J260,'Type Chart'!$C$2:$T$20,16,false)*HLOOKUP($K260,'Type Chart'!$C$2:$U$20,16,false)</f>
        <v>4</v>
      </c>
      <c r="AJ260" s="960">
        <f t="array" ref="AJ260">HLOOKUP($J260,'Type Chart'!$C$2:$T$20,17,false)*HLOOKUP($K260,'Type Chart'!$C$2:$U$20,17,false)</f>
        <v>1</v>
      </c>
      <c r="AK260" s="960">
        <f t="array" ref="AK260">HLOOKUP($J260,'Type Chart'!$C$2:$T$20,18,false)*HLOOKUP($K260,'Type Chart'!$C$2:$U$20,18,false)</f>
        <v>1</v>
      </c>
      <c r="AL260" s="960">
        <f t="array" ref="AL260">HLOOKUP($J260,'Type Chart'!$C$2:$T$20,19,false)*HLOOKUP($K260,'Type Chart'!$C$2:$U$20,19,false)</f>
        <v>1</v>
      </c>
      <c r="AM260" s="964" t="s">
        <v>524</v>
      </c>
      <c r="AN260" s="965" t="s">
        <v>1526</v>
      </c>
      <c r="AO260" s="966" t="s">
        <v>1193</v>
      </c>
      <c r="AP260" s="936"/>
      <c r="AQ260" s="967"/>
      <c r="AR260" s="968"/>
      <c r="AS260" s="936"/>
    </row>
    <row r="261" ht="15.75" customHeight="1">
      <c r="A261" s="1099"/>
      <c r="B261" s="948" t="s">
        <v>1787</v>
      </c>
      <c r="C261" s="1197" t="s">
        <v>1788</v>
      </c>
      <c r="D261" s="1197" t="s">
        <v>1788</v>
      </c>
      <c r="E261" s="1147" t="s">
        <v>1788</v>
      </c>
      <c r="F261" s="940"/>
      <c r="G261" s="953"/>
      <c r="H261" s="969"/>
      <c r="I261" s="998" t="s">
        <v>1789</v>
      </c>
      <c r="J261" s="1216" t="s">
        <v>136</v>
      </c>
      <c r="K261" s="1199" t="s">
        <v>216</v>
      </c>
      <c r="L261" s="1200">
        <v>55.0</v>
      </c>
      <c r="M261" s="1201">
        <v>70.0</v>
      </c>
      <c r="N261" s="1201">
        <v>55.0</v>
      </c>
      <c r="O261" s="1201">
        <v>40.0</v>
      </c>
      <c r="P261" s="1201">
        <v>55.0</v>
      </c>
      <c r="Q261" s="1201">
        <v>85.0</v>
      </c>
      <c r="R261" s="960">
        <v>206.0</v>
      </c>
      <c r="S261" s="960">
        <v>269.0</v>
      </c>
      <c r="T261" s="960">
        <v>295.0</v>
      </c>
      <c r="U261" s="960">
        <f t="array" ref="U261">HLOOKUP($J261,'Type Chart'!$C$2:$T$20,2,false)*HLOOKUP($K261,'Type Chart'!$C$2:$U$20,2,false)</f>
        <v>1</v>
      </c>
      <c r="V261" s="960">
        <f t="array" ref="V261">HLOOKUP($J261,'Type Chart'!$C$2:$T$20,3,false)*HLOOKUP($K261,'Type Chart'!$C$2:$U$20,3,false)</f>
        <v>2</v>
      </c>
      <c r="W261" s="960">
        <f t="array" ref="W261">HLOOKUP($J261,'Type Chart'!$C$2:$T$20,4,false)*HLOOKUP($K261,'Type Chart'!$C$2:$U$20,4,false)</f>
        <v>1</v>
      </c>
      <c r="X261" s="960">
        <f t="array" ref="X261">HLOOKUP($J261,'Type Chart'!$C$2:$T$20,5,false)*HLOOKUP($K261,'Type Chart'!$C$2:$U$20,5,false)</f>
        <v>1</v>
      </c>
      <c r="Y261" s="960">
        <f t="array" ref="Y261">HLOOKUP($J261,'Type Chart'!$C$2:$T$20,6,false)*HLOOKUP($K261,'Type Chart'!$C$2:$U$20,6,false)</f>
        <v>1</v>
      </c>
      <c r="Z261" s="960">
        <f t="array" ref="Z261">HLOOKUP($J261,'Type Chart'!$C$2:$T$20,7,false)*HLOOKUP($K261,'Type Chart'!$C$2:$U$20,7,false)</f>
        <v>1</v>
      </c>
      <c r="AA261" s="960">
        <f t="array" ref="AA261">HLOOKUP($J261,'Type Chart'!$C$2:$T$20,8,false)*HLOOKUP($K261,'Type Chart'!$C$2:$U$20,8,false)</f>
        <v>1</v>
      </c>
      <c r="AB261" s="960">
        <f t="array" ref="AB261">HLOOKUP($J261,'Type Chart'!$C$2:$T$20,9,false)*HLOOKUP($K261,'Type Chart'!$C$2:$U$20,9,false)</f>
        <v>0</v>
      </c>
      <c r="AC261" s="960">
        <f t="array" ref="AC261">HLOOKUP($J261,'Type Chart'!$C$2:$T$20,10,false)*HLOOKUP($K261,'Type Chart'!$C$2:$U$20,10,false)</f>
        <v>1</v>
      </c>
      <c r="AD261" s="960">
        <f t="array" ref="AD261">HLOOKUP($J261,'Type Chart'!$C$2:$T$20,11,false)*HLOOKUP($K261,'Type Chart'!$C$2:$U$20,11,false)</f>
        <v>1</v>
      </c>
      <c r="AE261" s="960">
        <f t="array" ref="AE261">HLOOKUP($J261,'Type Chart'!$C$2:$T$20,12,false)*HLOOKUP($K261,'Type Chart'!$C$2:$U$20,12,false)</f>
        <v>1</v>
      </c>
      <c r="AF261" s="960">
        <f t="array" ref="AF261">HLOOKUP($J261,'Type Chart'!$C$2:$T$20,13,false)*HLOOKUP($K261,'Type Chart'!$C$2:$U$20,13,false)</f>
        <v>1</v>
      </c>
      <c r="AG261" s="960">
        <f t="array" ref="AG261">HLOOKUP($J261,'Type Chart'!$C$2:$T$20,14,false)*HLOOKUP($K261,'Type Chart'!$C$2:$U$20,14,false)</f>
        <v>1</v>
      </c>
      <c r="AH261" s="960">
        <f t="array" ref="AH261">HLOOKUP($J261,'Type Chart'!$C$2:$T$20,15,false)*HLOOKUP($K261,'Type Chart'!$C$2:$U$20,15,false)</f>
        <v>1</v>
      </c>
      <c r="AI261" s="960">
        <f t="array" ref="AI261">HLOOKUP($J261,'Type Chart'!$C$2:$T$20,16,false)*HLOOKUP($K261,'Type Chart'!$C$2:$U$20,16,false)</f>
        <v>1</v>
      </c>
      <c r="AJ261" s="960">
        <f t="array" ref="AJ261">HLOOKUP($J261,'Type Chart'!$C$2:$T$20,17,false)*HLOOKUP($K261,'Type Chart'!$C$2:$U$20,17,false)</f>
        <v>1</v>
      </c>
      <c r="AK261" s="960">
        <f t="array" ref="AK261">HLOOKUP($J261,'Type Chart'!$C$2:$T$20,18,false)*HLOOKUP($K261,'Type Chart'!$C$2:$U$20,18,false)</f>
        <v>1</v>
      </c>
      <c r="AL261" s="960">
        <f t="array" ref="AL261">HLOOKUP($J261,'Type Chart'!$C$2:$T$20,19,false)*HLOOKUP($K261,'Type Chart'!$C$2:$U$20,19,false)</f>
        <v>1</v>
      </c>
      <c r="AM261" s="1145" t="s">
        <v>988</v>
      </c>
      <c r="AN261" s="965" t="s">
        <v>1238</v>
      </c>
      <c r="AO261" s="1146" t="s">
        <v>1430</v>
      </c>
      <c r="AP261" s="936"/>
      <c r="AQ261" s="967"/>
      <c r="AR261" s="968"/>
      <c r="AS261" s="936"/>
    </row>
    <row r="262" ht="15.75" customHeight="1">
      <c r="A262" s="1099"/>
      <c r="B262" s="948" t="s">
        <v>1790</v>
      </c>
      <c r="C262" s="1197" t="s">
        <v>1791</v>
      </c>
      <c r="D262" s="1197" t="s">
        <v>1791</v>
      </c>
      <c r="E262" s="1147" t="s">
        <v>1791</v>
      </c>
      <c r="F262" s="940"/>
      <c r="G262" s="953"/>
      <c r="H262" s="969"/>
      <c r="I262" s="998" t="s">
        <v>1792</v>
      </c>
      <c r="J262" s="1228" t="s">
        <v>209</v>
      </c>
      <c r="K262" s="1199" t="s">
        <v>216</v>
      </c>
      <c r="L262" s="1200">
        <v>30.0</v>
      </c>
      <c r="M262" s="1201">
        <v>30.0</v>
      </c>
      <c r="N262" s="1201">
        <v>30.0</v>
      </c>
      <c r="O262" s="1201">
        <v>30.0</v>
      </c>
      <c r="P262" s="1201">
        <v>30.0</v>
      </c>
      <c r="Q262" s="1201">
        <v>30.0</v>
      </c>
      <c r="R262" s="960">
        <v>96.0</v>
      </c>
      <c r="S262" s="960">
        <v>159.0</v>
      </c>
      <c r="T262" s="960">
        <v>174.0</v>
      </c>
      <c r="U262" s="960">
        <f t="array" ref="U262">HLOOKUP($J262,'Type Chart'!$C$2:$T$20,2,false)*HLOOKUP($K262,'Type Chart'!$C$2:$U$20,2,false)</f>
        <v>1</v>
      </c>
      <c r="V262" s="960">
        <f t="array" ref="V262">HLOOKUP($J262,'Type Chart'!$C$2:$T$20,3,false)*HLOOKUP($K262,'Type Chart'!$C$2:$U$20,3,false)</f>
        <v>1</v>
      </c>
      <c r="W262" s="960">
        <f t="array" ref="W262">HLOOKUP($J262,'Type Chart'!$C$2:$T$20,4,false)*HLOOKUP($K262,'Type Chart'!$C$2:$U$20,4,false)</f>
        <v>2</v>
      </c>
      <c r="X262" s="960">
        <f t="array" ref="X262">HLOOKUP($J262,'Type Chart'!$C$2:$T$20,5,false)*HLOOKUP($K262,'Type Chart'!$C$2:$U$20,5,false)</f>
        <v>2</v>
      </c>
      <c r="Y262" s="960">
        <f t="array" ref="Y262">HLOOKUP($J262,'Type Chart'!$C$2:$T$20,6,false)*HLOOKUP($K262,'Type Chart'!$C$2:$U$20,6,false)</f>
        <v>0.5</v>
      </c>
      <c r="Z262" s="960">
        <f t="array" ref="Z262">HLOOKUP($J262,'Type Chart'!$C$2:$T$20,7,false)*HLOOKUP($K262,'Type Chart'!$C$2:$U$20,7,false)</f>
        <v>1</v>
      </c>
      <c r="AA262" s="960">
        <f t="array" ref="AA262">HLOOKUP($J262,'Type Chart'!$C$2:$T$20,8,false)*HLOOKUP($K262,'Type Chart'!$C$2:$U$20,8,false)</f>
        <v>2</v>
      </c>
      <c r="AB262" s="960">
        <f t="array" ref="AB262">HLOOKUP($J262,'Type Chart'!$C$2:$T$20,9,false)*HLOOKUP($K262,'Type Chart'!$C$2:$U$20,9,false)</f>
        <v>1</v>
      </c>
      <c r="AC262" s="960">
        <f t="array" ref="AC262">HLOOKUP($J262,'Type Chart'!$C$2:$T$20,10,false)*HLOOKUP($K262,'Type Chart'!$C$2:$U$20,10,false)</f>
        <v>1</v>
      </c>
      <c r="AD262" s="960">
        <f t="array" ref="AD262">HLOOKUP($J262,'Type Chart'!$C$2:$T$20,11,false)*HLOOKUP($K262,'Type Chart'!$C$2:$U$20,11,false)</f>
        <v>2</v>
      </c>
      <c r="AE262" s="960">
        <f t="array" ref="AE262">HLOOKUP($J262,'Type Chart'!$C$2:$T$20,12,false)*HLOOKUP($K262,'Type Chart'!$C$2:$U$20,12,false)</f>
        <v>0.5</v>
      </c>
      <c r="AF262" s="960">
        <f t="array" ref="AF262">HLOOKUP($J262,'Type Chart'!$C$2:$T$20,13,false)*HLOOKUP($K262,'Type Chart'!$C$2:$U$20,13,false)</f>
        <v>0.5</v>
      </c>
      <c r="AG262" s="960">
        <f t="array" ref="AG262">HLOOKUP($J262,'Type Chart'!$C$2:$T$20,14,false)*HLOOKUP($K262,'Type Chart'!$C$2:$U$20,14,false)</f>
        <v>0.5</v>
      </c>
      <c r="AH262" s="960">
        <f t="array" ref="AH262">HLOOKUP($J262,'Type Chart'!$C$2:$T$20,15,false)*HLOOKUP($K262,'Type Chart'!$C$2:$U$20,15,false)</f>
        <v>1</v>
      </c>
      <c r="AI262" s="960">
        <f t="array" ref="AI262">HLOOKUP($J262,'Type Chart'!$C$2:$T$20,16,false)*HLOOKUP($K262,'Type Chart'!$C$2:$U$20,16,false)</f>
        <v>2</v>
      </c>
      <c r="AJ262" s="960">
        <f t="array" ref="AJ262">HLOOKUP($J262,'Type Chart'!$C$2:$T$20,17,false)*HLOOKUP($K262,'Type Chart'!$C$2:$U$20,17,false)</f>
        <v>1</v>
      </c>
      <c r="AK262" s="960">
        <f t="array" ref="AK262">HLOOKUP($J262,'Type Chart'!$C$2:$T$20,18,false)*HLOOKUP($K262,'Type Chart'!$C$2:$U$20,18,false)</f>
        <v>1</v>
      </c>
      <c r="AL262" s="960">
        <f t="array" ref="AL262">HLOOKUP($J262,'Type Chart'!$C$2:$T$20,19,false)*HLOOKUP($K262,'Type Chart'!$C$2:$U$20,19,false)</f>
        <v>1</v>
      </c>
      <c r="AM262" s="1145" t="s">
        <v>524</v>
      </c>
      <c r="AN262" s="1202" t="s">
        <v>831</v>
      </c>
      <c r="AO262" s="1146" t="s">
        <v>1403</v>
      </c>
      <c r="AP262" s="936"/>
      <c r="AQ262" s="967"/>
      <c r="AR262" s="968"/>
      <c r="AS262" s="936"/>
    </row>
    <row r="263" ht="15.75" customHeight="1">
      <c r="A263" s="936"/>
      <c r="B263" s="948" t="s">
        <v>1793</v>
      </c>
      <c r="C263" s="950" t="s">
        <v>1794</v>
      </c>
      <c r="D263" s="950" t="s">
        <v>1794</v>
      </c>
      <c r="E263" s="952" t="s">
        <v>1794</v>
      </c>
      <c r="F263" s="940"/>
      <c r="G263" s="953"/>
      <c r="H263" s="969"/>
      <c r="I263" s="956" t="s">
        <v>869</v>
      </c>
      <c r="J263" s="957" t="s">
        <v>209</v>
      </c>
      <c r="K263" s="984" t="s">
        <v>216</v>
      </c>
      <c r="L263" s="959">
        <v>75.0</v>
      </c>
      <c r="M263" s="960">
        <v>75.0</v>
      </c>
      <c r="N263" s="960">
        <v>55.0</v>
      </c>
      <c r="O263" s="960">
        <v>105.0</v>
      </c>
      <c r="P263" s="960">
        <v>85.0</v>
      </c>
      <c r="Q263" s="960">
        <v>30.0</v>
      </c>
      <c r="R263" s="960">
        <v>96.0</v>
      </c>
      <c r="S263" s="960">
        <v>159.0</v>
      </c>
      <c r="T263" s="960">
        <v>174.0</v>
      </c>
      <c r="U263" s="960">
        <f t="array" ref="U263">HLOOKUP($J263,'Type Chart'!$C$2:$T$20,2,false)*HLOOKUP($K263,'Type Chart'!$C$2:$U$20,2,false)</f>
        <v>1</v>
      </c>
      <c r="V263" s="960">
        <f t="array" ref="V263">HLOOKUP($J263,'Type Chart'!$C$2:$T$20,3,false)*HLOOKUP($K263,'Type Chart'!$C$2:$U$20,3,false)</f>
        <v>1</v>
      </c>
      <c r="W263" s="960">
        <f t="array" ref="W263">HLOOKUP($J263,'Type Chart'!$C$2:$T$20,4,false)*HLOOKUP($K263,'Type Chart'!$C$2:$U$20,4,false)</f>
        <v>2</v>
      </c>
      <c r="X263" s="960">
        <f t="array" ref="X263">HLOOKUP($J263,'Type Chart'!$C$2:$T$20,5,false)*HLOOKUP($K263,'Type Chart'!$C$2:$U$20,5,false)</f>
        <v>2</v>
      </c>
      <c r="Y263" s="960">
        <f t="array" ref="Y263">HLOOKUP($J263,'Type Chart'!$C$2:$T$20,6,false)*HLOOKUP($K263,'Type Chart'!$C$2:$U$20,6,false)</f>
        <v>0.5</v>
      </c>
      <c r="Z263" s="960">
        <f t="array" ref="Z263">HLOOKUP($J263,'Type Chart'!$C$2:$T$20,7,false)*HLOOKUP($K263,'Type Chart'!$C$2:$U$20,7,false)</f>
        <v>1</v>
      </c>
      <c r="AA263" s="960">
        <f t="array" ref="AA263">HLOOKUP($J263,'Type Chart'!$C$2:$T$20,8,false)*HLOOKUP($K263,'Type Chart'!$C$2:$U$20,8,false)</f>
        <v>2</v>
      </c>
      <c r="AB263" s="960">
        <f t="array" ref="AB263">HLOOKUP($J263,'Type Chart'!$C$2:$T$20,9,false)*HLOOKUP($K263,'Type Chart'!$C$2:$U$20,9,false)</f>
        <v>1</v>
      </c>
      <c r="AC263" s="960">
        <f t="array" ref="AC263">HLOOKUP($J263,'Type Chart'!$C$2:$T$20,10,false)*HLOOKUP($K263,'Type Chart'!$C$2:$U$20,10,false)</f>
        <v>1</v>
      </c>
      <c r="AD263" s="960">
        <f t="array" ref="AD263">HLOOKUP($J263,'Type Chart'!$C$2:$T$20,11,false)*HLOOKUP($K263,'Type Chart'!$C$2:$U$20,11,false)</f>
        <v>2</v>
      </c>
      <c r="AE263" s="960">
        <f t="array" ref="AE263">HLOOKUP($J263,'Type Chart'!$C$2:$T$20,12,false)*HLOOKUP($K263,'Type Chart'!$C$2:$U$20,12,false)</f>
        <v>0.5</v>
      </c>
      <c r="AF263" s="960">
        <f t="array" ref="AF263">HLOOKUP($J263,'Type Chart'!$C$2:$T$20,13,false)*HLOOKUP($K263,'Type Chart'!$C$2:$U$20,13,false)</f>
        <v>0.5</v>
      </c>
      <c r="AG263" s="960">
        <f t="array" ref="AG263">HLOOKUP($J263,'Type Chart'!$C$2:$T$20,14,false)*HLOOKUP($K263,'Type Chart'!$C$2:$U$20,14,false)</f>
        <v>0.5</v>
      </c>
      <c r="AH263" s="960">
        <f t="array" ref="AH263">HLOOKUP($J263,'Type Chart'!$C$2:$T$20,15,false)*HLOOKUP($K263,'Type Chart'!$C$2:$U$20,15,false)</f>
        <v>1</v>
      </c>
      <c r="AI263" s="960">
        <f t="array" ref="AI263">HLOOKUP($J263,'Type Chart'!$C$2:$T$20,16,false)*HLOOKUP($K263,'Type Chart'!$C$2:$U$20,16,false)</f>
        <v>2</v>
      </c>
      <c r="AJ263" s="960">
        <f t="array" ref="AJ263">HLOOKUP($J263,'Type Chart'!$C$2:$T$20,17,false)*HLOOKUP($K263,'Type Chart'!$C$2:$U$20,17,false)</f>
        <v>1</v>
      </c>
      <c r="AK263" s="960">
        <f t="array" ref="AK263">HLOOKUP($J263,'Type Chart'!$C$2:$T$20,18,false)*HLOOKUP($K263,'Type Chart'!$C$2:$U$20,18,false)</f>
        <v>1</v>
      </c>
      <c r="AL263" s="960">
        <f t="array" ref="AL263">HLOOKUP($J263,'Type Chart'!$C$2:$T$20,19,false)*HLOOKUP($K263,'Type Chart'!$C$2:$U$20,19,false)</f>
        <v>1</v>
      </c>
      <c r="AM263" s="964" t="s">
        <v>524</v>
      </c>
      <c r="AN263" s="965" t="s">
        <v>831</v>
      </c>
      <c r="AO263" s="966" t="s">
        <v>1403</v>
      </c>
      <c r="AP263" s="936"/>
      <c r="AQ263" s="967"/>
      <c r="AR263" s="968"/>
      <c r="AS263" s="936"/>
    </row>
    <row r="264" ht="15.75" customHeight="1">
      <c r="A264" s="1099"/>
      <c r="B264" s="948" t="s">
        <v>1795</v>
      </c>
      <c r="C264" s="950" t="s">
        <v>1796</v>
      </c>
      <c r="D264" s="950" t="s">
        <v>1796</v>
      </c>
      <c r="E264" s="952" t="s">
        <v>1796</v>
      </c>
      <c r="F264" s="940"/>
      <c r="G264" s="953"/>
      <c r="H264" s="969"/>
      <c r="I264" s="956" t="s">
        <v>1797</v>
      </c>
      <c r="J264" s="1180" t="s">
        <v>343</v>
      </c>
      <c r="K264" s="1001" t="s">
        <v>128</v>
      </c>
      <c r="L264" s="959">
        <v>65.0</v>
      </c>
      <c r="M264" s="960">
        <v>65.0</v>
      </c>
      <c r="N264" s="960">
        <v>45.0</v>
      </c>
      <c r="O264" s="960">
        <v>75.0</v>
      </c>
      <c r="P264" s="960">
        <v>45.0</v>
      </c>
      <c r="Q264" s="960">
        <v>95.0</v>
      </c>
      <c r="R264" s="960">
        <v>226.0</v>
      </c>
      <c r="S264" s="960">
        <v>289.0</v>
      </c>
      <c r="T264" s="960">
        <v>317.0</v>
      </c>
      <c r="U264" s="960">
        <f t="array" ref="U264">HLOOKUP($J264,'Type Chart'!$C$2:$T$20,2,false)*HLOOKUP($K264,'Type Chart'!$C$2:$U$20,2,false)</f>
        <v>1</v>
      </c>
      <c r="V264" s="960">
        <f t="array" ref="V264">HLOOKUP($J264,'Type Chart'!$C$2:$T$20,3,false)*HLOOKUP($K264,'Type Chart'!$C$2:$U$20,3,false)</f>
        <v>0.25</v>
      </c>
      <c r="W264" s="960">
        <f t="array" ref="W264">HLOOKUP($J264,'Type Chart'!$C$2:$T$20,4,false)*HLOOKUP($K264,'Type Chart'!$C$2:$U$20,4,false)</f>
        <v>2</v>
      </c>
      <c r="X264" s="960">
        <f t="array" ref="X264">HLOOKUP($J264,'Type Chart'!$C$2:$T$20,5,false)*HLOOKUP($K264,'Type Chart'!$C$2:$U$20,5,false)</f>
        <v>1</v>
      </c>
      <c r="Y264" s="960">
        <f t="array" ref="Y264">HLOOKUP($J264,'Type Chart'!$C$2:$T$20,6,false)*HLOOKUP($K264,'Type Chart'!$C$2:$U$20,6,false)</f>
        <v>0</v>
      </c>
      <c r="Z264" s="960">
        <f t="array" ref="Z264">HLOOKUP($J264,'Type Chart'!$C$2:$T$20,7,false)*HLOOKUP($K264,'Type Chart'!$C$2:$U$20,7,false)</f>
        <v>4</v>
      </c>
      <c r="AA264" s="960">
        <f t="array" ref="AA264">HLOOKUP($J264,'Type Chart'!$C$2:$T$20,8,false)*HLOOKUP($K264,'Type Chart'!$C$2:$U$20,8,false)</f>
        <v>0.5</v>
      </c>
      <c r="AB264" s="960">
        <f t="array" ref="AB264">HLOOKUP($J264,'Type Chart'!$C$2:$T$20,9,false)*HLOOKUP($K264,'Type Chart'!$C$2:$U$20,9,false)</f>
        <v>1</v>
      </c>
      <c r="AC264" s="960">
        <f t="array" ref="AC264">HLOOKUP($J264,'Type Chart'!$C$2:$T$20,10,false)*HLOOKUP($K264,'Type Chart'!$C$2:$U$20,10,false)</f>
        <v>1</v>
      </c>
      <c r="AD264" s="960">
        <f t="array" ref="AD264">HLOOKUP($J264,'Type Chart'!$C$2:$T$20,11,false)*HLOOKUP($K264,'Type Chart'!$C$2:$U$20,11,false)</f>
        <v>2</v>
      </c>
      <c r="AE264" s="960">
        <f t="array" ref="AE264">HLOOKUP($J264,'Type Chart'!$C$2:$T$20,12,false)*HLOOKUP($K264,'Type Chart'!$C$2:$U$20,12,false)</f>
        <v>1</v>
      </c>
      <c r="AF264" s="960">
        <f t="array" ref="AF264">HLOOKUP($J264,'Type Chart'!$C$2:$T$20,13,false)*HLOOKUP($K264,'Type Chart'!$C$2:$U$20,13,false)</f>
        <v>0.25</v>
      </c>
      <c r="AG264" s="960">
        <f t="array" ref="AG264">HLOOKUP($J264,'Type Chart'!$C$2:$T$20,14,false)*HLOOKUP($K264,'Type Chart'!$C$2:$U$20,14,false)</f>
        <v>2</v>
      </c>
      <c r="AH264" s="960">
        <f t="array" ref="AH264">HLOOKUP($J264,'Type Chart'!$C$2:$T$20,15,false)*HLOOKUP($K264,'Type Chart'!$C$2:$U$20,15,false)</f>
        <v>1</v>
      </c>
      <c r="AI264" s="960">
        <f t="array" ref="AI264">HLOOKUP($J264,'Type Chart'!$C$2:$T$20,16,false)*HLOOKUP($K264,'Type Chart'!$C$2:$U$20,16,false)</f>
        <v>2</v>
      </c>
      <c r="AJ264" s="960">
        <f t="array" ref="AJ264">HLOOKUP($J264,'Type Chart'!$C$2:$T$20,17,false)*HLOOKUP($K264,'Type Chart'!$C$2:$U$20,17,false)</f>
        <v>1</v>
      </c>
      <c r="AK264" s="960">
        <f t="array" ref="AK264">HLOOKUP($J264,'Type Chart'!$C$2:$T$20,18,false)*HLOOKUP($K264,'Type Chart'!$C$2:$U$20,18,false)</f>
        <v>1</v>
      </c>
      <c r="AL264" s="960">
        <f t="array" ref="AL264">HLOOKUP($J264,'Type Chart'!$C$2:$T$20,19,false)*HLOOKUP($K264,'Type Chart'!$C$2:$U$20,19,false)</f>
        <v>1</v>
      </c>
      <c r="AM264" s="1145" t="s">
        <v>1798</v>
      </c>
      <c r="AN264" s="1202" t="s">
        <v>1002</v>
      </c>
      <c r="AO264" s="1146" t="s">
        <v>1188</v>
      </c>
      <c r="AP264" s="936"/>
      <c r="AQ264" s="967"/>
      <c r="AR264" s="968"/>
      <c r="AS264" s="936"/>
    </row>
    <row r="265" ht="15.75" customHeight="1">
      <c r="A265" s="936"/>
      <c r="B265" s="948" t="s">
        <v>1799</v>
      </c>
      <c r="C265" s="950" t="s">
        <v>1800</v>
      </c>
      <c r="D265" s="950" t="s">
        <v>1800</v>
      </c>
      <c r="E265" s="952" t="s">
        <v>1800</v>
      </c>
      <c r="F265" s="940"/>
      <c r="G265" s="953"/>
      <c r="H265" s="969"/>
      <c r="I265" s="956" t="s">
        <v>1801</v>
      </c>
      <c r="J265" s="1056" t="s">
        <v>81</v>
      </c>
      <c r="K265" s="1204" t="s">
        <v>80</v>
      </c>
      <c r="L265" s="959">
        <v>55.0</v>
      </c>
      <c r="M265" s="960">
        <v>45.0</v>
      </c>
      <c r="N265" s="960">
        <v>45.0</v>
      </c>
      <c r="O265" s="960">
        <v>25.0</v>
      </c>
      <c r="P265" s="960">
        <v>25.0</v>
      </c>
      <c r="Q265" s="960">
        <v>15.0</v>
      </c>
      <c r="R265" s="960">
        <v>66.0</v>
      </c>
      <c r="S265" s="960">
        <v>129.0</v>
      </c>
      <c r="T265" s="960">
        <v>141.0</v>
      </c>
      <c r="U265" s="960">
        <f t="array" ref="U265">HLOOKUP($J265,'Type Chart'!$C$2:$T$20,2,false)*HLOOKUP($K265,'Type Chart'!$C$2:$U$20,2,false)</f>
        <v>1</v>
      </c>
      <c r="V265" s="960">
        <f t="array" ref="V265">HLOOKUP($J265,'Type Chart'!$C$2:$T$20,3,false)*HLOOKUP($K265,'Type Chart'!$C$2:$U$20,3,false)</f>
        <v>1</v>
      </c>
      <c r="W265" s="960">
        <f t="array" ref="W265">HLOOKUP($J265,'Type Chart'!$C$2:$T$20,4,false)*HLOOKUP($K265,'Type Chart'!$C$2:$U$20,4,false)</f>
        <v>1</v>
      </c>
      <c r="X265" s="960">
        <f t="array" ref="X265">HLOOKUP($J265,'Type Chart'!$C$2:$T$20,5,false)*HLOOKUP($K265,'Type Chart'!$C$2:$U$20,5,false)</f>
        <v>0.5</v>
      </c>
      <c r="Y265" s="960">
        <f t="array" ref="Y265">HLOOKUP($J265,'Type Chart'!$C$2:$T$20,6,false)*HLOOKUP($K265,'Type Chart'!$C$2:$U$20,6,false)</f>
        <v>1</v>
      </c>
      <c r="Z265" s="960">
        <f t="array" ref="Z265">HLOOKUP($J265,'Type Chart'!$C$2:$T$20,7,false)*HLOOKUP($K265,'Type Chart'!$C$2:$U$20,7,false)</f>
        <v>0.5</v>
      </c>
      <c r="AA265" s="960">
        <f t="array" ref="AA265">HLOOKUP($J265,'Type Chart'!$C$2:$T$20,8,false)*HLOOKUP($K265,'Type Chart'!$C$2:$U$20,8,false)</f>
        <v>1</v>
      </c>
      <c r="AB265" s="960">
        <f t="array" ref="AB265">HLOOKUP($J265,'Type Chart'!$C$2:$T$20,9,false)*HLOOKUP($K265,'Type Chart'!$C$2:$U$20,9,false)</f>
        <v>1</v>
      </c>
      <c r="AC265" s="960">
        <f t="array" ref="AC265">HLOOKUP($J265,'Type Chart'!$C$2:$T$20,10,false)*HLOOKUP($K265,'Type Chart'!$C$2:$U$20,10,false)</f>
        <v>0.5</v>
      </c>
      <c r="AD265" s="960">
        <f t="array" ref="AD265">HLOOKUP($J265,'Type Chart'!$C$2:$T$20,11,false)*HLOOKUP($K265,'Type Chart'!$C$2:$U$20,11,false)</f>
        <v>0.5</v>
      </c>
      <c r="AE265" s="960">
        <f t="array" ref="AE265">HLOOKUP($J265,'Type Chart'!$C$2:$T$20,12,false)*HLOOKUP($K265,'Type Chart'!$C$2:$U$20,12,false)</f>
        <v>1</v>
      </c>
      <c r="AF265" s="960">
        <f t="array" ref="AF265">HLOOKUP($J265,'Type Chart'!$C$2:$T$20,13,false)*HLOOKUP($K265,'Type Chart'!$C$2:$U$20,13,false)</f>
        <v>4</v>
      </c>
      <c r="AG265" s="960">
        <f t="array" ref="AG265">HLOOKUP($J265,'Type Chart'!$C$2:$T$20,14,false)*HLOOKUP($K265,'Type Chart'!$C$2:$U$20,14,false)</f>
        <v>0</v>
      </c>
      <c r="AH265" s="960">
        <f t="array" ref="AH265">HLOOKUP($J265,'Type Chart'!$C$2:$T$20,15,false)*HLOOKUP($K265,'Type Chart'!$C$2:$U$20,15,false)</f>
        <v>1</v>
      </c>
      <c r="AI265" s="960">
        <f t="array" ref="AI265">HLOOKUP($J265,'Type Chart'!$C$2:$T$20,16,false)*HLOOKUP($K265,'Type Chart'!$C$2:$U$20,16,false)</f>
        <v>1</v>
      </c>
      <c r="AJ265" s="960">
        <f t="array" ref="AJ265">HLOOKUP($J265,'Type Chart'!$C$2:$T$20,17,false)*HLOOKUP($K265,'Type Chart'!$C$2:$U$20,17,false)</f>
        <v>1</v>
      </c>
      <c r="AK265" s="960">
        <f t="array" ref="AK265">HLOOKUP($J265,'Type Chart'!$C$2:$T$20,18,false)*HLOOKUP($K265,'Type Chart'!$C$2:$U$20,18,false)</f>
        <v>1</v>
      </c>
      <c r="AL265" s="960">
        <f t="array" ref="AL265">HLOOKUP($J265,'Type Chart'!$C$2:$T$20,19,false)*HLOOKUP($K265,'Type Chart'!$C$2:$U$20,19,false)</f>
        <v>1</v>
      </c>
      <c r="AM265" s="964" t="s">
        <v>1211</v>
      </c>
      <c r="AN265" s="965" t="s">
        <v>1283</v>
      </c>
      <c r="AO265" s="966" t="s">
        <v>1169</v>
      </c>
      <c r="AP265" s="936"/>
      <c r="AQ265" s="967"/>
      <c r="AR265" s="968"/>
      <c r="AS265" s="936"/>
    </row>
    <row r="266" ht="15.75" customHeight="1">
      <c r="A266" s="1099"/>
      <c r="B266" s="948" t="s">
        <v>1802</v>
      </c>
      <c r="C266" s="950" t="s">
        <v>1803</v>
      </c>
      <c r="D266" s="950" t="s">
        <v>1803</v>
      </c>
      <c r="E266" s="952" t="s">
        <v>1803</v>
      </c>
      <c r="F266" s="940"/>
      <c r="G266" s="953"/>
      <c r="H266" s="969"/>
      <c r="I266" s="956" t="s">
        <v>1804</v>
      </c>
      <c r="J266" s="958" t="s">
        <v>178</v>
      </c>
      <c r="K266" s="1204" t="s">
        <v>80</v>
      </c>
      <c r="L266" s="959">
        <v>55.0</v>
      </c>
      <c r="M266" s="960">
        <v>45.0</v>
      </c>
      <c r="N266" s="960">
        <v>45.0</v>
      </c>
      <c r="O266" s="960">
        <v>25.0</v>
      </c>
      <c r="P266" s="960">
        <v>25.0</v>
      </c>
      <c r="Q266" s="960">
        <v>15.0</v>
      </c>
      <c r="R266" s="960">
        <v>66.0</v>
      </c>
      <c r="S266" s="960">
        <v>129.0</v>
      </c>
      <c r="T266" s="960">
        <v>141.0</v>
      </c>
      <c r="U266" s="960">
        <f t="array" ref="U266">HLOOKUP($J266,'Type Chart'!$C$2:$T$20,2,false)*HLOOKUP($K266,'Type Chart'!$C$2:$U$20,2,false)</f>
        <v>1</v>
      </c>
      <c r="V266" s="960">
        <f t="array" ref="V266">HLOOKUP($J266,'Type Chart'!$C$2:$T$20,3,false)*HLOOKUP($K266,'Type Chart'!$C$2:$U$20,3,false)</f>
        <v>0.5</v>
      </c>
      <c r="W266" s="960">
        <f t="array" ref="W266">HLOOKUP($J266,'Type Chart'!$C$2:$T$20,4,false)*HLOOKUP($K266,'Type Chart'!$C$2:$U$20,4,false)</f>
        <v>1</v>
      </c>
      <c r="X266" s="960">
        <f t="array" ref="X266">HLOOKUP($J266,'Type Chart'!$C$2:$T$20,5,false)*HLOOKUP($K266,'Type Chart'!$C$2:$U$20,5,false)</f>
        <v>0.25</v>
      </c>
      <c r="Y266" s="960">
        <f t="array" ref="Y266">HLOOKUP($J266,'Type Chart'!$C$2:$T$20,6,false)*HLOOKUP($K266,'Type Chart'!$C$2:$U$20,6,false)</f>
        <v>2</v>
      </c>
      <c r="Z266" s="960">
        <f t="array" ref="Z266">HLOOKUP($J266,'Type Chart'!$C$2:$T$20,7,false)*HLOOKUP($K266,'Type Chart'!$C$2:$U$20,7,false)</f>
        <v>0.5</v>
      </c>
      <c r="AA266" s="960">
        <f t="array" ref="AA266">HLOOKUP($J266,'Type Chart'!$C$2:$T$20,8,false)*HLOOKUP($K266,'Type Chart'!$C$2:$U$20,8,false)</f>
        <v>0.5</v>
      </c>
      <c r="AB266" s="960">
        <f t="array" ref="AB266">HLOOKUP($J266,'Type Chart'!$C$2:$T$20,9,false)*HLOOKUP($K266,'Type Chart'!$C$2:$U$20,9,false)</f>
        <v>1</v>
      </c>
      <c r="AC266" s="960">
        <f t="array" ref="AC266">HLOOKUP($J266,'Type Chart'!$C$2:$T$20,10,false)*HLOOKUP($K266,'Type Chart'!$C$2:$U$20,10,false)</f>
        <v>1</v>
      </c>
      <c r="AD266" s="960">
        <f t="array" ref="AD266">HLOOKUP($J266,'Type Chart'!$C$2:$T$20,11,false)*HLOOKUP($K266,'Type Chart'!$C$2:$U$20,11,false)</f>
        <v>1</v>
      </c>
      <c r="AE266" s="960">
        <f t="array" ref="AE266">HLOOKUP($J266,'Type Chart'!$C$2:$T$20,12,false)*HLOOKUP($K266,'Type Chart'!$C$2:$U$20,12,false)</f>
        <v>2</v>
      </c>
      <c r="AF266" s="960">
        <f t="array" ref="AF266">HLOOKUP($J266,'Type Chart'!$C$2:$T$20,13,false)*HLOOKUP($K266,'Type Chart'!$C$2:$U$20,13,false)</f>
        <v>1</v>
      </c>
      <c r="AG266" s="960">
        <f t="array" ref="AG266">HLOOKUP($J266,'Type Chart'!$C$2:$T$20,14,false)*HLOOKUP($K266,'Type Chart'!$C$2:$U$20,14,false)</f>
        <v>0</v>
      </c>
      <c r="AH266" s="960">
        <f t="array" ref="AH266">HLOOKUP($J266,'Type Chart'!$C$2:$T$20,15,false)*HLOOKUP($K266,'Type Chart'!$C$2:$U$20,15,false)</f>
        <v>2</v>
      </c>
      <c r="AI266" s="960">
        <f t="array" ref="AI266">HLOOKUP($J266,'Type Chart'!$C$2:$T$20,16,false)*HLOOKUP($K266,'Type Chart'!$C$2:$U$20,16,false)</f>
        <v>2</v>
      </c>
      <c r="AJ266" s="960">
        <f t="array" ref="AJ266">HLOOKUP($J266,'Type Chart'!$C$2:$T$20,17,false)*HLOOKUP($K266,'Type Chart'!$C$2:$U$20,17,false)</f>
        <v>1</v>
      </c>
      <c r="AK266" s="960">
        <f t="array" ref="AK266">HLOOKUP($J266,'Type Chart'!$C$2:$T$20,18,false)*HLOOKUP($K266,'Type Chart'!$C$2:$U$20,18,false)</f>
        <v>1</v>
      </c>
      <c r="AL266" s="960">
        <f t="array" ref="AL266">HLOOKUP($J266,'Type Chart'!$C$2:$T$20,19,false)*HLOOKUP($K266,'Type Chart'!$C$2:$U$20,19,false)</f>
        <v>0.5</v>
      </c>
      <c r="AM266" s="1145" t="s">
        <v>1146</v>
      </c>
      <c r="AN266" s="1202" t="s">
        <v>1283</v>
      </c>
      <c r="AO266" s="1146" t="s">
        <v>1169</v>
      </c>
      <c r="AP266" s="936"/>
      <c r="AQ266" s="967"/>
      <c r="AR266" s="968"/>
      <c r="AS266" s="936"/>
    </row>
    <row r="267" ht="15.75" customHeight="1">
      <c r="A267" s="1099"/>
      <c r="B267" s="948" t="s">
        <v>1805</v>
      </c>
      <c r="C267" s="950" t="s">
        <v>1806</v>
      </c>
      <c r="D267" s="950" t="s">
        <v>1806</v>
      </c>
      <c r="E267" s="952" t="s">
        <v>1806</v>
      </c>
      <c r="F267" s="940"/>
      <c r="G267" s="953"/>
      <c r="H267" s="969"/>
      <c r="I267" s="956" t="s">
        <v>569</v>
      </c>
      <c r="J267" s="1056" t="s">
        <v>81</v>
      </c>
      <c r="K267" s="1204" t="s">
        <v>80</v>
      </c>
      <c r="L267" s="959">
        <v>95.0</v>
      </c>
      <c r="M267" s="960">
        <v>85.0</v>
      </c>
      <c r="N267" s="960">
        <v>85.0</v>
      </c>
      <c r="O267" s="960">
        <v>65.0</v>
      </c>
      <c r="P267" s="960">
        <v>65.0</v>
      </c>
      <c r="Q267" s="960">
        <v>35.0</v>
      </c>
      <c r="R267" s="960">
        <v>106.0</v>
      </c>
      <c r="S267" s="960">
        <v>169.0</v>
      </c>
      <c r="T267" s="960">
        <v>185.0</v>
      </c>
      <c r="U267" s="960">
        <f t="array" ref="U267">HLOOKUP($J267,'Type Chart'!$C$2:$T$20,2,false)*HLOOKUP($K267,'Type Chart'!$C$2:$U$20,2,false)</f>
        <v>1</v>
      </c>
      <c r="V267" s="960">
        <f t="array" ref="V267">HLOOKUP($J267,'Type Chart'!$C$2:$T$20,3,false)*HLOOKUP($K267,'Type Chart'!$C$2:$U$20,3,false)</f>
        <v>1</v>
      </c>
      <c r="W267" s="960">
        <f t="array" ref="W267">HLOOKUP($J267,'Type Chart'!$C$2:$T$20,4,false)*HLOOKUP($K267,'Type Chart'!$C$2:$U$20,4,false)</f>
        <v>1</v>
      </c>
      <c r="X267" s="960">
        <f t="array" ref="X267">HLOOKUP($J267,'Type Chart'!$C$2:$T$20,5,false)*HLOOKUP($K267,'Type Chart'!$C$2:$U$20,5,false)</f>
        <v>0.5</v>
      </c>
      <c r="Y267" s="960">
        <f t="array" ref="Y267">HLOOKUP($J267,'Type Chart'!$C$2:$T$20,6,false)*HLOOKUP($K267,'Type Chart'!$C$2:$U$20,6,false)</f>
        <v>1</v>
      </c>
      <c r="Z267" s="960">
        <f t="array" ref="Z267">HLOOKUP($J267,'Type Chart'!$C$2:$T$20,7,false)*HLOOKUP($K267,'Type Chart'!$C$2:$U$20,7,false)</f>
        <v>0.5</v>
      </c>
      <c r="AA267" s="960">
        <f t="array" ref="AA267">HLOOKUP($J267,'Type Chart'!$C$2:$T$20,8,false)*HLOOKUP($K267,'Type Chart'!$C$2:$U$20,8,false)</f>
        <v>1</v>
      </c>
      <c r="AB267" s="960">
        <f t="array" ref="AB267">HLOOKUP($J267,'Type Chart'!$C$2:$T$20,9,false)*HLOOKUP($K267,'Type Chart'!$C$2:$U$20,9,false)</f>
        <v>1</v>
      </c>
      <c r="AC267" s="960">
        <f t="array" ref="AC267">HLOOKUP($J267,'Type Chart'!$C$2:$T$20,10,false)*HLOOKUP($K267,'Type Chart'!$C$2:$U$20,10,false)</f>
        <v>0.5</v>
      </c>
      <c r="AD267" s="960">
        <f t="array" ref="AD267">HLOOKUP($J267,'Type Chart'!$C$2:$T$20,11,false)*HLOOKUP($K267,'Type Chart'!$C$2:$U$20,11,false)</f>
        <v>0.5</v>
      </c>
      <c r="AE267" s="960">
        <f t="array" ref="AE267">HLOOKUP($J267,'Type Chart'!$C$2:$T$20,12,false)*HLOOKUP($K267,'Type Chart'!$C$2:$U$20,12,false)</f>
        <v>1</v>
      </c>
      <c r="AF267" s="960">
        <f t="array" ref="AF267">HLOOKUP($J267,'Type Chart'!$C$2:$T$20,13,false)*HLOOKUP($K267,'Type Chart'!$C$2:$U$20,13,false)</f>
        <v>4</v>
      </c>
      <c r="AG267" s="960">
        <f t="array" ref="AG267">HLOOKUP($J267,'Type Chart'!$C$2:$T$20,14,false)*HLOOKUP($K267,'Type Chart'!$C$2:$U$20,14,false)</f>
        <v>0</v>
      </c>
      <c r="AH267" s="960">
        <f t="array" ref="AH267">HLOOKUP($J267,'Type Chart'!$C$2:$T$20,15,false)*HLOOKUP($K267,'Type Chart'!$C$2:$U$20,15,false)</f>
        <v>1</v>
      </c>
      <c r="AI267" s="960">
        <f t="array" ref="AI267">HLOOKUP($J267,'Type Chart'!$C$2:$T$20,16,false)*HLOOKUP($K267,'Type Chart'!$C$2:$U$20,16,false)</f>
        <v>1</v>
      </c>
      <c r="AJ267" s="960">
        <f t="array" ref="AJ267">HLOOKUP($J267,'Type Chart'!$C$2:$T$20,17,false)*HLOOKUP($K267,'Type Chart'!$C$2:$U$20,17,false)</f>
        <v>1</v>
      </c>
      <c r="AK267" s="960">
        <f t="array" ref="AK267">HLOOKUP($J267,'Type Chart'!$C$2:$T$20,18,false)*HLOOKUP($K267,'Type Chart'!$C$2:$U$20,18,false)</f>
        <v>1</v>
      </c>
      <c r="AL267" s="960">
        <f t="array" ref="AL267">HLOOKUP($J267,'Type Chart'!$C$2:$T$20,19,false)*HLOOKUP($K267,'Type Chart'!$C$2:$U$20,19,false)</f>
        <v>1</v>
      </c>
      <c r="AM267" s="1145" t="s">
        <v>1211</v>
      </c>
      <c r="AN267" s="1202" t="s">
        <v>1283</v>
      </c>
      <c r="AO267" s="1146" t="s">
        <v>1169</v>
      </c>
      <c r="AP267" s="936"/>
      <c r="AQ267" s="967"/>
      <c r="AR267" s="968"/>
      <c r="AS267" s="936"/>
    </row>
    <row r="268" ht="15.75" customHeight="1">
      <c r="A268" s="936"/>
      <c r="B268" s="948" t="s">
        <v>1807</v>
      </c>
      <c r="C268" s="950" t="s">
        <v>1808</v>
      </c>
      <c r="D268" s="950" t="s">
        <v>1808</v>
      </c>
      <c r="E268" s="952" t="s">
        <v>1808</v>
      </c>
      <c r="F268" s="940"/>
      <c r="G268" s="953"/>
      <c r="H268" s="969"/>
      <c r="I268" s="956" t="s">
        <v>622</v>
      </c>
      <c r="J268" s="1203" t="s">
        <v>344</v>
      </c>
      <c r="K268" s="984" t="s">
        <v>216</v>
      </c>
      <c r="L268" s="959">
        <v>65.0</v>
      </c>
      <c r="M268" s="960">
        <v>65.0</v>
      </c>
      <c r="N268" s="960">
        <v>60.0</v>
      </c>
      <c r="O268" s="960">
        <v>130.0</v>
      </c>
      <c r="P268" s="960">
        <v>95.0</v>
      </c>
      <c r="Q268" s="960">
        <v>110.0</v>
      </c>
      <c r="R268" s="960">
        <v>256.0</v>
      </c>
      <c r="S268" s="960">
        <v>319.0</v>
      </c>
      <c r="T268" s="960">
        <v>350.0</v>
      </c>
      <c r="U268" s="960">
        <f t="array" ref="U268">HLOOKUP($J268,'Type Chart'!$C$2:$T$20,2,false)*HLOOKUP($K268,'Type Chart'!$C$2:$U$20,2,false)</f>
        <v>1</v>
      </c>
      <c r="V268" s="960">
        <f t="array" ref="V268">HLOOKUP($J268,'Type Chart'!$C$2:$T$20,3,false)*HLOOKUP($K268,'Type Chart'!$C$2:$U$20,3,false)</f>
        <v>0.5</v>
      </c>
      <c r="W268" s="960">
        <f t="array" ref="W268">HLOOKUP($J268,'Type Chart'!$C$2:$T$20,4,false)*HLOOKUP($K268,'Type Chart'!$C$2:$U$20,4,false)</f>
        <v>1</v>
      </c>
      <c r="X268" s="960">
        <f t="array" ref="X268">HLOOKUP($J268,'Type Chart'!$C$2:$T$20,5,false)*HLOOKUP($K268,'Type Chart'!$C$2:$U$20,5,false)</f>
        <v>1</v>
      </c>
      <c r="Y268" s="960">
        <f t="array" ref="Y268">HLOOKUP($J268,'Type Chart'!$C$2:$T$20,6,false)*HLOOKUP($K268,'Type Chart'!$C$2:$U$20,6,false)</f>
        <v>1</v>
      </c>
      <c r="Z268" s="960">
        <f t="array" ref="Z268">HLOOKUP($J268,'Type Chart'!$C$2:$T$20,7,false)*HLOOKUP($K268,'Type Chart'!$C$2:$U$20,7,false)</f>
        <v>1</v>
      </c>
      <c r="AA268" s="960">
        <f t="array" ref="AA268">HLOOKUP($J268,'Type Chart'!$C$2:$T$20,8,false)*HLOOKUP($K268,'Type Chart'!$C$2:$U$20,8,false)</f>
        <v>2</v>
      </c>
      <c r="AB268" s="960">
        <f t="array" ref="AB268">HLOOKUP($J268,'Type Chart'!$C$2:$T$20,9,false)*HLOOKUP($K268,'Type Chart'!$C$2:$U$20,9,false)</f>
        <v>2</v>
      </c>
      <c r="AC268" s="960">
        <f t="array" ref="AC268">HLOOKUP($J268,'Type Chart'!$C$2:$T$20,10,false)*HLOOKUP($K268,'Type Chart'!$C$2:$U$20,10,false)</f>
        <v>1</v>
      </c>
      <c r="AD268" s="960">
        <f t="array" ref="AD268">HLOOKUP($J268,'Type Chart'!$C$2:$T$20,11,false)*HLOOKUP($K268,'Type Chart'!$C$2:$U$20,11,false)</f>
        <v>1</v>
      </c>
      <c r="AE268" s="960">
        <f t="array" ref="AE268">HLOOKUP($J268,'Type Chart'!$C$2:$T$20,12,false)*HLOOKUP($K268,'Type Chart'!$C$2:$U$20,12,false)</f>
        <v>1</v>
      </c>
      <c r="AF268" s="960">
        <f t="array" ref="AF268">HLOOKUP($J268,'Type Chart'!$C$2:$T$20,13,false)*HLOOKUP($K268,'Type Chart'!$C$2:$U$20,13,false)</f>
        <v>1</v>
      </c>
      <c r="AG268" s="960">
        <f t="array" ref="AG268">HLOOKUP($J268,'Type Chart'!$C$2:$T$20,14,false)*HLOOKUP($K268,'Type Chart'!$C$2:$U$20,14,false)</f>
        <v>1</v>
      </c>
      <c r="AH268" s="960">
        <f t="array" ref="AH268">HLOOKUP($J268,'Type Chart'!$C$2:$T$20,15,false)*HLOOKUP($K268,'Type Chart'!$C$2:$U$20,15,false)</f>
        <v>0.5</v>
      </c>
      <c r="AI268" s="960">
        <f t="array" ref="AI268">HLOOKUP($J268,'Type Chart'!$C$2:$T$20,16,false)*HLOOKUP($K268,'Type Chart'!$C$2:$U$20,16,false)</f>
        <v>1</v>
      </c>
      <c r="AJ268" s="960">
        <f t="array" ref="AJ268">HLOOKUP($J268,'Type Chart'!$C$2:$T$20,17,false)*HLOOKUP($K268,'Type Chart'!$C$2:$U$20,17,false)</f>
        <v>1</v>
      </c>
      <c r="AK268" s="960">
        <f t="array" ref="AK268">HLOOKUP($J268,'Type Chart'!$C$2:$T$20,18,false)*HLOOKUP($K268,'Type Chart'!$C$2:$U$20,18,false)</f>
        <v>2</v>
      </c>
      <c r="AL268" s="960">
        <f t="array" ref="AL268">HLOOKUP($J268,'Type Chart'!$C$2:$T$20,19,false)*HLOOKUP($K268,'Type Chart'!$C$2:$U$20,19,false)</f>
        <v>1</v>
      </c>
      <c r="AM268" s="964" t="s">
        <v>1292</v>
      </c>
      <c r="AN268" s="965"/>
      <c r="AO268" s="966" t="s">
        <v>1752</v>
      </c>
      <c r="AP268" s="936"/>
      <c r="AQ268" s="967"/>
      <c r="AR268" s="968"/>
      <c r="AS268" s="936"/>
    </row>
    <row r="269" ht="15.75" customHeight="1">
      <c r="A269" s="1099"/>
      <c r="B269" s="948" t="s">
        <v>1809</v>
      </c>
      <c r="C269" s="950" t="s">
        <v>1810</v>
      </c>
      <c r="D269" s="950" t="s">
        <v>1810</v>
      </c>
      <c r="E269" s="952" t="s">
        <v>1810</v>
      </c>
      <c r="F269" s="940"/>
      <c r="G269" s="953"/>
      <c r="H269" s="969"/>
      <c r="I269" s="956" t="s">
        <v>599</v>
      </c>
      <c r="J269" s="1195" t="s">
        <v>193</v>
      </c>
      <c r="K269" s="984" t="s">
        <v>216</v>
      </c>
      <c r="L269" s="959">
        <v>95.0</v>
      </c>
      <c r="M269" s="960">
        <v>65.0</v>
      </c>
      <c r="N269" s="960">
        <v>110.0</v>
      </c>
      <c r="O269" s="960">
        <v>60.0</v>
      </c>
      <c r="P269" s="960">
        <v>130.0</v>
      </c>
      <c r="Q269" s="960">
        <v>65.0</v>
      </c>
      <c r="R269" s="960">
        <v>166.0</v>
      </c>
      <c r="S269" s="960">
        <v>229.0</v>
      </c>
      <c r="T269" s="960">
        <v>251.0</v>
      </c>
      <c r="U269" s="960">
        <f t="array" ref="U269">HLOOKUP($J269,'Type Chart'!$C$2:$T$20,2,false)*HLOOKUP($K269,'Type Chart'!$C$2:$U$20,2,false)</f>
        <v>1</v>
      </c>
      <c r="V269" s="960">
        <f t="array" ref="V269">HLOOKUP($J269,'Type Chart'!$C$2:$T$20,3,false)*HLOOKUP($K269,'Type Chart'!$C$2:$U$20,3,false)</f>
        <v>2</v>
      </c>
      <c r="W269" s="960">
        <f t="array" ref="W269">HLOOKUP($J269,'Type Chart'!$C$2:$T$20,4,false)*HLOOKUP($K269,'Type Chart'!$C$2:$U$20,4,false)</f>
        <v>1</v>
      </c>
      <c r="X269" s="960">
        <f t="array" ref="X269">HLOOKUP($J269,'Type Chart'!$C$2:$T$20,5,false)*HLOOKUP($K269,'Type Chart'!$C$2:$U$20,5,false)</f>
        <v>1</v>
      </c>
      <c r="Y269" s="960">
        <f t="array" ref="Y269">HLOOKUP($J269,'Type Chart'!$C$2:$T$20,6,false)*HLOOKUP($K269,'Type Chart'!$C$2:$U$20,6,false)</f>
        <v>1</v>
      </c>
      <c r="Z269" s="960">
        <f t="array" ref="Z269">HLOOKUP($J269,'Type Chart'!$C$2:$T$20,7,false)*HLOOKUP($K269,'Type Chart'!$C$2:$U$20,7,false)</f>
        <v>1</v>
      </c>
      <c r="AA269" s="960">
        <f t="array" ref="AA269">HLOOKUP($J269,'Type Chart'!$C$2:$T$20,8,false)*HLOOKUP($K269,'Type Chart'!$C$2:$U$20,8,false)</f>
        <v>2</v>
      </c>
      <c r="AB269" s="960">
        <f t="array" ref="AB269">HLOOKUP($J269,'Type Chart'!$C$2:$T$20,9,false)*HLOOKUP($K269,'Type Chart'!$C$2:$U$20,9,false)</f>
        <v>0.5</v>
      </c>
      <c r="AC269" s="960">
        <f t="array" ref="AC269">HLOOKUP($J269,'Type Chart'!$C$2:$T$20,10,false)*HLOOKUP($K269,'Type Chart'!$C$2:$U$20,10,false)</f>
        <v>1</v>
      </c>
      <c r="AD269" s="960">
        <f t="array" ref="AD269">HLOOKUP($J269,'Type Chart'!$C$2:$T$20,11,false)*HLOOKUP($K269,'Type Chart'!$C$2:$U$20,11,false)</f>
        <v>1</v>
      </c>
      <c r="AE269" s="960">
        <f t="array" ref="AE269">HLOOKUP($J269,'Type Chart'!$C$2:$T$20,12,false)*HLOOKUP($K269,'Type Chart'!$C$2:$U$20,12,false)</f>
        <v>1</v>
      </c>
      <c r="AF269" s="960">
        <f t="array" ref="AF269">HLOOKUP($J269,'Type Chart'!$C$2:$T$20,13,false)*HLOOKUP($K269,'Type Chart'!$C$2:$U$20,13,false)</f>
        <v>1</v>
      </c>
      <c r="AG269" s="960">
        <f t="array" ref="AG269">HLOOKUP($J269,'Type Chart'!$C$2:$T$20,14,false)*HLOOKUP($K269,'Type Chart'!$C$2:$U$20,14,false)</f>
        <v>1</v>
      </c>
      <c r="AH269" s="960">
        <f t="array" ref="AH269">HLOOKUP($J269,'Type Chart'!$C$2:$T$20,15,false)*HLOOKUP($K269,'Type Chart'!$C$2:$U$20,15,false)</f>
        <v>0</v>
      </c>
      <c r="AI269" s="960">
        <f t="array" ref="AI269">HLOOKUP($J269,'Type Chart'!$C$2:$T$20,16,false)*HLOOKUP($K269,'Type Chart'!$C$2:$U$20,16,false)</f>
        <v>1</v>
      </c>
      <c r="AJ269" s="960">
        <f t="array" ref="AJ269">HLOOKUP($J269,'Type Chart'!$C$2:$T$20,17,false)*HLOOKUP($K269,'Type Chart'!$C$2:$U$20,17,false)</f>
        <v>1</v>
      </c>
      <c r="AK269" s="960">
        <f t="array" ref="AK269">HLOOKUP($J269,'Type Chart'!$C$2:$T$20,18,false)*HLOOKUP($K269,'Type Chart'!$C$2:$U$20,18,false)</f>
        <v>0.5</v>
      </c>
      <c r="AL269" s="960">
        <f t="array" ref="AL269">HLOOKUP($J269,'Type Chart'!$C$2:$T$20,19,false)*HLOOKUP($K269,'Type Chart'!$C$2:$U$20,19,false)</f>
        <v>2</v>
      </c>
      <c r="AM269" s="1145" t="s">
        <v>1292</v>
      </c>
      <c r="AN269" s="1202"/>
      <c r="AO269" s="1146" t="s">
        <v>1192</v>
      </c>
      <c r="AP269" s="936"/>
      <c r="AQ269" s="967"/>
      <c r="AR269" s="968"/>
      <c r="AS269" s="936"/>
    </row>
    <row r="270" ht="15.75" customHeight="1">
      <c r="A270" s="936"/>
      <c r="B270" s="948" t="s">
        <v>1811</v>
      </c>
      <c r="C270" s="950" t="s">
        <v>1812</v>
      </c>
      <c r="D270" s="950" t="s">
        <v>1812</v>
      </c>
      <c r="E270" s="952" t="s">
        <v>1812</v>
      </c>
      <c r="F270" s="940"/>
      <c r="G270" s="953"/>
      <c r="H270" s="969"/>
      <c r="I270" s="956" t="s">
        <v>850</v>
      </c>
      <c r="J270" s="1195" t="s">
        <v>193</v>
      </c>
      <c r="K270" s="1001" t="s">
        <v>128</v>
      </c>
      <c r="L270" s="959">
        <v>60.0</v>
      </c>
      <c r="M270" s="960">
        <v>85.0</v>
      </c>
      <c r="N270" s="960">
        <v>42.0</v>
      </c>
      <c r="O270" s="960">
        <v>85.0</v>
      </c>
      <c r="P270" s="960">
        <v>42.0</v>
      </c>
      <c r="Q270" s="960">
        <v>91.0</v>
      </c>
      <c r="R270" s="960">
        <v>218.0</v>
      </c>
      <c r="S270" s="960">
        <v>281.0</v>
      </c>
      <c r="T270" s="960">
        <v>309.0</v>
      </c>
      <c r="U270" s="960">
        <f t="array" ref="U270">HLOOKUP($J270,'Type Chart'!$C$2:$T$20,2,false)*HLOOKUP($K270,'Type Chart'!$C$2:$U$20,2,false)</f>
        <v>1</v>
      </c>
      <c r="V270" s="960">
        <f t="array" ref="V270">HLOOKUP($J270,'Type Chart'!$C$2:$T$20,3,false)*HLOOKUP($K270,'Type Chart'!$C$2:$U$20,3,false)</f>
        <v>1</v>
      </c>
      <c r="W270" s="960">
        <f t="array" ref="W270">HLOOKUP($J270,'Type Chart'!$C$2:$T$20,4,false)*HLOOKUP($K270,'Type Chart'!$C$2:$U$20,4,false)</f>
        <v>1</v>
      </c>
      <c r="X270" s="960">
        <f t="array" ref="X270">HLOOKUP($J270,'Type Chart'!$C$2:$T$20,5,false)*HLOOKUP($K270,'Type Chart'!$C$2:$U$20,5,false)</f>
        <v>1</v>
      </c>
      <c r="Y270" s="960">
        <f t="array" ref="Y270">HLOOKUP($J270,'Type Chart'!$C$2:$T$20,6,false)*HLOOKUP($K270,'Type Chart'!$C$2:$U$20,6,false)</f>
        <v>0</v>
      </c>
      <c r="Z270" s="960">
        <f t="array" ref="Z270">HLOOKUP($J270,'Type Chart'!$C$2:$T$20,7,false)*HLOOKUP($K270,'Type Chart'!$C$2:$U$20,7,false)</f>
        <v>2</v>
      </c>
      <c r="AA270" s="960">
        <f t="array" ref="AA270">HLOOKUP($J270,'Type Chart'!$C$2:$T$20,8,false)*HLOOKUP($K270,'Type Chart'!$C$2:$U$20,8,false)</f>
        <v>1</v>
      </c>
      <c r="AB270" s="960">
        <f t="array" ref="AB270">HLOOKUP($J270,'Type Chart'!$C$2:$T$20,9,false)*HLOOKUP($K270,'Type Chart'!$C$2:$U$20,9,false)</f>
        <v>0.5</v>
      </c>
      <c r="AC270" s="960">
        <f t="array" ref="AC270">HLOOKUP($J270,'Type Chart'!$C$2:$T$20,10,false)*HLOOKUP($K270,'Type Chart'!$C$2:$U$20,10,false)</f>
        <v>1</v>
      </c>
      <c r="AD270" s="960">
        <f t="array" ref="AD270">HLOOKUP($J270,'Type Chart'!$C$2:$T$20,11,false)*HLOOKUP($K270,'Type Chart'!$C$2:$U$20,11,false)</f>
        <v>1</v>
      </c>
      <c r="AE270" s="960">
        <f t="array" ref="AE270">HLOOKUP($J270,'Type Chart'!$C$2:$T$20,12,false)*HLOOKUP($K270,'Type Chart'!$C$2:$U$20,12,false)</f>
        <v>1</v>
      </c>
      <c r="AF270" s="960">
        <f t="array" ref="AF270">HLOOKUP($J270,'Type Chart'!$C$2:$T$20,13,false)*HLOOKUP($K270,'Type Chart'!$C$2:$U$20,13,false)</f>
        <v>0.5</v>
      </c>
      <c r="AG270" s="960">
        <f t="array" ref="AG270">HLOOKUP($J270,'Type Chart'!$C$2:$T$20,14,false)*HLOOKUP($K270,'Type Chart'!$C$2:$U$20,14,false)</f>
        <v>2</v>
      </c>
      <c r="AH270" s="960">
        <f t="array" ref="AH270">HLOOKUP($J270,'Type Chart'!$C$2:$T$20,15,false)*HLOOKUP($K270,'Type Chart'!$C$2:$U$20,15,false)</f>
        <v>0</v>
      </c>
      <c r="AI270" s="960">
        <f t="array" ref="AI270">HLOOKUP($J270,'Type Chart'!$C$2:$T$20,16,false)*HLOOKUP($K270,'Type Chart'!$C$2:$U$20,16,false)</f>
        <v>2</v>
      </c>
      <c r="AJ270" s="960">
        <f t="array" ref="AJ270">HLOOKUP($J270,'Type Chart'!$C$2:$T$20,17,false)*HLOOKUP($K270,'Type Chart'!$C$2:$U$20,17,false)</f>
        <v>1</v>
      </c>
      <c r="AK270" s="960">
        <f t="array" ref="AK270">HLOOKUP($J270,'Type Chart'!$C$2:$T$20,18,false)*HLOOKUP($K270,'Type Chart'!$C$2:$U$20,18,false)</f>
        <v>0.5</v>
      </c>
      <c r="AL270" s="960">
        <f t="array" ref="AL270">HLOOKUP($J270,'Type Chart'!$C$2:$T$20,19,false)*HLOOKUP($K270,'Type Chart'!$C$2:$U$20,19,false)</f>
        <v>2</v>
      </c>
      <c r="AM270" s="964" t="s">
        <v>1454</v>
      </c>
      <c r="AN270" s="965" t="s">
        <v>1745</v>
      </c>
      <c r="AO270" s="966" t="s">
        <v>1813</v>
      </c>
      <c r="AP270" s="936"/>
      <c r="AQ270" s="967"/>
      <c r="AR270" s="968"/>
      <c r="AS270" s="936"/>
    </row>
    <row r="271" ht="15.75" customHeight="1">
      <c r="A271" s="936"/>
      <c r="B271" s="948" t="s">
        <v>1814</v>
      </c>
      <c r="C271" s="950" t="s">
        <v>1815</v>
      </c>
      <c r="D271" s="950" t="s">
        <v>1815</v>
      </c>
      <c r="E271" s="952" t="s">
        <v>1815</v>
      </c>
      <c r="F271" s="940"/>
      <c r="G271" s="953"/>
      <c r="H271" s="969"/>
      <c r="I271" s="956" t="s">
        <v>428</v>
      </c>
      <c r="J271" s="1056" t="s">
        <v>81</v>
      </c>
      <c r="K271" s="1203" t="s">
        <v>344</v>
      </c>
      <c r="L271" s="959">
        <v>95.0</v>
      </c>
      <c r="M271" s="960">
        <v>75.0</v>
      </c>
      <c r="N271" s="960">
        <v>80.0</v>
      </c>
      <c r="O271" s="960">
        <v>100.0</v>
      </c>
      <c r="P271" s="960">
        <v>110.0</v>
      </c>
      <c r="Q271" s="960">
        <v>30.0</v>
      </c>
      <c r="R271" s="960">
        <v>96.0</v>
      </c>
      <c r="S271" s="960">
        <v>159.0</v>
      </c>
      <c r="T271" s="960">
        <v>174.0</v>
      </c>
      <c r="U271" s="960">
        <f t="array" ref="U271">HLOOKUP($J271,'Type Chart'!$C$2:$T$20,2,false)*HLOOKUP($K271,'Type Chart'!$C$2:$U$20,2,false)</f>
        <v>1</v>
      </c>
      <c r="V271" s="960">
        <f t="array" ref="V271">HLOOKUP($J271,'Type Chart'!$C$2:$T$20,3,false)*HLOOKUP($K271,'Type Chart'!$C$2:$U$20,3,false)</f>
        <v>0.5</v>
      </c>
      <c r="W271" s="960">
        <f t="array" ref="W271">HLOOKUP($J271,'Type Chart'!$C$2:$T$20,4,false)*HLOOKUP($K271,'Type Chart'!$C$2:$U$20,4,false)</f>
        <v>1</v>
      </c>
      <c r="X271" s="960">
        <f t="array" ref="X271">HLOOKUP($J271,'Type Chart'!$C$2:$T$20,5,false)*HLOOKUP($K271,'Type Chart'!$C$2:$U$20,5,false)</f>
        <v>1</v>
      </c>
      <c r="Y271" s="960">
        <f t="array" ref="Y271">HLOOKUP($J271,'Type Chart'!$C$2:$T$20,6,false)*HLOOKUP($K271,'Type Chart'!$C$2:$U$20,6,false)</f>
        <v>1</v>
      </c>
      <c r="Z271" s="960">
        <f t="array" ref="Z271">HLOOKUP($J271,'Type Chart'!$C$2:$T$20,7,false)*HLOOKUP($K271,'Type Chart'!$C$2:$U$20,7,false)</f>
        <v>1</v>
      </c>
      <c r="AA271" s="960">
        <f t="array" ref="AA271">HLOOKUP($J271,'Type Chart'!$C$2:$T$20,8,false)*HLOOKUP($K271,'Type Chart'!$C$2:$U$20,8,false)</f>
        <v>2</v>
      </c>
      <c r="AB271" s="960">
        <f t="array" ref="AB271">HLOOKUP($J271,'Type Chart'!$C$2:$T$20,9,false)*HLOOKUP($K271,'Type Chart'!$C$2:$U$20,9,false)</f>
        <v>2</v>
      </c>
      <c r="AC271" s="960">
        <f t="array" ref="AC271">HLOOKUP($J271,'Type Chart'!$C$2:$T$20,10,false)*HLOOKUP($K271,'Type Chart'!$C$2:$U$20,10,false)</f>
        <v>0.5</v>
      </c>
      <c r="AD271" s="960">
        <f t="array" ref="AD271">HLOOKUP($J271,'Type Chart'!$C$2:$T$20,11,false)*HLOOKUP($K271,'Type Chart'!$C$2:$U$20,11,false)</f>
        <v>0.5</v>
      </c>
      <c r="AE271" s="960">
        <f t="array" ref="AE271">HLOOKUP($J271,'Type Chart'!$C$2:$T$20,12,false)*HLOOKUP($K271,'Type Chart'!$C$2:$U$20,12,false)</f>
        <v>0.5</v>
      </c>
      <c r="AF271" s="960">
        <f t="array" ref="AF271">HLOOKUP($J271,'Type Chart'!$C$2:$T$20,13,false)*HLOOKUP($K271,'Type Chart'!$C$2:$U$20,13,false)</f>
        <v>2</v>
      </c>
      <c r="AG271" s="960">
        <f t="array" ref="AG271">HLOOKUP($J271,'Type Chart'!$C$2:$T$20,14,false)*HLOOKUP($K271,'Type Chart'!$C$2:$U$20,14,false)</f>
        <v>2</v>
      </c>
      <c r="AH271" s="960">
        <f t="array" ref="AH271">HLOOKUP($J271,'Type Chart'!$C$2:$T$20,15,false)*HLOOKUP($K271,'Type Chart'!$C$2:$U$20,15,false)</f>
        <v>0.5</v>
      </c>
      <c r="AI271" s="960">
        <f t="array" ref="AI271">HLOOKUP($J271,'Type Chart'!$C$2:$T$20,16,false)*HLOOKUP($K271,'Type Chart'!$C$2:$U$20,16,false)</f>
        <v>0.5</v>
      </c>
      <c r="AJ271" s="960">
        <f t="array" ref="AJ271">HLOOKUP($J271,'Type Chart'!$C$2:$T$20,17,false)*HLOOKUP($K271,'Type Chart'!$C$2:$U$20,17,false)</f>
        <v>1</v>
      </c>
      <c r="AK271" s="960">
        <f t="array" ref="AK271">HLOOKUP($J271,'Type Chart'!$C$2:$T$20,18,false)*HLOOKUP($K271,'Type Chart'!$C$2:$U$20,18,false)</f>
        <v>2</v>
      </c>
      <c r="AL271" s="960">
        <f t="array" ref="AL271">HLOOKUP($J271,'Type Chart'!$C$2:$T$20,19,false)*HLOOKUP($K271,'Type Chart'!$C$2:$U$20,19,false)</f>
        <v>1</v>
      </c>
      <c r="AM271" s="964" t="s">
        <v>1369</v>
      </c>
      <c r="AN271" s="965" t="s">
        <v>1370</v>
      </c>
      <c r="AO271" s="966" t="s">
        <v>1371</v>
      </c>
      <c r="AP271" s="936"/>
      <c r="AQ271" s="967"/>
      <c r="AR271" s="968"/>
      <c r="AS271" s="936"/>
    </row>
    <row r="272" ht="15.75" customHeight="1">
      <c r="A272" s="1099"/>
      <c r="B272" s="948" t="s">
        <v>1816</v>
      </c>
      <c r="C272" s="950" t="s">
        <v>1817</v>
      </c>
      <c r="D272" s="950" t="s">
        <v>1817</v>
      </c>
      <c r="E272" s="952" t="s">
        <v>1818</v>
      </c>
      <c r="F272" s="940"/>
      <c r="G272" s="953"/>
      <c r="H272" s="969"/>
      <c r="I272" s="956" t="s">
        <v>144</v>
      </c>
      <c r="J272" s="958" t="s">
        <v>178</v>
      </c>
      <c r="K272" s="1203" t="s">
        <v>344</v>
      </c>
      <c r="L272" s="959">
        <v>95.0</v>
      </c>
      <c r="M272" s="960">
        <v>65.0</v>
      </c>
      <c r="N272" s="960">
        <v>80.0</v>
      </c>
      <c r="O272" s="960">
        <v>110.0</v>
      </c>
      <c r="P272" s="960">
        <v>110.0</v>
      </c>
      <c r="Q272" s="960">
        <v>30.0</v>
      </c>
      <c r="R272" s="960">
        <v>96.0</v>
      </c>
      <c r="S272" s="960">
        <v>159.0</v>
      </c>
      <c r="T272" s="960">
        <v>174.0</v>
      </c>
      <c r="U272" s="960">
        <f t="array" ref="U272">HLOOKUP($J272,'Type Chart'!$C$2:$T$20,2,false)*HLOOKUP($K272,'Type Chart'!$C$2:$U$20,2,false)</f>
        <v>1</v>
      </c>
      <c r="V272" s="960">
        <f t="array" ref="V272">HLOOKUP($J272,'Type Chart'!$C$2:$T$20,3,false)*HLOOKUP($K272,'Type Chart'!$C$2:$U$20,3,false)</f>
        <v>0.25</v>
      </c>
      <c r="W272" s="960">
        <f t="array" ref="W272">HLOOKUP($J272,'Type Chart'!$C$2:$T$20,4,false)*HLOOKUP($K272,'Type Chart'!$C$2:$U$20,4,false)</f>
        <v>1</v>
      </c>
      <c r="X272" s="960">
        <f t="array" ref="X272">HLOOKUP($J272,'Type Chart'!$C$2:$T$20,5,false)*HLOOKUP($K272,'Type Chart'!$C$2:$U$20,5,false)</f>
        <v>0.5</v>
      </c>
      <c r="Y272" s="960">
        <f t="array" ref="Y272">HLOOKUP($J272,'Type Chart'!$C$2:$T$20,6,false)*HLOOKUP($K272,'Type Chart'!$C$2:$U$20,6,false)</f>
        <v>2</v>
      </c>
      <c r="Z272" s="960">
        <f t="array" ref="Z272">HLOOKUP($J272,'Type Chart'!$C$2:$T$20,7,false)*HLOOKUP($K272,'Type Chart'!$C$2:$U$20,7,false)</f>
        <v>1</v>
      </c>
      <c r="AA272" s="960">
        <f t="array" ref="AA272">HLOOKUP($J272,'Type Chart'!$C$2:$T$20,8,false)*HLOOKUP($K272,'Type Chart'!$C$2:$U$20,8,false)</f>
        <v>1</v>
      </c>
      <c r="AB272" s="960">
        <f t="array" ref="AB272">HLOOKUP($J272,'Type Chart'!$C$2:$T$20,9,false)*HLOOKUP($K272,'Type Chart'!$C$2:$U$20,9,false)</f>
        <v>2</v>
      </c>
      <c r="AC272" s="960">
        <f t="array" ref="AC272">HLOOKUP($J272,'Type Chart'!$C$2:$T$20,10,false)*HLOOKUP($K272,'Type Chart'!$C$2:$U$20,10,false)</f>
        <v>1</v>
      </c>
      <c r="AD272" s="960">
        <f t="array" ref="AD272">HLOOKUP($J272,'Type Chart'!$C$2:$T$20,11,false)*HLOOKUP($K272,'Type Chart'!$C$2:$U$20,11,false)</f>
        <v>1</v>
      </c>
      <c r="AE272" s="960">
        <f t="array" ref="AE272">HLOOKUP($J272,'Type Chart'!$C$2:$T$20,12,false)*HLOOKUP($K272,'Type Chart'!$C$2:$U$20,12,false)</f>
        <v>1</v>
      </c>
      <c r="AF272" s="960">
        <f t="array" ref="AF272">HLOOKUP($J272,'Type Chart'!$C$2:$T$20,13,false)*HLOOKUP($K272,'Type Chart'!$C$2:$U$20,13,false)</f>
        <v>0.5</v>
      </c>
      <c r="AG272" s="960">
        <f t="array" ref="AG272">HLOOKUP($J272,'Type Chart'!$C$2:$T$20,14,false)*HLOOKUP($K272,'Type Chart'!$C$2:$U$20,14,false)</f>
        <v>1</v>
      </c>
      <c r="AH272" s="960">
        <f t="array" ref="AH272">HLOOKUP($J272,'Type Chart'!$C$2:$T$20,15,false)*HLOOKUP($K272,'Type Chart'!$C$2:$U$20,15,false)</f>
        <v>1</v>
      </c>
      <c r="AI272" s="960">
        <f t="array" ref="AI272">HLOOKUP($J272,'Type Chart'!$C$2:$T$20,16,false)*HLOOKUP($K272,'Type Chart'!$C$2:$U$20,16,false)</f>
        <v>1</v>
      </c>
      <c r="AJ272" s="960">
        <f t="array" ref="AJ272">HLOOKUP($J272,'Type Chart'!$C$2:$T$20,17,false)*HLOOKUP($K272,'Type Chart'!$C$2:$U$20,17,false)</f>
        <v>1</v>
      </c>
      <c r="AK272" s="960">
        <f t="array" ref="AK272">HLOOKUP($J272,'Type Chart'!$C$2:$T$20,18,false)*HLOOKUP($K272,'Type Chart'!$C$2:$U$20,18,false)</f>
        <v>2</v>
      </c>
      <c r="AL272" s="960">
        <f t="array" ref="AL272">HLOOKUP($J272,'Type Chart'!$C$2:$T$20,19,false)*HLOOKUP($K272,'Type Chart'!$C$2:$U$20,19,false)</f>
        <v>0.5</v>
      </c>
      <c r="AM272" s="1145" t="s">
        <v>1819</v>
      </c>
      <c r="AN272" s="1202" t="s">
        <v>1370</v>
      </c>
      <c r="AO272" s="1146" t="s">
        <v>1371</v>
      </c>
      <c r="AP272" s="936"/>
      <c r="AQ272" s="967"/>
      <c r="AR272" s="968"/>
      <c r="AS272" s="936"/>
    </row>
    <row r="273" ht="15.75" customHeight="1">
      <c r="A273" s="936"/>
      <c r="B273" s="948" t="s">
        <v>1820</v>
      </c>
      <c r="C273" s="950" t="s">
        <v>1821</v>
      </c>
      <c r="D273" s="950" t="s">
        <v>1821</v>
      </c>
      <c r="E273" s="952" t="s">
        <v>1821</v>
      </c>
      <c r="F273" s="940"/>
      <c r="G273" s="953"/>
      <c r="H273" s="969"/>
      <c r="I273" s="956" t="s">
        <v>717</v>
      </c>
      <c r="J273" s="1220" t="s">
        <v>215</v>
      </c>
      <c r="K273" s="984" t="s">
        <v>216</v>
      </c>
      <c r="L273" s="959">
        <v>60.0</v>
      </c>
      <c r="M273" s="960">
        <v>60.0</v>
      </c>
      <c r="N273" s="960">
        <v>60.0</v>
      </c>
      <c r="O273" s="960">
        <v>85.0</v>
      </c>
      <c r="P273" s="960">
        <v>85.0</v>
      </c>
      <c r="Q273" s="960">
        <v>85.0</v>
      </c>
      <c r="R273" s="960">
        <v>206.0</v>
      </c>
      <c r="S273" s="960">
        <v>269.0</v>
      </c>
      <c r="T273" s="960">
        <v>295.0</v>
      </c>
      <c r="U273" s="960">
        <f t="array" ref="U273">HLOOKUP($J273,'Type Chart'!$C$2:$T$20,2,false)*HLOOKUP($K273,'Type Chart'!$C$2:$U$20,2,false)</f>
        <v>0</v>
      </c>
      <c r="V273" s="960">
        <f t="array" ref="V273">HLOOKUP($J273,'Type Chart'!$C$2:$T$20,3,false)*HLOOKUP($K273,'Type Chart'!$C$2:$U$20,3,false)</f>
        <v>0</v>
      </c>
      <c r="W273" s="960">
        <f t="array" ref="W273">HLOOKUP($J273,'Type Chart'!$C$2:$T$20,4,false)*HLOOKUP($K273,'Type Chart'!$C$2:$U$20,4,false)</f>
        <v>1</v>
      </c>
      <c r="X273" s="960">
        <f t="array" ref="X273">HLOOKUP($J273,'Type Chart'!$C$2:$T$20,5,false)*HLOOKUP($K273,'Type Chart'!$C$2:$U$20,5,false)</f>
        <v>0.5</v>
      </c>
      <c r="Y273" s="960">
        <f t="array" ref="Y273">HLOOKUP($J273,'Type Chart'!$C$2:$T$20,6,false)*HLOOKUP($K273,'Type Chart'!$C$2:$U$20,6,false)</f>
        <v>1</v>
      </c>
      <c r="Z273" s="960">
        <f t="array" ref="Z273">HLOOKUP($J273,'Type Chart'!$C$2:$T$20,7,false)*HLOOKUP($K273,'Type Chart'!$C$2:$U$20,7,false)</f>
        <v>1</v>
      </c>
      <c r="AA273" s="960">
        <f t="array" ref="AA273">HLOOKUP($J273,'Type Chart'!$C$2:$T$20,8,false)*HLOOKUP($K273,'Type Chart'!$C$2:$U$20,8,false)</f>
        <v>0.5</v>
      </c>
      <c r="AB273" s="960">
        <f t="array" ref="AB273">HLOOKUP($J273,'Type Chart'!$C$2:$T$20,9,false)*HLOOKUP($K273,'Type Chart'!$C$2:$U$20,9,false)</f>
        <v>2</v>
      </c>
      <c r="AC273" s="960">
        <f t="array" ref="AC273">HLOOKUP($J273,'Type Chart'!$C$2:$T$20,10,false)*HLOOKUP($K273,'Type Chart'!$C$2:$U$20,10,false)</f>
        <v>1</v>
      </c>
      <c r="AD273" s="960">
        <f t="array" ref="AD273">HLOOKUP($J273,'Type Chart'!$C$2:$T$20,11,false)*HLOOKUP($K273,'Type Chart'!$C$2:$U$20,11,false)</f>
        <v>1</v>
      </c>
      <c r="AE273" s="960">
        <f t="array" ref="AE273">HLOOKUP($J273,'Type Chart'!$C$2:$T$20,12,false)*HLOOKUP($K273,'Type Chart'!$C$2:$U$20,12,false)</f>
        <v>1</v>
      </c>
      <c r="AF273" s="960">
        <f t="array" ref="AF273">HLOOKUP($J273,'Type Chart'!$C$2:$T$20,13,false)*HLOOKUP($K273,'Type Chart'!$C$2:$U$20,13,false)</f>
        <v>1</v>
      </c>
      <c r="AG273" s="960">
        <f t="array" ref="AG273">HLOOKUP($J273,'Type Chart'!$C$2:$T$20,14,false)*HLOOKUP($K273,'Type Chart'!$C$2:$U$20,14,false)</f>
        <v>1</v>
      </c>
      <c r="AH273" s="960">
        <f t="array" ref="AH273">HLOOKUP($J273,'Type Chart'!$C$2:$T$20,15,false)*HLOOKUP($K273,'Type Chart'!$C$2:$U$20,15,false)</f>
        <v>1</v>
      </c>
      <c r="AI273" s="960">
        <f t="array" ref="AI273">HLOOKUP($J273,'Type Chart'!$C$2:$T$20,16,false)*HLOOKUP($K273,'Type Chart'!$C$2:$U$20,16,false)</f>
        <v>1</v>
      </c>
      <c r="AJ273" s="960">
        <f t="array" ref="AJ273">HLOOKUP($J273,'Type Chart'!$C$2:$T$20,17,false)*HLOOKUP($K273,'Type Chart'!$C$2:$U$20,17,false)</f>
        <v>1</v>
      </c>
      <c r="AK273" s="960">
        <f t="array" ref="AK273">HLOOKUP($J273,'Type Chart'!$C$2:$T$20,18,false)*HLOOKUP($K273,'Type Chart'!$C$2:$U$20,18,false)</f>
        <v>2</v>
      </c>
      <c r="AL273" s="960">
        <f t="array" ref="AL273">HLOOKUP($J273,'Type Chart'!$C$2:$T$20,19,false)*HLOOKUP($K273,'Type Chart'!$C$2:$U$20,19,false)</f>
        <v>1</v>
      </c>
      <c r="AM273" s="964" t="s">
        <v>1437</v>
      </c>
      <c r="AN273" s="965"/>
      <c r="AO273" s="966"/>
      <c r="AP273" s="936"/>
      <c r="AQ273" s="967"/>
      <c r="AR273" s="968"/>
      <c r="AS273" s="936"/>
    </row>
    <row r="274" ht="15.75" customHeight="1">
      <c r="A274" s="936"/>
      <c r="B274" s="948" t="s">
        <v>1822</v>
      </c>
      <c r="C274" s="950" t="s">
        <v>1823</v>
      </c>
      <c r="D274" s="950" t="s">
        <v>1823</v>
      </c>
      <c r="E274" s="952" t="s">
        <v>1823</v>
      </c>
      <c r="F274" s="940"/>
      <c r="G274" s="953"/>
      <c r="H274" s="969"/>
      <c r="I274" s="956" t="s">
        <v>1824</v>
      </c>
      <c r="J274" s="1203" t="s">
        <v>344</v>
      </c>
      <c r="K274" s="984" t="s">
        <v>216</v>
      </c>
      <c r="L274" s="959">
        <v>48.0</v>
      </c>
      <c r="M274" s="960">
        <v>72.0</v>
      </c>
      <c r="N274" s="960">
        <v>48.0</v>
      </c>
      <c r="O274" s="960">
        <v>72.0</v>
      </c>
      <c r="P274" s="960">
        <v>48.0</v>
      </c>
      <c r="Q274" s="960">
        <v>48.0</v>
      </c>
      <c r="R274" s="960">
        <v>132.0</v>
      </c>
      <c r="S274" s="960">
        <v>195.0</v>
      </c>
      <c r="T274" s="960">
        <v>214.0</v>
      </c>
      <c r="U274" s="960">
        <f t="array" ref="U274">HLOOKUP($J274,'Type Chart'!$C$2:$T$20,2,false)*HLOOKUP($K274,'Type Chart'!$C$2:$U$20,2,false)</f>
        <v>1</v>
      </c>
      <c r="V274" s="960">
        <f t="array" ref="V274">HLOOKUP($J274,'Type Chart'!$C$2:$T$20,3,false)*HLOOKUP($K274,'Type Chart'!$C$2:$U$20,3,false)</f>
        <v>0.5</v>
      </c>
      <c r="W274" s="960">
        <f t="array" ref="W274">HLOOKUP($J274,'Type Chart'!$C$2:$T$20,4,false)*HLOOKUP($K274,'Type Chart'!$C$2:$U$20,4,false)</f>
        <v>1</v>
      </c>
      <c r="X274" s="960">
        <f t="array" ref="X274">HLOOKUP($J274,'Type Chart'!$C$2:$T$20,5,false)*HLOOKUP($K274,'Type Chart'!$C$2:$U$20,5,false)</f>
        <v>1</v>
      </c>
      <c r="Y274" s="960">
        <f t="array" ref="Y274">HLOOKUP($J274,'Type Chart'!$C$2:$T$20,6,false)*HLOOKUP($K274,'Type Chart'!$C$2:$U$20,6,false)</f>
        <v>1</v>
      </c>
      <c r="Z274" s="960">
        <f t="array" ref="Z274">HLOOKUP($J274,'Type Chart'!$C$2:$T$20,7,false)*HLOOKUP($K274,'Type Chart'!$C$2:$U$20,7,false)</f>
        <v>1</v>
      </c>
      <c r="AA274" s="960">
        <f t="array" ref="AA274">HLOOKUP($J274,'Type Chart'!$C$2:$T$20,8,false)*HLOOKUP($K274,'Type Chart'!$C$2:$U$20,8,false)</f>
        <v>2</v>
      </c>
      <c r="AB274" s="960">
        <f t="array" ref="AB274">HLOOKUP($J274,'Type Chart'!$C$2:$T$20,9,false)*HLOOKUP($K274,'Type Chart'!$C$2:$U$20,9,false)</f>
        <v>2</v>
      </c>
      <c r="AC274" s="960">
        <f t="array" ref="AC274">HLOOKUP($J274,'Type Chart'!$C$2:$T$20,10,false)*HLOOKUP($K274,'Type Chart'!$C$2:$U$20,10,false)</f>
        <v>1</v>
      </c>
      <c r="AD274" s="960">
        <f t="array" ref="AD274">HLOOKUP($J274,'Type Chart'!$C$2:$T$20,11,false)*HLOOKUP($K274,'Type Chart'!$C$2:$U$20,11,false)</f>
        <v>1</v>
      </c>
      <c r="AE274" s="960">
        <f t="array" ref="AE274">HLOOKUP($J274,'Type Chart'!$C$2:$T$20,12,false)*HLOOKUP($K274,'Type Chart'!$C$2:$U$20,12,false)</f>
        <v>1</v>
      </c>
      <c r="AF274" s="960">
        <f t="array" ref="AF274">HLOOKUP($J274,'Type Chart'!$C$2:$T$20,13,false)*HLOOKUP($K274,'Type Chart'!$C$2:$U$20,13,false)</f>
        <v>1</v>
      </c>
      <c r="AG274" s="960">
        <f t="array" ref="AG274">HLOOKUP($J274,'Type Chart'!$C$2:$T$20,14,false)*HLOOKUP($K274,'Type Chart'!$C$2:$U$20,14,false)</f>
        <v>1</v>
      </c>
      <c r="AH274" s="960">
        <f t="array" ref="AH274">HLOOKUP($J274,'Type Chart'!$C$2:$T$20,15,false)*HLOOKUP($K274,'Type Chart'!$C$2:$U$20,15,false)</f>
        <v>0.5</v>
      </c>
      <c r="AI274" s="960">
        <f t="array" ref="AI274">HLOOKUP($J274,'Type Chart'!$C$2:$T$20,16,false)*HLOOKUP($K274,'Type Chart'!$C$2:$U$20,16,false)</f>
        <v>1</v>
      </c>
      <c r="AJ274" s="960">
        <f t="array" ref="AJ274">HLOOKUP($J274,'Type Chart'!$C$2:$T$20,17,false)*HLOOKUP($K274,'Type Chart'!$C$2:$U$20,17,false)</f>
        <v>1</v>
      </c>
      <c r="AK274" s="960">
        <f t="array" ref="AK274">HLOOKUP($J274,'Type Chart'!$C$2:$T$20,18,false)*HLOOKUP($K274,'Type Chart'!$C$2:$U$20,18,false)</f>
        <v>2</v>
      </c>
      <c r="AL274" s="960">
        <f t="array" ref="AL274">HLOOKUP($J274,'Type Chart'!$C$2:$T$20,19,false)*HLOOKUP($K274,'Type Chart'!$C$2:$U$20,19,false)</f>
        <v>1</v>
      </c>
      <c r="AM274" s="964" t="s">
        <v>1437</v>
      </c>
      <c r="AN274" s="965"/>
      <c r="AO274" s="966"/>
      <c r="AP274" s="936"/>
      <c r="AQ274" s="967"/>
      <c r="AR274" s="968"/>
      <c r="AS274" s="936"/>
    </row>
    <row r="275" ht="15.75" customHeight="1">
      <c r="A275" s="936"/>
      <c r="B275" s="948" t="s">
        <v>1825</v>
      </c>
      <c r="C275" s="950" t="s">
        <v>1826</v>
      </c>
      <c r="D275" s="950" t="s">
        <v>1826</v>
      </c>
      <c r="E275" s="952" t="s">
        <v>1826</v>
      </c>
      <c r="F275" s="940"/>
      <c r="G275" s="953"/>
      <c r="H275" s="969"/>
      <c r="I275" s="956" t="s">
        <v>1827</v>
      </c>
      <c r="J275" s="1203" t="s">
        <v>344</v>
      </c>
      <c r="K275" s="984" t="s">
        <v>216</v>
      </c>
      <c r="L275" s="959">
        <v>190.0</v>
      </c>
      <c r="M275" s="960">
        <v>33.0</v>
      </c>
      <c r="N275" s="960">
        <v>58.0</v>
      </c>
      <c r="O275" s="960">
        <v>33.0</v>
      </c>
      <c r="P275" s="960">
        <v>58.0</v>
      </c>
      <c r="Q275" s="960">
        <v>33.0</v>
      </c>
      <c r="R275" s="960">
        <v>102.0</v>
      </c>
      <c r="S275" s="960">
        <v>165.0</v>
      </c>
      <c r="T275" s="960">
        <v>181.0</v>
      </c>
      <c r="U275" s="960">
        <f t="array" ref="U275">HLOOKUP($J275,'Type Chart'!$C$2:$T$20,2,false)*HLOOKUP($K275,'Type Chart'!$C$2:$U$20,2,false)</f>
        <v>1</v>
      </c>
      <c r="V275" s="960">
        <f t="array" ref="V275">HLOOKUP($J275,'Type Chart'!$C$2:$T$20,3,false)*HLOOKUP($K275,'Type Chart'!$C$2:$U$20,3,false)</f>
        <v>0.5</v>
      </c>
      <c r="W275" s="960">
        <f t="array" ref="W275">HLOOKUP($J275,'Type Chart'!$C$2:$T$20,4,false)*HLOOKUP($K275,'Type Chart'!$C$2:$U$20,4,false)</f>
        <v>1</v>
      </c>
      <c r="X275" s="960">
        <f t="array" ref="X275">HLOOKUP($J275,'Type Chart'!$C$2:$T$20,5,false)*HLOOKUP($K275,'Type Chart'!$C$2:$U$20,5,false)</f>
        <v>1</v>
      </c>
      <c r="Y275" s="960">
        <f t="array" ref="Y275">HLOOKUP($J275,'Type Chart'!$C$2:$T$20,6,false)*HLOOKUP($K275,'Type Chart'!$C$2:$U$20,6,false)</f>
        <v>1</v>
      </c>
      <c r="Z275" s="960">
        <f t="array" ref="Z275">HLOOKUP($J275,'Type Chart'!$C$2:$T$20,7,false)*HLOOKUP($K275,'Type Chart'!$C$2:$U$20,7,false)</f>
        <v>1</v>
      </c>
      <c r="AA275" s="960">
        <f t="array" ref="AA275">HLOOKUP($J275,'Type Chart'!$C$2:$T$20,8,false)*HLOOKUP($K275,'Type Chart'!$C$2:$U$20,8,false)</f>
        <v>2</v>
      </c>
      <c r="AB275" s="960">
        <f t="array" ref="AB275">HLOOKUP($J275,'Type Chart'!$C$2:$T$20,9,false)*HLOOKUP($K275,'Type Chart'!$C$2:$U$20,9,false)</f>
        <v>2</v>
      </c>
      <c r="AC275" s="960">
        <f t="array" ref="AC275">HLOOKUP($J275,'Type Chart'!$C$2:$T$20,10,false)*HLOOKUP($K275,'Type Chart'!$C$2:$U$20,10,false)</f>
        <v>1</v>
      </c>
      <c r="AD275" s="960">
        <f t="array" ref="AD275">HLOOKUP($J275,'Type Chart'!$C$2:$T$20,11,false)*HLOOKUP($K275,'Type Chart'!$C$2:$U$20,11,false)</f>
        <v>1</v>
      </c>
      <c r="AE275" s="960">
        <f t="array" ref="AE275">HLOOKUP($J275,'Type Chart'!$C$2:$T$20,12,false)*HLOOKUP($K275,'Type Chart'!$C$2:$U$20,12,false)</f>
        <v>1</v>
      </c>
      <c r="AF275" s="960">
        <f t="array" ref="AF275">HLOOKUP($J275,'Type Chart'!$C$2:$T$20,13,false)*HLOOKUP($K275,'Type Chart'!$C$2:$U$20,13,false)</f>
        <v>1</v>
      </c>
      <c r="AG275" s="960">
        <f t="array" ref="AG275">HLOOKUP($J275,'Type Chart'!$C$2:$T$20,14,false)*HLOOKUP($K275,'Type Chart'!$C$2:$U$20,14,false)</f>
        <v>1</v>
      </c>
      <c r="AH275" s="960">
        <f t="array" ref="AH275">HLOOKUP($J275,'Type Chart'!$C$2:$T$20,15,false)*HLOOKUP($K275,'Type Chart'!$C$2:$U$20,15,false)</f>
        <v>0.5</v>
      </c>
      <c r="AI275" s="960">
        <f t="array" ref="AI275">HLOOKUP($J275,'Type Chart'!$C$2:$T$20,16,false)*HLOOKUP($K275,'Type Chart'!$C$2:$U$20,16,false)</f>
        <v>1</v>
      </c>
      <c r="AJ275" s="960">
        <f t="array" ref="AJ275">HLOOKUP($J275,'Type Chart'!$C$2:$T$20,17,false)*HLOOKUP($K275,'Type Chart'!$C$2:$U$20,17,false)</f>
        <v>1</v>
      </c>
      <c r="AK275" s="960">
        <f t="array" ref="AK275">HLOOKUP($J275,'Type Chart'!$C$2:$T$20,18,false)*HLOOKUP($K275,'Type Chart'!$C$2:$U$20,18,false)</f>
        <v>2</v>
      </c>
      <c r="AL275" s="960">
        <f t="array" ref="AL275">HLOOKUP($J275,'Type Chart'!$C$2:$T$20,19,false)*HLOOKUP($K275,'Type Chart'!$C$2:$U$20,19,false)</f>
        <v>1</v>
      </c>
      <c r="AM275" s="964" t="s">
        <v>1446</v>
      </c>
      <c r="AN275" s="965"/>
      <c r="AO275" s="966" t="s">
        <v>1828</v>
      </c>
      <c r="AP275" s="936"/>
      <c r="AQ275" s="967"/>
      <c r="AR275" s="968"/>
      <c r="AS275" s="936"/>
    </row>
    <row r="276" ht="15.75" customHeight="1">
      <c r="A276" s="1099"/>
      <c r="B276" s="948" t="s">
        <v>1829</v>
      </c>
      <c r="C276" s="950" t="s">
        <v>1830</v>
      </c>
      <c r="D276" s="950" t="s">
        <v>1830</v>
      </c>
      <c r="E276" s="952" t="s">
        <v>1830</v>
      </c>
      <c r="F276" s="940"/>
      <c r="G276" s="953"/>
      <c r="H276" s="969"/>
      <c r="I276" s="956" t="s">
        <v>828</v>
      </c>
      <c r="J276" s="1194" t="s">
        <v>136</v>
      </c>
      <c r="K276" s="1203" t="s">
        <v>344</v>
      </c>
      <c r="L276" s="959">
        <v>70.0</v>
      </c>
      <c r="M276" s="960">
        <v>80.0</v>
      </c>
      <c r="N276" s="960">
        <v>65.0</v>
      </c>
      <c r="O276" s="960">
        <v>90.0</v>
      </c>
      <c r="P276" s="960">
        <v>65.0</v>
      </c>
      <c r="Q276" s="960">
        <v>85.0</v>
      </c>
      <c r="R276" s="960">
        <v>206.0</v>
      </c>
      <c r="S276" s="960">
        <v>269.0</v>
      </c>
      <c r="T276" s="960">
        <v>295.0</v>
      </c>
      <c r="U276" s="960">
        <f t="array" ref="U276">HLOOKUP($J276,'Type Chart'!$C$2:$T$20,2,false)*HLOOKUP($K276,'Type Chart'!$C$2:$U$20,2,false)</f>
        <v>1</v>
      </c>
      <c r="V276" s="960">
        <f t="array" ref="V276">HLOOKUP($J276,'Type Chart'!$C$2:$T$20,3,false)*HLOOKUP($K276,'Type Chart'!$C$2:$U$20,3,false)</f>
        <v>1</v>
      </c>
      <c r="W276" s="960">
        <f t="array" ref="W276">HLOOKUP($J276,'Type Chart'!$C$2:$T$20,4,false)*HLOOKUP($K276,'Type Chart'!$C$2:$U$20,4,false)</f>
        <v>1</v>
      </c>
      <c r="X276" s="960">
        <f t="array" ref="X276">HLOOKUP($J276,'Type Chart'!$C$2:$T$20,5,false)*HLOOKUP($K276,'Type Chart'!$C$2:$U$20,5,false)</f>
        <v>1</v>
      </c>
      <c r="Y276" s="960">
        <f t="array" ref="Y276">HLOOKUP($J276,'Type Chart'!$C$2:$T$20,6,false)*HLOOKUP($K276,'Type Chart'!$C$2:$U$20,6,false)</f>
        <v>1</v>
      </c>
      <c r="Z276" s="960">
        <f t="array" ref="Z276">HLOOKUP($J276,'Type Chart'!$C$2:$T$20,7,false)*HLOOKUP($K276,'Type Chart'!$C$2:$U$20,7,false)</f>
        <v>1</v>
      </c>
      <c r="AA276" s="960">
        <f t="array" ref="AA276">HLOOKUP($J276,'Type Chart'!$C$2:$T$20,8,false)*HLOOKUP($K276,'Type Chart'!$C$2:$U$20,8,false)</f>
        <v>2</v>
      </c>
      <c r="AB276" s="960">
        <f t="array" ref="AB276">HLOOKUP($J276,'Type Chart'!$C$2:$T$20,9,false)*HLOOKUP($K276,'Type Chart'!$C$2:$U$20,9,false)</f>
        <v>0</v>
      </c>
      <c r="AC276" s="960">
        <f t="array" ref="AC276">HLOOKUP($J276,'Type Chart'!$C$2:$T$20,10,false)*HLOOKUP($K276,'Type Chart'!$C$2:$U$20,10,false)</f>
        <v>1</v>
      </c>
      <c r="AD276" s="960">
        <f t="array" ref="AD276">HLOOKUP($J276,'Type Chart'!$C$2:$T$20,11,false)*HLOOKUP($K276,'Type Chart'!$C$2:$U$20,11,false)</f>
        <v>1</v>
      </c>
      <c r="AE276" s="960">
        <f t="array" ref="AE276">HLOOKUP($J276,'Type Chart'!$C$2:$T$20,12,false)*HLOOKUP($K276,'Type Chart'!$C$2:$U$20,12,false)</f>
        <v>1</v>
      </c>
      <c r="AF276" s="960">
        <f t="array" ref="AF276">HLOOKUP($J276,'Type Chart'!$C$2:$T$20,13,false)*HLOOKUP($K276,'Type Chart'!$C$2:$U$20,13,false)</f>
        <v>1</v>
      </c>
      <c r="AG276" s="960">
        <f t="array" ref="AG276">HLOOKUP($J276,'Type Chart'!$C$2:$T$20,14,false)*HLOOKUP($K276,'Type Chart'!$C$2:$U$20,14,false)</f>
        <v>1</v>
      </c>
      <c r="AH276" s="960">
        <f t="array" ref="AH276">HLOOKUP($J276,'Type Chart'!$C$2:$T$20,15,false)*HLOOKUP($K276,'Type Chart'!$C$2:$U$20,15,false)</f>
        <v>0.5</v>
      </c>
      <c r="AI276" s="960">
        <f t="array" ref="AI276">HLOOKUP($J276,'Type Chart'!$C$2:$T$20,16,false)*HLOOKUP($K276,'Type Chart'!$C$2:$U$20,16,false)</f>
        <v>1</v>
      </c>
      <c r="AJ276" s="960">
        <f t="array" ref="AJ276">HLOOKUP($J276,'Type Chart'!$C$2:$T$20,17,false)*HLOOKUP($K276,'Type Chart'!$C$2:$U$20,17,false)</f>
        <v>1</v>
      </c>
      <c r="AK276" s="960">
        <f t="array" ref="AK276">HLOOKUP($J276,'Type Chart'!$C$2:$T$20,18,false)*HLOOKUP($K276,'Type Chart'!$C$2:$U$20,18,false)</f>
        <v>2</v>
      </c>
      <c r="AL276" s="960">
        <f t="array" ref="AL276">HLOOKUP($J276,'Type Chart'!$C$2:$T$20,19,false)*HLOOKUP($K276,'Type Chart'!$C$2:$U$20,19,false)</f>
        <v>1</v>
      </c>
      <c r="AM276" s="1145" t="s">
        <v>1192</v>
      </c>
      <c r="AN276" s="1202" t="s">
        <v>1403</v>
      </c>
      <c r="AO276" s="1146" t="s">
        <v>1772</v>
      </c>
      <c r="AP276" s="936"/>
      <c r="AQ276" s="967"/>
      <c r="AR276" s="968"/>
      <c r="AS276" s="936"/>
    </row>
    <row r="277" ht="15.75" customHeight="1">
      <c r="A277" s="1099"/>
      <c r="B277" s="948" t="s">
        <v>1831</v>
      </c>
      <c r="C277" s="950" t="s">
        <v>1832</v>
      </c>
      <c r="D277" s="950" t="s">
        <v>1832</v>
      </c>
      <c r="E277" s="952" t="s">
        <v>1832</v>
      </c>
      <c r="F277" s="940"/>
      <c r="G277" s="953"/>
      <c r="H277" s="969"/>
      <c r="I277" s="956" t="s">
        <v>855</v>
      </c>
      <c r="J277" s="1180" t="s">
        <v>343</v>
      </c>
      <c r="K277" s="984" t="s">
        <v>216</v>
      </c>
      <c r="L277" s="959">
        <v>50.0</v>
      </c>
      <c r="M277" s="960">
        <v>65.0</v>
      </c>
      <c r="N277" s="960">
        <v>90.0</v>
      </c>
      <c r="O277" s="960">
        <v>35.0</v>
      </c>
      <c r="P277" s="960">
        <v>35.0</v>
      </c>
      <c r="Q277" s="960">
        <v>15.0</v>
      </c>
      <c r="R277" s="960">
        <v>66.0</v>
      </c>
      <c r="S277" s="960">
        <v>129.0</v>
      </c>
      <c r="T277" s="960">
        <v>141.0</v>
      </c>
      <c r="U277" s="960">
        <f t="array" ref="U277">HLOOKUP($J277,'Type Chart'!$C$2:$T$20,2,false)*HLOOKUP($K277,'Type Chart'!$C$2:$U$20,2,false)</f>
        <v>1</v>
      </c>
      <c r="V277" s="960">
        <f t="array" ref="V277">HLOOKUP($J277,'Type Chart'!$C$2:$T$20,3,false)*HLOOKUP($K277,'Type Chart'!$C$2:$U$20,3,false)</f>
        <v>0.5</v>
      </c>
      <c r="W277" s="960">
        <f t="array" ref="W277">HLOOKUP($J277,'Type Chart'!$C$2:$T$20,4,false)*HLOOKUP($K277,'Type Chart'!$C$2:$U$20,4,false)</f>
        <v>2</v>
      </c>
      <c r="X277" s="960">
        <f t="array" ref="X277">HLOOKUP($J277,'Type Chart'!$C$2:$T$20,5,false)*HLOOKUP($K277,'Type Chart'!$C$2:$U$20,5,false)</f>
        <v>1</v>
      </c>
      <c r="Y277" s="960">
        <f t="array" ref="Y277">HLOOKUP($J277,'Type Chart'!$C$2:$T$20,6,false)*HLOOKUP($K277,'Type Chart'!$C$2:$U$20,6,false)</f>
        <v>0.5</v>
      </c>
      <c r="Z277" s="960">
        <f t="array" ref="Z277">HLOOKUP($J277,'Type Chart'!$C$2:$T$20,7,false)*HLOOKUP($K277,'Type Chart'!$C$2:$U$20,7,false)</f>
        <v>2</v>
      </c>
      <c r="AA277" s="960">
        <f t="array" ref="AA277">HLOOKUP($J277,'Type Chart'!$C$2:$T$20,8,false)*HLOOKUP($K277,'Type Chart'!$C$2:$U$20,8,false)</f>
        <v>1</v>
      </c>
      <c r="AB277" s="960">
        <f t="array" ref="AB277">HLOOKUP($J277,'Type Chart'!$C$2:$T$20,9,false)*HLOOKUP($K277,'Type Chart'!$C$2:$U$20,9,false)</f>
        <v>1</v>
      </c>
      <c r="AC277" s="960">
        <f t="array" ref="AC277">HLOOKUP($J277,'Type Chart'!$C$2:$T$20,10,false)*HLOOKUP($K277,'Type Chart'!$C$2:$U$20,10,false)</f>
        <v>1</v>
      </c>
      <c r="AD277" s="960">
        <f t="array" ref="AD277">HLOOKUP($J277,'Type Chart'!$C$2:$T$20,11,false)*HLOOKUP($K277,'Type Chart'!$C$2:$U$20,11,false)</f>
        <v>2</v>
      </c>
      <c r="AE277" s="960">
        <f t="array" ref="AE277">HLOOKUP($J277,'Type Chart'!$C$2:$T$20,12,false)*HLOOKUP($K277,'Type Chart'!$C$2:$U$20,12,false)</f>
        <v>1</v>
      </c>
      <c r="AF277" s="960">
        <f t="array" ref="AF277">HLOOKUP($J277,'Type Chart'!$C$2:$T$20,13,false)*HLOOKUP($K277,'Type Chart'!$C$2:$U$20,13,false)</f>
        <v>0.5</v>
      </c>
      <c r="AG277" s="960">
        <f t="array" ref="AG277">HLOOKUP($J277,'Type Chart'!$C$2:$T$20,14,false)*HLOOKUP($K277,'Type Chart'!$C$2:$U$20,14,false)</f>
        <v>1</v>
      </c>
      <c r="AH277" s="960">
        <f t="array" ref="AH277">HLOOKUP($J277,'Type Chart'!$C$2:$T$20,15,false)*HLOOKUP($K277,'Type Chart'!$C$2:$U$20,15,false)</f>
        <v>1</v>
      </c>
      <c r="AI277" s="960">
        <f t="array" ref="AI277">HLOOKUP($J277,'Type Chart'!$C$2:$T$20,16,false)*HLOOKUP($K277,'Type Chart'!$C$2:$U$20,16,false)</f>
        <v>1</v>
      </c>
      <c r="AJ277" s="960">
        <f t="array" ref="AJ277">HLOOKUP($J277,'Type Chart'!$C$2:$T$20,17,false)*HLOOKUP($K277,'Type Chart'!$C$2:$U$20,17,false)</f>
        <v>1</v>
      </c>
      <c r="AK277" s="960">
        <f t="array" ref="AK277">HLOOKUP($J277,'Type Chart'!$C$2:$T$20,18,false)*HLOOKUP($K277,'Type Chart'!$C$2:$U$20,18,false)</f>
        <v>1</v>
      </c>
      <c r="AL277" s="960">
        <f t="array" ref="AL277">HLOOKUP($J277,'Type Chart'!$C$2:$T$20,19,false)*HLOOKUP($K277,'Type Chart'!$C$2:$U$20,19,false)</f>
        <v>1</v>
      </c>
      <c r="AM277" s="1145" t="s">
        <v>1331</v>
      </c>
      <c r="AN277" s="1202"/>
      <c r="AO277" s="1146" t="s">
        <v>1431</v>
      </c>
      <c r="AP277" s="936"/>
      <c r="AQ277" s="967"/>
      <c r="AR277" s="968"/>
      <c r="AS277" s="936"/>
    </row>
    <row r="278" ht="15.75" customHeight="1">
      <c r="A278" s="936"/>
      <c r="B278" s="948" t="s">
        <v>1833</v>
      </c>
      <c r="C278" s="950" t="s">
        <v>1834</v>
      </c>
      <c r="D278" s="950" t="s">
        <v>1834</v>
      </c>
      <c r="E278" s="952" t="s">
        <v>1834</v>
      </c>
      <c r="F278" s="940"/>
      <c r="G278" s="953"/>
      <c r="H278" s="969"/>
      <c r="I278" s="956" t="s">
        <v>585</v>
      </c>
      <c r="J278" s="1180" t="s">
        <v>343</v>
      </c>
      <c r="K278" s="1206" t="s">
        <v>82</v>
      </c>
      <c r="L278" s="959">
        <v>75.0</v>
      </c>
      <c r="M278" s="960">
        <v>90.0</v>
      </c>
      <c r="N278" s="960">
        <v>140.0</v>
      </c>
      <c r="O278" s="960">
        <v>60.0</v>
      </c>
      <c r="P278" s="960">
        <v>60.0</v>
      </c>
      <c r="Q278" s="960">
        <v>40.0</v>
      </c>
      <c r="R278" s="960">
        <v>116.0</v>
      </c>
      <c r="S278" s="960">
        <v>179.0</v>
      </c>
      <c r="T278" s="960">
        <v>196.0</v>
      </c>
      <c r="U278" s="960">
        <f t="array" ref="U278">HLOOKUP($J278,'Type Chart'!$C$2:$T$20,2,false)*HLOOKUP($K278,'Type Chart'!$C$2:$U$20,2,false)</f>
        <v>0.5</v>
      </c>
      <c r="V278" s="960">
        <f t="array" ref="V278">HLOOKUP($J278,'Type Chart'!$C$2:$T$20,3,false)*HLOOKUP($K278,'Type Chart'!$C$2:$U$20,3,false)</f>
        <v>1</v>
      </c>
      <c r="W278" s="960">
        <f t="array" ref="W278">HLOOKUP($J278,'Type Chart'!$C$2:$T$20,4,false)*HLOOKUP($K278,'Type Chart'!$C$2:$U$20,4,false)</f>
        <v>1</v>
      </c>
      <c r="X278" s="960">
        <f t="array" ref="X278">HLOOKUP($J278,'Type Chart'!$C$2:$T$20,5,false)*HLOOKUP($K278,'Type Chart'!$C$2:$U$20,5,false)</f>
        <v>0</v>
      </c>
      <c r="Y278" s="960">
        <f t="array" ref="Y278">HLOOKUP($J278,'Type Chart'!$C$2:$T$20,6,false)*HLOOKUP($K278,'Type Chart'!$C$2:$U$20,6,false)</f>
        <v>1</v>
      </c>
      <c r="Z278" s="960">
        <f t="array" ref="Z278">HLOOKUP($J278,'Type Chart'!$C$2:$T$20,7,false)*HLOOKUP($K278,'Type Chart'!$C$2:$U$20,7,false)</f>
        <v>1</v>
      </c>
      <c r="AA278" s="960">
        <f t="array" ref="AA278">HLOOKUP($J278,'Type Chart'!$C$2:$T$20,8,false)*HLOOKUP($K278,'Type Chart'!$C$2:$U$20,8,false)</f>
        <v>0.5</v>
      </c>
      <c r="AB278" s="960">
        <f t="array" ref="AB278">HLOOKUP($J278,'Type Chart'!$C$2:$T$20,9,false)*HLOOKUP($K278,'Type Chart'!$C$2:$U$20,9,false)</f>
        <v>1</v>
      </c>
      <c r="AC278" s="960">
        <f t="array" ref="AC278">HLOOKUP($J278,'Type Chart'!$C$2:$T$20,10,false)*HLOOKUP($K278,'Type Chart'!$C$2:$U$20,10,false)</f>
        <v>0.5</v>
      </c>
      <c r="AD278" s="960">
        <f t="array" ref="AD278">HLOOKUP($J278,'Type Chart'!$C$2:$T$20,11,false)*HLOOKUP($K278,'Type Chart'!$C$2:$U$20,11,false)</f>
        <v>4</v>
      </c>
      <c r="AE278" s="960">
        <f t="array" ref="AE278">HLOOKUP($J278,'Type Chart'!$C$2:$T$20,12,false)*HLOOKUP($K278,'Type Chart'!$C$2:$U$20,12,false)</f>
        <v>1</v>
      </c>
      <c r="AF278" s="960">
        <f t="array" ref="AF278">HLOOKUP($J278,'Type Chart'!$C$2:$T$20,13,false)*HLOOKUP($K278,'Type Chart'!$C$2:$U$20,13,false)</f>
        <v>0.25</v>
      </c>
      <c r="AG278" s="960">
        <f t="array" ref="AG278">HLOOKUP($J278,'Type Chart'!$C$2:$T$20,14,false)*HLOOKUP($K278,'Type Chart'!$C$2:$U$20,14,false)</f>
        <v>1</v>
      </c>
      <c r="AH278" s="960">
        <f t="array" ref="AH278">HLOOKUP($J278,'Type Chart'!$C$2:$T$20,15,false)*HLOOKUP($K278,'Type Chart'!$C$2:$U$20,15,false)</f>
        <v>0.5</v>
      </c>
      <c r="AI278" s="960">
        <f t="array" ref="AI278">HLOOKUP($J278,'Type Chart'!$C$2:$T$20,16,false)*HLOOKUP($K278,'Type Chart'!$C$2:$U$20,16,false)</f>
        <v>0.5</v>
      </c>
      <c r="AJ278" s="960">
        <f t="array" ref="AJ278">HLOOKUP($J278,'Type Chart'!$C$2:$T$20,17,false)*HLOOKUP($K278,'Type Chart'!$C$2:$U$20,17,false)</f>
        <v>0.5</v>
      </c>
      <c r="AK278" s="960">
        <f t="array" ref="AK278">HLOOKUP($J278,'Type Chart'!$C$2:$T$20,18,false)*HLOOKUP($K278,'Type Chart'!$C$2:$U$20,18,false)</f>
        <v>1</v>
      </c>
      <c r="AL278" s="960">
        <f t="array" ref="AL278">HLOOKUP($J278,'Type Chart'!$C$2:$T$20,19,false)*HLOOKUP($K278,'Type Chart'!$C$2:$U$20,19,false)</f>
        <v>0.5</v>
      </c>
      <c r="AM278" s="964" t="s">
        <v>1331</v>
      </c>
      <c r="AN278" s="965"/>
      <c r="AO278" s="966" t="s">
        <v>1431</v>
      </c>
      <c r="AP278" s="936"/>
      <c r="AQ278" s="967"/>
      <c r="AR278" s="968"/>
      <c r="AS278" s="936"/>
    </row>
    <row r="279" ht="15.75" customHeight="1">
      <c r="A279" s="936"/>
      <c r="B279" s="948" t="s">
        <v>1835</v>
      </c>
      <c r="C279" s="950" t="s">
        <v>1836</v>
      </c>
      <c r="D279" s="950" t="s">
        <v>1836</v>
      </c>
      <c r="E279" s="952" t="s">
        <v>1836</v>
      </c>
      <c r="F279" s="940"/>
      <c r="G279" s="953"/>
      <c r="H279" s="969"/>
      <c r="I279" s="956" t="s">
        <v>676</v>
      </c>
      <c r="J279" s="1194" t="s">
        <v>136</v>
      </c>
      <c r="K279" s="984" t="s">
        <v>216</v>
      </c>
      <c r="L279" s="959">
        <v>100.0</v>
      </c>
      <c r="M279" s="960">
        <v>70.0</v>
      </c>
      <c r="N279" s="960">
        <v>70.0</v>
      </c>
      <c r="O279" s="960">
        <v>65.0</v>
      </c>
      <c r="P279" s="960">
        <v>65.0</v>
      </c>
      <c r="Q279" s="960">
        <v>45.0</v>
      </c>
      <c r="R279" s="960">
        <v>126.0</v>
      </c>
      <c r="S279" s="960">
        <v>189.0</v>
      </c>
      <c r="T279" s="960">
        <v>207.0</v>
      </c>
      <c r="U279" s="960">
        <f t="array" ref="U279">HLOOKUP($J279,'Type Chart'!$C$2:$T$20,2,false)*HLOOKUP($K279,'Type Chart'!$C$2:$U$20,2,false)</f>
        <v>1</v>
      </c>
      <c r="V279" s="960">
        <f t="array" ref="V279">HLOOKUP($J279,'Type Chart'!$C$2:$T$20,3,false)*HLOOKUP($K279,'Type Chart'!$C$2:$U$20,3,false)</f>
        <v>2</v>
      </c>
      <c r="W279" s="960">
        <f t="array" ref="W279">HLOOKUP($J279,'Type Chart'!$C$2:$T$20,4,false)*HLOOKUP($K279,'Type Chart'!$C$2:$U$20,4,false)</f>
        <v>1</v>
      </c>
      <c r="X279" s="960">
        <f t="array" ref="X279">HLOOKUP($J279,'Type Chart'!$C$2:$T$20,5,false)*HLOOKUP($K279,'Type Chart'!$C$2:$U$20,5,false)</f>
        <v>1</v>
      </c>
      <c r="Y279" s="960">
        <f t="array" ref="Y279">HLOOKUP($J279,'Type Chart'!$C$2:$T$20,6,false)*HLOOKUP($K279,'Type Chart'!$C$2:$U$20,6,false)</f>
        <v>1</v>
      </c>
      <c r="Z279" s="960">
        <f t="array" ref="Z279">HLOOKUP($J279,'Type Chart'!$C$2:$T$20,7,false)*HLOOKUP($K279,'Type Chart'!$C$2:$U$20,7,false)</f>
        <v>1</v>
      </c>
      <c r="AA279" s="960">
        <f t="array" ref="AA279">HLOOKUP($J279,'Type Chart'!$C$2:$T$20,8,false)*HLOOKUP($K279,'Type Chart'!$C$2:$U$20,8,false)</f>
        <v>1</v>
      </c>
      <c r="AB279" s="960">
        <f t="array" ref="AB279">HLOOKUP($J279,'Type Chart'!$C$2:$T$20,9,false)*HLOOKUP($K279,'Type Chart'!$C$2:$U$20,9,false)</f>
        <v>0</v>
      </c>
      <c r="AC279" s="960">
        <f t="array" ref="AC279">HLOOKUP($J279,'Type Chart'!$C$2:$T$20,10,false)*HLOOKUP($K279,'Type Chart'!$C$2:$U$20,10,false)</f>
        <v>1</v>
      </c>
      <c r="AD279" s="960">
        <f t="array" ref="AD279">HLOOKUP($J279,'Type Chart'!$C$2:$T$20,11,false)*HLOOKUP($K279,'Type Chart'!$C$2:$U$20,11,false)</f>
        <v>1</v>
      </c>
      <c r="AE279" s="960">
        <f t="array" ref="AE279">HLOOKUP($J279,'Type Chart'!$C$2:$T$20,12,false)*HLOOKUP($K279,'Type Chart'!$C$2:$U$20,12,false)</f>
        <v>1</v>
      </c>
      <c r="AF279" s="960">
        <f t="array" ref="AF279">HLOOKUP($J279,'Type Chart'!$C$2:$T$20,13,false)*HLOOKUP($K279,'Type Chart'!$C$2:$U$20,13,false)</f>
        <v>1</v>
      </c>
      <c r="AG279" s="960">
        <f t="array" ref="AG279">HLOOKUP($J279,'Type Chart'!$C$2:$T$20,14,false)*HLOOKUP($K279,'Type Chart'!$C$2:$U$20,14,false)</f>
        <v>1</v>
      </c>
      <c r="AH279" s="960">
        <f t="array" ref="AH279">HLOOKUP($J279,'Type Chart'!$C$2:$T$20,15,false)*HLOOKUP($K279,'Type Chart'!$C$2:$U$20,15,false)</f>
        <v>1</v>
      </c>
      <c r="AI279" s="960">
        <f t="array" ref="AI279">HLOOKUP($J279,'Type Chart'!$C$2:$T$20,16,false)*HLOOKUP($K279,'Type Chart'!$C$2:$U$20,16,false)</f>
        <v>1</v>
      </c>
      <c r="AJ279" s="960">
        <f t="array" ref="AJ279">HLOOKUP($J279,'Type Chart'!$C$2:$T$20,17,false)*HLOOKUP($K279,'Type Chart'!$C$2:$U$20,17,false)</f>
        <v>1</v>
      </c>
      <c r="AK279" s="960">
        <f t="array" ref="AK279">HLOOKUP($J279,'Type Chart'!$C$2:$T$20,18,false)*HLOOKUP($K279,'Type Chart'!$C$2:$U$20,18,false)</f>
        <v>1</v>
      </c>
      <c r="AL279" s="960">
        <f t="array" ref="AL279">HLOOKUP($J279,'Type Chart'!$C$2:$T$20,19,false)*HLOOKUP($K279,'Type Chart'!$C$2:$U$20,19,false)</f>
        <v>1</v>
      </c>
      <c r="AM279" s="964" t="s">
        <v>1521</v>
      </c>
      <c r="AN279" s="965" t="s">
        <v>988</v>
      </c>
      <c r="AO279" s="966" t="s">
        <v>1243</v>
      </c>
      <c r="AP279" s="936"/>
      <c r="AQ279" s="967"/>
      <c r="AR279" s="968"/>
      <c r="AS279" s="936"/>
    </row>
    <row r="280" ht="15.75" customHeight="1">
      <c r="A280" s="936"/>
      <c r="B280" s="948" t="s">
        <v>1837</v>
      </c>
      <c r="C280" s="950" t="s">
        <v>1838</v>
      </c>
      <c r="D280" s="950" t="s">
        <v>1838</v>
      </c>
      <c r="E280" s="952" t="s">
        <v>1838</v>
      </c>
      <c r="F280" s="940"/>
      <c r="G280" s="953"/>
      <c r="H280" s="969"/>
      <c r="I280" s="956" t="s">
        <v>784</v>
      </c>
      <c r="J280" s="1204" t="s">
        <v>80</v>
      </c>
      <c r="K280" s="1001" t="s">
        <v>128</v>
      </c>
      <c r="L280" s="959">
        <v>65.0</v>
      </c>
      <c r="M280" s="960">
        <v>75.0</v>
      </c>
      <c r="N280" s="960">
        <v>105.0</v>
      </c>
      <c r="O280" s="960">
        <v>35.0</v>
      </c>
      <c r="P280" s="960">
        <v>65.0</v>
      </c>
      <c r="Q280" s="960">
        <v>85.0</v>
      </c>
      <c r="R280" s="960">
        <v>206.0</v>
      </c>
      <c r="S280" s="960">
        <v>269.0</v>
      </c>
      <c r="T280" s="960">
        <v>295.0</v>
      </c>
      <c r="U280" s="960">
        <f t="array" ref="U280">HLOOKUP($J280,'Type Chart'!$C$2:$T$20,2,false)*HLOOKUP($K280,'Type Chart'!$C$2:$U$20,2,false)</f>
        <v>1</v>
      </c>
      <c r="V280" s="960">
        <f t="array" ref="V280">HLOOKUP($J280,'Type Chart'!$C$2:$T$20,3,false)*HLOOKUP($K280,'Type Chart'!$C$2:$U$20,3,false)</f>
        <v>0.5</v>
      </c>
      <c r="W280" s="960">
        <f t="array" ref="W280">HLOOKUP($J280,'Type Chart'!$C$2:$T$20,4,false)*HLOOKUP($K280,'Type Chart'!$C$2:$U$20,4,false)</f>
        <v>1</v>
      </c>
      <c r="X280" s="960">
        <f t="array" ref="X280">HLOOKUP($J280,'Type Chart'!$C$2:$T$20,5,false)*HLOOKUP($K280,'Type Chart'!$C$2:$U$20,5,false)</f>
        <v>0.5</v>
      </c>
      <c r="Y280" s="960">
        <f t="array" ref="Y280">HLOOKUP($J280,'Type Chart'!$C$2:$T$20,6,false)*HLOOKUP($K280,'Type Chart'!$C$2:$U$20,6,false)</f>
        <v>0</v>
      </c>
      <c r="Z280" s="960">
        <f t="array" ref="Z280">HLOOKUP($J280,'Type Chart'!$C$2:$T$20,7,false)*HLOOKUP($K280,'Type Chart'!$C$2:$U$20,7,false)</f>
        <v>1</v>
      </c>
      <c r="AA280" s="960">
        <f t="array" ref="AA280">HLOOKUP($J280,'Type Chart'!$C$2:$T$20,8,false)*HLOOKUP($K280,'Type Chart'!$C$2:$U$20,8,false)</f>
        <v>0.5</v>
      </c>
      <c r="AB280" s="960">
        <f t="array" ref="AB280">HLOOKUP($J280,'Type Chart'!$C$2:$T$20,9,false)*HLOOKUP($K280,'Type Chart'!$C$2:$U$20,9,false)</f>
        <v>1</v>
      </c>
      <c r="AC280" s="960">
        <f t="array" ref="AC280">HLOOKUP($J280,'Type Chart'!$C$2:$T$20,10,false)*HLOOKUP($K280,'Type Chart'!$C$2:$U$20,10,false)</f>
        <v>1</v>
      </c>
      <c r="AD280" s="960">
        <f t="array" ref="AD280">HLOOKUP($J280,'Type Chart'!$C$2:$T$20,11,false)*HLOOKUP($K280,'Type Chart'!$C$2:$U$20,11,false)</f>
        <v>1</v>
      </c>
      <c r="AE280" s="960">
        <f t="array" ref="AE280">HLOOKUP($J280,'Type Chart'!$C$2:$T$20,12,false)*HLOOKUP($K280,'Type Chart'!$C$2:$U$20,12,false)</f>
        <v>2</v>
      </c>
      <c r="AF280" s="960">
        <f t="array" ref="AF280">HLOOKUP($J280,'Type Chart'!$C$2:$T$20,13,false)*HLOOKUP($K280,'Type Chart'!$C$2:$U$20,13,false)</f>
        <v>1</v>
      </c>
      <c r="AG280" s="960">
        <f t="array" ref="AG280">HLOOKUP($J280,'Type Chart'!$C$2:$T$20,14,false)*HLOOKUP($K280,'Type Chart'!$C$2:$U$20,14,false)</f>
        <v>0</v>
      </c>
      <c r="AH280" s="960">
        <f t="array" ref="AH280">HLOOKUP($J280,'Type Chart'!$C$2:$T$20,15,false)*HLOOKUP($K280,'Type Chart'!$C$2:$U$20,15,false)</f>
        <v>1</v>
      </c>
      <c r="AI280" s="960">
        <f t="array" ref="AI280">HLOOKUP($J280,'Type Chart'!$C$2:$T$20,16,false)*HLOOKUP($K280,'Type Chart'!$C$2:$U$20,16,false)</f>
        <v>4</v>
      </c>
      <c r="AJ280" s="960">
        <f t="array" ref="AJ280">HLOOKUP($J280,'Type Chart'!$C$2:$T$20,17,false)*HLOOKUP($K280,'Type Chart'!$C$2:$U$20,17,false)</f>
        <v>1</v>
      </c>
      <c r="AK280" s="960">
        <f t="array" ref="AK280">HLOOKUP($J280,'Type Chart'!$C$2:$T$20,18,false)*HLOOKUP($K280,'Type Chart'!$C$2:$U$20,18,false)</f>
        <v>1</v>
      </c>
      <c r="AL280" s="960">
        <f t="array" ref="AL280">HLOOKUP($J280,'Type Chart'!$C$2:$T$20,19,false)*HLOOKUP($K280,'Type Chart'!$C$2:$U$20,19,false)</f>
        <v>1</v>
      </c>
      <c r="AM280" s="964" t="s">
        <v>1461</v>
      </c>
      <c r="AN280" s="965" t="s">
        <v>1129</v>
      </c>
      <c r="AO280" s="966" t="s">
        <v>1642</v>
      </c>
      <c r="AP280" s="936"/>
      <c r="AQ280" s="967"/>
      <c r="AR280" s="968"/>
      <c r="AS280" s="936"/>
    </row>
    <row r="281" ht="15.75" customHeight="1">
      <c r="A281" s="1099"/>
      <c r="B281" s="948" t="s">
        <v>1839</v>
      </c>
      <c r="C281" s="950" t="s">
        <v>1840</v>
      </c>
      <c r="D281" s="950" t="s">
        <v>1840</v>
      </c>
      <c r="E281" s="952" t="s">
        <v>1840</v>
      </c>
      <c r="F281" s="940"/>
      <c r="G281" s="953"/>
      <c r="H281" s="969"/>
      <c r="I281" s="956" t="s">
        <v>1841</v>
      </c>
      <c r="J281" s="1206" t="s">
        <v>82</v>
      </c>
      <c r="K281" s="1204" t="s">
        <v>80</v>
      </c>
      <c r="L281" s="959">
        <v>75.0</v>
      </c>
      <c r="M281" s="960">
        <v>85.0</v>
      </c>
      <c r="N281" s="960">
        <v>200.0</v>
      </c>
      <c r="O281" s="960">
        <v>55.0</v>
      </c>
      <c r="P281" s="960">
        <v>65.0</v>
      </c>
      <c r="Q281" s="960">
        <v>30.0</v>
      </c>
      <c r="R281" s="960">
        <v>96.0</v>
      </c>
      <c r="S281" s="960">
        <v>159.0</v>
      </c>
      <c r="T281" s="960">
        <v>174.0</v>
      </c>
      <c r="U281" s="960">
        <f t="array" ref="U281">HLOOKUP($J281,'Type Chart'!$C$2:$T$20,2,false)*HLOOKUP($K281,'Type Chart'!$C$2:$U$20,2,false)</f>
        <v>0.5</v>
      </c>
      <c r="V281" s="960">
        <f t="array" ref="V281">HLOOKUP($J281,'Type Chart'!$C$2:$T$20,3,false)*HLOOKUP($K281,'Type Chart'!$C$2:$U$20,3,false)</f>
        <v>2</v>
      </c>
      <c r="W281" s="960">
        <f t="array" ref="W281">HLOOKUP($J281,'Type Chart'!$C$2:$T$20,4,false)*HLOOKUP($K281,'Type Chart'!$C$2:$U$20,4,false)</f>
        <v>0.5</v>
      </c>
      <c r="X281" s="960">
        <f t="array" ref="X281">HLOOKUP($J281,'Type Chart'!$C$2:$T$20,5,false)*HLOOKUP($K281,'Type Chart'!$C$2:$U$20,5,false)</f>
        <v>0</v>
      </c>
      <c r="Y281" s="960">
        <f t="array" ref="Y281">HLOOKUP($J281,'Type Chart'!$C$2:$T$20,6,false)*HLOOKUP($K281,'Type Chart'!$C$2:$U$20,6,false)</f>
        <v>2</v>
      </c>
      <c r="Z281" s="960">
        <f t="array" ref="Z281">HLOOKUP($J281,'Type Chart'!$C$2:$T$20,7,false)*HLOOKUP($K281,'Type Chart'!$C$2:$U$20,7,false)</f>
        <v>0.25</v>
      </c>
      <c r="AA281" s="960">
        <f t="array" ref="AA281">HLOOKUP($J281,'Type Chart'!$C$2:$T$20,8,false)*HLOOKUP($K281,'Type Chart'!$C$2:$U$20,8,false)</f>
        <v>0.5</v>
      </c>
      <c r="AB281" s="960">
        <f t="array" ref="AB281">HLOOKUP($J281,'Type Chart'!$C$2:$T$20,9,false)*HLOOKUP($K281,'Type Chart'!$C$2:$U$20,9,false)</f>
        <v>1</v>
      </c>
      <c r="AC281" s="960">
        <f t="array" ref="AC281">HLOOKUP($J281,'Type Chart'!$C$2:$T$20,10,false)*HLOOKUP($K281,'Type Chart'!$C$2:$U$20,10,false)</f>
        <v>0.5</v>
      </c>
      <c r="AD281" s="960">
        <f t="array" ref="AD281">HLOOKUP($J281,'Type Chart'!$C$2:$T$20,11,false)*HLOOKUP($K281,'Type Chart'!$C$2:$U$20,11,false)</f>
        <v>2</v>
      </c>
      <c r="AE281" s="960">
        <f t="array" ref="AE281">HLOOKUP($J281,'Type Chart'!$C$2:$T$20,12,false)*HLOOKUP($K281,'Type Chart'!$C$2:$U$20,12,false)</f>
        <v>2</v>
      </c>
      <c r="AF281" s="960">
        <f t="array" ref="AF281">HLOOKUP($J281,'Type Chart'!$C$2:$T$20,13,false)*HLOOKUP($K281,'Type Chart'!$C$2:$U$20,13,false)</f>
        <v>1</v>
      </c>
      <c r="AG281" s="960">
        <f t="array" ref="AG281">HLOOKUP($J281,'Type Chart'!$C$2:$T$20,14,false)*HLOOKUP($K281,'Type Chart'!$C$2:$U$20,14,false)</f>
        <v>0</v>
      </c>
      <c r="AH281" s="960">
        <f t="array" ref="AH281">HLOOKUP($J281,'Type Chart'!$C$2:$T$20,15,false)*HLOOKUP($K281,'Type Chart'!$C$2:$U$20,15,false)</f>
        <v>0.5</v>
      </c>
      <c r="AI281" s="960">
        <f t="array" ref="AI281">HLOOKUP($J281,'Type Chart'!$C$2:$T$20,16,false)*HLOOKUP($K281,'Type Chart'!$C$2:$U$20,16,false)</f>
        <v>1</v>
      </c>
      <c r="AJ281" s="960">
        <f t="array" ref="AJ281">HLOOKUP($J281,'Type Chart'!$C$2:$T$20,17,false)*HLOOKUP($K281,'Type Chart'!$C$2:$U$20,17,false)</f>
        <v>0.5</v>
      </c>
      <c r="AK281" s="960">
        <f t="array" ref="AK281">HLOOKUP($J281,'Type Chart'!$C$2:$T$20,18,false)*HLOOKUP($K281,'Type Chart'!$C$2:$U$20,18,false)</f>
        <v>1</v>
      </c>
      <c r="AL281" s="960">
        <f t="array" ref="AL281">HLOOKUP($J281,'Type Chart'!$C$2:$T$20,19,false)*HLOOKUP($K281,'Type Chart'!$C$2:$U$20,19,false)</f>
        <v>0.5</v>
      </c>
      <c r="AM281" s="1145" t="s">
        <v>1276</v>
      </c>
      <c r="AN281" s="965" t="s">
        <v>1331</v>
      </c>
      <c r="AO281" s="1146" t="s">
        <v>1153</v>
      </c>
      <c r="AP281" s="936"/>
      <c r="AQ281" s="967"/>
      <c r="AR281" s="968"/>
      <c r="AS281" s="936"/>
    </row>
    <row r="282" ht="15.75" customHeight="1">
      <c r="A282" s="936"/>
      <c r="B282" s="948" t="s">
        <v>1842</v>
      </c>
      <c r="C282" s="950" t="s">
        <v>1843</v>
      </c>
      <c r="D282" s="950" t="s">
        <v>1843</v>
      </c>
      <c r="E282" s="952" t="s">
        <v>1843</v>
      </c>
      <c r="F282" s="940"/>
      <c r="G282" s="953"/>
      <c r="H282" s="969"/>
      <c r="I282" s="956" t="s">
        <v>1844</v>
      </c>
      <c r="J282" s="1206" t="s">
        <v>82</v>
      </c>
      <c r="K282" s="1204" t="s">
        <v>80</v>
      </c>
      <c r="L282" s="959">
        <v>75.0</v>
      </c>
      <c r="M282" s="960">
        <v>125.0</v>
      </c>
      <c r="N282" s="960">
        <v>230.0</v>
      </c>
      <c r="O282" s="960">
        <v>55.0</v>
      </c>
      <c r="P282" s="960">
        <v>95.0</v>
      </c>
      <c r="Q282" s="960">
        <v>30.0</v>
      </c>
      <c r="R282" s="960">
        <v>96.0</v>
      </c>
      <c r="S282" s="960">
        <v>159.0</v>
      </c>
      <c r="T282" s="960">
        <v>174.0</v>
      </c>
      <c r="U282" s="960">
        <f t="array" ref="U282">HLOOKUP($J282,'Type Chart'!$C$2:$T$20,2,false)*HLOOKUP($K282,'Type Chart'!$C$2:$U$20,2,false)</f>
        <v>0.5</v>
      </c>
      <c r="V282" s="960">
        <f t="array" ref="V282">HLOOKUP($J282,'Type Chart'!$C$2:$T$20,3,false)*HLOOKUP($K282,'Type Chart'!$C$2:$U$20,3,false)</f>
        <v>2</v>
      </c>
      <c r="W282" s="960">
        <f t="array" ref="W282">HLOOKUP($J282,'Type Chart'!$C$2:$T$20,4,false)*HLOOKUP($K282,'Type Chart'!$C$2:$U$20,4,false)</f>
        <v>0.5</v>
      </c>
      <c r="X282" s="960">
        <f t="array" ref="X282">HLOOKUP($J282,'Type Chart'!$C$2:$T$20,5,false)*HLOOKUP($K282,'Type Chart'!$C$2:$U$20,5,false)</f>
        <v>0</v>
      </c>
      <c r="Y282" s="960">
        <f t="array" ref="Y282">HLOOKUP($J282,'Type Chart'!$C$2:$T$20,6,false)*HLOOKUP($K282,'Type Chart'!$C$2:$U$20,6,false)</f>
        <v>2</v>
      </c>
      <c r="Z282" s="960">
        <f t="array" ref="Z282">HLOOKUP($J282,'Type Chart'!$C$2:$T$20,7,false)*HLOOKUP($K282,'Type Chart'!$C$2:$U$20,7,false)</f>
        <v>0.25</v>
      </c>
      <c r="AA282" s="960">
        <f t="array" ref="AA282">HLOOKUP($J282,'Type Chart'!$C$2:$T$20,8,false)*HLOOKUP($K282,'Type Chart'!$C$2:$U$20,8,false)</f>
        <v>0.5</v>
      </c>
      <c r="AB282" s="960">
        <f t="array" ref="AB282">HLOOKUP($J282,'Type Chart'!$C$2:$T$20,9,false)*HLOOKUP($K282,'Type Chart'!$C$2:$U$20,9,false)</f>
        <v>1</v>
      </c>
      <c r="AC282" s="960">
        <f t="array" ref="AC282">HLOOKUP($J282,'Type Chart'!$C$2:$T$20,10,false)*HLOOKUP($K282,'Type Chart'!$C$2:$U$20,10,false)</f>
        <v>0.5</v>
      </c>
      <c r="AD282" s="960">
        <f t="array" ref="AD282">HLOOKUP($J282,'Type Chart'!$C$2:$T$20,11,false)*HLOOKUP($K282,'Type Chart'!$C$2:$U$20,11,false)</f>
        <v>2</v>
      </c>
      <c r="AE282" s="960">
        <f t="array" ref="AE282">HLOOKUP($J282,'Type Chart'!$C$2:$T$20,12,false)*HLOOKUP($K282,'Type Chart'!$C$2:$U$20,12,false)</f>
        <v>2</v>
      </c>
      <c r="AF282" s="960">
        <f t="array" ref="AF282">HLOOKUP($J282,'Type Chart'!$C$2:$T$20,13,false)*HLOOKUP($K282,'Type Chart'!$C$2:$U$20,13,false)</f>
        <v>1</v>
      </c>
      <c r="AG282" s="960">
        <f t="array" ref="AG282">HLOOKUP($J282,'Type Chart'!$C$2:$T$20,14,false)*HLOOKUP($K282,'Type Chart'!$C$2:$U$20,14,false)</f>
        <v>0</v>
      </c>
      <c r="AH282" s="960">
        <f t="array" ref="AH282">HLOOKUP($J282,'Type Chart'!$C$2:$T$20,15,false)*HLOOKUP($K282,'Type Chart'!$C$2:$U$20,15,false)</f>
        <v>0.5</v>
      </c>
      <c r="AI282" s="960">
        <f t="array" ref="AI282">HLOOKUP($J282,'Type Chart'!$C$2:$T$20,16,false)*HLOOKUP($K282,'Type Chart'!$C$2:$U$20,16,false)</f>
        <v>1</v>
      </c>
      <c r="AJ282" s="960">
        <f t="array" ref="AJ282">HLOOKUP($J282,'Type Chart'!$C$2:$T$20,17,false)*HLOOKUP($K282,'Type Chart'!$C$2:$U$20,17,false)</f>
        <v>0.5</v>
      </c>
      <c r="AK282" s="960">
        <f t="array" ref="AK282">HLOOKUP($J282,'Type Chart'!$C$2:$T$20,18,false)*HLOOKUP($K282,'Type Chart'!$C$2:$U$20,18,false)</f>
        <v>1</v>
      </c>
      <c r="AL282" s="960">
        <f t="array" ref="AL282">HLOOKUP($J282,'Type Chart'!$C$2:$T$20,19,false)*HLOOKUP($K282,'Type Chart'!$C$2:$U$20,19,false)</f>
        <v>0.5</v>
      </c>
      <c r="AM282" s="964" t="s">
        <v>1224</v>
      </c>
      <c r="AN282" s="965"/>
      <c r="AO282" s="966"/>
      <c r="AP282" s="936"/>
      <c r="AQ282" s="967"/>
      <c r="AR282" s="968"/>
      <c r="AS282" s="936"/>
    </row>
    <row r="283" ht="15.75" customHeight="1">
      <c r="A283" s="936"/>
      <c r="B283" s="948" t="s">
        <v>1845</v>
      </c>
      <c r="C283" s="950" t="s">
        <v>1846</v>
      </c>
      <c r="D283" s="950" t="s">
        <v>1846</v>
      </c>
      <c r="E283" s="952" t="s">
        <v>1846</v>
      </c>
      <c r="F283" s="940"/>
      <c r="G283" s="953"/>
      <c r="H283" s="969"/>
      <c r="I283" s="956" t="s">
        <v>1847</v>
      </c>
      <c r="J283" s="1207" t="s">
        <v>127</v>
      </c>
      <c r="K283" s="984" t="s">
        <v>216</v>
      </c>
      <c r="L283" s="959">
        <v>60.0</v>
      </c>
      <c r="M283" s="960">
        <v>80.0</v>
      </c>
      <c r="N283" s="960">
        <v>50.0</v>
      </c>
      <c r="O283" s="960">
        <v>40.0</v>
      </c>
      <c r="P283" s="960">
        <v>40.0</v>
      </c>
      <c r="Q283" s="960">
        <v>30.0</v>
      </c>
      <c r="R283" s="960">
        <v>96.0</v>
      </c>
      <c r="S283" s="960">
        <v>159.0</v>
      </c>
      <c r="T283" s="960">
        <v>174.0</v>
      </c>
      <c r="U283" s="960">
        <f t="array" ref="U283">HLOOKUP($J283,'Type Chart'!$C$2:$T$20,2,false)*HLOOKUP($K283,'Type Chart'!$C$2:$U$20,2,false)</f>
        <v>1</v>
      </c>
      <c r="V283" s="960">
        <f t="array" ref="V283">HLOOKUP($J283,'Type Chart'!$C$2:$T$20,3,false)*HLOOKUP($K283,'Type Chart'!$C$2:$U$20,3,false)</f>
        <v>0.5</v>
      </c>
      <c r="W283" s="960">
        <f t="array" ref="W283">HLOOKUP($J283,'Type Chart'!$C$2:$T$20,4,false)*HLOOKUP($K283,'Type Chart'!$C$2:$U$20,4,false)</f>
        <v>1</v>
      </c>
      <c r="X283" s="960">
        <f t="array" ref="X283">HLOOKUP($J283,'Type Chart'!$C$2:$T$20,5,false)*HLOOKUP($K283,'Type Chart'!$C$2:$U$20,5,false)</f>
        <v>2</v>
      </c>
      <c r="Y283" s="960">
        <f t="array" ref="Y283">HLOOKUP($J283,'Type Chart'!$C$2:$T$20,6,false)*HLOOKUP($K283,'Type Chart'!$C$2:$U$20,6,false)</f>
        <v>1</v>
      </c>
      <c r="Z283" s="960">
        <f t="array" ref="Z283">HLOOKUP($J283,'Type Chart'!$C$2:$T$20,7,false)*HLOOKUP($K283,'Type Chart'!$C$2:$U$20,7,false)</f>
        <v>1</v>
      </c>
      <c r="AA283" s="960">
        <f t="array" ref="AA283">HLOOKUP($J283,'Type Chart'!$C$2:$T$20,8,false)*HLOOKUP($K283,'Type Chart'!$C$2:$U$20,8,false)</f>
        <v>0.5</v>
      </c>
      <c r="AB283" s="960">
        <f t="array" ref="AB283">HLOOKUP($J283,'Type Chart'!$C$2:$T$20,9,false)*HLOOKUP($K283,'Type Chart'!$C$2:$U$20,9,false)</f>
        <v>1</v>
      </c>
      <c r="AC283" s="960">
        <f t="array" ref="AC283">HLOOKUP($J283,'Type Chart'!$C$2:$T$20,10,false)*HLOOKUP($K283,'Type Chart'!$C$2:$U$20,10,false)</f>
        <v>2</v>
      </c>
      <c r="AD283" s="960">
        <f t="array" ref="AD283">HLOOKUP($J283,'Type Chart'!$C$2:$T$20,11,false)*HLOOKUP($K283,'Type Chart'!$C$2:$U$20,11,false)</f>
        <v>1</v>
      </c>
      <c r="AE283" s="960">
        <f t="array" ref="AE283">HLOOKUP($J283,'Type Chart'!$C$2:$T$20,12,false)*HLOOKUP($K283,'Type Chart'!$C$2:$U$20,12,false)</f>
        <v>1</v>
      </c>
      <c r="AF283" s="960">
        <f t="array" ref="AF283">HLOOKUP($J283,'Type Chart'!$C$2:$T$20,13,false)*HLOOKUP($K283,'Type Chart'!$C$2:$U$20,13,false)</f>
        <v>1</v>
      </c>
      <c r="AG283" s="960">
        <f t="array" ref="AG283">HLOOKUP($J283,'Type Chart'!$C$2:$T$20,14,false)*HLOOKUP($K283,'Type Chart'!$C$2:$U$20,14,false)</f>
        <v>1</v>
      </c>
      <c r="AH283" s="960">
        <f t="array" ref="AH283">HLOOKUP($J283,'Type Chart'!$C$2:$T$20,15,false)*HLOOKUP($K283,'Type Chart'!$C$2:$U$20,15,false)</f>
        <v>1</v>
      </c>
      <c r="AI283" s="960">
        <f t="array" ref="AI283">HLOOKUP($J283,'Type Chart'!$C$2:$T$20,16,false)*HLOOKUP($K283,'Type Chart'!$C$2:$U$20,16,false)</f>
        <v>1</v>
      </c>
      <c r="AJ283" s="960">
        <f t="array" ref="AJ283">HLOOKUP($J283,'Type Chart'!$C$2:$T$20,17,false)*HLOOKUP($K283,'Type Chart'!$C$2:$U$20,17,false)</f>
        <v>0</v>
      </c>
      <c r="AK283" s="960">
        <f t="array" ref="AK283">HLOOKUP($J283,'Type Chart'!$C$2:$T$20,18,false)*HLOOKUP($K283,'Type Chart'!$C$2:$U$20,18,false)</f>
        <v>0.5</v>
      </c>
      <c r="AL283" s="960">
        <f t="array" ref="AL283">HLOOKUP($J283,'Type Chart'!$C$2:$T$20,19,false)*HLOOKUP($K283,'Type Chart'!$C$2:$U$20,19,false)</f>
        <v>1</v>
      </c>
      <c r="AM283" s="964" t="s">
        <v>1061</v>
      </c>
      <c r="AN283" s="965" t="s">
        <v>988</v>
      </c>
      <c r="AO283" s="966" t="s">
        <v>1243</v>
      </c>
      <c r="AP283" s="936"/>
      <c r="AQ283" s="967"/>
      <c r="AR283" s="968"/>
      <c r="AS283" s="936"/>
    </row>
    <row r="284" ht="15.75" customHeight="1">
      <c r="A284" s="1099"/>
      <c r="B284" s="948" t="s">
        <v>1848</v>
      </c>
      <c r="C284" s="950" t="s">
        <v>1849</v>
      </c>
      <c r="D284" s="950" t="s">
        <v>1849</v>
      </c>
      <c r="E284" s="952" t="s">
        <v>1849</v>
      </c>
      <c r="F284" s="940"/>
      <c r="G284" s="953"/>
      <c r="H284" s="969"/>
      <c r="I284" s="956" t="s">
        <v>699</v>
      </c>
      <c r="J284" s="1207" t="s">
        <v>127</v>
      </c>
      <c r="K284" s="984" t="s">
        <v>216</v>
      </c>
      <c r="L284" s="959">
        <v>90.0</v>
      </c>
      <c r="M284" s="960">
        <v>120.0</v>
      </c>
      <c r="N284" s="960">
        <v>75.0</v>
      </c>
      <c r="O284" s="960">
        <v>60.0</v>
      </c>
      <c r="P284" s="960">
        <v>60.0</v>
      </c>
      <c r="Q284" s="960">
        <v>45.0</v>
      </c>
      <c r="R284" s="960">
        <v>126.0</v>
      </c>
      <c r="S284" s="960">
        <v>189.0</v>
      </c>
      <c r="T284" s="960">
        <v>207.0</v>
      </c>
      <c r="U284" s="960">
        <f t="array" ref="U284">HLOOKUP($J284,'Type Chart'!$C$2:$T$20,2,false)*HLOOKUP($K284,'Type Chart'!$C$2:$U$20,2,false)</f>
        <v>1</v>
      </c>
      <c r="V284" s="960">
        <f t="array" ref="V284">HLOOKUP($J284,'Type Chart'!$C$2:$T$20,3,false)*HLOOKUP($K284,'Type Chart'!$C$2:$U$20,3,false)</f>
        <v>0.5</v>
      </c>
      <c r="W284" s="960">
        <f t="array" ref="W284">HLOOKUP($J284,'Type Chart'!$C$2:$T$20,4,false)*HLOOKUP($K284,'Type Chart'!$C$2:$U$20,4,false)</f>
        <v>1</v>
      </c>
      <c r="X284" s="960">
        <f t="array" ref="X284">HLOOKUP($J284,'Type Chart'!$C$2:$T$20,5,false)*HLOOKUP($K284,'Type Chart'!$C$2:$U$20,5,false)</f>
        <v>2</v>
      </c>
      <c r="Y284" s="960">
        <f t="array" ref="Y284">HLOOKUP($J284,'Type Chart'!$C$2:$T$20,6,false)*HLOOKUP($K284,'Type Chart'!$C$2:$U$20,6,false)</f>
        <v>1</v>
      </c>
      <c r="Z284" s="960">
        <f t="array" ref="Z284">HLOOKUP($J284,'Type Chart'!$C$2:$T$20,7,false)*HLOOKUP($K284,'Type Chart'!$C$2:$U$20,7,false)</f>
        <v>1</v>
      </c>
      <c r="AA284" s="960">
        <f t="array" ref="AA284">HLOOKUP($J284,'Type Chart'!$C$2:$T$20,8,false)*HLOOKUP($K284,'Type Chart'!$C$2:$U$20,8,false)</f>
        <v>0.5</v>
      </c>
      <c r="AB284" s="960">
        <f t="array" ref="AB284">HLOOKUP($J284,'Type Chart'!$C$2:$T$20,9,false)*HLOOKUP($K284,'Type Chart'!$C$2:$U$20,9,false)</f>
        <v>1</v>
      </c>
      <c r="AC284" s="960">
        <f t="array" ref="AC284">HLOOKUP($J284,'Type Chart'!$C$2:$T$20,10,false)*HLOOKUP($K284,'Type Chart'!$C$2:$U$20,10,false)</f>
        <v>2</v>
      </c>
      <c r="AD284" s="960">
        <f t="array" ref="AD284">HLOOKUP($J284,'Type Chart'!$C$2:$T$20,11,false)*HLOOKUP($K284,'Type Chart'!$C$2:$U$20,11,false)</f>
        <v>1</v>
      </c>
      <c r="AE284" s="960">
        <f t="array" ref="AE284">HLOOKUP($J284,'Type Chart'!$C$2:$T$20,12,false)*HLOOKUP($K284,'Type Chart'!$C$2:$U$20,12,false)</f>
        <v>1</v>
      </c>
      <c r="AF284" s="960">
        <f t="array" ref="AF284">HLOOKUP($J284,'Type Chart'!$C$2:$T$20,13,false)*HLOOKUP($K284,'Type Chart'!$C$2:$U$20,13,false)</f>
        <v>1</v>
      </c>
      <c r="AG284" s="960">
        <f t="array" ref="AG284">HLOOKUP($J284,'Type Chart'!$C$2:$T$20,14,false)*HLOOKUP($K284,'Type Chart'!$C$2:$U$20,14,false)</f>
        <v>1</v>
      </c>
      <c r="AH284" s="960">
        <f t="array" ref="AH284">HLOOKUP($J284,'Type Chart'!$C$2:$T$20,15,false)*HLOOKUP($K284,'Type Chart'!$C$2:$U$20,15,false)</f>
        <v>1</v>
      </c>
      <c r="AI284" s="960">
        <f t="array" ref="AI284">HLOOKUP($J284,'Type Chart'!$C$2:$T$20,16,false)*HLOOKUP($K284,'Type Chart'!$C$2:$U$20,16,false)</f>
        <v>1</v>
      </c>
      <c r="AJ284" s="960">
        <f t="array" ref="AJ284">HLOOKUP($J284,'Type Chart'!$C$2:$T$20,17,false)*HLOOKUP($K284,'Type Chart'!$C$2:$U$20,17,false)</f>
        <v>0</v>
      </c>
      <c r="AK284" s="960">
        <f t="array" ref="AK284">HLOOKUP($J284,'Type Chart'!$C$2:$T$20,18,false)*HLOOKUP($K284,'Type Chart'!$C$2:$U$20,18,false)</f>
        <v>0.5</v>
      </c>
      <c r="AL284" s="960">
        <f t="array" ref="AL284">HLOOKUP($J284,'Type Chart'!$C$2:$T$20,19,false)*HLOOKUP($K284,'Type Chart'!$C$2:$U$20,19,false)</f>
        <v>1</v>
      </c>
      <c r="AM284" s="1145" t="s">
        <v>1061</v>
      </c>
      <c r="AN284" s="1202" t="s">
        <v>1615</v>
      </c>
      <c r="AO284" s="1146" t="s">
        <v>1243</v>
      </c>
      <c r="AP284" s="936"/>
      <c r="AQ284" s="967"/>
      <c r="AR284" s="968"/>
      <c r="AS284" s="936"/>
    </row>
    <row r="285" ht="15.75" customHeight="1">
      <c r="A285" s="936"/>
      <c r="B285" s="948" t="s">
        <v>1850</v>
      </c>
      <c r="C285" s="950" t="s">
        <v>1851</v>
      </c>
      <c r="D285" s="950" t="s">
        <v>1851</v>
      </c>
      <c r="E285" s="952" t="s">
        <v>1851</v>
      </c>
      <c r="F285" s="940"/>
      <c r="G285" s="953"/>
      <c r="H285" s="969"/>
      <c r="I285" s="956" t="s">
        <v>596</v>
      </c>
      <c r="J285" s="1056" t="s">
        <v>81</v>
      </c>
      <c r="K285" s="958" t="s">
        <v>178</v>
      </c>
      <c r="L285" s="959">
        <v>65.0</v>
      </c>
      <c r="M285" s="960">
        <v>95.0</v>
      </c>
      <c r="N285" s="960">
        <v>85.0</v>
      </c>
      <c r="O285" s="960">
        <v>55.0</v>
      </c>
      <c r="P285" s="960">
        <v>55.0</v>
      </c>
      <c r="Q285" s="960">
        <v>85.0</v>
      </c>
      <c r="R285" s="960">
        <v>206.0</v>
      </c>
      <c r="S285" s="960">
        <v>269.0</v>
      </c>
      <c r="T285" s="960">
        <v>295.0</v>
      </c>
      <c r="U285" s="960">
        <f t="array" ref="U285">HLOOKUP($J285,'Type Chart'!$C$2:$T$20,2,false)*HLOOKUP($K285,'Type Chart'!$C$2:$U$20,2,false)</f>
        <v>1</v>
      </c>
      <c r="V285" s="960">
        <f t="array" ref="V285">HLOOKUP($J285,'Type Chart'!$C$2:$T$20,3,false)*HLOOKUP($K285,'Type Chart'!$C$2:$U$20,3,false)</f>
        <v>0.5</v>
      </c>
      <c r="W285" s="960">
        <f t="array" ref="W285">HLOOKUP($J285,'Type Chart'!$C$2:$T$20,4,false)*HLOOKUP($K285,'Type Chart'!$C$2:$U$20,4,false)</f>
        <v>1</v>
      </c>
      <c r="X285" s="960">
        <f t="array" ref="X285">HLOOKUP($J285,'Type Chart'!$C$2:$T$20,5,false)*HLOOKUP($K285,'Type Chart'!$C$2:$U$20,5,false)</f>
        <v>0.5</v>
      </c>
      <c r="Y285" s="960">
        <f t="array" ref="Y285">HLOOKUP($J285,'Type Chart'!$C$2:$T$20,6,false)*HLOOKUP($K285,'Type Chart'!$C$2:$U$20,6,false)</f>
        <v>2</v>
      </c>
      <c r="Z285" s="960">
        <f t="array" ref="Z285">HLOOKUP($J285,'Type Chart'!$C$2:$T$20,7,false)*HLOOKUP($K285,'Type Chart'!$C$2:$U$20,7,false)</f>
        <v>1</v>
      </c>
      <c r="AA285" s="960">
        <f t="array" ref="AA285">HLOOKUP($J285,'Type Chart'!$C$2:$T$20,8,false)*HLOOKUP($K285,'Type Chart'!$C$2:$U$20,8,false)</f>
        <v>0.5</v>
      </c>
      <c r="AB285" s="960">
        <f t="array" ref="AB285">HLOOKUP($J285,'Type Chart'!$C$2:$T$20,9,false)*HLOOKUP($K285,'Type Chart'!$C$2:$U$20,9,false)</f>
        <v>1</v>
      </c>
      <c r="AC285" s="960">
        <f t="array" ref="AC285">HLOOKUP($J285,'Type Chart'!$C$2:$T$20,10,false)*HLOOKUP($K285,'Type Chart'!$C$2:$U$20,10,false)</f>
        <v>0.5</v>
      </c>
      <c r="AD285" s="960">
        <f t="array" ref="AD285">HLOOKUP($J285,'Type Chart'!$C$2:$T$20,11,false)*HLOOKUP($K285,'Type Chart'!$C$2:$U$20,11,false)</f>
        <v>0.5</v>
      </c>
      <c r="AE285" s="960">
        <f t="array" ref="AE285">HLOOKUP($J285,'Type Chart'!$C$2:$T$20,12,false)*HLOOKUP($K285,'Type Chart'!$C$2:$U$20,12,false)</f>
        <v>0.5</v>
      </c>
      <c r="AF285" s="960">
        <f t="array" ref="AF285">HLOOKUP($J285,'Type Chart'!$C$2:$T$20,13,false)*HLOOKUP($K285,'Type Chart'!$C$2:$U$20,13,false)</f>
        <v>1</v>
      </c>
      <c r="AG285" s="960">
        <f t="array" ref="AG285">HLOOKUP($J285,'Type Chart'!$C$2:$T$20,14,false)*HLOOKUP($K285,'Type Chart'!$C$2:$U$20,14,false)</f>
        <v>2</v>
      </c>
      <c r="AH285" s="960">
        <f t="array" ref="AH285">HLOOKUP($J285,'Type Chart'!$C$2:$T$20,15,false)*HLOOKUP($K285,'Type Chart'!$C$2:$U$20,15,false)</f>
        <v>2</v>
      </c>
      <c r="AI285" s="960">
        <f t="array" ref="AI285">HLOOKUP($J285,'Type Chart'!$C$2:$T$20,16,false)*HLOOKUP($K285,'Type Chart'!$C$2:$U$20,16,false)</f>
        <v>0.5</v>
      </c>
      <c r="AJ285" s="960">
        <f t="array" ref="AJ285">HLOOKUP($J285,'Type Chart'!$C$2:$T$20,17,false)*HLOOKUP($K285,'Type Chart'!$C$2:$U$20,17,false)</f>
        <v>1</v>
      </c>
      <c r="AK285" s="960">
        <f t="array" ref="AK285">HLOOKUP($J285,'Type Chart'!$C$2:$T$20,18,false)*HLOOKUP($K285,'Type Chart'!$C$2:$U$20,18,false)</f>
        <v>1</v>
      </c>
      <c r="AL285" s="960">
        <f t="array" ref="AL285">HLOOKUP($J285,'Type Chart'!$C$2:$T$20,19,false)*HLOOKUP($K285,'Type Chart'!$C$2:$U$20,19,false)</f>
        <v>0.5</v>
      </c>
      <c r="AM285" s="964" t="s">
        <v>1146</v>
      </c>
      <c r="AN285" s="965" t="s">
        <v>1259</v>
      </c>
      <c r="AO285" s="966" t="s">
        <v>1061</v>
      </c>
      <c r="AP285" s="936"/>
      <c r="AQ285" s="967"/>
      <c r="AR285" s="968"/>
      <c r="AS285" s="936"/>
    </row>
    <row r="286" ht="15.75" customHeight="1">
      <c r="A286" s="1099"/>
      <c r="B286" s="948" t="s">
        <v>1852</v>
      </c>
      <c r="C286" s="1197" t="str">
        <f t="shared" ref="C286:E286" si="6">C285&amp;"-hisui"</f>
        <v>qwilfish-hisui</v>
      </c>
      <c r="D286" s="1197" t="str">
        <f t="shared" si="6"/>
        <v>qwilfish-hisui</v>
      </c>
      <c r="E286" s="1147" t="str">
        <f t="shared" si="6"/>
        <v>qwilfish-hisui</v>
      </c>
      <c r="F286" s="940"/>
      <c r="G286" s="953"/>
      <c r="H286" s="969"/>
      <c r="I286" s="998" t="s">
        <v>597</v>
      </c>
      <c r="J286" s="1229" t="s">
        <v>193</v>
      </c>
      <c r="K286" s="1209" t="s">
        <v>178</v>
      </c>
      <c r="L286" s="1200">
        <v>65.0</v>
      </c>
      <c r="M286" s="1201">
        <v>95.0</v>
      </c>
      <c r="N286" s="1201">
        <v>85.0</v>
      </c>
      <c r="O286" s="1201">
        <v>55.0</v>
      </c>
      <c r="P286" s="1201">
        <v>55.0</v>
      </c>
      <c r="Q286" s="1201">
        <v>85.0</v>
      </c>
      <c r="R286" s="960">
        <v>206.0</v>
      </c>
      <c r="S286" s="960">
        <v>269.0</v>
      </c>
      <c r="T286" s="960">
        <v>295.0</v>
      </c>
      <c r="U286" s="960">
        <f t="array" ref="U286">HLOOKUP($J286,'Type Chart'!$C$2:$T$20,2,false)*HLOOKUP($K286,'Type Chart'!$C$2:$U$20,2,false)</f>
        <v>1</v>
      </c>
      <c r="V286" s="960">
        <f t="array" ref="V286">HLOOKUP($J286,'Type Chart'!$C$2:$T$20,3,false)*HLOOKUP($K286,'Type Chart'!$C$2:$U$20,3,false)</f>
        <v>1</v>
      </c>
      <c r="W286" s="960">
        <f t="array" ref="W286">HLOOKUP($J286,'Type Chart'!$C$2:$T$20,4,false)*HLOOKUP($K286,'Type Chart'!$C$2:$U$20,4,false)</f>
        <v>1</v>
      </c>
      <c r="X286" s="960">
        <f t="array" ref="X286">HLOOKUP($J286,'Type Chart'!$C$2:$T$20,5,false)*HLOOKUP($K286,'Type Chart'!$C$2:$U$20,5,false)</f>
        <v>0.5</v>
      </c>
      <c r="Y286" s="960">
        <f t="array" ref="Y286">HLOOKUP($J286,'Type Chart'!$C$2:$T$20,6,false)*HLOOKUP($K286,'Type Chart'!$C$2:$U$20,6,false)</f>
        <v>2</v>
      </c>
      <c r="Z286" s="960">
        <f t="array" ref="Z286">HLOOKUP($J286,'Type Chart'!$C$2:$T$20,7,false)*HLOOKUP($K286,'Type Chart'!$C$2:$U$20,7,false)</f>
        <v>1</v>
      </c>
      <c r="AA286" s="960">
        <f t="array" ref="AA286">HLOOKUP($J286,'Type Chart'!$C$2:$T$20,8,false)*HLOOKUP($K286,'Type Chart'!$C$2:$U$20,8,false)</f>
        <v>1</v>
      </c>
      <c r="AB286" s="960">
        <f t="array" ref="AB286">HLOOKUP($J286,'Type Chart'!$C$2:$T$20,9,false)*HLOOKUP($K286,'Type Chart'!$C$2:$U$20,9,false)</f>
        <v>0.5</v>
      </c>
      <c r="AC286" s="960">
        <f t="array" ref="AC286">HLOOKUP($J286,'Type Chart'!$C$2:$T$20,10,false)*HLOOKUP($K286,'Type Chart'!$C$2:$U$20,10,false)</f>
        <v>1</v>
      </c>
      <c r="AD286" s="960">
        <f t="array" ref="AD286">HLOOKUP($J286,'Type Chart'!$C$2:$T$20,11,false)*HLOOKUP($K286,'Type Chart'!$C$2:$U$20,11,false)</f>
        <v>1</v>
      </c>
      <c r="AE286" s="960">
        <f t="array" ref="AE286">HLOOKUP($J286,'Type Chart'!$C$2:$T$20,12,false)*HLOOKUP($K286,'Type Chart'!$C$2:$U$20,12,false)</f>
        <v>1</v>
      </c>
      <c r="AF286" s="960">
        <f t="array" ref="AF286">HLOOKUP($J286,'Type Chart'!$C$2:$T$20,13,false)*HLOOKUP($K286,'Type Chart'!$C$2:$U$20,13,false)</f>
        <v>0.5</v>
      </c>
      <c r="AG286" s="960">
        <f t="array" ref="AG286">HLOOKUP($J286,'Type Chart'!$C$2:$T$20,14,false)*HLOOKUP($K286,'Type Chart'!$C$2:$U$20,14,false)</f>
        <v>1</v>
      </c>
      <c r="AH286" s="960">
        <f t="array" ref="AH286">HLOOKUP($J286,'Type Chart'!$C$2:$T$20,15,false)*HLOOKUP($K286,'Type Chart'!$C$2:$U$20,15,false)</f>
        <v>0</v>
      </c>
      <c r="AI286" s="960">
        <f t="array" ref="AI286">HLOOKUP($J286,'Type Chart'!$C$2:$T$20,16,false)*HLOOKUP($K286,'Type Chart'!$C$2:$U$20,16,false)</f>
        <v>1</v>
      </c>
      <c r="AJ286" s="960">
        <f t="array" ref="AJ286">HLOOKUP($J286,'Type Chart'!$C$2:$T$20,17,false)*HLOOKUP($K286,'Type Chart'!$C$2:$U$20,17,false)</f>
        <v>1</v>
      </c>
      <c r="AK286" s="960">
        <f t="array" ref="AK286">HLOOKUP($J286,'Type Chart'!$C$2:$T$20,18,false)*HLOOKUP($K286,'Type Chart'!$C$2:$U$20,18,false)</f>
        <v>0.5</v>
      </c>
      <c r="AL286" s="960">
        <f t="array" ref="AL286">HLOOKUP($J286,'Type Chart'!$C$2:$T$20,19,false)*HLOOKUP($K286,'Type Chart'!$C$2:$U$20,19,false)</f>
        <v>1</v>
      </c>
      <c r="AM286" s="1145" t="s">
        <v>1146</v>
      </c>
      <c r="AN286" s="1202" t="s">
        <v>1259</v>
      </c>
      <c r="AO286" s="1146" t="s">
        <v>1061</v>
      </c>
      <c r="AP286" s="936"/>
      <c r="AQ286" s="967"/>
      <c r="AR286" s="968"/>
      <c r="AS286" s="936"/>
    </row>
    <row r="287" ht="15.75" customHeight="1">
      <c r="A287" s="936"/>
      <c r="B287" s="948" t="s">
        <v>1853</v>
      </c>
      <c r="C287" s="950" t="s">
        <v>134</v>
      </c>
      <c r="D287" s="950" t="s">
        <v>134</v>
      </c>
      <c r="E287" s="952" t="s">
        <v>134</v>
      </c>
      <c r="F287" s="940"/>
      <c r="G287" s="953"/>
      <c r="H287" s="969"/>
      <c r="I287" s="956" t="s">
        <v>159</v>
      </c>
      <c r="J287" s="1180" t="s">
        <v>343</v>
      </c>
      <c r="K287" s="1206" t="s">
        <v>82</v>
      </c>
      <c r="L287" s="959">
        <v>70.0</v>
      </c>
      <c r="M287" s="960">
        <v>130.0</v>
      </c>
      <c r="N287" s="960">
        <v>100.0</v>
      </c>
      <c r="O287" s="960">
        <v>55.0</v>
      </c>
      <c r="P287" s="960">
        <v>80.0</v>
      </c>
      <c r="Q287" s="960">
        <v>65.0</v>
      </c>
      <c r="R287" s="960">
        <v>166.0</v>
      </c>
      <c r="S287" s="960">
        <v>229.0</v>
      </c>
      <c r="T287" s="960">
        <v>251.0</v>
      </c>
      <c r="U287" s="960">
        <f t="array" ref="U287">HLOOKUP($J287,'Type Chart'!$C$2:$T$20,2,false)*HLOOKUP($K287,'Type Chart'!$C$2:$U$20,2,false)</f>
        <v>0.5</v>
      </c>
      <c r="V287" s="960">
        <f t="array" ref="V287">HLOOKUP($J287,'Type Chart'!$C$2:$T$20,3,false)*HLOOKUP($K287,'Type Chart'!$C$2:$U$20,3,false)</f>
        <v>1</v>
      </c>
      <c r="W287" s="960">
        <f t="array" ref="W287">HLOOKUP($J287,'Type Chart'!$C$2:$T$20,4,false)*HLOOKUP($K287,'Type Chart'!$C$2:$U$20,4,false)</f>
        <v>1</v>
      </c>
      <c r="X287" s="960">
        <f t="array" ref="X287">HLOOKUP($J287,'Type Chart'!$C$2:$T$20,5,false)*HLOOKUP($K287,'Type Chart'!$C$2:$U$20,5,false)</f>
        <v>0</v>
      </c>
      <c r="Y287" s="960">
        <f t="array" ref="Y287">HLOOKUP($J287,'Type Chart'!$C$2:$T$20,6,false)*HLOOKUP($K287,'Type Chart'!$C$2:$U$20,6,false)</f>
        <v>1</v>
      </c>
      <c r="Z287" s="960">
        <f t="array" ref="Z287">HLOOKUP($J287,'Type Chart'!$C$2:$T$20,7,false)*HLOOKUP($K287,'Type Chart'!$C$2:$U$20,7,false)</f>
        <v>1</v>
      </c>
      <c r="AA287" s="960">
        <f t="array" ref="AA287">HLOOKUP($J287,'Type Chart'!$C$2:$T$20,8,false)*HLOOKUP($K287,'Type Chart'!$C$2:$U$20,8,false)</f>
        <v>0.5</v>
      </c>
      <c r="AB287" s="960">
        <f t="array" ref="AB287">HLOOKUP($J287,'Type Chart'!$C$2:$T$20,9,false)*HLOOKUP($K287,'Type Chart'!$C$2:$U$20,9,false)</f>
        <v>1</v>
      </c>
      <c r="AC287" s="960">
        <f t="array" ref="AC287">HLOOKUP($J287,'Type Chart'!$C$2:$T$20,10,false)*HLOOKUP($K287,'Type Chart'!$C$2:$U$20,10,false)</f>
        <v>0.5</v>
      </c>
      <c r="AD287" s="960">
        <f t="array" ref="AD287">HLOOKUP($J287,'Type Chart'!$C$2:$T$20,11,false)*HLOOKUP($K287,'Type Chart'!$C$2:$U$20,11,false)</f>
        <v>4</v>
      </c>
      <c r="AE287" s="960">
        <f t="array" ref="AE287">HLOOKUP($J287,'Type Chart'!$C$2:$T$20,12,false)*HLOOKUP($K287,'Type Chart'!$C$2:$U$20,12,false)</f>
        <v>1</v>
      </c>
      <c r="AF287" s="960">
        <f t="array" ref="AF287">HLOOKUP($J287,'Type Chart'!$C$2:$T$20,13,false)*HLOOKUP($K287,'Type Chart'!$C$2:$U$20,13,false)</f>
        <v>0.25</v>
      </c>
      <c r="AG287" s="960">
        <f t="array" ref="AG287">HLOOKUP($J287,'Type Chart'!$C$2:$T$20,14,false)*HLOOKUP($K287,'Type Chart'!$C$2:$U$20,14,false)</f>
        <v>1</v>
      </c>
      <c r="AH287" s="960">
        <f t="array" ref="AH287">HLOOKUP($J287,'Type Chart'!$C$2:$T$20,15,false)*HLOOKUP($K287,'Type Chart'!$C$2:$U$20,15,false)</f>
        <v>0.5</v>
      </c>
      <c r="AI287" s="960">
        <f t="array" ref="AI287">HLOOKUP($J287,'Type Chart'!$C$2:$T$20,16,false)*HLOOKUP($K287,'Type Chart'!$C$2:$U$20,16,false)</f>
        <v>0.5</v>
      </c>
      <c r="AJ287" s="960">
        <f t="array" ref="AJ287">HLOOKUP($J287,'Type Chart'!$C$2:$T$20,17,false)*HLOOKUP($K287,'Type Chart'!$C$2:$U$20,17,false)</f>
        <v>0.5</v>
      </c>
      <c r="AK287" s="960">
        <f t="array" ref="AK287">HLOOKUP($J287,'Type Chart'!$C$2:$T$20,18,false)*HLOOKUP($K287,'Type Chart'!$C$2:$U$20,18,false)</f>
        <v>1</v>
      </c>
      <c r="AL287" s="960">
        <f t="array" ref="AL287">HLOOKUP($J287,'Type Chart'!$C$2:$T$20,19,false)*HLOOKUP($K287,'Type Chart'!$C$2:$U$20,19,false)</f>
        <v>0.5</v>
      </c>
      <c r="AM287" s="964" t="s">
        <v>1013</v>
      </c>
      <c r="AN287" s="965" t="s">
        <v>1239</v>
      </c>
      <c r="AO287" s="966" t="s">
        <v>1854</v>
      </c>
      <c r="AP287" s="936"/>
      <c r="AQ287" s="967"/>
      <c r="AR287" s="968"/>
      <c r="AS287" s="936"/>
    </row>
    <row r="288" ht="15.75" customHeight="1">
      <c r="A288" s="936"/>
      <c r="B288" s="948" t="s">
        <v>1855</v>
      </c>
      <c r="C288" s="950" t="s">
        <v>1856</v>
      </c>
      <c r="D288" s="950" t="s">
        <v>1856</v>
      </c>
      <c r="E288" s="952" t="s">
        <v>1856</v>
      </c>
      <c r="F288" s="940"/>
      <c r="G288" s="953"/>
      <c r="H288" s="969"/>
      <c r="I288" s="956" t="s">
        <v>1857</v>
      </c>
      <c r="J288" s="1180" t="s">
        <v>343</v>
      </c>
      <c r="K288" s="1206" t="s">
        <v>82</v>
      </c>
      <c r="L288" s="959">
        <v>70.0</v>
      </c>
      <c r="M288" s="960">
        <v>150.0</v>
      </c>
      <c r="N288" s="960">
        <v>140.0</v>
      </c>
      <c r="O288" s="960">
        <v>65.0</v>
      </c>
      <c r="P288" s="960">
        <v>100.0</v>
      </c>
      <c r="Q288" s="960">
        <v>75.0</v>
      </c>
      <c r="R288" s="960">
        <v>186.0</v>
      </c>
      <c r="S288" s="960">
        <v>249.0</v>
      </c>
      <c r="T288" s="960">
        <v>273.0</v>
      </c>
      <c r="U288" s="960">
        <f t="array" ref="U288">HLOOKUP($J288,'Type Chart'!$C$2:$T$20,2,false)*HLOOKUP($K288,'Type Chart'!$C$2:$U$20,2,false)</f>
        <v>0.5</v>
      </c>
      <c r="V288" s="960">
        <f t="array" ref="V288">HLOOKUP($J288,'Type Chart'!$C$2:$T$20,3,false)*HLOOKUP($K288,'Type Chart'!$C$2:$U$20,3,false)</f>
        <v>1</v>
      </c>
      <c r="W288" s="960">
        <f t="array" ref="W288">HLOOKUP($J288,'Type Chart'!$C$2:$T$20,4,false)*HLOOKUP($K288,'Type Chart'!$C$2:$U$20,4,false)</f>
        <v>1</v>
      </c>
      <c r="X288" s="960">
        <f t="array" ref="X288">HLOOKUP($J288,'Type Chart'!$C$2:$T$20,5,false)*HLOOKUP($K288,'Type Chart'!$C$2:$U$20,5,false)</f>
        <v>0</v>
      </c>
      <c r="Y288" s="960">
        <f t="array" ref="Y288">HLOOKUP($J288,'Type Chart'!$C$2:$T$20,6,false)*HLOOKUP($K288,'Type Chart'!$C$2:$U$20,6,false)</f>
        <v>1</v>
      </c>
      <c r="Z288" s="960">
        <f t="array" ref="Z288">HLOOKUP($J288,'Type Chart'!$C$2:$T$20,7,false)*HLOOKUP($K288,'Type Chart'!$C$2:$U$20,7,false)</f>
        <v>1</v>
      </c>
      <c r="AA288" s="960">
        <f t="array" ref="AA288">HLOOKUP($J288,'Type Chart'!$C$2:$T$20,8,false)*HLOOKUP($K288,'Type Chart'!$C$2:$U$20,8,false)</f>
        <v>0.5</v>
      </c>
      <c r="AB288" s="960">
        <f t="array" ref="AB288">HLOOKUP($J288,'Type Chart'!$C$2:$T$20,9,false)*HLOOKUP($K288,'Type Chart'!$C$2:$U$20,9,false)</f>
        <v>1</v>
      </c>
      <c r="AC288" s="960">
        <f t="array" ref="AC288">HLOOKUP($J288,'Type Chart'!$C$2:$T$20,10,false)*HLOOKUP($K288,'Type Chart'!$C$2:$U$20,10,false)</f>
        <v>0.5</v>
      </c>
      <c r="AD288" s="960">
        <f t="array" ref="AD288">HLOOKUP($J288,'Type Chart'!$C$2:$T$20,11,false)*HLOOKUP($K288,'Type Chart'!$C$2:$U$20,11,false)</f>
        <v>4</v>
      </c>
      <c r="AE288" s="960">
        <f t="array" ref="AE288">HLOOKUP($J288,'Type Chart'!$C$2:$T$20,12,false)*HLOOKUP($K288,'Type Chart'!$C$2:$U$20,12,false)</f>
        <v>1</v>
      </c>
      <c r="AF288" s="960">
        <f t="array" ref="AF288">HLOOKUP($J288,'Type Chart'!$C$2:$T$20,13,false)*HLOOKUP($K288,'Type Chart'!$C$2:$U$20,13,false)</f>
        <v>0.25</v>
      </c>
      <c r="AG288" s="960">
        <f t="array" ref="AG288">HLOOKUP($J288,'Type Chart'!$C$2:$T$20,14,false)*HLOOKUP($K288,'Type Chart'!$C$2:$U$20,14,false)</f>
        <v>1</v>
      </c>
      <c r="AH288" s="960">
        <f t="array" ref="AH288">HLOOKUP($J288,'Type Chart'!$C$2:$T$20,15,false)*HLOOKUP($K288,'Type Chart'!$C$2:$U$20,15,false)</f>
        <v>0.5</v>
      </c>
      <c r="AI288" s="960">
        <f t="array" ref="AI288">HLOOKUP($J288,'Type Chart'!$C$2:$T$20,16,false)*HLOOKUP($K288,'Type Chart'!$C$2:$U$20,16,false)</f>
        <v>0.5</v>
      </c>
      <c r="AJ288" s="960">
        <f t="array" ref="AJ288">HLOOKUP($J288,'Type Chart'!$C$2:$T$20,17,false)*HLOOKUP($K288,'Type Chart'!$C$2:$U$20,17,false)</f>
        <v>0.5</v>
      </c>
      <c r="AK288" s="960">
        <f t="array" ref="AK288">HLOOKUP($J288,'Type Chart'!$C$2:$T$20,18,false)*HLOOKUP($K288,'Type Chart'!$C$2:$U$20,18,false)</f>
        <v>1</v>
      </c>
      <c r="AL288" s="960">
        <f t="array" ref="AL288">HLOOKUP($J288,'Type Chart'!$C$2:$T$20,19,false)*HLOOKUP($K288,'Type Chart'!$C$2:$U$20,19,false)</f>
        <v>0.5</v>
      </c>
      <c r="AM288" s="964" t="s">
        <v>1239</v>
      </c>
      <c r="AN288" s="965"/>
      <c r="AO288" s="966"/>
      <c r="AP288" s="936"/>
      <c r="AQ288" s="967"/>
      <c r="AR288" s="968"/>
      <c r="AS288" s="936"/>
    </row>
    <row r="289" ht="15.75" customHeight="1">
      <c r="A289" s="936"/>
      <c r="B289" s="948" t="s">
        <v>1858</v>
      </c>
      <c r="C289" s="950" t="s">
        <v>1859</v>
      </c>
      <c r="D289" s="950" t="s">
        <v>1859</v>
      </c>
      <c r="E289" s="952" t="s">
        <v>1859</v>
      </c>
      <c r="F289" s="940"/>
      <c r="G289" s="953"/>
      <c r="H289" s="969"/>
      <c r="I289" s="956" t="s">
        <v>1860</v>
      </c>
      <c r="J289" s="1180" t="s">
        <v>343</v>
      </c>
      <c r="K289" s="1214" t="s">
        <v>342</v>
      </c>
      <c r="L289" s="959">
        <v>20.0</v>
      </c>
      <c r="M289" s="960">
        <v>10.0</v>
      </c>
      <c r="N289" s="960">
        <v>230.0</v>
      </c>
      <c r="O289" s="960">
        <v>10.0</v>
      </c>
      <c r="P289" s="960">
        <v>230.0</v>
      </c>
      <c r="Q289" s="960">
        <v>5.0</v>
      </c>
      <c r="R289" s="960">
        <v>46.0</v>
      </c>
      <c r="S289" s="960">
        <v>109.0</v>
      </c>
      <c r="T289" s="960">
        <v>119.0</v>
      </c>
      <c r="U289" s="960">
        <f t="array" ref="U289">HLOOKUP($J289,'Type Chart'!$C$2:$T$20,2,false)*HLOOKUP($K289,'Type Chart'!$C$2:$U$20,2,false)</f>
        <v>0.5</v>
      </c>
      <c r="V289" s="960">
        <f t="array" ref="V289">HLOOKUP($J289,'Type Chart'!$C$2:$T$20,3,false)*HLOOKUP($K289,'Type Chart'!$C$2:$U$20,3,false)</f>
        <v>1</v>
      </c>
      <c r="W289" s="960">
        <f t="array" ref="W289">HLOOKUP($J289,'Type Chart'!$C$2:$T$20,4,false)*HLOOKUP($K289,'Type Chart'!$C$2:$U$20,4,false)</f>
        <v>1</v>
      </c>
      <c r="X289" s="960">
        <f t="array" ref="X289">HLOOKUP($J289,'Type Chart'!$C$2:$T$20,5,false)*HLOOKUP($K289,'Type Chart'!$C$2:$U$20,5,false)</f>
        <v>0.5</v>
      </c>
      <c r="Y289" s="960">
        <f t="array" ref="Y289">HLOOKUP($J289,'Type Chart'!$C$2:$T$20,6,false)*HLOOKUP($K289,'Type Chart'!$C$2:$U$20,6,false)</f>
        <v>1</v>
      </c>
      <c r="Z289" s="960">
        <f t="array" ref="Z289">HLOOKUP($J289,'Type Chart'!$C$2:$T$20,7,false)*HLOOKUP($K289,'Type Chart'!$C$2:$U$20,7,false)</f>
        <v>2</v>
      </c>
      <c r="AA289" s="960">
        <f t="array" ref="AA289">HLOOKUP($J289,'Type Chart'!$C$2:$T$20,8,false)*HLOOKUP($K289,'Type Chart'!$C$2:$U$20,8,false)</f>
        <v>1</v>
      </c>
      <c r="AB289" s="960">
        <f t="array" ref="AB289">HLOOKUP($J289,'Type Chart'!$C$2:$T$20,9,false)*HLOOKUP($K289,'Type Chart'!$C$2:$U$20,9,false)</f>
        <v>1</v>
      </c>
      <c r="AC289" s="960">
        <f t="array" ref="AC289">HLOOKUP($J289,'Type Chart'!$C$2:$T$20,10,false)*HLOOKUP($K289,'Type Chart'!$C$2:$U$20,10,false)</f>
        <v>2</v>
      </c>
      <c r="AD289" s="960">
        <f t="array" ref="AD289">HLOOKUP($J289,'Type Chart'!$C$2:$T$20,11,false)*HLOOKUP($K289,'Type Chart'!$C$2:$U$20,11,false)</f>
        <v>1</v>
      </c>
      <c r="AE289" s="960">
        <f t="array" ref="AE289">HLOOKUP($J289,'Type Chart'!$C$2:$T$20,12,false)*HLOOKUP($K289,'Type Chart'!$C$2:$U$20,12,false)</f>
        <v>2</v>
      </c>
      <c r="AF289" s="960">
        <f t="array" ref="AF289">HLOOKUP($J289,'Type Chart'!$C$2:$T$20,13,false)*HLOOKUP($K289,'Type Chart'!$C$2:$U$20,13,false)</f>
        <v>1</v>
      </c>
      <c r="AG289" s="960">
        <f t="array" ref="AG289">HLOOKUP($J289,'Type Chart'!$C$2:$T$20,14,false)*HLOOKUP($K289,'Type Chart'!$C$2:$U$20,14,false)</f>
        <v>1</v>
      </c>
      <c r="AH289" s="960">
        <f t="array" ref="AH289">HLOOKUP($J289,'Type Chart'!$C$2:$T$20,15,false)*HLOOKUP($K289,'Type Chart'!$C$2:$U$20,15,false)</f>
        <v>1</v>
      </c>
      <c r="AI289" s="960">
        <f t="array" ref="AI289">HLOOKUP($J289,'Type Chart'!$C$2:$T$20,16,false)*HLOOKUP($K289,'Type Chart'!$C$2:$U$20,16,false)</f>
        <v>1</v>
      </c>
      <c r="AJ289" s="960">
        <f t="array" ref="AJ289">HLOOKUP($J289,'Type Chart'!$C$2:$T$20,17,false)*HLOOKUP($K289,'Type Chart'!$C$2:$U$20,17,false)</f>
        <v>1</v>
      </c>
      <c r="AK289" s="960">
        <f t="array" ref="AK289">HLOOKUP($J289,'Type Chart'!$C$2:$T$20,18,false)*HLOOKUP($K289,'Type Chart'!$C$2:$U$20,18,false)</f>
        <v>1</v>
      </c>
      <c r="AL289" s="960">
        <f t="array" ref="AL289">HLOOKUP($J289,'Type Chart'!$C$2:$T$20,19,false)*HLOOKUP($K289,'Type Chart'!$C$2:$U$20,19,false)</f>
        <v>1</v>
      </c>
      <c r="AM289" s="964" t="s">
        <v>1331</v>
      </c>
      <c r="AN289" s="965" t="s">
        <v>1044</v>
      </c>
      <c r="AO289" s="966" t="s">
        <v>1861</v>
      </c>
      <c r="AP289" s="936"/>
      <c r="AQ289" s="967"/>
      <c r="AR289" s="968"/>
      <c r="AS289" s="936"/>
    </row>
    <row r="290" ht="15.75" customHeight="1">
      <c r="A290" s="1099"/>
      <c r="B290" s="948" t="s">
        <v>1862</v>
      </c>
      <c r="C290" s="950" t="s">
        <v>1863</v>
      </c>
      <c r="D290" s="950" t="s">
        <v>1863</v>
      </c>
      <c r="E290" s="952" t="s">
        <v>1863</v>
      </c>
      <c r="F290" s="940"/>
      <c r="G290" s="953"/>
      <c r="H290" s="969"/>
      <c r="I290" s="956" t="s">
        <v>539</v>
      </c>
      <c r="J290" s="1180" t="s">
        <v>343</v>
      </c>
      <c r="K290" s="1213" t="s">
        <v>341</v>
      </c>
      <c r="L290" s="959">
        <v>80.0</v>
      </c>
      <c r="M290" s="960">
        <v>125.0</v>
      </c>
      <c r="N290" s="960">
        <v>75.0</v>
      </c>
      <c r="O290" s="960">
        <v>40.0</v>
      </c>
      <c r="P290" s="960">
        <v>95.0</v>
      </c>
      <c r="Q290" s="960">
        <v>85.0</v>
      </c>
      <c r="R290" s="960">
        <v>206.0</v>
      </c>
      <c r="S290" s="960">
        <v>269.0</v>
      </c>
      <c r="T290" s="960">
        <v>295.0</v>
      </c>
      <c r="U290" s="960">
        <f t="array" ref="U290">HLOOKUP($J290,'Type Chart'!$C$2:$T$20,2,false)*HLOOKUP($K290,'Type Chart'!$C$2:$U$20,2,false)</f>
        <v>1</v>
      </c>
      <c r="V290" s="960">
        <f t="array" ref="V290">HLOOKUP($J290,'Type Chart'!$C$2:$T$20,3,false)*HLOOKUP($K290,'Type Chart'!$C$2:$U$20,3,false)</f>
        <v>0.5</v>
      </c>
      <c r="W290" s="960">
        <f t="array" ref="W290">HLOOKUP($J290,'Type Chart'!$C$2:$T$20,4,false)*HLOOKUP($K290,'Type Chart'!$C$2:$U$20,4,false)</f>
        <v>4</v>
      </c>
      <c r="X290" s="960">
        <f t="array" ref="X290">HLOOKUP($J290,'Type Chart'!$C$2:$T$20,5,false)*HLOOKUP($K290,'Type Chart'!$C$2:$U$20,5,false)</f>
        <v>1</v>
      </c>
      <c r="Y290" s="960">
        <f t="array" ref="Y290">HLOOKUP($J290,'Type Chart'!$C$2:$T$20,6,false)*HLOOKUP($K290,'Type Chart'!$C$2:$U$20,6,false)</f>
        <v>0.5</v>
      </c>
      <c r="Z290" s="960">
        <f t="array" ref="Z290">HLOOKUP($J290,'Type Chart'!$C$2:$T$20,7,false)*HLOOKUP($K290,'Type Chart'!$C$2:$U$20,7,false)</f>
        <v>1</v>
      </c>
      <c r="AA290" s="960">
        <f t="array" ref="AA290">HLOOKUP($J290,'Type Chart'!$C$2:$T$20,8,false)*HLOOKUP($K290,'Type Chart'!$C$2:$U$20,8,false)</f>
        <v>0.5</v>
      </c>
      <c r="AB290" s="960">
        <f t="array" ref="AB290">HLOOKUP($J290,'Type Chart'!$C$2:$T$20,9,false)*HLOOKUP($K290,'Type Chart'!$C$2:$U$20,9,false)</f>
        <v>1</v>
      </c>
      <c r="AC290" s="960">
        <f t="array" ref="AC290">HLOOKUP($J290,'Type Chart'!$C$2:$T$20,10,false)*HLOOKUP($K290,'Type Chart'!$C$2:$U$20,10,false)</f>
        <v>1</v>
      </c>
      <c r="AD290" s="960">
        <f t="array" ref="AD290">HLOOKUP($J290,'Type Chart'!$C$2:$T$20,11,false)*HLOOKUP($K290,'Type Chart'!$C$2:$U$20,11,false)</f>
        <v>2</v>
      </c>
      <c r="AE290" s="960">
        <f t="array" ref="AE290">HLOOKUP($J290,'Type Chart'!$C$2:$T$20,12,false)*HLOOKUP($K290,'Type Chart'!$C$2:$U$20,12,false)</f>
        <v>1</v>
      </c>
      <c r="AF290" s="960">
        <f t="array" ref="AF290">HLOOKUP($J290,'Type Chart'!$C$2:$T$20,13,false)*HLOOKUP($K290,'Type Chart'!$C$2:$U$20,13,false)</f>
        <v>0.5</v>
      </c>
      <c r="AG290" s="960">
        <f t="array" ref="AG290">HLOOKUP($J290,'Type Chart'!$C$2:$T$20,14,false)*HLOOKUP($K290,'Type Chart'!$C$2:$U$20,14,false)</f>
        <v>1</v>
      </c>
      <c r="AH290" s="960">
        <f t="array" ref="AH290">HLOOKUP($J290,'Type Chart'!$C$2:$T$20,15,false)*HLOOKUP($K290,'Type Chart'!$C$2:$U$20,15,false)</f>
        <v>2</v>
      </c>
      <c r="AI290" s="960">
        <f t="array" ref="AI290">HLOOKUP($J290,'Type Chart'!$C$2:$T$20,16,false)*HLOOKUP($K290,'Type Chart'!$C$2:$U$20,16,false)</f>
        <v>1</v>
      </c>
      <c r="AJ290" s="960">
        <f t="array" ref="AJ290">HLOOKUP($J290,'Type Chart'!$C$2:$T$20,17,false)*HLOOKUP($K290,'Type Chart'!$C$2:$U$20,17,false)</f>
        <v>1</v>
      </c>
      <c r="AK290" s="960">
        <f t="array" ref="AK290">HLOOKUP($J290,'Type Chart'!$C$2:$T$20,18,false)*HLOOKUP($K290,'Type Chart'!$C$2:$U$20,18,false)</f>
        <v>0.5</v>
      </c>
      <c r="AL290" s="960">
        <f t="array" ref="AL290">HLOOKUP($J290,'Type Chart'!$C$2:$T$20,19,false)*HLOOKUP($K290,'Type Chart'!$C$2:$U$20,19,false)</f>
        <v>2</v>
      </c>
      <c r="AM290" s="1145" t="s">
        <v>1013</v>
      </c>
      <c r="AN290" s="1202" t="s">
        <v>1038</v>
      </c>
      <c r="AO290" s="1146" t="s">
        <v>1577</v>
      </c>
      <c r="AP290" s="936"/>
      <c r="AQ290" s="967"/>
      <c r="AR290" s="968"/>
      <c r="AS290" s="936"/>
    </row>
    <row r="291" ht="15.75" customHeight="1">
      <c r="A291" s="936"/>
      <c r="B291" s="948" t="s">
        <v>1864</v>
      </c>
      <c r="C291" s="950" t="s">
        <v>1865</v>
      </c>
      <c r="D291" s="950" t="s">
        <v>1865</v>
      </c>
      <c r="E291" s="952" t="s">
        <v>1865</v>
      </c>
      <c r="F291" s="940"/>
      <c r="G291" s="953"/>
      <c r="H291" s="969"/>
      <c r="I291" s="998" t="s">
        <v>1866</v>
      </c>
      <c r="J291" s="1180" t="s">
        <v>343</v>
      </c>
      <c r="K291" s="1213" t="s">
        <v>341</v>
      </c>
      <c r="L291" s="959">
        <v>80.0</v>
      </c>
      <c r="M291" s="960">
        <v>185.0</v>
      </c>
      <c r="N291" s="960">
        <v>115.0</v>
      </c>
      <c r="O291" s="960">
        <v>40.0</v>
      </c>
      <c r="P291" s="960">
        <v>105.0</v>
      </c>
      <c r="Q291" s="960">
        <v>75.0</v>
      </c>
      <c r="R291" s="960">
        <v>186.0</v>
      </c>
      <c r="S291" s="960">
        <v>249.0</v>
      </c>
      <c r="T291" s="960">
        <v>273.0</v>
      </c>
      <c r="U291" s="960">
        <f t="array" ref="U291">HLOOKUP($J291,'Type Chart'!$C$2:$T$20,2,false)*HLOOKUP($K291,'Type Chart'!$C$2:$U$20,2,false)</f>
        <v>1</v>
      </c>
      <c r="V291" s="960">
        <f t="array" ref="V291">HLOOKUP($J291,'Type Chart'!$C$2:$T$20,3,false)*HLOOKUP($K291,'Type Chart'!$C$2:$U$20,3,false)</f>
        <v>0.5</v>
      </c>
      <c r="W291" s="960">
        <f t="array" ref="W291">HLOOKUP($J291,'Type Chart'!$C$2:$T$20,4,false)*HLOOKUP($K291,'Type Chart'!$C$2:$U$20,4,false)</f>
        <v>4</v>
      </c>
      <c r="X291" s="960">
        <f t="array" ref="X291">HLOOKUP($J291,'Type Chart'!$C$2:$T$20,5,false)*HLOOKUP($K291,'Type Chart'!$C$2:$U$20,5,false)</f>
        <v>1</v>
      </c>
      <c r="Y291" s="960">
        <f t="array" ref="Y291">HLOOKUP($J291,'Type Chart'!$C$2:$T$20,6,false)*HLOOKUP($K291,'Type Chart'!$C$2:$U$20,6,false)</f>
        <v>0.5</v>
      </c>
      <c r="Z291" s="960">
        <f t="array" ref="Z291">HLOOKUP($J291,'Type Chart'!$C$2:$T$20,7,false)*HLOOKUP($K291,'Type Chart'!$C$2:$U$20,7,false)</f>
        <v>1</v>
      </c>
      <c r="AA291" s="960">
        <f t="array" ref="AA291">HLOOKUP($J291,'Type Chart'!$C$2:$T$20,8,false)*HLOOKUP($K291,'Type Chart'!$C$2:$U$20,8,false)</f>
        <v>0.5</v>
      </c>
      <c r="AB291" s="960">
        <f t="array" ref="AB291">HLOOKUP($J291,'Type Chart'!$C$2:$T$20,9,false)*HLOOKUP($K291,'Type Chart'!$C$2:$U$20,9,false)</f>
        <v>1</v>
      </c>
      <c r="AC291" s="960">
        <f t="array" ref="AC291">HLOOKUP($J291,'Type Chart'!$C$2:$T$20,10,false)*HLOOKUP($K291,'Type Chart'!$C$2:$U$20,10,false)</f>
        <v>1</v>
      </c>
      <c r="AD291" s="960">
        <f t="array" ref="AD291">HLOOKUP($J291,'Type Chart'!$C$2:$T$20,11,false)*HLOOKUP($K291,'Type Chart'!$C$2:$U$20,11,false)</f>
        <v>2</v>
      </c>
      <c r="AE291" s="960">
        <f t="array" ref="AE291">HLOOKUP($J291,'Type Chart'!$C$2:$T$20,12,false)*HLOOKUP($K291,'Type Chart'!$C$2:$U$20,12,false)</f>
        <v>1</v>
      </c>
      <c r="AF291" s="960">
        <f t="array" ref="AF291">HLOOKUP($J291,'Type Chart'!$C$2:$T$20,13,false)*HLOOKUP($K291,'Type Chart'!$C$2:$U$20,13,false)</f>
        <v>0.5</v>
      </c>
      <c r="AG291" s="960">
        <f t="array" ref="AG291">HLOOKUP($J291,'Type Chart'!$C$2:$T$20,14,false)*HLOOKUP($K291,'Type Chart'!$C$2:$U$20,14,false)</f>
        <v>1</v>
      </c>
      <c r="AH291" s="960">
        <f t="array" ref="AH291">HLOOKUP($J291,'Type Chart'!$C$2:$T$20,15,false)*HLOOKUP($K291,'Type Chart'!$C$2:$U$20,15,false)</f>
        <v>2</v>
      </c>
      <c r="AI291" s="960">
        <f t="array" ref="AI291">HLOOKUP($J291,'Type Chart'!$C$2:$T$20,16,false)*HLOOKUP($K291,'Type Chart'!$C$2:$U$20,16,false)</f>
        <v>1</v>
      </c>
      <c r="AJ291" s="960">
        <f t="array" ref="AJ291">HLOOKUP($J291,'Type Chart'!$C$2:$T$20,17,false)*HLOOKUP($K291,'Type Chart'!$C$2:$U$20,17,false)</f>
        <v>1</v>
      </c>
      <c r="AK291" s="960">
        <f t="array" ref="AK291">HLOOKUP($J291,'Type Chart'!$C$2:$T$20,18,false)*HLOOKUP($K291,'Type Chart'!$C$2:$U$20,18,false)</f>
        <v>0.5</v>
      </c>
      <c r="AL291" s="960">
        <f t="array" ref="AL291">HLOOKUP($J291,'Type Chart'!$C$2:$T$20,19,false)*HLOOKUP($K291,'Type Chart'!$C$2:$U$20,19,false)</f>
        <v>2</v>
      </c>
      <c r="AM291" s="964" t="s">
        <v>1430</v>
      </c>
      <c r="AN291" s="965"/>
      <c r="AO291" s="966"/>
      <c r="AP291" s="936"/>
      <c r="AQ291" s="967"/>
      <c r="AR291" s="968"/>
      <c r="AS291" s="936"/>
    </row>
    <row r="292" ht="15.75" customHeight="1">
      <c r="A292" s="936"/>
      <c r="B292" s="948" t="s">
        <v>1867</v>
      </c>
      <c r="C292" s="950" t="s">
        <v>1868</v>
      </c>
      <c r="D292" s="950" t="s">
        <v>1868</v>
      </c>
      <c r="E292" s="952" t="s">
        <v>1868</v>
      </c>
      <c r="F292" s="940"/>
      <c r="G292" s="953"/>
      <c r="H292" s="969"/>
      <c r="I292" s="956" t="s">
        <v>685</v>
      </c>
      <c r="J292" s="1195" t="s">
        <v>193</v>
      </c>
      <c r="K292" s="1205" t="s">
        <v>345</v>
      </c>
      <c r="L292" s="959">
        <v>55.0</v>
      </c>
      <c r="M292" s="960">
        <v>95.0</v>
      </c>
      <c r="N292" s="960">
        <v>55.0</v>
      </c>
      <c r="O292" s="960">
        <v>35.0</v>
      </c>
      <c r="P292" s="960">
        <v>75.0</v>
      </c>
      <c r="Q292" s="960">
        <v>115.0</v>
      </c>
      <c r="R292" s="960">
        <v>266.0</v>
      </c>
      <c r="S292" s="960">
        <v>329.0</v>
      </c>
      <c r="T292" s="960">
        <v>361.0</v>
      </c>
      <c r="U292" s="960">
        <f t="array" ref="U292">HLOOKUP($J292,'Type Chart'!$C$2:$T$20,2,false)*HLOOKUP($K292,'Type Chart'!$C$2:$U$20,2,false)</f>
        <v>1</v>
      </c>
      <c r="V292" s="960">
        <f t="array" ref="V292">HLOOKUP($J292,'Type Chart'!$C$2:$T$20,3,false)*HLOOKUP($K292,'Type Chart'!$C$2:$U$20,3,false)</f>
        <v>4</v>
      </c>
      <c r="W292" s="960">
        <f t="array" ref="W292">HLOOKUP($J292,'Type Chart'!$C$2:$T$20,4,false)*HLOOKUP($K292,'Type Chart'!$C$2:$U$20,4,false)</f>
        <v>1</v>
      </c>
      <c r="X292" s="960">
        <f t="array" ref="X292">HLOOKUP($J292,'Type Chart'!$C$2:$T$20,5,false)*HLOOKUP($K292,'Type Chart'!$C$2:$U$20,5,false)</f>
        <v>1</v>
      </c>
      <c r="Y292" s="960">
        <f t="array" ref="Y292">HLOOKUP($J292,'Type Chart'!$C$2:$T$20,6,false)*HLOOKUP($K292,'Type Chart'!$C$2:$U$20,6,false)</f>
        <v>1</v>
      </c>
      <c r="Z292" s="960">
        <f t="array" ref="Z292">HLOOKUP($J292,'Type Chart'!$C$2:$T$20,7,false)*HLOOKUP($K292,'Type Chart'!$C$2:$U$20,7,false)</f>
        <v>2</v>
      </c>
      <c r="AA292" s="960">
        <f t="array" ref="AA292">HLOOKUP($J292,'Type Chart'!$C$2:$T$20,8,false)*HLOOKUP($K292,'Type Chart'!$C$2:$U$20,8,false)</f>
        <v>2</v>
      </c>
      <c r="AB292" s="960">
        <f t="array" ref="AB292">HLOOKUP($J292,'Type Chart'!$C$2:$T$20,9,false)*HLOOKUP($K292,'Type Chart'!$C$2:$U$20,9,false)</f>
        <v>0.5</v>
      </c>
      <c r="AC292" s="960">
        <f t="array" ref="AC292">HLOOKUP($J292,'Type Chart'!$C$2:$T$20,10,false)*HLOOKUP($K292,'Type Chart'!$C$2:$U$20,10,false)</f>
        <v>2</v>
      </c>
      <c r="AD292" s="960">
        <f t="array" ref="AD292">HLOOKUP($J292,'Type Chart'!$C$2:$T$20,11,false)*HLOOKUP($K292,'Type Chart'!$C$2:$U$20,11,false)</f>
        <v>2</v>
      </c>
      <c r="AE292" s="960">
        <f t="array" ref="AE292">HLOOKUP($J292,'Type Chart'!$C$2:$T$20,12,false)*HLOOKUP($K292,'Type Chart'!$C$2:$U$20,12,false)</f>
        <v>1</v>
      </c>
      <c r="AF292" s="960">
        <f t="array" ref="AF292">HLOOKUP($J292,'Type Chart'!$C$2:$T$20,13,false)*HLOOKUP($K292,'Type Chart'!$C$2:$U$20,13,false)</f>
        <v>1</v>
      </c>
      <c r="AG292" s="960">
        <f t="array" ref="AG292">HLOOKUP($J292,'Type Chart'!$C$2:$T$20,14,false)*HLOOKUP($K292,'Type Chart'!$C$2:$U$20,14,false)</f>
        <v>1</v>
      </c>
      <c r="AH292" s="960">
        <f t="array" ref="AH292">HLOOKUP($J292,'Type Chart'!$C$2:$T$20,15,false)*HLOOKUP($K292,'Type Chart'!$C$2:$U$20,15,false)</f>
        <v>0</v>
      </c>
      <c r="AI292" s="960">
        <f t="array" ref="AI292">HLOOKUP($J292,'Type Chart'!$C$2:$T$20,16,false)*HLOOKUP($K292,'Type Chart'!$C$2:$U$20,16,false)</f>
        <v>0.5</v>
      </c>
      <c r="AJ292" s="960">
        <f t="array" ref="AJ292">HLOOKUP($J292,'Type Chart'!$C$2:$T$20,17,false)*HLOOKUP($K292,'Type Chart'!$C$2:$U$20,17,false)</f>
        <v>1</v>
      </c>
      <c r="AK292" s="960">
        <f t="array" ref="AK292">HLOOKUP($J292,'Type Chart'!$C$2:$T$20,18,false)*HLOOKUP($K292,'Type Chart'!$C$2:$U$20,18,false)</f>
        <v>0.5</v>
      </c>
      <c r="AL292" s="960">
        <f t="array" ref="AL292">HLOOKUP($J292,'Type Chart'!$C$2:$T$20,19,false)*HLOOKUP($K292,'Type Chart'!$C$2:$U$20,19,false)</f>
        <v>2</v>
      </c>
      <c r="AM292" s="964" t="s">
        <v>1192</v>
      </c>
      <c r="AN292" s="965" t="s">
        <v>1022</v>
      </c>
      <c r="AO292" s="966" t="s">
        <v>1869</v>
      </c>
      <c r="AP292" s="936"/>
      <c r="AQ292" s="967"/>
      <c r="AR292" s="968"/>
      <c r="AS292" s="936"/>
    </row>
    <row r="293" ht="15.75" customHeight="1">
      <c r="A293" s="936"/>
      <c r="B293" s="948" t="s">
        <v>1870</v>
      </c>
      <c r="C293" s="950" t="str">
        <f t="shared" ref="C293:E293" si="7">C292&amp;"-hisui"</f>
        <v>sneasel-hisui</v>
      </c>
      <c r="D293" s="950" t="str">
        <f t="shared" si="7"/>
        <v>sneasel-hisui</v>
      </c>
      <c r="E293" s="952" t="str">
        <f t="shared" si="7"/>
        <v>sneasel-hisui</v>
      </c>
      <c r="F293" s="940"/>
      <c r="G293" s="953"/>
      <c r="H293" s="969"/>
      <c r="I293" s="1230" t="s">
        <v>864</v>
      </c>
      <c r="J293" s="1213" t="s">
        <v>341</v>
      </c>
      <c r="K293" s="958" t="s">
        <v>178</v>
      </c>
      <c r="L293" s="959">
        <v>55.0</v>
      </c>
      <c r="M293" s="960">
        <v>95.0</v>
      </c>
      <c r="N293" s="960">
        <v>55.0</v>
      </c>
      <c r="O293" s="960">
        <v>35.0</v>
      </c>
      <c r="P293" s="960">
        <v>75.0</v>
      </c>
      <c r="Q293" s="960">
        <v>115.0</v>
      </c>
      <c r="R293" s="960">
        <v>266.0</v>
      </c>
      <c r="S293" s="960">
        <v>329.0</v>
      </c>
      <c r="T293" s="960">
        <v>361.0</v>
      </c>
      <c r="U293" s="960">
        <f t="array" ref="U293">HLOOKUP($J293,'Type Chart'!$C$2:$T$20,2,false)*HLOOKUP($K293,'Type Chart'!$C$2:$U$20,2,false)</f>
        <v>1</v>
      </c>
      <c r="V293" s="960">
        <f t="array" ref="V293">HLOOKUP($J293,'Type Chart'!$C$2:$T$20,3,false)*HLOOKUP($K293,'Type Chart'!$C$2:$U$20,3,false)</f>
        <v>0.5</v>
      </c>
      <c r="W293" s="960">
        <f t="array" ref="W293">HLOOKUP($J293,'Type Chart'!$C$2:$T$20,4,false)*HLOOKUP($K293,'Type Chart'!$C$2:$U$20,4,false)</f>
        <v>2</v>
      </c>
      <c r="X293" s="960">
        <f t="array" ref="X293">HLOOKUP($J293,'Type Chart'!$C$2:$T$20,5,false)*HLOOKUP($K293,'Type Chart'!$C$2:$U$20,5,false)</f>
        <v>0.5</v>
      </c>
      <c r="Y293" s="960">
        <f t="array" ref="Y293">HLOOKUP($J293,'Type Chart'!$C$2:$T$20,6,false)*HLOOKUP($K293,'Type Chart'!$C$2:$U$20,6,false)</f>
        <v>2</v>
      </c>
      <c r="Z293" s="960">
        <f t="array" ref="Z293">HLOOKUP($J293,'Type Chart'!$C$2:$T$20,7,false)*HLOOKUP($K293,'Type Chart'!$C$2:$U$20,7,false)</f>
        <v>0.5</v>
      </c>
      <c r="AA293" s="960">
        <f t="array" ref="AA293">HLOOKUP($J293,'Type Chart'!$C$2:$T$20,8,false)*HLOOKUP($K293,'Type Chart'!$C$2:$U$20,8,false)</f>
        <v>0.25</v>
      </c>
      <c r="AB293" s="960">
        <f t="array" ref="AB293">HLOOKUP($J293,'Type Chart'!$C$2:$T$20,9,false)*HLOOKUP($K293,'Type Chart'!$C$2:$U$20,9,false)</f>
        <v>1</v>
      </c>
      <c r="AC293" s="960">
        <f t="array" ref="AC293">HLOOKUP($J293,'Type Chart'!$C$2:$T$20,10,false)*HLOOKUP($K293,'Type Chart'!$C$2:$U$20,10,false)</f>
        <v>1</v>
      </c>
      <c r="AD293" s="960">
        <f t="array" ref="AD293">HLOOKUP($J293,'Type Chart'!$C$2:$T$20,11,false)*HLOOKUP($K293,'Type Chart'!$C$2:$U$20,11,false)</f>
        <v>1</v>
      </c>
      <c r="AE293" s="960">
        <f t="array" ref="AE293">HLOOKUP($J293,'Type Chart'!$C$2:$T$20,12,false)*HLOOKUP($K293,'Type Chart'!$C$2:$U$20,12,false)</f>
        <v>1</v>
      </c>
      <c r="AF293" s="960">
        <f t="array" ref="AF293">HLOOKUP($J293,'Type Chart'!$C$2:$T$20,13,false)*HLOOKUP($K293,'Type Chart'!$C$2:$U$20,13,false)</f>
        <v>0.5</v>
      </c>
      <c r="AG293" s="960">
        <f t="array" ref="AG293">HLOOKUP($J293,'Type Chart'!$C$2:$T$20,14,false)*HLOOKUP($K293,'Type Chart'!$C$2:$U$20,14,false)</f>
        <v>1</v>
      </c>
      <c r="AH293" s="960">
        <f t="array" ref="AH293">HLOOKUP($J293,'Type Chart'!$C$2:$T$20,15,false)*HLOOKUP($K293,'Type Chart'!$C$2:$U$20,15,false)</f>
        <v>4</v>
      </c>
      <c r="AI293" s="960">
        <f t="array" ref="AI293">HLOOKUP($J293,'Type Chart'!$C$2:$T$20,16,false)*HLOOKUP($K293,'Type Chart'!$C$2:$U$20,16,false)</f>
        <v>1</v>
      </c>
      <c r="AJ293" s="960">
        <f t="array" ref="AJ293">HLOOKUP($J293,'Type Chart'!$C$2:$T$20,17,false)*HLOOKUP($K293,'Type Chart'!$C$2:$U$20,17,false)</f>
        <v>1</v>
      </c>
      <c r="AK293" s="960">
        <f t="array" ref="AK293">HLOOKUP($J293,'Type Chart'!$C$2:$T$20,18,false)*HLOOKUP($K293,'Type Chart'!$C$2:$U$20,18,false)</f>
        <v>0.5</v>
      </c>
      <c r="AL293" s="960">
        <f t="array" ref="AL293">HLOOKUP($J293,'Type Chart'!$C$2:$T$20,19,false)*HLOOKUP($K293,'Type Chart'!$C$2:$U$20,19,false)</f>
        <v>1</v>
      </c>
      <c r="AM293" s="964" t="s">
        <v>1192</v>
      </c>
      <c r="AN293" s="965" t="s">
        <v>1022</v>
      </c>
      <c r="AO293" s="966" t="s">
        <v>1869</v>
      </c>
      <c r="AP293" s="936"/>
      <c r="AQ293" s="967"/>
      <c r="AR293" s="968"/>
      <c r="AS293" s="936"/>
    </row>
    <row r="294" ht="15.75" customHeight="1">
      <c r="A294" s="936"/>
      <c r="B294" s="948" t="s">
        <v>1871</v>
      </c>
      <c r="C294" s="950" t="s">
        <v>1872</v>
      </c>
      <c r="D294" s="950" t="s">
        <v>1872</v>
      </c>
      <c r="E294" s="952" t="s">
        <v>1872</v>
      </c>
      <c r="F294" s="940"/>
      <c r="G294" s="953"/>
      <c r="H294" s="969"/>
      <c r="I294" s="956" t="s">
        <v>1873</v>
      </c>
      <c r="J294" s="1194" t="s">
        <v>136</v>
      </c>
      <c r="K294" s="984" t="s">
        <v>216</v>
      </c>
      <c r="L294" s="959">
        <v>60.0</v>
      </c>
      <c r="M294" s="960">
        <v>80.0</v>
      </c>
      <c r="N294" s="960">
        <v>50.0</v>
      </c>
      <c r="O294" s="960">
        <v>50.0</v>
      </c>
      <c r="P294" s="960">
        <v>50.0</v>
      </c>
      <c r="Q294" s="960">
        <v>40.0</v>
      </c>
      <c r="R294" s="960">
        <v>116.0</v>
      </c>
      <c r="S294" s="960">
        <v>179.0</v>
      </c>
      <c r="T294" s="960">
        <v>196.0</v>
      </c>
      <c r="U294" s="960">
        <f t="array" ref="U294">HLOOKUP($J294,'Type Chart'!$C$2:$T$20,2,false)*HLOOKUP($K294,'Type Chart'!$C$2:$U$20,2,false)</f>
        <v>1</v>
      </c>
      <c r="V294" s="960">
        <f t="array" ref="V294">HLOOKUP($J294,'Type Chart'!$C$2:$T$20,3,false)*HLOOKUP($K294,'Type Chart'!$C$2:$U$20,3,false)</f>
        <v>2</v>
      </c>
      <c r="W294" s="960">
        <f t="array" ref="W294">HLOOKUP($J294,'Type Chart'!$C$2:$T$20,4,false)*HLOOKUP($K294,'Type Chart'!$C$2:$U$20,4,false)</f>
        <v>1</v>
      </c>
      <c r="X294" s="960">
        <f t="array" ref="X294">HLOOKUP($J294,'Type Chart'!$C$2:$T$20,5,false)*HLOOKUP($K294,'Type Chart'!$C$2:$U$20,5,false)</f>
        <v>1</v>
      </c>
      <c r="Y294" s="960">
        <f t="array" ref="Y294">HLOOKUP($J294,'Type Chart'!$C$2:$T$20,6,false)*HLOOKUP($K294,'Type Chart'!$C$2:$U$20,6,false)</f>
        <v>1</v>
      </c>
      <c r="Z294" s="960">
        <f t="array" ref="Z294">HLOOKUP($J294,'Type Chart'!$C$2:$T$20,7,false)*HLOOKUP($K294,'Type Chart'!$C$2:$U$20,7,false)</f>
        <v>1</v>
      </c>
      <c r="AA294" s="960">
        <f t="array" ref="AA294">HLOOKUP($J294,'Type Chart'!$C$2:$T$20,8,false)*HLOOKUP($K294,'Type Chart'!$C$2:$U$20,8,false)</f>
        <v>1</v>
      </c>
      <c r="AB294" s="960">
        <f t="array" ref="AB294">HLOOKUP($J294,'Type Chart'!$C$2:$T$20,9,false)*HLOOKUP($K294,'Type Chart'!$C$2:$U$20,9,false)</f>
        <v>0</v>
      </c>
      <c r="AC294" s="960">
        <f t="array" ref="AC294">HLOOKUP($J294,'Type Chart'!$C$2:$T$20,10,false)*HLOOKUP($K294,'Type Chart'!$C$2:$U$20,10,false)</f>
        <v>1</v>
      </c>
      <c r="AD294" s="960">
        <f t="array" ref="AD294">HLOOKUP($J294,'Type Chart'!$C$2:$T$20,11,false)*HLOOKUP($K294,'Type Chart'!$C$2:$U$20,11,false)</f>
        <v>1</v>
      </c>
      <c r="AE294" s="960">
        <f t="array" ref="AE294">HLOOKUP($J294,'Type Chart'!$C$2:$T$20,12,false)*HLOOKUP($K294,'Type Chart'!$C$2:$U$20,12,false)</f>
        <v>1</v>
      </c>
      <c r="AF294" s="960">
        <f t="array" ref="AF294">HLOOKUP($J294,'Type Chart'!$C$2:$T$20,13,false)*HLOOKUP($K294,'Type Chart'!$C$2:$U$20,13,false)</f>
        <v>1</v>
      </c>
      <c r="AG294" s="960">
        <f t="array" ref="AG294">HLOOKUP($J294,'Type Chart'!$C$2:$T$20,14,false)*HLOOKUP($K294,'Type Chart'!$C$2:$U$20,14,false)</f>
        <v>1</v>
      </c>
      <c r="AH294" s="960">
        <f t="array" ref="AH294">HLOOKUP($J294,'Type Chart'!$C$2:$T$20,15,false)*HLOOKUP($K294,'Type Chart'!$C$2:$U$20,15,false)</f>
        <v>1</v>
      </c>
      <c r="AI294" s="960">
        <f t="array" ref="AI294">HLOOKUP($J294,'Type Chart'!$C$2:$T$20,16,false)*HLOOKUP($K294,'Type Chart'!$C$2:$U$20,16,false)</f>
        <v>1</v>
      </c>
      <c r="AJ294" s="960">
        <f t="array" ref="AJ294">HLOOKUP($J294,'Type Chart'!$C$2:$T$20,17,false)*HLOOKUP($K294,'Type Chart'!$C$2:$U$20,17,false)</f>
        <v>1</v>
      </c>
      <c r="AK294" s="960">
        <f t="array" ref="AK294">HLOOKUP($J294,'Type Chart'!$C$2:$T$20,18,false)*HLOOKUP($K294,'Type Chart'!$C$2:$U$20,18,false)</f>
        <v>1</v>
      </c>
      <c r="AL294" s="960">
        <f t="array" ref="AL294">HLOOKUP($J294,'Type Chart'!$C$2:$T$20,19,false)*HLOOKUP($K294,'Type Chart'!$C$2:$U$20,19,false)</f>
        <v>1</v>
      </c>
      <c r="AM294" s="964" t="s">
        <v>1238</v>
      </c>
      <c r="AN294" s="965" t="s">
        <v>1615</v>
      </c>
      <c r="AO294" s="966" t="s">
        <v>1874</v>
      </c>
      <c r="AP294" s="936"/>
      <c r="AQ294" s="967"/>
      <c r="AR294" s="968"/>
      <c r="AS294" s="936"/>
    </row>
    <row r="295" ht="15.75" customHeight="1">
      <c r="A295" s="936"/>
      <c r="B295" s="948" t="s">
        <v>1875</v>
      </c>
      <c r="C295" s="950" t="s">
        <v>1876</v>
      </c>
      <c r="D295" s="950" t="s">
        <v>1876</v>
      </c>
      <c r="E295" s="952" t="s">
        <v>1876</v>
      </c>
      <c r="F295" s="940"/>
      <c r="G295" s="953"/>
      <c r="H295" s="969"/>
      <c r="I295" s="956" t="s">
        <v>635</v>
      </c>
      <c r="J295" s="1194" t="s">
        <v>136</v>
      </c>
      <c r="K295" s="984" t="s">
        <v>216</v>
      </c>
      <c r="L295" s="959">
        <v>90.0</v>
      </c>
      <c r="M295" s="960">
        <v>130.0</v>
      </c>
      <c r="N295" s="960">
        <v>75.0</v>
      </c>
      <c r="O295" s="960">
        <v>75.0</v>
      </c>
      <c r="P295" s="960">
        <v>75.0</v>
      </c>
      <c r="Q295" s="960">
        <v>55.0</v>
      </c>
      <c r="R295" s="960">
        <v>146.0</v>
      </c>
      <c r="S295" s="960">
        <v>209.0</v>
      </c>
      <c r="T295" s="960">
        <v>229.0</v>
      </c>
      <c r="U295" s="960">
        <f t="array" ref="U295">HLOOKUP($J295,'Type Chart'!$C$2:$T$20,2,false)*HLOOKUP($K295,'Type Chart'!$C$2:$U$20,2,false)</f>
        <v>1</v>
      </c>
      <c r="V295" s="960">
        <f t="array" ref="V295">HLOOKUP($J295,'Type Chart'!$C$2:$T$20,3,false)*HLOOKUP($K295,'Type Chart'!$C$2:$U$20,3,false)</f>
        <v>2</v>
      </c>
      <c r="W295" s="960">
        <f t="array" ref="W295">HLOOKUP($J295,'Type Chart'!$C$2:$T$20,4,false)*HLOOKUP($K295,'Type Chart'!$C$2:$U$20,4,false)</f>
        <v>1</v>
      </c>
      <c r="X295" s="960">
        <f t="array" ref="X295">HLOOKUP($J295,'Type Chart'!$C$2:$T$20,5,false)*HLOOKUP($K295,'Type Chart'!$C$2:$U$20,5,false)</f>
        <v>1</v>
      </c>
      <c r="Y295" s="960">
        <f t="array" ref="Y295">HLOOKUP($J295,'Type Chart'!$C$2:$T$20,6,false)*HLOOKUP($K295,'Type Chart'!$C$2:$U$20,6,false)</f>
        <v>1</v>
      </c>
      <c r="Z295" s="960">
        <f t="array" ref="Z295">HLOOKUP($J295,'Type Chart'!$C$2:$T$20,7,false)*HLOOKUP($K295,'Type Chart'!$C$2:$U$20,7,false)</f>
        <v>1</v>
      </c>
      <c r="AA295" s="960">
        <f t="array" ref="AA295">HLOOKUP($J295,'Type Chart'!$C$2:$T$20,8,false)*HLOOKUP($K295,'Type Chart'!$C$2:$U$20,8,false)</f>
        <v>1</v>
      </c>
      <c r="AB295" s="960">
        <f t="array" ref="AB295">HLOOKUP($J295,'Type Chart'!$C$2:$T$20,9,false)*HLOOKUP($K295,'Type Chart'!$C$2:$U$20,9,false)</f>
        <v>0</v>
      </c>
      <c r="AC295" s="960">
        <f t="array" ref="AC295">HLOOKUP($J295,'Type Chart'!$C$2:$T$20,10,false)*HLOOKUP($K295,'Type Chart'!$C$2:$U$20,10,false)</f>
        <v>1</v>
      </c>
      <c r="AD295" s="960">
        <f t="array" ref="AD295">HLOOKUP($J295,'Type Chart'!$C$2:$T$20,11,false)*HLOOKUP($K295,'Type Chart'!$C$2:$U$20,11,false)</f>
        <v>1</v>
      </c>
      <c r="AE295" s="960">
        <f t="array" ref="AE295">HLOOKUP($J295,'Type Chart'!$C$2:$T$20,12,false)*HLOOKUP($K295,'Type Chart'!$C$2:$U$20,12,false)</f>
        <v>1</v>
      </c>
      <c r="AF295" s="960">
        <f t="array" ref="AF295">HLOOKUP($J295,'Type Chart'!$C$2:$T$20,13,false)*HLOOKUP($K295,'Type Chart'!$C$2:$U$20,13,false)</f>
        <v>1</v>
      </c>
      <c r="AG295" s="960">
        <f t="array" ref="AG295">HLOOKUP($J295,'Type Chart'!$C$2:$T$20,14,false)*HLOOKUP($K295,'Type Chart'!$C$2:$U$20,14,false)</f>
        <v>1</v>
      </c>
      <c r="AH295" s="960">
        <f t="array" ref="AH295">HLOOKUP($J295,'Type Chart'!$C$2:$T$20,15,false)*HLOOKUP($K295,'Type Chart'!$C$2:$U$20,15,false)</f>
        <v>1</v>
      </c>
      <c r="AI295" s="960">
        <f t="array" ref="AI295">HLOOKUP($J295,'Type Chart'!$C$2:$T$20,16,false)*HLOOKUP($K295,'Type Chart'!$C$2:$U$20,16,false)</f>
        <v>1</v>
      </c>
      <c r="AJ295" s="960">
        <f t="array" ref="AJ295">HLOOKUP($J295,'Type Chart'!$C$2:$T$20,17,false)*HLOOKUP($K295,'Type Chart'!$C$2:$U$20,17,false)</f>
        <v>1</v>
      </c>
      <c r="AK295" s="960">
        <f t="array" ref="AK295">HLOOKUP($J295,'Type Chart'!$C$2:$T$20,18,false)*HLOOKUP($K295,'Type Chart'!$C$2:$U$20,18,false)</f>
        <v>1</v>
      </c>
      <c r="AL295" s="960">
        <f t="array" ref="AL295">HLOOKUP($J295,'Type Chart'!$C$2:$T$20,19,false)*HLOOKUP($K295,'Type Chart'!$C$2:$U$20,19,false)</f>
        <v>1</v>
      </c>
      <c r="AM295" s="964" t="s">
        <v>1038</v>
      </c>
      <c r="AN295" s="965" t="s">
        <v>1615</v>
      </c>
      <c r="AO295" s="966" t="s">
        <v>1062</v>
      </c>
      <c r="AP295" s="936"/>
      <c r="AQ295" s="967"/>
      <c r="AR295" s="968"/>
      <c r="AS295" s="936"/>
    </row>
    <row r="296" ht="15.75" customHeight="1">
      <c r="A296" s="936"/>
      <c r="B296" s="948" t="s">
        <v>1877</v>
      </c>
      <c r="C296" s="950" t="s">
        <v>1878</v>
      </c>
      <c r="D296" s="950" t="s">
        <v>1878</v>
      </c>
      <c r="E296" s="952" t="s">
        <v>1878</v>
      </c>
      <c r="F296" s="940"/>
      <c r="G296" s="953"/>
      <c r="H296" s="969"/>
      <c r="I296" s="956" t="s">
        <v>1879</v>
      </c>
      <c r="J296" s="982" t="s">
        <v>150</v>
      </c>
      <c r="K296" s="984" t="s">
        <v>216</v>
      </c>
      <c r="L296" s="959">
        <v>40.0</v>
      </c>
      <c r="M296" s="960">
        <v>40.0</v>
      </c>
      <c r="N296" s="960">
        <v>40.0</v>
      </c>
      <c r="O296" s="960">
        <v>70.0</v>
      </c>
      <c r="P296" s="960">
        <v>40.0</v>
      </c>
      <c r="Q296" s="960">
        <v>20.0</v>
      </c>
      <c r="R296" s="960">
        <v>76.0</v>
      </c>
      <c r="S296" s="960">
        <v>139.0</v>
      </c>
      <c r="T296" s="960">
        <v>152.0</v>
      </c>
      <c r="U296" s="960">
        <f t="array" ref="U296">HLOOKUP($J296,'Type Chart'!$C$2:$T$20,2,false)*HLOOKUP($K296,'Type Chart'!$C$2:$U$20,2,false)</f>
        <v>1</v>
      </c>
      <c r="V296" s="960">
        <f t="array" ref="V296">HLOOKUP($J296,'Type Chart'!$C$2:$T$20,3,false)*HLOOKUP($K296,'Type Chart'!$C$2:$U$20,3,false)</f>
        <v>1</v>
      </c>
      <c r="W296" s="960">
        <f t="array" ref="W296">HLOOKUP($J296,'Type Chart'!$C$2:$T$20,4,false)*HLOOKUP($K296,'Type Chart'!$C$2:$U$20,4,false)</f>
        <v>1</v>
      </c>
      <c r="X296" s="960">
        <f t="array" ref="X296">HLOOKUP($J296,'Type Chart'!$C$2:$T$20,5,false)*HLOOKUP($K296,'Type Chart'!$C$2:$U$20,5,false)</f>
        <v>1</v>
      </c>
      <c r="Y296" s="960">
        <f t="array" ref="Y296">HLOOKUP($J296,'Type Chart'!$C$2:$T$20,6,false)*HLOOKUP($K296,'Type Chart'!$C$2:$U$20,6,false)</f>
        <v>2</v>
      </c>
      <c r="Z296" s="960">
        <f t="array" ref="Z296">HLOOKUP($J296,'Type Chart'!$C$2:$T$20,7,false)*HLOOKUP($K296,'Type Chart'!$C$2:$U$20,7,false)</f>
        <v>2</v>
      </c>
      <c r="AA296" s="960">
        <f t="array" ref="AA296">HLOOKUP($J296,'Type Chart'!$C$2:$T$20,8,false)*HLOOKUP($K296,'Type Chart'!$C$2:$U$20,8,false)</f>
        <v>0.5</v>
      </c>
      <c r="AB296" s="960">
        <f t="array" ref="AB296">HLOOKUP($J296,'Type Chart'!$C$2:$T$20,9,false)*HLOOKUP($K296,'Type Chart'!$C$2:$U$20,9,false)</f>
        <v>1</v>
      </c>
      <c r="AC296" s="960">
        <f t="array" ref="AC296">HLOOKUP($J296,'Type Chart'!$C$2:$T$20,10,false)*HLOOKUP($K296,'Type Chart'!$C$2:$U$20,10,false)</f>
        <v>0.5</v>
      </c>
      <c r="AD296" s="960">
        <f t="array" ref="AD296">HLOOKUP($J296,'Type Chart'!$C$2:$T$20,11,false)*HLOOKUP($K296,'Type Chart'!$C$2:$U$20,11,false)</f>
        <v>0.5</v>
      </c>
      <c r="AE296" s="960">
        <f t="array" ref="AE296">HLOOKUP($J296,'Type Chart'!$C$2:$T$20,12,false)*HLOOKUP($K296,'Type Chart'!$C$2:$U$20,12,false)</f>
        <v>2</v>
      </c>
      <c r="AF296" s="960">
        <f t="array" ref="AF296">HLOOKUP($J296,'Type Chart'!$C$2:$T$20,13,false)*HLOOKUP($K296,'Type Chart'!$C$2:$U$20,13,false)</f>
        <v>0.5</v>
      </c>
      <c r="AG296" s="960">
        <f t="array" ref="AG296">HLOOKUP($J296,'Type Chart'!$C$2:$T$20,14,false)*HLOOKUP($K296,'Type Chart'!$C$2:$U$20,14,false)</f>
        <v>1</v>
      </c>
      <c r="AH296" s="960">
        <f t="array" ref="AH296">HLOOKUP($J296,'Type Chart'!$C$2:$T$20,15,false)*HLOOKUP($K296,'Type Chart'!$C$2:$U$20,15,false)</f>
        <v>1</v>
      </c>
      <c r="AI296" s="960">
        <f t="array" ref="AI296">HLOOKUP($J296,'Type Chart'!$C$2:$T$20,16,false)*HLOOKUP($K296,'Type Chart'!$C$2:$U$20,16,false)</f>
        <v>0.5</v>
      </c>
      <c r="AJ296" s="960">
        <f t="array" ref="AJ296">HLOOKUP($J296,'Type Chart'!$C$2:$T$20,17,false)*HLOOKUP($K296,'Type Chart'!$C$2:$U$20,17,false)</f>
        <v>1</v>
      </c>
      <c r="AK296" s="960">
        <f t="array" ref="AK296">HLOOKUP($J296,'Type Chart'!$C$2:$T$20,18,false)*HLOOKUP($K296,'Type Chart'!$C$2:$U$20,18,false)</f>
        <v>1</v>
      </c>
      <c r="AL296" s="960">
        <f t="array" ref="AL296">HLOOKUP($J296,'Type Chart'!$C$2:$T$20,19,false)*HLOOKUP($K296,'Type Chart'!$C$2:$U$20,19,false)</f>
        <v>0.5</v>
      </c>
      <c r="AM296" s="964" t="s">
        <v>1880</v>
      </c>
      <c r="AN296" s="965" t="s">
        <v>1353</v>
      </c>
      <c r="AO296" s="966" t="s">
        <v>1450</v>
      </c>
      <c r="AP296" s="936"/>
      <c r="AQ296" s="967"/>
      <c r="AR296" s="968"/>
      <c r="AS296" s="936"/>
    </row>
    <row r="297" ht="15.75" customHeight="1">
      <c r="A297" s="936"/>
      <c r="B297" s="948" t="s">
        <v>1881</v>
      </c>
      <c r="C297" s="950" t="s">
        <v>1882</v>
      </c>
      <c r="D297" s="950" t="s">
        <v>1882</v>
      </c>
      <c r="E297" s="952" t="s">
        <v>1882</v>
      </c>
      <c r="F297" s="940"/>
      <c r="G297" s="953"/>
      <c r="H297" s="969"/>
      <c r="I297" s="956" t="s">
        <v>881</v>
      </c>
      <c r="J297" s="982" t="s">
        <v>150</v>
      </c>
      <c r="K297" s="1214" t="s">
        <v>342</v>
      </c>
      <c r="L297" s="959">
        <v>60.0</v>
      </c>
      <c r="M297" s="960">
        <v>50.0</v>
      </c>
      <c r="N297" s="960">
        <v>120.0</v>
      </c>
      <c r="O297" s="960">
        <v>90.0</v>
      </c>
      <c r="P297" s="960">
        <v>80.0</v>
      </c>
      <c r="Q297" s="960">
        <v>30.0</v>
      </c>
      <c r="R297" s="960">
        <v>96.0</v>
      </c>
      <c r="S297" s="960">
        <v>159.0</v>
      </c>
      <c r="T297" s="960">
        <v>174.0</v>
      </c>
      <c r="U297" s="960">
        <f t="array" ref="U297">HLOOKUP($J297,'Type Chart'!$C$2:$T$20,2,false)*HLOOKUP($K297,'Type Chart'!$C$2:$U$20,2,false)</f>
        <v>0.5</v>
      </c>
      <c r="V297" s="960">
        <f t="array" ref="V297">HLOOKUP($J297,'Type Chart'!$C$2:$T$20,3,false)*HLOOKUP($K297,'Type Chart'!$C$2:$U$20,3,false)</f>
        <v>2</v>
      </c>
      <c r="W297" s="960">
        <f t="array" ref="W297">HLOOKUP($J297,'Type Chart'!$C$2:$T$20,4,false)*HLOOKUP($K297,'Type Chart'!$C$2:$U$20,4,false)</f>
        <v>0.5</v>
      </c>
      <c r="X297" s="960">
        <f t="array" ref="X297">HLOOKUP($J297,'Type Chart'!$C$2:$T$20,5,false)*HLOOKUP($K297,'Type Chart'!$C$2:$U$20,5,false)</f>
        <v>0.5</v>
      </c>
      <c r="Y297" s="960">
        <f t="array" ref="Y297">HLOOKUP($J297,'Type Chart'!$C$2:$T$20,6,false)*HLOOKUP($K297,'Type Chart'!$C$2:$U$20,6,false)</f>
        <v>4</v>
      </c>
      <c r="Z297" s="960">
        <f t="array" ref="Z297">HLOOKUP($J297,'Type Chart'!$C$2:$T$20,7,false)*HLOOKUP($K297,'Type Chart'!$C$2:$U$20,7,false)</f>
        <v>2</v>
      </c>
      <c r="AA297" s="960">
        <f t="array" ref="AA297">HLOOKUP($J297,'Type Chart'!$C$2:$T$20,8,false)*HLOOKUP($K297,'Type Chart'!$C$2:$U$20,8,false)</f>
        <v>0.5</v>
      </c>
      <c r="AB297" s="960">
        <f t="array" ref="AB297">HLOOKUP($J297,'Type Chart'!$C$2:$T$20,9,false)*HLOOKUP($K297,'Type Chart'!$C$2:$U$20,9,false)</f>
        <v>1</v>
      </c>
      <c r="AC297" s="960">
        <f t="array" ref="AC297">HLOOKUP($J297,'Type Chart'!$C$2:$T$20,10,false)*HLOOKUP($K297,'Type Chart'!$C$2:$U$20,10,false)</f>
        <v>1</v>
      </c>
      <c r="AD297" s="960">
        <f t="array" ref="AD297">HLOOKUP($J297,'Type Chart'!$C$2:$T$20,11,false)*HLOOKUP($K297,'Type Chart'!$C$2:$U$20,11,false)</f>
        <v>0.25</v>
      </c>
      <c r="AE297" s="960">
        <f t="array" ref="AE297">HLOOKUP($J297,'Type Chart'!$C$2:$T$20,12,false)*HLOOKUP($K297,'Type Chart'!$C$2:$U$20,12,false)</f>
        <v>4</v>
      </c>
      <c r="AF297" s="960">
        <f t="array" ref="AF297">HLOOKUP($J297,'Type Chart'!$C$2:$T$20,13,false)*HLOOKUP($K297,'Type Chart'!$C$2:$U$20,13,false)</f>
        <v>1</v>
      </c>
      <c r="AG297" s="960">
        <f t="array" ref="AG297">HLOOKUP($J297,'Type Chart'!$C$2:$T$20,14,false)*HLOOKUP($K297,'Type Chart'!$C$2:$U$20,14,false)</f>
        <v>1</v>
      </c>
      <c r="AH297" s="960">
        <f t="array" ref="AH297">HLOOKUP($J297,'Type Chart'!$C$2:$T$20,15,false)*HLOOKUP($K297,'Type Chart'!$C$2:$U$20,15,false)</f>
        <v>1</v>
      </c>
      <c r="AI297" s="960">
        <f t="array" ref="AI297">HLOOKUP($J297,'Type Chart'!$C$2:$T$20,16,false)*HLOOKUP($K297,'Type Chart'!$C$2:$U$20,16,false)</f>
        <v>0.5</v>
      </c>
      <c r="AJ297" s="960">
        <f t="array" ref="AJ297">HLOOKUP($J297,'Type Chart'!$C$2:$T$20,17,false)*HLOOKUP($K297,'Type Chart'!$C$2:$U$20,17,false)</f>
        <v>1</v>
      </c>
      <c r="AK297" s="960">
        <f t="array" ref="AK297">HLOOKUP($J297,'Type Chart'!$C$2:$T$20,18,false)*HLOOKUP($K297,'Type Chart'!$C$2:$U$20,18,false)</f>
        <v>1</v>
      </c>
      <c r="AL297" s="960">
        <f t="array" ref="AL297">HLOOKUP($J297,'Type Chart'!$C$2:$T$20,19,false)*HLOOKUP($K297,'Type Chart'!$C$2:$U$20,19,false)</f>
        <v>0.5</v>
      </c>
      <c r="AM297" s="964" t="s">
        <v>1880</v>
      </c>
      <c r="AN297" s="965" t="s">
        <v>1353</v>
      </c>
      <c r="AO297" s="966" t="s">
        <v>1450</v>
      </c>
      <c r="AP297" s="936"/>
      <c r="AQ297" s="967"/>
      <c r="AR297" s="968"/>
      <c r="AS297" s="936"/>
    </row>
    <row r="298" ht="15.75" customHeight="1">
      <c r="A298" s="936"/>
      <c r="B298" s="948" t="s">
        <v>1883</v>
      </c>
      <c r="C298" s="950" t="s">
        <v>1884</v>
      </c>
      <c r="D298" s="950" t="s">
        <v>1884</v>
      </c>
      <c r="E298" s="952" t="s">
        <v>1884</v>
      </c>
      <c r="F298" s="940"/>
      <c r="G298" s="953"/>
      <c r="H298" s="969"/>
      <c r="I298" s="956" t="s">
        <v>1885</v>
      </c>
      <c r="J298" s="1205" t="s">
        <v>345</v>
      </c>
      <c r="K298" s="1204" t="s">
        <v>80</v>
      </c>
      <c r="L298" s="959">
        <v>50.0</v>
      </c>
      <c r="M298" s="960">
        <v>50.0</v>
      </c>
      <c r="N298" s="960">
        <v>40.0</v>
      </c>
      <c r="O298" s="960">
        <v>30.0</v>
      </c>
      <c r="P298" s="960">
        <v>30.0</v>
      </c>
      <c r="Q298" s="960">
        <v>50.0</v>
      </c>
      <c r="R298" s="960">
        <v>136.0</v>
      </c>
      <c r="S298" s="960">
        <v>199.0</v>
      </c>
      <c r="T298" s="960">
        <v>218.0</v>
      </c>
      <c r="U298" s="960">
        <f t="array" ref="U298">HLOOKUP($J298,'Type Chart'!$C$2:$T$20,2,false)*HLOOKUP($K298,'Type Chart'!$C$2:$U$20,2,false)</f>
        <v>1</v>
      </c>
      <c r="V298" s="960">
        <f t="array" ref="V298">HLOOKUP($J298,'Type Chart'!$C$2:$T$20,3,false)*HLOOKUP($K298,'Type Chart'!$C$2:$U$20,3,false)</f>
        <v>2</v>
      </c>
      <c r="W298" s="960">
        <f t="array" ref="W298">HLOOKUP($J298,'Type Chart'!$C$2:$T$20,4,false)*HLOOKUP($K298,'Type Chart'!$C$2:$U$20,4,false)</f>
        <v>1</v>
      </c>
      <c r="X298" s="960">
        <f t="array" ref="X298">HLOOKUP($J298,'Type Chart'!$C$2:$T$20,5,false)*HLOOKUP($K298,'Type Chart'!$C$2:$U$20,5,false)</f>
        <v>0.5</v>
      </c>
      <c r="Y298" s="960">
        <f t="array" ref="Y298">HLOOKUP($J298,'Type Chart'!$C$2:$T$20,6,false)*HLOOKUP($K298,'Type Chart'!$C$2:$U$20,6,false)</f>
        <v>1</v>
      </c>
      <c r="Z298" s="960">
        <f t="array" ref="Z298">HLOOKUP($J298,'Type Chart'!$C$2:$T$20,7,false)*HLOOKUP($K298,'Type Chart'!$C$2:$U$20,7,false)</f>
        <v>1</v>
      </c>
      <c r="AA298" s="960">
        <f t="array" ref="AA298">HLOOKUP($J298,'Type Chart'!$C$2:$T$20,8,false)*HLOOKUP($K298,'Type Chart'!$C$2:$U$20,8,false)</f>
        <v>1</v>
      </c>
      <c r="AB298" s="960">
        <f t="array" ref="AB298">HLOOKUP($J298,'Type Chart'!$C$2:$T$20,9,false)*HLOOKUP($K298,'Type Chart'!$C$2:$U$20,9,false)</f>
        <v>1</v>
      </c>
      <c r="AC298" s="960">
        <f t="array" ref="AC298">HLOOKUP($J298,'Type Chart'!$C$2:$T$20,10,false)*HLOOKUP($K298,'Type Chart'!$C$2:$U$20,10,false)</f>
        <v>2</v>
      </c>
      <c r="AD298" s="960">
        <f t="array" ref="AD298">HLOOKUP($J298,'Type Chart'!$C$2:$T$20,11,false)*HLOOKUP($K298,'Type Chart'!$C$2:$U$20,11,false)</f>
        <v>2</v>
      </c>
      <c r="AE298" s="960">
        <f t="array" ref="AE298">HLOOKUP($J298,'Type Chart'!$C$2:$T$20,12,false)*HLOOKUP($K298,'Type Chart'!$C$2:$U$20,12,false)</f>
        <v>2</v>
      </c>
      <c r="AF298" s="960">
        <f t="array" ref="AF298">HLOOKUP($J298,'Type Chart'!$C$2:$T$20,13,false)*HLOOKUP($K298,'Type Chart'!$C$2:$U$20,13,false)</f>
        <v>2</v>
      </c>
      <c r="AG298" s="960">
        <f t="array" ref="AG298">HLOOKUP($J298,'Type Chart'!$C$2:$T$20,14,false)*HLOOKUP($K298,'Type Chart'!$C$2:$U$20,14,false)</f>
        <v>0</v>
      </c>
      <c r="AH298" s="960">
        <f t="array" ref="AH298">HLOOKUP($J298,'Type Chart'!$C$2:$T$20,15,false)*HLOOKUP($K298,'Type Chart'!$C$2:$U$20,15,false)</f>
        <v>1</v>
      </c>
      <c r="AI298" s="960">
        <f t="array" ref="AI298">HLOOKUP($J298,'Type Chart'!$C$2:$T$20,16,false)*HLOOKUP($K298,'Type Chart'!$C$2:$U$20,16,false)</f>
        <v>1</v>
      </c>
      <c r="AJ298" s="960">
        <f t="array" ref="AJ298">HLOOKUP($J298,'Type Chart'!$C$2:$T$20,17,false)*HLOOKUP($K298,'Type Chart'!$C$2:$U$20,17,false)</f>
        <v>1</v>
      </c>
      <c r="AK298" s="960">
        <f t="array" ref="AK298">HLOOKUP($J298,'Type Chart'!$C$2:$T$20,18,false)*HLOOKUP($K298,'Type Chart'!$C$2:$U$20,18,false)</f>
        <v>1</v>
      </c>
      <c r="AL298" s="960">
        <f t="array" ref="AL298">HLOOKUP($J298,'Type Chart'!$C$2:$T$20,19,false)*HLOOKUP($K298,'Type Chart'!$C$2:$U$20,19,false)</f>
        <v>1</v>
      </c>
      <c r="AM298" s="964" t="s">
        <v>1369</v>
      </c>
      <c r="AN298" s="965" t="s">
        <v>1135</v>
      </c>
      <c r="AO298" s="966" t="s">
        <v>760</v>
      </c>
      <c r="AP298" s="936"/>
      <c r="AQ298" s="967"/>
      <c r="AR298" s="968"/>
      <c r="AS298" s="936"/>
    </row>
    <row r="299" ht="15.75" customHeight="1">
      <c r="A299" s="936"/>
      <c r="B299" s="948" t="s">
        <v>1886</v>
      </c>
      <c r="C299" s="950" t="s">
        <v>1887</v>
      </c>
      <c r="D299" s="950" t="s">
        <v>1887</v>
      </c>
      <c r="E299" s="952" t="s">
        <v>1887</v>
      </c>
      <c r="F299" s="940"/>
      <c r="G299" s="953"/>
      <c r="H299" s="969"/>
      <c r="I299" s="998" t="s">
        <v>638</v>
      </c>
      <c r="J299" s="1205" t="s">
        <v>345</v>
      </c>
      <c r="K299" s="1204" t="s">
        <v>80</v>
      </c>
      <c r="L299" s="959">
        <v>100.0</v>
      </c>
      <c r="M299" s="960">
        <v>100.0</v>
      </c>
      <c r="N299" s="960">
        <v>80.0</v>
      </c>
      <c r="O299" s="960">
        <v>60.0</v>
      </c>
      <c r="P299" s="960">
        <v>60.0</v>
      </c>
      <c r="Q299" s="960">
        <v>50.0</v>
      </c>
      <c r="R299" s="960">
        <v>136.0</v>
      </c>
      <c r="S299" s="960">
        <v>199.0</v>
      </c>
      <c r="T299" s="960">
        <v>218.0</v>
      </c>
      <c r="U299" s="960">
        <f t="array" ref="U299">HLOOKUP($J299,'Type Chart'!$C$2:$T$20,2,false)*HLOOKUP($K299,'Type Chart'!$C$2:$U$20,2,false)</f>
        <v>1</v>
      </c>
      <c r="V299" s="960">
        <f t="array" ref="V299">HLOOKUP($J299,'Type Chart'!$C$2:$T$20,3,false)*HLOOKUP($K299,'Type Chart'!$C$2:$U$20,3,false)</f>
        <v>2</v>
      </c>
      <c r="W299" s="960">
        <f t="array" ref="W299">HLOOKUP($J299,'Type Chart'!$C$2:$T$20,4,false)*HLOOKUP($K299,'Type Chart'!$C$2:$U$20,4,false)</f>
        <v>1</v>
      </c>
      <c r="X299" s="960">
        <f t="array" ref="X299">HLOOKUP($J299,'Type Chart'!$C$2:$T$20,5,false)*HLOOKUP($K299,'Type Chart'!$C$2:$U$20,5,false)</f>
        <v>0.5</v>
      </c>
      <c r="Y299" s="960">
        <f t="array" ref="Y299">HLOOKUP($J299,'Type Chart'!$C$2:$T$20,6,false)*HLOOKUP($K299,'Type Chart'!$C$2:$U$20,6,false)</f>
        <v>1</v>
      </c>
      <c r="Z299" s="960">
        <f t="array" ref="Z299">HLOOKUP($J299,'Type Chart'!$C$2:$T$20,7,false)*HLOOKUP($K299,'Type Chart'!$C$2:$U$20,7,false)</f>
        <v>1</v>
      </c>
      <c r="AA299" s="960">
        <f t="array" ref="AA299">HLOOKUP($J299,'Type Chart'!$C$2:$T$20,8,false)*HLOOKUP($K299,'Type Chart'!$C$2:$U$20,8,false)</f>
        <v>1</v>
      </c>
      <c r="AB299" s="960">
        <f t="array" ref="AB299">HLOOKUP($J299,'Type Chart'!$C$2:$T$20,9,false)*HLOOKUP($K299,'Type Chart'!$C$2:$U$20,9,false)</f>
        <v>1</v>
      </c>
      <c r="AC299" s="960">
        <f t="array" ref="AC299">HLOOKUP($J299,'Type Chart'!$C$2:$T$20,10,false)*HLOOKUP($K299,'Type Chart'!$C$2:$U$20,10,false)</f>
        <v>2</v>
      </c>
      <c r="AD299" s="960">
        <f t="array" ref="AD299">HLOOKUP($J299,'Type Chart'!$C$2:$T$20,11,false)*HLOOKUP($K299,'Type Chart'!$C$2:$U$20,11,false)</f>
        <v>2</v>
      </c>
      <c r="AE299" s="960">
        <f t="array" ref="AE299">HLOOKUP($J299,'Type Chart'!$C$2:$T$20,12,false)*HLOOKUP($K299,'Type Chart'!$C$2:$U$20,12,false)</f>
        <v>2</v>
      </c>
      <c r="AF299" s="960">
        <f t="array" ref="AF299">HLOOKUP($J299,'Type Chart'!$C$2:$T$20,13,false)*HLOOKUP($K299,'Type Chart'!$C$2:$U$20,13,false)</f>
        <v>2</v>
      </c>
      <c r="AG299" s="960">
        <f t="array" ref="AG299">HLOOKUP($J299,'Type Chart'!$C$2:$T$20,14,false)*HLOOKUP($K299,'Type Chart'!$C$2:$U$20,14,false)</f>
        <v>0</v>
      </c>
      <c r="AH299" s="960">
        <f t="array" ref="AH299">HLOOKUP($J299,'Type Chart'!$C$2:$T$20,15,false)*HLOOKUP($K299,'Type Chart'!$C$2:$U$20,15,false)</f>
        <v>1</v>
      </c>
      <c r="AI299" s="960">
        <f t="array" ref="AI299">HLOOKUP($J299,'Type Chart'!$C$2:$T$20,16,false)*HLOOKUP($K299,'Type Chart'!$C$2:$U$20,16,false)</f>
        <v>1</v>
      </c>
      <c r="AJ299" s="960">
        <f t="array" ref="AJ299">HLOOKUP($J299,'Type Chart'!$C$2:$T$20,17,false)*HLOOKUP($K299,'Type Chart'!$C$2:$U$20,17,false)</f>
        <v>1</v>
      </c>
      <c r="AK299" s="960">
        <f t="array" ref="AK299">HLOOKUP($J299,'Type Chart'!$C$2:$T$20,18,false)*HLOOKUP($K299,'Type Chart'!$C$2:$U$20,18,false)</f>
        <v>1</v>
      </c>
      <c r="AL299" s="960">
        <f t="array" ref="AL299">HLOOKUP($J299,'Type Chart'!$C$2:$T$20,19,false)*HLOOKUP($K299,'Type Chart'!$C$2:$U$20,19,false)</f>
        <v>1</v>
      </c>
      <c r="AM299" s="1145" t="s">
        <v>1369</v>
      </c>
      <c r="AN299" s="1202" t="s">
        <v>1135</v>
      </c>
      <c r="AO299" s="1146" t="s">
        <v>760</v>
      </c>
      <c r="AP299" s="936"/>
      <c r="AQ299" s="967"/>
      <c r="AR299" s="968"/>
      <c r="AS299" s="936"/>
    </row>
    <row r="300" ht="15.75" customHeight="1">
      <c r="A300" s="936"/>
      <c r="B300" s="948" t="s">
        <v>1888</v>
      </c>
      <c r="C300" s="950" t="s">
        <v>1889</v>
      </c>
      <c r="D300" s="950" t="s">
        <v>1889</v>
      </c>
      <c r="E300" s="952" t="s">
        <v>1889</v>
      </c>
      <c r="F300" s="940"/>
      <c r="G300" s="953"/>
      <c r="H300" s="969"/>
      <c r="I300" s="956" t="s">
        <v>1890</v>
      </c>
      <c r="J300" s="1056" t="s">
        <v>81</v>
      </c>
      <c r="K300" s="1214" t="s">
        <v>342</v>
      </c>
      <c r="L300" s="959">
        <v>65.0</v>
      </c>
      <c r="M300" s="960">
        <v>55.0</v>
      </c>
      <c r="N300" s="960">
        <v>95.0</v>
      </c>
      <c r="O300" s="960">
        <v>65.0</v>
      </c>
      <c r="P300" s="960">
        <v>95.0</v>
      </c>
      <c r="Q300" s="960">
        <v>35.0</v>
      </c>
      <c r="R300" s="960">
        <v>106.0</v>
      </c>
      <c r="S300" s="960">
        <v>169.0</v>
      </c>
      <c r="T300" s="960">
        <v>185.0</v>
      </c>
      <c r="U300" s="960">
        <f t="array" ref="U300">HLOOKUP($J300,'Type Chart'!$C$2:$T$20,2,false)*HLOOKUP($K300,'Type Chart'!$C$2:$U$20,2,false)</f>
        <v>0.5</v>
      </c>
      <c r="V300" s="960">
        <f t="array" ref="V300">HLOOKUP($J300,'Type Chart'!$C$2:$T$20,3,false)*HLOOKUP($K300,'Type Chart'!$C$2:$U$20,3,false)</f>
        <v>2</v>
      </c>
      <c r="W300" s="960">
        <f t="array" ref="W300">HLOOKUP($J300,'Type Chart'!$C$2:$T$20,4,false)*HLOOKUP($K300,'Type Chart'!$C$2:$U$20,4,false)</f>
        <v>0.5</v>
      </c>
      <c r="X300" s="960">
        <f t="array" ref="X300">HLOOKUP($J300,'Type Chart'!$C$2:$T$20,5,false)*HLOOKUP($K300,'Type Chart'!$C$2:$U$20,5,false)</f>
        <v>0.5</v>
      </c>
      <c r="Y300" s="960">
        <f t="array" ref="Y300">HLOOKUP($J300,'Type Chart'!$C$2:$T$20,6,false)*HLOOKUP($K300,'Type Chart'!$C$2:$U$20,6,false)</f>
        <v>2</v>
      </c>
      <c r="Z300" s="960">
        <f t="array" ref="Z300">HLOOKUP($J300,'Type Chart'!$C$2:$T$20,7,false)*HLOOKUP($K300,'Type Chart'!$C$2:$U$20,7,false)</f>
        <v>1</v>
      </c>
      <c r="AA300" s="960">
        <f t="array" ref="AA300">HLOOKUP($J300,'Type Chart'!$C$2:$T$20,8,false)*HLOOKUP($K300,'Type Chart'!$C$2:$U$20,8,false)</f>
        <v>1</v>
      </c>
      <c r="AB300" s="960">
        <f t="array" ref="AB300">HLOOKUP($J300,'Type Chart'!$C$2:$T$20,9,false)*HLOOKUP($K300,'Type Chart'!$C$2:$U$20,9,false)</f>
        <v>1</v>
      </c>
      <c r="AC300" s="960">
        <f t="array" ref="AC300">HLOOKUP($J300,'Type Chart'!$C$2:$T$20,10,false)*HLOOKUP($K300,'Type Chart'!$C$2:$U$20,10,false)</f>
        <v>1</v>
      </c>
      <c r="AD300" s="960">
        <f t="array" ref="AD300">HLOOKUP($J300,'Type Chart'!$C$2:$T$20,11,false)*HLOOKUP($K300,'Type Chart'!$C$2:$U$20,11,false)</f>
        <v>0.25</v>
      </c>
      <c r="AE300" s="960">
        <f t="array" ref="AE300">HLOOKUP($J300,'Type Chart'!$C$2:$T$20,12,false)*HLOOKUP($K300,'Type Chart'!$C$2:$U$20,12,false)</f>
        <v>1</v>
      </c>
      <c r="AF300" s="960">
        <f t="array" ref="AF300">HLOOKUP($J300,'Type Chart'!$C$2:$T$20,13,false)*HLOOKUP($K300,'Type Chart'!$C$2:$U$20,13,false)</f>
        <v>4</v>
      </c>
      <c r="AG300" s="960">
        <f t="array" ref="AG300">HLOOKUP($J300,'Type Chart'!$C$2:$T$20,14,false)*HLOOKUP($K300,'Type Chart'!$C$2:$U$20,14,false)</f>
        <v>2</v>
      </c>
      <c r="AH300" s="960">
        <f t="array" ref="AH300">HLOOKUP($J300,'Type Chart'!$C$2:$T$20,15,false)*HLOOKUP($K300,'Type Chart'!$C$2:$U$20,15,false)</f>
        <v>1</v>
      </c>
      <c r="AI300" s="960">
        <f t="array" ref="AI300">HLOOKUP($J300,'Type Chart'!$C$2:$T$20,16,false)*HLOOKUP($K300,'Type Chart'!$C$2:$U$20,16,false)</f>
        <v>0.5</v>
      </c>
      <c r="AJ300" s="960">
        <f t="array" ref="AJ300">HLOOKUP($J300,'Type Chart'!$C$2:$T$20,17,false)*HLOOKUP($K300,'Type Chart'!$C$2:$U$20,17,false)</f>
        <v>1</v>
      </c>
      <c r="AK300" s="960">
        <f t="array" ref="AK300">HLOOKUP($J300,'Type Chart'!$C$2:$T$20,18,false)*HLOOKUP($K300,'Type Chart'!$C$2:$U$20,18,false)</f>
        <v>1</v>
      </c>
      <c r="AL300" s="960">
        <f t="array" ref="AL300">HLOOKUP($J300,'Type Chart'!$C$2:$T$20,19,false)*HLOOKUP($K300,'Type Chart'!$C$2:$U$20,19,false)</f>
        <v>1</v>
      </c>
      <c r="AM300" s="1145" t="s">
        <v>1039</v>
      </c>
      <c r="AN300" s="1202" t="s">
        <v>1520</v>
      </c>
      <c r="AO300" s="1146" t="s">
        <v>1371</v>
      </c>
      <c r="AP300" s="936"/>
      <c r="AQ300" s="967"/>
      <c r="AR300" s="968"/>
      <c r="AS300" s="936"/>
    </row>
    <row r="301" ht="15.75" customHeight="1">
      <c r="A301" s="1099"/>
      <c r="B301" s="948" t="s">
        <v>1891</v>
      </c>
      <c r="C301" s="950" t="s">
        <v>1892</v>
      </c>
      <c r="D301" s="950" t="s">
        <v>1892</v>
      </c>
      <c r="E301" s="952" t="s">
        <v>1893</v>
      </c>
      <c r="F301" s="940"/>
      <c r="G301" s="953"/>
      <c r="H301" s="969"/>
      <c r="I301" s="956" t="s">
        <v>1894</v>
      </c>
      <c r="J301" s="1220" t="s">
        <v>215</v>
      </c>
      <c r="K301" s="984" t="s">
        <v>216</v>
      </c>
      <c r="L301" s="959">
        <v>60.0</v>
      </c>
      <c r="M301" s="960">
        <v>55.0</v>
      </c>
      <c r="N301" s="960">
        <v>100.0</v>
      </c>
      <c r="O301" s="960">
        <v>65.0</v>
      </c>
      <c r="P301" s="960">
        <v>100.0</v>
      </c>
      <c r="Q301" s="960">
        <v>30.0</v>
      </c>
      <c r="R301" s="960">
        <v>96.0</v>
      </c>
      <c r="S301" s="960">
        <v>159.0</v>
      </c>
      <c r="T301" s="960">
        <v>174.0</v>
      </c>
      <c r="U301" s="960">
        <f t="array" ref="U301">HLOOKUP($J301,'Type Chart'!$C$2:$T$20,2,false)*HLOOKUP($K301,'Type Chart'!$C$2:$U$20,2,false)</f>
        <v>0</v>
      </c>
      <c r="V301" s="960">
        <f t="array" ref="V301">HLOOKUP($J301,'Type Chart'!$C$2:$T$20,3,false)*HLOOKUP($K301,'Type Chart'!$C$2:$U$20,3,false)</f>
        <v>0</v>
      </c>
      <c r="W301" s="960">
        <f t="array" ref="W301">HLOOKUP($J301,'Type Chart'!$C$2:$T$20,4,false)*HLOOKUP($K301,'Type Chart'!$C$2:$U$20,4,false)</f>
        <v>1</v>
      </c>
      <c r="X301" s="960">
        <f t="array" ref="X301">HLOOKUP($J301,'Type Chart'!$C$2:$T$20,5,false)*HLOOKUP($K301,'Type Chart'!$C$2:$U$20,5,false)</f>
        <v>0.5</v>
      </c>
      <c r="Y301" s="960">
        <f t="array" ref="Y301">HLOOKUP($J301,'Type Chart'!$C$2:$T$20,6,false)*HLOOKUP($K301,'Type Chart'!$C$2:$U$20,6,false)</f>
        <v>1</v>
      </c>
      <c r="Z301" s="960">
        <f t="array" ref="Z301">HLOOKUP($J301,'Type Chart'!$C$2:$T$20,7,false)*HLOOKUP($K301,'Type Chart'!$C$2:$U$20,7,false)</f>
        <v>1</v>
      </c>
      <c r="AA301" s="960">
        <f t="array" ref="AA301">HLOOKUP($J301,'Type Chart'!$C$2:$T$20,8,false)*HLOOKUP($K301,'Type Chart'!$C$2:$U$20,8,false)</f>
        <v>0.5</v>
      </c>
      <c r="AB301" s="960">
        <f t="array" ref="AB301">HLOOKUP($J301,'Type Chart'!$C$2:$T$20,9,false)*HLOOKUP($K301,'Type Chart'!$C$2:$U$20,9,false)</f>
        <v>2</v>
      </c>
      <c r="AC301" s="960">
        <f t="array" ref="AC301">HLOOKUP($J301,'Type Chart'!$C$2:$T$20,10,false)*HLOOKUP($K301,'Type Chart'!$C$2:$U$20,10,false)</f>
        <v>1</v>
      </c>
      <c r="AD301" s="960">
        <f t="array" ref="AD301">HLOOKUP($J301,'Type Chart'!$C$2:$T$20,11,false)*HLOOKUP($K301,'Type Chart'!$C$2:$U$20,11,false)</f>
        <v>1</v>
      </c>
      <c r="AE301" s="960">
        <f t="array" ref="AE301">HLOOKUP($J301,'Type Chart'!$C$2:$T$20,12,false)*HLOOKUP($K301,'Type Chart'!$C$2:$U$20,12,false)</f>
        <v>1</v>
      </c>
      <c r="AF301" s="960">
        <f t="array" ref="AF301">HLOOKUP($J301,'Type Chart'!$C$2:$T$20,13,false)*HLOOKUP($K301,'Type Chart'!$C$2:$U$20,13,false)</f>
        <v>1</v>
      </c>
      <c r="AG301" s="960">
        <f t="array" ref="AG301">HLOOKUP($J301,'Type Chart'!$C$2:$T$20,14,false)*HLOOKUP($K301,'Type Chart'!$C$2:$U$20,14,false)</f>
        <v>1</v>
      </c>
      <c r="AH301" s="960">
        <f t="array" ref="AH301">HLOOKUP($J301,'Type Chart'!$C$2:$T$20,15,false)*HLOOKUP($K301,'Type Chart'!$C$2:$U$20,15,false)</f>
        <v>1</v>
      </c>
      <c r="AI301" s="960">
        <f t="array" ref="AI301">HLOOKUP($J301,'Type Chart'!$C$2:$T$20,16,false)*HLOOKUP($K301,'Type Chart'!$C$2:$U$20,16,false)</f>
        <v>1</v>
      </c>
      <c r="AJ301" s="960">
        <f t="array" ref="AJ301">HLOOKUP($J301,'Type Chart'!$C$2:$T$20,17,false)*HLOOKUP($K301,'Type Chart'!$C$2:$U$20,17,false)</f>
        <v>1</v>
      </c>
      <c r="AK301" s="960">
        <f t="array" ref="AK301">HLOOKUP($J301,'Type Chart'!$C$2:$T$20,18,false)*HLOOKUP($K301,'Type Chart'!$C$2:$U$20,18,false)</f>
        <v>2</v>
      </c>
      <c r="AL301" s="960">
        <f t="array" ref="AL301">HLOOKUP($J301,'Type Chart'!$C$2:$T$20,19,false)*HLOOKUP($K301,'Type Chart'!$C$2:$U$20,19,false)</f>
        <v>1</v>
      </c>
      <c r="AM301" s="1145" t="s">
        <v>1450</v>
      </c>
      <c r="AN301" s="965"/>
      <c r="AO301" s="966" t="s">
        <v>1442</v>
      </c>
      <c r="AP301" s="936"/>
      <c r="AQ301" s="967"/>
      <c r="AR301" s="968"/>
      <c r="AS301" s="936"/>
    </row>
    <row r="302" ht="15.75" customHeight="1">
      <c r="A302" s="1099"/>
      <c r="B302" s="948" t="s">
        <v>1895</v>
      </c>
      <c r="C302" s="950" t="s">
        <v>1896</v>
      </c>
      <c r="D302" s="950" t="s">
        <v>1896</v>
      </c>
      <c r="E302" s="1147" t="s">
        <v>1896</v>
      </c>
      <c r="F302" s="940"/>
      <c r="G302" s="953"/>
      <c r="H302" s="969"/>
      <c r="I302" s="998" t="s">
        <v>1897</v>
      </c>
      <c r="J302" s="1056" t="s">
        <v>81</v>
      </c>
      <c r="K302" s="984" t="s">
        <v>216</v>
      </c>
      <c r="L302" s="959">
        <v>35.0</v>
      </c>
      <c r="M302" s="960">
        <v>65.0</v>
      </c>
      <c r="N302" s="960">
        <v>35.0</v>
      </c>
      <c r="O302" s="960">
        <v>65.0</v>
      </c>
      <c r="P302" s="960">
        <v>35.0</v>
      </c>
      <c r="Q302" s="960">
        <v>65.0</v>
      </c>
      <c r="R302" s="960">
        <v>166.0</v>
      </c>
      <c r="S302" s="960">
        <v>229.0</v>
      </c>
      <c r="T302" s="960">
        <v>251.0</v>
      </c>
      <c r="U302" s="960">
        <f t="array" ref="U302">HLOOKUP($J302,'Type Chart'!$C$2:$T$20,2,false)*HLOOKUP($K302,'Type Chart'!$C$2:$U$20,2,false)</f>
        <v>1</v>
      </c>
      <c r="V302" s="960">
        <f t="array" ref="V302">HLOOKUP($J302,'Type Chart'!$C$2:$T$20,3,false)*HLOOKUP($K302,'Type Chart'!$C$2:$U$20,3,false)</f>
        <v>1</v>
      </c>
      <c r="W302" s="960">
        <f t="array" ref="W302">HLOOKUP($J302,'Type Chart'!$C$2:$T$20,4,false)*HLOOKUP($K302,'Type Chart'!$C$2:$U$20,4,false)</f>
        <v>1</v>
      </c>
      <c r="X302" s="960">
        <f t="array" ref="X302">HLOOKUP($J302,'Type Chart'!$C$2:$T$20,5,false)*HLOOKUP($K302,'Type Chart'!$C$2:$U$20,5,false)</f>
        <v>1</v>
      </c>
      <c r="Y302" s="960">
        <f t="array" ref="Y302">HLOOKUP($J302,'Type Chart'!$C$2:$T$20,6,false)*HLOOKUP($K302,'Type Chart'!$C$2:$U$20,6,false)</f>
        <v>1</v>
      </c>
      <c r="Z302" s="960">
        <f t="array" ref="Z302">HLOOKUP($J302,'Type Chart'!$C$2:$T$20,7,false)*HLOOKUP($K302,'Type Chart'!$C$2:$U$20,7,false)</f>
        <v>1</v>
      </c>
      <c r="AA302" s="960">
        <f t="array" ref="AA302">HLOOKUP($J302,'Type Chart'!$C$2:$T$20,8,false)*HLOOKUP($K302,'Type Chart'!$C$2:$U$20,8,false)</f>
        <v>1</v>
      </c>
      <c r="AB302" s="960">
        <f t="array" ref="AB302">HLOOKUP($J302,'Type Chart'!$C$2:$T$20,9,false)*HLOOKUP($K302,'Type Chart'!$C$2:$U$20,9,false)</f>
        <v>1</v>
      </c>
      <c r="AC302" s="960">
        <f t="array" ref="AC302">HLOOKUP($J302,'Type Chart'!$C$2:$T$20,10,false)*HLOOKUP($K302,'Type Chart'!$C$2:$U$20,10,false)</f>
        <v>0.5</v>
      </c>
      <c r="AD302" s="960">
        <f t="array" ref="AD302">HLOOKUP($J302,'Type Chart'!$C$2:$T$20,11,false)*HLOOKUP($K302,'Type Chart'!$C$2:$U$20,11,false)</f>
        <v>0.5</v>
      </c>
      <c r="AE302" s="960">
        <f t="array" ref="AE302">HLOOKUP($J302,'Type Chart'!$C$2:$T$20,12,false)*HLOOKUP($K302,'Type Chart'!$C$2:$U$20,12,false)</f>
        <v>0.5</v>
      </c>
      <c r="AF302" s="960">
        <f t="array" ref="AF302">HLOOKUP($J302,'Type Chart'!$C$2:$T$20,13,false)*HLOOKUP($K302,'Type Chart'!$C$2:$U$20,13,false)</f>
        <v>2</v>
      </c>
      <c r="AG302" s="960">
        <f t="array" ref="AG302">HLOOKUP($J302,'Type Chart'!$C$2:$T$20,14,false)*HLOOKUP($K302,'Type Chart'!$C$2:$U$20,14,false)</f>
        <v>2</v>
      </c>
      <c r="AH302" s="960">
        <f t="array" ref="AH302">HLOOKUP($J302,'Type Chart'!$C$2:$T$20,15,false)*HLOOKUP($K302,'Type Chart'!$C$2:$U$20,15,false)</f>
        <v>1</v>
      </c>
      <c r="AI302" s="960">
        <f t="array" ref="AI302">HLOOKUP($J302,'Type Chart'!$C$2:$T$20,16,false)*HLOOKUP($K302,'Type Chart'!$C$2:$U$20,16,false)</f>
        <v>0.5</v>
      </c>
      <c r="AJ302" s="960">
        <f t="array" ref="AJ302">HLOOKUP($J302,'Type Chart'!$C$2:$T$20,17,false)*HLOOKUP($K302,'Type Chart'!$C$2:$U$20,17,false)</f>
        <v>1</v>
      </c>
      <c r="AK302" s="960">
        <f t="array" ref="AK302">HLOOKUP($J302,'Type Chart'!$C$2:$T$20,18,false)*HLOOKUP($K302,'Type Chart'!$C$2:$U$20,18,false)</f>
        <v>1</v>
      </c>
      <c r="AL302" s="960">
        <f t="array" ref="AL302">HLOOKUP($J302,'Type Chart'!$C$2:$T$20,19,false)*HLOOKUP($K302,'Type Chart'!$C$2:$U$20,19,false)</f>
        <v>1</v>
      </c>
      <c r="AM302" s="1145" t="s">
        <v>1039</v>
      </c>
      <c r="AN302" s="965" t="s">
        <v>1014</v>
      </c>
      <c r="AO302" s="966" t="s">
        <v>1898</v>
      </c>
      <c r="AP302" s="936"/>
      <c r="AQ302" s="967"/>
      <c r="AR302" s="968"/>
      <c r="AS302" s="936"/>
    </row>
    <row r="303" ht="15.75" customHeight="1">
      <c r="A303" s="936"/>
      <c r="B303" s="948" t="s">
        <v>1899</v>
      </c>
      <c r="C303" s="950" t="s">
        <v>1900</v>
      </c>
      <c r="D303" s="950" t="s">
        <v>1900</v>
      </c>
      <c r="E303" s="952" t="s">
        <v>1900</v>
      </c>
      <c r="F303" s="940"/>
      <c r="G303" s="953"/>
      <c r="H303" s="969"/>
      <c r="I303" s="998" t="s">
        <v>1901</v>
      </c>
      <c r="J303" s="1056" t="s">
        <v>81</v>
      </c>
      <c r="K303" s="984" t="s">
        <v>216</v>
      </c>
      <c r="L303" s="959">
        <v>75.0</v>
      </c>
      <c r="M303" s="960">
        <v>105.0</v>
      </c>
      <c r="N303" s="960">
        <v>75.0</v>
      </c>
      <c r="O303" s="960">
        <v>105.0</v>
      </c>
      <c r="P303" s="960">
        <v>75.0</v>
      </c>
      <c r="Q303" s="960">
        <v>45.0</v>
      </c>
      <c r="R303" s="960">
        <v>126.0</v>
      </c>
      <c r="S303" s="960">
        <v>189.0</v>
      </c>
      <c r="T303" s="960">
        <v>207.0</v>
      </c>
      <c r="U303" s="960">
        <f t="array" ref="U303">HLOOKUP($J303,'Type Chart'!$C$2:$T$20,2,false)*HLOOKUP($K303,'Type Chart'!$C$2:$U$20,2,false)</f>
        <v>1</v>
      </c>
      <c r="V303" s="960">
        <f t="array" ref="V303">HLOOKUP($J303,'Type Chart'!$C$2:$T$20,3,false)*HLOOKUP($K303,'Type Chart'!$C$2:$U$20,3,false)</f>
        <v>1</v>
      </c>
      <c r="W303" s="960">
        <f t="array" ref="W303">HLOOKUP($J303,'Type Chart'!$C$2:$T$20,4,false)*HLOOKUP($K303,'Type Chart'!$C$2:$U$20,4,false)</f>
        <v>1</v>
      </c>
      <c r="X303" s="960">
        <f t="array" ref="X303">HLOOKUP($J303,'Type Chart'!$C$2:$T$20,5,false)*HLOOKUP($K303,'Type Chart'!$C$2:$U$20,5,false)</f>
        <v>1</v>
      </c>
      <c r="Y303" s="960">
        <f t="array" ref="Y303">HLOOKUP($J303,'Type Chart'!$C$2:$T$20,6,false)*HLOOKUP($K303,'Type Chart'!$C$2:$U$20,6,false)</f>
        <v>1</v>
      </c>
      <c r="Z303" s="960">
        <f t="array" ref="Z303">HLOOKUP($J303,'Type Chart'!$C$2:$T$20,7,false)*HLOOKUP($K303,'Type Chart'!$C$2:$U$20,7,false)</f>
        <v>1</v>
      </c>
      <c r="AA303" s="960">
        <f t="array" ref="AA303">HLOOKUP($J303,'Type Chart'!$C$2:$T$20,8,false)*HLOOKUP($K303,'Type Chart'!$C$2:$U$20,8,false)</f>
        <v>1</v>
      </c>
      <c r="AB303" s="960">
        <f t="array" ref="AB303">HLOOKUP($J303,'Type Chart'!$C$2:$T$20,9,false)*HLOOKUP($K303,'Type Chart'!$C$2:$U$20,9,false)</f>
        <v>1</v>
      </c>
      <c r="AC303" s="960">
        <f t="array" ref="AC303">HLOOKUP($J303,'Type Chart'!$C$2:$T$20,10,false)*HLOOKUP($K303,'Type Chart'!$C$2:$U$20,10,false)</f>
        <v>0.5</v>
      </c>
      <c r="AD303" s="960">
        <f t="array" ref="AD303">HLOOKUP($J303,'Type Chart'!$C$2:$T$20,11,false)*HLOOKUP($K303,'Type Chart'!$C$2:$U$20,11,false)</f>
        <v>0.5</v>
      </c>
      <c r="AE303" s="960">
        <f t="array" ref="AE303">HLOOKUP($J303,'Type Chart'!$C$2:$T$20,12,false)*HLOOKUP($K303,'Type Chart'!$C$2:$U$20,12,false)</f>
        <v>0.5</v>
      </c>
      <c r="AF303" s="960">
        <f t="array" ref="AF303">HLOOKUP($J303,'Type Chart'!$C$2:$T$20,13,false)*HLOOKUP($K303,'Type Chart'!$C$2:$U$20,13,false)</f>
        <v>2</v>
      </c>
      <c r="AG303" s="960">
        <f t="array" ref="AG303">HLOOKUP($J303,'Type Chart'!$C$2:$T$20,14,false)*HLOOKUP($K303,'Type Chart'!$C$2:$U$20,14,false)</f>
        <v>2</v>
      </c>
      <c r="AH303" s="960">
        <f t="array" ref="AH303">HLOOKUP($J303,'Type Chart'!$C$2:$T$20,15,false)*HLOOKUP($K303,'Type Chart'!$C$2:$U$20,15,false)</f>
        <v>1</v>
      </c>
      <c r="AI303" s="960">
        <f t="array" ref="AI303">HLOOKUP($J303,'Type Chart'!$C$2:$T$20,16,false)*HLOOKUP($K303,'Type Chart'!$C$2:$U$20,16,false)</f>
        <v>0.5</v>
      </c>
      <c r="AJ303" s="960">
        <f t="array" ref="AJ303">HLOOKUP($J303,'Type Chart'!$C$2:$T$20,17,false)*HLOOKUP($K303,'Type Chart'!$C$2:$U$20,17,false)</f>
        <v>1</v>
      </c>
      <c r="AK303" s="960">
        <f t="array" ref="AK303">HLOOKUP($J303,'Type Chart'!$C$2:$T$20,18,false)*HLOOKUP($K303,'Type Chart'!$C$2:$U$20,18,false)</f>
        <v>1</v>
      </c>
      <c r="AL303" s="960">
        <f t="array" ref="AL303">HLOOKUP($J303,'Type Chart'!$C$2:$T$20,19,false)*HLOOKUP($K303,'Type Chart'!$C$2:$U$20,19,false)</f>
        <v>1</v>
      </c>
      <c r="AM303" s="964" t="s">
        <v>1902</v>
      </c>
      <c r="AN303" s="965" t="s">
        <v>1014</v>
      </c>
      <c r="AO303" s="966" t="s">
        <v>1898</v>
      </c>
      <c r="AP303" s="936"/>
      <c r="AQ303" s="967"/>
      <c r="AR303" s="968"/>
      <c r="AS303" s="936"/>
    </row>
    <row r="304" ht="15.75" customHeight="1">
      <c r="A304" s="1099"/>
      <c r="B304" s="948" t="s">
        <v>1903</v>
      </c>
      <c r="C304" s="950" t="s">
        <v>1904</v>
      </c>
      <c r="D304" s="950" t="s">
        <v>1904</v>
      </c>
      <c r="E304" s="952" t="s">
        <v>1904</v>
      </c>
      <c r="F304" s="940"/>
      <c r="G304" s="953"/>
      <c r="H304" s="969"/>
      <c r="I304" s="956" t="s">
        <v>818</v>
      </c>
      <c r="J304" s="1205" t="s">
        <v>345</v>
      </c>
      <c r="K304" s="1001" t="s">
        <v>128</v>
      </c>
      <c r="L304" s="959">
        <v>45.0</v>
      </c>
      <c r="M304" s="960">
        <v>55.0</v>
      </c>
      <c r="N304" s="960">
        <v>45.0</v>
      </c>
      <c r="O304" s="960">
        <v>65.0</v>
      </c>
      <c r="P304" s="960">
        <v>45.0</v>
      </c>
      <c r="Q304" s="960">
        <v>75.0</v>
      </c>
      <c r="R304" s="960">
        <v>186.0</v>
      </c>
      <c r="S304" s="960">
        <v>249.0</v>
      </c>
      <c r="T304" s="960">
        <v>273.0</v>
      </c>
      <c r="U304" s="960">
        <f t="array" ref="U304">HLOOKUP($J304,'Type Chart'!$C$2:$T$20,2,false)*HLOOKUP($K304,'Type Chart'!$C$2:$U$20,2,false)</f>
        <v>1</v>
      </c>
      <c r="V304" s="960">
        <f t="array" ref="V304">HLOOKUP($J304,'Type Chart'!$C$2:$T$20,3,false)*HLOOKUP($K304,'Type Chart'!$C$2:$U$20,3,false)</f>
        <v>1</v>
      </c>
      <c r="W304" s="960">
        <f t="array" ref="W304">HLOOKUP($J304,'Type Chart'!$C$2:$T$20,4,false)*HLOOKUP($K304,'Type Chart'!$C$2:$U$20,4,false)</f>
        <v>1</v>
      </c>
      <c r="X304" s="960">
        <f t="array" ref="X304">HLOOKUP($J304,'Type Chart'!$C$2:$T$20,5,false)*HLOOKUP($K304,'Type Chart'!$C$2:$U$20,5,false)</f>
        <v>1</v>
      </c>
      <c r="Y304" s="960">
        <f t="array" ref="Y304">HLOOKUP($J304,'Type Chart'!$C$2:$T$20,6,false)*HLOOKUP($K304,'Type Chart'!$C$2:$U$20,6,false)</f>
        <v>0</v>
      </c>
      <c r="Z304" s="960">
        <f t="array" ref="Z304">HLOOKUP($J304,'Type Chart'!$C$2:$T$20,7,false)*HLOOKUP($K304,'Type Chart'!$C$2:$U$20,7,false)</f>
        <v>4</v>
      </c>
      <c r="AA304" s="960">
        <f t="array" ref="AA304">HLOOKUP($J304,'Type Chart'!$C$2:$T$20,8,false)*HLOOKUP($K304,'Type Chart'!$C$2:$U$20,8,false)</f>
        <v>0.5</v>
      </c>
      <c r="AB304" s="960">
        <f t="array" ref="AB304">HLOOKUP($J304,'Type Chart'!$C$2:$T$20,9,false)*HLOOKUP($K304,'Type Chart'!$C$2:$U$20,9,false)</f>
        <v>1</v>
      </c>
      <c r="AC304" s="960">
        <f t="array" ref="AC304">HLOOKUP($J304,'Type Chart'!$C$2:$T$20,10,false)*HLOOKUP($K304,'Type Chart'!$C$2:$U$20,10,false)</f>
        <v>2</v>
      </c>
      <c r="AD304" s="960">
        <f t="array" ref="AD304">HLOOKUP($J304,'Type Chart'!$C$2:$T$20,11,false)*HLOOKUP($K304,'Type Chart'!$C$2:$U$20,11,false)</f>
        <v>2</v>
      </c>
      <c r="AE304" s="960">
        <f t="array" ref="AE304">HLOOKUP($J304,'Type Chart'!$C$2:$T$20,12,false)*HLOOKUP($K304,'Type Chart'!$C$2:$U$20,12,false)</f>
        <v>1</v>
      </c>
      <c r="AF304" s="960">
        <f t="array" ref="AF304">HLOOKUP($J304,'Type Chart'!$C$2:$T$20,13,false)*HLOOKUP($K304,'Type Chart'!$C$2:$U$20,13,false)</f>
        <v>0.5</v>
      </c>
      <c r="AG304" s="960">
        <f t="array" ref="AG304">HLOOKUP($J304,'Type Chart'!$C$2:$T$20,14,false)*HLOOKUP($K304,'Type Chart'!$C$2:$U$20,14,false)</f>
        <v>2</v>
      </c>
      <c r="AH304" s="960">
        <f t="array" ref="AH304">HLOOKUP($J304,'Type Chart'!$C$2:$T$20,15,false)*HLOOKUP($K304,'Type Chart'!$C$2:$U$20,15,false)</f>
        <v>1</v>
      </c>
      <c r="AI304" s="960">
        <f t="array" ref="AI304">HLOOKUP($J304,'Type Chart'!$C$2:$T$20,16,false)*HLOOKUP($K304,'Type Chart'!$C$2:$U$20,16,false)</f>
        <v>1</v>
      </c>
      <c r="AJ304" s="960">
        <f t="array" ref="AJ304">HLOOKUP($J304,'Type Chart'!$C$2:$T$20,17,false)*HLOOKUP($K304,'Type Chart'!$C$2:$U$20,17,false)</f>
        <v>1</v>
      </c>
      <c r="AK304" s="960">
        <f t="array" ref="AK304">HLOOKUP($J304,'Type Chart'!$C$2:$T$20,18,false)*HLOOKUP($K304,'Type Chart'!$C$2:$U$20,18,false)</f>
        <v>1</v>
      </c>
      <c r="AL304" s="960">
        <f t="array" ref="AL304">HLOOKUP($J304,'Type Chart'!$C$2:$T$20,19,false)*HLOOKUP($K304,'Type Chart'!$C$2:$U$20,19,false)</f>
        <v>1</v>
      </c>
      <c r="AM304" s="1145" t="s">
        <v>1265</v>
      </c>
      <c r="AN304" s="1202" t="s">
        <v>1039</v>
      </c>
      <c r="AO304" s="1146" t="s">
        <v>1454</v>
      </c>
      <c r="AP304" s="936"/>
      <c r="AQ304" s="967"/>
      <c r="AR304" s="968"/>
      <c r="AS304" s="936"/>
    </row>
    <row r="305" ht="15.75" customHeight="1">
      <c r="A305" s="936"/>
      <c r="B305" s="948" t="s">
        <v>1905</v>
      </c>
      <c r="C305" s="950" t="s">
        <v>1906</v>
      </c>
      <c r="D305" s="950" t="s">
        <v>1906</v>
      </c>
      <c r="E305" s="952" t="s">
        <v>1906</v>
      </c>
      <c r="F305" s="940"/>
      <c r="G305" s="953"/>
      <c r="H305" s="969"/>
      <c r="I305" s="956" t="s">
        <v>1907</v>
      </c>
      <c r="J305" s="1056" t="s">
        <v>81</v>
      </c>
      <c r="K305" s="1001" t="s">
        <v>128</v>
      </c>
      <c r="L305" s="959">
        <v>85.0</v>
      </c>
      <c r="M305" s="960">
        <v>40.0</v>
      </c>
      <c r="N305" s="960">
        <v>70.0</v>
      </c>
      <c r="O305" s="960">
        <v>80.0</v>
      </c>
      <c r="P305" s="960">
        <v>140.0</v>
      </c>
      <c r="Q305" s="960">
        <v>70.0</v>
      </c>
      <c r="R305" s="960">
        <v>176.0</v>
      </c>
      <c r="S305" s="960">
        <v>239.0</v>
      </c>
      <c r="T305" s="960">
        <v>262.0</v>
      </c>
      <c r="U305" s="960">
        <f t="array" ref="U305">HLOOKUP($J305,'Type Chart'!$C$2:$T$20,2,false)*HLOOKUP($K305,'Type Chart'!$C$2:$U$20,2,false)</f>
        <v>1</v>
      </c>
      <c r="V305" s="960">
        <f t="array" ref="V305">HLOOKUP($J305,'Type Chart'!$C$2:$T$20,3,false)*HLOOKUP($K305,'Type Chart'!$C$2:$U$20,3,false)</f>
        <v>0.5</v>
      </c>
      <c r="W305" s="960">
        <f t="array" ref="W305">HLOOKUP($J305,'Type Chart'!$C$2:$T$20,4,false)*HLOOKUP($K305,'Type Chart'!$C$2:$U$20,4,false)</f>
        <v>1</v>
      </c>
      <c r="X305" s="960">
        <f t="array" ref="X305">HLOOKUP($J305,'Type Chart'!$C$2:$T$20,5,false)*HLOOKUP($K305,'Type Chart'!$C$2:$U$20,5,false)</f>
        <v>1</v>
      </c>
      <c r="Y305" s="960">
        <f t="array" ref="Y305">HLOOKUP($J305,'Type Chart'!$C$2:$T$20,6,false)*HLOOKUP($K305,'Type Chart'!$C$2:$U$20,6,false)</f>
        <v>0</v>
      </c>
      <c r="Z305" s="960">
        <f t="array" ref="Z305">HLOOKUP($J305,'Type Chart'!$C$2:$T$20,7,false)*HLOOKUP($K305,'Type Chart'!$C$2:$U$20,7,false)</f>
        <v>2</v>
      </c>
      <c r="AA305" s="960">
        <f t="array" ref="AA305">HLOOKUP($J305,'Type Chart'!$C$2:$T$20,8,false)*HLOOKUP($K305,'Type Chart'!$C$2:$U$20,8,false)</f>
        <v>0.5</v>
      </c>
      <c r="AB305" s="960">
        <f t="array" ref="AB305">HLOOKUP($J305,'Type Chart'!$C$2:$T$20,9,false)*HLOOKUP($K305,'Type Chart'!$C$2:$U$20,9,false)</f>
        <v>1</v>
      </c>
      <c r="AC305" s="960">
        <f t="array" ref="AC305">HLOOKUP($J305,'Type Chart'!$C$2:$T$20,10,false)*HLOOKUP($K305,'Type Chart'!$C$2:$U$20,10,false)</f>
        <v>0.5</v>
      </c>
      <c r="AD305" s="960">
        <f t="array" ref="AD305">HLOOKUP($J305,'Type Chart'!$C$2:$T$20,11,false)*HLOOKUP($K305,'Type Chart'!$C$2:$U$20,11,false)</f>
        <v>0.5</v>
      </c>
      <c r="AE305" s="960">
        <f t="array" ref="AE305">HLOOKUP($J305,'Type Chart'!$C$2:$T$20,12,false)*HLOOKUP($K305,'Type Chart'!$C$2:$U$20,12,false)</f>
        <v>0.5</v>
      </c>
      <c r="AF305" s="960">
        <f t="array" ref="AF305">HLOOKUP($J305,'Type Chart'!$C$2:$T$20,13,false)*HLOOKUP($K305,'Type Chart'!$C$2:$U$20,13,false)</f>
        <v>1</v>
      </c>
      <c r="AG305" s="960">
        <f t="array" ref="AG305">HLOOKUP($J305,'Type Chart'!$C$2:$T$20,14,false)*HLOOKUP($K305,'Type Chart'!$C$2:$U$20,14,false)</f>
        <v>4</v>
      </c>
      <c r="AH305" s="960">
        <f t="array" ref="AH305">HLOOKUP($J305,'Type Chart'!$C$2:$T$20,15,false)*HLOOKUP($K305,'Type Chart'!$C$2:$U$20,15,false)</f>
        <v>1</v>
      </c>
      <c r="AI305" s="960">
        <f t="array" ref="AI305">HLOOKUP($J305,'Type Chart'!$C$2:$T$20,16,false)*HLOOKUP($K305,'Type Chart'!$C$2:$U$20,16,false)</f>
        <v>1</v>
      </c>
      <c r="AJ305" s="960">
        <f t="array" ref="AJ305">HLOOKUP($J305,'Type Chart'!$C$2:$T$20,17,false)*HLOOKUP($K305,'Type Chart'!$C$2:$U$20,17,false)</f>
        <v>1</v>
      </c>
      <c r="AK305" s="960">
        <f t="array" ref="AK305">HLOOKUP($J305,'Type Chart'!$C$2:$T$20,18,false)*HLOOKUP($K305,'Type Chart'!$C$2:$U$20,18,false)</f>
        <v>1</v>
      </c>
      <c r="AL305" s="960">
        <f t="array" ref="AL305">HLOOKUP($J305,'Type Chart'!$C$2:$T$20,19,false)*HLOOKUP($K305,'Type Chart'!$C$2:$U$20,19,false)</f>
        <v>1</v>
      </c>
      <c r="AM305" s="964" t="s">
        <v>1259</v>
      </c>
      <c r="AN305" s="965" t="s">
        <v>1283</v>
      </c>
      <c r="AO305" s="966" t="s">
        <v>1542</v>
      </c>
      <c r="AP305" s="936"/>
      <c r="AQ305" s="967"/>
      <c r="AR305" s="968"/>
      <c r="AS305" s="936"/>
    </row>
    <row r="306" ht="15.75" customHeight="1">
      <c r="A306" s="936"/>
      <c r="B306" s="948" t="s">
        <v>1908</v>
      </c>
      <c r="C306" s="950" t="s">
        <v>1909</v>
      </c>
      <c r="D306" s="950" t="s">
        <v>1909</v>
      </c>
      <c r="E306" s="952" t="s">
        <v>1909</v>
      </c>
      <c r="F306" s="940"/>
      <c r="G306" s="953"/>
      <c r="H306" s="969"/>
      <c r="I306" s="956" t="s">
        <v>442</v>
      </c>
      <c r="J306" s="1206" t="s">
        <v>82</v>
      </c>
      <c r="K306" s="1001" t="s">
        <v>128</v>
      </c>
      <c r="L306" s="959">
        <v>65.0</v>
      </c>
      <c r="M306" s="960">
        <v>80.0</v>
      </c>
      <c r="N306" s="960">
        <v>140.0</v>
      </c>
      <c r="O306" s="960">
        <v>40.0</v>
      </c>
      <c r="P306" s="960">
        <v>70.0</v>
      </c>
      <c r="Q306" s="960">
        <v>70.0</v>
      </c>
      <c r="R306" s="960">
        <v>176.0</v>
      </c>
      <c r="S306" s="960">
        <v>239.0</v>
      </c>
      <c r="T306" s="960">
        <v>262.0</v>
      </c>
      <c r="U306" s="960">
        <f t="array" ref="U306">HLOOKUP($J306,'Type Chart'!$C$2:$T$20,2,false)*HLOOKUP($K306,'Type Chart'!$C$2:$U$20,2,false)</f>
        <v>0.5</v>
      </c>
      <c r="V306" s="960">
        <f t="array" ref="V306">HLOOKUP($J306,'Type Chart'!$C$2:$T$20,3,false)*HLOOKUP($K306,'Type Chart'!$C$2:$U$20,3,false)</f>
        <v>1</v>
      </c>
      <c r="W306" s="960">
        <f t="array" ref="W306">HLOOKUP($J306,'Type Chart'!$C$2:$T$20,4,false)*HLOOKUP($K306,'Type Chart'!$C$2:$U$20,4,false)</f>
        <v>0.5</v>
      </c>
      <c r="X306" s="960">
        <f t="array" ref="X306">HLOOKUP($J306,'Type Chart'!$C$2:$T$20,5,false)*HLOOKUP($K306,'Type Chart'!$C$2:$U$20,5,false)</f>
        <v>0</v>
      </c>
      <c r="Y306" s="960">
        <f t="array" ref="Y306">HLOOKUP($J306,'Type Chart'!$C$2:$T$20,6,false)*HLOOKUP($K306,'Type Chart'!$C$2:$U$20,6,false)</f>
        <v>0</v>
      </c>
      <c r="Z306" s="960">
        <f t="array" ref="Z306">HLOOKUP($J306,'Type Chart'!$C$2:$T$20,7,false)*HLOOKUP($K306,'Type Chart'!$C$2:$U$20,7,false)</f>
        <v>1</v>
      </c>
      <c r="AA306" s="960">
        <f t="array" ref="AA306">HLOOKUP($J306,'Type Chart'!$C$2:$T$20,8,false)*HLOOKUP($K306,'Type Chart'!$C$2:$U$20,8,false)</f>
        <v>0.25</v>
      </c>
      <c r="AB306" s="960">
        <f t="array" ref="AB306">HLOOKUP($J306,'Type Chart'!$C$2:$T$20,9,false)*HLOOKUP($K306,'Type Chart'!$C$2:$U$20,9,false)</f>
        <v>1</v>
      </c>
      <c r="AC306" s="960">
        <f t="array" ref="AC306">HLOOKUP($J306,'Type Chart'!$C$2:$T$20,10,false)*HLOOKUP($K306,'Type Chart'!$C$2:$U$20,10,false)</f>
        <v>0.5</v>
      </c>
      <c r="AD306" s="960">
        <f t="array" ref="AD306">HLOOKUP($J306,'Type Chart'!$C$2:$T$20,11,false)*HLOOKUP($K306,'Type Chart'!$C$2:$U$20,11,false)</f>
        <v>2</v>
      </c>
      <c r="AE306" s="960">
        <f t="array" ref="AE306">HLOOKUP($J306,'Type Chart'!$C$2:$T$20,12,false)*HLOOKUP($K306,'Type Chart'!$C$2:$U$20,12,false)</f>
        <v>1</v>
      </c>
      <c r="AF306" s="960">
        <f t="array" ref="AF306">HLOOKUP($J306,'Type Chart'!$C$2:$T$20,13,false)*HLOOKUP($K306,'Type Chart'!$C$2:$U$20,13,false)</f>
        <v>0.25</v>
      </c>
      <c r="AG306" s="960">
        <f t="array" ref="AG306">HLOOKUP($J306,'Type Chart'!$C$2:$T$20,14,false)*HLOOKUP($K306,'Type Chart'!$C$2:$U$20,14,false)</f>
        <v>2</v>
      </c>
      <c r="AH306" s="960">
        <f t="array" ref="AH306">HLOOKUP($J306,'Type Chart'!$C$2:$T$20,15,false)*HLOOKUP($K306,'Type Chart'!$C$2:$U$20,15,false)</f>
        <v>0.5</v>
      </c>
      <c r="AI306" s="960">
        <f t="array" ref="AI306">HLOOKUP($J306,'Type Chart'!$C$2:$T$20,16,false)*HLOOKUP($K306,'Type Chart'!$C$2:$U$20,16,false)</f>
        <v>1</v>
      </c>
      <c r="AJ306" s="960">
        <f t="array" ref="AJ306">HLOOKUP($J306,'Type Chart'!$C$2:$T$20,17,false)*HLOOKUP($K306,'Type Chart'!$C$2:$U$20,17,false)</f>
        <v>0.5</v>
      </c>
      <c r="AK306" s="960">
        <f t="array" ref="AK306">HLOOKUP($J306,'Type Chart'!$C$2:$T$20,18,false)*HLOOKUP($K306,'Type Chart'!$C$2:$U$20,18,false)</f>
        <v>1</v>
      </c>
      <c r="AL306" s="960">
        <f t="array" ref="AL306">HLOOKUP($J306,'Type Chart'!$C$2:$T$20,19,false)*HLOOKUP($K306,'Type Chart'!$C$2:$U$20,19,false)</f>
        <v>0.5</v>
      </c>
      <c r="AM306" s="964" t="s">
        <v>1022</v>
      </c>
      <c r="AN306" s="965" t="s">
        <v>1331</v>
      </c>
      <c r="AO306" s="966" t="s">
        <v>1450</v>
      </c>
      <c r="AP306" s="936"/>
      <c r="AQ306" s="967"/>
      <c r="AR306" s="968"/>
      <c r="AS306" s="936"/>
    </row>
    <row r="307" ht="15.75" customHeight="1">
      <c r="A307" s="936"/>
      <c r="B307" s="948" t="s">
        <v>1910</v>
      </c>
      <c r="C307" s="950" t="s">
        <v>1911</v>
      </c>
      <c r="D307" s="950" t="s">
        <v>1911</v>
      </c>
      <c r="E307" s="952" t="s">
        <v>1911</v>
      </c>
      <c r="F307" s="940"/>
      <c r="G307" s="953"/>
      <c r="H307" s="969"/>
      <c r="I307" s="956" t="s">
        <v>1912</v>
      </c>
      <c r="J307" s="1195" t="s">
        <v>193</v>
      </c>
      <c r="K307" s="982" t="s">
        <v>150</v>
      </c>
      <c r="L307" s="959">
        <v>45.0</v>
      </c>
      <c r="M307" s="960">
        <v>60.0</v>
      </c>
      <c r="N307" s="960">
        <v>30.0</v>
      </c>
      <c r="O307" s="960">
        <v>80.0</v>
      </c>
      <c r="P307" s="960">
        <v>50.0</v>
      </c>
      <c r="Q307" s="960">
        <v>65.0</v>
      </c>
      <c r="R307" s="960">
        <v>166.0</v>
      </c>
      <c r="S307" s="960">
        <v>229.0</v>
      </c>
      <c r="T307" s="960">
        <v>251.0</v>
      </c>
      <c r="U307" s="960">
        <f t="array" ref="U307">HLOOKUP($J307,'Type Chart'!$C$2:$T$20,2,false)*HLOOKUP($K307,'Type Chart'!$C$2:$U$20,2,false)</f>
        <v>1</v>
      </c>
      <c r="V307" s="960">
        <f t="array" ref="V307">HLOOKUP($J307,'Type Chart'!$C$2:$T$20,3,false)*HLOOKUP($K307,'Type Chart'!$C$2:$U$20,3,false)</f>
        <v>2</v>
      </c>
      <c r="W307" s="960">
        <f t="array" ref="W307">HLOOKUP($J307,'Type Chart'!$C$2:$T$20,4,false)*HLOOKUP($K307,'Type Chart'!$C$2:$U$20,4,false)</f>
        <v>1</v>
      </c>
      <c r="X307" s="960">
        <f t="array" ref="X307">HLOOKUP($J307,'Type Chart'!$C$2:$T$20,5,false)*HLOOKUP($K307,'Type Chart'!$C$2:$U$20,5,false)</f>
        <v>1</v>
      </c>
      <c r="Y307" s="960">
        <f t="array" ref="Y307">HLOOKUP($J307,'Type Chart'!$C$2:$T$20,6,false)*HLOOKUP($K307,'Type Chart'!$C$2:$U$20,6,false)</f>
        <v>2</v>
      </c>
      <c r="Z307" s="960">
        <f t="array" ref="Z307">HLOOKUP($J307,'Type Chart'!$C$2:$T$20,7,false)*HLOOKUP($K307,'Type Chart'!$C$2:$U$20,7,false)</f>
        <v>2</v>
      </c>
      <c r="AA307" s="960">
        <f t="array" ref="AA307">HLOOKUP($J307,'Type Chart'!$C$2:$T$20,8,false)*HLOOKUP($K307,'Type Chart'!$C$2:$U$20,8,false)</f>
        <v>1</v>
      </c>
      <c r="AB307" s="960">
        <f t="array" ref="AB307">HLOOKUP($J307,'Type Chart'!$C$2:$T$20,9,false)*HLOOKUP($K307,'Type Chart'!$C$2:$U$20,9,false)</f>
        <v>0.5</v>
      </c>
      <c r="AC307" s="960">
        <f t="array" ref="AC307">HLOOKUP($J307,'Type Chart'!$C$2:$T$20,10,false)*HLOOKUP($K307,'Type Chart'!$C$2:$U$20,10,false)</f>
        <v>0.5</v>
      </c>
      <c r="AD307" s="960">
        <f t="array" ref="AD307">HLOOKUP($J307,'Type Chart'!$C$2:$T$20,11,false)*HLOOKUP($K307,'Type Chart'!$C$2:$U$20,11,false)</f>
        <v>0.5</v>
      </c>
      <c r="AE307" s="960">
        <f t="array" ref="AE307">HLOOKUP($J307,'Type Chart'!$C$2:$T$20,12,false)*HLOOKUP($K307,'Type Chart'!$C$2:$U$20,12,false)</f>
        <v>2</v>
      </c>
      <c r="AF307" s="960">
        <f t="array" ref="AF307">HLOOKUP($J307,'Type Chart'!$C$2:$T$20,13,false)*HLOOKUP($K307,'Type Chart'!$C$2:$U$20,13,false)</f>
        <v>0.5</v>
      </c>
      <c r="AG307" s="960">
        <f t="array" ref="AG307">HLOOKUP($J307,'Type Chart'!$C$2:$T$20,14,false)*HLOOKUP($K307,'Type Chart'!$C$2:$U$20,14,false)</f>
        <v>1</v>
      </c>
      <c r="AH307" s="960">
        <f t="array" ref="AH307">HLOOKUP($J307,'Type Chart'!$C$2:$T$20,15,false)*HLOOKUP($K307,'Type Chart'!$C$2:$U$20,15,false)</f>
        <v>0</v>
      </c>
      <c r="AI307" s="960">
        <f t="array" ref="AI307">HLOOKUP($J307,'Type Chart'!$C$2:$T$20,16,false)*HLOOKUP($K307,'Type Chart'!$C$2:$U$20,16,false)</f>
        <v>0.5</v>
      </c>
      <c r="AJ307" s="960">
        <f t="array" ref="AJ307">HLOOKUP($J307,'Type Chart'!$C$2:$T$20,17,false)*HLOOKUP($K307,'Type Chart'!$C$2:$U$20,17,false)</f>
        <v>1</v>
      </c>
      <c r="AK307" s="960">
        <f t="array" ref="AK307">HLOOKUP($J307,'Type Chart'!$C$2:$T$20,18,false)*HLOOKUP($K307,'Type Chart'!$C$2:$U$20,18,false)</f>
        <v>0.5</v>
      </c>
      <c r="AL307" s="960">
        <f t="array" ref="AL307">HLOOKUP($J307,'Type Chart'!$C$2:$T$20,19,false)*HLOOKUP($K307,'Type Chart'!$C$2:$U$20,19,false)</f>
        <v>1</v>
      </c>
      <c r="AM307" s="964" t="s">
        <v>1403</v>
      </c>
      <c r="AN307" s="965" t="s">
        <v>1172</v>
      </c>
      <c r="AO307" s="966" t="s">
        <v>1062</v>
      </c>
      <c r="AP307" s="936"/>
      <c r="AQ307" s="967"/>
      <c r="AR307" s="968"/>
      <c r="AS307" s="936"/>
    </row>
    <row r="308" ht="15.75" customHeight="1">
      <c r="A308" s="936"/>
      <c r="B308" s="948" t="s">
        <v>1913</v>
      </c>
      <c r="C308" s="950" t="s">
        <v>1914</v>
      </c>
      <c r="D308" s="950" t="s">
        <v>1914</v>
      </c>
      <c r="E308" s="952" t="s">
        <v>1914</v>
      </c>
      <c r="F308" s="940"/>
      <c r="G308" s="953"/>
      <c r="H308" s="969"/>
      <c r="I308" s="956" t="s">
        <v>757</v>
      </c>
      <c r="J308" s="1195" t="s">
        <v>193</v>
      </c>
      <c r="K308" s="1208" t="s">
        <v>150</v>
      </c>
      <c r="L308" s="959">
        <v>75.0</v>
      </c>
      <c r="M308" s="960">
        <v>90.0</v>
      </c>
      <c r="N308" s="960">
        <v>50.0</v>
      </c>
      <c r="O308" s="960">
        <v>110.0</v>
      </c>
      <c r="P308" s="960">
        <v>80.0</v>
      </c>
      <c r="Q308" s="960">
        <v>95.0</v>
      </c>
      <c r="R308" s="960">
        <v>226.0</v>
      </c>
      <c r="S308" s="960">
        <v>289.0</v>
      </c>
      <c r="T308" s="960">
        <v>317.0</v>
      </c>
      <c r="U308" s="960">
        <f t="array" ref="U308">HLOOKUP($J308,'Type Chart'!$C$2:$T$20,2,false)*HLOOKUP($K308,'Type Chart'!$C$2:$U$20,2,false)</f>
        <v>1</v>
      </c>
      <c r="V308" s="960">
        <f t="array" ref="V308">HLOOKUP($J308,'Type Chart'!$C$2:$T$20,3,false)*HLOOKUP($K308,'Type Chart'!$C$2:$U$20,3,false)</f>
        <v>2</v>
      </c>
      <c r="W308" s="960">
        <f t="array" ref="W308">HLOOKUP($J308,'Type Chart'!$C$2:$T$20,4,false)*HLOOKUP($K308,'Type Chart'!$C$2:$U$20,4,false)</f>
        <v>1</v>
      </c>
      <c r="X308" s="960">
        <f t="array" ref="X308">HLOOKUP($J308,'Type Chart'!$C$2:$T$20,5,false)*HLOOKUP($K308,'Type Chart'!$C$2:$U$20,5,false)</f>
        <v>1</v>
      </c>
      <c r="Y308" s="960">
        <f t="array" ref="Y308">HLOOKUP($J308,'Type Chart'!$C$2:$T$20,6,false)*HLOOKUP($K308,'Type Chart'!$C$2:$U$20,6,false)</f>
        <v>2</v>
      </c>
      <c r="Z308" s="960">
        <f t="array" ref="Z308">HLOOKUP($J308,'Type Chart'!$C$2:$T$20,7,false)*HLOOKUP($K308,'Type Chart'!$C$2:$U$20,7,false)</f>
        <v>2</v>
      </c>
      <c r="AA308" s="960">
        <f t="array" ref="AA308">HLOOKUP($J308,'Type Chart'!$C$2:$T$20,8,false)*HLOOKUP($K308,'Type Chart'!$C$2:$U$20,8,false)</f>
        <v>1</v>
      </c>
      <c r="AB308" s="960">
        <f t="array" ref="AB308">HLOOKUP($J308,'Type Chart'!$C$2:$T$20,9,false)*HLOOKUP($K308,'Type Chart'!$C$2:$U$20,9,false)</f>
        <v>0.5</v>
      </c>
      <c r="AC308" s="960">
        <f t="array" ref="AC308">HLOOKUP($J308,'Type Chart'!$C$2:$T$20,10,false)*HLOOKUP($K308,'Type Chart'!$C$2:$U$20,10,false)</f>
        <v>0.5</v>
      </c>
      <c r="AD308" s="960">
        <f t="array" ref="AD308">HLOOKUP($J308,'Type Chart'!$C$2:$T$20,11,false)*HLOOKUP($K308,'Type Chart'!$C$2:$U$20,11,false)</f>
        <v>0.5</v>
      </c>
      <c r="AE308" s="960">
        <f t="array" ref="AE308">HLOOKUP($J308,'Type Chart'!$C$2:$T$20,12,false)*HLOOKUP($K308,'Type Chart'!$C$2:$U$20,12,false)</f>
        <v>2</v>
      </c>
      <c r="AF308" s="960">
        <f t="array" ref="AF308">HLOOKUP($J308,'Type Chart'!$C$2:$T$20,13,false)*HLOOKUP($K308,'Type Chart'!$C$2:$U$20,13,false)</f>
        <v>0.5</v>
      </c>
      <c r="AG308" s="960">
        <f t="array" ref="AG308">HLOOKUP($J308,'Type Chart'!$C$2:$T$20,14,false)*HLOOKUP($K308,'Type Chart'!$C$2:$U$20,14,false)</f>
        <v>1</v>
      </c>
      <c r="AH308" s="960">
        <f t="array" ref="AH308">HLOOKUP($J308,'Type Chart'!$C$2:$T$20,15,false)*HLOOKUP($K308,'Type Chart'!$C$2:$U$20,15,false)</f>
        <v>0</v>
      </c>
      <c r="AI308" s="960">
        <f t="array" ref="AI308">HLOOKUP($J308,'Type Chart'!$C$2:$T$20,16,false)*HLOOKUP($K308,'Type Chart'!$C$2:$U$20,16,false)</f>
        <v>0.5</v>
      </c>
      <c r="AJ308" s="960">
        <f t="array" ref="AJ308">HLOOKUP($J308,'Type Chart'!$C$2:$T$20,17,false)*HLOOKUP($K308,'Type Chart'!$C$2:$U$20,17,false)</f>
        <v>1</v>
      </c>
      <c r="AK308" s="960">
        <f t="array" ref="AK308">HLOOKUP($J308,'Type Chart'!$C$2:$T$20,18,false)*HLOOKUP($K308,'Type Chart'!$C$2:$U$20,18,false)</f>
        <v>0.5</v>
      </c>
      <c r="AL308" s="960">
        <f t="array" ref="AL308">HLOOKUP($J308,'Type Chart'!$C$2:$T$20,19,false)*HLOOKUP($K308,'Type Chart'!$C$2:$U$20,19,false)</f>
        <v>1</v>
      </c>
      <c r="AM308" s="964" t="s">
        <v>1403</v>
      </c>
      <c r="AN308" s="965" t="s">
        <v>1172</v>
      </c>
      <c r="AO308" s="966" t="s">
        <v>1062</v>
      </c>
      <c r="AP308" s="936"/>
      <c r="AQ308" s="967"/>
      <c r="AR308" s="968"/>
      <c r="AS308" s="936"/>
    </row>
    <row r="309" ht="15.75" customHeight="1">
      <c r="A309" s="936"/>
      <c r="B309" s="948" t="s">
        <v>1915</v>
      </c>
      <c r="C309" s="950" t="s">
        <v>1916</v>
      </c>
      <c r="D309" s="950" t="s">
        <v>1916</v>
      </c>
      <c r="E309" s="952" t="s">
        <v>1916</v>
      </c>
      <c r="F309" s="940"/>
      <c r="G309" s="953"/>
      <c r="H309" s="969"/>
      <c r="I309" s="956" t="s">
        <v>1917</v>
      </c>
      <c r="J309" s="1195" t="s">
        <v>193</v>
      </c>
      <c r="K309" s="982" t="s">
        <v>150</v>
      </c>
      <c r="L309" s="959">
        <v>75.0</v>
      </c>
      <c r="M309" s="960">
        <v>90.0</v>
      </c>
      <c r="N309" s="960">
        <v>90.0</v>
      </c>
      <c r="O309" s="960">
        <v>140.0</v>
      </c>
      <c r="P309" s="960">
        <v>90.0</v>
      </c>
      <c r="Q309" s="960">
        <v>115.0</v>
      </c>
      <c r="R309" s="960">
        <v>266.0</v>
      </c>
      <c r="S309" s="960">
        <v>329.0</v>
      </c>
      <c r="T309" s="960">
        <v>361.0</v>
      </c>
      <c r="U309" s="960">
        <f t="array" ref="U309">HLOOKUP($J309,'Type Chart'!$C$2:$T$20,2,false)*HLOOKUP($K309,'Type Chart'!$C$2:$U$20,2,false)</f>
        <v>1</v>
      </c>
      <c r="V309" s="960">
        <f t="array" ref="V309">HLOOKUP($J309,'Type Chart'!$C$2:$T$20,3,false)*HLOOKUP($K309,'Type Chart'!$C$2:$U$20,3,false)</f>
        <v>2</v>
      </c>
      <c r="W309" s="960">
        <f t="array" ref="W309">HLOOKUP($J309,'Type Chart'!$C$2:$T$20,4,false)*HLOOKUP($K309,'Type Chart'!$C$2:$U$20,4,false)</f>
        <v>1</v>
      </c>
      <c r="X309" s="960">
        <f t="array" ref="X309">HLOOKUP($J309,'Type Chart'!$C$2:$T$20,5,false)*HLOOKUP($K309,'Type Chart'!$C$2:$U$20,5,false)</f>
        <v>1</v>
      </c>
      <c r="Y309" s="960">
        <f t="array" ref="Y309">HLOOKUP($J309,'Type Chart'!$C$2:$T$20,6,false)*HLOOKUP($K309,'Type Chart'!$C$2:$U$20,6,false)</f>
        <v>2</v>
      </c>
      <c r="Z309" s="960">
        <f t="array" ref="Z309">HLOOKUP($J309,'Type Chart'!$C$2:$T$20,7,false)*HLOOKUP($K309,'Type Chart'!$C$2:$U$20,7,false)</f>
        <v>2</v>
      </c>
      <c r="AA309" s="960">
        <f t="array" ref="AA309">HLOOKUP($J309,'Type Chart'!$C$2:$T$20,8,false)*HLOOKUP($K309,'Type Chart'!$C$2:$U$20,8,false)</f>
        <v>1</v>
      </c>
      <c r="AB309" s="960">
        <f t="array" ref="AB309">HLOOKUP($J309,'Type Chart'!$C$2:$T$20,9,false)*HLOOKUP($K309,'Type Chart'!$C$2:$U$20,9,false)</f>
        <v>0.5</v>
      </c>
      <c r="AC309" s="960">
        <f t="array" ref="AC309">HLOOKUP($J309,'Type Chart'!$C$2:$T$20,10,false)*HLOOKUP($K309,'Type Chart'!$C$2:$U$20,10,false)</f>
        <v>0.5</v>
      </c>
      <c r="AD309" s="960">
        <f t="array" ref="AD309">HLOOKUP($J309,'Type Chart'!$C$2:$T$20,11,false)*HLOOKUP($K309,'Type Chart'!$C$2:$U$20,11,false)</f>
        <v>0.5</v>
      </c>
      <c r="AE309" s="960">
        <f t="array" ref="AE309">HLOOKUP($J309,'Type Chart'!$C$2:$T$20,12,false)*HLOOKUP($K309,'Type Chart'!$C$2:$U$20,12,false)</f>
        <v>2</v>
      </c>
      <c r="AF309" s="960">
        <f t="array" ref="AF309">HLOOKUP($J309,'Type Chart'!$C$2:$T$20,13,false)*HLOOKUP($K309,'Type Chart'!$C$2:$U$20,13,false)</f>
        <v>0.5</v>
      </c>
      <c r="AG309" s="960">
        <f t="array" ref="AG309">HLOOKUP($J309,'Type Chart'!$C$2:$T$20,14,false)*HLOOKUP($K309,'Type Chart'!$C$2:$U$20,14,false)</f>
        <v>1</v>
      </c>
      <c r="AH309" s="960">
        <f t="array" ref="AH309">HLOOKUP($J309,'Type Chart'!$C$2:$T$20,15,false)*HLOOKUP($K309,'Type Chart'!$C$2:$U$20,15,false)</f>
        <v>0</v>
      </c>
      <c r="AI309" s="960">
        <f t="array" ref="AI309">HLOOKUP($J309,'Type Chart'!$C$2:$T$20,16,false)*HLOOKUP($K309,'Type Chart'!$C$2:$U$20,16,false)</f>
        <v>0.5</v>
      </c>
      <c r="AJ309" s="960">
        <f t="array" ref="AJ309">HLOOKUP($J309,'Type Chart'!$C$2:$T$20,17,false)*HLOOKUP($K309,'Type Chart'!$C$2:$U$20,17,false)</f>
        <v>1</v>
      </c>
      <c r="AK309" s="960">
        <f t="array" ref="AK309">HLOOKUP($J309,'Type Chart'!$C$2:$T$20,18,false)*HLOOKUP($K309,'Type Chart'!$C$2:$U$20,18,false)</f>
        <v>0.5</v>
      </c>
      <c r="AL309" s="960">
        <f t="array" ref="AL309">HLOOKUP($J309,'Type Chart'!$C$2:$T$20,19,false)*HLOOKUP($K309,'Type Chart'!$C$2:$U$20,19,false)</f>
        <v>1</v>
      </c>
      <c r="AM309" s="964" t="s">
        <v>831</v>
      </c>
      <c r="AN309" s="965"/>
      <c r="AO309" s="966"/>
      <c r="AP309" s="936"/>
      <c r="AQ309" s="967"/>
      <c r="AR309" s="968"/>
      <c r="AS309" s="936"/>
    </row>
    <row r="310" ht="15.75" customHeight="1">
      <c r="A310" s="936"/>
      <c r="B310" s="948" t="s">
        <v>1918</v>
      </c>
      <c r="C310" s="950" t="s">
        <v>1919</v>
      </c>
      <c r="D310" s="950" t="s">
        <v>1919</v>
      </c>
      <c r="E310" s="952" t="s">
        <v>1919</v>
      </c>
      <c r="F310" s="940"/>
      <c r="G310" s="953"/>
      <c r="H310" s="969"/>
      <c r="I310" s="956" t="s">
        <v>306</v>
      </c>
      <c r="J310" s="1056" t="s">
        <v>81</v>
      </c>
      <c r="K310" s="1006" t="s">
        <v>346</v>
      </c>
      <c r="L310" s="959">
        <v>75.0</v>
      </c>
      <c r="M310" s="960">
        <v>95.0</v>
      </c>
      <c r="N310" s="960">
        <v>95.0</v>
      </c>
      <c r="O310" s="960">
        <v>95.0</v>
      </c>
      <c r="P310" s="960">
        <v>95.0</v>
      </c>
      <c r="Q310" s="960">
        <v>85.0</v>
      </c>
      <c r="R310" s="960">
        <v>206.0</v>
      </c>
      <c r="S310" s="960">
        <v>269.0</v>
      </c>
      <c r="T310" s="960">
        <v>295.0</v>
      </c>
      <c r="U310" s="960">
        <f t="array" ref="U310">HLOOKUP($J310,'Type Chart'!$C$2:$T$20,2,false)*HLOOKUP($K310,'Type Chart'!$C$2:$U$20,2,false)</f>
        <v>1</v>
      </c>
      <c r="V310" s="960">
        <f t="array" ref="V310">HLOOKUP($J310,'Type Chart'!$C$2:$T$20,3,false)*HLOOKUP($K310,'Type Chart'!$C$2:$U$20,3,false)</f>
        <v>1</v>
      </c>
      <c r="W310" s="960">
        <f t="array" ref="W310">HLOOKUP($J310,'Type Chart'!$C$2:$T$20,4,false)*HLOOKUP($K310,'Type Chart'!$C$2:$U$20,4,false)</f>
        <v>1</v>
      </c>
      <c r="X310" s="960">
        <f t="array" ref="X310">HLOOKUP($J310,'Type Chart'!$C$2:$T$20,5,false)*HLOOKUP($K310,'Type Chart'!$C$2:$U$20,5,false)</f>
        <v>1</v>
      </c>
      <c r="Y310" s="960">
        <f t="array" ref="Y310">HLOOKUP($J310,'Type Chart'!$C$2:$T$20,6,false)*HLOOKUP($K310,'Type Chart'!$C$2:$U$20,6,false)</f>
        <v>1</v>
      </c>
      <c r="Z310" s="960">
        <f t="array" ref="Z310">HLOOKUP($J310,'Type Chart'!$C$2:$T$20,7,false)*HLOOKUP($K310,'Type Chart'!$C$2:$U$20,7,false)</f>
        <v>1</v>
      </c>
      <c r="AA310" s="960">
        <f t="array" ref="AA310">HLOOKUP($J310,'Type Chart'!$C$2:$T$20,8,false)*HLOOKUP($K310,'Type Chart'!$C$2:$U$20,8,false)</f>
        <v>1</v>
      </c>
      <c r="AB310" s="960">
        <f t="array" ref="AB310">HLOOKUP($J310,'Type Chart'!$C$2:$T$20,9,false)*HLOOKUP($K310,'Type Chart'!$C$2:$U$20,9,false)</f>
        <v>1</v>
      </c>
      <c r="AC310" s="960">
        <f t="array" ref="AC310">HLOOKUP($J310,'Type Chart'!$C$2:$T$20,10,false)*HLOOKUP($K310,'Type Chart'!$C$2:$U$20,10,false)</f>
        <v>0.5</v>
      </c>
      <c r="AD310" s="960">
        <f t="array" ref="AD310">HLOOKUP($J310,'Type Chart'!$C$2:$T$20,11,false)*HLOOKUP($K310,'Type Chart'!$C$2:$U$20,11,false)</f>
        <v>0.25</v>
      </c>
      <c r="AE310" s="960">
        <f t="array" ref="AE310">HLOOKUP($J310,'Type Chart'!$C$2:$T$20,12,false)*HLOOKUP($K310,'Type Chart'!$C$2:$U$20,12,false)</f>
        <v>0.25</v>
      </c>
      <c r="AF310" s="960">
        <f t="array" ref="AF310">HLOOKUP($J310,'Type Chart'!$C$2:$T$20,13,false)*HLOOKUP($K310,'Type Chart'!$C$2:$U$20,13,false)</f>
        <v>1</v>
      </c>
      <c r="AG310" s="960">
        <f t="array" ref="AG310">HLOOKUP($J310,'Type Chart'!$C$2:$T$20,14,false)*HLOOKUP($K310,'Type Chart'!$C$2:$U$20,14,false)</f>
        <v>1</v>
      </c>
      <c r="AH310" s="960">
        <f t="array" ref="AH310">HLOOKUP($J310,'Type Chart'!$C$2:$T$20,15,false)*HLOOKUP($K310,'Type Chart'!$C$2:$U$20,15,false)</f>
        <v>1</v>
      </c>
      <c r="AI310" s="960">
        <f t="array" ref="AI310">HLOOKUP($J310,'Type Chart'!$C$2:$T$20,16,false)*HLOOKUP($K310,'Type Chart'!$C$2:$U$20,16,false)</f>
        <v>1</v>
      </c>
      <c r="AJ310" s="960">
        <f t="array" ref="AJ310">HLOOKUP($J310,'Type Chart'!$C$2:$T$20,17,false)*HLOOKUP($K310,'Type Chart'!$C$2:$U$20,17,false)</f>
        <v>2</v>
      </c>
      <c r="AK310" s="960">
        <f t="array" ref="AK310">HLOOKUP($J310,'Type Chart'!$C$2:$T$20,18,false)*HLOOKUP($K310,'Type Chart'!$C$2:$U$20,18,false)</f>
        <v>1</v>
      </c>
      <c r="AL310" s="960">
        <f t="array" ref="AL310">HLOOKUP($J310,'Type Chart'!$C$2:$T$20,19,false)*HLOOKUP($K310,'Type Chart'!$C$2:$U$20,19,false)</f>
        <v>2</v>
      </c>
      <c r="AM310" s="964" t="s">
        <v>1259</v>
      </c>
      <c r="AN310" s="965" t="s">
        <v>1014</v>
      </c>
      <c r="AO310" s="966" t="s">
        <v>1211</v>
      </c>
      <c r="AP310" s="936"/>
      <c r="AQ310" s="967"/>
      <c r="AR310" s="968"/>
      <c r="AS310" s="936"/>
    </row>
    <row r="311" ht="15.75" customHeight="1">
      <c r="A311" s="936"/>
      <c r="B311" s="948" t="s">
        <v>1920</v>
      </c>
      <c r="C311" s="950" t="s">
        <v>1921</v>
      </c>
      <c r="D311" s="950" t="s">
        <v>1921</v>
      </c>
      <c r="E311" s="952" t="s">
        <v>1921</v>
      </c>
      <c r="F311" s="940"/>
      <c r="G311" s="953"/>
      <c r="H311" s="969"/>
      <c r="I311" s="956" t="s">
        <v>1922</v>
      </c>
      <c r="J311" s="1204" t="s">
        <v>80</v>
      </c>
      <c r="K311" s="984" t="s">
        <v>216</v>
      </c>
      <c r="L311" s="959">
        <v>90.0</v>
      </c>
      <c r="M311" s="960">
        <v>60.0</v>
      </c>
      <c r="N311" s="960">
        <v>60.0</v>
      </c>
      <c r="O311" s="960">
        <v>40.0</v>
      </c>
      <c r="P311" s="960">
        <v>40.0</v>
      </c>
      <c r="Q311" s="960">
        <v>40.0</v>
      </c>
      <c r="R311" s="960">
        <v>116.0</v>
      </c>
      <c r="S311" s="960">
        <v>179.0</v>
      </c>
      <c r="T311" s="960">
        <v>196.0</v>
      </c>
      <c r="U311" s="960">
        <f t="array" ref="U311">HLOOKUP($J311,'Type Chart'!$C$2:$T$20,2,false)*HLOOKUP($K311,'Type Chart'!$C$2:$U$20,2,false)</f>
        <v>1</v>
      </c>
      <c r="V311" s="960">
        <f t="array" ref="V311">HLOOKUP($J311,'Type Chart'!$C$2:$T$20,3,false)*HLOOKUP($K311,'Type Chart'!$C$2:$U$20,3,false)</f>
        <v>1</v>
      </c>
      <c r="W311" s="960">
        <f t="array" ref="W311">HLOOKUP($J311,'Type Chart'!$C$2:$T$20,4,false)*HLOOKUP($K311,'Type Chart'!$C$2:$U$20,4,false)</f>
        <v>1</v>
      </c>
      <c r="X311" s="960">
        <f t="array" ref="X311">HLOOKUP($J311,'Type Chart'!$C$2:$T$20,5,false)*HLOOKUP($K311,'Type Chart'!$C$2:$U$20,5,false)</f>
        <v>0.5</v>
      </c>
      <c r="Y311" s="960">
        <f t="array" ref="Y311">HLOOKUP($J311,'Type Chart'!$C$2:$T$20,6,false)*HLOOKUP($K311,'Type Chart'!$C$2:$U$20,6,false)</f>
        <v>1</v>
      </c>
      <c r="Z311" s="960">
        <f t="array" ref="Z311">HLOOKUP($J311,'Type Chart'!$C$2:$T$20,7,false)*HLOOKUP($K311,'Type Chart'!$C$2:$U$20,7,false)</f>
        <v>0.5</v>
      </c>
      <c r="AA311" s="960">
        <f t="array" ref="AA311">HLOOKUP($J311,'Type Chart'!$C$2:$T$20,8,false)*HLOOKUP($K311,'Type Chart'!$C$2:$U$20,8,false)</f>
        <v>1</v>
      </c>
      <c r="AB311" s="960">
        <f t="array" ref="AB311">HLOOKUP($J311,'Type Chart'!$C$2:$T$20,9,false)*HLOOKUP($K311,'Type Chart'!$C$2:$U$20,9,false)</f>
        <v>1</v>
      </c>
      <c r="AC311" s="960">
        <f t="array" ref="AC311">HLOOKUP($J311,'Type Chart'!$C$2:$T$20,10,false)*HLOOKUP($K311,'Type Chart'!$C$2:$U$20,10,false)</f>
        <v>1</v>
      </c>
      <c r="AD311" s="960">
        <f t="array" ref="AD311">HLOOKUP($J311,'Type Chart'!$C$2:$T$20,11,false)*HLOOKUP($K311,'Type Chart'!$C$2:$U$20,11,false)</f>
        <v>1</v>
      </c>
      <c r="AE311" s="960">
        <f t="array" ref="AE311">HLOOKUP($J311,'Type Chart'!$C$2:$T$20,12,false)*HLOOKUP($K311,'Type Chart'!$C$2:$U$20,12,false)</f>
        <v>2</v>
      </c>
      <c r="AF311" s="960">
        <f t="array" ref="AF311">HLOOKUP($J311,'Type Chart'!$C$2:$T$20,13,false)*HLOOKUP($K311,'Type Chart'!$C$2:$U$20,13,false)</f>
        <v>2</v>
      </c>
      <c r="AG311" s="960">
        <f t="array" ref="AG311">HLOOKUP($J311,'Type Chart'!$C$2:$T$20,14,false)*HLOOKUP($K311,'Type Chart'!$C$2:$U$20,14,false)</f>
        <v>0</v>
      </c>
      <c r="AH311" s="960">
        <f t="array" ref="AH311">HLOOKUP($J311,'Type Chart'!$C$2:$T$20,15,false)*HLOOKUP($K311,'Type Chart'!$C$2:$U$20,15,false)</f>
        <v>1</v>
      </c>
      <c r="AI311" s="960">
        <f t="array" ref="AI311">HLOOKUP($J311,'Type Chart'!$C$2:$T$20,16,false)*HLOOKUP($K311,'Type Chart'!$C$2:$U$20,16,false)</f>
        <v>2</v>
      </c>
      <c r="AJ311" s="960">
        <f t="array" ref="AJ311">HLOOKUP($J311,'Type Chart'!$C$2:$T$20,17,false)*HLOOKUP($K311,'Type Chart'!$C$2:$U$20,17,false)</f>
        <v>1</v>
      </c>
      <c r="AK311" s="960">
        <f t="array" ref="AK311">HLOOKUP($J311,'Type Chart'!$C$2:$T$20,18,false)*HLOOKUP($K311,'Type Chart'!$C$2:$U$20,18,false)</f>
        <v>1</v>
      </c>
      <c r="AL311" s="960">
        <f t="array" ref="AL311">HLOOKUP($J311,'Type Chart'!$C$2:$T$20,19,false)*HLOOKUP($K311,'Type Chart'!$C$2:$U$20,19,false)</f>
        <v>1</v>
      </c>
      <c r="AM311" s="964" t="s">
        <v>1238</v>
      </c>
      <c r="AN311" s="965"/>
      <c r="AO311" s="966" t="s">
        <v>1129</v>
      </c>
      <c r="AP311" s="936"/>
      <c r="AQ311" s="967"/>
      <c r="AR311" s="968"/>
      <c r="AS311" s="936"/>
    </row>
    <row r="312" ht="15.75" customHeight="1">
      <c r="A312" s="936"/>
      <c r="B312" s="948" t="s">
        <v>1923</v>
      </c>
      <c r="C312" s="950" t="s">
        <v>1924</v>
      </c>
      <c r="D312" s="950" t="s">
        <v>1924</v>
      </c>
      <c r="E312" s="952" t="s">
        <v>1924</v>
      </c>
      <c r="F312" s="940"/>
      <c r="G312" s="953"/>
      <c r="H312" s="969"/>
      <c r="I312" s="956" t="s">
        <v>489</v>
      </c>
      <c r="J312" s="1204" t="s">
        <v>80</v>
      </c>
      <c r="K312" s="984" t="s">
        <v>216</v>
      </c>
      <c r="L312" s="959">
        <v>90.0</v>
      </c>
      <c r="M312" s="960">
        <v>120.0</v>
      </c>
      <c r="N312" s="960">
        <v>120.0</v>
      </c>
      <c r="O312" s="960">
        <v>60.0</v>
      </c>
      <c r="P312" s="960">
        <v>60.0</v>
      </c>
      <c r="Q312" s="960">
        <v>50.0</v>
      </c>
      <c r="R312" s="960">
        <v>136.0</v>
      </c>
      <c r="S312" s="960">
        <v>199.0</v>
      </c>
      <c r="T312" s="960">
        <v>218.0</v>
      </c>
      <c r="U312" s="960">
        <f t="array" ref="U312">HLOOKUP($J312,'Type Chart'!$C$2:$T$20,2,false)*HLOOKUP($K312,'Type Chart'!$C$2:$U$20,2,false)</f>
        <v>1</v>
      </c>
      <c r="V312" s="960">
        <f t="array" ref="V312">HLOOKUP($J312,'Type Chart'!$C$2:$T$20,3,false)*HLOOKUP($K312,'Type Chart'!$C$2:$U$20,3,false)</f>
        <v>1</v>
      </c>
      <c r="W312" s="960">
        <f t="array" ref="W312">HLOOKUP($J312,'Type Chart'!$C$2:$T$20,4,false)*HLOOKUP($K312,'Type Chart'!$C$2:$U$20,4,false)</f>
        <v>1</v>
      </c>
      <c r="X312" s="960">
        <f t="array" ref="X312">HLOOKUP($J312,'Type Chart'!$C$2:$T$20,5,false)*HLOOKUP($K312,'Type Chart'!$C$2:$U$20,5,false)</f>
        <v>0.5</v>
      </c>
      <c r="Y312" s="960">
        <f t="array" ref="Y312">HLOOKUP($J312,'Type Chart'!$C$2:$T$20,6,false)*HLOOKUP($K312,'Type Chart'!$C$2:$U$20,6,false)</f>
        <v>1</v>
      </c>
      <c r="Z312" s="960">
        <f t="array" ref="Z312">HLOOKUP($J312,'Type Chart'!$C$2:$T$20,7,false)*HLOOKUP($K312,'Type Chart'!$C$2:$U$20,7,false)</f>
        <v>0.5</v>
      </c>
      <c r="AA312" s="960">
        <f t="array" ref="AA312">HLOOKUP($J312,'Type Chart'!$C$2:$T$20,8,false)*HLOOKUP($K312,'Type Chart'!$C$2:$U$20,8,false)</f>
        <v>1</v>
      </c>
      <c r="AB312" s="960">
        <f t="array" ref="AB312">HLOOKUP($J312,'Type Chart'!$C$2:$T$20,9,false)*HLOOKUP($K312,'Type Chart'!$C$2:$U$20,9,false)</f>
        <v>1</v>
      </c>
      <c r="AC312" s="960">
        <f t="array" ref="AC312">HLOOKUP($J312,'Type Chart'!$C$2:$T$20,10,false)*HLOOKUP($K312,'Type Chart'!$C$2:$U$20,10,false)</f>
        <v>1</v>
      </c>
      <c r="AD312" s="960">
        <f t="array" ref="AD312">HLOOKUP($J312,'Type Chart'!$C$2:$T$20,11,false)*HLOOKUP($K312,'Type Chart'!$C$2:$U$20,11,false)</f>
        <v>1</v>
      </c>
      <c r="AE312" s="960">
        <f t="array" ref="AE312">HLOOKUP($J312,'Type Chart'!$C$2:$T$20,12,false)*HLOOKUP($K312,'Type Chart'!$C$2:$U$20,12,false)</f>
        <v>2</v>
      </c>
      <c r="AF312" s="960">
        <f t="array" ref="AF312">HLOOKUP($J312,'Type Chart'!$C$2:$T$20,13,false)*HLOOKUP($K312,'Type Chart'!$C$2:$U$20,13,false)</f>
        <v>2</v>
      </c>
      <c r="AG312" s="960">
        <f t="array" ref="AG312">HLOOKUP($J312,'Type Chart'!$C$2:$T$20,14,false)*HLOOKUP($K312,'Type Chart'!$C$2:$U$20,14,false)</f>
        <v>0</v>
      </c>
      <c r="AH312" s="960">
        <f t="array" ref="AH312">HLOOKUP($J312,'Type Chart'!$C$2:$T$20,15,false)*HLOOKUP($K312,'Type Chart'!$C$2:$U$20,15,false)</f>
        <v>1</v>
      </c>
      <c r="AI312" s="960">
        <f t="array" ref="AI312">HLOOKUP($J312,'Type Chart'!$C$2:$T$20,16,false)*HLOOKUP($K312,'Type Chart'!$C$2:$U$20,16,false)</f>
        <v>2</v>
      </c>
      <c r="AJ312" s="960">
        <f t="array" ref="AJ312">HLOOKUP($J312,'Type Chart'!$C$2:$T$20,17,false)*HLOOKUP($K312,'Type Chart'!$C$2:$U$20,17,false)</f>
        <v>1</v>
      </c>
      <c r="AK312" s="960">
        <f t="array" ref="AK312">HLOOKUP($J312,'Type Chart'!$C$2:$T$20,18,false)*HLOOKUP($K312,'Type Chart'!$C$2:$U$20,18,false)</f>
        <v>1</v>
      </c>
      <c r="AL312" s="960">
        <f t="array" ref="AL312">HLOOKUP($J312,'Type Chart'!$C$2:$T$20,19,false)*HLOOKUP($K312,'Type Chart'!$C$2:$U$20,19,false)</f>
        <v>1</v>
      </c>
      <c r="AM312" s="964" t="s">
        <v>1331</v>
      </c>
      <c r="AN312" s="965"/>
      <c r="AO312" s="966" t="s">
        <v>1129</v>
      </c>
      <c r="AP312" s="936"/>
      <c r="AQ312" s="967"/>
      <c r="AR312" s="968"/>
      <c r="AS312" s="936"/>
    </row>
    <row r="313" ht="15.75" customHeight="1">
      <c r="A313" s="936"/>
      <c r="B313" s="948" t="s">
        <v>1925</v>
      </c>
      <c r="C313" s="950" t="s">
        <v>1926</v>
      </c>
      <c r="D313" s="950" t="s">
        <v>1926</v>
      </c>
      <c r="E313" s="952" t="s">
        <v>1926</v>
      </c>
      <c r="F313" s="940"/>
      <c r="G313" s="953"/>
      <c r="H313" s="969"/>
      <c r="I313" s="956" t="s">
        <v>607</v>
      </c>
      <c r="J313" s="1194" t="s">
        <v>136</v>
      </c>
      <c r="K313" s="984" t="s">
        <v>216</v>
      </c>
      <c r="L313" s="959">
        <v>85.0</v>
      </c>
      <c r="M313" s="960">
        <v>80.0</v>
      </c>
      <c r="N313" s="960">
        <v>90.0</v>
      </c>
      <c r="O313" s="960">
        <v>105.0</v>
      </c>
      <c r="P313" s="960">
        <v>95.0</v>
      </c>
      <c r="Q313" s="960">
        <v>60.0</v>
      </c>
      <c r="R313" s="960">
        <v>156.0</v>
      </c>
      <c r="S313" s="960">
        <v>219.0</v>
      </c>
      <c r="T313" s="960">
        <v>240.0</v>
      </c>
      <c r="U313" s="960">
        <f t="array" ref="U313">HLOOKUP($J313,'Type Chart'!$C$2:$T$20,2,false)*HLOOKUP($K313,'Type Chart'!$C$2:$U$20,2,false)</f>
        <v>1</v>
      </c>
      <c r="V313" s="960">
        <f t="array" ref="V313">HLOOKUP($J313,'Type Chart'!$C$2:$T$20,3,false)*HLOOKUP($K313,'Type Chart'!$C$2:$U$20,3,false)</f>
        <v>2</v>
      </c>
      <c r="W313" s="960">
        <f t="array" ref="W313">HLOOKUP($J313,'Type Chart'!$C$2:$T$20,4,false)*HLOOKUP($K313,'Type Chart'!$C$2:$U$20,4,false)</f>
        <v>1</v>
      </c>
      <c r="X313" s="960">
        <f t="array" ref="X313">HLOOKUP($J313,'Type Chart'!$C$2:$T$20,5,false)*HLOOKUP($K313,'Type Chart'!$C$2:$U$20,5,false)</f>
        <v>1</v>
      </c>
      <c r="Y313" s="960">
        <f t="array" ref="Y313">HLOOKUP($J313,'Type Chart'!$C$2:$T$20,6,false)*HLOOKUP($K313,'Type Chart'!$C$2:$U$20,6,false)</f>
        <v>1</v>
      </c>
      <c r="Z313" s="960">
        <f t="array" ref="Z313">HLOOKUP($J313,'Type Chart'!$C$2:$T$20,7,false)*HLOOKUP($K313,'Type Chart'!$C$2:$U$20,7,false)</f>
        <v>1</v>
      </c>
      <c r="AA313" s="960">
        <f t="array" ref="AA313">HLOOKUP($J313,'Type Chart'!$C$2:$T$20,8,false)*HLOOKUP($K313,'Type Chart'!$C$2:$U$20,8,false)</f>
        <v>1</v>
      </c>
      <c r="AB313" s="960">
        <f t="array" ref="AB313">HLOOKUP($J313,'Type Chart'!$C$2:$T$20,9,false)*HLOOKUP($K313,'Type Chart'!$C$2:$U$20,9,false)</f>
        <v>0</v>
      </c>
      <c r="AC313" s="960">
        <f t="array" ref="AC313">HLOOKUP($J313,'Type Chart'!$C$2:$T$20,10,false)*HLOOKUP($K313,'Type Chart'!$C$2:$U$20,10,false)</f>
        <v>1</v>
      </c>
      <c r="AD313" s="960">
        <f t="array" ref="AD313">HLOOKUP($J313,'Type Chart'!$C$2:$T$20,11,false)*HLOOKUP($K313,'Type Chart'!$C$2:$U$20,11,false)</f>
        <v>1</v>
      </c>
      <c r="AE313" s="960">
        <f t="array" ref="AE313">HLOOKUP($J313,'Type Chart'!$C$2:$T$20,12,false)*HLOOKUP($K313,'Type Chart'!$C$2:$U$20,12,false)</f>
        <v>1</v>
      </c>
      <c r="AF313" s="960">
        <f t="array" ref="AF313">HLOOKUP($J313,'Type Chart'!$C$2:$T$20,13,false)*HLOOKUP($K313,'Type Chart'!$C$2:$U$20,13,false)</f>
        <v>1</v>
      </c>
      <c r="AG313" s="960">
        <f t="array" ref="AG313">HLOOKUP($J313,'Type Chart'!$C$2:$T$20,14,false)*HLOOKUP($K313,'Type Chart'!$C$2:$U$20,14,false)</f>
        <v>1</v>
      </c>
      <c r="AH313" s="960">
        <f t="array" ref="AH313">HLOOKUP($J313,'Type Chart'!$C$2:$T$20,15,false)*HLOOKUP($K313,'Type Chart'!$C$2:$U$20,15,false)</f>
        <v>1</v>
      </c>
      <c r="AI313" s="960">
        <f t="array" ref="AI313">HLOOKUP($J313,'Type Chart'!$C$2:$T$20,16,false)*HLOOKUP($K313,'Type Chart'!$C$2:$U$20,16,false)</f>
        <v>1</v>
      </c>
      <c r="AJ313" s="960">
        <f t="array" ref="AJ313">HLOOKUP($J313,'Type Chart'!$C$2:$T$20,17,false)*HLOOKUP($K313,'Type Chart'!$C$2:$U$20,17,false)</f>
        <v>1</v>
      </c>
      <c r="AK313" s="960">
        <f t="array" ref="AK313">HLOOKUP($J313,'Type Chart'!$C$2:$T$20,18,false)*HLOOKUP($K313,'Type Chart'!$C$2:$U$20,18,false)</f>
        <v>1</v>
      </c>
      <c r="AL313" s="960">
        <f t="array" ref="AL313">HLOOKUP($J313,'Type Chart'!$C$2:$T$20,19,false)*HLOOKUP($K313,'Type Chart'!$C$2:$U$20,19,false)</f>
        <v>1</v>
      </c>
      <c r="AM313" s="964" t="s">
        <v>1302</v>
      </c>
      <c r="AN313" s="965" t="s">
        <v>1620</v>
      </c>
      <c r="AO313" s="966" t="s">
        <v>1389</v>
      </c>
      <c r="AP313" s="936"/>
      <c r="AQ313" s="967"/>
      <c r="AR313" s="968"/>
      <c r="AS313" s="936"/>
    </row>
    <row r="314" ht="15.75" customHeight="1">
      <c r="A314" s="1099"/>
      <c r="B314" s="948" t="s">
        <v>1927</v>
      </c>
      <c r="C314" s="1197" t="s">
        <v>1928</v>
      </c>
      <c r="D314" s="1197" t="s">
        <v>1928</v>
      </c>
      <c r="E314" s="1147" t="s">
        <v>1928</v>
      </c>
      <c r="F314" s="940"/>
      <c r="G314" s="953"/>
      <c r="H314" s="969"/>
      <c r="I314" s="998" t="s">
        <v>866</v>
      </c>
      <c r="J314" s="1216" t="s">
        <v>136</v>
      </c>
      <c r="K314" s="1199" t="s">
        <v>216</v>
      </c>
      <c r="L314" s="1200">
        <v>73.0</v>
      </c>
      <c r="M314" s="1201">
        <v>95.0</v>
      </c>
      <c r="N314" s="1201">
        <v>62.0</v>
      </c>
      <c r="O314" s="1201">
        <v>85.0</v>
      </c>
      <c r="P314" s="1201">
        <v>65.0</v>
      </c>
      <c r="Q314" s="1201">
        <v>85.0</v>
      </c>
      <c r="R314" s="960">
        <v>206.0</v>
      </c>
      <c r="S314" s="960">
        <v>269.0</v>
      </c>
      <c r="T314" s="960">
        <v>295.0</v>
      </c>
      <c r="U314" s="960">
        <f t="array" ref="U314">HLOOKUP($J314,'Type Chart'!$C$2:$T$20,2,false)*HLOOKUP($K314,'Type Chart'!$C$2:$U$20,2,false)</f>
        <v>1</v>
      </c>
      <c r="V314" s="960">
        <f t="array" ref="V314">HLOOKUP($J314,'Type Chart'!$C$2:$T$20,3,false)*HLOOKUP($K314,'Type Chart'!$C$2:$U$20,3,false)</f>
        <v>2</v>
      </c>
      <c r="W314" s="960">
        <f t="array" ref="W314">HLOOKUP($J314,'Type Chart'!$C$2:$T$20,4,false)*HLOOKUP($K314,'Type Chart'!$C$2:$U$20,4,false)</f>
        <v>1</v>
      </c>
      <c r="X314" s="960">
        <f t="array" ref="X314">HLOOKUP($J314,'Type Chart'!$C$2:$T$20,5,false)*HLOOKUP($K314,'Type Chart'!$C$2:$U$20,5,false)</f>
        <v>1</v>
      </c>
      <c r="Y314" s="960">
        <f t="array" ref="Y314">HLOOKUP($J314,'Type Chart'!$C$2:$T$20,6,false)*HLOOKUP($K314,'Type Chart'!$C$2:$U$20,6,false)</f>
        <v>1</v>
      </c>
      <c r="Z314" s="960">
        <f t="array" ref="Z314">HLOOKUP($J314,'Type Chart'!$C$2:$T$20,7,false)*HLOOKUP($K314,'Type Chart'!$C$2:$U$20,7,false)</f>
        <v>1</v>
      </c>
      <c r="AA314" s="960">
        <f t="array" ref="AA314">HLOOKUP($J314,'Type Chart'!$C$2:$T$20,8,false)*HLOOKUP($K314,'Type Chart'!$C$2:$U$20,8,false)</f>
        <v>1</v>
      </c>
      <c r="AB314" s="960">
        <f t="array" ref="AB314">HLOOKUP($J314,'Type Chart'!$C$2:$T$20,9,false)*HLOOKUP($K314,'Type Chart'!$C$2:$U$20,9,false)</f>
        <v>0</v>
      </c>
      <c r="AC314" s="960">
        <f t="array" ref="AC314">HLOOKUP($J314,'Type Chart'!$C$2:$T$20,10,false)*HLOOKUP($K314,'Type Chart'!$C$2:$U$20,10,false)</f>
        <v>1</v>
      </c>
      <c r="AD314" s="960">
        <f t="array" ref="AD314">HLOOKUP($J314,'Type Chart'!$C$2:$T$20,11,false)*HLOOKUP($K314,'Type Chart'!$C$2:$U$20,11,false)</f>
        <v>1</v>
      </c>
      <c r="AE314" s="960">
        <f t="array" ref="AE314">HLOOKUP($J314,'Type Chart'!$C$2:$T$20,12,false)*HLOOKUP($K314,'Type Chart'!$C$2:$U$20,12,false)</f>
        <v>1</v>
      </c>
      <c r="AF314" s="960">
        <f t="array" ref="AF314">HLOOKUP($J314,'Type Chart'!$C$2:$T$20,13,false)*HLOOKUP($K314,'Type Chart'!$C$2:$U$20,13,false)</f>
        <v>1</v>
      </c>
      <c r="AG314" s="960">
        <f t="array" ref="AG314">HLOOKUP($J314,'Type Chart'!$C$2:$T$20,14,false)*HLOOKUP($K314,'Type Chart'!$C$2:$U$20,14,false)</f>
        <v>1</v>
      </c>
      <c r="AH314" s="960">
        <f t="array" ref="AH314">HLOOKUP($J314,'Type Chart'!$C$2:$T$20,15,false)*HLOOKUP($K314,'Type Chart'!$C$2:$U$20,15,false)</f>
        <v>1</v>
      </c>
      <c r="AI314" s="960">
        <f t="array" ref="AI314">HLOOKUP($J314,'Type Chart'!$C$2:$T$20,16,false)*HLOOKUP($K314,'Type Chart'!$C$2:$U$20,16,false)</f>
        <v>1</v>
      </c>
      <c r="AJ314" s="960">
        <f t="array" ref="AJ314">HLOOKUP($J314,'Type Chart'!$C$2:$T$20,17,false)*HLOOKUP($K314,'Type Chart'!$C$2:$U$20,17,false)</f>
        <v>1</v>
      </c>
      <c r="AK314" s="960">
        <f t="array" ref="AK314">HLOOKUP($J314,'Type Chart'!$C$2:$T$20,18,false)*HLOOKUP($K314,'Type Chart'!$C$2:$U$20,18,false)</f>
        <v>1</v>
      </c>
      <c r="AL314" s="960">
        <f t="array" ref="AL314">HLOOKUP($J314,'Type Chart'!$C$2:$T$20,19,false)*HLOOKUP($K314,'Type Chart'!$C$2:$U$20,19,false)</f>
        <v>1</v>
      </c>
      <c r="AM314" s="1145" t="s">
        <v>1061</v>
      </c>
      <c r="AN314" s="965" t="s">
        <v>1188</v>
      </c>
      <c r="AO314" s="1146" t="s">
        <v>1772</v>
      </c>
      <c r="AP314" s="936"/>
      <c r="AQ314" s="967"/>
      <c r="AR314" s="968"/>
      <c r="AS314" s="936"/>
    </row>
    <row r="315" ht="15.75" customHeight="1">
      <c r="A315" s="1099"/>
      <c r="B315" s="948" t="s">
        <v>1929</v>
      </c>
      <c r="C315" s="1197" t="s">
        <v>1930</v>
      </c>
      <c r="D315" s="1197" t="s">
        <v>1930</v>
      </c>
      <c r="E315" s="1147" t="s">
        <v>1930</v>
      </c>
      <c r="F315" s="940"/>
      <c r="G315" s="953"/>
      <c r="H315" s="969"/>
      <c r="I315" s="998" t="s">
        <v>667</v>
      </c>
      <c r="J315" s="1216" t="s">
        <v>136</v>
      </c>
      <c r="K315" s="1199" t="s">
        <v>216</v>
      </c>
      <c r="L315" s="1200">
        <v>55.0</v>
      </c>
      <c r="M315" s="1201">
        <v>20.0</v>
      </c>
      <c r="N315" s="1201">
        <v>35.0</v>
      </c>
      <c r="O315" s="1201">
        <v>20.0</v>
      </c>
      <c r="P315" s="1201">
        <v>45.0</v>
      </c>
      <c r="Q315" s="1201">
        <v>75.0</v>
      </c>
      <c r="R315" s="960">
        <v>186.0</v>
      </c>
      <c r="S315" s="960">
        <v>249.0</v>
      </c>
      <c r="T315" s="960">
        <v>273.0</v>
      </c>
      <c r="U315" s="960">
        <f t="array" ref="U315">HLOOKUP($J315,'Type Chart'!$C$2:$T$20,2,false)*HLOOKUP($K315,'Type Chart'!$C$2:$U$20,2,false)</f>
        <v>1</v>
      </c>
      <c r="V315" s="960">
        <f t="array" ref="V315">HLOOKUP($J315,'Type Chart'!$C$2:$T$20,3,false)*HLOOKUP($K315,'Type Chart'!$C$2:$U$20,3,false)</f>
        <v>2</v>
      </c>
      <c r="W315" s="960">
        <f t="array" ref="W315">HLOOKUP($J315,'Type Chart'!$C$2:$T$20,4,false)*HLOOKUP($K315,'Type Chart'!$C$2:$U$20,4,false)</f>
        <v>1</v>
      </c>
      <c r="X315" s="960">
        <f t="array" ref="X315">HLOOKUP($J315,'Type Chart'!$C$2:$T$20,5,false)*HLOOKUP($K315,'Type Chart'!$C$2:$U$20,5,false)</f>
        <v>1</v>
      </c>
      <c r="Y315" s="960">
        <f t="array" ref="Y315">HLOOKUP($J315,'Type Chart'!$C$2:$T$20,6,false)*HLOOKUP($K315,'Type Chart'!$C$2:$U$20,6,false)</f>
        <v>1</v>
      </c>
      <c r="Z315" s="960">
        <f t="array" ref="Z315">HLOOKUP($J315,'Type Chart'!$C$2:$T$20,7,false)*HLOOKUP($K315,'Type Chart'!$C$2:$U$20,7,false)</f>
        <v>1</v>
      </c>
      <c r="AA315" s="960">
        <f t="array" ref="AA315">HLOOKUP($J315,'Type Chart'!$C$2:$T$20,8,false)*HLOOKUP($K315,'Type Chart'!$C$2:$U$20,8,false)</f>
        <v>1</v>
      </c>
      <c r="AB315" s="960">
        <f t="array" ref="AB315">HLOOKUP($J315,'Type Chart'!$C$2:$T$20,9,false)*HLOOKUP($K315,'Type Chart'!$C$2:$U$20,9,false)</f>
        <v>0</v>
      </c>
      <c r="AC315" s="960">
        <f t="array" ref="AC315">HLOOKUP($J315,'Type Chart'!$C$2:$T$20,10,false)*HLOOKUP($K315,'Type Chart'!$C$2:$U$20,10,false)</f>
        <v>1</v>
      </c>
      <c r="AD315" s="960">
        <f t="array" ref="AD315">HLOOKUP($J315,'Type Chart'!$C$2:$T$20,11,false)*HLOOKUP($K315,'Type Chart'!$C$2:$U$20,11,false)</f>
        <v>1</v>
      </c>
      <c r="AE315" s="960">
        <f t="array" ref="AE315">HLOOKUP($J315,'Type Chart'!$C$2:$T$20,12,false)*HLOOKUP($K315,'Type Chart'!$C$2:$U$20,12,false)</f>
        <v>1</v>
      </c>
      <c r="AF315" s="960">
        <f t="array" ref="AF315">HLOOKUP($J315,'Type Chart'!$C$2:$T$20,13,false)*HLOOKUP($K315,'Type Chart'!$C$2:$U$20,13,false)</f>
        <v>1</v>
      </c>
      <c r="AG315" s="960">
        <f t="array" ref="AG315">HLOOKUP($J315,'Type Chart'!$C$2:$T$20,14,false)*HLOOKUP($K315,'Type Chart'!$C$2:$U$20,14,false)</f>
        <v>1</v>
      </c>
      <c r="AH315" s="960">
        <f t="array" ref="AH315">HLOOKUP($J315,'Type Chart'!$C$2:$T$20,15,false)*HLOOKUP($K315,'Type Chart'!$C$2:$U$20,15,false)</f>
        <v>1</v>
      </c>
      <c r="AI315" s="960">
        <f t="array" ref="AI315">HLOOKUP($J315,'Type Chart'!$C$2:$T$20,16,false)*HLOOKUP($K315,'Type Chart'!$C$2:$U$20,16,false)</f>
        <v>1</v>
      </c>
      <c r="AJ315" s="960">
        <f t="array" ref="AJ315">HLOOKUP($J315,'Type Chart'!$C$2:$T$20,17,false)*HLOOKUP($K315,'Type Chart'!$C$2:$U$20,17,false)</f>
        <v>1</v>
      </c>
      <c r="AK315" s="960">
        <f t="array" ref="AK315">HLOOKUP($J315,'Type Chart'!$C$2:$T$20,18,false)*HLOOKUP($K315,'Type Chart'!$C$2:$U$20,18,false)</f>
        <v>1</v>
      </c>
      <c r="AL315" s="960">
        <f t="array" ref="AL315">HLOOKUP($J315,'Type Chart'!$C$2:$T$20,19,false)*HLOOKUP($K315,'Type Chart'!$C$2:$U$20,19,false)</f>
        <v>1</v>
      </c>
      <c r="AM315" s="1145" t="s">
        <v>1370</v>
      </c>
      <c r="AN315" s="965" t="s">
        <v>1239</v>
      </c>
      <c r="AO315" s="966" t="s">
        <v>1898</v>
      </c>
      <c r="AP315" s="936"/>
      <c r="AQ315" s="967"/>
      <c r="AR315" s="968"/>
      <c r="AS315" s="936"/>
    </row>
    <row r="316" ht="15.75" customHeight="1">
      <c r="A316" s="936"/>
      <c r="B316" s="948" t="s">
        <v>1931</v>
      </c>
      <c r="C316" s="950" t="s">
        <v>1932</v>
      </c>
      <c r="D316" s="950" t="s">
        <v>1932</v>
      </c>
      <c r="E316" s="952" t="s">
        <v>1932</v>
      </c>
      <c r="F316" s="940"/>
      <c r="G316" s="953"/>
      <c r="H316" s="969"/>
      <c r="I316" s="956" t="s">
        <v>1933</v>
      </c>
      <c r="J316" s="1213" t="s">
        <v>341</v>
      </c>
      <c r="K316" s="984" t="s">
        <v>216</v>
      </c>
      <c r="L316" s="959">
        <v>35.0</v>
      </c>
      <c r="M316" s="960">
        <v>35.0</v>
      </c>
      <c r="N316" s="960">
        <v>35.0</v>
      </c>
      <c r="O316" s="960">
        <v>35.0</v>
      </c>
      <c r="P316" s="960">
        <v>35.0</v>
      </c>
      <c r="Q316" s="960">
        <v>35.0</v>
      </c>
      <c r="R316" s="960">
        <v>106.0</v>
      </c>
      <c r="S316" s="960">
        <v>169.0</v>
      </c>
      <c r="T316" s="960">
        <v>185.0</v>
      </c>
      <c r="U316" s="960">
        <f t="array" ref="U316">HLOOKUP($J316,'Type Chart'!$C$2:$T$20,2,false)*HLOOKUP($K316,'Type Chart'!$C$2:$U$20,2,false)</f>
        <v>1</v>
      </c>
      <c r="V316" s="960">
        <f t="array" ref="V316">HLOOKUP($J316,'Type Chart'!$C$2:$T$20,3,false)*HLOOKUP($K316,'Type Chart'!$C$2:$U$20,3,false)</f>
        <v>1</v>
      </c>
      <c r="W316" s="960">
        <f t="array" ref="W316">HLOOKUP($J316,'Type Chart'!$C$2:$T$20,4,false)*HLOOKUP($K316,'Type Chart'!$C$2:$U$20,4,false)</f>
        <v>2</v>
      </c>
      <c r="X316" s="960">
        <f t="array" ref="X316">HLOOKUP($J316,'Type Chart'!$C$2:$T$20,5,false)*HLOOKUP($K316,'Type Chart'!$C$2:$U$20,5,false)</f>
        <v>1</v>
      </c>
      <c r="Y316" s="960">
        <f t="array" ref="Y316">HLOOKUP($J316,'Type Chart'!$C$2:$T$20,6,false)*HLOOKUP($K316,'Type Chart'!$C$2:$U$20,6,false)</f>
        <v>1</v>
      </c>
      <c r="Z316" s="960">
        <f t="array" ref="Z316">HLOOKUP($J316,'Type Chart'!$C$2:$T$20,7,false)*HLOOKUP($K316,'Type Chart'!$C$2:$U$20,7,false)</f>
        <v>0.5</v>
      </c>
      <c r="AA316" s="960">
        <f t="array" ref="AA316">HLOOKUP($J316,'Type Chart'!$C$2:$T$20,8,false)*HLOOKUP($K316,'Type Chart'!$C$2:$U$20,8,false)</f>
        <v>0.5</v>
      </c>
      <c r="AB316" s="960">
        <f t="array" ref="AB316">HLOOKUP($J316,'Type Chart'!$C$2:$T$20,9,false)*HLOOKUP($K316,'Type Chart'!$C$2:$U$20,9,false)</f>
        <v>1</v>
      </c>
      <c r="AC316" s="960">
        <f t="array" ref="AC316">HLOOKUP($J316,'Type Chart'!$C$2:$T$20,10,false)*HLOOKUP($K316,'Type Chart'!$C$2:$U$20,10,false)</f>
        <v>1</v>
      </c>
      <c r="AD316" s="960">
        <f t="array" ref="AD316">HLOOKUP($J316,'Type Chart'!$C$2:$T$20,11,false)*HLOOKUP($K316,'Type Chart'!$C$2:$U$20,11,false)</f>
        <v>1</v>
      </c>
      <c r="AE316" s="960">
        <f t="array" ref="AE316">HLOOKUP($J316,'Type Chart'!$C$2:$T$20,12,false)*HLOOKUP($K316,'Type Chart'!$C$2:$U$20,12,false)</f>
        <v>1</v>
      </c>
      <c r="AF316" s="960">
        <f t="array" ref="AF316">HLOOKUP($J316,'Type Chart'!$C$2:$T$20,13,false)*HLOOKUP($K316,'Type Chart'!$C$2:$U$20,13,false)</f>
        <v>1</v>
      </c>
      <c r="AG316" s="960">
        <f t="array" ref="AG316">HLOOKUP($J316,'Type Chart'!$C$2:$T$20,14,false)*HLOOKUP($K316,'Type Chart'!$C$2:$U$20,14,false)</f>
        <v>1</v>
      </c>
      <c r="AH316" s="960">
        <f t="array" ref="AH316">HLOOKUP($J316,'Type Chart'!$C$2:$T$20,15,false)*HLOOKUP($K316,'Type Chart'!$C$2:$U$20,15,false)</f>
        <v>2</v>
      </c>
      <c r="AI316" s="960">
        <f t="array" ref="AI316">HLOOKUP($J316,'Type Chart'!$C$2:$T$20,16,false)*HLOOKUP($K316,'Type Chart'!$C$2:$U$20,16,false)</f>
        <v>1</v>
      </c>
      <c r="AJ316" s="960">
        <f t="array" ref="AJ316">HLOOKUP($J316,'Type Chart'!$C$2:$T$20,17,false)*HLOOKUP($K316,'Type Chart'!$C$2:$U$20,17,false)</f>
        <v>1</v>
      </c>
      <c r="AK316" s="960">
        <f t="array" ref="AK316">HLOOKUP($J316,'Type Chart'!$C$2:$T$20,18,false)*HLOOKUP($K316,'Type Chart'!$C$2:$U$20,18,false)</f>
        <v>0.5</v>
      </c>
      <c r="AL316" s="960">
        <f t="array" ref="AL316">HLOOKUP($J316,'Type Chart'!$C$2:$T$20,19,false)*HLOOKUP($K316,'Type Chart'!$C$2:$U$20,19,false)</f>
        <v>2</v>
      </c>
      <c r="AM316" s="964" t="s">
        <v>1038</v>
      </c>
      <c r="AN316" s="965" t="s">
        <v>1306</v>
      </c>
      <c r="AO316" s="966" t="s">
        <v>1265</v>
      </c>
      <c r="AP316" s="936"/>
      <c r="AQ316" s="967"/>
      <c r="AR316" s="968"/>
      <c r="AS316" s="936"/>
    </row>
    <row r="317" ht="15.75" customHeight="1">
      <c r="A317" s="936"/>
      <c r="B317" s="948" t="s">
        <v>1934</v>
      </c>
      <c r="C317" s="950" t="s">
        <v>1935</v>
      </c>
      <c r="D317" s="950" t="s">
        <v>1935</v>
      </c>
      <c r="E317" s="952" t="s">
        <v>1935</v>
      </c>
      <c r="F317" s="940"/>
      <c r="G317" s="953"/>
      <c r="H317" s="969"/>
      <c r="I317" s="956" t="s">
        <v>700</v>
      </c>
      <c r="J317" s="1213" t="s">
        <v>341</v>
      </c>
      <c r="K317" s="984" t="s">
        <v>216</v>
      </c>
      <c r="L317" s="959">
        <v>50.0</v>
      </c>
      <c r="M317" s="960">
        <v>95.0</v>
      </c>
      <c r="N317" s="960">
        <v>95.0</v>
      </c>
      <c r="O317" s="960">
        <v>35.0</v>
      </c>
      <c r="P317" s="960">
        <v>110.0</v>
      </c>
      <c r="Q317" s="960">
        <v>70.0</v>
      </c>
      <c r="R317" s="960">
        <v>176.0</v>
      </c>
      <c r="S317" s="960">
        <v>239.0</v>
      </c>
      <c r="T317" s="960">
        <v>262.0</v>
      </c>
      <c r="U317" s="960">
        <f t="array" ref="U317">HLOOKUP($J317,'Type Chart'!$C$2:$T$20,2,false)*HLOOKUP($K317,'Type Chart'!$C$2:$U$20,2,false)</f>
        <v>1</v>
      </c>
      <c r="V317" s="960">
        <f t="array" ref="V317">HLOOKUP($J317,'Type Chart'!$C$2:$T$20,3,false)*HLOOKUP($K317,'Type Chart'!$C$2:$U$20,3,false)</f>
        <v>1</v>
      </c>
      <c r="W317" s="960">
        <f t="array" ref="W317">HLOOKUP($J317,'Type Chart'!$C$2:$T$20,4,false)*HLOOKUP($K317,'Type Chart'!$C$2:$U$20,4,false)</f>
        <v>2</v>
      </c>
      <c r="X317" s="960">
        <f t="array" ref="X317">HLOOKUP($J317,'Type Chart'!$C$2:$T$20,5,false)*HLOOKUP($K317,'Type Chart'!$C$2:$U$20,5,false)</f>
        <v>1</v>
      </c>
      <c r="Y317" s="960">
        <f t="array" ref="Y317">HLOOKUP($J317,'Type Chart'!$C$2:$T$20,6,false)*HLOOKUP($K317,'Type Chart'!$C$2:$U$20,6,false)</f>
        <v>1</v>
      </c>
      <c r="Z317" s="960">
        <f t="array" ref="Z317">HLOOKUP($J317,'Type Chart'!$C$2:$T$20,7,false)*HLOOKUP($K317,'Type Chart'!$C$2:$U$20,7,false)</f>
        <v>0.5</v>
      </c>
      <c r="AA317" s="960">
        <f t="array" ref="AA317">HLOOKUP($J317,'Type Chart'!$C$2:$T$20,8,false)*HLOOKUP($K317,'Type Chart'!$C$2:$U$20,8,false)</f>
        <v>0.5</v>
      </c>
      <c r="AB317" s="960">
        <f t="array" ref="AB317">HLOOKUP($J317,'Type Chart'!$C$2:$T$20,9,false)*HLOOKUP($K317,'Type Chart'!$C$2:$U$20,9,false)</f>
        <v>1</v>
      </c>
      <c r="AC317" s="960">
        <f t="array" ref="AC317">HLOOKUP($J317,'Type Chart'!$C$2:$T$20,10,false)*HLOOKUP($K317,'Type Chart'!$C$2:$U$20,10,false)</f>
        <v>1</v>
      </c>
      <c r="AD317" s="960">
        <f t="array" ref="AD317">HLOOKUP($J317,'Type Chart'!$C$2:$T$20,11,false)*HLOOKUP($K317,'Type Chart'!$C$2:$U$20,11,false)</f>
        <v>1</v>
      </c>
      <c r="AE317" s="960">
        <f t="array" ref="AE317">HLOOKUP($J317,'Type Chart'!$C$2:$T$20,12,false)*HLOOKUP($K317,'Type Chart'!$C$2:$U$20,12,false)</f>
        <v>1</v>
      </c>
      <c r="AF317" s="960">
        <f t="array" ref="AF317">HLOOKUP($J317,'Type Chart'!$C$2:$T$20,13,false)*HLOOKUP($K317,'Type Chart'!$C$2:$U$20,13,false)</f>
        <v>1</v>
      </c>
      <c r="AG317" s="960">
        <f t="array" ref="AG317">HLOOKUP($J317,'Type Chart'!$C$2:$T$20,14,false)*HLOOKUP($K317,'Type Chart'!$C$2:$U$20,14,false)</f>
        <v>1</v>
      </c>
      <c r="AH317" s="960">
        <f t="array" ref="AH317">HLOOKUP($J317,'Type Chart'!$C$2:$T$20,15,false)*HLOOKUP($K317,'Type Chart'!$C$2:$U$20,15,false)</f>
        <v>2</v>
      </c>
      <c r="AI317" s="960">
        <f t="array" ref="AI317">HLOOKUP($J317,'Type Chart'!$C$2:$T$20,16,false)*HLOOKUP($K317,'Type Chart'!$C$2:$U$20,16,false)</f>
        <v>1</v>
      </c>
      <c r="AJ317" s="960">
        <f t="array" ref="AJ317">HLOOKUP($J317,'Type Chart'!$C$2:$T$20,17,false)*HLOOKUP($K317,'Type Chart'!$C$2:$U$20,17,false)</f>
        <v>1</v>
      </c>
      <c r="AK317" s="960">
        <f t="array" ref="AK317">HLOOKUP($J317,'Type Chart'!$C$2:$T$20,18,false)*HLOOKUP($K317,'Type Chart'!$C$2:$U$20,18,false)</f>
        <v>0.5</v>
      </c>
      <c r="AL317" s="960">
        <f t="array" ref="AL317">HLOOKUP($J317,'Type Chart'!$C$2:$T$20,19,false)*HLOOKUP($K317,'Type Chart'!$C$2:$U$20,19,false)</f>
        <v>2</v>
      </c>
      <c r="AM317" s="964" t="s">
        <v>1061</v>
      </c>
      <c r="AN317" s="965" t="s">
        <v>1239</v>
      </c>
      <c r="AO317" s="966" t="s">
        <v>1306</v>
      </c>
      <c r="AP317" s="936"/>
      <c r="AQ317" s="967"/>
      <c r="AR317" s="968"/>
      <c r="AS317" s="936"/>
    </row>
    <row r="318" ht="15.75" customHeight="1">
      <c r="A318" s="1099"/>
      <c r="B318" s="948" t="s">
        <v>1936</v>
      </c>
      <c r="C318" s="1197" t="s">
        <v>1937</v>
      </c>
      <c r="D318" s="1197" t="s">
        <v>1937</v>
      </c>
      <c r="E318" s="1147" t="s">
        <v>1937</v>
      </c>
      <c r="F318" s="940"/>
      <c r="G318" s="953"/>
      <c r="H318" s="969"/>
      <c r="I318" s="998" t="s">
        <v>1938</v>
      </c>
      <c r="J318" s="1224" t="s">
        <v>345</v>
      </c>
      <c r="K318" s="1215" t="s">
        <v>344</v>
      </c>
      <c r="L318" s="1200">
        <v>45.0</v>
      </c>
      <c r="M318" s="1201">
        <v>30.0</v>
      </c>
      <c r="N318" s="1201">
        <v>15.0</v>
      </c>
      <c r="O318" s="1201">
        <v>85.0</v>
      </c>
      <c r="P318" s="1201">
        <v>65.0</v>
      </c>
      <c r="Q318" s="1201">
        <v>65.0</v>
      </c>
      <c r="R318" s="960">
        <v>166.0</v>
      </c>
      <c r="S318" s="960">
        <v>229.0</v>
      </c>
      <c r="T318" s="960">
        <v>251.0</v>
      </c>
      <c r="U318" s="960">
        <f t="array" ref="U318">HLOOKUP($J318,'Type Chart'!$C$2:$T$20,2,false)*HLOOKUP($K318,'Type Chart'!$C$2:$U$20,2,false)</f>
        <v>1</v>
      </c>
      <c r="V318" s="960">
        <f t="array" ref="V318">HLOOKUP($J318,'Type Chart'!$C$2:$T$20,3,false)*HLOOKUP($K318,'Type Chart'!$C$2:$U$20,3,false)</f>
        <v>1</v>
      </c>
      <c r="W318" s="960">
        <f t="array" ref="W318">HLOOKUP($J318,'Type Chart'!$C$2:$T$20,4,false)*HLOOKUP($K318,'Type Chart'!$C$2:$U$20,4,false)</f>
        <v>1</v>
      </c>
      <c r="X318" s="960">
        <f t="array" ref="X318">HLOOKUP($J318,'Type Chart'!$C$2:$T$20,5,false)*HLOOKUP($K318,'Type Chart'!$C$2:$U$20,5,false)</f>
        <v>1</v>
      </c>
      <c r="Y318" s="960">
        <f t="array" ref="Y318">HLOOKUP($J318,'Type Chart'!$C$2:$T$20,6,false)*HLOOKUP($K318,'Type Chart'!$C$2:$U$20,6,false)</f>
        <v>1</v>
      </c>
      <c r="Z318" s="960">
        <f t="array" ref="Z318">HLOOKUP($J318,'Type Chart'!$C$2:$T$20,7,false)*HLOOKUP($K318,'Type Chart'!$C$2:$U$20,7,false)</f>
        <v>2</v>
      </c>
      <c r="AA318" s="960">
        <f t="array" ref="AA318">HLOOKUP($J318,'Type Chart'!$C$2:$T$20,8,false)*HLOOKUP($K318,'Type Chart'!$C$2:$U$20,8,false)</f>
        <v>2</v>
      </c>
      <c r="AB318" s="960">
        <f t="array" ref="AB318">HLOOKUP($J318,'Type Chart'!$C$2:$T$20,9,false)*HLOOKUP($K318,'Type Chart'!$C$2:$U$20,9,false)</f>
        <v>2</v>
      </c>
      <c r="AC318" s="960">
        <f t="array" ref="AC318">HLOOKUP($J318,'Type Chart'!$C$2:$T$20,10,false)*HLOOKUP($K318,'Type Chart'!$C$2:$U$20,10,false)</f>
        <v>2</v>
      </c>
      <c r="AD318" s="960">
        <f t="array" ref="AD318">HLOOKUP($J318,'Type Chart'!$C$2:$T$20,11,false)*HLOOKUP($K318,'Type Chart'!$C$2:$U$20,11,false)</f>
        <v>2</v>
      </c>
      <c r="AE318" s="960">
        <f t="array" ref="AE318">HLOOKUP($J318,'Type Chart'!$C$2:$T$20,12,false)*HLOOKUP($K318,'Type Chart'!$C$2:$U$20,12,false)</f>
        <v>1</v>
      </c>
      <c r="AF318" s="960">
        <f t="array" ref="AF318">HLOOKUP($J318,'Type Chart'!$C$2:$T$20,13,false)*HLOOKUP($K318,'Type Chart'!$C$2:$U$20,13,false)</f>
        <v>1</v>
      </c>
      <c r="AG318" s="960">
        <f t="array" ref="AG318">HLOOKUP($J318,'Type Chart'!$C$2:$T$20,14,false)*HLOOKUP($K318,'Type Chart'!$C$2:$U$20,14,false)</f>
        <v>1</v>
      </c>
      <c r="AH318" s="960">
        <f t="array" ref="AH318">HLOOKUP($J318,'Type Chart'!$C$2:$T$20,15,false)*HLOOKUP($K318,'Type Chart'!$C$2:$U$20,15,false)</f>
        <v>0.5</v>
      </c>
      <c r="AI318" s="960">
        <f t="array" ref="AI318">HLOOKUP($J318,'Type Chart'!$C$2:$T$20,16,false)*HLOOKUP($K318,'Type Chart'!$C$2:$U$20,16,false)</f>
        <v>0.5</v>
      </c>
      <c r="AJ318" s="960">
        <f t="array" ref="AJ318">HLOOKUP($J318,'Type Chart'!$C$2:$T$20,17,false)*HLOOKUP($K318,'Type Chart'!$C$2:$U$20,17,false)</f>
        <v>1</v>
      </c>
      <c r="AK318" s="960">
        <f t="array" ref="AK318">HLOOKUP($J318,'Type Chart'!$C$2:$T$20,18,false)*HLOOKUP($K318,'Type Chart'!$C$2:$U$20,18,false)</f>
        <v>2</v>
      </c>
      <c r="AL318" s="960">
        <f t="array" ref="AL318">HLOOKUP($J318,'Type Chart'!$C$2:$T$20,19,false)*HLOOKUP($K318,'Type Chart'!$C$2:$U$20,19,false)</f>
        <v>1</v>
      </c>
      <c r="AM318" s="1145" t="s">
        <v>1369</v>
      </c>
      <c r="AN318" s="1202" t="s">
        <v>1455</v>
      </c>
      <c r="AO318" s="1146" t="s">
        <v>1409</v>
      </c>
      <c r="AP318" s="936"/>
      <c r="AQ318" s="967"/>
      <c r="AR318" s="968"/>
      <c r="AS318" s="936"/>
    </row>
    <row r="319" ht="15.75" customHeight="1">
      <c r="A319" s="936"/>
      <c r="B319" s="948" t="s">
        <v>1939</v>
      </c>
      <c r="C319" s="950" t="s">
        <v>1940</v>
      </c>
      <c r="D319" s="950" t="s">
        <v>1940</v>
      </c>
      <c r="E319" s="952" t="s">
        <v>1940</v>
      </c>
      <c r="F319" s="940"/>
      <c r="G319" s="953"/>
      <c r="H319" s="969"/>
      <c r="I319" s="956" t="s">
        <v>1941</v>
      </c>
      <c r="J319" s="1196" t="s">
        <v>203</v>
      </c>
      <c r="K319" s="984" t="s">
        <v>216</v>
      </c>
      <c r="L319" s="959">
        <v>45.0</v>
      </c>
      <c r="M319" s="960">
        <v>63.0</v>
      </c>
      <c r="N319" s="960">
        <v>37.0</v>
      </c>
      <c r="O319" s="960">
        <v>65.0</v>
      </c>
      <c r="P319" s="960">
        <v>55.0</v>
      </c>
      <c r="Q319" s="960">
        <v>95.0</v>
      </c>
      <c r="R319" s="960">
        <v>226.0</v>
      </c>
      <c r="S319" s="960">
        <v>289.0</v>
      </c>
      <c r="T319" s="960">
        <v>317.0</v>
      </c>
      <c r="U319" s="960">
        <f t="array" ref="U319">HLOOKUP($J319,'Type Chart'!$C$2:$T$20,2,false)*HLOOKUP($K319,'Type Chart'!$C$2:$U$20,2,false)</f>
        <v>1</v>
      </c>
      <c r="V319" s="960">
        <f t="array" ref="V319">HLOOKUP($J319,'Type Chart'!$C$2:$T$20,3,false)*HLOOKUP($K319,'Type Chart'!$C$2:$U$20,3,false)</f>
        <v>1</v>
      </c>
      <c r="W319" s="960">
        <f t="array" ref="W319">HLOOKUP($J319,'Type Chart'!$C$2:$T$20,4,false)*HLOOKUP($K319,'Type Chart'!$C$2:$U$20,4,false)</f>
        <v>0.5</v>
      </c>
      <c r="X319" s="960">
        <f t="array" ref="X319">HLOOKUP($J319,'Type Chart'!$C$2:$T$20,5,false)*HLOOKUP($K319,'Type Chart'!$C$2:$U$20,5,false)</f>
        <v>1</v>
      </c>
      <c r="Y319" s="960">
        <f t="array" ref="Y319">HLOOKUP($J319,'Type Chart'!$C$2:$T$20,6,false)*HLOOKUP($K319,'Type Chart'!$C$2:$U$20,6,false)</f>
        <v>2</v>
      </c>
      <c r="Z319" s="960">
        <f t="array" ref="Z319">HLOOKUP($J319,'Type Chart'!$C$2:$T$20,7,false)*HLOOKUP($K319,'Type Chart'!$C$2:$U$20,7,false)</f>
        <v>1</v>
      </c>
      <c r="AA319" s="960">
        <f t="array" ref="AA319">HLOOKUP($J319,'Type Chart'!$C$2:$T$20,8,false)*HLOOKUP($K319,'Type Chart'!$C$2:$U$20,8,false)</f>
        <v>1</v>
      </c>
      <c r="AB319" s="960">
        <f t="array" ref="AB319">HLOOKUP($J319,'Type Chart'!$C$2:$T$20,9,false)*HLOOKUP($K319,'Type Chart'!$C$2:$U$20,9,false)</f>
        <v>1</v>
      </c>
      <c r="AC319" s="960">
        <f t="array" ref="AC319">HLOOKUP($J319,'Type Chart'!$C$2:$T$20,10,false)*HLOOKUP($K319,'Type Chart'!$C$2:$U$20,10,false)</f>
        <v>0.5</v>
      </c>
      <c r="AD319" s="960">
        <f t="array" ref="AD319">HLOOKUP($J319,'Type Chart'!$C$2:$T$20,11,false)*HLOOKUP($K319,'Type Chart'!$C$2:$U$20,11,false)</f>
        <v>1</v>
      </c>
      <c r="AE319" s="960">
        <f t="array" ref="AE319">HLOOKUP($J319,'Type Chart'!$C$2:$T$20,12,false)*HLOOKUP($K319,'Type Chart'!$C$2:$U$20,12,false)</f>
        <v>1</v>
      </c>
      <c r="AF319" s="960">
        <f t="array" ref="AF319">HLOOKUP($J319,'Type Chart'!$C$2:$T$20,13,false)*HLOOKUP($K319,'Type Chart'!$C$2:$U$20,13,false)</f>
        <v>1</v>
      </c>
      <c r="AG319" s="960">
        <f t="array" ref="AG319">HLOOKUP($J319,'Type Chart'!$C$2:$T$20,14,false)*HLOOKUP($K319,'Type Chart'!$C$2:$U$20,14,false)</f>
        <v>0.5</v>
      </c>
      <c r="AH319" s="960">
        <f t="array" ref="AH319">HLOOKUP($J319,'Type Chart'!$C$2:$T$20,15,false)*HLOOKUP($K319,'Type Chart'!$C$2:$U$20,15,false)</f>
        <v>1</v>
      </c>
      <c r="AI319" s="960">
        <f t="array" ref="AI319">HLOOKUP($J319,'Type Chart'!$C$2:$T$20,16,false)*HLOOKUP($K319,'Type Chart'!$C$2:$U$20,16,false)</f>
        <v>1</v>
      </c>
      <c r="AJ319" s="960">
        <f t="array" ref="AJ319">HLOOKUP($J319,'Type Chart'!$C$2:$T$20,17,false)*HLOOKUP($K319,'Type Chart'!$C$2:$U$20,17,false)</f>
        <v>1</v>
      </c>
      <c r="AK319" s="960">
        <f t="array" ref="AK319">HLOOKUP($J319,'Type Chart'!$C$2:$T$20,18,false)*HLOOKUP($K319,'Type Chart'!$C$2:$U$20,18,false)</f>
        <v>1</v>
      </c>
      <c r="AL319" s="960">
        <f t="array" ref="AL319">HLOOKUP($J319,'Type Chart'!$C$2:$T$20,19,false)*HLOOKUP($K319,'Type Chart'!$C$2:$U$20,19,false)</f>
        <v>1</v>
      </c>
      <c r="AM319" s="964" t="s">
        <v>1067</v>
      </c>
      <c r="AN319" s="965"/>
      <c r="AO319" s="966" t="s">
        <v>1265</v>
      </c>
      <c r="AP319" s="936"/>
      <c r="AQ319" s="967"/>
      <c r="AR319" s="968"/>
      <c r="AS319" s="936"/>
    </row>
    <row r="320" ht="15.75" customHeight="1">
      <c r="A320" s="936"/>
      <c r="B320" s="948" t="s">
        <v>1942</v>
      </c>
      <c r="C320" s="950" t="s">
        <v>1943</v>
      </c>
      <c r="D320" s="950" t="s">
        <v>1943</v>
      </c>
      <c r="E320" s="952" t="s">
        <v>1943</v>
      </c>
      <c r="F320" s="940"/>
      <c r="G320" s="953"/>
      <c r="H320" s="969"/>
      <c r="I320" s="956" t="s">
        <v>1944</v>
      </c>
      <c r="J320" s="982" t="s">
        <v>150</v>
      </c>
      <c r="K320" s="984" t="s">
        <v>216</v>
      </c>
      <c r="L320" s="959">
        <v>45.0</v>
      </c>
      <c r="M320" s="960">
        <v>75.0</v>
      </c>
      <c r="N320" s="960">
        <v>37.0</v>
      </c>
      <c r="O320" s="960">
        <v>70.0</v>
      </c>
      <c r="P320" s="960">
        <v>55.0</v>
      </c>
      <c r="Q320" s="960">
        <v>83.0</v>
      </c>
      <c r="R320" s="960">
        <v>202.0</v>
      </c>
      <c r="S320" s="960">
        <v>265.0</v>
      </c>
      <c r="T320" s="960">
        <v>291.0</v>
      </c>
      <c r="U320" s="960">
        <f t="array" ref="U320">HLOOKUP($J320,'Type Chart'!$C$2:$T$20,2,false)*HLOOKUP($K320,'Type Chart'!$C$2:$U$20,2,false)</f>
        <v>1</v>
      </c>
      <c r="V320" s="960">
        <f t="array" ref="V320">HLOOKUP($J320,'Type Chart'!$C$2:$T$20,3,false)*HLOOKUP($K320,'Type Chart'!$C$2:$U$20,3,false)</f>
        <v>1</v>
      </c>
      <c r="W320" s="960">
        <f t="array" ref="W320">HLOOKUP($J320,'Type Chart'!$C$2:$T$20,4,false)*HLOOKUP($K320,'Type Chart'!$C$2:$U$20,4,false)</f>
        <v>1</v>
      </c>
      <c r="X320" s="960">
        <f t="array" ref="X320">HLOOKUP($J320,'Type Chart'!$C$2:$T$20,5,false)*HLOOKUP($K320,'Type Chart'!$C$2:$U$20,5,false)</f>
        <v>1</v>
      </c>
      <c r="Y320" s="960">
        <f t="array" ref="Y320">HLOOKUP($J320,'Type Chart'!$C$2:$T$20,6,false)*HLOOKUP($K320,'Type Chart'!$C$2:$U$20,6,false)</f>
        <v>2</v>
      </c>
      <c r="Z320" s="960">
        <f t="array" ref="Z320">HLOOKUP($J320,'Type Chart'!$C$2:$T$20,7,false)*HLOOKUP($K320,'Type Chart'!$C$2:$U$20,7,false)</f>
        <v>2</v>
      </c>
      <c r="AA320" s="960">
        <f t="array" ref="AA320">HLOOKUP($J320,'Type Chart'!$C$2:$T$20,8,false)*HLOOKUP($K320,'Type Chart'!$C$2:$U$20,8,false)</f>
        <v>0.5</v>
      </c>
      <c r="AB320" s="960">
        <f t="array" ref="AB320">HLOOKUP($J320,'Type Chart'!$C$2:$T$20,9,false)*HLOOKUP($K320,'Type Chart'!$C$2:$U$20,9,false)</f>
        <v>1</v>
      </c>
      <c r="AC320" s="960">
        <f t="array" ref="AC320">HLOOKUP($J320,'Type Chart'!$C$2:$T$20,10,false)*HLOOKUP($K320,'Type Chart'!$C$2:$U$20,10,false)</f>
        <v>0.5</v>
      </c>
      <c r="AD320" s="960">
        <f t="array" ref="AD320">HLOOKUP($J320,'Type Chart'!$C$2:$T$20,11,false)*HLOOKUP($K320,'Type Chart'!$C$2:$U$20,11,false)</f>
        <v>0.5</v>
      </c>
      <c r="AE320" s="960">
        <f t="array" ref="AE320">HLOOKUP($J320,'Type Chart'!$C$2:$T$20,12,false)*HLOOKUP($K320,'Type Chart'!$C$2:$U$20,12,false)</f>
        <v>2</v>
      </c>
      <c r="AF320" s="960">
        <f t="array" ref="AF320">HLOOKUP($J320,'Type Chart'!$C$2:$T$20,13,false)*HLOOKUP($K320,'Type Chart'!$C$2:$U$20,13,false)</f>
        <v>0.5</v>
      </c>
      <c r="AG320" s="960">
        <f t="array" ref="AG320">HLOOKUP($J320,'Type Chart'!$C$2:$T$20,14,false)*HLOOKUP($K320,'Type Chart'!$C$2:$U$20,14,false)</f>
        <v>1</v>
      </c>
      <c r="AH320" s="960">
        <f t="array" ref="AH320">HLOOKUP($J320,'Type Chart'!$C$2:$T$20,15,false)*HLOOKUP($K320,'Type Chart'!$C$2:$U$20,15,false)</f>
        <v>1</v>
      </c>
      <c r="AI320" s="960">
        <f t="array" ref="AI320">HLOOKUP($J320,'Type Chart'!$C$2:$T$20,16,false)*HLOOKUP($K320,'Type Chart'!$C$2:$U$20,16,false)</f>
        <v>0.5</v>
      </c>
      <c r="AJ320" s="960">
        <f t="array" ref="AJ320">HLOOKUP($J320,'Type Chart'!$C$2:$T$20,17,false)*HLOOKUP($K320,'Type Chart'!$C$2:$U$20,17,false)</f>
        <v>1</v>
      </c>
      <c r="AK320" s="960">
        <f t="array" ref="AK320">HLOOKUP($J320,'Type Chart'!$C$2:$T$20,18,false)*HLOOKUP($K320,'Type Chart'!$C$2:$U$20,18,false)</f>
        <v>1</v>
      </c>
      <c r="AL320" s="960">
        <f t="array" ref="AL320">HLOOKUP($J320,'Type Chart'!$C$2:$T$20,19,false)*HLOOKUP($K320,'Type Chart'!$C$2:$U$20,19,false)</f>
        <v>0.5</v>
      </c>
      <c r="AM320" s="964" t="s">
        <v>1353</v>
      </c>
      <c r="AN320" s="965"/>
      <c r="AO320" s="966" t="s">
        <v>1265</v>
      </c>
      <c r="AP320" s="936"/>
      <c r="AQ320" s="967"/>
      <c r="AR320" s="968"/>
      <c r="AS320" s="936"/>
    </row>
    <row r="321" ht="15.75" customHeight="1">
      <c r="A321" s="1099"/>
      <c r="B321" s="948" t="s">
        <v>1945</v>
      </c>
      <c r="C321" s="950" t="s">
        <v>1946</v>
      </c>
      <c r="D321" s="950" t="s">
        <v>1946</v>
      </c>
      <c r="E321" s="952" t="s">
        <v>1946</v>
      </c>
      <c r="F321" s="940"/>
      <c r="G321" s="953"/>
      <c r="H321" s="969"/>
      <c r="I321" s="998" t="s">
        <v>1947</v>
      </c>
      <c r="J321" s="1194" t="s">
        <v>136</v>
      </c>
      <c r="K321" s="984" t="s">
        <v>216</v>
      </c>
      <c r="L321" s="959">
        <v>95.0</v>
      </c>
      <c r="M321" s="960">
        <v>80.0</v>
      </c>
      <c r="N321" s="960">
        <v>105.0</v>
      </c>
      <c r="O321" s="960">
        <v>40.0</v>
      </c>
      <c r="P321" s="960">
        <v>70.0</v>
      </c>
      <c r="Q321" s="960">
        <v>100.0</v>
      </c>
      <c r="R321" s="960">
        <v>236.0</v>
      </c>
      <c r="S321" s="960">
        <v>299.0</v>
      </c>
      <c r="T321" s="960">
        <v>328.0</v>
      </c>
      <c r="U321" s="960">
        <f t="array" ref="U321">HLOOKUP($J321,'Type Chart'!$C$2:$T$20,2,false)*HLOOKUP($K321,'Type Chart'!$C$2:$U$20,2,false)</f>
        <v>1</v>
      </c>
      <c r="V321" s="960">
        <f t="array" ref="V321">HLOOKUP($J321,'Type Chart'!$C$2:$T$20,3,false)*HLOOKUP($K321,'Type Chart'!$C$2:$U$20,3,false)</f>
        <v>2</v>
      </c>
      <c r="W321" s="960">
        <f t="array" ref="W321">HLOOKUP($J321,'Type Chart'!$C$2:$T$20,4,false)*HLOOKUP($K321,'Type Chart'!$C$2:$U$20,4,false)</f>
        <v>1</v>
      </c>
      <c r="X321" s="960">
        <f t="array" ref="X321">HLOOKUP($J321,'Type Chart'!$C$2:$T$20,5,false)*HLOOKUP($K321,'Type Chart'!$C$2:$U$20,5,false)</f>
        <v>1</v>
      </c>
      <c r="Y321" s="960">
        <f t="array" ref="Y321">HLOOKUP($J321,'Type Chart'!$C$2:$T$20,6,false)*HLOOKUP($K321,'Type Chart'!$C$2:$U$20,6,false)</f>
        <v>1</v>
      </c>
      <c r="Z321" s="960">
        <f t="array" ref="Z321">HLOOKUP($J321,'Type Chart'!$C$2:$T$20,7,false)*HLOOKUP($K321,'Type Chart'!$C$2:$U$20,7,false)</f>
        <v>1</v>
      </c>
      <c r="AA321" s="960">
        <f t="array" ref="AA321">HLOOKUP($J321,'Type Chart'!$C$2:$T$20,8,false)*HLOOKUP($K321,'Type Chart'!$C$2:$U$20,8,false)</f>
        <v>1</v>
      </c>
      <c r="AB321" s="960">
        <f t="array" ref="AB321">HLOOKUP($J321,'Type Chart'!$C$2:$T$20,9,false)*HLOOKUP($K321,'Type Chart'!$C$2:$U$20,9,false)</f>
        <v>0</v>
      </c>
      <c r="AC321" s="960">
        <f t="array" ref="AC321">HLOOKUP($J321,'Type Chart'!$C$2:$T$20,10,false)*HLOOKUP($K321,'Type Chart'!$C$2:$U$20,10,false)</f>
        <v>1</v>
      </c>
      <c r="AD321" s="960">
        <f t="array" ref="AD321">HLOOKUP($J321,'Type Chart'!$C$2:$T$20,11,false)*HLOOKUP($K321,'Type Chart'!$C$2:$U$20,11,false)</f>
        <v>1</v>
      </c>
      <c r="AE321" s="960">
        <f t="array" ref="AE321">HLOOKUP($J321,'Type Chart'!$C$2:$T$20,12,false)*HLOOKUP($K321,'Type Chart'!$C$2:$U$20,12,false)</f>
        <v>1</v>
      </c>
      <c r="AF321" s="960">
        <f t="array" ref="AF321">HLOOKUP($J321,'Type Chart'!$C$2:$T$20,13,false)*HLOOKUP($K321,'Type Chart'!$C$2:$U$20,13,false)</f>
        <v>1</v>
      </c>
      <c r="AG321" s="960">
        <f t="array" ref="AG321">HLOOKUP($J321,'Type Chart'!$C$2:$T$20,14,false)*HLOOKUP($K321,'Type Chart'!$C$2:$U$20,14,false)</f>
        <v>1</v>
      </c>
      <c r="AH321" s="960">
        <f t="array" ref="AH321">HLOOKUP($J321,'Type Chart'!$C$2:$T$20,15,false)*HLOOKUP($K321,'Type Chart'!$C$2:$U$20,15,false)</f>
        <v>1</v>
      </c>
      <c r="AI321" s="960">
        <f t="array" ref="AI321">HLOOKUP($J321,'Type Chart'!$C$2:$T$20,16,false)*HLOOKUP($K321,'Type Chart'!$C$2:$U$20,16,false)</f>
        <v>1</v>
      </c>
      <c r="AJ321" s="960">
        <f t="array" ref="AJ321">HLOOKUP($J321,'Type Chart'!$C$2:$T$20,17,false)*HLOOKUP($K321,'Type Chart'!$C$2:$U$20,17,false)</f>
        <v>1</v>
      </c>
      <c r="AK321" s="960">
        <f t="array" ref="AK321">HLOOKUP($J321,'Type Chart'!$C$2:$T$20,18,false)*HLOOKUP($K321,'Type Chart'!$C$2:$U$20,18,false)</f>
        <v>1</v>
      </c>
      <c r="AL321" s="960">
        <f t="array" ref="AL321">HLOOKUP($J321,'Type Chart'!$C$2:$T$20,19,false)*HLOOKUP($K321,'Type Chart'!$C$2:$U$20,19,false)</f>
        <v>1</v>
      </c>
      <c r="AM321" s="1145" t="s">
        <v>760</v>
      </c>
      <c r="AN321" s="965" t="s">
        <v>1399</v>
      </c>
      <c r="AO321" s="966" t="s">
        <v>1772</v>
      </c>
      <c r="AP321" s="936"/>
      <c r="AQ321" s="967"/>
      <c r="AR321" s="968"/>
      <c r="AS321" s="936"/>
    </row>
    <row r="322" ht="15.75" customHeight="1">
      <c r="A322" s="1099"/>
      <c r="B322" s="948" t="s">
        <v>1948</v>
      </c>
      <c r="C322" s="950" t="s">
        <v>1949</v>
      </c>
      <c r="D322" s="950" t="s">
        <v>1949</v>
      </c>
      <c r="E322" s="952" t="s">
        <v>1949</v>
      </c>
      <c r="F322" s="940"/>
      <c r="G322" s="953"/>
      <c r="H322" s="969"/>
      <c r="I322" s="956" t="s">
        <v>582</v>
      </c>
      <c r="J322" s="1194" t="s">
        <v>136</v>
      </c>
      <c r="K322" s="984" t="s">
        <v>216</v>
      </c>
      <c r="L322" s="959">
        <v>255.0</v>
      </c>
      <c r="M322" s="960">
        <v>10.0</v>
      </c>
      <c r="N322" s="960">
        <v>10.0</v>
      </c>
      <c r="O322" s="960">
        <v>75.0</v>
      </c>
      <c r="P322" s="960">
        <v>135.0</v>
      </c>
      <c r="Q322" s="960">
        <v>55.0</v>
      </c>
      <c r="R322" s="960">
        <v>146.0</v>
      </c>
      <c r="S322" s="960">
        <v>209.0</v>
      </c>
      <c r="T322" s="960">
        <v>229.0</v>
      </c>
      <c r="U322" s="960">
        <f t="array" ref="U322">HLOOKUP($J322,'Type Chart'!$C$2:$T$20,2,false)*HLOOKUP($K322,'Type Chart'!$C$2:$U$20,2,false)</f>
        <v>1</v>
      </c>
      <c r="V322" s="960">
        <f t="array" ref="V322">HLOOKUP($J322,'Type Chart'!$C$2:$T$20,3,false)*HLOOKUP($K322,'Type Chart'!$C$2:$U$20,3,false)</f>
        <v>2</v>
      </c>
      <c r="W322" s="960">
        <f t="array" ref="W322">HLOOKUP($J322,'Type Chart'!$C$2:$T$20,4,false)*HLOOKUP($K322,'Type Chart'!$C$2:$U$20,4,false)</f>
        <v>1</v>
      </c>
      <c r="X322" s="960">
        <f t="array" ref="X322">HLOOKUP($J322,'Type Chart'!$C$2:$T$20,5,false)*HLOOKUP($K322,'Type Chart'!$C$2:$U$20,5,false)</f>
        <v>1</v>
      </c>
      <c r="Y322" s="960">
        <f t="array" ref="Y322">HLOOKUP($J322,'Type Chart'!$C$2:$T$20,6,false)*HLOOKUP($K322,'Type Chart'!$C$2:$U$20,6,false)</f>
        <v>1</v>
      </c>
      <c r="Z322" s="960">
        <f t="array" ref="Z322">HLOOKUP($J322,'Type Chart'!$C$2:$T$20,7,false)*HLOOKUP($K322,'Type Chart'!$C$2:$U$20,7,false)</f>
        <v>1</v>
      </c>
      <c r="AA322" s="960">
        <f t="array" ref="AA322">HLOOKUP($J322,'Type Chart'!$C$2:$T$20,8,false)*HLOOKUP($K322,'Type Chart'!$C$2:$U$20,8,false)</f>
        <v>1</v>
      </c>
      <c r="AB322" s="960">
        <f t="array" ref="AB322">HLOOKUP($J322,'Type Chart'!$C$2:$T$20,9,false)*HLOOKUP($K322,'Type Chart'!$C$2:$U$20,9,false)</f>
        <v>0</v>
      </c>
      <c r="AC322" s="960">
        <f t="array" ref="AC322">HLOOKUP($J322,'Type Chart'!$C$2:$T$20,10,false)*HLOOKUP($K322,'Type Chart'!$C$2:$U$20,10,false)</f>
        <v>1</v>
      </c>
      <c r="AD322" s="960">
        <f t="array" ref="AD322">HLOOKUP($J322,'Type Chart'!$C$2:$T$20,11,false)*HLOOKUP($K322,'Type Chart'!$C$2:$U$20,11,false)</f>
        <v>1</v>
      </c>
      <c r="AE322" s="960">
        <f t="array" ref="AE322">HLOOKUP($J322,'Type Chart'!$C$2:$T$20,12,false)*HLOOKUP($K322,'Type Chart'!$C$2:$U$20,12,false)</f>
        <v>1</v>
      </c>
      <c r="AF322" s="960">
        <f t="array" ref="AF322">HLOOKUP($J322,'Type Chart'!$C$2:$T$20,13,false)*HLOOKUP($K322,'Type Chart'!$C$2:$U$20,13,false)</f>
        <v>1</v>
      </c>
      <c r="AG322" s="960">
        <f t="array" ref="AG322">HLOOKUP($J322,'Type Chart'!$C$2:$T$20,14,false)*HLOOKUP($K322,'Type Chart'!$C$2:$U$20,14,false)</f>
        <v>1</v>
      </c>
      <c r="AH322" s="960">
        <f t="array" ref="AH322">HLOOKUP($J322,'Type Chart'!$C$2:$T$20,15,false)*HLOOKUP($K322,'Type Chart'!$C$2:$U$20,15,false)</f>
        <v>1</v>
      </c>
      <c r="AI322" s="960">
        <f t="array" ref="AI322">HLOOKUP($J322,'Type Chart'!$C$2:$T$20,16,false)*HLOOKUP($K322,'Type Chart'!$C$2:$U$20,16,false)</f>
        <v>1</v>
      </c>
      <c r="AJ322" s="960">
        <f t="array" ref="AJ322">HLOOKUP($J322,'Type Chart'!$C$2:$T$20,17,false)*HLOOKUP($K322,'Type Chart'!$C$2:$U$20,17,false)</f>
        <v>1</v>
      </c>
      <c r="AK322" s="960">
        <f t="array" ref="AK322">HLOOKUP($J322,'Type Chart'!$C$2:$T$20,18,false)*HLOOKUP($K322,'Type Chart'!$C$2:$U$20,18,false)</f>
        <v>1</v>
      </c>
      <c r="AL322" s="960">
        <f t="array" ref="AL322">HLOOKUP($J322,'Type Chart'!$C$2:$T$20,19,false)*HLOOKUP($K322,'Type Chart'!$C$2:$U$20,19,false)</f>
        <v>1</v>
      </c>
      <c r="AM322" s="1145" t="s">
        <v>1520</v>
      </c>
      <c r="AN322" s="965" t="s">
        <v>1521</v>
      </c>
      <c r="AO322" s="966" t="s">
        <v>1522</v>
      </c>
      <c r="AP322" s="936"/>
      <c r="AQ322" s="967"/>
      <c r="AR322" s="968"/>
      <c r="AS322" s="936"/>
    </row>
    <row r="323" ht="15.75" customHeight="1">
      <c r="A323" s="936"/>
      <c r="B323" s="948" t="s">
        <v>1950</v>
      </c>
      <c r="C323" s="950" t="s">
        <v>1951</v>
      </c>
      <c r="D323" s="950" t="s">
        <v>1951</v>
      </c>
      <c r="E323" s="952" t="s">
        <v>1951</v>
      </c>
      <c r="F323" s="940"/>
      <c r="G323" s="953"/>
      <c r="H323" s="969"/>
      <c r="I323" s="956" t="s">
        <v>241</v>
      </c>
      <c r="J323" s="1196" t="s">
        <v>203</v>
      </c>
      <c r="K323" s="984" t="s">
        <v>216</v>
      </c>
      <c r="L323" s="959">
        <v>90.0</v>
      </c>
      <c r="M323" s="960">
        <v>85.0</v>
      </c>
      <c r="N323" s="960">
        <v>75.0</v>
      </c>
      <c r="O323" s="960">
        <v>115.0</v>
      </c>
      <c r="P323" s="960">
        <v>100.0</v>
      </c>
      <c r="Q323" s="960">
        <v>115.0</v>
      </c>
      <c r="R323" s="960">
        <v>266.0</v>
      </c>
      <c r="S323" s="960">
        <v>329.0</v>
      </c>
      <c r="T323" s="960">
        <v>361.0</v>
      </c>
      <c r="U323" s="960">
        <f t="array" ref="U323">HLOOKUP($J323,'Type Chart'!$C$2:$T$20,2,false)*HLOOKUP($K323,'Type Chart'!$C$2:$U$20,2,false)</f>
        <v>1</v>
      </c>
      <c r="V323" s="960">
        <f t="array" ref="V323">HLOOKUP($J323,'Type Chart'!$C$2:$T$20,3,false)*HLOOKUP($K323,'Type Chart'!$C$2:$U$20,3,false)</f>
        <v>1</v>
      </c>
      <c r="W323" s="960">
        <f t="array" ref="W323">HLOOKUP($J323,'Type Chart'!$C$2:$T$20,4,false)*HLOOKUP($K323,'Type Chart'!$C$2:$U$20,4,false)</f>
        <v>0.5</v>
      </c>
      <c r="X323" s="960">
        <f t="array" ref="X323">HLOOKUP($J323,'Type Chart'!$C$2:$T$20,5,false)*HLOOKUP($K323,'Type Chart'!$C$2:$U$20,5,false)</f>
        <v>1</v>
      </c>
      <c r="Y323" s="960">
        <f t="array" ref="Y323">HLOOKUP($J323,'Type Chart'!$C$2:$T$20,6,false)*HLOOKUP($K323,'Type Chart'!$C$2:$U$20,6,false)</f>
        <v>2</v>
      </c>
      <c r="Z323" s="960">
        <f t="array" ref="Z323">HLOOKUP($J323,'Type Chart'!$C$2:$T$20,7,false)*HLOOKUP($K323,'Type Chart'!$C$2:$U$20,7,false)</f>
        <v>1</v>
      </c>
      <c r="AA323" s="960">
        <f t="array" ref="AA323">HLOOKUP($J323,'Type Chart'!$C$2:$T$20,8,false)*HLOOKUP($K323,'Type Chart'!$C$2:$U$20,8,false)</f>
        <v>1</v>
      </c>
      <c r="AB323" s="960">
        <f t="array" ref="AB323">HLOOKUP($J323,'Type Chart'!$C$2:$T$20,9,false)*HLOOKUP($K323,'Type Chart'!$C$2:$U$20,9,false)</f>
        <v>1</v>
      </c>
      <c r="AC323" s="960">
        <f t="array" ref="AC323">HLOOKUP($J323,'Type Chart'!$C$2:$T$20,10,false)*HLOOKUP($K323,'Type Chart'!$C$2:$U$20,10,false)</f>
        <v>0.5</v>
      </c>
      <c r="AD323" s="960">
        <f t="array" ref="AD323">HLOOKUP($J323,'Type Chart'!$C$2:$T$20,11,false)*HLOOKUP($K323,'Type Chart'!$C$2:$U$20,11,false)</f>
        <v>1</v>
      </c>
      <c r="AE323" s="960">
        <f t="array" ref="AE323">HLOOKUP($J323,'Type Chart'!$C$2:$T$20,12,false)*HLOOKUP($K323,'Type Chart'!$C$2:$U$20,12,false)</f>
        <v>1</v>
      </c>
      <c r="AF323" s="960">
        <f t="array" ref="AF323">HLOOKUP($J323,'Type Chart'!$C$2:$T$20,13,false)*HLOOKUP($K323,'Type Chart'!$C$2:$U$20,13,false)</f>
        <v>1</v>
      </c>
      <c r="AG323" s="960">
        <f t="array" ref="AG323">HLOOKUP($J323,'Type Chart'!$C$2:$T$20,14,false)*HLOOKUP($K323,'Type Chart'!$C$2:$U$20,14,false)</f>
        <v>0.5</v>
      </c>
      <c r="AH323" s="960">
        <f t="array" ref="AH323">HLOOKUP($J323,'Type Chart'!$C$2:$T$20,15,false)*HLOOKUP($K323,'Type Chart'!$C$2:$U$20,15,false)</f>
        <v>1</v>
      </c>
      <c r="AI323" s="960">
        <f t="array" ref="AI323">HLOOKUP($J323,'Type Chart'!$C$2:$T$20,16,false)*HLOOKUP($K323,'Type Chart'!$C$2:$U$20,16,false)</f>
        <v>1</v>
      </c>
      <c r="AJ323" s="960">
        <f t="array" ref="AJ323">HLOOKUP($J323,'Type Chart'!$C$2:$T$20,17,false)*HLOOKUP($K323,'Type Chart'!$C$2:$U$20,17,false)</f>
        <v>1</v>
      </c>
      <c r="AK323" s="960">
        <f t="array" ref="AK323">HLOOKUP($J323,'Type Chart'!$C$2:$T$20,18,false)*HLOOKUP($K323,'Type Chart'!$C$2:$U$20,18,false)</f>
        <v>1</v>
      </c>
      <c r="AL323" s="960">
        <f t="array" ref="AL323">HLOOKUP($J323,'Type Chart'!$C$2:$T$20,19,false)*HLOOKUP($K323,'Type Chart'!$C$2:$U$20,19,false)</f>
        <v>1</v>
      </c>
      <c r="AM323" s="964" t="s">
        <v>1636</v>
      </c>
      <c r="AN323" s="965"/>
      <c r="AO323" s="966" t="s">
        <v>1192</v>
      </c>
      <c r="AP323" s="936"/>
      <c r="AQ323" s="967"/>
      <c r="AR323" s="968"/>
      <c r="AS323" s="936"/>
    </row>
    <row r="324" ht="15.75" customHeight="1">
      <c r="A324" s="936"/>
      <c r="B324" s="948" t="s">
        <v>1952</v>
      </c>
      <c r="C324" s="950" t="s">
        <v>1953</v>
      </c>
      <c r="D324" s="950" t="s">
        <v>1953</v>
      </c>
      <c r="E324" s="952" t="s">
        <v>1953</v>
      </c>
      <c r="F324" s="940"/>
      <c r="G324" s="953"/>
      <c r="H324" s="969"/>
      <c r="I324" s="956" t="s">
        <v>551</v>
      </c>
      <c r="J324" s="982" t="s">
        <v>150</v>
      </c>
      <c r="K324" s="984" t="s">
        <v>216</v>
      </c>
      <c r="L324" s="959">
        <v>115.0</v>
      </c>
      <c r="M324" s="960">
        <v>115.0</v>
      </c>
      <c r="N324" s="960">
        <v>85.0</v>
      </c>
      <c r="O324" s="960">
        <v>90.0</v>
      </c>
      <c r="P324" s="960">
        <v>75.0</v>
      </c>
      <c r="Q324" s="960">
        <v>100.0</v>
      </c>
      <c r="R324" s="960">
        <v>236.0</v>
      </c>
      <c r="S324" s="960">
        <v>299.0</v>
      </c>
      <c r="T324" s="960">
        <v>328.0</v>
      </c>
      <c r="U324" s="960">
        <f t="array" ref="U324">HLOOKUP($J324,'Type Chart'!$C$2:$T$20,2,false)*HLOOKUP($K324,'Type Chart'!$C$2:$U$20,2,false)</f>
        <v>1</v>
      </c>
      <c r="V324" s="960">
        <f t="array" ref="V324">HLOOKUP($J324,'Type Chart'!$C$2:$T$20,3,false)*HLOOKUP($K324,'Type Chart'!$C$2:$U$20,3,false)</f>
        <v>1</v>
      </c>
      <c r="W324" s="960">
        <f t="array" ref="W324">HLOOKUP($J324,'Type Chart'!$C$2:$T$20,4,false)*HLOOKUP($K324,'Type Chart'!$C$2:$U$20,4,false)</f>
        <v>1</v>
      </c>
      <c r="X324" s="960">
        <f t="array" ref="X324">HLOOKUP($J324,'Type Chart'!$C$2:$T$20,5,false)*HLOOKUP($K324,'Type Chart'!$C$2:$U$20,5,false)</f>
        <v>1</v>
      </c>
      <c r="Y324" s="960">
        <f t="array" ref="Y324">HLOOKUP($J324,'Type Chart'!$C$2:$T$20,6,false)*HLOOKUP($K324,'Type Chart'!$C$2:$U$20,6,false)</f>
        <v>2</v>
      </c>
      <c r="Z324" s="960">
        <f t="array" ref="Z324">HLOOKUP($J324,'Type Chart'!$C$2:$T$20,7,false)*HLOOKUP($K324,'Type Chart'!$C$2:$U$20,7,false)</f>
        <v>2</v>
      </c>
      <c r="AA324" s="960">
        <f t="array" ref="AA324">HLOOKUP($J324,'Type Chart'!$C$2:$T$20,8,false)*HLOOKUP($K324,'Type Chart'!$C$2:$U$20,8,false)</f>
        <v>0.5</v>
      </c>
      <c r="AB324" s="960">
        <f t="array" ref="AB324">HLOOKUP($J324,'Type Chart'!$C$2:$T$20,9,false)*HLOOKUP($K324,'Type Chart'!$C$2:$U$20,9,false)</f>
        <v>1</v>
      </c>
      <c r="AC324" s="960">
        <f t="array" ref="AC324">HLOOKUP($J324,'Type Chart'!$C$2:$T$20,10,false)*HLOOKUP($K324,'Type Chart'!$C$2:$U$20,10,false)</f>
        <v>0.5</v>
      </c>
      <c r="AD324" s="960">
        <f t="array" ref="AD324">HLOOKUP($J324,'Type Chart'!$C$2:$T$20,11,false)*HLOOKUP($K324,'Type Chart'!$C$2:$U$20,11,false)</f>
        <v>0.5</v>
      </c>
      <c r="AE324" s="960">
        <f t="array" ref="AE324">HLOOKUP($J324,'Type Chart'!$C$2:$T$20,12,false)*HLOOKUP($K324,'Type Chart'!$C$2:$U$20,12,false)</f>
        <v>2</v>
      </c>
      <c r="AF324" s="960">
        <f t="array" ref="AF324">HLOOKUP($J324,'Type Chart'!$C$2:$T$20,13,false)*HLOOKUP($K324,'Type Chart'!$C$2:$U$20,13,false)</f>
        <v>0.5</v>
      </c>
      <c r="AG324" s="960">
        <f t="array" ref="AG324">HLOOKUP($J324,'Type Chart'!$C$2:$T$20,14,false)*HLOOKUP($K324,'Type Chart'!$C$2:$U$20,14,false)</f>
        <v>1</v>
      </c>
      <c r="AH324" s="960">
        <f t="array" ref="AH324">HLOOKUP($J324,'Type Chart'!$C$2:$T$20,15,false)*HLOOKUP($K324,'Type Chart'!$C$2:$U$20,15,false)</f>
        <v>1</v>
      </c>
      <c r="AI324" s="960">
        <f t="array" ref="AI324">HLOOKUP($J324,'Type Chart'!$C$2:$T$20,16,false)*HLOOKUP($K324,'Type Chart'!$C$2:$U$20,16,false)</f>
        <v>0.5</v>
      </c>
      <c r="AJ324" s="960">
        <f t="array" ref="AJ324">HLOOKUP($J324,'Type Chart'!$C$2:$T$20,17,false)*HLOOKUP($K324,'Type Chart'!$C$2:$U$20,17,false)</f>
        <v>1</v>
      </c>
      <c r="AK324" s="960">
        <f t="array" ref="AK324">HLOOKUP($J324,'Type Chart'!$C$2:$T$20,18,false)*HLOOKUP($K324,'Type Chart'!$C$2:$U$20,18,false)</f>
        <v>1</v>
      </c>
      <c r="AL324" s="960">
        <f t="array" ref="AL324">HLOOKUP($J324,'Type Chart'!$C$2:$T$20,19,false)*HLOOKUP($K324,'Type Chart'!$C$2:$U$20,19,false)</f>
        <v>0.5</v>
      </c>
      <c r="AM324" s="964" t="s">
        <v>1636</v>
      </c>
      <c r="AN324" s="965"/>
      <c r="AO324" s="966" t="s">
        <v>1192</v>
      </c>
      <c r="AP324" s="936"/>
      <c r="AQ324" s="967"/>
      <c r="AR324" s="968"/>
      <c r="AS324" s="936"/>
    </row>
    <row r="325" ht="15.75" customHeight="1">
      <c r="A325" s="936"/>
      <c r="B325" s="948" t="s">
        <v>1954</v>
      </c>
      <c r="C325" s="950" t="s">
        <v>1955</v>
      </c>
      <c r="D325" s="950" t="s">
        <v>1955</v>
      </c>
      <c r="E325" s="952" t="s">
        <v>1955</v>
      </c>
      <c r="F325" s="940"/>
      <c r="G325" s="953"/>
      <c r="H325" s="969"/>
      <c r="I325" s="956" t="s">
        <v>552</v>
      </c>
      <c r="J325" s="1056" t="s">
        <v>81</v>
      </c>
      <c r="K325" s="984" t="s">
        <v>216</v>
      </c>
      <c r="L325" s="959">
        <v>100.0</v>
      </c>
      <c r="M325" s="960">
        <v>75.0</v>
      </c>
      <c r="N325" s="960">
        <v>115.0</v>
      </c>
      <c r="O325" s="960">
        <v>90.0</v>
      </c>
      <c r="P325" s="960">
        <v>115.0</v>
      </c>
      <c r="Q325" s="960">
        <v>85.0</v>
      </c>
      <c r="R325" s="960">
        <v>206.0</v>
      </c>
      <c r="S325" s="960">
        <v>269.0</v>
      </c>
      <c r="T325" s="960">
        <v>295.0</v>
      </c>
      <c r="U325" s="960">
        <f t="array" ref="U325">HLOOKUP($J325,'Type Chart'!$C$2:$T$20,2,false)*HLOOKUP($K325,'Type Chart'!$C$2:$U$20,2,false)</f>
        <v>1</v>
      </c>
      <c r="V325" s="960">
        <f t="array" ref="V325">HLOOKUP($J325,'Type Chart'!$C$2:$T$20,3,false)*HLOOKUP($K325,'Type Chart'!$C$2:$U$20,3,false)</f>
        <v>1</v>
      </c>
      <c r="W325" s="960">
        <f t="array" ref="W325">HLOOKUP($J325,'Type Chart'!$C$2:$T$20,4,false)*HLOOKUP($K325,'Type Chart'!$C$2:$U$20,4,false)</f>
        <v>1</v>
      </c>
      <c r="X325" s="960">
        <f t="array" ref="X325">HLOOKUP($J325,'Type Chart'!$C$2:$T$20,5,false)*HLOOKUP($K325,'Type Chart'!$C$2:$U$20,5,false)</f>
        <v>1</v>
      </c>
      <c r="Y325" s="960">
        <f t="array" ref="Y325">HLOOKUP($J325,'Type Chart'!$C$2:$T$20,6,false)*HLOOKUP($K325,'Type Chart'!$C$2:$U$20,6,false)</f>
        <v>1</v>
      </c>
      <c r="Z325" s="960">
        <f t="array" ref="Z325">HLOOKUP($J325,'Type Chart'!$C$2:$T$20,7,false)*HLOOKUP($K325,'Type Chart'!$C$2:$U$20,7,false)</f>
        <v>1</v>
      </c>
      <c r="AA325" s="960">
        <f t="array" ref="AA325">HLOOKUP($J325,'Type Chart'!$C$2:$T$20,8,false)*HLOOKUP($K325,'Type Chart'!$C$2:$U$20,8,false)</f>
        <v>1</v>
      </c>
      <c r="AB325" s="960">
        <f t="array" ref="AB325">HLOOKUP($J325,'Type Chart'!$C$2:$T$20,9,false)*HLOOKUP($K325,'Type Chart'!$C$2:$U$20,9,false)</f>
        <v>1</v>
      </c>
      <c r="AC325" s="960">
        <f t="array" ref="AC325">HLOOKUP($J325,'Type Chart'!$C$2:$T$20,10,false)*HLOOKUP($K325,'Type Chart'!$C$2:$U$20,10,false)</f>
        <v>0.5</v>
      </c>
      <c r="AD325" s="960">
        <f t="array" ref="AD325">HLOOKUP($J325,'Type Chart'!$C$2:$T$20,11,false)*HLOOKUP($K325,'Type Chart'!$C$2:$U$20,11,false)</f>
        <v>0.5</v>
      </c>
      <c r="AE325" s="960">
        <f t="array" ref="AE325">HLOOKUP($J325,'Type Chart'!$C$2:$T$20,12,false)*HLOOKUP($K325,'Type Chart'!$C$2:$U$20,12,false)</f>
        <v>0.5</v>
      </c>
      <c r="AF325" s="960">
        <f t="array" ref="AF325">HLOOKUP($J325,'Type Chart'!$C$2:$T$20,13,false)*HLOOKUP($K325,'Type Chart'!$C$2:$U$20,13,false)</f>
        <v>2</v>
      </c>
      <c r="AG325" s="960">
        <f t="array" ref="AG325">HLOOKUP($J325,'Type Chart'!$C$2:$T$20,14,false)*HLOOKUP($K325,'Type Chart'!$C$2:$U$20,14,false)</f>
        <v>2</v>
      </c>
      <c r="AH325" s="960">
        <f t="array" ref="AH325">HLOOKUP($J325,'Type Chart'!$C$2:$T$20,15,false)*HLOOKUP($K325,'Type Chart'!$C$2:$U$20,15,false)</f>
        <v>1</v>
      </c>
      <c r="AI325" s="960">
        <f t="array" ref="AI325">HLOOKUP($J325,'Type Chart'!$C$2:$T$20,16,false)*HLOOKUP($K325,'Type Chart'!$C$2:$U$20,16,false)</f>
        <v>0.5</v>
      </c>
      <c r="AJ325" s="960">
        <f t="array" ref="AJ325">HLOOKUP($J325,'Type Chart'!$C$2:$T$20,17,false)*HLOOKUP($K325,'Type Chart'!$C$2:$U$20,17,false)</f>
        <v>1</v>
      </c>
      <c r="AK325" s="960">
        <f t="array" ref="AK325">HLOOKUP($J325,'Type Chart'!$C$2:$T$20,18,false)*HLOOKUP($K325,'Type Chart'!$C$2:$U$20,18,false)</f>
        <v>1</v>
      </c>
      <c r="AL325" s="960">
        <f t="array" ref="AL325">HLOOKUP($J325,'Type Chart'!$C$2:$T$20,19,false)*HLOOKUP($K325,'Type Chart'!$C$2:$U$20,19,false)</f>
        <v>1</v>
      </c>
      <c r="AM325" s="964" t="s">
        <v>1636</v>
      </c>
      <c r="AN325" s="965"/>
      <c r="AO325" s="966" t="s">
        <v>1192</v>
      </c>
      <c r="AP325" s="936"/>
      <c r="AQ325" s="967"/>
      <c r="AR325" s="968"/>
      <c r="AS325" s="936"/>
    </row>
    <row r="326" ht="15.75" customHeight="1">
      <c r="A326" s="936"/>
      <c r="B326" s="948" t="s">
        <v>1956</v>
      </c>
      <c r="C326" s="950" t="s">
        <v>1957</v>
      </c>
      <c r="D326" s="950" t="s">
        <v>1957</v>
      </c>
      <c r="E326" s="952" t="s">
        <v>1957</v>
      </c>
      <c r="F326" s="940"/>
      <c r="G326" s="953"/>
      <c r="H326" s="969"/>
      <c r="I326" s="956" t="s">
        <v>1958</v>
      </c>
      <c r="J326" s="1214" t="s">
        <v>342</v>
      </c>
      <c r="K326" s="1204" t="s">
        <v>80</v>
      </c>
      <c r="L326" s="959">
        <v>50.0</v>
      </c>
      <c r="M326" s="960">
        <v>64.0</v>
      </c>
      <c r="N326" s="960">
        <v>50.0</v>
      </c>
      <c r="O326" s="960">
        <v>45.0</v>
      </c>
      <c r="P326" s="960">
        <v>50.0</v>
      </c>
      <c r="Q326" s="960">
        <v>41.0</v>
      </c>
      <c r="R326" s="960">
        <v>118.0</v>
      </c>
      <c r="S326" s="960">
        <v>181.0</v>
      </c>
      <c r="T326" s="960">
        <v>199.0</v>
      </c>
      <c r="U326" s="960">
        <f t="array" ref="U326">HLOOKUP($J326,'Type Chart'!$C$2:$T$20,2,false)*HLOOKUP($K326,'Type Chart'!$C$2:$U$20,2,false)</f>
        <v>0.5</v>
      </c>
      <c r="V326" s="960">
        <f t="array" ref="V326">HLOOKUP($J326,'Type Chart'!$C$2:$T$20,3,false)*HLOOKUP($K326,'Type Chart'!$C$2:$U$20,3,false)</f>
        <v>2</v>
      </c>
      <c r="W326" s="960">
        <f t="array" ref="W326">HLOOKUP($J326,'Type Chart'!$C$2:$T$20,4,false)*HLOOKUP($K326,'Type Chart'!$C$2:$U$20,4,false)</f>
        <v>0.5</v>
      </c>
      <c r="X326" s="960">
        <f t="array" ref="X326">HLOOKUP($J326,'Type Chart'!$C$2:$T$20,5,false)*HLOOKUP($K326,'Type Chart'!$C$2:$U$20,5,false)</f>
        <v>0.25</v>
      </c>
      <c r="Y326" s="960">
        <f t="array" ref="Y326">HLOOKUP($J326,'Type Chart'!$C$2:$T$20,6,false)*HLOOKUP($K326,'Type Chart'!$C$2:$U$20,6,false)</f>
        <v>2</v>
      </c>
      <c r="Z326" s="960">
        <f t="array" ref="Z326">HLOOKUP($J326,'Type Chart'!$C$2:$T$20,7,false)*HLOOKUP($K326,'Type Chart'!$C$2:$U$20,7,false)</f>
        <v>0.5</v>
      </c>
      <c r="AA326" s="960">
        <f t="array" ref="AA326">HLOOKUP($J326,'Type Chart'!$C$2:$T$20,8,false)*HLOOKUP($K326,'Type Chart'!$C$2:$U$20,8,false)</f>
        <v>1</v>
      </c>
      <c r="AB326" s="960">
        <f t="array" ref="AB326">HLOOKUP($J326,'Type Chart'!$C$2:$T$20,9,false)*HLOOKUP($K326,'Type Chart'!$C$2:$U$20,9,false)</f>
        <v>1</v>
      </c>
      <c r="AC326" s="960">
        <f t="array" ref="AC326">HLOOKUP($J326,'Type Chart'!$C$2:$T$20,10,false)*HLOOKUP($K326,'Type Chart'!$C$2:$U$20,10,false)</f>
        <v>2</v>
      </c>
      <c r="AD326" s="960">
        <f t="array" ref="AD326">HLOOKUP($J326,'Type Chart'!$C$2:$T$20,11,false)*HLOOKUP($K326,'Type Chart'!$C$2:$U$20,11,false)</f>
        <v>0.5</v>
      </c>
      <c r="AE326" s="960">
        <f t="array" ref="AE326">HLOOKUP($J326,'Type Chart'!$C$2:$T$20,12,false)*HLOOKUP($K326,'Type Chart'!$C$2:$U$20,12,false)</f>
        <v>4</v>
      </c>
      <c r="AF326" s="960">
        <f t="array" ref="AF326">HLOOKUP($J326,'Type Chart'!$C$2:$T$20,13,false)*HLOOKUP($K326,'Type Chart'!$C$2:$U$20,13,false)</f>
        <v>4</v>
      </c>
      <c r="AG326" s="960">
        <f t="array" ref="AG326">HLOOKUP($J326,'Type Chart'!$C$2:$T$20,14,false)*HLOOKUP($K326,'Type Chart'!$C$2:$U$20,14,false)</f>
        <v>0</v>
      </c>
      <c r="AH326" s="960">
        <f t="array" ref="AH326">HLOOKUP($J326,'Type Chart'!$C$2:$T$20,15,false)*HLOOKUP($K326,'Type Chart'!$C$2:$U$20,15,false)</f>
        <v>1</v>
      </c>
      <c r="AI326" s="960">
        <f t="array" ref="AI326">HLOOKUP($J326,'Type Chart'!$C$2:$T$20,16,false)*HLOOKUP($K326,'Type Chart'!$C$2:$U$20,16,false)</f>
        <v>2</v>
      </c>
      <c r="AJ326" s="960">
        <f t="array" ref="AJ326">HLOOKUP($J326,'Type Chart'!$C$2:$T$20,17,false)*HLOOKUP($K326,'Type Chart'!$C$2:$U$20,17,false)</f>
        <v>1</v>
      </c>
      <c r="AK326" s="960">
        <f t="array" ref="AK326">HLOOKUP($J326,'Type Chart'!$C$2:$T$20,18,false)*HLOOKUP($K326,'Type Chart'!$C$2:$U$20,18,false)</f>
        <v>1</v>
      </c>
      <c r="AL326" s="960">
        <f t="array" ref="AL326">HLOOKUP($J326,'Type Chart'!$C$2:$T$20,19,false)*HLOOKUP($K326,'Type Chart'!$C$2:$U$20,19,false)</f>
        <v>1</v>
      </c>
      <c r="AM326" s="964" t="s">
        <v>1038</v>
      </c>
      <c r="AN326" s="965"/>
      <c r="AO326" s="966" t="s">
        <v>1129</v>
      </c>
      <c r="AP326" s="936"/>
      <c r="AQ326" s="967"/>
      <c r="AR326" s="968"/>
      <c r="AS326" s="936"/>
    </row>
    <row r="327" ht="15.75" customHeight="1">
      <c r="A327" s="1099"/>
      <c r="B327" s="948" t="s">
        <v>1959</v>
      </c>
      <c r="C327" s="950" t="s">
        <v>1960</v>
      </c>
      <c r="D327" s="950" t="s">
        <v>1960</v>
      </c>
      <c r="E327" s="952" t="s">
        <v>1960</v>
      </c>
      <c r="F327" s="940"/>
      <c r="G327" s="953"/>
      <c r="H327" s="969"/>
      <c r="I327" s="956" t="s">
        <v>1961</v>
      </c>
      <c r="J327" s="1214" t="s">
        <v>342</v>
      </c>
      <c r="K327" s="1204" t="s">
        <v>80</v>
      </c>
      <c r="L327" s="959">
        <v>70.0</v>
      </c>
      <c r="M327" s="960">
        <v>84.0</v>
      </c>
      <c r="N327" s="960">
        <v>70.0</v>
      </c>
      <c r="O327" s="960">
        <v>65.0</v>
      </c>
      <c r="P327" s="960">
        <v>70.0</v>
      </c>
      <c r="Q327" s="960">
        <v>51.0</v>
      </c>
      <c r="R327" s="960">
        <v>138.0</v>
      </c>
      <c r="S327" s="960">
        <v>201.0</v>
      </c>
      <c r="T327" s="960">
        <v>221.0</v>
      </c>
      <c r="U327" s="960">
        <f t="array" ref="U327">HLOOKUP($J327,'Type Chart'!$C$2:$T$20,2,false)*HLOOKUP($K327,'Type Chart'!$C$2:$U$20,2,false)</f>
        <v>0.5</v>
      </c>
      <c r="V327" s="960">
        <f t="array" ref="V327">HLOOKUP($J327,'Type Chart'!$C$2:$T$20,3,false)*HLOOKUP($K327,'Type Chart'!$C$2:$U$20,3,false)</f>
        <v>2</v>
      </c>
      <c r="W327" s="960">
        <f t="array" ref="W327">HLOOKUP($J327,'Type Chart'!$C$2:$T$20,4,false)*HLOOKUP($K327,'Type Chart'!$C$2:$U$20,4,false)</f>
        <v>0.5</v>
      </c>
      <c r="X327" s="960">
        <f t="array" ref="X327">HLOOKUP($J327,'Type Chart'!$C$2:$T$20,5,false)*HLOOKUP($K327,'Type Chart'!$C$2:$U$20,5,false)</f>
        <v>0.25</v>
      </c>
      <c r="Y327" s="960">
        <f t="array" ref="Y327">HLOOKUP($J327,'Type Chart'!$C$2:$T$20,6,false)*HLOOKUP($K327,'Type Chart'!$C$2:$U$20,6,false)</f>
        <v>2</v>
      </c>
      <c r="Z327" s="960">
        <f t="array" ref="Z327">HLOOKUP($J327,'Type Chart'!$C$2:$T$20,7,false)*HLOOKUP($K327,'Type Chart'!$C$2:$U$20,7,false)</f>
        <v>0.5</v>
      </c>
      <c r="AA327" s="960">
        <f t="array" ref="AA327">HLOOKUP($J327,'Type Chart'!$C$2:$T$20,8,false)*HLOOKUP($K327,'Type Chart'!$C$2:$U$20,8,false)</f>
        <v>1</v>
      </c>
      <c r="AB327" s="960">
        <f t="array" ref="AB327">HLOOKUP($J327,'Type Chart'!$C$2:$T$20,9,false)*HLOOKUP($K327,'Type Chart'!$C$2:$U$20,9,false)</f>
        <v>1</v>
      </c>
      <c r="AC327" s="960">
        <f t="array" ref="AC327">HLOOKUP($J327,'Type Chart'!$C$2:$T$20,10,false)*HLOOKUP($K327,'Type Chart'!$C$2:$U$20,10,false)</f>
        <v>2</v>
      </c>
      <c r="AD327" s="960">
        <f t="array" ref="AD327">HLOOKUP($J327,'Type Chart'!$C$2:$T$20,11,false)*HLOOKUP($K327,'Type Chart'!$C$2:$U$20,11,false)</f>
        <v>0.5</v>
      </c>
      <c r="AE327" s="960">
        <f t="array" ref="AE327">HLOOKUP($J327,'Type Chart'!$C$2:$T$20,12,false)*HLOOKUP($K327,'Type Chart'!$C$2:$U$20,12,false)</f>
        <v>4</v>
      </c>
      <c r="AF327" s="960">
        <f t="array" ref="AF327">HLOOKUP($J327,'Type Chart'!$C$2:$T$20,13,false)*HLOOKUP($K327,'Type Chart'!$C$2:$U$20,13,false)</f>
        <v>4</v>
      </c>
      <c r="AG327" s="960">
        <f t="array" ref="AG327">HLOOKUP($J327,'Type Chart'!$C$2:$T$20,14,false)*HLOOKUP($K327,'Type Chart'!$C$2:$U$20,14,false)</f>
        <v>0</v>
      </c>
      <c r="AH327" s="960">
        <f t="array" ref="AH327">HLOOKUP($J327,'Type Chart'!$C$2:$T$20,15,false)*HLOOKUP($K327,'Type Chart'!$C$2:$U$20,15,false)</f>
        <v>1</v>
      </c>
      <c r="AI327" s="960">
        <f t="array" ref="AI327">HLOOKUP($J327,'Type Chart'!$C$2:$T$20,16,false)*HLOOKUP($K327,'Type Chart'!$C$2:$U$20,16,false)</f>
        <v>2</v>
      </c>
      <c r="AJ327" s="960">
        <f t="array" ref="AJ327">HLOOKUP($J327,'Type Chart'!$C$2:$T$20,17,false)*HLOOKUP($K327,'Type Chart'!$C$2:$U$20,17,false)</f>
        <v>1</v>
      </c>
      <c r="AK327" s="960">
        <f t="array" ref="AK327">HLOOKUP($J327,'Type Chart'!$C$2:$T$20,18,false)*HLOOKUP($K327,'Type Chart'!$C$2:$U$20,18,false)</f>
        <v>1</v>
      </c>
      <c r="AL327" s="960">
        <f t="array" ref="AL327">HLOOKUP($J327,'Type Chart'!$C$2:$T$20,19,false)*HLOOKUP($K327,'Type Chart'!$C$2:$U$20,19,false)</f>
        <v>1</v>
      </c>
      <c r="AM327" s="1145" t="s">
        <v>998</v>
      </c>
      <c r="AN327" s="965"/>
      <c r="AO327" s="1146"/>
      <c r="AP327" s="936"/>
      <c r="AQ327" s="967"/>
      <c r="AR327" s="968"/>
      <c r="AS327" s="936"/>
    </row>
    <row r="328" ht="15.75" customHeight="1">
      <c r="A328" s="936"/>
      <c r="B328" s="948" t="s">
        <v>1962</v>
      </c>
      <c r="C328" s="950" t="s">
        <v>1963</v>
      </c>
      <c r="D328" s="950" t="s">
        <v>1963</v>
      </c>
      <c r="E328" s="952" t="s">
        <v>1963</v>
      </c>
      <c r="F328" s="940"/>
      <c r="G328" s="953"/>
      <c r="H328" s="969"/>
      <c r="I328" s="956" t="s">
        <v>482</v>
      </c>
      <c r="J328" s="1214" t="s">
        <v>342</v>
      </c>
      <c r="K328" s="1195" t="s">
        <v>193</v>
      </c>
      <c r="L328" s="959">
        <v>100.0</v>
      </c>
      <c r="M328" s="960">
        <v>134.0</v>
      </c>
      <c r="N328" s="960">
        <v>110.0</v>
      </c>
      <c r="O328" s="960">
        <v>95.0</v>
      </c>
      <c r="P328" s="960">
        <v>100.0</v>
      </c>
      <c r="Q328" s="960">
        <v>61.0</v>
      </c>
      <c r="R328" s="960">
        <v>158.0</v>
      </c>
      <c r="S328" s="960">
        <v>221.0</v>
      </c>
      <c r="T328" s="960">
        <v>243.0</v>
      </c>
      <c r="U328" s="960">
        <f t="array" ref="U328">HLOOKUP($J328,'Type Chart'!$C$2:$T$20,2,false)*HLOOKUP($K328,'Type Chart'!$C$2:$U$20,2,false)</f>
        <v>0.5</v>
      </c>
      <c r="V328" s="960">
        <f t="array" ref="V328">HLOOKUP($J328,'Type Chart'!$C$2:$T$20,3,false)*HLOOKUP($K328,'Type Chart'!$C$2:$U$20,3,false)</f>
        <v>4</v>
      </c>
      <c r="W328" s="960">
        <f t="array" ref="W328">HLOOKUP($J328,'Type Chart'!$C$2:$T$20,4,false)*HLOOKUP($K328,'Type Chart'!$C$2:$U$20,4,false)</f>
        <v>0.5</v>
      </c>
      <c r="X328" s="960">
        <f t="array" ref="X328">HLOOKUP($J328,'Type Chart'!$C$2:$T$20,5,false)*HLOOKUP($K328,'Type Chart'!$C$2:$U$20,5,false)</f>
        <v>0.5</v>
      </c>
      <c r="Y328" s="960">
        <f t="array" ref="Y328">HLOOKUP($J328,'Type Chart'!$C$2:$T$20,6,false)*HLOOKUP($K328,'Type Chart'!$C$2:$U$20,6,false)</f>
        <v>2</v>
      </c>
      <c r="Z328" s="960">
        <f t="array" ref="Z328">HLOOKUP($J328,'Type Chart'!$C$2:$T$20,7,false)*HLOOKUP($K328,'Type Chart'!$C$2:$U$20,7,false)</f>
        <v>1</v>
      </c>
      <c r="AA328" s="960">
        <f t="array" ref="AA328">HLOOKUP($J328,'Type Chart'!$C$2:$T$20,8,false)*HLOOKUP($K328,'Type Chart'!$C$2:$U$20,8,false)</f>
        <v>2</v>
      </c>
      <c r="AB328" s="960">
        <f t="array" ref="AB328">HLOOKUP($J328,'Type Chart'!$C$2:$T$20,9,false)*HLOOKUP($K328,'Type Chart'!$C$2:$U$20,9,false)</f>
        <v>0.5</v>
      </c>
      <c r="AC328" s="960">
        <f t="array" ref="AC328">HLOOKUP($J328,'Type Chart'!$C$2:$T$20,10,false)*HLOOKUP($K328,'Type Chart'!$C$2:$U$20,10,false)</f>
        <v>2</v>
      </c>
      <c r="AD328" s="960">
        <f t="array" ref="AD328">HLOOKUP($J328,'Type Chart'!$C$2:$T$20,11,false)*HLOOKUP($K328,'Type Chart'!$C$2:$U$20,11,false)</f>
        <v>0.5</v>
      </c>
      <c r="AE328" s="960">
        <f t="array" ref="AE328">HLOOKUP($J328,'Type Chart'!$C$2:$T$20,12,false)*HLOOKUP($K328,'Type Chart'!$C$2:$U$20,12,false)</f>
        <v>2</v>
      </c>
      <c r="AF328" s="960">
        <f t="array" ref="AF328">HLOOKUP($J328,'Type Chart'!$C$2:$T$20,13,false)*HLOOKUP($K328,'Type Chart'!$C$2:$U$20,13,false)</f>
        <v>2</v>
      </c>
      <c r="AG328" s="960">
        <f t="array" ref="AG328">HLOOKUP($J328,'Type Chart'!$C$2:$T$20,14,false)*HLOOKUP($K328,'Type Chart'!$C$2:$U$20,14,false)</f>
        <v>1</v>
      </c>
      <c r="AH328" s="960">
        <f t="array" ref="AH328">HLOOKUP($J328,'Type Chart'!$C$2:$T$20,15,false)*HLOOKUP($K328,'Type Chart'!$C$2:$U$20,15,false)</f>
        <v>0</v>
      </c>
      <c r="AI328" s="960">
        <f t="array" ref="AI328">HLOOKUP($J328,'Type Chart'!$C$2:$T$20,16,false)*HLOOKUP($K328,'Type Chart'!$C$2:$U$20,16,false)</f>
        <v>1</v>
      </c>
      <c r="AJ328" s="960">
        <f t="array" ref="AJ328">HLOOKUP($J328,'Type Chart'!$C$2:$T$20,17,false)*HLOOKUP($K328,'Type Chart'!$C$2:$U$20,17,false)</f>
        <v>1</v>
      </c>
      <c r="AK328" s="960">
        <f t="array" ref="AK328">HLOOKUP($J328,'Type Chart'!$C$2:$T$20,18,false)*HLOOKUP($K328,'Type Chart'!$C$2:$U$20,18,false)</f>
        <v>0.5</v>
      </c>
      <c r="AL328" s="960">
        <f t="array" ref="AL328">HLOOKUP($J328,'Type Chart'!$C$2:$T$20,19,false)*HLOOKUP($K328,'Type Chart'!$C$2:$U$20,19,false)</f>
        <v>2</v>
      </c>
      <c r="AM328" s="964" t="s">
        <v>1964</v>
      </c>
      <c r="AN328" s="965"/>
      <c r="AO328" s="966" t="s">
        <v>1062</v>
      </c>
      <c r="AP328" s="936"/>
      <c r="AQ328" s="967"/>
      <c r="AR328" s="968"/>
      <c r="AS328" s="936"/>
    </row>
    <row r="329" ht="15.75" customHeight="1">
      <c r="A329" s="1099"/>
      <c r="B329" s="948" t="s">
        <v>1965</v>
      </c>
      <c r="C329" s="1197" t="s">
        <v>1966</v>
      </c>
      <c r="D329" s="1197" t="s">
        <v>1966</v>
      </c>
      <c r="E329" s="1147" t="s">
        <v>1966</v>
      </c>
      <c r="F329" s="940"/>
      <c r="G329" s="953"/>
      <c r="H329" s="969"/>
      <c r="I329" s="998" t="s">
        <v>1967</v>
      </c>
      <c r="J329" s="1222" t="s">
        <v>342</v>
      </c>
      <c r="K329" s="1229" t="s">
        <v>193</v>
      </c>
      <c r="L329" s="1200">
        <v>100.0</v>
      </c>
      <c r="M329" s="1201">
        <v>164.0</v>
      </c>
      <c r="N329" s="1201">
        <v>150.0</v>
      </c>
      <c r="O329" s="1201">
        <v>95.0</v>
      </c>
      <c r="P329" s="1201">
        <v>120.0</v>
      </c>
      <c r="Q329" s="1201">
        <v>71.0</v>
      </c>
      <c r="R329" s="960">
        <v>178.0</v>
      </c>
      <c r="S329" s="960">
        <v>241.0</v>
      </c>
      <c r="T329" s="960">
        <v>265.0</v>
      </c>
      <c r="U329" s="960">
        <f t="array" ref="U329">HLOOKUP($J329,'Type Chart'!$C$2:$T$20,2,false)*HLOOKUP($K329,'Type Chart'!$C$2:$U$20,2,false)</f>
        <v>0.5</v>
      </c>
      <c r="V329" s="960">
        <f t="array" ref="V329">HLOOKUP($J329,'Type Chart'!$C$2:$T$20,3,false)*HLOOKUP($K329,'Type Chart'!$C$2:$U$20,3,false)</f>
        <v>4</v>
      </c>
      <c r="W329" s="960">
        <f t="array" ref="W329">HLOOKUP($J329,'Type Chart'!$C$2:$T$20,4,false)*HLOOKUP($K329,'Type Chart'!$C$2:$U$20,4,false)</f>
        <v>0.5</v>
      </c>
      <c r="X329" s="960">
        <f t="array" ref="X329">HLOOKUP($J329,'Type Chart'!$C$2:$T$20,5,false)*HLOOKUP($K329,'Type Chart'!$C$2:$U$20,5,false)</f>
        <v>0.5</v>
      </c>
      <c r="Y329" s="960">
        <f t="array" ref="Y329">HLOOKUP($J329,'Type Chart'!$C$2:$T$20,6,false)*HLOOKUP($K329,'Type Chart'!$C$2:$U$20,6,false)</f>
        <v>2</v>
      </c>
      <c r="Z329" s="960">
        <f t="array" ref="Z329">HLOOKUP($J329,'Type Chart'!$C$2:$T$20,7,false)*HLOOKUP($K329,'Type Chart'!$C$2:$U$20,7,false)</f>
        <v>1</v>
      </c>
      <c r="AA329" s="960">
        <f t="array" ref="AA329">HLOOKUP($J329,'Type Chart'!$C$2:$T$20,8,false)*HLOOKUP($K329,'Type Chart'!$C$2:$U$20,8,false)</f>
        <v>2</v>
      </c>
      <c r="AB329" s="960">
        <f t="array" ref="AB329">HLOOKUP($J329,'Type Chart'!$C$2:$T$20,9,false)*HLOOKUP($K329,'Type Chart'!$C$2:$U$20,9,false)</f>
        <v>0.5</v>
      </c>
      <c r="AC329" s="960">
        <f t="array" ref="AC329">HLOOKUP($J329,'Type Chart'!$C$2:$T$20,10,false)*HLOOKUP($K329,'Type Chart'!$C$2:$U$20,10,false)</f>
        <v>2</v>
      </c>
      <c r="AD329" s="960">
        <f t="array" ref="AD329">HLOOKUP($J329,'Type Chart'!$C$2:$T$20,11,false)*HLOOKUP($K329,'Type Chart'!$C$2:$U$20,11,false)</f>
        <v>0.5</v>
      </c>
      <c r="AE329" s="960">
        <f t="array" ref="AE329">HLOOKUP($J329,'Type Chart'!$C$2:$T$20,12,false)*HLOOKUP($K329,'Type Chart'!$C$2:$U$20,12,false)</f>
        <v>2</v>
      </c>
      <c r="AF329" s="960">
        <f t="array" ref="AF329">HLOOKUP($J329,'Type Chart'!$C$2:$T$20,13,false)*HLOOKUP($K329,'Type Chart'!$C$2:$U$20,13,false)</f>
        <v>2</v>
      </c>
      <c r="AG329" s="960">
        <f t="array" ref="AG329">HLOOKUP($J329,'Type Chart'!$C$2:$T$20,14,false)*HLOOKUP($K329,'Type Chart'!$C$2:$U$20,14,false)</f>
        <v>1</v>
      </c>
      <c r="AH329" s="960">
        <f t="array" ref="AH329">HLOOKUP($J329,'Type Chart'!$C$2:$T$20,15,false)*HLOOKUP($K329,'Type Chart'!$C$2:$U$20,15,false)</f>
        <v>0</v>
      </c>
      <c r="AI329" s="960">
        <f t="array" ref="AI329">HLOOKUP($J329,'Type Chart'!$C$2:$T$20,16,false)*HLOOKUP($K329,'Type Chart'!$C$2:$U$20,16,false)</f>
        <v>1</v>
      </c>
      <c r="AJ329" s="960">
        <f t="array" ref="AJ329">HLOOKUP($J329,'Type Chart'!$C$2:$T$20,17,false)*HLOOKUP($K329,'Type Chart'!$C$2:$U$20,17,false)</f>
        <v>1</v>
      </c>
      <c r="AK329" s="960">
        <f t="array" ref="AK329">HLOOKUP($J329,'Type Chart'!$C$2:$T$20,18,false)*HLOOKUP($K329,'Type Chart'!$C$2:$U$20,18,false)</f>
        <v>0.5</v>
      </c>
      <c r="AL329" s="960">
        <f t="array" ref="AL329">HLOOKUP($J329,'Type Chart'!$C$2:$T$20,19,false)*HLOOKUP($K329,'Type Chart'!$C$2:$U$20,19,false)</f>
        <v>2</v>
      </c>
      <c r="AM329" s="1145" t="s">
        <v>1964</v>
      </c>
      <c r="AN329" s="1202"/>
      <c r="AO329" s="1146"/>
      <c r="AP329" s="936"/>
      <c r="AQ329" s="967"/>
      <c r="AR329" s="968"/>
      <c r="AS329" s="936"/>
    </row>
    <row r="330" ht="15.75" customHeight="1">
      <c r="A330" s="936"/>
      <c r="B330" s="948" t="s">
        <v>1968</v>
      </c>
      <c r="C330" s="950" t="s">
        <v>1969</v>
      </c>
      <c r="D330" s="950" t="s">
        <v>1969</v>
      </c>
      <c r="E330" s="952" t="s">
        <v>1969</v>
      </c>
      <c r="F330" s="940"/>
      <c r="G330" s="953"/>
      <c r="H330" s="969"/>
      <c r="I330" s="956" t="s">
        <v>258</v>
      </c>
      <c r="J330" s="1203" t="s">
        <v>344</v>
      </c>
      <c r="K330" s="1001" t="s">
        <v>128</v>
      </c>
      <c r="L330" s="959">
        <v>106.0</v>
      </c>
      <c r="M330" s="960">
        <v>90.0</v>
      </c>
      <c r="N330" s="960">
        <v>130.0</v>
      </c>
      <c r="O330" s="960">
        <v>90.0</v>
      </c>
      <c r="P330" s="960">
        <v>154.0</v>
      </c>
      <c r="Q330" s="960">
        <v>110.0</v>
      </c>
      <c r="R330" s="960">
        <v>256.0</v>
      </c>
      <c r="S330" s="960">
        <v>319.0</v>
      </c>
      <c r="T330" s="960">
        <v>350.0</v>
      </c>
      <c r="U330" s="960">
        <f t="array" ref="U330">HLOOKUP($J330,'Type Chart'!$C$2:$T$20,2,false)*HLOOKUP($K330,'Type Chart'!$C$2:$U$20,2,false)</f>
        <v>1</v>
      </c>
      <c r="V330" s="960">
        <f t="array" ref="V330">HLOOKUP($J330,'Type Chart'!$C$2:$T$20,3,false)*HLOOKUP($K330,'Type Chart'!$C$2:$U$20,3,false)</f>
        <v>0.25</v>
      </c>
      <c r="W330" s="960">
        <f t="array" ref="W330">HLOOKUP($J330,'Type Chart'!$C$2:$T$20,4,false)*HLOOKUP($K330,'Type Chart'!$C$2:$U$20,4,false)</f>
        <v>1</v>
      </c>
      <c r="X330" s="960">
        <f t="array" ref="X330">HLOOKUP($J330,'Type Chart'!$C$2:$T$20,5,false)*HLOOKUP($K330,'Type Chart'!$C$2:$U$20,5,false)</f>
        <v>1</v>
      </c>
      <c r="Y330" s="960">
        <f t="array" ref="Y330">HLOOKUP($J330,'Type Chart'!$C$2:$T$20,6,false)*HLOOKUP($K330,'Type Chart'!$C$2:$U$20,6,false)</f>
        <v>0</v>
      </c>
      <c r="Z330" s="960">
        <f t="array" ref="Z330">HLOOKUP($J330,'Type Chart'!$C$2:$T$20,7,false)*HLOOKUP($K330,'Type Chart'!$C$2:$U$20,7,false)</f>
        <v>2</v>
      </c>
      <c r="AA330" s="960">
        <f t="array" ref="AA330">HLOOKUP($J330,'Type Chart'!$C$2:$T$20,8,false)*HLOOKUP($K330,'Type Chart'!$C$2:$U$20,8,false)</f>
        <v>1</v>
      </c>
      <c r="AB330" s="960">
        <f t="array" ref="AB330">HLOOKUP($J330,'Type Chart'!$C$2:$T$20,9,false)*HLOOKUP($K330,'Type Chart'!$C$2:$U$20,9,false)</f>
        <v>2</v>
      </c>
      <c r="AC330" s="960">
        <f t="array" ref="AC330">HLOOKUP($J330,'Type Chart'!$C$2:$T$20,10,false)*HLOOKUP($K330,'Type Chart'!$C$2:$U$20,10,false)</f>
        <v>1</v>
      </c>
      <c r="AD330" s="960">
        <f t="array" ref="AD330">HLOOKUP($J330,'Type Chart'!$C$2:$T$20,11,false)*HLOOKUP($K330,'Type Chart'!$C$2:$U$20,11,false)</f>
        <v>1</v>
      </c>
      <c r="AE330" s="960">
        <f t="array" ref="AE330">HLOOKUP($J330,'Type Chart'!$C$2:$T$20,12,false)*HLOOKUP($K330,'Type Chart'!$C$2:$U$20,12,false)</f>
        <v>1</v>
      </c>
      <c r="AF330" s="960">
        <f t="array" ref="AF330">HLOOKUP($J330,'Type Chart'!$C$2:$T$20,13,false)*HLOOKUP($K330,'Type Chart'!$C$2:$U$20,13,false)</f>
        <v>0.5</v>
      </c>
      <c r="AG330" s="960">
        <f t="array" ref="AG330">HLOOKUP($J330,'Type Chart'!$C$2:$T$20,14,false)*HLOOKUP($K330,'Type Chart'!$C$2:$U$20,14,false)</f>
        <v>2</v>
      </c>
      <c r="AH330" s="960">
        <f t="array" ref="AH330">HLOOKUP($J330,'Type Chart'!$C$2:$T$20,15,false)*HLOOKUP($K330,'Type Chart'!$C$2:$U$20,15,false)</f>
        <v>0.5</v>
      </c>
      <c r="AI330" s="960">
        <f t="array" ref="AI330">HLOOKUP($J330,'Type Chart'!$C$2:$T$20,16,false)*HLOOKUP($K330,'Type Chart'!$C$2:$U$20,16,false)</f>
        <v>2</v>
      </c>
      <c r="AJ330" s="960">
        <f t="array" ref="AJ330">HLOOKUP($J330,'Type Chart'!$C$2:$T$20,17,false)*HLOOKUP($K330,'Type Chart'!$C$2:$U$20,17,false)</f>
        <v>1</v>
      </c>
      <c r="AK330" s="960">
        <f t="array" ref="AK330">HLOOKUP($J330,'Type Chart'!$C$2:$T$20,18,false)*HLOOKUP($K330,'Type Chart'!$C$2:$U$20,18,false)</f>
        <v>2</v>
      </c>
      <c r="AL330" s="960">
        <f t="array" ref="AL330">HLOOKUP($J330,'Type Chart'!$C$2:$T$20,19,false)*HLOOKUP($K330,'Type Chart'!$C$2:$U$20,19,false)</f>
        <v>1</v>
      </c>
      <c r="AM330" s="964" t="s">
        <v>1636</v>
      </c>
      <c r="AN330" s="965"/>
      <c r="AO330" s="966" t="s">
        <v>1665</v>
      </c>
      <c r="AP330" s="936"/>
      <c r="AQ330" s="967"/>
      <c r="AR330" s="968"/>
      <c r="AS330" s="936"/>
    </row>
    <row r="331" ht="15.75" customHeight="1">
      <c r="A331" s="936"/>
      <c r="B331" s="948" t="s">
        <v>1970</v>
      </c>
      <c r="C331" s="950" t="s">
        <v>1971</v>
      </c>
      <c r="D331" s="950" t="s">
        <v>1972</v>
      </c>
      <c r="E331" s="952" t="s">
        <v>1971</v>
      </c>
      <c r="F331" s="940"/>
      <c r="G331" s="953"/>
      <c r="H331" s="969"/>
      <c r="I331" s="956" t="s">
        <v>253</v>
      </c>
      <c r="J331" s="982" t="s">
        <v>150</v>
      </c>
      <c r="K331" s="1001" t="s">
        <v>128</v>
      </c>
      <c r="L331" s="959">
        <v>106.0</v>
      </c>
      <c r="M331" s="960">
        <v>130.0</v>
      </c>
      <c r="N331" s="960">
        <v>90.0</v>
      </c>
      <c r="O331" s="960">
        <v>110.0</v>
      </c>
      <c r="P331" s="960">
        <v>154.0</v>
      </c>
      <c r="Q331" s="960">
        <v>90.0</v>
      </c>
      <c r="R331" s="960">
        <v>216.0</v>
      </c>
      <c r="S331" s="960">
        <v>279.0</v>
      </c>
      <c r="T331" s="960">
        <v>306.0</v>
      </c>
      <c r="U331" s="960">
        <f t="array" ref="U331">HLOOKUP($J331,'Type Chart'!$C$2:$T$20,2,false)*HLOOKUP($K331,'Type Chart'!$C$2:$U$20,2,false)</f>
        <v>1</v>
      </c>
      <c r="V331" s="960">
        <f t="array" ref="V331">HLOOKUP($J331,'Type Chart'!$C$2:$T$20,3,false)*HLOOKUP($K331,'Type Chart'!$C$2:$U$20,3,false)</f>
        <v>0.5</v>
      </c>
      <c r="W331" s="960">
        <f t="array" ref="W331">HLOOKUP($J331,'Type Chart'!$C$2:$T$20,4,false)*HLOOKUP($K331,'Type Chart'!$C$2:$U$20,4,false)</f>
        <v>1</v>
      </c>
      <c r="X331" s="960">
        <f t="array" ref="X331">HLOOKUP($J331,'Type Chart'!$C$2:$T$20,5,false)*HLOOKUP($K331,'Type Chart'!$C$2:$U$20,5,false)</f>
        <v>1</v>
      </c>
      <c r="Y331" s="960">
        <f t="array" ref="Y331">HLOOKUP($J331,'Type Chart'!$C$2:$T$20,6,false)*HLOOKUP($K331,'Type Chart'!$C$2:$U$20,6,false)</f>
        <v>0</v>
      </c>
      <c r="Z331" s="960">
        <f t="array" ref="Z331">HLOOKUP($J331,'Type Chart'!$C$2:$T$20,7,false)*HLOOKUP($K331,'Type Chart'!$C$2:$U$20,7,false)</f>
        <v>4</v>
      </c>
      <c r="AA331" s="960">
        <f t="array" ref="AA331">HLOOKUP($J331,'Type Chart'!$C$2:$T$20,8,false)*HLOOKUP($K331,'Type Chart'!$C$2:$U$20,8,false)</f>
        <v>0.25</v>
      </c>
      <c r="AB331" s="960">
        <f t="array" ref="AB331">HLOOKUP($J331,'Type Chart'!$C$2:$T$20,9,false)*HLOOKUP($K331,'Type Chart'!$C$2:$U$20,9,false)</f>
        <v>1</v>
      </c>
      <c r="AC331" s="960">
        <f t="array" ref="AC331">HLOOKUP($J331,'Type Chart'!$C$2:$T$20,10,false)*HLOOKUP($K331,'Type Chart'!$C$2:$U$20,10,false)</f>
        <v>0.5</v>
      </c>
      <c r="AD331" s="960">
        <f t="array" ref="AD331">HLOOKUP($J331,'Type Chart'!$C$2:$T$20,11,false)*HLOOKUP($K331,'Type Chart'!$C$2:$U$20,11,false)</f>
        <v>0.5</v>
      </c>
      <c r="AE331" s="960">
        <f t="array" ref="AE331">HLOOKUP($J331,'Type Chart'!$C$2:$T$20,12,false)*HLOOKUP($K331,'Type Chart'!$C$2:$U$20,12,false)</f>
        <v>2</v>
      </c>
      <c r="AF331" s="960">
        <f t="array" ref="AF331">HLOOKUP($J331,'Type Chart'!$C$2:$T$20,13,false)*HLOOKUP($K331,'Type Chart'!$C$2:$U$20,13,false)</f>
        <v>0.25</v>
      </c>
      <c r="AG331" s="960">
        <f t="array" ref="AG331">HLOOKUP($J331,'Type Chart'!$C$2:$T$20,14,false)*HLOOKUP($K331,'Type Chart'!$C$2:$U$20,14,false)</f>
        <v>2</v>
      </c>
      <c r="AH331" s="960">
        <f t="array" ref="AH331">HLOOKUP($J331,'Type Chart'!$C$2:$T$20,15,false)*HLOOKUP($K331,'Type Chart'!$C$2:$U$20,15,false)</f>
        <v>1</v>
      </c>
      <c r="AI331" s="960">
        <f t="array" ref="AI331">HLOOKUP($J331,'Type Chart'!$C$2:$T$20,16,false)*HLOOKUP($K331,'Type Chart'!$C$2:$U$20,16,false)</f>
        <v>1</v>
      </c>
      <c r="AJ331" s="960">
        <f t="array" ref="AJ331">HLOOKUP($J331,'Type Chart'!$C$2:$T$20,17,false)*HLOOKUP($K331,'Type Chart'!$C$2:$U$20,17,false)</f>
        <v>1</v>
      </c>
      <c r="AK331" s="960">
        <f t="array" ref="AK331">HLOOKUP($J331,'Type Chart'!$C$2:$T$20,18,false)*HLOOKUP($K331,'Type Chart'!$C$2:$U$20,18,false)</f>
        <v>1</v>
      </c>
      <c r="AL331" s="960">
        <f t="array" ref="AL331">HLOOKUP($J331,'Type Chart'!$C$2:$T$20,19,false)*HLOOKUP($K331,'Type Chart'!$C$2:$U$20,19,false)</f>
        <v>0.5</v>
      </c>
      <c r="AM331" s="964" t="s">
        <v>1636</v>
      </c>
      <c r="AN331" s="965"/>
      <c r="AO331" s="966" t="s">
        <v>1371</v>
      </c>
      <c r="AP331" s="936"/>
      <c r="AQ331" s="967"/>
      <c r="AR331" s="968"/>
      <c r="AS331" s="936"/>
    </row>
    <row r="332" ht="15.75" customHeight="1">
      <c r="A332" s="936"/>
      <c r="B332" s="948" t="s">
        <v>1973</v>
      </c>
      <c r="C332" s="950" t="s">
        <v>1974</v>
      </c>
      <c r="D332" s="950" t="s">
        <v>1974</v>
      </c>
      <c r="E332" s="952" t="s">
        <v>1974</v>
      </c>
      <c r="F332" s="940"/>
      <c r="G332" s="953"/>
      <c r="H332" s="969"/>
      <c r="I332" s="956" t="s">
        <v>1975</v>
      </c>
      <c r="J332" s="1203" t="s">
        <v>344</v>
      </c>
      <c r="K332" s="957" t="s">
        <v>209</v>
      </c>
      <c r="L332" s="959">
        <v>100.0</v>
      </c>
      <c r="M332" s="960">
        <v>100.0</v>
      </c>
      <c r="N332" s="960">
        <v>100.0</v>
      </c>
      <c r="O332" s="960">
        <v>100.0</v>
      </c>
      <c r="P332" s="960">
        <v>100.0</v>
      </c>
      <c r="Q332" s="960">
        <v>100.0</v>
      </c>
      <c r="R332" s="960">
        <v>236.0</v>
      </c>
      <c r="S332" s="960">
        <v>299.0</v>
      </c>
      <c r="T332" s="960">
        <v>328.0</v>
      </c>
      <c r="U332" s="960">
        <f t="array" ref="U332">HLOOKUP($J332,'Type Chart'!$C$2:$T$20,2,false)*HLOOKUP($K332,'Type Chart'!$C$2:$U$20,2,false)</f>
        <v>1</v>
      </c>
      <c r="V332" s="960">
        <f t="array" ref="V332">HLOOKUP($J332,'Type Chart'!$C$2:$T$20,3,false)*HLOOKUP($K332,'Type Chart'!$C$2:$U$20,3,false)</f>
        <v>0.5</v>
      </c>
      <c r="W332" s="960">
        <f t="array" ref="W332">HLOOKUP($J332,'Type Chart'!$C$2:$T$20,4,false)*HLOOKUP($K332,'Type Chart'!$C$2:$U$20,4,false)</f>
        <v>2</v>
      </c>
      <c r="X332" s="960">
        <f t="array" ref="X332">HLOOKUP($J332,'Type Chart'!$C$2:$T$20,5,false)*HLOOKUP($K332,'Type Chart'!$C$2:$U$20,5,false)</f>
        <v>2</v>
      </c>
      <c r="Y332" s="960">
        <f t="array" ref="Y332">HLOOKUP($J332,'Type Chart'!$C$2:$T$20,6,false)*HLOOKUP($K332,'Type Chart'!$C$2:$U$20,6,false)</f>
        <v>0.5</v>
      </c>
      <c r="Z332" s="960">
        <f t="array" ref="Z332">HLOOKUP($J332,'Type Chart'!$C$2:$T$20,7,false)*HLOOKUP($K332,'Type Chart'!$C$2:$U$20,7,false)</f>
        <v>1</v>
      </c>
      <c r="AA332" s="960">
        <f t="array" ref="AA332">HLOOKUP($J332,'Type Chart'!$C$2:$T$20,8,false)*HLOOKUP($K332,'Type Chart'!$C$2:$U$20,8,false)</f>
        <v>4</v>
      </c>
      <c r="AB332" s="960">
        <f t="array" ref="AB332">HLOOKUP($J332,'Type Chart'!$C$2:$T$20,9,false)*HLOOKUP($K332,'Type Chart'!$C$2:$U$20,9,false)</f>
        <v>2</v>
      </c>
      <c r="AC332" s="960">
        <f t="array" ref="AC332">HLOOKUP($J332,'Type Chart'!$C$2:$T$20,10,false)*HLOOKUP($K332,'Type Chart'!$C$2:$U$20,10,false)</f>
        <v>1</v>
      </c>
      <c r="AD332" s="960">
        <f t="array" ref="AD332">HLOOKUP($J332,'Type Chart'!$C$2:$T$20,11,false)*HLOOKUP($K332,'Type Chart'!$C$2:$U$20,11,false)</f>
        <v>2</v>
      </c>
      <c r="AE332" s="960">
        <f t="array" ref="AE332">HLOOKUP($J332,'Type Chart'!$C$2:$T$20,12,false)*HLOOKUP($K332,'Type Chart'!$C$2:$U$20,12,false)</f>
        <v>0.5</v>
      </c>
      <c r="AF332" s="960">
        <f t="array" ref="AF332">HLOOKUP($J332,'Type Chart'!$C$2:$T$20,13,false)*HLOOKUP($K332,'Type Chart'!$C$2:$U$20,13,false)</f>
        <v>0.5</v>
      </c>
      <c r="AG332" s="960">
        <f t="array" ref="AG332">HLOOKUP($J332,'Type Chart'!$C$2:$T$20,14,false)*HLOOKUP($K332,'Type Chart'!$C$2:$U$20,14,false)</f>
        <v>0.5</v>
      </c>
      <c r="AH332" s="960">
        <f t="array" ref="AH332">HLOOKUP($J332,'Type Chart'!$C$2:$T$20,15,false)*HLOOKUP($K332,'Type Chart'!$C$2:$U$20,15,false)</f>
        <v>0.5</v>
      </c>
      <c r="AI332" s="960">
        <f t="array" ref="AI332">HLOOKUP($J332,'Type Chart'!$C$2:$T$20,16,false)*HLOOKUP($K332,'Type Chart'!$C$2:$U$20,16,false)</f>
        <v>2</v>
      </c>
      <c r="AJ332" s="960">
        <f t="array" ref="AJ332">HLOOKUP($J332,'Type Chart'!$C$2:$T$20,17,false)*HLOOKUP($K332,'Type Chart'!$C$2:$U$20,17,false)</f>
        <v>1</v>
      </c>
      <c r="AK332" s="960">
        <f t="array" ref="AK332">HLOOKUP($J332,'Type Chart'!$C$2:$T$20,18,false)*HLOOKUP($K332,'Type Chart'!$C$2:$U$20,18,false)</f>
        <v>2</v>
      </c>
      <c r="AL332" s="960">
        <f t="array" ref="AL332">HLOOKUP($J332,'Type Chart'!$C$2:$T$20,19,false)*HLOOKUP($K332,'Type Chart'!$C$2:$U$20,19,false)</f>
        <v>1</v>
      </c>
      <c r="AM332" s="964" t="s">
        <v>1520</v>
      </c>
      <c r="AN332" s="965"/>
      <c r="AO332" s="966"/>
      <c r="AP332" s="936"/>
      <c r="AQ332" s="967"/>
      <c r="AR332" s="968"/>
      <c r="AS332" s="936"/>
    </row>
    <row r="333" ht="15.75" customHeight="1">
      <c r="A333" s="936"/>
      <c r="B333" s="948" t="s">
        <v>1976</v>
      </c>
      <c r="C333" s="950" t="s">
        <v>1977</v>
      </c>
      <c r="D333" s="950" t="s">
        <v>1977</v>
      </c>
      <c r="E333" s="952" t="s">
        <v>1977</v>
      </c>
      <c r="F333" s="940"/>
      <c r="G333" s="953"/>
      <c r="H333" s="969"/>
      <c r="I333" s="956" t="s">
        <v>1978</v>
      </c>
      <c r="J333" s="957" t="s">
        <v>209</v>
      </c>
      <c r="K333" s="984" t="s">
        <v>216</v>
      </c>
      <c r="L333" s="959">
        <v>40.0</v>
      </c>
      <c r="M333" s="960">
        <v>45.0</v>
      </c>
      <c r="N333" s="960">
        <v>35.0</v>
      </c>
      <c r="O333" s="960">
        <v>65.0</v>
      </c>
      <c r="P333" s="960">
        <v>55.0</v>
      </c>
      <c r="Q333" s="960">
        <v>70.0</v>
      </c>
      <c r="R333" s="960">
        <v>176.0</v>
      </c>
      <c r="S333" s="960">
        <v>239.0</v>
      </c>
      <c r="T333" s="960">
        <v>262.0</v>
      </c>
      <c r="U333" s="960">
        <f t="array" ref="U333">HLOOKUP($J333,'Type Chart'!$C$2:$T$20,2,false)*HLOOKUP($K333,'Type Chart'!$C$2:$U$20,2,false)</f>
        <v>1</v>
      </c>
      <c r="V333" s="960">
        <f t="array" ref="V333">HLOOKUP($J333,'Type Chart'!$C$2:$T$20,3,false)*HLOOKUP($K333,'Type Chart'!$C$2:$U$20,3,false)</f>
        <v>1</v>
      </c>
      <c r="W333" s="960">
        <f t="array" ref="W333">HLOOKUP($J333,'Type Chart'!$C$2:$T$20,4,false)*HLOOKUP($K333,'Type Chart'!$C$2:$U$20,4,false)</f>
        <v>2</v>
      </c>
      <c r="X333" s="960">
        <f t="array" ref="X333">HLOOKUP($J333,'Type Chart'!$C$2:$T$20,5,false)*HLOOKUP($K333,'Type Chart'!$C$2:$U$20,5,false)</f>
        <v>2</v>
      </c>
      <c r="Y333" s="960">
        <f t="array" ref="Y333">HLOOKUP($J333,'Type Chart'!$C$2:$T$20,6,false)*HLOOKUP($K333,'Type Chart'!$C$2:$U$20,6,false)</f>
        <v>0.5</v>
      </c>
      <c r="Z333" s="960">
        <f t="array" ref="Z333">HLOOKUP($J333,'Type Chart'!$C$2:$T$20,7,false)*HLOOKUP($K333,'Type Chart'!$C$2:$U$20,7,false)</f>
        <v>1</v>
      </c>
      <c r="AA333" s="960">
        <f t="array" ref="AA333">HLOOKUP($J333,'Type Chart'!$C$2:$T$20,8,false)*HLOOKUP($K333,'Type Chart'!$C$2:$U$20,8,false)</f>
        <v>2</v>
      </c>
      <c r="AB333" s="960">
        <f t="array" ref="AB333">HLOOKUP($J333,'Type Chart'!$C$2:$T$20,9,false)*HLOOKUP($K333,'Type Chart'!$C$2:$U$20,9,false)</f>
        <v>1</v>
      </c>
      <c r="AC333" s="960">
        <f t="array" ref="AC333">HLOOKUP($J333,'Type Chart'!$C$2:$T$20,10,false)*HLOOKUP($K333,'Type Chart'!$C$2:$U$20,10,false)</f>
        <v>1</v>
      </c>
      <c r="AD333" s="960">
        <f t="array" ref="AD333">HLOOKUP($J333,'Type Chart'!$C$2:$T$20,11,false)*HLOOKUP($K333,'Type Chart'!$C$2:$U$20,11,false)</f>
        <v>2</v>
      </c>
      <c r="AE333" s="960">
        <f t="array" ref="AE333">HLOOKUP($J333,'Type Chart'!$C$2:$T$20,12,false)*HLOOKUP($K333,'Type Chart'!$C$2:$U$20,12,false)</f>
        <v>0.5</v>
      </c>
      <c r="AF333" s="960">
        <f t="array" ref="AF333">HLOOKUP($J333,'Type Chart'!$C$2:$T$20,13,false)*HLOOKUP($K333,'Type Chart'!$C$2:$U$20,13,false)</f>
        <v>0.5</v>
      </c>
      <c r="AG333" s="960">
        <f t="array" ref="AG333">HLOOKUP($J333,'Type Chart'!$C$2:$T$20,14,false)*HLOOKUP($K333,'Type Chart'!$C$2:$U$20,14,false)</f>
        <v>0.5</v>
      </c>
      <c r="AH333" s="960">
        <f t="array" ref="AH333">HLOOKUP($J333,'Type Chart'!$C$2:$T$20,15,false)*HLOOKUP($K333,'Type Chart'!$C$2:$U$20,15,false)</f>
        <v>1</v>
      </c>
      <c r="AI333" s="960">
        <f t="array" ref="AI333">HLOOKUP($J333,'Type Chart'!$C$2:$T$20,16,false)*HLOOKUP($K333,'Type Chart'!$C$2:$U$20,16,false)</f>
        <v>2</v>
      </c>
      <c r="AJ333" s="960">
        <f t="array" ref="AJ333">HLOOKUP($J333,'Type Chart'!$C$2:$T$20,17,false)*HLOOKUP($K333,'Type Chart'!$C$2:$U$20,17,false)</f>
        <v>1</v>
      </c>
      <c r="AK333" s="960">
        <f t="array" ref="AK333">HLOOKUP($J333,'Type Chart'!$C$2:$T$20,18,false)*HLOOKUP($K333,'Type Chart'!$C$2:$U$20,18,false)</f>
        <v>1</v>
      </c>
      <c r="AL333" s="960">
        <f t="array" ref="AL333">HLOOKUP($J333,'Type Chart'!$C$2:$T$20,19,false)*HLOOKUP($K333,'Type Chart'!$C$2:$U$20,19,false)</f>
        <v>1</v>
      </c>
      <c r="AM333" s="964" t="s">
        <v>522</v>
      </c>
      <c r="AN333" s="965"/>
      <c r="AO333" s="966" t="s">
        <v>1498</v>
      </c>
      <c r="AP333" s="936"/>
      <c r="AQ333" s="967"/>
      <c r="AR333" s="968"/>
      <c r="AS333" s="936"/>
    </row>
    <row r="334" ht="15.75" customHeight="1">
      <c r="A334" s="936"/>
      <c r="B334" s="948" t="s">
        <v>1979</v>
      </c>
      <c r="C334" s="950" t="s">
        <v>1980</v>
      </c>
      <c r="D334" s="950" t="s">
        <v>1980</v>
      </c>
      <c r="E334" s="952" t="s">
        <v>1980</v>
      </c>
      <c r="F334" s="940"/>
      <c r="G334" s="953"/>
      <c r="H334" s="969"/>
      <c r="I334" s="956" t="s">
        <v>1981</v>
      </c>
      <c r="J334" s="957" t="s">
        <v>209</v>
      </c>
      <c r="K334" s="984" t="s">
        <v>216</v>
      </c>
      <c r="L334" s="959">
        <v>50.0</v>
      </c>
      <c r="M334" s="960">
        <v>65.0</v>
      </c>
      <c r="N334" s="960">
        <v>45.0</v>
      </c>
      <c r="O334" s="960">
        <v>85.0</v>
      </c>
      <c r="P334" s="960">
        <v>65.0</v>
      </c>
      <c r="Q334" s="960">
        <v>95.0</v>
      </c>
      <c r="R334" s="960">
        <v>226.0</v>
      </c>
      <c r="S334" s="960">
        <v>289.0</v>
      </c>
      <c r="T334" s="960">
        <v>317.0</v>
      </c>
      <c r="U334" s="960">
        <f t="array" ref="U334">HLOOKUP($J334,'Type Chart'!$C$2:$T$20,2,false)*HLOOKUP($K334,'Type Chart'!$C$2:$U$20,2,false)</f>
        <v>1</v>
      </c>
      <c r="V334" s="960">
        <f t="array" ref="V334">HLOOKUP($J334,'Type Chart'!$C$2:$T$20,3,false)*HLOOKUP($K334,'Type Chart'!$C$2:$U$20,3,false)</f>
        <v>1</v>
      </c>
      <c r="W334" s="960">
        <f t="array" ref="W334">HLOOKUP($J334,'Type Chart'!$C$2:$T$20,4,false)*HLOOKUP($K334,'Type Chart'!$C$2:$U$20,4,false)</f>
        <v>2</v>
      </c>
      <c r="X334" s="960">
        <f t="array" ref="X334">HLOOKUP($J334,'Type Chart'!$C$2:$T$20,5,false)*HLOOKUP($K334,'Type Chart'!$C$2:$U$20,5,false)</f>
        <v>2</v>
      </c>
      <c r="Y334" s="960">
        <f t="array" ref="Y334">HLOOKUP($J334,'Type Chart'!$C$2:$T$20,6,false)*HLOOKUP($K334,'Type Chart'!$C$2:$U$20,6,false)</f>
        <v>0.5</v>
      </c>
      <c r="Z334" s="960">
        <f t="array" ref="Z334">HLOOKUP($J334,'Type Chart'!$C$2:$T$20,7,false)*HLOOKUP($K334,'Type Chart'!$C$2:$U$20,7,false)</f>
        <v>1</v>
      </c>
      <c r="AA334" s="960">
        <f t="array" ref="AA334">HLOOKUP($J334,'Type Chart'!$C$2:$T$20,8,false)*HLOOKUP($K334,'Type Chart'!$C$2:$U$20,8,false)</f>
        <v>2</v>
      </c>
      <c r="AB334" s="960">
        <f t="array" ref="AB334">HLOOKUP($J334,'Type Chart'!$C$2:$T$20,9,false)*HLOOKUP($K334,'Type Chart'!$C$2:$U$20,9,false)</f>
        <v>1</v>
      </c>
      <c r="AC334" s="960">
        <f t="array" ref="AC334">HLOOKUP($J334,'Type Chart'!$C$2:$T$20,10,false)*HLOOKUP($K334,'Type Chart'!$C$2:$U$20,10,false)</f>
        <v>1</v>
      </c>
      <c r="AD334" s="960">
        <f t="array" ref="AD334">HLOOKUP($J334,'Type Chart'!$C$2:$T$20,11,false)*HLOOKUP($K334,'Type Chart'!$C$2:$U$20,11,false)</f>
        <v>2</v>
      </c>
      <c r="AE334" s="960">
        <f t="array" ref="AE334">HLOOKUP($J334,'Type Chart'!$C$2:$T$20,12,false)*HLOOKUP($K334,'Type Chart'!$C$2:$U$20,12,false)</f>
        <v>0.5</v>
      </c>
      <c r="AF334" s="960">
        <f t="array" ref="AF334">HLOOKUP($J334,'Type Chart'!$C$2:$T$20,13,false)*HLOOKUP($K334,'Type Chart'!$C$2:$U$20,13,false)</f>
        <v>0.5</v>
      </c>
      <c r="AG334" s="960">
        <f t="array" ref="AG334">HLOOKUP($J334,'Type Chart'!$C$2:$T$20,14,false)*HLOOKUP($K334,'Type Chart'!$C$2:$U$20,14,false)</f>
        <v>0.5</v>
      </c>
      <c r="AH334" s="960">
        <f t="array" ref="AH334">HLOOKUP($J334,'Type Chart'!$C$2:$T$20,15,false)*HLOOKUP($K334,'Type Chart'!$C$2:$U$20,15,false)</f>
        <v>1</v>
      </c>
      <c r="AI334" s="960">
        <f t="array" ref="AI334">HLOOKUP($J334,'Type Chart'!$C$2:$T$20,16,false)*HLOOKUP($K334,'Type Chart'!$C$2:$U$20,16,false)</f>
        <v>2</v>
      </c>
      <c r="AJ334" s="960">
        <f t="array" ref="AJ334">HLOOKUP($J334,'Type Chart'!$C$2:$T$20,17,false)*HLOOKUP($K334,'Type Chart'!$C$2:$U$20,17,false)</f>
        <v>1</v>
      </c>
      <c r="AK334" s="960">
        <f t="array" ref="AK334">HLOOKUP($J334,'Type Chart'!$C$2:$T$20,18,false)*HLOOKUP($K334,'Type Chart'!$C$2:$U$20,18,false)</f>
        <v>1</v>
      </c>
      <c r="AL334" s="960">
        <f t="array" ref="AL334">HLOOKUP($J334,'Type Chart'!$C$2:$T$20,19,false)*HLOOKUP($K334,'Type Chart'!$C$2:$U$20,19,false)</f>
        <v>1</v>
      </c>
      <c r="AM334" s="964" t="s">
        <v>522</v>
      </c>
      <c r="AN334" s="965"/>
      <c r="AO334" s="966" t="s">
        <v>1498</v>
      </c>
      <c r="AP334" s="936"/>
      <c r="AQ334" s="967"/>
      <c r="AR334" s="968"/>
      <c r="AS334" s="936"/>
    </row>
    <row r="335" ht="15.75" customHeight="1">
      <c r="A335" s="936"/>
      <c r="B335" s="948" t="s">
        <v>1982</v>
      </c>
      <c r="C335" s="950" t="s">
        <v>1983</v>
      </c>
      <c r="D335" s="950" t="s">
        <v>1983</v>
      </c>
      <c r="E335" s="952" t="s">
        <v>1983</v>
      </c>
      <c r="F335" s="940"/>
      <c r="G335" s="953"/>
      <c r="H335" s="969"/>
      <c r="I335" s="956" t="s">
        <v>665</v>
      </c>
      <c r="J335" s="957" t="s">
        <v>209</v>
      </c>
      <c r="K335" s="984" t="s">
        <v>216</v>
      </c>
      <c r="L335" s="959">
        <v>70.0</v>
      </c>
      <c r="M335" s="960">
        <v>85.0</v>
      </c>
      <c r="N335" s="960">
        <v>65.0</v>
      </c>
      <c r="O335" s="960">
        <v>105.0</v>
      </c>
      <c r="P335" s="960">
        <v>85.0</v>
      </c>
      <c r="Q335" s="960">
        <v>120.0</v>
      </c>
      <c r="R335" s="960">
        <v>276.0</v>
      </c>
      <c r="S335" s="960">
        <v>339.0</v>
      </c>
      <c r="T335" s="960">
        <v>372.0</v>
      </c>
      <c r="U335" s="960">
        <f t="array" ref="U335">HLOOKUP($J335,'Type Chart'!$C$2:$T$20,2,false)*HLOOKUP($K335,'Type Chart'!$C$2:$U$20,2,false)</f>
        <v>1</v>
      </c>
      <c r="V335" s="960">
        <f t="array" ref="V335">HLOOKUP($J335,'Type Chart'!$C$2:$T$20,3,false)*HLOOKUP($K335,'Type Chart'!$C$2:$U$20,3,false)</f>
        <v>1</v>
      </c>
      <c r="W335" s="960">
        <f t="array" ref="W335">HLOOKUP($J335,'Type Chart'!$C$2:$T$20,4,false)*HLOOKUP($K335,'Type Chart'!$C$2:$U$20,4,false)</f>
        <v>2</v>
      </c>
      <c r="X335" s="960">
        <f t="array" ref="X335">HLOOKUP($J335,'Type Chart'!$C$2:$T$20,5,false)*HLOOKUP($K335,'Type Chart'!$C$2:$U$20,5,false)</f>
        <v>2</v>
      </c>
      <c r="Y335" s="960">
        <f t="array" ref="Y335">HLOOKUP($J335,'Type Chart'!$C$2:$T$20,6,false)*HLOOKUP($K335,'Type Chart'!$C$2:$U$20,6,false)</f>
        <v>0.5</v>
      </c>
      <c r="Z335" s="960">
        <f t="array" ref="Z335">HLOOKUP($J335,'Type Chart'!$C$2:$T$20,7,false)*HLOOKUP($K335,'Type Chart'!$C$2:$U$20,7,false)</f>
        <v>1</v>
      </c>
      <c r="AA335" s="960">
        <f t="array" ref="AA335">HLOOKUP($J335,'Type Chart'!$C$2:$T$20,8,false)*HLOOKUP($K335,'Type Chart'!$C$2:$U$20,8,false)</f>
        <v>2</v>
      </c>
      <c r="AB335" s="960">
        <f t="array" ref="AB335">HLOOKUP($J335,'Type Chart'!$C$2:$T$20,9,false)*HLOOKUP($K335,'Type Chart'!$C$2:$U$20,9,false)</f>
        <v>1</v>
      </c>
      <c r="AC335" s="960">
        <f t="array" ref="AC335">HLOOKUP($J335,'Type Chart'!$C$2:$T$20,10,false)*HLOOKUP($K335,'Type Chart'!$C$2:$U$20,10,false)</f>
        <v>1</v>
      </c>
      <c r="AD335" s="960">
        <f t="array" ref="AD335">HLOOKUP($J335,'Type Chart'!$C$2:$T$20,11,false)*HLOOKUP($K335,'Type Chart'!$C$2:$U$20,11,false)</f>
        <v>2</v>
      </c>
      <c r="AE335" s="960">
        <f t="array" ref="AE335">HLOOKUP($J335,'Type Chart'!$C$2:$T$20,12,false)*HLOOKUP($K335,'Type Chart'!$C$2:$U$20,12,false)</f>
        <v>0.5</v>
      </c>
      <c r="AF335" s="960">
        <f t="array" ref="AF335">HLOOKUP($J335,'Type Chart'!$C$2:$T$20,13,false)*HLOOKUP($K335,'Type Chart'!$C$2:$U$20,13,false)</f>
        <v>0.5</v>
      </c>
      <c r="AG335" s="960">
        <f t="array" ref="AG335">HLOOKUP($J335,'Type Chart'!$C$2:$T$20,14,false)*HLOOKUP($K335,'Type Chart'!$C$2:$U$20,14,false)</f>
        <v>0.5</v>
      </c>
      <c r="AH335" s="960">
        <f t="array" ref="AH335">HLOOKUP($J335,'Type Chart'!$C$2:$T$20,15,false)*HLOOKUP($K335,'Type Chart'!$C$2:$U$20,15,false)</f>
        <v>1</v>
      </c>
      <c r="AI335" s="960">
        <f t="array" ref="AI335">HLOOKUP($J335,'Type Chart'!$C$2:$T$20,16,false)*HLOOKUP($K335,'Type Chart'!$C$2:$U$20,16,false)</f>
        <v>2</v>
      </c>
      <c r="AJ335" s="960">
        <f t="array" ref="AJ335">HLOOKUP($J335,'Type Chart'!$C$2:$T$20,17,false)*HLOOKUP($K335,'Type Chart'!$C$2:$U$20,17,false)</f>
        <v>1</v>
      </c>
      <c r="AK335" s="960">
        <f t="array" ref="AK335">HLOOKUP($J335,'Type Chart'!$C$2:$T$20,18,false)*HLOOKUP($K335,'Type Chart'!$C$2:$U$20,18,false)</f>
        <v>1</v>
      </c>
      <c r="AL335" s="960">
        <f t="array" ref="AL335">HLOOKUP($J335,'Type Chart'!$C$2:$T$20,19,false)*HLOOKUP($K335,'Type Chart'!$C$2:$U$20,19,false)</f>
        <v>1</v>
      </c>
      <c r="AM335" s="964" t="s">
        <v>522</v>
      </c>
      <c r="AN335" s="965"/>
      <c r="AO335" s="966" t="s">
        <v>1498</v>
      </c>
      <c r="AP335" s="936"/>
      <c r="AQ335" s="967"/>
      <c r="AR335" s="968"/>
      <c r="AS335" s="936"/>
    </row>
    <row r="336" ht="15.75" customHeight="1">
      <c r="A336" s="1099"/>
      <c r="B336" s="948" t="s">
        <v>1984</v>
      </c>
      <c r="C336" s="1197" t="s">
        <v>1985</v>
      </c>
      <c r="D336" s="1197" t="s">
        <v>1985</v>
      </c>
      <c r="E336" s="1147" t="s">
        <v>1985</v>
      </c>
      <c r="F336" s="940"/>
      <c r="G336" s="953"/>
      <c r="H336" s="969"/>
      <c r="I336" s="998" t="s">
        <v>1986</v>
      </c>
      <c r="J336" s="1228" t="s">
        <v>209</v>
      </c>
      <c r="K336" s="1231" t="s">
        <v>346</v>
      </c>
      <c r="L336" s="1200">
        <v>70.0</v>
      </c>
      <c r="M336" s="1201">
        <v>110.0</v>
      </c>
      <c r="N336" s="1201">
        <v>75.0</v>
      </c>
      <c r="O336" s="1201">
        <v>145.0</v>
      </c>
      <c r="P336" s="1201">
        <v>85.0</v>
      </c>
      <c r="Q336" s="1201">
        <v>145.0</v>
      </c>
      <c r="R336" s="960">
        <v>326.0</v>
      </c>
      <c r="S336" s="960">
        <v>389.0</v>
      </c>
      <c r="T336" s="960">
        <v>427.0</v>
      </c>
      <c r="U336" s="960">
        <f t="array" ref="U336">HLOOKUP($J336,'Type Chart'!$C$2:$T$20,2,false)*HLOOKUP($K336,'Type Chart'!$C$2:$U$20,2,false)</f>
        <v>1</v>
      </c>
      <c r="V336" s="960">
        <f t="array" ref="V336">HLOOKUP($J336,'Type Chart'!$C$2:$T$20,3,false)*HLOOKUP($K336,'Type Chart'!$C$2:$U$20,3,false)</f>
        <v>1</v>
      </c>
      <c r="W336" s="960">
        <f t="array" ref="W336">HLOOKUP($J336,'Type Chart'!$C$2:$T$20,4,false)*HLOOKUP($K336,'Type Chart'!$C$2:$U$20,4,false)</f>
        <v>2</v>
      </c>
      <c r="X336" s="960">
        <f t="array" ref="X336">HLOOKUP($J336,'Type Chart'!$C$2:$T$20,5,false)*HLOOKUP($K336,'Type Chart'!$C$2:$U$20,5,false)</f>
        <v>2</v>
      </c>
      <c r="Y336" s="960">
        <f t="array" ref="Y336">HLOOKUP($J336,'Type Chart'!$C$2:$T$20,6,false)*HLOOKUP($K336,'Type Chart'!$C$2:$U$20,6,false)</f>
        <v>0.5</v>
      </c>
      <c r="Z336" s="960">
        <f t="array" ref="Z336">HLOOKUP($J336,'Type Chart'!$C$2:$T$20,7,false)*HLOOKUP($K336,'Type Chart'!$C$2:$U$20,7,false)</f>
        <v>1</v>
      </c>
      <c r="AA336" s="960">
        <f t="array" ref="AA336">HLOOKUP($J336,'Type Chart'!$C$2:$T$20,8,false)*HLOOKUP($K336,'Type Chart'!$C$2:$U$20,8,false)</f>
        <v>2</v>
      </c>
      <c r="AB336" s="960">
        <f t="array" ref="AB336">HLOOKUP($J336,'Type Chart'!$C$2:$T$20,9,false)*HLOOKUP($K336,'Type Chart'!$C$2:$U$20,9,false)</f>
        <v>1</v>
      </c>
      <c r="AC336" s="960">
        <f t="array" ref="AC336">HLOOKUP($J336,'Type Chart'!$C$2:$T$20,10,false)*HLOOKUP($K336,'Type Chart'!$C$2:$U$20,10,false)</f>
        <v>1</v>
      </c>
      <c r="AD336" s="960">
        <f t="array" ref="AD336">HLOOKUP($J336,'Type Chart'!$C$2:$T$20,11,false)*HLOOKUP($K336,'Type Chart'!$C$2:$U$20,11,false)</f>
        <v>1</v>
      </c>
      <c r="AE336" s="960">
        <f t="array" ref="AE336">HLOOKUP($J336,'Type Chart'!$C$2:$T$20,12,false)*HLOOKUP($K336,'Type Chart'!$C$2:$U$20,12,false)</f>
        <v>0.25</v>
      </c>
      <c r="AF336" s="960">
        <f t="array" ref="AF336">HLOOKUP($J336,'Type Chart'!$C$2:$T$20,13,false)*HLOOKUP($K336,'Type Chart'!$C$2:$U$20,13,false)</f>
        <v>0.25</v>
      </c>
      <c r="AG336" s="960">
        <f t="array" ref="AG336">HLOOKUP($J336,'Type Chart'!$C$2:$T$20,14,false)*HLOOKUP($K336,'Type Chart'!$C$2:$U$20,14,false)</f>
        <v>0.25</v>
      </c>
      <c r="AH336" s="960">
        <f t="array" ref="AH336">HLOOKUP($J336,'Type Chart'!$C$2:$T$20,15,false)*HLOOKUP($K336,'Type Chart'!$C$2:$U$20,15,false)</f>
        <v>1</v>
      </c>
      <c r="AI336" s="960">
        <f t="array" ref="AI336">HLOOKUP($J336,'Type Chart'!$C$2:$T$20,16,false)*HLOOKUP($K336,'Type Chart'!$C$2:$U$20,16,false)</f>
        <v>4</v>
      </c>
      <c r="AJ336" s="960">
        <f t="array" ref="AJ336">HLOOKUP($J336,'Type Chart'!$C$2:$T$20,17,false)*HLOOKUP($K336,'Type Chart'!$C$2:$U$20,17,false)</f>
        <v>2</v>
      </c>
      <c r="AK336" s="960">
        <f t="array" ref="AK336">HLOOKUP($J336,'Type Chart'!$C$2:$T$20,18,false)*HLOOKUP($K336,'Type Chart'!$C$2:$U$20,18,false)</f>
        <v>1</v>
      </c>
      <c r="AL336" s="960">
        <f t="array" ref="AL336">HLOOKUP($J336,'Type Chart'!$C$2:$T$20,19,false)*HLOOKUP($K336,'Type Chart'!$C$2:$U$20,19,false)</f>
        <v>2</v>
      </c>
      <c r="AM336" s="1145" t="s">
        <v>1068</v>
      </c>
      <c r="AN336" s="1202"/>
      <c r="AO336" s="1146"/>
      <c r="AP336" s="936"/>
      <c r="AQ336" s="967"/>
      <c r="AR336" s="968"/>
      <c r="AS336" s="936"/>
    </row>
    <row r="337" ht="15.75" customHeight="1">
      <c r="A337" s="1099"/>
      <c r="B337" s="948" t="s">
        <v>1987</v>
      </c>
      <c r="C337" s="1197" t="s">
        <v>1988</v>
      </c>
      <c r="D337" s="1197" t="s">
        <v>1988</v>
      </c>
      <c r="E337" s="1147" t="s">
        <v>1988</v>
      </c>
      <c r="F337" s="940"/>
      <c r="G337" s="953"/>
      <c r="H337" s="969"/>
      <c r="I337" s="998" t="s">
        <v>1989</v>
      </c>
      <c r="J337" s="1208" t="s">
        <v>150</v>
      </c>
      <c r="K337" s="1199" t="s">
        <v>216</v>
      </c>
      <c r="L337" s="1200">
        <v>45.0</v>
      </c>
      <c r="M337" s="1201">
        <v>60.0</v>
      </c>
      <c r="N337" s="1201">
        <v>40.0</v>
      </c>
      <c r="O337" s="1201">
        <v>70.0</v>
      </c>
      <c r="P337" s="1201">
        <v>50.0</v>
      </c>
      <c r="Q337" s="1201">
        <v>45.0</v>
      </c>
      <c r="R337" s="960">
        <v>126.0</v>
      </c>
      <c r="S337" s="960">
        <v>189.0</v>
      </c>
      <c r="T337" s="960">
        <v>207.0</v>
      </c>
      <c r="U337" s="960">
        <f t="array" ref="U337">HLOOKUP($J337,'Type Chart'!$C$2:$T$20,2,false)*HLOOKUP($K337,'Type Chart'!$C$2:$U$20,2,false)</f>
        <v>1</v>
      </c>
      <c r="V337" s="960">
        <f t="array" ref="V337">HLOOKUP($J337,'Type Chart'!$C$2:$T$20,3,false)*HLOOKUP($K337,'Type Chart'!$C$2:$U$20,3,false)</f>
        <v>1</v>
      </c>
      <c r="W337" s="960">
        <f t="array" ref="W337">HLOOKUP($J337,'Type Chart'!$C$2:$T$20,4,false)*HLOOKUP($K337,'Type Chart'!$C$2:$U$20,4,false)</f>
        <v>1</v>
      </c>
      <c r="X337" s="960">
        <f t="array" ref="X337">HLOOKUP($J337,'Type Chart'!$C$2:$T$20,5,false)*HLOOKUP($K337,'Type Chart'!$C$2:$U$20,5,false)</f>
        <v>1</v>
      </c>
      <c r="Y337" s="960">
        <f t="array" ref="Y337">HLOOKUP($J337,'Type Chart'!$C$2:$T$20,6,false)*HLOOKUP($K337,'Type Chart'!$C$2:$U$20,6,false)</f>
        <v>2</v>
      </c>
      <c r="Z337" s="960">
        <f t="array" ref="Z337">HLOOKUP($J337,'Type Chart'!$C$2:$T$20,7,false)*HLOOKUP($K337,'Type Chart'!$C$2:$U$20,7,false)</f>
        <v>2</v>
      </c>
      <c r="AA337" s="960">
        <f t="array" ref="AA337">HLOOKUP($J337,'Type Chart'!$C$2:$T$20,8,false)*HLOOKUP($K337,'Type Chart'!$C$2:$U$20,8,false)</f>
        <v>0.5</v>
      </c>
      <c r="AB337" s="960">
        <f t="array" ref="AB337">HLOOKUP($J337,'Type Chart'!$C$2:$T$20,9,false)*HLOOKUP($K337,'Type Chart'!$C$2:$U$20,9,false)</f>
        <v>1</v>
      </c>
      <c r="AC337" s="960">
        <f t="array" ref="AC337">HLOOKUP($J337,'Type Chart'!$C$2:$T$20,10,false)*HLOOKUP($K337,'Type Chart'!$C$2:$U$20,10,false)</f>
        <v>0.5</v>
      </c>
      <c r="AD337" s="960">
        <f t="array" ref="AD337">HLOOKUP($J337,'Type Chart'!$C$2:$T$20,11,false)*HLOOKUP($K337,'Type Chart'!$C$2:$U$20,11,false)</f>
        <v>0.5</v>
      </c>
      <c r="AE337" s="960">
        <f t="array" ref="AE337">HLOOKUP($J337,'Type Chart'!$C$2:$T$20,12,false)*HLOOKUP($K337,'Type Chart'!$C$2:$U$20,12,false)</f>
        <v>2</v>
      </c>
      <c r="AF337" s="960">
        <f t="array" ref="AF337">HLOOKUP($J337,'Type Chart'!$C$2:$T$20,13,false)*HLOOKUP($K337,'Type Chart'!$C$2:$U$20,13,false)</f>
        <v>0.5</v>
      </c>
      <c r="AG337" s="960">
        <f t="array" ref="AG337">HLOOKUP($J337,'Type Chart'!$C$2:$T$20,14,false)*HLOOKUP($K337,'Type Chart'!$C$2:$U$20,14,false)</f>
        <v>1</v>
      </c>
      <c r="AH337" s="960">
        <f t="array" ref="AH337">HLOOKUP($J337,'Type Chart'!$C$2:$T$20,15,false)*HLOOKUP($K337,'Type Chart'!$C$2:$U$20,15,false)</f>
        <v>1</v>
      </c>
      <c r="AI337" s="960">
        <f t="array" ref="AI337">HLOOKUP($J337,'Type Chart'!$C$2:$T$20,16,false)*HLOOKUP($K337,'Type Chart'!$C$2:$U$20,16,false)</f>
        <v>0.5</v>
      </c>
      <c r="AJ337" s="960">
        <f t="array" ref="AJ337">HLOOKUP($J337,'Type Chart'!$C$2:$T$20,17,false)*HLOOKUP($K337,'Type Chart'!$C$2:$U$20,17,false)</f>
        <v>1</v>
      </c>
      <c r="AK337" s="960">
        <f t="array" ref="AK337">HLOOKUP($J337,'Type Chart'!$C$2:$T$20,18,false)*HLOOKUP($K337,'Type Chart'!$C$2:$U$20,18,false)</f>
        <v>1</v>
      </c>
      <c r="AL337" s="960">
        <f t="array" ref="AL337">HLOOKUP($J337,'Type Chart'!$C$2:$T$20,19,false)*HLOOKUP($K337,'Type Chart'!$C$2:$U$20,19,false)</f>
        <v>0.5</v>
      </c>
      <c r="AM337" s="1145" t="s">
        <v>830</v>
      </c>
      <c r="AN337" s="1202"/>
      <c r="AO337" s="1146" t="s">
        <v>1798</v>
      </c>
      <c r="AP337" s="936"/>
      <c r="AQ337" s="967"/>
      <c r="AR337" s="968"/>
      <c r="AS337" s="936"/>
    </row>
    <row r="338" ht="15.75" customHeight="1">
      <c r="A338" s="936"/>
      <c r="B338" s="948" t="s">
        <v>1990</v>
      </c>
      <c r="C338" s="950" t="s">
        <v>1991</v>
      </c>
      <c r="D338" s="950" t="s">
        <v>1991</v>
      </c>
      <c r="E338" s="952" t="s">
        <v>1991</v>
      </c>
      <c r="F338" s="940"/>
      <c r="G338" s="953"/>
      <c r="H338" s="969"/>
      <c r="I338" s="956" t="s">
        <v>1992</v>
      </c>
      <c r="J338" s="982" t="s">
        <v>150</v>
      </c>
      <c r="K338" s="1213" t="s">
        <v>341</v>
      </c>
      <c r="L338" s="959">
        <v>60.0</v>
      </c>
      <c r="M338" s="960">
        <v>85.0</v>
      </c>
      <c r="N338" s="960">
        <v>60.0</v>
      </c>
      <c r="O338" s="960">
        <v>85.0</v>
      </c>
      <c r="P338" s="960">
        <v>60.0</v>
      </c>
      <c r="Q338" s="960">
        <v>55.0</v>
      </c>
      <c r="R338" s="960">
        <v>146.0</v>
      </c>
      <c r="S338" s="960">
        <v>209.0</v>
      </c>
      <c r="T338" s="960">
        <v>229.0</v>
      </c>
      <c r="U338" s="960">
        <f t="array" ref="U338">HLOOKUP($J338,'Type Chart'!$C$2:$T$20,2,false)*HLOOKUP($K338,'Type Chart'!$C$2:$U$20,2,false)</f>
        <v>1</v>
      </c>
      <c r="V338" s="960">
        <f t="array" ref="V338">HLOOKUP($J338,'Type Chart'!$C$2:$T$20,3,false)*HLOOKUP($K338,'Type Chart'!$C$2:$U$20,3,false)</f>
        <v>1</v>
      </c>
      <c r="W338" s="960">
        <f t="array" ref="W338">HLOOKUP($J338,'Type Chart'!$C$2:$T$20,4,false)*HLOOKUP($K338,'Type Chart'!$C$2:$U$20,4,false)</f>
        <v>2</v>
      </c>
      <c r="X338" s="960">
        <f t="array" ref="X338">HLOOKUP($J338,'Type Chart'!$C$2:$T$20,5,false)*HLOOKUP($K338,'Type Chart'!$C$2:$U$20,5,false)</f>
        <v>1</v>
      </c>
      <c r="Y338" s="960">
        <f t="array" ref="Y338">HLOOKUP($J338,'Type Chart'!$C$2:$T$20,6,false)*HLOOKUP($K338,'Type Chart'!$C$2:$U$20,6,false)</f>
        <v>2</v>
      </c>
      <c r="Z338" s="960">
        <f t="array" ref="Z338">HLOOKUP($J338,'Type Chart'!$C$2:$T$20,7,false)*HLOOKUP($K338,'Type Chart'!$C$2:$U$20,7,false)</f>
        <v>1</v>
      </c>
      <c r="AA338" s="960">
        <f t="array" ref="AA338">HLOOKUP($J338,'Type Chart'!$C$2:$T$20,8,false)*HLOOKUP($K338,'Type Chart'!$C$2:$U$20,8,false)</f>
        <v>0.25</v>
      </c>
      <c r="AB338" s="960">
        <f t="array" ref="AB338">HLOOKUP($J338,'Type Chart'!$C$2:$T$20,9,false)*HLOOKUP($K338,'Type Chart'!$C$2:$U$20,9,false)</f>
        <v>1</v>
      </c>
      <c r="AC338" s="960">
        <f t="array" ref="AC338">HLOOKUP($J338,'Type Chart'!$C$2:$T$20,10,false)*HLOOKUP($K338,'Type Chart'!$C$2:$U$20,10,false)</f>
        <v>0.5</v>
      </c>
      <c r="AD338" s="960">
        <f t="array" ref="AD338">HLOOKUP($J338,'Type Chart'!$C$2:$T$20,11,false)*HLOOKUP($K338,'Type Chart'!$C$2:$U$20,11,false)</f>
        <v>0.5</v>
      </c>
      <c r="AE338" s="960">
        <f t="array" ref="AE338">HLOOKUP($J338,'Type Chart'!$C$2:$T$20,12,false)*HLOOKUP($K338,'Type Chart'!$C$2:$U$20,12,false)</f>
        <v>2</v>
      </c>
      <c r="AF338" s="960">
        <f t="array" ref="AF338">HLOOKUP($J338,'Type Chart'!$C$2:$T$20,13,false)*HLOOKUP($K338,'Type Chart'!$C$2:$U$20,13,false)</f>
        <v>0.5</v>
      </c>
      <c r="AG338" s="960">
        <f t="array" ref="AG338">HLOOKUP($J338,'Type Chart'!$C$2:$T$20,14,false)*HLOOKUP($K338,'Type Chart'!$C$2:$U$20,14,false)</f>
        <v>1</v>
      </c>
      <c r="AH338" s="960">
        <f t="array" ref="AH338">HLOOKUP($J338,'Type Chart'!$C$2:$T$20,15,false)*HLOOKUP($K338,'Type Chart'!$C$2:$U$20,15,false)</f>
        <v>2</v>
      </c>
      <c r="AI338" s="960">
        <f t="array" ref="AI338">HLOOKUP($J338,'Type Chart'!$C$2:$T$20,16,false)*HLOOKUP($K338,'Type Chart'!$C$2:$U$20,16,false)</f>
        <v>0.5</v>
      </c>
      <c r="AJ338" s="960">
        <f t="array" ref="AJ338">HLOOKUP($J338,'Type Chart'!$C$2:$T$20,17,false)*HLOOKUP($K338,'Type Chart'!$C$2:$U$20,17,false)</f>
        <v>1</v>
      </c>
      <c r="AK338" s="960">
        <f t="array" ref="AK338">HLOOKUP($J338,'Type Chart'!$C$2:$T$20,18,false)*HLOOKUP($K338,'Type Chart'!$C$2:$U$20,18,false)</f>
        <v>0.5</v>
      </c>
      <c r="AL338" s="960">
        <f t="array" ref="AL338">HLOOKUP($J338,'Type Chart'!$C$2:$T$20,19,false)*HLOOKUP($K338,'Type Chart'!$C$2:$U$20,19,false)</f>
        <v>1</v>
      </c>
      <c r="AM338" s="964" t="s">
        <v>830</v>
      </c>
      <c r="AN338" s="965"/>
      <c r="AO338" s="966" t="s">
        <v>1798</v>
      </c>
      <c r="AP338" s="936"/>
      <c r="AQ338" s="967"/>
      <c r="AR338" s="968"/>
      <c r="AS338" s="936"/>
    </row>
    <row r="339" ht="15.75" customHeight="1">
      <c r="A339" s="936"/>
      <c r="B339" s="948" t="s">
        <v>1993</v>
      </c>
      <c r="C339" s="950" t="s">
        <v>145</v>
      </c>
      <c r="D339" s="950" t="s">
        <v>145</v>
      </c>
      <c r="E339" s="952" t="s">
        <v>145</v>
      </c>
      <c r="F339" s="940"/>
      <c r="G339" s="953"/>
      <c r="H339" s="969"/>
      <c r="I339" s="956" t="s">
        <v>113</v>
      </c>
      <c r="J339" s="982" t="s">
        <v>150</v>
      </c>
      <c r="K339" s="1213" t="s">
        <v>341</v>
      </c>
      <c r="L339" s="959">
        <v>80.0</v>
      </c>
      <c r="M339" s="960">
        <v>120.0</v>
      </c>
      <c r="N339" s="960">
        <v>70.0</v>
      </c>
      <c r="O339" s="960">
        <v>110.0</v>
      </c>
      <c r="P339" s="960">
        <v>70.0</v>
      </c>
      <c r="Q339" s="960">
        <v>80.0</v>
      </c>
      <c r="R339" s="960">
        <v>196.0</v>
      </c>
      <c r="S339" s="960">
        <v>259.0</v>
      </c>
      <c r="T339" s="960">
        <v>284.0</v>
      </c>
      <c r="U339" s="960">
        <f t="array" ref="U339">HLOOKUP($J339,'Type Chart'!$C$2:$T$20,2,false)*HLOOKUP($K339,'Type Chart'!$C$2:$U$20,2,false)</f>
        <v>1</v>
      </c>
      <c r="V339" s="960">
        <f t="array" ref="V339">HLOOKUP($J339,'Type Chart'!$C$2:$T$20,3,false)*HLOOKUP($K339,'Type Chart'!$C$2:$U$20,3,false)</f>
        <v>1</v>
      </c>
      <c r="W339" s="960">
        <f t="array" ref="W339">HLOOKUP($J339,'Type Chart'!$C$2:$T$20,4,false)*HLOOKUP($K339,'Type Chart'!$C$2:$U$20,4,false)</f>
        <v>2</v>
      </c>
      <c r="X339" s="960">
        <f t="array" ref="X339">HLOOKUP($J339,'Type Chart'!$C$2:$T$20,5,false)*HLOOKUP($K339,'Type Chart'!$C$2:$U$20,5,false)</f>
        <v>1</v>
      </c>
      <c r="Y339" s="960">
        <f t="array" ref="Y339">HLOOKUP($J339,'Type Chart'!$C$2:$T$20,6,false)*HLOOKUP($K339,'Type Chart'!$C$2:$U$20,6,false)</f>
        <v>2</v>
      </c>
      <c r="Z339" s="960">
        <f t="array" ref="Z339">HLOOKUP($J339,'Type Chart'!$C$2:$T$20,7,false)*HLOOKUP($K339,'Type Chart'!$C$2:$U$20,7,false)</f>
        <v>1</v>
      </c>
      <c r="AA339" s="960">
        <f t="array" ref="AA339">HLOOKUP($J339,'Type Chart'!$C$2:$T$20,8,false)*HLOOKUP($K339,'Type Chart'!$C$2:$U$20,8,false)</f>
        <v>0.25</v>
      </c>
      <c r="AB339" s="960">
        <f t="array" ref="AB339">HLOOKUP($J339,'Type Chart'!$C$2:$T$20,9,false)*HLOOKUP($K339,'Type Chart'!$C$2:$U$20,9,false)</f>
        <v>1</v>
      </c>
      <c r="AC339" s="960">
        <f t="array" ref="AC339">HLOOKUP($J339,'Type Chart'!$C$2:$T$20,10,false)*HLOOKUP($K339,'Type Chart'!$C$2:$U$20,10,false)</f>
        <v>0.5</v>
      </c>
      <c r="AD339" s="960">
        <f t="array" ref="AD339">HLOOKUP($J339,'Type Chart'!$C$2:$T$20,11,false)*HLOOKUP($K339,'Type Chart'!$C$2:$U$20,11,false)</f>
        <v>0.5</v>
      </c>
      <c r="AE339" s="960">
        <f t="array" ref="AE339">HLOOKUP($J339,'Type Chart'!$C$2:$T$20,12,false)*HLOOKUP($K339,'Type Chart'!$C$2:$U$20,12,false)</f>
        <v>2</v>
      </c>
      <c r="AF339" s="960">
        <f t="array" ref="AF339">HLOOKUP($J339,'Type Chart'!$C$2:$T$20,13,false)*HLOOKUP($K339,'Type Chart'!$C$2:$U$20,13,false)</f>
        <v>0.5</v>
      </c>
      <c r="AG339" s="960">
        <f t="array" ref="AG339">HLOOKUP($J339,'Type Chart'!$C$2:$T$20,14,false)*HLOOKUP($K339,'Type Chart'!$C$2:$U$20,14,false)</f>
        <v>1</v>
      </c>
      <c r="AH339" s="960">
        <f t="array" ref="AH339">HLOOKUP($J339,'Type Chart'!$C$2:$T$20,15,false)*HLOOKUP($K339,'Type Chart'!$C$2:$U$20,15,false)</f>
        <v>2</v>
      </c>
      <c r="AI339" s="960">
        <f t="array" ref="AI339">HLOOKUP($J339,'Type Chart'!$C$2:$T$20,16,false)*HLOOKUP($K339,'Type Chart'!$C$2:$U$20,16,false)</f>
        <v>0.5</v>
      </c>
      <c r="AJ339" s="960">
        <f t="array" ref="AJ339">HLOOKUP($J339,'Type Chart'!$C$2:$T$20,17,false)*HLOOKUP($K339,'Type Chart'!$C$2:$U$20,17,false)</f>
        <v>1</v>
      </c>
      <c r="AK339" s="960">
        <f t="array" ref="AK339">HLOOKUP($J339,'Type Chart'!$C$2:$T$20,18,false)*HLOOKUP($K339,'Type Chart'!$C$2:$U$20,18,false)</f>
        <v>0.5</v>
      </c>
      <c r="AL339" s="960">
        <f t="array" ref="AL339">HLOOKUP($J339,'Type Chart'!$C$2:$T$20,19,false)*HLOOKUP($K339,'Type Chart'!$C$2:$U$20,19,false)</f>
        <v>1</v>
      </c>
      <c r="AM339" s="964" t="s">
        <v>830</v>
      </c>
      <c r="AN339" s="965"/>
      <c r="AO339" s="966" t="s">
        <v>1798</v>
      </c>
      <c r="AP339" s="936"/>
      <c r="AQ339" s="967"/>
      <c r="AR339" s="968"/>
      <c r="AS339" s="936"/>
    </row>
    <row r="340" ht="15.75" customHeight="1">
      <c r="A340" s="936"/>
      <c r="B340" s="948" t="s">
        <v>1994</v>
      </c>
      <c r="C340" s="950" t="s">
        <v>1995</v>
      </c>
      <c r="D340" s="950" t="s">
        <v>1995</v>
      </c>
      <c r="E340" s="952" t="s">
        <v>1995</v>
      </c>
      <c r="F340" s="940"/>
      <c r="G340" s="953"/>
      <c r="H340" s="969"/>
      <c r="I340" s="956" t="s">
        <v>1996</v>
      </c>
      <c r="J340" s="982" t="s">
        <v>150</v>
      </c>
      <c r="K340" s="1213" t="s">
        <v>341</v>
      </c>
      <c r="L340" s="959">
        <v>80.0</v>
      </c>
      <c r="M340" s="960">
        <v>160.0</v>
      </c>
      <c r="N340" s="960">
        <v>80.0</v>
      </c>
      <c r="O340" s="960">
        <v>130.0</v>
      </c>
      <c r="P340" s="960">
        <v>80.0</v>
      </c>
      <c r="Q340" s="960">
        <v>100.0</v>
      </c>
      <c r="R340" s="960">
        <v>236.0</v>
      </c>
      <c r="S340" s="960">
        <v>299.0</v>
      </c>
      <c r="T340" s="960">
        <v>328.0</v>
      </c>
      <c r="U340" s="960">
        <f t="array" ref="U340">HLOOKUP($J340,'Type Chart'!$C$2:$T$20,2,false)*HLOOKUP($K340,'Type Chart'!$C$2:$U$20,2,false)</f>
        <v>1</v>
      </c>
      <c r="V340" s="960">
        <f t="array" ref="V340">HLOOKUP($J340,'Type Chart'!$C$2:$T$20,3,false)*HLOOKUP($K340,'Type Chart'!$C$2:$U$20,3,false)</f>
        <v>1</v>
      </c>
      <c r="W340" s="960">
        <f t="array" ref="W340">HLOOKUP($J340,'Type Chart'!$C$2:$T$20,4,false)*HLOOKUP($K340,'Type Chart'!$C$2:$U$20,4,false)</f>
        <v>2</v>
      </c>
      <c r="X340" s="960">
        <f t="array" ref="X340">HLOOKUP($J340,'Type Chart'!$C$2:$T$20,5,false)*HLOOKUP($K340,'Type Chart'!$C$2:$U$20,5,false)</f>
        <v>1</v>
      </c>
      <c r="Y340" s="960">
        <f t="array" ref="Y340">HLOOKUP($J340,'Type Chart'!$C$2:$T$20,6,false)*HLOOKUP($K340,'Type Chart'!$C$2:$U$20,6,false)</f>
        <v>2</v>
      </c>
      <c r="Z340" s="960">
        <f t="array" ref="Z340">HLOOKUP($J340,'Type Chart'!$C$2:$T$20,7,false)*HLOOKUP($K340,'Type Chart'!$C$2:$U$20,7,false)</f>
        <v>1</v>
      </c>
      <c r="AA340" s="960">
        <f t="array" ref="AA340">HLOOKUP($J340,'Type Chart'!$C$2:$T$20,8,false)*HLOOKUP($K340,'Type Chart'!$C$2:$U$20,8,false)</f>
        <v>0.25</v>
      </c>
      <c r="AB340" s="960">
        <f t="array" ref="AB340">HLOOKUP($J340,'Type Chart'!$C$2:$T$20,9,false)*HLOOKUP($K340,'Type Chart'!$C$2:$U$20,9,false)</f>
        <v>1</v>
      </c>
      <c r="AC340" s="960">
        <f t="array" ref="AC340">HLOOKUP($J340,'Type Chart'!$C$2:$T$20,10,false)*HLOOKUP($K340,'Type Chart'!$C$2:$U$20,10,false)</f>
        <v>0.5</v>
      </c>
      <c r="AD340" s="960">
        <f t="array" ref="AD340">HLOOKUP($J340,'Type Chart'!$C$2:$T$20,11,false)*HLOOKUP($K340,'Type Chart'!$C$2:$U$20,11,false)</f>
        <v>0.5</v>
      </c>
      <c r="AE340" s="960">
        <f t="array" ref="AE340">HLOOKUP($J340,'Type Chart'!$C$2:$T$20,12,false)*HLOOKUP($K340,'Type Chart'!$C$2:$U$20,12,false)</f>
        <v>2</v>
      </c>
      <c r="AF340" s="960">
        <f t="array" ref="AF340">HLOOKUP($J340,'Type Chart'!$C$2:$T$20,13,false)*HLOOKUP($K340,'Type Chart'!$C$2:$U$20,13,false)</f>
        <v>0.5</v>
      </c>
      <c r="AG340" s="960">
        <f t="array" ref="AG340">HLOOKUP($J340,'Type Chart'!$C$2:$T$20,14,false)*HLOOKUP($K340,'Type Chart'!$C$2:$U$20,14,false)</f>
        <v>1</v>
      </c>
      <c r="AH340" s="960">
        <f t="array" ref="AH340">HLOOKUP($J340,'Type Chart'!$C$2:$T$20,15,false)*HLOOKUP($K340,'Type Chart'!$C$2:$U$20,15,false)</f>
        <v>2</v>
      </c>
      <c r="AI340" s="960">
        <f t="array" ref="AI340">HLOOKUP($J340,'Type Chart'!$C$2:$T$20,16,false)*HLOOKUP($K340,'Type Chart'!$C$2:$U$20,16,false)</f>
        <v>0.5</v>
      </c>
      <c r="AJ340" s="960">
        <f t="array" ref="AJ340">HLOOKUP($J340,'Type Chart'!$C$2:$T$20,17,false)*HLOOKUP($K340,'Type Chart'!$C$2:$U$20,17,false)</f>
        <v>1</v>
      </c>
      <c r="AK340" s="960">
        <f t="array" ref="AK340">HLOOKUP($J340,'Type Chart'!$C$2:$T$20,18,false)*HLOOKUP($K340,'Type Chart'!$C$2:$U$20,18,false)</f>
        <v>0.5</v>
      </c>
      <c r="AL340" s="960">
        <f t="array" ref="AL340">HLOOKUP($J340,'Type Chart'!$C$2:$T$20,19,false)*HLOOKUP($K340,'Type Chart'!$C$2:$U$20,19,false)</f>
        <v>1</v>
      </c>
      <c r="AM340" s="964" t="s">
        <v>1798</v>
      </c>
      <c r="AN340" s="965"/>
      <c r="AO340" s="966"/>
      <c r="AP340" s="936"/>
      <c r="AQ340" s="967"/>
      <c r="AR340" s="968"/>
      <c r="AS340" s="936"/>
    </row>
    <row r="341" ht="15.75" customHeight="1">
      <c r="A341" s="1099"/>
      <c r="B341" s="948" t="s">
        <v>1997</v>
      </c>
      <c r="C341" s="1197" t="s">
        <v>1998</v>
      </c>
      <c r="D341" s="1197" t="s">
        <v>1998</v>
      </c>
      <c r="E341" s="1147" t="s">
        <v>1998</v>
      </c>
      <c r="F341" s="940"/>
      <c r="G341" s="953"/>
      <c r="H341" s="969"/>
      <c r="I341" s="998" t="s">
        <v>1999</v>
      </c>
      <c r="J341" s="1211" t="s">
        <v>81</v>
      </c>
      <c r="K341" s="1199" t="s">
        <v>216</v>
      </c>
      <c r="L341" s="1200">
        <v>50.0</v>
      </c>
      <c r="M341" s="1201">
        <v>70.0</v>
      </c>
      <c r="N341" s="1201">
        <v>50.0</v>
      </c>
      <c r="O341" s="1201">
        <v>50.0</v>
      </c>
      <c r="P341" s="1201">
        <v>50.0</v>
      </c>
      <c r="Q341" s="1201">
        <v>40.0</v>
      </c>
      <c r="R341" s="960">
        <v>116.0</v>
      </c>
      <c r="S341" s="960">
        <v>179.0</v>
      </c>
      <c r="T341" s="960">
        <v>196.0</v>
      </c>
      <c r="U341" s="960">
        <f t="array" ref="U341">HLOOKUP($J341,'Type Chart'!$C$2:$T$20,2,false)*HLOOKUP($K341,'Type Chart'!$C$2:$U$20,2,false)</f>
        <v>1</v>
      </c>
      <c r="V341" s="960">
        <f t="array" ref="V341">HLOOKUP($J341,'Type Chart'!$C$2:$T$20,3,false)*HLOOKUP($K341,'Type Chart'!$C$2:$U$20,3,false)</f>
        <v>1</v>
      </c>
      <c r="W341" s="960">
        <f t="array" ref="W341">HLOOKUP($J341,'Type Chart'!$C$2:$T$20,4,false)*HLOOKUP($K341,'Type Chart'!$C$2:$U$20,4,false)</f>
        <v>1</v>
      </c>
      <c r="X341" s="960">
        <f t="array" ref="X341">HLOOKUP($J341,'Type Chart'!$C$2:$T$20,5,false)*HLOOKUP($K341,'Type Chart'!$C$2:$U$20,5,false)</f>
        <v>1</v>
      </c>
      <c r="Y341" s="960">
        <f t="array" ref="Y341">HLOOKUP($J341,'Type Chart'!$C$2:$T$20,6,false)*HLOOKUP($K341,'Type Chart'!$C$2:$U$20,6,false)</f>
        <v>1</v>
      </c>
      <c r="Z341" s="960">
        <f t="array" ref="Z341">HLOOKUP($J341,'Type Chart'!$C$2:$T$20,7,false)*HLOOKUP($K341,'Type Chart'!$C$2:$U$20,7,false)</f>
        <v>1</v>
      </c>
      <c r="AA341" s="960">
        <f t="array" ref="AA341">HLOOKUP($J341,'Type Chart'!$C$2:$T$20,8,false)*HLOOKUP($K341,'Type Chart'!$C$2:$U$20,8,false)</f>
        <v>1</v>
      </c>
      <c r="AB341" s="960">
        <f t="array" ref="AB341">HLOOKUP($J341,'Type Chart'!$C$2:$T$20,9,false)*HLOOKUP($K341,'Type Chart'!$C$2:$U$20,9,false)</f>
        <v>1</v>
      </c>
      <c r="AC341" s="960">
        <f t="array" ref="AC341">HLOOKUP($J341,'Type Chart'!$C$2:$T$20,10,false)*HLOOKUP($K341,'Type Chart'!$C$2:$U$20,10,false)</f>
        <v>0.5</v>
      </c>
      <c r="AD341" s="960">
        <f t="array" ref="AD341">HLOOKUP($J341,'Type Chart'!$C$2:$T$20,11,false)*HLOOKUP($K341,'Type Chart'!$C$2:$U$20,11,false)</f>
        <v>0.5</v>
      </c>
      <c r="AE341" s="960">
        <f t="array" ref="AE341">HLOOKUP($J341,'Type Chart'!$C$2:$T$20,12,false)*HLOOKUP($K341,'Type Chart'!$C$2:$U$20,12,false)</f>
        <v>0.5</v>
      </c>
      <c r="AF341" s="960">
        <f t="array" ref="AF341">HLOOKUP($J341,'Type Chart'!$C$2:$T$20,13,false)*HLOOKUP($K341,'Type Chart'!$C$2:$U$20,13,false)</f>
        <v>2</v>
      </c>
      <c r="AG341" s="960">
        <f t="array" ref="AG341">HLOOKUP($J341,'Type Chart'!$C$2:$T$20,14,false)*HLOOKUP($K341,'Type Chart'!$C$2:$U$20,14,false)</f>
        <v>2</v>
      </c>
      <c r="AH341" s="960">
        <f t="array" ref="AH341">HLOOKUP($J341,'Type Chart'!$C$2:$T$20,15,false)*HLOOKUP($K341,'Type Chart'!$C$2:$U$20,15,false)</f>
        <v>1</v>
      </c>
      <c r="AI341" s="960">
        <f t="array" ref="AI341">HLOOKUP($J341,'Type Chart'!$C$2:$T$20,16,false)*HLOOKUP($K341,'Type Chart'!$C$2:$U$20,16,false)</f>
        <v>0.5</v>
      </c>
      <c r="AJ341" s="960">
        <f t="array" ref="AJ341">HLOOKUP($J341,'Type Chart'!$C$2:$T$20,17,false)*HLOOKUP($K341,'Type Chart'!$C$2:$U$20,17,false)</f>
        <v>1</v>
      </c>
      <c r="AK341" s="960">
        <f t="array" ref="AK341">HLOOKUP($J341,'Type Chart'!$C$2:$T$20,18,false)*HLOOKUP($K341,'Type Chart'!$C$2:$U$20,18,false)</f>
        <v>1</v>
      </c>
      <c r="AL341" s="960">
        <f t="array" ref="AL341">HLOOKUP($J341,'Type Chart'!$C$2:$T$20,19,false)*HLOOKUP($K341,'Type Chart'!$C$2:$U$20,19,false)</f>
        <v>1</v>
      </c>
      <c r="AM341" s="1145" t="s">
        <v>959</v>
      </c>
      <c r="AN341" s="1202"/>
      <c r="AO341" s="1146" t="s">
        <v>1211</v>
      </c>
      <c r="AP341" s="936"/>
      <c r="AQ341" s="967"/>
      <c r="AR341" s="968"/>
      <c r="AS341" s="936"/>
    </row>
    <row r="342" ht="15.75" customHeight="1">
      <c r="A342" s="1099"/>
      <c r="B342" s="948" t="s">
        <v>2000</v>
      </c>
      <c r="C342" s="950" t="s">
        <v>2001</v>
      </c>
      <c r="D342" s="950" t="s">
        <v>2001</v>
      </c>
      <c r="E342" s="952" t="s">
        <v>2001</v>
      </c>
      <c r="F342" s="940"/>
      <c r="G342" s="953"/>
      <c r="H342" s="969"/>
      <c r="I342" s="956" t="s">
        <v>2002</v>
      </c>
      <c r="J342" s="1056" t="s">
        <v>81</v>
      </c>
      <c r="K342" s="1204" t="s">
        <v>80</v>
      </c>
      <c r="L342" s="959">
        <v>70.0</v>
      </c>
      <c r="M342" s="960">
        <v>85.0</v>
      </c>
      <c r="N342" s="960">
        <v>70.0</v>
      </c>
      <c r="O342" s="960">
        <v>60.0</v>
      </c>
      <c r="P342" s="960">
        <v>70.0</v>
      </c>
      <c r="Q342" s="960">
        <v>50.0</v>
      </c>
      <c r="R342" s="960">
        <v>136.0</v>
      </c>
      <c r="S342" s="960">
        <v>199.0</v>
      </c>
      <c r="T342" s="960">
        <v>218.0</v>
      </c>
      <c r="U342" s="960">
        <f t="array" ref="U342">HLOOKUP($J342,'Type Chart'!$C$2:$T$20,2,false)*HLOOKUP($K342,'Type Chart'!$C$2:$U$20,2,false)</f>
        <v>1</v>
      </c>
      <c r="V342" s="960">
        <f t="array" ref="V342">HLOOKUP($J342,'Type Chart'!$C$2:$T$20,3,false)*HLOOKUP($K342,'Type Chart'!$C$2:$U$20,3,false)</f>
        <v>1</v>
      </c>
      <c r="W342" s="960">
        <f t="array" ref="W342">HLOOKUP($J342,'Type Chart'!$C$2:$T$20,4,false)*HLOOKUP($K342,'Type Chart'!$C$2:$U$20,4,false)</f>
        <v>1</v>
      </c>
      <c r="X342" s="960">
        <f t="array" ref="X342">HLOOKUP($J342,'Type Chart'!$C$2:$T$20,5,false)*HLOOKUP($K342,'Type Chart'!$C$2:$U$20,5,false)</f>
        <v>0.5</v>
      </c>
      <c r="Y342" s="960">
        <f t="array" ref="Y342">HLOOKUP($J342,'Type Chart'!$C$2:$T$20,6,false)*HLOOKUP($K342,'Type Chart'!$C$2:$U$20,6,false)</f>
        <v>1</v>
      </c>
      <c r="Z342" s="960">
        <f t="array" ref="Z342">HLOOKUP($J342,'Type Chart'!$C$2:$T$20,7,false)*HLOOKUP($K342,'Type Chart'!$C$2:$U$20,7,false)</f>
        <v>0.5</v>
      </c>
      <c r="AA342" s="960">
        <f t="array" ref="AA342">HLOOKUP($J342,'Type Chart'!$C$2:$T$20,8,false)*HLOOKUP($K342,'Type Chart'!$C$2:$U$20,8,false)</f>
        <v>1</v>
      </c>
      <c r="AB342" s="960">
        <f t="array" ref="AB342">HLOOKUP($J342,'Type Chart'!$C$2:$T$20,9,false)*HLOOKUP($K342,'Type Chart'!$C$2:$U$20,9,false)</f>
        <v>1</v>
      </c>
      <c r="AC342" s="960">
        <f t="array" ref="AC342">HLOOKUP($J342,'Type Chart'!$C$2:$T$20,10,false)*HLOOKUP($K342,'Type Chart'!$C$2:$U$20,10,false)</f>
        <v>0.5</v>
      </c>
      <c r="AD342" s="960">
        <f t="array" ref="AD342">HLOOKUP($J342,'Type Chart'!$C$2:$T$20,11,false)*HLOOKUP($K342,'Type Chart'!$C$2:$U$20,11,false)</f>
        <v>0.5</v>
      </c>
      <c r="AE342" s="960">
        <f t="array" ref="AE342">HLOOKUP($J342,'Type Chart'!$C$2:$T$20,12,false)*HLOOKUP($K342,'Type Chart'!$C$2:$U$20,12,false)</f>
        <v>1</v>
      </c>
      <c r="AF342" s="960">
        <f t="array" ref="AF342">HLOOKUP($J342,'Type Chart'!$C$2:$T$20,13,false)*HLOOKUP($K342,'Type Chart'!$C$2:$U$20,13,false)</f>
        <v>4</v>
      </c>
      <c r="AG342" s="960">
        <f t="array" ref="AG342">HLOOKUP($J342,'Type Chart'!$C$2:$T$20,14,false)*HLOOKUP($K342,'Type Chart'!$C$2:$U$20,14,false)</f>
        <v>0</v>
      </c>
      <c r="AH342" s="960">
        <f t="array" ref="AH342">HLOOKUP($J342,'Type Chart'!$C$2:$T$20,15,false)*HLOOKUP($K342,'Type Chart'!$C$2:$U$20,15,false)</f>
        <v>1</v>
      </c>
      <c r="AI342" s="960">
        <f t="array" ref="AI342">HLOOKUP($J342,'Type Chart'!$C$2:$T$20,16,false)*HLOOKUP($K342,'Type Chart'!$C$2:$U$20,16,false)</f>
        <v>1</v>
      </c>
      <c r="AJ342" s="960">
        <f t="array" ref="AJ342">HLOOKUP($J342,'Type Chart'!$C$2:$T$20,17,false)*HLOOKUP($K342,'Type Chart'!$C$2:$U$20,17,false)</f>
        <v>1</v>
      </c>
      <c r="AK342" s="960">
        <f t="array" ref="AK342">HLOOKUP($J342,'Type Chart'!$C$2:$T$20,18,false)*HLOOKUP($K342,'Type Chart'!$C$2:$U$20,18,false)</f>
        <v>1</v>
      </c>
      <c r="AL342" s="960">
        <f t="array" ref="AL342">HLOOKUP($J342,'Type Chart'!$C$2:$T$20,19,false)*HLOOKUP($K342,'Type Chart'!$C$2:$U$20,19,false)</f>
        <v>1</v>
      </c>
      <c r="AM342" s="1145" t="s">
        <v>959</v>
      </c>
      <c r="AN342" s="1202"/>
      <c r="AO342" s="1146" t="s">
        <v>1211</v>
      </c>
      <c r="AP342" s="936"/>
      <c r="AQ342" s="967"/>
      <c r="AR342" s="968"/>
      <c r="AS342" s="936"/>
    </row>
    <row r="343" ht="15.75" customHeight="1">
      <c r="A343" s="936"/>
      <c r="B343" s="948" t="s">
        <v>2003</v>
      </c>
      <c r="C343" s="950" t="s">
        <v>2004</v>
      </c>
      <c r="D343" s="950" t="s">
        <v>2004</v>
      </c>
      <c r="E343" s="952" t="s">
        <v>2004</v>
      </c>
      <c r="F343" s="940"/>
      <c r="G343" s="953"/>
      <c r="H343" s="969"/>
      <c r="I343" s="956" t="s">
        <v>470</v>
      </c>
      <c r="J343" s="1056" t="s">
        <v>81</v>
      </c>
      <c r="K343" s="1204" t="s">
        <v>80</v>
      </c>
      <c r="L343" s="959">
        <v>100.0</v>
      </c>
      <c r="M343" s="960">
        <v>110.0</v>
      </c>
      <c r="N343" s="960">
        <v>90.0</v>
      </c>
      <c r="O343" s="960">
        <v>85.0</v>
      </c>
      <c r="P343" s="960">
        <v>90.0</v>
      </c>
      <c r="Q343" s="960">
        <v>60.0</v>
      </c>
      <c r="R343" s="960">
        <v>156.0</v>
      </c>
      <c r="S343" s="960">
        <v>219.0</v>
      </c>
      <c r="T343" s="960">
        <v>240.0</v>
      </c>
      <c r="U343" s="960">
        <f t="array" ref="U343">HLOOKUP($J343,'Type Chart'!$C$2:$T$20,2,false)*HLOOKUP($K343,'Type Chart'!$C$2:$U$20,2,false)</f>
        <v>1</v>
      </c>
      <c r="V343" s="960">
        <f t="array" ref="V343">HLOOKUP($J343,'Type Chart'!$C$2:$T$20,3,false)*HLOOKUP($K343,'Type Chart'!$C$2:$U$20,3,false)</f>
        <v>1</v>
      </c>
      <c r="W343" s="960">
        <f t="array" ref="W343">HLOOKUP($J343,'Type Chart'!$C$2:$T$20,4,false)*HLOOKUP($K343,'Type Chart'!$C$2:$U$20,4,false)</f>
        <v>1</v>
      </c>
      <c r="X343" s="960">
        <f t="array" ref="X343">HLOOKUP($J343,'Type Chart'!$C$2:$T$20,5,false)*HLOOKUP($K343,'Type Chart'!$C$2:$U$20,5,false)</f>
        <v>0.5</v>
      </c>
      <c r="Y343" s="960">
        <f t="array" ref="Y343">HLOOKUP($J343,'Type Chart'!$C$2:$T$20,6,false)*HLOOKUP($K343,'Type Chart'!$C$2:$U$20,6,false)</f>
        <v>1</v>
      </c>
      <c r="Z343" s="960">
        <f t="array" ref="Z343">HLOOKUP($J343,'Type Chart'!$C$2:$T$20,7,false)*HLOOKUP($K343,'Type Chart'!$C$2:$U$20,7,false)</f>
        <v>0.5</v>
      </c>
      <c r="AA343" s="960">
        <f t="array" ref="AA343">HLOOKUP($J343,'Type Chart'!$C$2:$T$20,8,false)*HLOOKUP($K343,'Type Chart'!$C$2:$U$20,8,false)</f>
        <v>1</v>
      </c>
      <c r="AB343" s="960">
        <f t="array" ref="AB343">HLOOKUP($J343,'Type Chart'!$C$2:$T$20,9,false)*HLOOKUP($K343,'Type Chart'!$C$2:$U$20,9,false)</f>
        <v>1</v>
      </c>
      <c r="AC343" s="960">
        <f t="array" ref="AC343">HLOOKUP($J343,'Type Chart'!$C$2:$T$20,10,false)*HLOOKUP($K343,'Type Chart'!$C$2:$U$20,10,false)</f>
        <v>0.5</v>
      </c>
      <c r="AD343" s="960">
        <f t="array" ref="AD343">HLOOKUP($J343,'Type Chart'!$C$2:$T$20,11,false)*HLOOKUP($K343,'Type Chart'!$C$2:$U$20,11,false)</f>
        <v>0.5</v>
      </c>
      <c r="AE343" s="960">
        <f t="array" ref="AE343">HLOOKUP($J343,'Type Chart'!$C$2:$T$20,12,false)*HLOOKUP($K343,'Type Chart'!$C$2:$U$20,12,false)</f>
        <v>1</v>
      </c>
      <c r="AF343" s="960">
        <f t="array" ref="AF343">HLOOKUP($J343,'Type Chart'!$C$2:$T$20,13,false)*HLOOKUP($K343,'Type Chart'!$C$2:$U$20,13,false)</f>
        <v>4</v>
      </c>
      <c r="AG343" s="960">
        <f t="array" ref="AG343">HLOOKUP($J343,'Type Chart'!$C$2:$T$20,14,false)*HLOOKUP($K343,'Type Chart'!$C$2:$U$20,14,false)</f>
        <v>0</v>
      </c>
      <c r="AH343" s="960">
        <f t="array" ref="AH343">HLOOKUP($J343,'Type Chart'!$C$2:$T$20,15,false)*HLOOKUP($K343,'Type Chart'!$C$2:$U$20,15,false)</f>
        <v>1</v>
      </c>
      <c r="AI343" s="960">
        <f t="array" ref="AI343">HLOOKUP($J343,'Type Chart'!$C$2:$T$20,16,false)*HLOOKUP($K343,'Type Chart'!$C$2:$U$20,16,false)</f>
        <v>1</v>
      </c>
      <c r="AJ343" s="960">
        <f t="array" ref="AJ343">HLOOKUP($J343,'Type Chart'!$C$2:$T$20,17,false)*HLOOKUP($K343,'Type Chart'!$C$2:$U$20,17,false)</f>
        <v>1</v>
      </c>
      <c r="AK343" s="960">
        <f t="array" ref="AK343">HLOOKUP($J343,'Type Chart'!$C$2:$T$20,18,false)*HLOOKUP($K343,'Type Chart'!$C$2:$U$20,18,false)</f>
        <v>1</v>
      </c>
      <c r="AL343" s="960">
        <f t="array" ref="AL343">HLOOKUP($J343,'Type Chart'!$C$2:$T$20,19,false)*HLOOKUP($K343,'Type Chart'!$C$2:$U$20,19,false)</f>
        <v>1</v>
      </c>
      <c r="AM343" s="964" t="s">
        <v>959</v>
      </c>
      <c r="AN343" s="965"/>
      <c r="AO343" s="966" t="s">
        <v>1211</v>
      </c>
      <c r="AP343" s="936"/>
      <c r="AQ343" s="967"/>
      <c r="AR343" s="968"/>
      <c r="AS343" s="936"/>
    </row>
    <row r="344" ht="15.75" customHeight="1">
      <c r="A344" s="936"/>
      <c r="B344" s="948" t="s">
        <v>2005</v>
      </c>
      <c r="C344" s="950" t="s">
        <v>2006</v>
      </c>
      <c r="D344" s="950" t="s">
        <v>2006</v>
      </c>
      <c r="E344" s="952" t="s">
        <v>2006</v>
      </c>
      <c r="F344" s="940"/>
      <c r="G344" s="953"/>
      <c r="H344" s="969"/>
      <c r="I344" s="956" t="s">
        <v>2007</v>
      </c>
      <c r="J344" s="1056" t="s">
        <v>81</v>
      </c>
      <c r="K344" s="1204" t="s">
        <v>80</v>
      </c>
      <c r="L344" s="959">
        <v>100.0</v>
      </c>
      <c r="M344" s="960">
        <v>150.0</v>
      </c>
      <c r="N344" s="960">
        <v>110.0</v>
      </c>
      <c r="O344" s="960">
        <v>95.0</v>
      </c>
      <c r="P344" s="960">
        <v>110.0</v>
      </c>
      <c r="Q344" s="960">
        <v>70.0</v>
      </c>
      <c r="R344" s="960">
        <v>176.0</v>
      </c>
      <c r="S344" s="960">
        <v>239.0</v>
      </c>
      <c r="T344" s="960">
        <v>262.0</v>
      </c>
      <c r="U344" s="960">
        <f t="array" ref="U344">HLOOKUP($J344,'Type Chart'!$C$2:$T$20,2,false)*HLOOKUP($K344,'Type Chart'!$C$2:$U$20,2,false)</f>
        <v>1</v>
      </c>
      <c r="V344" s="960">
        <f t="array" ref="V344">HLOOKUP($J344,'Type Chart'!$C$2:$T$20,3,false)*HLOOKUP($K344,'Type Chart'!$C$2:$U$20,3,false)</f>
        <v>1</v>
      </c>
      <c r="W344" s="960">
        <f t="array" ref="W344">HLOOKUP($J344,'Type Chart'!$C$2:$T$20,4,false)*HLOOKUP($K344,'Type Chart'!$C$2:$U$20,4,false)</f>
        <v>1</v>
      </c>
      <c r="X344" s="960">
        <f t="array" ref="X344">HLOOKUP($J344,'Type Chart'!$C$2:$T$20,5,false)*HLOOKUP($K344,'Type Chart'!$C$2:$U$20,5,false)</f>
        <v>0.5</v>
      </c>
      <c r="Y344" s="960">
        <f t="array" ref="Y344">HLOOKUP($J344,'Type Chart'!$C$2:$T$20,6,false)*HLOOKUP($K344,'Type Chart'!$C$2:$U$20,6,false)</f>
        <v>1</v>
      </c>
      <c r="Z344" s="960">
        <f t="array" ref="Z344">HLOOKUP($J344,'Type Chart'!$C$2:$T$20,7,false)*HLOOKUP($K344,'Type Chart'!$C$2:$U$20,7,false)</f>
        <v>0.5</v>
      </c>
      <c r="AA344" s="960">
        <f t="array" ref="AA344">HLOOKUP($J344,'Type Chart'!$C$2:$T$20,8,false)*HLOOKUP($K344,'Type Chart'!$C$2:$U$20,8,false)</f>
        <v>1</v>
      </c>
      <c r="AB344" s="960">
        <f t="array" ref="AB344">HLOOKUP($J344,'Type Chart'!$C$2:$T$20,9,false)*HLOOKUP($K344,'Type Chart'!$C$2:$U$20,9,false)</f>
        <v>1</v>
      </c>
      <c r="AC344" s="960">
        <f t="array" ref="AC344">HLOOKUP($J344,'Type Chart'!$C$2:$T$20,10,false)*HLOOKUP($K344,'Type Chart'!$C$2:$U$20,10,false)</f>
        <v>0.5</v>
      </c>
      <c r="AD344" s="960">
        <f t="array" ref="AD344">HLOOKUP($J344,'Type Chart'!$C$2:$T$20,11,false)*HLOOKUP($K344,'Type Chart'!$C$2:$U$20,11,false)</f>
        <v>0.5</v>
      </c>
      <c r="AE344" s="960">
        <f t="array" ref="AE344">HLOOKUP($J344,'Type Chart'!$C$2:$T$20,12,false)*HLOOKUP($K344,'Type Chart'!$C$2:$U$20,12,false)</f>
        <v>1</v>
      </c>
      <c r="AF344" s="960">
        <f t="array" ref="AF344">HLOOKUP($J344,'Type Chart'!$C$2:$T$20,13,false)*HLOOKUP($K344,'Type Chart'!$C$2:$U$20,13,false)</f>
        <v>4</v>
      </c>
      <c r="AG344" s="960">
        <f t="array" ref="AG344">HLOOKUP($J344,'Type Chart'!$C$2:$T$20,14,false)*HLOOKUP($K344,'Type Chart'!$C$2:$U$20,14,false)</f>
        <v>0</v>
      </c>
      <c r="AH344" s="960">
        <f t="array" ref="AH344">HLOOKUP($J344,'Type Chart'!$C$2:$T$20,15,false)*HLOOKUP($K344,'Type Chart'!$C$2:$U$20,15,false)</f>
        <v>1</v>
      </c>
      <c r="AI344" s="960">
        <f t="array" ref="AI344">HLOOKUP($J344,'Type Chart'!$C$2:$T$20,16,false)*HLOOKUP($K344,'Type Chart'!$C$2:$U$20,16,false)</f>
        <v>1</v>
      </c>
      <c r="AJ344" s="960">
        <f t="array" ref="AJ344">HLOOKUP($J344,'Type Chart'!$C$2:$T$20,17,false)*HLOOKUP($K344,'Type Chart'!$C$2:$U$20,17,false)</f>
        <v>1</v>
      </c>
      <c r="AK344" s="960">
        <f t="array" ref="AK344">HLOOKUP($J344,'Type Chart'!$C$2:$T$20,18,false)*HLOOKUP($K344,'Type Chart'!$C$2:$U$20,18,false)</f>
        <v>1</v>
      </c>
      <c r="AL344" s="960">
        <f t="array" ref="AL344">HLOOKUP($J344,'Type Chart'!$C$2:$T$20,19,false)*HLOOKUP($K344,'Type Chart'!$C$2:$U$20,19,false)</f>
        <v>1</v>
      </c>
      <c r="AM344" s="964" t="s">
        <v>1259</v>
      </c>
      <c r="AN344" s="965"/>
      <c r="AO344" s="966"/>
      <c r="AP344" s="936"/>
      <c r="AQ344" s="967"/>
      <c r="AR344" s="968"/>
      <c r="AS344" s="936"/>
    </row>
    <row r="345" ht="15.75" customHeight="1">
      <c r="A345" s="936"/>
      <c r="B345" s="948" t="s">
        <v>2008</v>
      </c>
      <c r="C345" s="950" t="s">
        <v>2009</v>
      </c>
      <c r="D345" s="950" t="s">
        <v>2009</v>
      </c>
      <c r="E345" s="952" t="s">
        <v>2009</v>
      </c>
      <c r="F345" s="940"/>
      <c r="G345" s="953"/>
      <c r="H345" s="969"/>
      <c r="I345" s="956" t="s">
        <v>2010</v>
      </c>
      <c r="J345" s="1195" t="s">
        <v>193</v>
      </c>
      <c r="K345" s="984" t="s">
        <v>216</v>
      </c>
      <c r="L345" s="959">
        <v>35.0</v>
      </c>
      <c r="M345" s="960">
        <v>55.0</v>
      </c>
      <c r="N345" s="960">
        <v>35.0</v>
      </c>
      <c r="O345" s="960">
        <v>30.0</v>
      </c>
      <c r="P345" s="960">
        <v>30.0</v>
      </c>
      <c r="Q345" s="960">
        <v>35.0</v>
      </c>
      <c r="R345" s="960">
        <v>106.0</v>
      </c>
      <c r="S345" s="960">
        <v>169.0</v>
      </c>
      <c r="T345" s="960">
        <v>185.0</v>
      </c>
      <c r="U345" s="960">
        <f t="array" ref="U345">HLOOKUP($J345,'Type Chart'!$C$2:$T$20,2,false)*HLOOKUP($K345,'Type Chart'!$C$2:$U$20,2,false)</f>
        <v>1</v>
      </c>
      <c r="V345" s="960">
        <f t="array" ref="V345">HLOOKUP($J345,'Type Chart'!$C$2:$T$20,3,false)*HLOOKUP($K345,'Type Chart'!$C$2:$U$20,3,false)</f>
        <v>2</v>
      </c>
      <c r="W345" s="960">
        <f t="array" ref="W345">HLOOKUP($J345,'Type Chart'!$C$2:$T$20,4,false)*HLOOKUP($K345,'Type Chart'!$C$2:$U$20,4,false)</f>
        <v>1</v>
      </c>
      <c r="X345" s="960">
        <f t="array" ref="X345">HLOOKUP($J345,'Type Chart'!$C$2:$T$20,5,false)*HLOOKUP($K345,'Type Chart'!$C$2:$U$20,5,false)</f>
        <v>1</v>
      </c>
      <c r="Y345" s="960">
        <f t="array" ref="Y345">HLOOKUP($J345,'Type Chart'!$C$2:$T$20,6,false)*HLOOKUP($K345,'Type Chart'!$C$2:$U$20,6,false)</f>
        <v>1</v>
      </c>
      <c r="Z345" s="960">
        <f t="array" ref="Z345">HLOOKUP($J345,'Type Chart'!$C$2:$T$20,7,false)*HLOOKUP($K345,'Type Chart'!$C$2:$U$20,7,false)</f>
        <v>1</v>
      </c>
      <c r="AA345" s="960">
        <f t="array" ref="AA345">HLOOKUP($J345,'Type Chart'!$C$2:$T$20,8,false)*HLOOKUP($K345,'Type Chart'!$C$2:$U$20,8,false)</f>
        <v>2</v>
      </c>
      <c r="AB345" s="960">
        <f t="array" ref="AB345">HLOOKUP($J345,'Type Chart'!$C$2:$T$20,9,false)*HLOOKUP($K345,'Type Chart'!$C$2:$U$20,9,false)</f>
        <v>0.5</v>
      </c>
      <c r="AC345" s="960">
        <f t="array" ref="AC345">HLOOKUP($J345,'Type Chart'!$C$2:$T$20,10,false)*HLOOKUP($K345,'Type Chart'!$C$2:$U$20,10,false)</f>
        <v>1</v>
      </c>
      <c r="AD345" s="960">
        <f t="array" ref="AD345">HLOOKUP($J345,'Type Chart'!$C$2:$T$20,11,false)*HLOOKUP($K345,'Type Chart'!$C$2:$U$20,11,false)</f>
        <v>1</v>
      </c>
      <c r="AE345" s="960">
        <f t="array" ref="AE345">HLOOKUP($J345,'Type Chart'!$C$2:$T$20,12,false)*HLOOKUP($K345,'Type Chart'!$C$2:$U$20,12,false)</f>
        <v>1</v>
      </c>
      <c r="AF345" s="960">
        <f t="array" ref="AF345">HLOOKUP($J345,'Type Chart'!$C$2:$T$20,13,false)*HLOOKUP($K345,'Type Chart'!$C$2:$U$20,13,false)</f>
        <v>1</v>
      </c>
      <c r="AG345" s="960">
        <f t="array" ref="AG345">HLOOKUP($J345,'Type Chart'!$C$2:$T$20,14,false)*HLOOKUP($K345,'Type Chart'!$C$2:$U$20,14,false)</f>
        <v>1</v>
      </c>
      <c r="AH345" s="960">
        <f t="array" ref="AH345">HLOOKUP($J345,'Type Chart'!$C$2:$T$20,15,false)*HLOOKUP($K345,'Type Chart'!$C$2:$U$20,15,false)</f>
        <v>0</v>
      </c>
      <c r="AI345" s="960">
        <f t="array" ref="AI345">HLOOKUP($J345,'Type Chart'!$C$2:$T$20,16,false)*HLOOKUP($K345,'Type Chart'!$C$2:$U$20,16,false)</f>
        <v>1</v>
      </c>
      <c r="AJ345" s="960">
        <f t="array" ref="AJ345">HLOOKUP($J345,'Type Chart'!$C$2:$T$20,17,false)*HLOOKUP($K345,'Type Chart'!$C$2:$U$20,17,false)</f>
        <v>1</v>
      </c>
      <c r="AK345" s="960">
        <f t="array" ref="AK345">HLOOKUP($J345,'Type Chart'!$C$2:$T$20,18,false)*HLOOKUP($K345,'Type Chart'!$C$2:$U$20,18,false)</f>
        <v>0.5</v>
      </c>
      <c r="AL345" s="960">
        <f t="array" ref="AL345">HLOOKUP($J345,'Type Chart'!$C$2:$T$20,19,false)*HLOOKUP($K345,'Type Chart'!$C$2:$U$20,19,false)</f>
        <v>2</v>
      </c>
      <c r="AM345" s="964" t="s">
        <v>988</v>
      </c>
      <c r="AN345" s="965" t="s">
        <v>1615</v>
      </c>
      <c r="AO345" s="966" t="s">
        <v>1243</v>
      </c>
      <c r="AP345" s="936"/>
      <c r="AQ345" s="967"/>
      <c r="AR345" s="968"/>
      <c r="AS345" s="936"/>
    </row>
    <row r="346" ht="15.75" customHeight="1">
      <c r="A346" s="1099"/>
      <c r="B346" s="948" t="s">
        <v>2011</v>
      </c>
      <c r="C346" s="1197" t="s">
        <v>2012</v>
      </c>
      <c r="D346" s="1197" t="s">
        <v>2012</v>
      </c>
      <c r="E346" s="1147" t="s">
        <v>2012</v>
      </c>
      <c r="F346" s="940"/>
      <c r="G346" s="953"/>
      <c r="H346" s="969"/>
      <c r="I346" s="998" t="s">
        <v>882</v>
      </c>
      <c r="J346" s="1229" t="s">
        <v>193</v>
      </c>
      <c r="K346" s="1199" t="s">
        <v>216</v>
      </c>
      <c r="L346" s="1200">
        <v>70.0</v>
      </c>
      <c r="M346" s="1201">
        <v>90.0</v>
      </c>
      <c r="N346" s="1201">
        <v>70.0</v>
      </c>
      <c r="O346" s="1201">
        <v>60.0</v>
      </c>
      <c r="P346" s="1201">
        <v>60.0</v>
      </c>
      <c r="Q346" s="1201">
        <v>70.0</v>
      </c>
      <c r="R346" s="960">
        <v>176.0</v>
      </c>
      <c r="S346" s="960">
        <v>239.0</v>
      </c>
      <c r="T346" s="960">
        <v>262.0</v>
      </c>
      <c r="U346" s="960">
        <f t="array" ref="U346">HLOOKUP($J346,'Type Chart'!$C$2:$T$20,2,false)*HLOOKUP($K346,'Type Chart'!$C$2:$U$20,2,false)</f>
        <v>1</v>
      </c>
      <c r="V346" s="960">
        <f t="array" ref="V346">HLOOKUP($J346,'Type Chart'!$C$2:$T$20,3,false)*HLOOKUP($K346,'Type Chart'!$C$2:$U$20,3,false)</f>
        <v>2</v>
      </c>
      <c r="W346" s="960">
        <f t="array" ref="W346">HLOOKUP($J346,'Type Chart'!$C$2:$T$20,4,false)*HLOOKUP($K346,'Type Chart'!$C$2:$U$20,4,false)</f>
        <v>1</v>
      </c>
      <c r="X346" s="960">
        <f t="array" ref="X346">HLOOKUP($J346,'Type Chart'!$C$2:$T$20,5,false)*HLOOKUP($K346,'Type Chart'!$C$2:$U$20,5,false)</f>
        <v>1</v>
      </c>
      <c r="Y346" s="960">
        <f t="array" ref="Y346">HLOOKUP($J346,'Type Chart'!$C$2:$T$20,6,false)*HLOOKUP($K346,'Type Chart'!$C$2:$U$20,6,false)</f>
        <v>1</v>
      </c>
      <c r="Z346" s="960">
        <f t="array" ref="Z346">HLOOKUP($J346,'Type Chart'!$C$2:$T$20,7,false)*HLOOKUP($K346,'Type Chart'!$C$2:$U$20,7,false)</f>
        <v>1</v>
      </c>
      <c r="AA346" s="960">
        <f t="array" ref="AA346">HLOOKUP($J346,'Type Chart'!$C$2:$T$20,8,false)*HLOOKUP($K346,'Type Chart'!$C$2:$U$20,8,false)</f>
        <v>2</v>
      </c>
      <c r="AB346" s="960">
        <f t="array" ref="AB346">HLOOKUP($J346,'Type Chart'!$C$2:$T$20,9,false)*HLOOKUP($K346,'Type Chart'!$C$2:$U$20,9,false)</f>
        <v>0.5</v>
      </c>
      <c r="AC346" s="960">
        <f t="array" ref="AC346">HLOOKUP($J346,'Type Chart'!$C$2:$T$20,10,false)*HLOOKUP($K346,'Type Chart'!$C$2:$U$20,10,false)</f>
        <v>1</v>
      </c>
      <c r="AD346" s="960">
        <f t="array" ref="AD346">HLOOKUP($J346,'Type Chart'!$C$2:$T$20,11,false)*HLOOKUP($K346,'Type Chart'!$C$2:$U$20,11,false)</f>
        <v>1</v>
      </c>
      <c r="AE346" s="960">
        <f t="array" ref="AE346">HLOOKUP($J346,'Type Chart'!$C$2:$T$20,12,false)*HLOOKUP($K346,'Type Chart'!$C$2:$U$20,12,false)</f>
        <v>1</v>
      </c>
      <c r="AF346" s="960">
        <f t="array" ref="AF346">HLOOKUP($J346,'Type Chart'!$C$2:$T$20,13,false)*HLOOKUP($K346,'Type Chart'!$C$2:$U$20,13,false)</f>
        <v>1</v>
      </c>
      <c r="AG346" s="960">
        <f t="array" ref="AG346">HLOOKUP($J346,'Type Chart'!$C$2:$T$20,14,false)*HLOOKUP($K346,'Type Chart'!$C$2:$U$20,14,false)</f>
        <v>1</v>
      </c>
      <c r="AH346" s="960">
        <f t="array" ref="AH346">HLOOKUP($J346,'Type Chart'!$C$2:$T$20,15,false)*HLOOKUP($K346,'Type Chart'!$C$2:$U$20,15,false)</f>
        <v>0</v>
      </c>
      <c r="AI346" s="960">
        <f t="array" ref="AI346">HLOOKUP($J346,'Type Chart'!$C$2:$T$20,16,false)*HLOOKUP($K346,'Type Chart'!$C$2:$U$20,16,false)</f>
        <v>1</v>
      </c>
      <c r="AJ346" s="960">
        <f t="array" ref="AJ346">HLOOKUP($J346,'Type Chart'!$C$2:$T$20,17,false)*HLOOKUP($K346,'Type Chart'!$C$2:$U$20,17,false)</f>
        <v>1</v>
      </c>
      <c r="AK346" s="960">
        <f t="array" ref="AK346">HLOOKUP($J346,'Type Chart'!$C$2:$T$20,18,false)*HLOOKUP($K346,'Type Chart'!$C$2:$U$20,18,false)</f>
        <v>0.5</v>
      </c>
      <c r="AL346" s="960">
        <f t="array" ref="AL346">HLOOKUP($J346,'Type Chart'!$C$2:$T$20,19,false)*HLOOKUP($K346,'Type Chart'!$C$2:$U$20,19,false)</f>
        <v>2</v>
      </c>
      <c r="AM346" s="1145" t="s">
        <v>1061</v>
      </c>
      <c r="AN346" s="1202" t="s">
        <v>1615</v>
      </c>
      <c r="AO346" s="1146" t="s">
        <v>1577</v>
      </c>
      <c r="AP346" s="936"/>
      <c r="AQ346" s="967"/>
      <c r="AR346" s="968"/>
      <c r="AS346" s="936"/>
    </row>
    <row r="347" ht="15.75" customHeight="1">
      <c r="A347" s="936"/>
      <c r="B347" s="948" t="s">
        <v>2013</v>
      </c>
      <c r="C347" s="950" t="s">
        <v>2014</v>
      </c>
      <c r="D347" s="950" t="s">
        <v>2014</v>
      </c>
      <c r="E347" s="952" t="s">
        <v>2014</v>
      </c>
      <c r="F347" s="940"/>
      <c r="G347" s="953"/>
      <c r="H347" s="969"/>
      <c r="I347" s="956" t="s">
        <v>2015</v>
      </c>
      <c r="J347" s="1194" t="s">
        <v>136</v>
      </c>
      <c r="K347" s="984" t="s">
        <v>216</v>
      </c>
      <c r="L347" s="959">
        <v>38.0</v>
      </c>
      <c r="M347" s="960">
        <v>30.0</v>
      </c>
      <c r="N347" s="960">
        <v>41.0</v>
      </c>
      <c r="O347" s="960">
        <v>30.0</v>
      </c>
      <c r="P347" s="960">
        <v>41.0</v>
      </c>
      <c r="Q347" s="960">
        <v>60.0</v>
      </c>
      <c r="R347" s="960">
        <v>156.0</v>
      </c>
      <c r="S347" s="960">
        <v>219.0</v>
      </c>
      <c r="T347" s="960">
        <v>240.0</v>
      </c>
      <c r="U347" s="960">
        <f t="array" ref="U347">HLOOKUP($J347,'Type Chart'!$C$2:$T$20,2,false)*HLOOKUP($K347,'Type Chart'!$C$2:$U$20,2,false)</f>
        <v>1</v>
      </c>
      <c r="V347" s="960">
        <f t="array" ref="V347">HLOOKUP($J347,'Type Chart'!$C$2:$T$20,3,false)*HLOOKUP($K347,'Type Chart'!$C$2:$U$20,3,false)</f>
        <v>2</v>
      </c>
      <c r="W347" s="960">
        <f t="array" ref="W347">HLOOKUP($J347,'Type Chart'!$C$2:$T$20,4,false)*HLOOKUP($K347,'Type Chart'!$C$2:$U$20,4,false)</f>
        <v>1</v>
      </c>
      <c r="X347" s="960">
        <f t="array" ref="X347">HLOOKUP($J347,'Type Chart'!$C$2:$T$20,5,false)*HLOOKUP($K347,'Type Chart'!$C$2:$U$20,5,false)</f>
        <v>1</v>
      </c>
      <c r="Y347" s="960">
        <f t="array" ref="Y347">HLOOKUP($J347,'Type Chart'!$C$2:$T$20,6,false)*HLOOKUP($K347,'Type Chart'!$C$2:$U$20,6,false)</f>
        <v>1</v>
      </c>
      <c r="Z347" s="960">
        <f t="array" ref="Z347">HLOOKUP($J347,'Type Chart'!$C$2:$T$20,7,false)*HLOOKUP($K347,'Type Chart'!$C$2:$U$20,7,false)</f>
        <v>1</v>
      </c>
      <c r="AA347" s="960">
        <f t="array" ref="AA347">HLOOKUP($J347,'Type Chart'!$C$2:$T$20,8,false)*HLOOKUP($K347,'Type Chart'!$C$2:$U$20,8,false)</f>
        <v>1</v>
      </c>
      <c r="AB347" s="960">
        <f t="array" ref="AB347">HLOOKUP($J347,'Type Chart'!$C$2:$T$20,9,false)*HLOOKUP($K347,'Type Chart'!$C$2:$U$20,9,false)</f>
        <v>0</v>
      </c>
      <c r="AC347" s="960">
        <f t="array" ref="AC347">HLOOKUP($J347,'Type Chart'!$C$2:$T$20,10,false)*HLOOKUP($K347,'Type Chart'!$C$2:$U$20,10,false)</f>
        <v>1</v>
      </c>
      <c r="AD347" s="960">
        <f t="array" ref="AD347">HLOOKUP($J347,'Type Chart'!$C$2:$T$20,11,false)*HLOOKUP($K347,'Type Chart'!$C$2:$U$20,11,false)</f>
        <v>1</v>
      </c>
      <c r="AE347" s="960">
        <f t="array" ref="AE347">HLOOKUP($J347,'Type Chart'!$C$2:$T$20,12,false)*HLOOKUP($K347,'Type Chart'!$C$2:$U$20,12,false)</f>
        <v>1</v>
      </c>
      <c r="AF347" s="960">
        <f t="array" ref="AF347">HLOOKUP($J347,'Type Chart'!$C$2:$T$20,13,false)*HLOOKUP($K347,'Type Chart'!$C$2:$U$20,13,false)</f>
        <v>1</v>
      </c>
      <c r="AG347" s="960">
        <f t="array" ref="AG347">HLOOKUP($J347,'Type Chart'!$C$2:$T$20,14,false)*HLOOKUP($K347,'Type Chart'!$C$2:$U$20,14,false)</f>
        <v>1</v>
      </c>
      <c r="AH347" s="960">
        <f t="array" ref="AH347">HLOOKUP($J347,'Type Chart'!$C$2:$T$20,15,false)*HLOOKUP($K347,'Type Chart'!$C$2:$U$20,15,false)</f>
        <v>1</v>
      </c>
      <c r="AI347" s="960">
        <f t="array" ref="AI347">HLOOKUP($J347,'Type Chart'!$C$2:$T$20,16,false)*HLOOKUP($K347,'Type Chart'!$C$2:$U$20,16,false)</f>
        <v>1</v>
      </c>
      <c r="AJ347" s="960">
        <f t="array" ref="AJ347">HLOOKUP($J347,'Type Chart'!$C$2:$T$20,17,false)*HLOOKUP($K347,'Type Chart'!$C$2:$U$20,17,false)</f>
        <v>1</v>
      </c>
      <c r="AK347" s="960">
        <f t="array" ref="AK347">HLOOKUP($J347,'Type Chart'!$C$2:$T$20,18,false)*HLOOKUP($K347,'Type Chart'!$C$2:$U$20,18,false)</f>
        <v>1</v>
      </c>
      <c r="AL347" s="960">
        <f t="array" ref="AL347">HLOOKUP($J347,'Type Chart'!$C$2:$T$20,19,false)*HLOOKUP($K347,'Type Chart'!$C$2:$U$20,19,false)</f>
        <v>1</v>
      </c>
      <c r="AM347" s="964" t="s">
        <v>1238</v>
      </c>
      <c r="AN347" s="965" t="s">
        <v>1044</v>
      </c>
      <c r="AO347" s="966" t="s">
        <v>1615</v>
      </c>
      <c r="AP347" s="936"/>
      <c r="AQ347" s="967"/>
      <c r="AR347" s="968"/>
      <c r="AS347" s="936"/>
    </row>
    <row r="348" ht="15.75" customHeight="1">
      <c r="A348" s="936"/>
      <c r="B348" s="948" t="s">
        <v>2016</v>
      </c>
      <c r="C348" s="950" t="s">
        <v>2017</v>
      </c>
      <c r="D348" s="950" t="s">
        <v>2017</v>
      </c>
      <c r="E348" s="952" t="s">
        <v>2018</v>
      </c>
      <c r="F348" s="940"/>
      <c r="G348" s="953"/>
      <c r="H348" s="969"/>
      <c r="I348" s="998" t="s">
        <v>2019</v>
      </c>
      <c r="J348" s="1195" t="s">
        <v>193</v>
      </c>
      <c r="K348" s="1194" t="s">
        <v>136</v>
      </c>
      <c r="L348" s="959">
        <v>38.0</v>
      </c>
      <c r="M348" s="960">
        <v>30.0</v>
      </c>
      <c r="N348" s="960">
        <v>41.0</v>
      </c>
      <c r="O348" s="960">
        <v>30.0</v>
      </c>
      <c r="P348" s="960">
        <v>41.0</v>
      </c>
      <c r="Q348" s="960">
        <v>60.0</v>
      </c>
      <c r="R348" s="960">
        <v>156.0</v>
      </c>
      <c r="S348" s="960">
        <v>219.0</v>
      </c>
      <c r="T348" s="960">
        <v>240.0</v>
      </c>
      <c r="U348" s="960">
        <f t="array" ref="U348">HLOOKUP($J348,'Type Chart'!$C$2:$T$20,2,false)*HLOOKUP($K348,'Type Chart'!$C$2:$U$20,2,false)</f>
        <v>1</v>
      </c>
      <c r="V348" s="960">
        <f t="array" ref="V348">HLOOKUP($J348,'Type Chart'!$C$2:$T$20,3,false)*HLOOKUP($K348,'Type Chart'!$C$2:$U$20,3,false)</f>
        <v>4</v>
      </c>
      <c r="W348" s="960">
        <f t="array" ref="W348">HLOOKUP($J348,'Type Chart'!$C$2:$T$20,4,false)*HLOOKUP($K348,'Type Chart'!$C$2:$U$20,4,false)</f>
        <v>1</v>
      </c>
      <c r="X348" s="960">
        <f t="array" ref="X348">HLOOKUP($J348,'Type Chart'!$C$2:$T$20,5,false)*HLOOKUP($K348,'Type Chart'!$C$2:$U$20,5,false)</f>
        <v>1</v>
      </c>
      <c r="Y348" s="960">
        <f t="array" ref="Y348">HLOOKUP($J348,'Type Chart'!$C$2:$T$20,6,false)*HLOOKUP($K348,'Type Chart'!$C$2:$U$20,6,false)</f>
        <v>1</v>
      </c>
      <c r="Z348" s="960">
        <f t="array" ref="Z348">HLOOKUP($J348,'Type Chart'!$C$2:$T$20,7,false)*HLOOKUP($K348,'Type Chart'!$C$2:$U$20,7,false)</f>
        <v>1</v>
      </c>
      <c r="AA348" s="960">
        <f t="array" ref="AA348">HLOOKUP($J348,'Type Chart'!$C$2:$T$20,8,false)*HLOOKUP($K348,'Type Chart'!$C$2:$U$20,8,false)</f>
        <v>2</v>
      </c>
      <c r="AB348" s="960">
        <f t="array" ref="AB348">HLOOKUP($J348,'Type Chart'!$C$2:$T$20,9,false)*HLOOKUP($K348,'Type Chart'!$C$2:$U$20,9,false)</f>
        <v>0</v>
      </c>
      <c r="AC348" s="960">
        <f t="array" ref="AC348">HLOOKUP($J348,'Type Chart'!$C$2:$T$20,10,false)*HLOOKUP($K348,'Type Chart'!$C$2:$U$20,10,false)</f>
        <v>1</v>
      </c>
      <c r="AD348" s="960">
        <f t="array" ref="AD348">HLOOKUP($J348,'Type Chart'!$C$2:$T$20,11,false)*HLOOKUP($K348,'Type Chart'!$C$2:$U$20,11,false)</f>
        <v>1</v>
      </c>
      <c r="AE348" s="960">
        <f t="array" ref="AE348">HLOOKUP($J348,'Type Chart'!$C$2:$T$20,12,false)*HLOOKUP($K348,'Type Chart'!$C$2:$U$20,12,false)</f>
        <v>1</v>
      </c>
      <c r="AF348" s="960">
        <f t="array" ref="AF348">HLOOKUP($J348,'Type Chart'!$C$2:$T$20,13,false)*HLOOKUP($K348,'Type Chart'!$C$2:$U$20,13,false)</f>
        <v>1</v>
      </c>
      <c r="AG348" s="960">
        <f t="array" ref="AG348">HLOOKUP($J348,'Type Chart'!$C$2:$T$20,14,false)*HLOOKUP($K348,'Type Chart'!$C$2:$U$20,14,false)</f>
        <v>1</v>
      </c>
      <c r="AH348" s="960">
        <f t="array" ref="AH348">HLOOKUP($J348,'Type Chart'!$C$2:$T$20,15,false)*HLOOKUP($K348,'Type Chart'!$C$2:$U$20,15,false)</f>
        <v>0</v>
      </c>
      <c r="AI348" s="960">
        <f t="array" ref="AI348">HLOOKUP($J348,'Type Chart'!$C$2:$T$20,16,false)*HLOOKUP($K348,'Type Chart'!$C$2:$U$20,16,false)</f>
        <v>1</v>
      </c>
      <c r="AJ348" s="960">
        <f t="array" ref="AJ348">HLOOKUP($J348,'Type Chart'!$C$2:$T$20,17,false)*HLOOKUP($K348,'Type Chart'!$C$2:$U$20,17,false)</f>
        <v>1</v>
      </c>
      <c r="AK348" s="960">
        <f t="array" ref="AK348">HLOOKUP($J348,'Type Chart'!$C$2:$T$20,18,false)*HLOOKUP($K348,'Type Chart'!$C$2:$U$20,18,false)</f>
        <v>0.5</v>
      </c>
      <c r="AL348" s="960">
        <f t="array" ref="AL348">HLOOKUP($J348,'Type Chart'!$C$2:$T$20,19,false)*HLOOKUP($K348,'Type Chart'!$C$2:$U$20,19,false)</f>
        <v>2</v>
      </c>
      <c r="AM348" s="964" t="s">
        <v>1238</v>
      </c>
      <c r="AN348" s="965" t="s">
        <v>1044</v>
      </c>
      <c r="AO348" s="966" t="s">
        <v>1615</v>
      </c>
      <c r="AP348" s="936"/>
      <c r="AQ348" s="967"/>
      <c r="AR348" s="968"/>
      <c r="AS348" s="936"/>
    </row>
    <row r="349" ht="15.75" customHeight="1">
      <c r="A349" s="936"/>
      <c r="B349" s="948" t="s">
        <v>2020</v>
      </c>
      <c r="C349" s="950" t="s">
        <v>2021</v>
      </c>
      <c r="D349" s="950" t="s">
        <v>2021</v>
      </c>
      <c r="E349" s="952" t="s">
        <v>2021</v>
      </c>
      <c r="F349" s="940"/>
      <c r="G349" s="953"/>
      <c r="H349" s="969"/>
      <c r="I349" s="956" t="s">
        <v>2022</v>
      </c>
      <c r="J349" s="1194" t="s">
        <v>136</v>
      </c>
      <c r="K349" s="984" t="s">
        <v>216</v>
      </c>
      <c r="L349" s="959">
        <v>78.0</v>
      </c>
      <c r="M349" s="960">
        <v>70.0</v>
      </c>
      <c r="N349" s="960">
        <v>61.0</v>
      </c>
      <c r="O349" s="960">
        <v>50.0</v>
      </c>
      <c r="P349" s="960">
        <v>61.0</v>
      </c>
      <c r="Q349" s="960">
        <v>100.0</v>
      </c>
      <c r="R349" s="960">
        <v>236.0</v>
      </c>
      <c r="S349" s="960">
        <v>299.0</v>
      </c>
      <c r="T349" s="960">
        <v>328.0</v>
      </c>
      <c r="U349" s="960">
        <f t="array" ref="U349">HLOOKUP($J349,'Type Chart'!$C$2:$T$20,2,false)*HLOOKUP($K349,'Type Chart'!$C$2:$U$20,2,false)</f>
        <v>1</v>
      </c>
      <c r="V349" s="960">
        <f t="array" ref="V349">HLOOKUP($J349,'Type Chart'!$C$2:$T$20,3,false)*HLOOKUP($K349,'Type Chart'!$C$2:$U$20,3,false)</f>
        <v>2</v>
      </c>
      <c r="W349" s="960">
        <f t="array" ref="W349">HLOOKUP($J349,'Type Chart'!$C$2:$T$20,4,false)*HLOOKUP($K349,'Type Chart'!$C$2:$U$20,4,false)</f>
        <v>1</v>
      </c>
      <c r="X349" s="960">
        <f t="array" ref="X349">HLOOKUP($J349,'Type Chart'!$C$2:$T$20,5,false)*HLOOKUP($K349,'Type Chart'!$C$2:$U$20,5,false)</f>
        <v>1</v>
      </c>
      <c r="Y349" s="960">
        <f t="array" ref="Y349">HLOOKUP($J349,'Type Chart'!$C$2:$T$20,6,false)*HLOOKUP($K349,'Type Chart'!$C$2:$U$20,6,false)</f>
        <v>1</v>
      </c>
      <c r="Z349" s="960">
        <f t="array" ref="Z349">HLOOKUP($J349,'Type Chart'!$C$2:$T$20,7,false)*HLOOKUP($K349,'Type Chart'!$C$2:$U$20,7,false)</f>
        <v>1</v>
      </c>
      <c r="AA349" s="960">
        <f t="array" ref="AA349">HLOOKUP($J349,'Type Chart'!$C$2:$T$20,8,false)*HLOOKUP($K349,'Type Chart'!$C$2:$U$20,8,false)</f>
        <v>1</v>
      </c>
      <c r="AB349" s="960">
        <f t="array" ref="AB349">HLOOKUP($J349,'Type Chart'!$C$2:$T$20,9,false)*HLOOKUP($K349,'Type Chart'!$C$2:$U$20,9,false)</f>
        <v>0</v>
      </c>
      <c r="AC349" s="960">
        <f t="array" ref="AC349">HLOOKUP($J349,'Type Chart'!$C$2:$T$20,10,false)*HLOOKUP($K349,'Type Chart'!$C$2:$U$20,10,false)</f>
        <v>1</v>
      </c>
      <c r="AD349" s="960">
        <f t="array" ref="AD349">HLOOKUP($J349,'Type Chart'!$C$2:$T$20,11,false)*HLOOKUP($K349,'Type Chart'!$C$2:$U$20,11,false)</f>
        <v>1</v>
      </c>
      <c r="AE349" s="960">
        <f t="array" ref="AE349">HLOOKUP($J349,'Type Chart'!$C$2:$T$20,12,false)*HLOOKUP($K349,'Type Chart'!$C$2:$U$20,12,false)</f>
        <v>1</v>
      </c>
      <c r="AF349" s="960">
        <f t="array" ref="AF349">HLOOKUP($J349,'Type Chart'!$C$2:$T$20,13,false)*HLOOKUP($K349,'Type Chart'!$C$2:$U$20,13,false)</f>
        <v>1</v>
      </c>
      <c r="AG349" s="960">
        <f t="array" ref="AG349">HLOOKUP($J349,'Type Chart'!$C$2:$T$20,14,false)*HLOOKUP($K349,'Type Chart'!$C$2:$U$20,14,false)</f>
        <v>1</v>
      </c>
      <c r="AH349" s="960">
        <f t="array" ref="AH349">HLOOKUP($J349,'Type Chart'!$C$2:$T$20,15,false)*HLOOKUP($K349,'Type Chart'!$C$2:$U$20,15,false)</f>
        <v>1</v>
      </c>
      <c r="AI349" s="960">
        <f t="array" ref="AI349">HLOOKUP($J349,'Type Chart'!$C$2:$T$20,16,false)*HLOOKUP($K349,'Type Chart'!$C$2:$U$20,16,false)</f>
        <v>1</v>
      </c>
      <c r="AJ349" s="960">
        <f t="array" ref="AJ349">HLOOKUP($J349,'Type Chart'!$C$2:$T$20,17,false)*HLOOKUP($K349,'Type Chart'!$C$2:$U$20,17,false)</f>
        <v>1</v>
      </c>
      <c r="AK349" s="960">
        <f t="array" ref="AK349">HLOOKUP($J349,'Type Chart'!$C$2:$T$20,18,false)*HLOOKUP($K349,'Type Chart'!$C$2:$U$20,18,false)</f>
        <v>1</v>
      </c>
      <c r="AL349" s="960">
        <f t="array" ref="AL349">HLOOKUP($J349,'Type Chart'!$C$2:$T$20,19,false)*HLOOKUP($K349,'Type Chart'!$C$2:$U$20,19,false)</f>
        <v>1</v>
      </c>
      <c r="AM349" s="964" t="s">
        <v>1238</v>
      </c>
      <c r="AN349" s="965" t="s">
        <v>1044</v>
      </c>
      <c r="AO349" s="966" t="s">
        <v>1615</v>
      </c>
      <c r="AP349" s="936"/>
      <c r="AQ349" s="967"/>
      <c r="AR349" s="968"/>
      <c r="AS349" s="936"/>
    </row>
    <row r="350" ht="15.75" customHeight="1">
      <c r="A350" s="1099"/>
      <c r="B350" s="948" t="s">
        <v>2023</v>
      </c>
      <c r="C350" s="1197" t="s">
        <v>2024</v>
      </c>
      <c r="D350" s="1197" t="s">
        <v>2024</v>
      </c>
      <c r="E350" s="1147" t="s">
        <v>2025</v>
      </c>
      <c r="F350" s="940"/>
      <c r="G350" s="953"/>
      <c r="H350" s="969"/>
      <c r="I350" s="998" t="s">
        <v>2026</v>
      </c>
      <c r="J350" s="1229" t="s">
        <v>193</v>
      </c>
      <c r="K350" s="1216" t="s">
        <v>136</v>
      </c>
      <c r="L350" s="1200">
        <v>78.0</v>
      </c>
      <c r="M350" s="1201">
        <v>70.0</v>
      </c>
      <c r="N350" s="1201">
        <v>61.0</v>
      </c>
      <c r="O350" s="1201">
        <v>50.0</v>
      </c>
      <c r="P350" s="1201">
        <v>61.0</v>
      </c>
      <c r="Q350" s="1201">
        <v>100.0</v>
      </c>
      <c r="R350" s="960">
        <v>236.0</v>
      </c>
      <c r="S350" s="960">
        <v>299.0</v>
      </c>
      <c r="T350" s="960">
        <v>328.0</v>
      </c>
      <c r="U350" s="960">
        <f t="array" ref="U350">HLOOKUP($J350,'Type Chart'!$C$2:$T$20,2,false)*HLOOKUP($K350,'Type Chart'!$C$2:$U$20,2,false)</f>
        <v>1</v>
      </c>
      <c r="V350" s="960">
        <f t="array" ref="V350">HLOOKUP($J350,'Type Chart'!$C$2:$T$20,3,false)*HLOOKUP($K350,'Type Chart'!$C$2:$U$20,3,false)</f>
        <v>4</v>
      </c>
      <c r="W350" s="960">
        <f t="array" ref="W350">HLOOKUP($J350,'Type Chart'!$C$2:$T$20,4,false)*HLOOKUP($K350,'Type Chart'!$C$2:$U$20,4,false)</f>
        <v>1</v>
      </c>
      <c r="X350" s="960">
        <f t="array" ref="X350">HLOOKUP($J350,'Type Chart'!$C$2:$T$20,5,false)*HLOOKUP($K350,'Type Chart'!$C$2:$U$20,5,false)</f>
        <v>1</v>
      </c>
      <c r="Y350" s="960">
        <f t="array" ref="Y350">HLOOKUP($J350,'Type Chart'!$C$2:$T$20,6,false)*HLOOKUP($K350,'Type Chart'!$C$2:$U$20,6,false)</f>
        <v>1</v>
      </c>
      <c r="Z350" s="960">
        <f t="array" ref="Z350">HLOOKUP($J350,'Type Chart'!$C$2:$T$20,7,false)*HLOOKUP($K350,'Type Chart'!$C$2:$U$20,7,false)</f>
        <v>1</v>
      </c>
      <c r="AA350" s="960">
        <f t="array" ref="AA350">HLOOKUP($J350,'Type Chart'!$C$2:$T$20,8,false)*HLOOKUP($K350,'Type Chart'!$C$2:$U$20,8,false)</f>
        <v>2</v>
      </c>
      <c r="AB350" s="960">
        <f t="array" ref="AB350">HLOOKUP($J350,'Type Chart'!$C$2:$T$20,9,false)*HLOOKUP($K350,'Type Chart'!$C$2:$U$20,9,false)</f>
        <v>0</v>
      </c>
      <c r="AC350" s="960">
        <f t="array" ref="AC350">HLOOKUP($J350,'Type Chart'!$C$2:$T$20,10,false)*HLOOKUP($K350,'Type Chart'!$C$2:$U$20,10,false)</f>
        <v>1</v>
      </c>
      <c r="AD350" s="960">
        <f t="array" ref="AD350">HLOOKUP($J350,'Type Chart'!$C$2:$T$20,11,false)*HLOOKUP($K350,'Type Chart'!$C$2:$U$20,11,false)</f>
        <v>1</v>
      </c>
      <c r="AE350" s="960">
        <f t="array" ref="AE350">HLOOKUP($J350,'Type Chart'!$C$2:$T$20,12,false)*HLOOKUP($K350,'Type Chart'!$C$2:$U$20,12,false)</f>
        <v>1</v>
      </c>
      <c r="AF350" s="960">
        <f t="array" ref="AF350">HLOOKUP($J350,'Type Chart'!$C$2:$T$20,13,false)*HLOOKUP($K350,'Type Chart'!$C$2:$U$20,13,false)</f>
        <v>1</v>
      </c>
      <c r="AG350" s="960">
        <f t="array" ref="AG350">HLOOKUP($J350,'Type Chart'!$C$2:$T$20,14,false)*HLOOKUP($K350,'Type Chart'!$C$2:$U$20,14,false)</f>
        <v>1</v>
      </c>
      <c r="AH350" s="960">
        <f t="array" ref="AH350">HLOOKUP($J350,'Type Chart'!$C$2:$T$20,15,false)*HLOOKUP($K350,'Type Chart'!$C$2:$U$20,15,false)</f>
        <v>0</v>
      </c>
      <c r="AI350" s="960">
        <f t="array" ref="AI350">HLOOKUP($J350,'Type Chart'!$C$2:$T$20,16,false)*HLOOKUP($K350,'Type Chart'!$C$2:$U$20,16,false)</f>
        <v>1</v>
      </c>
      <c r="AJ350" s="960">
        <f t="array" ref="AJ350">HLOOKUP($J350,'Type Chart'!$C$2:$T$20,17,false)*HLOOKUP($K350,'Type Chart'!$C$2:$U$20,17,false)</f>
        <v>1</v>
      </c>
      <c r="AK350" s="960">
        <f t="array" ref="AK350">HLOOKUP($J350,'Type Chart'!$C$2:$T$20,18,false)*HLOOKUP($K350,'Type Chart'!$C$2:$U$20,18,false)</f>
        <v>0.5</v>
      </c>
      <c r="AL350" s="960">
        <f t="array" ref="AL350">HLOOKUP($J350,'Type Chart'!$C$2:$T$20,19,false)*HLOOKUP($K350,'Type Chart'!$C$2:$U$20,19,false)</f>
        <v>2</v>
      </c>
      <c r="AM350" s="1145" t="s">
        <v>1238</v>
      </c>
      <c r="AN350" s="965" t="s">
        <v>1044</v>
      </c>
      <c r="AO350" s="1146" t="s">
        <v>1615</v>
      </c>
      <c r="AP350" s="936"/>
      <c r="AQ350" s="967"/>
      <c r="AR350" s="968"/>
      <c r="AS350" s="936"/>
    </row>
    <row r="351" ht="15.75" customHeight="1">
      <c r="A351" s="936"/>
      <c r="B351" s="948" t="s">
        <v>2027</v>
      </c>
      <c r="C351" s="950" t="s">
        <v>2028</v>
      </c>
      <c r="D351" s="950" t="s">
        <v>2028</v>
      </c>
      <c r="E351" s="952" t="s">
        <v>2028</v>
      </c>
      <c r="F351" s="940"/>
      <c r="G351" s="953"/>
      <c r="H351" s="969"/>
      <c r="I351" s="956" t="s">
        <v>2029</v>
      </c>
      <c r="J351" s="1180" t="s">
        <v>343</v>
      </c>
      <c r="K351" s="984" t="s">
        <v>216</v>
      </c>
      <c r="L351" s="959">
        <v>45.0</v>
      </c>
      <c r="M351" s="960">
        <v>45.0</v>
      </c>
      <c r="N351" s="960">
        <v>35.0</v>
      </c>
      <c r="O351" s="960">
        <v>20.0</v>
      </c>
      <c r="P351" s="960">
        <v>30.0</v>
      </c>
      <c r="Q351" s="960">
        <v>20.0</v>
      </c>
      <c r="R351" s="960">
        <v>76.0</v>
      </c>
      <c r="S351" s="960">
        <v>139.0</v>
      </c>
      <c r="T351" s="960">
        <v>152.0</v>
      </c>
      <c r="U351" s="960">
        <f t="array" ref="U351">HLOOKUP($J351,'Type Chart'!$C$2:$T$20,2,false)*HLOOKUP($K351,'Type Chart'!$C$2:$U$20,2,false)</f>
        <v>1</v>
      </c>
      <c r="V351" s="960">
        <f t="array" ref="V351">HLOOKUP($J351,'Type Chart'!$C$2:$T$20,3,false)*HLOOKUP($K351,'Type Chart'!$C$2:$U$20,3,false)</f>
        <v>0.5</v>
      </c>
      <c r="W351" s="960">
        <f t="array" ref="W351">HLOOKUP($J351,'Type Chart'!$C$2:$T$20,4,false)*HLOOKUP($K351,'Type Chart'!$C$2:$U$20,4,false)</f>
        <v>2</v>
      </c>
      <c r="X351" s="960">
        <f t="array" ref="X351">HLOOKUP($J351,'Type Chart'!$C$2:$T$20,5,false)*HLOOKUP($K351,'Type Chart'!$C$2:$U$20,5,false)</f>
        <v>1</v>
      </c>
      <c r="Y351" s="960">
        <f t="array" ref="Y351">HLOOKUP($J351,'Type Chart'!$C$2:$T$20,6,false)*HLOOKUP($K351,'Type Chart'!$C$2:$U$20,6,false)</f>
        <v>0.5</v>
      </c>
      <c r="Z351" s="960">
        <f t="array" ref="Z351">HLOOKUP($J351,'Type Chart'!$C$2:$T$20,7,false)*HLOOKUP($K351,'Type Chart'!$C$2:$U$20,7,false)</f>
        <v>2</v>
      </c>
      <c r="AA351" s="960">
        <f t="array" ref="AA351">HLOOKUP($J351,'Type Chart'!$C$2:$T$20,8,false)*HLOOKUP($K351,'Type Chart'!$C$2:$U$20,8,false)</f>
        <v>1</v>
      </c>
      <c r="AB351" s="960">
        <f t="array" ref="AB351">HLOOKUP($J351,'Type Chart'!$C$2:$T$20,9,false)*HLOOKUP($K351,'Type Chart'!$C$2:$U$20,9,false)</f>
        <v>1</v>
      </c>
      <c r="AC351" s="960">
        <f t="array" ref="AC351">HLOOKUP($J351,'Type Chart'!$C$2:$T$20,10,false)*HLOOKUP($K351,'Type Chart'!$C$2:$U$20,10,false)</f>
        <v>1</v>
      </c>
      <c r="AD351" s="960">
        <f t="array" ref="AD351">HLOOKUP($J351,'Type Chart'!$C$2:$T$20,11,false)*HLOOKUP($K351,'Type Chart'!$C$2:$U$20,11,false)</f>
        <v>2</v>
      </c>
      <c r="AE351" s="960">
        <f t="array" ref="AE351">HLOOKUP($J351,'Type Chart'!$C$2:$T$20,12,false)*HLOOKUP($K351,'Type Chart'!$C$2:$U$20,12,false)</f>
        <v>1</v>
      </c>
      <c r="AF351" s="960">
        <f t="array" ref="AF351">HLOOKUP($J351,'Type Chart'!$C$2:$T$20,13,false)*HLOOKUP($K351,'Type Chart'!$C$2:$U$20,13,false)</f>
        <v>0.5</v>
      </c>
      <c r="AG351" s="960">
        <f t="array" ref="AG351">HLOOKUP($J351,'Type Chart'!$C$2:$T$20,14,false)*HLOOKUP($K351,'Type Chart'!$C$2:$U$20,14,false)</f>
        <v>1</v>
      </c>
      <c r="AH351" s="960">
        <f t="array" ref="AH351">HLOOKUP($J351,'Type Chart'!$C$2:$T$20,15,false)*HLOOKUP($K351,'Type Chart'!$C$2:$U$20,15,false)</f>
        <v>1</v>
      </c>
      <c r="AI351" s="960">
        <f t="array" ref="AI351">HLOOKUP($J351,'Type Chart'!$C$2:$T$20,16,false)*HLOOKUP($K351,'Type Chart'!$C$2:$U$20,16,false)</f>
        <v>1</v>
      </c>
      <c r="AJ351" s="960">
        <f t="array" ref="AJ351">HLOOKUP($J351,'Type Chart'!$C$2:$T$20,17,false)*HLOOKUP($K351,'Type Chart'!$C$2:$U$20,17,false)</f>
        <v>1</v>
      </c>
      <c r="AK351" s="960">
        <f t="array" ref="AK351">HLOOKUP($J351,'Type Chart'!$C$2:$T$20,18,false)*HLOOKUP($K351,'Type Chart'!$C$2:$U$20,18,false)</f>
        <v>1</v>
      </c>
      <c r="AL351" s="960">
        <f t="array" ref="AL351">HLOOKUP($J351,'Type Chart'!$C$2:$T$20,19,false)*HLOOKUP($K351,'Type Chart'!$C$2:$U$20,19,false)</f>
        <v>1</v>
      </c>
      <c r="AM351" s="964" t="s">
        <v>987</v>
      </c>
      <c r="AN351" s="965"/>
      <c r="AO351" s="966" t="s">
        <v>988</v>
      </c>
      <c r="AP351" s="936"/>
      <c r="AQ351" s="967"/>
      <c r="AR351" s="968"/>
      <c r="AS351" s="936"/>
    </row>
    <row r="352" ht="15.75" customHeight="1">
      <c r="A352" s="1099"/>
      <c r="B352" s="948" t="s">
        <v>2030</v>
      </c>
      <c r="C352" s="1197" t="s">
        <v>2031</v>
      </c>
      <c r="D352" s="1197" t="s">
        <v>2031</v>
      </c>
      <c r="E352" s="1147" t="s">
        <v>2031</v>
      </c>
      <c r="F352" s="940"/>
      <c r="G352" s="953"/>
      <c r="H352" s="969"/>
      <c r="I352" s="998" t="s">
        <v>2032</v>
      </c>
      <c r="J352" s="1225" t="s">
        <v>343</v>
      </c>
      <c r="K352" s="1199" t="s">
        <v>216</v>
      </c>
      <c r="L352" s="1200">
        <v>50.0</v>
      </c>
      <c r="M352" s="1201">
        <v>35.0</v>
      </c>
      <c r="N352" s="1201">
        <v>55.0</v>
      </c>
      <c r="O352" s="1201">
        <v>25.0</v>
      </c>
      <c r="P352" s="1201">
        <v>25.0</v>
      </c>
      <c r="Q352" s="1201">
        <v>15.0</v>
      </c>
      <c r="R352" s="960">
        <v>66.0</v>
      </c>
      <c r="S352" s="960">
        <v>129.0</v>
      </c>
      <c r="T352" s="960">
        <v>141.0</v>
      </c>
      <c r="U352" s="960">
        <f t="array" ref="U352">HLOOKUP($J352,'Type Chart'!$C$2:$T$20,2,false)*HLOOKUP($K352,'Type Chart'!$C$2:$U$20,2,false)</f>
        <v>1</v>
      </c>
      <c r="V352" s="960">
        <f t="array" ref="V352">HLOOKUP($J352,'Type Chart'!$C$2:$T$20,3,false)*HLOOKUP($K352,'Type Chart'!$C$2:$U$20,3,false)</f>
        <v>0.5</v>
      </c>
      <c r="W352" s="960">
        <f t="array" ref="W352">HLOOKUP($J352,'Type Chart'!$C$2:$T$20,4,false)*HLOOKUP($K352,'Type Chart'!$C$2:$U$20,4,false)</f>
        <v>2</v>
      </c>
      <c r="X352" s="960">
        <f t="array" ref="X352">HLOOKUP($J352,'Type Chart'!$C$2:$T$20,5,false)*HLOOKUP($K352,'Type Chart'!$C$2:$U$20,5,false)</f>
        <v>1</v>
      </c>
      <c r="Y352" s="960">
        <f t="array" ref="Y352">HLOOKUP($J352,'Type Chart'!$C$2:$T$20,6,false)*HLOOKUP($K352,'Type Chart'!$C$2:$U$20,6,false)</f>
        <v>0.5</v>
      </c>
      <c r="Z352" s="960">
        <f t="array" ref="Z352">HLOOKUP($J352,'Type Chart'!$C$2:$T$20,7,false)*HLOOKUP($K352,'Type Chart'!$C$2:$U$20,7,false)</f>
        <v>2</v>
      </c>
      <c r="AA352" s="960">
        <f t="array" ref="AA352">HLOOKUP($J352,'Type Chart'!$C$2:$T$20,8,false)*HLOOKUP($K352,'Type Chart'!$C$2:$U$20,8,false)</f>
        <v>1</v>
      </c>
      <c r="AB352" s="960">
        <f t="array" ref="AB352">HLOOKUP($J352,'Type Chart'!$C$2:$T$20,9,false)*HLOOKUP($K352,'Type Chart'!$C$2:$U$20,9,false)</f>
        <v>1</v>
      </c>
      <c r="AC352" s="960">
        <f t="array" ref="AC352">HLOOKUP($J352,'Type Chart'!$C$2:$T$20,10,false)*HLOOKUP($K352,'Type Chart'!$C$2:$U$20,10,false)</f>
        <v>1</v>
      </c>
      <c r="AD352" s="960">
        <f t="array" ref="AD352">HLOOKUP($J352,'Type Chart'!$C$2:$T$20,11,false)*HLOOKUP($K352,'Type Chart'!$C$2:$U$20,11,false)</f>
        <v>2</v>
      </c>
      <c r="AE352" s="960">
        <f t="array" ref="AE352">HLOOKUP($J352,'Type Chart'!$C$2:$T$20,12,false)*HLOOKUP($K352,'Type Chart'!$C$2:$U$20,12,false)</f>
        <v>1</v>
      </c>
      <c r="AF352" s="960">
        <f t="array" ref="AF352">HLOOKUP($J352,'Type Chart'!$C$2:$T$20,13,false)*HLOOKUP($K352,'Type Chart'!$C$2:$U$20,13,false)</f>
        <v>0.5</v>
      </c>
      <c r="AG352" s="960">
        <f t="array" ref="AG352">HLOOKUP($J352,'Type Chart'!$C$2:$T$20,14,false)*HLOOKUP($K352,'Type Chart'!$C$2:$U$20,14,false)</f>
        <v>1</v>
      </c>
      <c r="AH352" s="960">
        <f t="array" ref="AH352">HLOOKUP($J352,'Type Chart'!$C$2:$T$20,15,false)*HLOOKUP($K352,'Type Chart'!$C$2:$U$20,15,false)</f>
        <v>1</v>
      </c>
      <c r="AI352" s="960">
        <f t="array" ref="AI352">HLOOKUP($J352,'Type Chart'!$C$2:$T$20,16,false)*HLOOKUP($K352,'Type Chart'!$C$2:$U$20,16,false)</f>
        <v>1</v>
      </c>
      <c r="AJ352" s="960">
        <f t="array" ref="AJ352">HLOOKUP($J352,'Type Chart'!$C$2:$T$20,17,false)*HLOOKUP($K352,'Type Chart'!$C$2:$U$20,17,false)</f>
        <v>1</v>
      </c>
      <c r="AK352" s="960">
        <f t="array" ref="AK352">HLOOKUP($J352,'Type Chart'!$C$2:$T$20,18,false)*HLOOKUP($K352,'Type Chart'!$C$2:$U$20,18,false)</f>
        <v>1</v>
      </c>
      <c r="AL352" s="960">
        <f t="array" ref="AL352">HLOOKUP($J352,'Type Chart'!$C$2:$T$20,19,false)*HLOOKUP($K352,'Type Chart'!$C$2:$U$20,19,false)</f>
        <v>1</v>
      </c>
      <c r="AM352" s="1145" t="s">
        <v>998</v>
      </c>
      <c r="AN352" s="965"/>
      <c r="AO352" s="966"/>
      <c r="AP352" s="936"/>
      <c r="AQ352" s="967"/>
      <c r="AR352" s="968"/>
      <c r="AS352" s="936"/>
    </row>
    <row r="353" ht="15.75" customHeight="1">
      <c r="A353" s="936"/>
      <c r="B353" s="948" t="s">
        <v>2033</v>
      </c>
      <c r="C353" s="950" t="s">
        <v>2034</v>
      </c>
      <c r="D353" s="950" t="s">
        <v>2034</v>
      </c>
      <c r="E353" s="952" t="s">
        <v>2034</v>
      </c>
      <c r="F353" s="940"/>
      <c r="G353" s="953"/>
      <c r="H353" s="969"/>
      <c r="I353" s="956" t="s">
        <v>2035</v>
      </c>
      <c r="J353" s="1180" t="s">
        <v>343</v>
      </c>
      <c r="K353" s="1001" t="s">
        <v>128</v>
      </c>
      <c r="L353" s="959">
        <v>60.0</v>
      </c>
      <c r="M353" s="960">
        <v>70.0</v>
      </c>
      <c r="N353" s="960">
        <v>50.0</v>
      </c>
      <c r="O353" s="960">
        <v>100.0</v>
      </c>
      <c r="P353" s="960">
        <v>50.0</v>
      </c>
      <c r="Q353" s="960">
        <v>65.0</v>
      </c>
      <c r="R353" s="960">
        <v>166.0</v>
      </c>
      <c r="S353" s="960">
        <v>229.0</v>
      </c>
      <c r="T353" s="960">
        <v>251.0</v>
      </c>
      <c r="U353" s="960">
        <f t="array" ref="U353">HLOOKUP($J353,'Type Chart'!$C$2:$T$20,2,false)*HLOOKUP($K353,'Type Chart'!$C$2:$U$20,2,false)</f>
        <v>1</v>
      </c>
      <c r="V353" s="960">
        <f t="array" ref="V353">HLOOKUP($J353,'Type Chart'!$C$2:$T$20,3,false)*HLOOKUP($K353,'Type Chart'!$C$2:$U$20,3,false)</f>
        <v>0.25</v>
      </c>
      <c r="W353" s="960">
        <f t="array" ref="W353">HLOOKUP($J353,'Type Chart'!$C$2:$T$20,4,false)*HLOOKUP($K353,'Type Chart'!$C$2:$U$20,4,false)</f>
        <v>2</v>
      </c>
      <c r="X353" s="960">
        <f t="array" ref="X353">HLOOKUP($J353,'Type Chart'!$C$2:$T$20,5,false)*HLOOKUP($K353,'Type Chart'!$C$2:$U$20,5,false)</f>
        <v>1</v>
      </c>
      <c r="Y353" s="960">
        <f t="array" ref="Y353">HLOOKUP($J353,'Type Chart'!$C$2:$T$20,6,false)*HLOOKUP($K353,'Type Chart'!$C$2:$U$20,6,false)</f>
        <v>0</v>
      </c>
      <c r="Z353" s="960">
        <f t="array" ref="Z353">HLOOKUP($J353,'Type Chart'!$C$2:$T$20,7,false)*HLOOKUP($K353,'Type Chart'!$C$2:$U$20,7,false)</f>
        <v>4</v>
      </c>
      <c r="AA353" s="960">
        <f t="array" ref="AA353">HLOOKUP($J353,'Type Chart'!$C$2:$T$20,8,false)*HLOOKUP($K353,'Type Chart'!$C$2:$U$20,8,false)</f>
        <v>0.5</v>
      </c>
      <c r="AB353" s="960">
        <f t="array" ref="AB353">HLOOKUP($J353,'Type Chart'!$C$2:$T$20,9,false)*HLOOKUP($K353,'Type Chart'!$C$2:$U$20,9,false)</f>
        <v>1</v>
      </c>
      <c r="AC353" s="960">
        <f t="array" ref="AC353">HLOOKUP($J353,'Type Chart'!$C$2:$T$20,10,false)*HLOOKUP($K353,'Type Chart'!$C$2:$U$20,10,false)</f>
        <v>1</v>
      </c>
      <c r="AD353" s="960">
        <f t="array" ref="AD353">HLOOKUP($J353,'Type Chart'!$C$2:$T$20,11,false)*HLOOKUP($K353,'Type Chart'!$C$2:$U$20,11,false)</f>
        <v>2</v>
      </c>
      <c r="AE353" s="960">
        <f t="array" ref="AE353">HLOOKUP($J353,'Type Chart'!$C$2:$T$20,12,false)*HLOOKUP($K353,'Type Chart'!$C$2:$U$20,12,false)</f>
        <v>1</v>
      </c>
      <c r="AF353" s="960">
        <f t="array" ref="AF353">HLOOKUP($J353,'Type Chart'!$C$2:$T$20,13,false)*HLOOKUP($K353,'Type Chart'!$C$2:$U$20,13,false)</f>
        <v>0.25</v>
      </c>
      <c r="AG353" s="960">
        <f t="array" ref="AG353">HLOOKUP($J353,'Type Chart'!$C$2:$T$20,14,false)*HLOOKUP($K353,'Type Chart'!$C$2:$U$20,14,false)</f>
        <v>2</v>
      </c>
      <c r="AH353" s="960">
        <f t="array" ref="AH353">HLOOKUP($J353,'Type Chart'!$C$2:$T$20,15,false)*HLOOKUP($K353,'Type Chart'!$C$2:$U$20,15,false)</f>
        <v>1</v>
      </c>
      <c r="AI353" s="960">
        <f t="array" ref="AI353">HLOOKUP($J353,'Type Chart'!$C$2:$T$20,16,false)*HLOOKUP($K353,'Type Chart'!$C$2:$U$20,16,false)</f>
        <v>2</v>
      </c>
      <c r="AJ353" s="960">
        <f t="array" ref="AJ353">HLOOKUP($J353,'Type Chart'!$C$2:$T$20,17,false)*HLOOKUP($K353,'Type Chart'!$C$2:$U$20,17,false)</f>
        <v>1</v>
      </c>
      <c r="AK353" s="960">
        <f t="array" ref="AK353">HLOOKUP($J353,'Type Chart'!$C$2:$T$20,18,false)*HLOOKUP($K353,'Type Chart'!$C$2:$U$20,18,false)</f>
        <v>1</v>
      </c>
      <c r="AL353" s="960">
        <f t="array" ref="AL353">HLOOKUP($J353,'Type Chart'!$C$2:$T$20,19,false)*HLOOKUP($K353,'Type Chart'!$C$2:$U$20,19,false)</f>
        <v>1</v>
      </c>
      <c r="AM353" s="964" t="s">
        <v>1013</v>
      </c>
      <c r="AN353" s="965"/>
      <c r="AO353" s="966" t="s">
        <v>1147</v>
      </c>
      <c r="AP353" s="936"/>
      <c r="AQ353" s="967"/>
      <c r="AR353" s="968"/>
      <c r="AS353" s="936"/>
    </row>
    <row r="354" ht="15.75" customHeight="1">
      <c r="A354" s="936"/>
      <c r="B354" s="948" t="s">
        <v>2036</v>
      </c>
      <c r="C354" s="950" t="s">
        <v>2037</v>
      </c>
      <c r="D354" s="950" t="s">
        <v>2037</v>
      </c>
      <c r="E354" s="952" t="s">
        <v>2037</v>
      </c>
      <c r="F354" s="940"/>
      <c r="G354" s="953"/>
      <c r="H354" s="969"/>
      <c r="I354" s="998" t="s">
        <v>2038</v>
      </c>
      <c r="J354" s="1180" t="s">
        <v>343</v>
      </c>
      <c r="K354" s="984" t="s">
        <v>216</v>
      </c>
      <c r="L354" s="959">
        <v>50.0</v>
      </c>
      <c r="M354" s="960">
        <v>35.0</v>
      </c>
      <c r="N354" s="960">
        <v>55.0</v>
      </c>
      <c r="O354" s="960">
        <v>25.0</v>
      </c>
      <c r="P354" s="960">
        <v>25.0</v>
      </c>
      <c r="Q354" s="960">
        <v>15.0</v>
      </c>
      <c r="R354" s="960">
        <v>66.0</v>
      </c>
      <c r="S354" s="960">
        <v>129.0</v>
      </c>
      <c r="T354" s="960">
        <v>141.0</v>
      </c>
      <c r="U354" s="960">
        <f t="array" ref="U354">HLOOKUP($J354,'Type Chart'!$C$2:$T$20,2,false)*HLOOKUP($K354,'Type Chart'!$C$2:$U$20,2,false)</f>
        <v>1</v>
      </c>
      <c r="V354" s="960">
        <f t="array" ref="V354">HLOOKUP($J354,'Type Chart'!$C$2:$T$20,3,false)*HLOOKUP($K354,'Type Chart'!$C$2:$U$20,3,false)</f>
        <v>0.5</v>
      </c>
      <c r="W354" s="960">
        <f t="array" ref="W354">HLOOKUP($J354,'Type Chart'!$C$2:$T$20,4,false)*HLOOKUP($K354,'Type Chart'!$C$2:$U$20,4,false)</f>
        <v>2</v>
      </c>
      <c r="X354" s="960">
        <f t="array" ref="X354">HLOOKUP($J354,'Type Chart'!$C$2:$T$20,5,false)*HLOOKUP($K354,'Type Chart'!$C$2:$U$20,5,false)</f>
        <v>1</v>
      </c>
      <c r="Y354" s="960">
        <f t="array" ref="Y354">HLOOKUP($J354,'Type Chart'!$C$2:$T$20,6,false)*HLOOKUP($K354,'Type Chart'!$C$2:$U$20,6,false)</f>
        <v>0.5</v>
      </c>
      <c r="Z354" s="960">
        <f t="array" ref="Z354">HLOOKUP($J354,'Type Chart'!$C$2:$T$20,7,false)*HLOOKUP($K354,'Type Chart'!$C$2:$U$20,7,false)</f>
        <v>2</v>
      </c>
      <c r="AA354" s="960">
        <f t="array" ref="AA354">HLOOKUP($J354,'Type Chart'!$C$2:$T$20,8,false)*HLOOKUP($K354,'Type Chart'!$C$2:$U$20,8,false)</f>
        <v>1</v>
      </c>
      <c r="AB354" s="960">
        <f t="array" ref="AB354">HLOOKUP($J354,'Type Chart'!$C$2:$T$20,9,false)*HLOOKUP($K354,'Type Chart'!$C$2:$U$20,9,false)</f>
        <v>1</v>
      </c>
      <c r="AC354" s="960">
        <f t="array" ref="AC354">HLOOKUP($J354,'Type Chart'!$C$2:$T$20,10,false)*HLOOKUP($K354,'Type Chart'!$C$2:$U$20,10,false)</f>
        <v>1</v>
      </c>
      <c r="AD354" s="960">
        <f t="array" ref="AD354">HLOOKUP($J354,'Type Chart'!$C$2:$T$20,11,false)*HLOOKUP($K354,'Type Chart'!$C$2:$U$20,11,false)</f>
        <v>2</v>
      </c>
      <c r="AE354" s="960">
        <f t="array" ref="AE354">HLOOKUP($J354,'Type Chart'!$C$2:$T$20,12,false)*HLOOKUP($K354,'Type Chart'!$C$2:$U$20,12,false)</f>
        <v>1</v>
      </c>
      <c r="AF354" s="960">
        <f t="array" ref="AF354">HLOOKUP($J354,'Type Chart'!$C$2:$T$20,13,false)*HLOOKUP($K354,'Type Chart'!$C$2:$U$20,13,false)</f>
        <v>0.5</v>
      </c>
      <c r="AG354" s="960">
        <f t="array" ref="AG354">HLOOKUP($J354,'Type Chart'!$C$2:$T$20,14,false)*HLOOKUP($K354,'Type Chart'!$C$2:$U$20,14,false)</f>
        <v>1</v>
      </c>
      <c r="AH354" s="960">
        <f t="array" ref="AH354">HLOOKUP($J354,'Type Chart'!$C$2:$T$20,15,false)*HLOOKUP($K354,'Type Chart'!$C$2:$U$20,15,false)</f>
        <v>1</v>
      </c>
      <c r="AI354" s="960">
        <f t="array" ref="AI354">HLOOKUP($J354,'Type Chart'!$C$2:$T$20,16,false)*HLOOKUP($K354,'Type Chart'!$C$2:$U$20,16,false)</f>
        <v>1</v>
      </c>
      <c r="AJ354" s="960">
        <f t="array" ref="AJ354">HLOOKUP($J354,'Type Chart'!$C$2:$T$20,17,false)*HLOOKUP($K354,'Type Chart'!$C$2:$U$20,17,false)</f>
        <v>1</v>
      </c>
      <c r="AK354" s="960">
        <f t="array" ref="AK354">HLOOKUP($J354,'Type Chart'!$C$2:$T$20,18,false)*HLOOKUP($K354,'Type Chart'!$C$2:$U$20,18,false)</f>
        <v>1</v>
      </c>
      <c r="AL354" s="960">
        <f t="array" ref="AL354">HLOOKUP($J354,'Type Chart'!$C$2:$T$20,19,false)*HLOOKUP($K354,'Type Chart'!$C$2:$U$20,19,false)</f>
        <v>1</v>
      </c>
      <c r="AM354" s="964" t="s">
        <v>998</v>
      </c>
      <c r="AN354" s="965"/>
      <c r="AO354" s="966"/>
      <c r="AP354" s="936"/>
      <c r="AQ354" s="967"/>
      <c r="AR354" s="968"/>
      <c r="AS354" s="936"/>
    </row>
    <row r="355" ht="15.75" customHeight="1">
      <c r="A355" s="936"/>
      <c r="B355" s="948" t="s">
        <v>2039</v>
      </c>
      <c r="C355" s="950" t="s">
        <v>2040</v>
      </c>
      <c r="D355" s="950" t="s">
        <v>2040</v>
      </c>
      <c r="E355" s="952" t="s">
        <v>2040</v>
      </c>
      <c r="F355" s="940"/>
      <c r="G355" s="953"/>
      <c r="H355" s="969"/>
      <c r="I355" s="956" t="s">
        <v>2041</v>
      </c>
      <c r="J355" s="1180" t="s">
        <v>343</v>
      </c>
      <c r="K355" s="958" t="s">
        <v>178</v>
      </c>
      <c r="L355" s="959">
        <v>60.0</v>
      </c>
      <c r="M355" s="960">
        <v>50.0</v>
      </c>
      <c r="N355" s="960">
        <v>70.0</v>
      </c>
      <c r="O355" s="960">
        <v>50.0</v>
      </c>
      <c r="P355" s="960">
        <v>90.0</v>
      </c>
      <c r="Q355" s="960">
        <v>65.0</v>
      </c>
      <c r="R355" s="960">
        <v>166.0</v>
      </c>
      <c r="S355" s="960">
        <v>229.0</v>
      </c>
      <c r="T355" s="960">
        <v>251.0</v>
      </c>
      <c r="U355" s="960">
        <f t="array" ref="U355">HLOOKUP($J355,'Type Chart'!$C$2:$T$20,2,false)*HLOOKUP($K355,'Type Chart'!$C$2:$U$20,2,false)</f>
        <v>1</v>
      </c>
      <c r="V355" s="960">
        <f t="array" ref="V355">HLOOKUP($J355,'Type Chart'!$C$2:$T$20,3,false)*HLOOKUP($K355,'Type Chart'!$C$2:$U$20,3,false)</f>
        <v>0.25</v>
      </c>
      <c r="W355" s="960">
        <f t="array" ref="W355">HLOOKUP($J355,'Type Chart'!$C$2:$T$20,4,false)*HLOOKUP($K355,'Type Chart'!$C$2:$U$20,4,false)</f>
        <v>2</v>
      </c>
      <c r="X355" s="960">
        <f t="array" ref="X355">HLOOKUP($J355,'Type Chart'!$C$2:$T$20,5,false)*HLOOKUP($K355,'Type Chart'!$C$2:$U$20,5,false)</f>
        <v>0.5</v>
      </c>
      <c r="Y355" s="960">
        <f t="array" ref="Y355">HLOOKUP($J355,'Type Chart'!$C$2:$T$20,6,false)*HLOOKUP($K355,'Type Chart'!$C$2:$U$20,6,false)</f>
        <v>1</v>
      </c>
      <c r="Z355" s="960">
        <f t="array" ref="Z355">HLOOKUP($J355,'Type Chart'!$C$2:$T$20,7,false)*HLOOKUP($K355,'Type Chart'!$C$2:$U$20,7,false)</f>
        <v>2</v>
      </c>
      <c r="AA355" s="960">
        <f t="array" ref="AA355">HLOOKUP($J355,'Type Chart'!$C$2:$T$20,8,false)*HLOOKUP($K355,'Type Chart'!$C$2:$U$20,8,false)</f>
        <v>0.5</v>
      </c>
      <c r="AB355" s="960">
        <f t="array" ref="AB355">HLOOKUP($J355,'Type Chart'!$C$2:$T$20,9,false)*HLOOKUP($K355,'Type Chart'!$C$2:$U$20,9,false)</f>
        <v>1</v>
      </c>
      <c r="AC355" s="960">
        <f t="array" ref="AC355">HLOOKUP($J355,'Type Chart'!$C$2:$T$20,10,false)*HLOOKUP($K355,'Type Chart'!$C$2:$U$20,10,false)</f>
        <v>1</v>
      </c>
      <c r="AD355" s="960">
        <f t="array" ref="AD355">HLOOKUP($J355,'Type Chart'!$C$2:$T$20,11,false)*HLOOKUP($K355,'Type Chart'!$C$2:$U$20,11,false)</f>
        <v>2</v>
      </c>
      <c r="AE355" s="960">
        <f t="array" ref="AE355">HLOOKUP($J355,'Type Chart'!$C$2:$T$20,12,false)*HLOOKUP($K355,'Type Chart'!$C$2:$U$20,12,false)</f>
        <v>1</v>
      </c>
      <c r="AF355" s="960">
        <f t="array" ref="AF355">HLOOKUP($J355,'Type Chart'!$C$2:$T$20,13,false)*HLOOKUP($K355,'Type Chart'!$C$2:$U$20,13,false)</f>
        <v>0.25</v>
      </c>
      <c r="AG355" s="960">
        <f t="array" ref="AG355">HLOOKUP($J355,'Type Chart'!$C$2:$T$20,14,false)*HLOOKUP($K355,'Type Chart'!$C$2:$U$20,14,false)</f>
        <v>1</v>
      </c>
      <c r="AH355" s="960">
        <f t="array" ref="AH355">HLOOKUP($J355,'Type Chart'!$C$2:$T$20,15,false)*HLOOKUP($K355,'Type Chart'!$C$2:$U$20,15,false)</f>
        <v>2</v>
      </c>
      <c r="AI355" s="960">
        <f t="array" ref="AI355">HLOOKUP($J355,'Type Chart'!$C$2:$T$20,16,false)*HLOOKUP($K355,'Type Chart'!$C$2:$U$20,16,false)</f>
        <v>1</v>
      </c>
      <c r="AJ355" s="960">
        <f t="array" ref="AJ355">HLOOKUP($J355,'Type Chart'!$C$2:$T$20,17,false)*HLOOKUP($K355,'Type Chart'!$C$2:$U$20,17,false)</f>
        <v>1</v>
      </c>
      <c r="AK355" s="960">
        <f t="array" ref="AK355">HLOOKUP($J355,'Type Chart'!$C$2:$T$20,18,false)*HLOOKUP($K355,'Type Chart'!$C$2:$U$20,18,false)</f>
        <v>1</v>
      </c>
      <c r="AL355" s="960">
        <f t="array" ref="AL355">HLOOKUP($J355,'Type Chart'!$C$2:$T$20,19,false)*HLOOKUP($K355,'Type Chart'!$C$2:$U$20,19,false)</f>
        <v>0.5</v>
      </c>
      <c r="AM355" s="964" t="s">
        <v>987</v>
      </c>
      <c r="AN355" s="965"/>
      <c r="AO355" s="966" t="s">
        <v>1002</v>
      </c>
      <c r="AP355" s="936"/>
      <c r="AQ355" s="967"/>
      <c r="AR355" s="968"/>
      <c r="AS355" s="936"/>
    </row>
    <row r="356" ht="15.75" customHeight="1">
      <c r="A356" s="936"/>
      <c r="B356" s="948" t="s">
        <v>2042</v>
      </c>
      <c r="C356" s="950" t="s">
        <v>2043</v>
      </c>
      <c r="D356" s="950" t="s">
        <v>2043</v>
      </c>
      <c r="E356" s="952" t="s">
        <v>2043</v>
      </c>
      <c r="F356" s="940"/>
      <c r="G356" s="953"/>
      <c r="H356" s="969"/>
      <c r="I356" s="956" t="s">
        <v>2044</v>
      </c>
      <c r="J356" s="1056" t="s">
        <v>81</v>
      </c>
      <c r="K356" s="957" t="s">
        <v>209</v>
      </c>
      <c r="L356" s="959">
        <v>40.0</v>
      </c>
      <c r="M356" s="960">
        <v>30.0</v>
      </c>
      <c r="N356" s="960">
        <v>30.0</v>
      </c>
      <c r="O356" s="960">
        <v>40.0</v>
      </c>
      <c r="P356" s="960">
        <v>50.0</v>
      </c>
      <c r="Q356" s="960">
        <v>30.0</v>
      </c>
      <c r="R356" s="960">
        <v>96.0</v>
      </c>
      <c r="S356" s="960">
        <v>159.0</v>
      </c>
      <c r="T356" s="960">
        <v>174.0</v>
      </c>
      <c r="U356" s="960">
        <f t="array" ref="U356">HLOOKUP($J356,'Type Chart'!$C$2:$T$20,2,false)*HLOOKUP($K356,'Type Chart'!$C$2:$U$20,2,false)</f>
        <v>1</v>
      </c>
      <c r="V356" s="960">
        <f t="array" ref="V356">HLOOKUP($J356,'Type Chart'!$C$2:$T$20,3,false)*HLOOKUP($K356,'Type Chart'!$C$2:$U$20,3,false)</f>
        <v>1</v>
      </c>
      <c r="W356" s="960">
        <f t="array" ref="W356">HLOOKUP($J356,'Type Chart'!$C$2:$T$20,4,false)*HLOOKUP($K356,'Type Chart'!$C$2:$U$20,4,false)</f>
        <v>2</v>
      </c>
      <c r="X356" s="960">
        <f t="array" ref="X356">HLOOKUP($J356,'Type Chart'!$C$2:$T$20,5,false)*HLOOKUP($K356,'Type Chart'!$C$2:$U$20,5,false)</f>
        <v>2</v>
      </c>
      <c r="Y356" s="960">
        <f t="array" ref="Y356">HLOOKUP($J356,'Type Chart'!$C$2:$T$20,6,false)*HLOOKUP($K356,'Type Chart'!$C$2:$U$20,6,false)</f>
        <v>0.5</v>
      </c>
      <c r="Z356" s="960">
        <f t="array" ref="Z356">HLOOKUP($J356,'Type Chart'!$C$2:$T$20,7,false)*HLOOKUP($K356,'Type Chart'!$C$2:$U$20,7,false)</f>
        <v>1</v>
      </c>
      <c r="AA356" s="960">
        <f t="array" ref="AA356">HLOOKUP($J356,'Type Chart'!$C$2:$T$20,8,false)*HLOOKUP($K356,'Type Chart'!$C$2:$U$20,8,false)</f>
        <v>2</v>
      </c>
      <c r="AB356" s="960">
        <f t="array" ref="AB356">HLOOKUP($J356,'Type Chart'!$C$2:$T$20,9,false)*HLOOKUP($K356,'Type Chart'!$C$2:$U$20,9,false)</f>
        <v>1</v>
      </c>
      <c r="AC356" s="960">
        <f t="array" ref="AC356">HLOOKUP($J356,'Type Chart'!$C$2:$T$20,10,false)*HLOOKUP($K356,'Type Chart'!$C$2:$U$20,10,false)</f>
        <v>0.5</v>
      </c>
      <c r="AD356" s="960">
        <f t="array" ref="AD356">HLOOKUP($J356,'Type Chart'!$C$2:$T$20,11,false)*HLOOKUP($K356,'Type Chart'!$C$2:$U$20,11,false)</f>
        <v>1</v>
      </c>
      <c r="AE356" s="960">
        <f t="array" ref="AE356">HLOOKUP($J356,'Type Chart'!$C$2:$T$20,12,false)*HLOOKUP($K356,'Type Chart'!$C$2:$U$20,12,false)</f>
        <v>0.25</v>
      </c>
      <c r="AF356" s="960">
        <f t="array" ref="AF356">HLOOKUP($J356,'Type Chart'!$C$2:$T$20,13,false)*HLOOKUP($K356,'Type Chart'!$C$2:$U$20,13,false)</f>
        <v>1</v>
      </c>
      <c r="AG356" s="960">
        <f t="array" ref="AG356">HLOOKUP($J356,'Type Chart'!$C$2:$T$20,14,false)*HLOOKUP($K356,'Type Chart'!$C$2:$U$20,14,false)</f>
        <v>1</v>
      </c>
      <c r="AH356" s="960">
        <f t="array" ref="AH356">HLOOKUP($J356,'Type Chart'!$C$2:$T$20,15,false)*HLOOKUP($K356,'Type Chart'!$C$2:$U$20,15,false)</f>
        <v>1</v>
      </c>
      <c r="AI356" s="960">
        <f t="array" ref="AI356">HLOOKUP($J356,'Type Chart'!$C$2:$T$20,16,false)*HLOOKUP($K356,'Type Chart'!$C$2:$U$20,16,false)</f>
        <v>1</v>
      </c>
      <c r="AJ356" s="960">
        <f t="array" ref="AJ356">HLOOKUP($J356,'Type Chart'!$C$2:$T$20,17,false)*HLOOKUP($K356,'Type Chart'!$C$2:$U$20,17,false)</f>
        <v>1</v>
      </c>
      <c r="AK356" s="960">
        <f t="array" ref="AK356">HLOOKUP($J356,'Type Chart'!$C$2:$T$20,18,false)*HLOOKUP($K356,'Type Chart'!$C$2:$U$20,18,false)</f>
        <v>1</v>
      </c>
      <c r="AL356" s="960">
        <f t="array" ref="AL356">HLOOKUP($J356,'Type Chart'!$C$2:$T$20,19,false)*HLOOKUP($K356,'Type Chart'!$C$2:$U$20,19,false)</f>
        <v>1</v>
      </c>
      <c r="AM356" s="964" t="s">
        <v>1259</v>
      </c>
      <c r="AN356" s="965" t="s">
        <v>960</v>
      </c>
      <c r="AO356" s="966" t="s">
        <v>1370</v>
      </c>
      <c r="AP356" s="936"/>
      <c r="AQ356" s="967"/>
      <c r="AR356" s="968"/>
      <c r="AS356" s="936"/>
    </row>
    <row r="357" ht="15.75" customHeight="1">
      <c r="A357" s="936"/>
      <c r="B357" s="948" t="s">
        <v>2045</v>
      </c>
      <c r="C357" s="950" t="s">
        <v>2046</v>
      </c>
      <c r="D357" s="950" t="s">
        <v>2046</v>
      </c>
      <c r="E357" s="952" t="s">
        <v>2046</v>
      </c>
      <c r="F357" s="940"/>
      <c r="G357" s="953"/>
      <c r="H357" s="969"/>
      <c r="I357" s="956" t="s">
        <v>2047</v>
      </c>
      <c r="J357" s="1056" t="s">
        <v>81</v>
      </c>
      <c r="K357" s="957" t="s">
        <v>209</v>
      </c>
      <c r="L357" s="959">
        <v>60.0</v>
      </c>
      <c r="M357" s="960">
        <v>50.0</v>
      </c>
      <c r="N357" s="960">
        <v>50.0</v>
      </c>
      <c r="O357" s="960">
        <v>60.0</v>
      </c>
      <c r="P357" s="960">
        <v>70.0</v>
      </c>
      <c r="Q357" s="960">
        <v>50.0</v>
      </c>
      <c r="R357" s="960">
        <v>136.0</v>
      </c>
      <c r="S357" s="960">
        <v>199.0</v>
      </c>
      <c r="T357" s="960">
        <v>218.0</v>
      </c>
      <c r="U357" s="960">
        <f t="array" ref="U357">HLOOKUP($J357,'Type Chart'!$C$2:$T$20,2,false)*HLOOKUP($K357,'Type Chart'!$C$2:$U$20,2,false)</f>
        <v>1</v>
      </c>
      <c r="V357" s="960">
        <f t="array" ref="V357">HLOOKUP($J357,'Type Chart'!$C$2:$T$20,3,false)*HLOOKUP($K357,'Type Chart'!$C$2:$U$20,3,false)</f>
        <v>1</v>
      </c>
      <c r="W357" s="960">
        <f t="array" ref="W357">HLOOKUP($J357,'Type Chart'!$C$2:$T$20,4,false)*HLOOKUP($K357,'Type Chart'!$C$2:$U$20,4,false)</f>
        <v>2</v>
      </c>
      <c r="X357" s="960">
        <f t="array" ref="X357">HLOOKUP($J357,'Type Chart'!$C$2:$T$20,5,false)*HLOOKUP($K357,'Type Chart'!$C$2:$U$20,5,false)</f>
        <v>2</v>
      </c>
      <c r="Y357" s="960">
        <f t="array" ref="Y357">HLOOKUP($J357,'Type Chart'!$C$2:$T$20,6,false)*HLOOKUP($K357,'Type Chart'!$C$2:$U$20,6,false)</f>
        <v>0.5</v>
      </c>
      <c r="Z357" s="960">
        <f t="array" ref="Z357">HLOOKUP($J357,'Type Chart'!$C$2:$T$20,7,false)*HLOOKUP($K357,'Type Chart'!$C$2:$U$20,7,false)</f>
        <v>1</v>
      </c>
      <c r="AA357" s="960">
        <f t="array" ref="AA357">HLOOKUP($J357,'Type Chart'!$C$2:$T$20,8,false)*HLOOKUP($K357,'Type Chart'!$C$2:$U$20,8,false)</f>
        <v>2</v>
      </c>
      <c r="AB357" s="960">
        <f t="array" ref="AB357">HLOOKUP($J357,'Type Chart'!$C$2:$T$20,9,false)*HLOOKUP($K357,'Type Chart'!$C$2:$U$20,9,false)</f>
        <v>1</v>
      </c>
      <c r="AC357" s="960">
        <f t="array" ref="AC357">HLOOKUP($J357,'Type Chart'!$C$2:$T$20,10,false)*HLOOKUP($K357,'Type Chart'!$C$2:$U$20,10,false)</f>
        <v>0.5</v>
      </c>
      <c r="AD357" s="960">
        <f t="array" ref="AD357">HLOOKUP($J357,'Type Chart'!$C$2:$T$20,11,false)*HLOOKUP($K357,'Type Chart'!$C$2:$U$20,11,false)</f>
        <v>1</v>
      </c>
      <c r="AE357" s="960">
        <f t="array" ref="AE357">HLOOKUP($J357,'Type Chart'!$C$2:$T$20,12,false)*HLOOKUP($K357,'Type Chart'!$C$2:$U$20,12,false)</f>
        <v>0.25</v>
      </c>
      <c r="AF357" s="960">
        <f t="array" ref="AF357">HLOOKUP($J357,'Type Chart'!$C$2:$T$20,13,false)*HLOOKUP($K357,'Type Chart'!$C$2:$U$20,13,false)</f>
        <v>1</v>
      </c>
      <c r="AG357" s="960">
        <f t="array" ref="AG357">HLOOKUP($J357,'Type Chart'!$C$2:$T$20,14,false)*HLOOKUP($K357,'Type Chart'!$C$2:$U$20,14,false)</f>
        <v>1</v>
      </c>
      <c r="AH357" s="960">
        <f t="array" ref="AH357">HLOOKUP($J357,'Type Chart'!$C$2:$T$20,15,false)*HLOOKUP($K357,'Type Chart'!$C$2:$U$20,15,false)</f>
        <v>1</v>
      </c>
      <c r="AI357" s="960">
        <f t="array" ref="AI357">HLOOKUP($J357,'Type Chart'!$C$2:$T$20,16,false)*HLOOKUP($K357,'Type Chart'!$C$2:$U$20,16,false)</f>
        <v>1</v>
      </c>
      <c r="AJ357" s="960">
        <f t="array" ref="AJ357">HLOOKUP($J357,'Type Chart'!$C$2:$T$20,17,false)*HLOOKUP($K357,'Type Chart'!$C$2:$U$20,17,false)</f>
        <v>1</v>
      </c>
      <c r="AK357" s="960">
        <f t="array" ref="AK357">HLOOKUP($J357,'Type Chart'!$C$2:$T$20,18,false)*HLOOKUP($K357,'Type Chart'!$C$2:$U$20,18,false)</f>
        <v>1</v>
      </c>
      <c r="AL357" s="960">
        <f t="array" ref="AL357">HLOOKUP($J357,'Type Chart'!$C$2:$T$20,19,false)*HLOOKUP($K357,'Type Chart'!$C$2:$U$20,19,false)</f>
        <v>1</v>
      </c>
      <c r="AM357" s="964" t="s">
        <v>1259</v>
      </c>
      <c r="AN357" s="965" t="s">
        <v>960</v>
      </c>
      <c r="AO357" s="966" t="s">
        <v>1370</v>
      </c>
      <c r="AP357" s="936"/>
      <c r="AQ357" s="967"/>
      <c r="AR357" s="968"/>
      <c r="AS357" s="936"/>
    </row>
    <row r="358" ht="15.75" customHeight="1">
      <c r="A358" s="1099"/>
      <c r="B358" s="948" t="s">
        <v>2048</v>
      </c>
      <c r="C358" s="1197" t="s">
        <v>2049</v>
      </c>
      <c r="D358" s="1197" t="s">
        <v>2049</v>
      </c>
      <c r="E358" s="1147" t="s">
        <v>2049</v>
      </c>
      <c r="F358" s="940"/>
      <c r="G358" s="953"/>
      <c r="H358" s="969"/>
      <c r="I358" s="998" t="s">
        <v>729</v>
      </c>
      <c r="J358" s="1211" t="s">
        <v>81</v>
      </c>
      <c r="K358" s="1228" t="s">
        <v>209</v>
      </c>
      <c r="L358" s="1200">
        <v>80.0</v>
      </c>
      <c r="M358" s="1201">
        <v>70.0</v>
      </c>
      <c r="N358" s="1201">
        <v>70.0</v>
      </c>
      <c r="O358" s="1201">
        <v>90.0</v>
      </c>
      <c r="P358" s="1201">
        <v>100.0</v>
      </c>
      <c r="Q358" s="1201">
        <v>70.0</v>
      </c>
      <c r="R358" s="960">
        <v>176.0</v>
      </c>
      <c r="S358" s="960">
        <v>239.0</v>
      </c>
      <c r="T358" s="960">
        <v>262.0</v>
      </c>
      <c r="U358" s="960">
        <f t="array" ref="U358">HLOOKUP($J358,'Type Chart'!$C$2:$T$20,2,false)*HLOOKUP($K358,'Type Chart'!$C$2:$U$20,2,false)</f>
        <v>1</v>
      </c>
      <c r="V358" s="960">
        <f t="array" ref="V358">HLOOKUP($J358,'Type Chart'!$C$2:$T$20,3,false)*HLOOKUP($K358,'Type Chart'!$C$2:$U$20,3,false)</f>
        <v>1</v>
      </c>
      <c r="W358" s="960">
        <f t="array" ref="W358">HLOOKUP($J358,'Type Chart'!$C$2:$T$20,4,false)*HLOOKUP($K358,'Type Chart'!$C$2:$U$20,4,false)</f>
        <v>2</v>
      </c>
      <c r="X358" s="960">
        <f t="array" ref="X358">HLOOKUP($J358,'Type Chart'!$C$2:$T$20,5,false)*HLOOKUP($K358,'Type Chart'!$C$2:$U$20,5,false)</f>
        <v>2</v>
      </c>
      <c r="Y358" s="960">
        <f t="array" ref="Y358">HLOOKUP($J358,'Type Chart'!$C$2:$T$20,6,false)*HLOOKUP($K358,'Type Chart'!$C$2:$U$20,6,false)</f>
        <v>0.5</v>
      </c>
      <c r="Z358" s="960">
        <f t="array" ref="Z358">HLOOKUP($J358,'Type Chart'!$C$2:$T$20,7,false)*HLOOKUP($K358,'Type Chart'!$C$2:$U$20,7,false)</f>
        <v>1</v>
      </c>
      <c r="AA358" s="960">
        <f t="array" ref="AA358">HLOOKUP($J358,'Type Chart'!$C$2:$T$20,8,false)*HLOOKUP($K358,'Type Chart'!$C$2:$U$20,8,false)</f>
        <v>2</v>
      </c>
      <c r="AB358" s="960">
        <f t="array" ref="AB358">HLOOKUP($J358,'Type Chart'!$C$2:$T$20,9,false)*HLOOKUP($K358,'Type Chart'!$C$2:$U$20,9,false)</f>
        <v>1</v>
      </c>
      <c r="AC358" s="960">
        <f t="array" ref="AC358">HLOOKUP($J358,'Type Chart'!$C$2:$T$20,10,false)*HLOOKUP($K358,'Type Chart'!$C$2:$U$20,10,false)</f>
        <v>0.5</v>
      </c>
      <c r="AD358" s="960">
        <f t="array" ref="AD358">HLOOKUP($J358,'Type Chart'!$C$2:$T$20,11,false)*HLOOKUP($K358,'Type Chart'!$C$2:$U$20,11,false)</f>
        <v>1</v>
      </c>
      <c r="AE358" s="960">
        <f t="array" ref="AE358">HLOOKUP($J358,'Type Chart'!$C$2:$T$20,12,false)*HLOOKUP($K358,'Type Chart'!$C$2:$U$20,12,false)</f>
        <v>0.25</v>
      </c>
      <c r="AF358" s="960">
        <f t="array" ref="AF358">HLOOKUP($J358,'Type Chart'!$C$2:$T$20,13,false)*HLOOKUP($K358,'Type Chart'!$C$2:$U$20,13,false)</f>
        <v>1</v>
      </c>
      <c r="AG358" s="960">
        <f t="array" ref="AG358">HLOOKUP($J358,'Type Chart'!$C$2:$T$20,14,false)*HLOOKUP($K358,'Type Chart'!$C$2:$U$20,14,false)</f>
        <v>1</v>
      </c>
      <c r="AH358" s="960">
        <f t="array" ref="AH358">HLOOKUP($J358,'Type Chart'!$C$2:$T$20,15,false)*HLOOKUP($K358,'Type Chart'!$C$2:$U$20,15,false)</f>
        <v>1</v>
      </c>
      <c r="AI358" s="960">
        <f t="array" ref="AI358">HLOOKUP($J358,'Type Chart'!$C$2:$T$20,16,false)*HLOOKUP($K358,'Type Chart'!$C$2:$U$20,16,false)</f>
        <v>1</v>
      </c>
      <c r="AJ358" s="960">
        <f t="array" ref="AJ358">HLOOKUP($J358,'Type Chart'!$C$2:$T$20,17,false)*HLOOKUP($K358,'Type Chart'!$C$2:$U$20,17,false)</f>
        <v>1</v>
      </c>
      <c r="AK358" s="960">
        <f t="array" ref="AK358">HLOOKUP($J358,'Type Chart'!$C$2:$T$20,18,false)*HLOOKUP($K358,'Type Chart'!$C$2:$U$20,18,false)</f>
        <v>1</v>
      </c>
      <c r="AL358" s="960">
        <f t="array" ref="AL358">HLOOKUP($J358,'Type Chart'!$C$2:$T$20,19,false)*HLOOKUP($K358,'Type Chart'!$C$2:$U$20,19,false)</f>
        <v>1</v>
      </c>
      <c r="AM358" s="1145" t="s">
        <v>1259</v>
      </c>
      <c r="AN358" s="1202" t="s">
        <v>960</v>
      </c>
      <c r="AO358" s="1146" t="s">
        <v>1370</v>
      </c>
      <c r="AP358" s="936"/>
      <c r="AQ358" s="967"/>
      <c r="AR358" s="968"/>
      <c r="AS358" s="936"/>
    </row>
    <row r="359" ht="15.75" customHeight="1">
      <c r="A359" s="936"/>
      <c r="B359" s="948" t="s">
        <v>2050</v>
      </c>
      <c r="C359" s="950" t="s">
        <v>2051</v>
      </c>
      <c r="D359" s="950" t="s">
        <v>2051</v>
      </c>
      <c r="E359" s="952" t="s">
        <v>2051</v>
      </c>
      <c r="F359" s="940"/>
      <c r="G359" s="953"/>
      <c r="H359" s="969"/>
      <c r="I359" s="956" t="s">
        <v>2052</v>
      </c>
      <c r="J359" s="957" t="s">
        <v>209</v>
      </c>
      <c r="K359" s="984" t="s">
        <v>216</v>
      </c>
      <c r="L359" s="959">
        <v>40.0</v>
      </c>
      <c r="M359" s="960">
        <v>40.0</v>
      </c>
      <c r="N359" s="960">
        <v>50.0</v>
      </c>
      <c r="O359" s="960">
        <v>30.0</v>
      </c>
      <c r="P359" s="960">
        <v>30.0</v>
      </c>
      <c r="Q359" s="960">
        <v>30.0</v>
      </c>
      <c r="R359" s="960">
        <v>96.0</v>
      </c>
      <c r="S359" s="960">
        <v>159.0</v>
      </c>
      <c r="T359" s="960">
        <v>174.0</v>
      </c>
      <c r="U359" s="960">
        <f t="array" ref="U359">HLOOKUP($J359,'Type Chart'!$C$2:$T$20,2,false)*HLOOKUP($K359,'Type Chart'!$C$2:$U$20,2,false)</f>
        <v>1</v>
      </c>
      <c r="V359" s="960">
        <f t="array" ref="V359">HLOOKUP($J359,'Type Chart'!$C$2:$T$20,3,false)*HLOOKUP($K359,'Type Chart'!$C$2:$U$20,3,false)</f>
        <v>1</v>
      </c>
      <c r="W359" s="960">
        <f t="array" ref="W359">HLOOKUP($J359,'Type Chart'!$C$2:$T$20,4,false)*HLOOKUP($K359,'Type Chart'!$C$2:$U$20,4,false)</f>
        <v>2</v>
      </c>
      <c r="X359" s="960">
        <f t="array" ref="X359">HLOOKUP($J359,'Type Chart'!$C$2:$T$20,5,false)*HLOOKUP($K359,'Type Chart'!$C$2:$U$20,5,false)</f>
        <v>2</v>
      </c>
      <c r="Y359" s="960">
        <f t="array" ref="Y359">HLOOKUP($J359,'Type Chart'!$C$2:$T$20,6,false)*HLOOKUP($K359,'Type Chart'!$C$2:$U$20,6,false)</f>
        <v>0.5</v>
      </c>
      <c r="Z359" s="960">
        <f t="array" ref="Z359">HLOOKUP($J359,'Type Chart'!$C$2:$T$20,7,false)*HLOOKUP($K359,'Type Chart'!$C$2:$U$20,7,false)</f>
        <v>1</v>
      </c>
      <c r="AA359" s="960">
        <f t="array" ref="AA359">HLOOKUP($J359,'Type Chart'!$C$2:$T$20,8,false)*HLOOKUP($K359,'Type Chart'!$C$2:$U$20,8,false)</f>
        <v>2</v>
      </c>
      <c r="AB359" s="960">
        <f t="array" ref="AB359">HLOOKUP($J359,'Type Chart'!$C$2:$T$20,9,false)*HLOOKUP($K359,'Type Chart'!$C$2:$U$20,9,false)</f>
        <v>1</v>
      </c>
      <c r="AC359" s="960">
        <f t="array" ref="AC359">HLOOKUP($J359,'Type Chart'!$C$2:$T$20,10,false)*HLOOKUP($K359,'Type Chart'!$C$2:$U$20,10,false)</f>
        <v>1</v>
      </c>
      <c r="AD359" s="960">
        <f t="array" ref="AD359">HLOOKUP($J359,'Type Chart'!$C$2:$T$20,11,false)*HLOOKUP($K359,'Type Chart'!$C$2:$U$20,11,false)</f>
        <v>2</v>
      </c>
      <c r="AE359" s="960">
        <f t="array" ref="AE359">HLOOKUP($J359,'Type Chart'!$C$2:$T$20,12,false)*HLOOKUP($K359,'Type Chart'!$C$2:$U$20,12,false)</f>
        <v>0.5</v>
      </c>
      <c r="AF359" s="960">
        <f t="array" ref="AF359">HLOOKUP($J359,'Type Chart'!$C$2:$T$20,13,false)*HLOOKUP($K359,'Type Chart'!$C$2:$U$20,13,false)</f>
        <v>0.5</v>
      </c>
      <c r="AG359" s="960">
        <f t="array" ref="AG359">HLOOKUP($J359,'Type Chart'!$C$2:$T$20,14,false)*HLOOKUP($K359,'Type Chart'!$C$2:$U$20,14,false)</f>
        <v>0.5</v>
      </c>
      <c r="AH359" s="960">
        <f t="array" ref="AH359">HLOOKUP($J359,'Type Chart'!$C$2:$T$20,15,false)*HLOOKUP($K359,'Type Chart'!$C$2:$U$20,15,false)</f>
        <v>1</v>
      </c>
      <c r="AI359" s="960">
        <f t="array" ref="AI359">HLOOKUP($J359,'Type Chart'!$C$2:$T$20,16,false)*HLOOKUP($K359,'Type Chart'!$C$2:$U$20,16,false)</f>
        <v>2</v>
      </c>
      <c r="AJ359" s="960">
        <f t="array" ref="AJ359">HLOOKUP($J359,'Type Chart'!$C$2:$T$20,17,false)*HLOOKUP($K359,'Type Chart'!$C$2:$U$20,17,false)</f>
        <v>1</v>
      </c>
      <c r="AK359" s="960">
        <f t="array" ref="AK359">HLOOKUP($J359,'Type Chart'!$C$2:$T$20,18,false)*HLOOKUP($K359,'Type Chart'!$C$2:$U$20,18,false)</f>
        <v>1</v>
      </c>
      <c r="AL359" s="960">
        <f t="array" ref="AL359">HLOOKUP($J359,'Type Chart'!$C$2:$T$20,19,false)*HLOOKUP($K359,'Type Chart'!$C$2:$U$20,19,false)</f>
        <v>1</v>
      </c>
      <c r="AM359" s="964" t="s">
        <v>524</v>
      </c>
      <c r="AN359" s="965" t="s">
        <v>1403</v>
      </c>
      <c r="AO359" s="966" t="s">
        <v>1869</v>
      </c>
      <c r="AP359" s="936"/>
      <c r="AQ359" s="967"/>
      <c r="AR359" s="968"/>
      <c r="AS359" s="936"/>
    </row>
    <row r="360" ht="15.75" customHeight="1">
      <c r="A360" s="936"/>
      <c r="B360" s="948" t="s">
        <v>2053</v>
      </c>
      <c r="C360" s="950" t="s">
        <v>2054</v>
      </c>
      <c r="D360" s="950" t="s">
        <v>2054</v>
      </c>
      <c r="E360" s="952" t="s">
        <v>2054</v>
      </c>
      <c r="F360" s="940"/>
      <c r="G360" s="953"/>
      <c r="H360" s="969"/>
      <c r="I360" s="956" t="s">
        <v>2055</v>
      </c>
      <c r="J360" s="957" t="s">
        <v>209</v>
      </c>
      <c r="K360" s="1195" t="s">
        <v>193</v>
      </c>
      <c r="L360" s="959">
        <v>70.0</v>
      </c>
      <c r="M360" s="960">
        <v>70.0</v>
      </c>
      <c r="N360" s="960">
        <v>40.0</v>
      </c>
      <c r="O360" s="960">
        <v>60.0</v>
      </c>
      <c r="P360" s="960">
        <v>40.0</v>
      </c>
      <c r="Q360" s="960">
        <v>60.0</v>
      </c>
      <c r="R360" s="960">
        <v>156.0</v>
      </c>
      <c r="S360" s="960">
        <v>219.0</v>
      </c>
      <c r="T360" s="960">
        <v>240.0</v>
      </c>
      <c r="U360" s="960">
        <f t="array" ref="U360">HLOOKUP($J360,'Type Chart'!$C$2:$T$20,2,false)*HLOOKUP($K360,'Type Chart'!$C$2:$U$20,2,false)</f>
        <v>1</v>
      </c>
      <c r="V360" s="960">
        <f t="array" ref="V360">HLOOKUP($J360,'Type Chart'!$C$2:$T$20,3,false)*HLOOKUP($K360,'Type Chart'!$C$2:$U$20,3,false)</f>
        <v>2</v>
      </c>
      <c r="W360" s="960">
        <f t="array" ref="W360">HLOOKUP($J360,'Type Chart'!$C$2:$T$20,4,false)*HLOOKUP($K360,'Type Chart'!$C$2:$U$20,4,false)</f>
        <v>2</v>
      </c>
      <c r="X360" s="960">
        <f t="array" ref="X360">HLOOKUP($J360,'Type Chart'!$C$2:$T$20,5,false)*HLOOKUP($K360,'Type Chart'!$C$2:$U$20,5,false)</f>
        <v>2</v>
      </c>
      <c r="Y360" s="960">
        <f t="array" ref="Y360">HLOOKUP($J360,'Type Chart'!$C$2:$T$20,6,false)*HLOOKUP($K360,'Type Chart'!$C$2:$U$20,6,false)</f>
        <v>0.5</v>
      </c>
      <c r="Z360" s="960">
        <f t="array" ref="Z360">HLOOKUP($J360,'Type Chart'!$C$2:$T$20,7,false)*HLOOKUP($K360,'Type Chart'!$C$2:$U$20,7,false)</f>
        <v>1</v>
      </c>
      <c r="AA360" s="960">
        <f t="array" ref="AA360">HLOOKUP($J360,'Type Chart'!$C$2:$T$20,8,false)*HLOOKUP($K360,'Type Chart'!$C$2:$U$20,8,false)</f>
        <v>4</v>
      </c>
      <c r="AB360" s="960">
        <f t="array" ref="AB360">HLOOKUP($J360,'Type Chart'!$C$2:$T$20,9,false)*HLOOKUP($K360,'Type Chart'!$C$2:$U$20,9,false)</f>
        <v>0.5</v>
      </c>
      <c r="AC360" s="960">
        <f t="array" ref="AC360">HLOOKUP($J360,'Type Chart'!$C$2:$T$20,10,false)*HLOOKUP($K360,'Type Chart'!$C$2:$U$20,10,false)</f>
        <v>1</v>
      </c>
      <c r="AD360" s="960">
        <f t="array" ref="AD360">HLOOKUP($J360,'Type Chart'!$C$2:$T$20,11,false)*HLOOKUP($K360,'Type Chart'!$C$2:$U$20,11,false)</f>
        <v>2</v>
      </c>
      <c r="AE360" s="960">
        <f t="array" ref="AE360">HLOOKUP($J360,'Type Chart'!$C$2:$T$20,12,false)*HLOOKUP($K360,'Type Chart'!$C$2:$U$20,12,false)</f>
        <v>0.5</v>
      </c>
      <c r="AF360" s="960">
        <f t="array" ref="AF360">HLOOKUP($J360,'Type Chart'!$C$2:$T$20,13,false)*HLOOKUP($K360,'Type Chart'!$C$2:$U$20,13,false)</f>
        <v>0.5</v>
      </c>
      <c r="AG360" s="960">
        <f t="array" ref="AG360">HLOOKUP($J360,'Type Chart'!$C$2:$T$20,14,false)*HLOOKUP($K360,'Type Chart'!$C$2:$U$20,14,false)</f>
        <v>0.5</v>
      </c>
      <c r="AH360" s="960">
        <f t="array" ref="AH360">HLOOKUP($J360,'Type Chart'!$C$2:$T$20,15,false)*HLOOKUP($K360,'Type Chart'!$C$2:$U$20,15,false)</f>
        <v>0</v>
      </c>
      <c r="AI360" s="960">
        <f t="array" ref="AI360">HLOOKUP($J360,'Type Chart'!$C$2:$T$20,16,false)*HLOOKUP($K360,'Type Chart'!$C$2:$U$20,16,false)</f>
        <v>2</v>
      </c>
      <c r="AJ360" s="960">
        <f t="array" ref="AJ360">HLOOKUP($J360,'Type Chart'!$C$2:$T$20,17,false)*HLOOKUP($K360,'Type Chart'!$C$2:$U$20,17,false)</f>
        <v>1</v>
      </c>
      <c r="AK360" s="960">
        <f t="array" ref="AK360">HLOOKUP($J360,'Type Chart'!$C$2:$T$20,18,false)*HLOOKUP($K360,'Type Chart'!$C$2:$U$20,18,false)</f>
        <v>0.5</v>
      </c>
      <c r="AL360" s="960">
        <f t="array" ref="AL360">HLOOKUP($J360,'Type Chart'!$C$2:$T$20,19,false)*HLOOKUP($K360,'Type Chart'!$C$2:$U$20,19,false)</f>
        <v>2</v>
      </c>
      <c r="AM360" s="964" t="s">
        <v>524</v>
      </c>
      <c r="AN360" s="965" t="s">
        <v>1403</v>
      </c>
      <c r="AO360" s="966" t="s">
        <v>1869</v>
      </c>
      <c r="AP360" s="936"/>
      <c r="AQ360" s="967"/>
      <c r="AR360" s="968"/>
      <c r="AS360" s="936"/>
    </row>
    <row r="361" ht="15.75" customHeight="1">
      <c r="A361" s="936"/>
      <c r="B361" s="948" t="s">
        <v>2056</v>
      </c>
      <c r="C361" s="950" t="s">
        <v>2057</v>
      </c>
      <c r="D361" s="950" t="s">
        <v>2057</v>
      </c>
      <c r="E361" s="952" t="s">
        <v>2057</v>
      </c>
      <c r="F361" s="940"/>
      <c r="G361" s="953"/>
      <c r="H361" s="969"/>
      <c r="I361" s="956" t="s">
        <v>693</v>
      </c>
      <c r="J361" s="957" t="s">
        <v>209</v>
      </c>
      <c r="K361" s="1195" t="s">
        <v>193</v>
      </c>
      <c r="L361" s="959">
        <v>90.0</v>
      </c>
      <c r="M361" s="960">
        <v>100.0</v>
      </c>
      <c r="N361" s="960">
        <v>60.0</v>
      </c>
      <c r="O361" s="960">
        <v>90.0</v>
      </c>
      <c r="P361" s="960">
        <v>60.0</v>
      </c>
      <c r="Q361" s="960">
        <v>80.0</v>
      </c>
      <c r="R361" s="960">
        <v>196.0</v>
      </c>
      <c r="S361" s="960">
        <v>259.0</v>
      </c>
      <c r="T361" s="960">
        <v>284.0</v>
      </c>
      <c r="U361" s="960">
        <f t="array" ref="U361">HLOOKUP($J361,'Type Chart'!$C$2:$T$20,2,false)*HLOOKUP($K361,'Type Chart'!$C$2:$U$20,2,false)</f>
        <v>1</v>
      </c>
      <c r="V361" s="960">
        <f t="array" ref="V361">HLOOKUP($J361,'Type Chart'!$C$2:$T$20,3,false)*HLOOKUP($K361,'Type Chart'!$C$2:$U$20,3,false)</f>
        <v>2</v>
      </c>
      <c r="W361" s="960">
        <f t="array" ref="W361">HLOOKUP($J361,'Type Chart'!$C$2:$T$20,4,false)*HLOOKUP($K361,'Type Chart'!$C$2:$U$20,4,false)</f>
        <v>2</v>
      </c>
      <c r="X361" s="960">
        <f t="array" ref="X361">HLOOKUP($J361,'Type Chart'!$C$2:$T$20,5,false)*HLOOKUP($K361,'Type Chart'!$C$2:$U$20,5,false)</f>
        <v>2</v>
      </c>
      <c r="Y361" s="960">
        <f t="array" ref="Y361">HLOOKUP($J361,'Type Chart'!$C$2:$T$20,6,false)*HLOOKUP($K361,'Type Chart'!$C$2:$U$20,6,false)</f>
        <v>0.5</v>
      </c>
      <c r="Z361" s="960">
        <f t="array" ref="Z361">HLOOKUP($J361,'Type Chart'!$C$2:$T$20,7,false)*HLOOKUP($K361,'Type Chart'!$C$2:$U$20,7,false)</f>
        <v>1</v>
      </c>
      <c r="AA361" s="960">
        <f t="array" ref="AA361">HLOOKUP($J361,'Type Chart'!$C$2:$T$20,8,false)*HLOOKUP($K361,'Type Chart'!$C$2:$U$20,8,false)</f>
        <v>4</v>
      </c>
      <c r="AB361" s="960">
        <f t="array" ref="AB361">HLOOKUP($J361,'Type Chart'!$C$2:$T$20,9,false)*HLOOKUP($K361,'Type Chart'!$C$2:$U$20,9,false)</f>
        <v>0.5</v>
      </c>
      <c r="AC361" s="960">
        <f t="array" ref="AC361">HLOOKUP($J361,'Type Chart'!$C$2:$T$20,10,false)*HLOOKUP($K361,'Type Chart'!$C$2:$U$20,10,false)</f>
        <v>1</v>
      </c>
      <c r="AD361" s="960">
        <f t="array" ref="AD361">HLOOKUP($J361,'Type Chart'!$C$2:$T$20,11,false)*HLOOKUP($K361,'Type Chart'!$C$2:$U$20,11,false)</f>
        <v>2</v>
      </c>
      <c r="AE361" s="960">
        <f t="array" ref="AE361">HLOOKUP($J361,'Type Chart'!$C$2:$T$20,12,false)*HLOOKUP($K361,'Type Chart'!$C$2:$U$20,12,false)</f>
        <v>0.5</v>
      </c>
      <c r="AF361" s="960">
        <f t="array" ref="AF361">HLOOKUP($J361,'Type Chart'!$C$2:$T$20,13,false)*HLOOKUP($K361,'Type Chart'!$C$2:$U$20,13,false)</f>
        <v>0.5</v>
      </c>
      <c r="AG361" s="960">
        <f t="array" ref="AG361">HLOOKUP($J361,'Type Chart'!$C$2:$T$20,14,false)*HLOOKUP($K361,'Type Chart'!$C$2:$U$20,14,false)</f>
        <v>0.5</v>
      </c>
      <c r="AH361" s="960">
        <f t="array" ref="AH361">HLOOKUP($J361,'Type Chart'!$C$2:$T$20,15,false)*HLOOKUP($K361,'Type Chart'!$C$2:$U$20,15,false)</f>
        <v>0</v>
      </c>
      <c r="AI361" s="960">
        <f t="array" ref="AI361">HLOOKUP($J361,'Type Chart'!$C$2:$T$20,16,false)*HLOOKUP($K361,'Type Chart'!$C$2:$U$20,16,false)</f>
        <v>2</v>
      </c>
      <c r="AJ361" s="960">
        <f t="array" ref="AJ361">HLOOKUP($J361,'Type Chart'!$C$2:$T$20,17,false)*HLOOKUP($K361,'Type Chart'!$C$2:$U$20,17,false)</f>
        <v>1</v>
      </c>
      <c r="AK361" s="960">
        <f t="array" ref="AK361">HLOOKUP($J361,'Type Chart'!$C$2:$T$20,18,false)*HLOOKUP($K361,'Type Chart'!$C$2:$U$20,18,false)</f>
        <v>0.5</v>
      </c>
      <c r="AL361" s="960">
        <f t="array" ref="AL361">HLOOKUP($J361,'Type Chart'!$C$2:$T$20,19,false)*HLOOKUP($K361,'Type Chart'!$C$2:$U$20,19,false)</f>
        <v>2</v>
      </c>
      <c r="AM361" s="964" t="s">
        <v>524</v>
      </c>
      <c r="AN361" s="965" t="s">
        <v>1403</v>
      </c>
      <c r="AO361" s="966" t="s">
        <v>1869</v>
      </c>
      <c r="AP361" s="936"/>
      <c r="AQ361" s="967"/>
      <c r="AR361" s="968"/>
      <c r="AS361" s="936"/>
    </row>
    <row r="362" ht="15.75" customHeight="1">
      <c r="A362" s="936"/>
      <c r="B362" s="948" t="s">
        <v>2058</v>
      </c>
      <c r="C362" s="950" t="s">
        <v>2059</v>
      </c>
      <c r="D362" s="950" t="s">
        <v>2059</v>
      </c>
      <c r="E362" s="952" t="s">
        <v>2059</v>
      </c>
      <c r="F362" s="940"/>
      <c r="G362" s="953"/>
      <c r="H362" s="969"/>
      <c r="I362" s="956" t="s">
        <v>2060</v>
      </c>
      <c r="J362" s="1194" t="s">
        <v>136</v>
      </c>
      <c r="K362" s="1001" t="s">
        <v>128</v>
      </c>
      <c r="L362" s="959">
        <v>40.0</v>
      </c>
      <c r="M362" s="960">
        <v>55.0</v>
      </c>
      <c r="N362" s="960">
        <v>30.0</v>
      </c>
      <c r="O362" s="960">
        <v>30.0</v>
      </c>
      <c r="P362" s="960">
        <v>30.0</v>
      </c>
      <c r="Q362" s="960">
        <v>85.0</v>
      </c>
      <c r="R362" s="960">
        <v>206.0</v>
      </c>
      <c r="S362" s="960">
        <v>269.0</v>
      </c>
      <c r="T362" s="960">
        <v>295.0</v>
      </c>
      <c r="U362" s="960">
        <f t="array" ref="U362">HLOOKUP($J362,'Type Chart'!$C$2:$T$20,2,false)*HLOOKUP($K362,'Type Chart'!$C$2:$U$20,2,false)</f>
        <v>1</v>
      </c>
      <c r="V362" s="960">
        <f t="array" ref="V362">HLOOKUP($J362,'Type Chart'!$C$2:$T$20,3,false)*HLOOKUP($K362,'Type Chart'!$C$2:$U$20,3,false)</f>
        <v>1</v>
      </c>
      <c r="W362" s="960">
        <f t="array" ref="W362">HLOOKUP($J362,'Type Chart'!$C$2:$T$20,4,false)*HLOOKUP($K362,'Type Chart'!$C$2:$U$20,4,false)</f>
        <v>1</v>
      </c>
      <c r="X362" s="960">
        <f t="array" ref="X362">HLOOKUP($J362,'Type Chart'!$C$2:$T$20,5,false)*HLOOKUP($K362,'Type Chart'!$C$2:$U$20,5,false)</f>
        <v>1</v>
      </c>
      <c r="Y362" s="960">
        <f t="array" ref="Y362">HLOOKUP($J362,'Type Chart'!$C$2:$T$20,6,false)*HLOOKUP($K362,'Type Chart'!$C$2:$U$20,6,false)</f>
        <v>0</v>
      </c>
      <c r="Z362" s="960">
        <f t="array" ref="Z362">HLOOKUP($J362,'Type Chart'!$C$2:$T$20,7,false)*HLOOKUP($K362,'Type Chart'!$C$2:$U$20,7,false)</f>
        <v>2</v>
      </c>
      <c r="AA362" s="960">
        <f t="array" ref="AA362">HLOOKUP($J362,'Type Chart'!$C$2:$T$20,8,false)*HLOOKUP($K362,'Type Chart'!$C$2:$U$20,8,false)</f>
        <v>0.5</v>
      </c>
      <c r="AB362" s="960">
        <f t="array" ref="AB362">HLOOKUP($J362,'Type Chart'!$C$2:$T$20,9,false)*HLOOKUP($K362,'Type Chart'!$C$2:$U$20,9,false)</f>
        <v>0</v>
      </c>
      <c r="AC362" s="960">
        <f t="array" ref="AC362">HLOOKUP($J362,'Type Chart'!$C$2:$T$20,10,false)*HLOOKUP($K362,'Type Chart'!$C$2:$U$20,10,false)</f>
        <v>1</v>
      </c>
      <c r="AD362" s="960">
        <f t="array" ref="AD362">HLOOKUP($J362,'Type Chart'!$C$2:$T$20,11,false)*HLOOKUP($K362,'Type Chart'!$C$2:$U$20,11,false)</f>
        <v>1</v>
      </c>
      <c r="AE362" s="960">
        <f t="array" ref="AE362">HLOOKUP($J362,'Type Chart'!$C$2:$T$20,12,false)*HLOOKUP($K362,'Type Chart'!$C$2:$U$20,12,false)</f>
        <v>1</v>
      </c>
      <c r="AF362" s="960">
        <f t="array" ref="AF362">HLOOKUP($J362,'Type Chart'!$C$2:$T$20,13,false)*HLOOKUP($K362,'Type Chart'!$C$2:$U$20,13,false)</f>
        <v>0.5</v>
      </c>
      <c r="AG362" s="960">
        <f t="array" ref="AG362">HLOOKUP($J362,'Type Chart'!$C$2:$T$20,14,false)*HLOOKUP($K362,'Type Chart'!$C$2:$U$20,14,false)</f>
        <v>2</v>
      </c>
      <c r="AH362" s="960">
        <f t="array" ref="AH362">HLOOKUP($J362,'Type Chart'!$C$2:$T$20,15,false)*HLOOKUP($K362,'Type Chart'!$C$2:$U$20,15,false)</f>
        <v>1</v>
      </c>
      <c r="AI362" s="960">
        <f t="array" ref="AI362">HLOOKUP($J362,'Type Chart'!$C$2:$T$20,16,false)*HLOOKUP($K362,'Type Chart'!$C$2:$U$20,16,false)</f>
        <v>2</v>
      </c>
      <c r="AJ362" s="960">
        <f t="array" ref="AJ362">HLOOKUP($J362,'Type Chart'!$C$2:$T$20,17,false)*HLOOKUP($K362,'Type Chart'!$C$2:$U$20,17,false)</f>
        <v>1</v>
      </c>
      <c r="AK362" s="960">
        <f t="array" ref="AK362">HLOOKUP($J362,'Type Chart'!$C$2:$T$20,18,false)*HLOOKUP($K362,'Type Chart'!$C$2:$U$20,18,false)</f>
        <v>1</v>
      </c>
      <c r="AL362" s="960">
        <f t="array" ref="AL362">HLOOKUP($J362,'Type Chart'!$C$2:$T$20,19,false)*HLOOKUP($K362,'Type Chart'!$C$2:$U$20,19,false)</f>
        <v>1</v>
      </c>
      <c r="AM362" s="964" t="s">
        <v>1038</v>
      </c>
      <c r="AN362" s="965"/>
      <c r="AO362" s="966" t="s">
        <v>1399</v>
      </c>
      <c r="AP362" s="936"/>
      <c r="AQ362" s="967"/>
      <c r="AR362" s="968"/>
      <c r="AS362" s="936"/>
    </row>
    <row r="363" ht="15.75" customHeight="1">
      <c r="A363" s="1099"/>
      <c r="B363" s="948" t="s">
        <v>2061</v>
      </c>
      <c r="C363" s="950" t="s">
        <v>2062</v>
      </c>
      <c r="D363" s="950" t="s">
        <v>2062</v>
      </c>
      <c r="E363" s="952" t="s">
        <v>2062</v>
      </c>
      <c r="F363" s="940"/>
      <c r="G363" s="953"/>
      <c r="H363" s="969"/>
      <c r="I363" s="956" t="s">
        <v>2063</v>
      </c>
      <c r="J363" s="1194" t="s">
        <v>136</v>
      </c>
      <c r="K363" s="1001" t="s">
        <v>128</v>
      </c>
      <c r="L363" s="959">
        <v>60.0</v>
      </c>
      <c r="M363" s="960">
        <v>85.0</v>
      </c>
      <c r="N363" s="960">
        <v>60.0</v>
      </c>
      <c r="O363" s="960">
        <v>75.0</v>
      </c>
      <c r="P363" s="960">
        <v>50.0</v>
      </c>
      <c r="Q363" s="960">
        <v>125.0</v>
      </c>
      <c r="R363" s="960">
        <v>286.0</v>
      </c>
      <c r="S363" s="960">
        <v>349.0</v>
      </c>
      <c r="T363" s="960">
        <v>383.0</v>
      </c>
      <c r="U363" s="960">
        <f t="array" ref="U363">HLOOKUP($J363,'Type Chart'!$C$2:$T$20,2,false)*HLOOKUP($K363,'Type Chart'!$C$2:$U$20,2,false)</f>
        <v>1</v>
      </c>
      <c r="V363" s="960">
        <f t="array" ref="V363">HLOOKUP($J363,'Type Chart'!$C$2:$T$20,3,false)*HLOOKUP($K363,'Type Chart'!$C$2:$U$20,3,false)</f>
        <v>1</v>
      </c>
      <c r="W363" s="960">
        <f t="array" ref="W363">HLOOKUP($J363,'Type Chart'!$C$2:$T$20,4,false)*HLOOKUP($K363,'Type Chart'!$C$2:$U$20,4,false)</f>
        <v>1</v>
      </c>
      <c r="X363" s="960">
        <f t="array" ref="X363">HLOOKUP($J363,'Type Chart'!$C$2:$T$20,5,false)*HLOOKUP($K363,'Type Chart'!$C$2:$U$20,5,false)</f>
        <v>1</v>
      </c>
      <c r="Y363" s="960">
        <f t="array" ref="Y363">HLOOKUP($J363,'Type Chart'!$C$2:$T$20,6,false)*HLOOKUP($K363,'Type Chart'!$C$2:$U$20,6,false)</f>
        <v>0</v>
      </c>
      <c r="Z363" s="960">
        <f t="array" ref="Z363">HLOOKUP($J363,'Type Chart'!$C$2:$T$20,7,false)*HLOOKUP($K363,'Type Chart'!$C$2:$U$20,7,false)</f>
        <v>2</v>
      </c>
      <c r="AA363" s="960">
        <f t="array" ref="AA363">HLOOKUP($J363,'Type Chart'!$C$2:$T$20,8,false)*HLOOKUP($K363,'Type Chart'!$C$2:$U$20,8,false)</f>
        <v>0.5</v>
      </c>
      <c r="AB363" s="960">
        <f t="array" ref="AB363">HLOOKUP($J363,'Type Chart'!$C$2:$T$20,9,false)*HLOOKUP($K363,'Type Chart'!$C$2:$U$20,9,false)</f>
        <v>0</v>
      </c>
      <c r="AC363" s="960">
        <f t="array" ref="AC363">HLOOKUP($J363,'Type Chart'!$C$2:$T$20,10,false)*HLOOKUP($K363,'Type Chart'!$C$2:$U$20,10,false)</f>
        <v>1</v>
      </c>
      <c r="AD363" s="960">
        <f t="array" ref="AD363">HLOOKUP($J363,'Type Chart'!$C$2:$T$20,11,false)*HLOOKUP($K363,'Type Chart'!$C$2:$U$20,11,false)</f>
        <v>1</v>
      </c>
      <c r="AE363" s="960">
        <f t="array" ref="AE363">HLOOKUP($J363,'Type Chart'!$C$2:$T$20,12,false)*HLOOKUP($K363,'Type Chart'!$C$2:$U$20,12,false)</f>
        <v>1</v>
      </c>
      <c r="AF363" s="960">
        <f t="array" ref="AF363">HLOOKUP($J363,'Type Chart'!$C$2:$T$20,13,false)*HLOOKUP($K363,'Type Chart'!$C$2:$U$20,13,false)</f>
        <v>0.5</v>
      </c>
      <c r="AG363" s="960">
        <f t="array" ref="AG363">HLOOKUP($J363,'Type Chart'!$C$2:$T$20,14,false)*HLOOKUP($K363,'Type Chart'!$C$2:$U$20,14,false)</f>
        <v>2</v>
      </c>
      <c r="AH363" s="960">
        <f t="array" ref="AH363">HLOOKUP($J363,'Type Chart'!$C$2:$T$20,15,false)*HLOOKUP($K363,'Type Chart'!$C$2:$U$20,15,false)</f>
        <v>1</v>
      </c>
      <c r="AI363" s="960">
        <f t="array" ref="AI363">HLOOKUP($J363,'Type Chart'!$C$2:$T$20,16,false)*HLOOKUP($K363,'Type Chart'!$C$2:$U$20,16,false)</f>
        <v>2</v>
      </c>
      <c r="AJ363" s="960">
        <f t="array" ref="AJ363">HLOOKUP($J363,'Type Chart'!$C$2:$T$20,17,false)*HLOOKUP($K363,'Type Chart'!$C$2:$U$20,17,false)</f>
        <v>1</v>
      </c>
      <c r="AK363" s="960">
        <f t="array" ref="AK363">HLOOKUP($J363,'Type Chart'!$C$2:$T$20,18,false)*HLOOKUP($K363,'Type Chart'!$C$2:$U$20,18,false)</f>
        <v>1</v>
      </c>
      <c r="AL363" s="960">
        <f t="array" ref="AL363">HLOOKUP($J363,'Type Chart'!$C$2:$T$20,19,false)*HLOOKUP($K363,'Type Chart'!$C$2:$U$20,19,false)</f>
        <v>1</v>
      </c>
      <c r="AM363" s="1145" t="s">
        <v>1038</v>
      </c>
      <c r="AN363" s="965"/>
      <c r="AO363" s="1146" t="s">
        <v>1399</v>
      </c>
      <c r="AP363" s="936"/>
      <c r="AQ363" s="967"/>
      <c r="AR363" s="968"/>
      <c r="AS363" s="936"/>
    </row>
    <row r="364" ht="15.75" customHeight="1">
      <c r="A364" s="1099"/>
      <c r="B364" s="948" t="s">
        <v>2064</v>
      </c>
      <c r="C364" s="1197" t="s">
        <v>2065</v>
      </c>
      <c r="D364" s="1197" t="s">
        <v>2065</v>
      </c>
      <c r="E364" s="1147" t="s">
        <v>2065</v>
      </c>
      <c r="F364" s="940"/>
      <c r="G364" s="953"/>
      <c r="H364" s="969"/>
      <c r="I364" s="998" t="s">
        <v>2066</v>
      </c>
      <c r="J364" s="1211" t="s">
        <v>81</v>
      </c>
      <c r="K364" s="1210" t="s">
        <v>128</v>
      </c>
      <c r="L364" s="1200">
        <v>40.0</v>
      </c>
      <c r="M364" s="1201">
        <v>30.0</v>
      </c>
      <c r="N364" s="1201">
        <v>30.0</v>
      </c>
      <c r="O364" s="1201">
        <v>55.0</v>
      </c>
      <c r="P364" s="1201">
        <v>30.0</v>
      </c>
      <c r="Q364" s="1201">
        <v>85.0</v>
      </c>
      <c r="R364" s="960">
        <v>206.0</v>
      </c>
      <c r="S364" s="960">
        <v>269.0</v>
      </c>
      <c r="T364" s="960">
        <v>295.0</v>
      </c>
      <c r="U364" s="960">
        <f t="array" ref="U364">HLOOKUP($J364,'Type Chart'!$C$2:$T$20,2,false)*HLOOKUP($K364,'Type Chart'!$C$2:$U$20,2,false)</f>
        <v>1</v>
      </c>
      <c r="V364" s="960">
        <f t="array" ref="V364">HLOOKUP($J364,'Type Chart'!$C$2:$T$20,3,false)*HLOOKUP($K364,'Type Chart'!$C$2:$U$20,3,false)</f>
        <v>0.5</v>
      </c>
      <c r="W364" s="960">
        <f t="array" ref="W364">HLOOKUP($J364,'Type Chart'!$C$2:$T$20,4,false)*HLOOKUP($K364,'Type Chart'!$C$2:$U$20,4,false)</f>
        <v>1</v>
      </c>
      <c r="X364" s="960">
        <f t="array" ref="X364">HLOOKUP($J364,'Type Chart'!$C$2:$T$20,5,false)*HLOOKUP($K364,'Type Chart'!$C$2:$U$20,5,false)</f>
        <v>1</v>
      </c>
      <c r="Y364" s="960">
        <f t="array" ref="Y364">HLOOKUP($J364,'Type Chart'!$C$2:$T$20,6,false)*HLOOKUP($K364,'Type Chart'!$C$2:$U$20,6,false)</f>
        <v>0</v>
      </c>
      <c r="Z364" s="960">
        <f t="array" ref="Z364">HLOOKUP($J364,'Type Chart'!$C$2:$T$20,7,false)*HLOOKUP($K364,'Type Chart'!$C$2:$U$20,7,false)</f>
        <v>2</v>
      </c>
      <c r="AA364" s="960">
        <f t="array" ref="AA364">HLOOKUP($J364,'Type Chart'!$C$2:$T$20,8,false)*HLOOKUP($K364,'Type Chart'!$C$2:$U$20,8,false)</f>
        <v>0.5</v>
      </c>
      <c r="AB364" s="960">
        <f t="array" ref="AB364">HLOOKUP($J364,'Type Chart'!$C$2:$T$20,9,false)*HLOOKUP($K364,'Type Chart'!$C$2:$U$20,9,false)</f>
        <v>1</v>
      </c>
      <c r="AC364" s="960">
        <f t="array" ref="AC364">HLOOKUP($J364,'Type Chart'!$C$2:$T$20,10,false)*HLOOKUP($K364,'Type Chart'!$C$2:$U$20,10,false)</f>
        <v>0.5</v>
      </c>
      <c r="AD364" s="960">
        <f t="array" ref="AD364">HLOOKUP($J364,'Type Chart'!$C$2:$T$20,11,false)*HLOOKUP($K364,'Type Chart'!$C$2:$U$20,11,false)</f>
        <v>0.5</v>
      </c>
      <c r="AE364" s="960">
        <f t="array" ref="AE364">HLOOKUP($J364,'Type Chart'!$C$2:$T$20,12,false)*HLOOKUP($K364,'Type Chart'!$C$2:$U$20,12,false)</f>
        <v>0.5</v>
      </c>
      <c r="AF364" s="960">
        <f t="array" ref="AF364">HLOOKUP($J364,'Type Chart'!$C$2:$T$20,13,false)*HLOOKUP($K364,'Type Chart'!$C$2:$U$20,13,false)</f>
        <v>1</v>
      </c>
      <c r="AG364" s="960">
        <f t="array" ref="AG364">HLOOKUP($J364,'Type Chart'!$C$2:$T$20,14,false)*HLOOKUP($K364,'Type Chart'!$C$2:$U$20,14,false)</f>
        <v>4</v>
      </c>
      <c r="AH364" s="960">
        <f t="array" ref="AH364">HLOOKUP($J364,'Type Chart'!$C$2:$T$20,15,false)*HLOOKUP($K364,'Type Chart'!$C$2:$U$20,15,false)</f>
        <v>1</v>
      </c>
      <c r="AI364" s="960">
        <f t="array" ref="AI364">HLOOKUP($J364,'Type Chart'!$C$2:$T$20,16,false)*HLOOKUP($K364,'Type Chart'!$C$2:$U$20,16,false)</f>
        <v>1</v>
      </c>
      <c r="AJ364" s="960">
        <f t="array" ref="AJ364">HLOOKUP($J364,'Type Chart'!$C$2:$T$20,17,false)*HLOOKUP($K364,'Type Chart'!$C$2:$U$20,17,false)</f>
        <v>1</v>
      </c>
      <c r="AK364" s="960">
        <f t="array" ref="AK364">HLOOKUP($J364,'Type Chart'!$C$2:$T$20,18,false)*HLOOKUP($K364,'Type Chart'!$C$2:$U$20,18,false)</f>
        <v>1</v>
      </c>
      <c r="AL364" s="960">
        <f t="array" ref="AL364">HLOOKUP($J364,'Type Chart'!$C$2:$T$20,19,false)*HLOOKUP($K364,'Type Chart'!$C$2:$U$20,19,false)</f>
        <v>1</v>
      </c>
      <c r="AM364" s="1145" t="s">
        <v>1022</v>
      </c>
      <c r="AN364" s="965" t="s">
        <v>1409</v>
      </c>
      <c r="AO364" s="1146" t="s">
        <v>960</v>
      </c>
      <c r="AP364" s="936"/>
      <c r="AQ364" s="967"/>
      <c r="AR364" s="968"/>
      <c r="AS364" s="936"/>
    </row>
    <row r="365" ht="15.75" customHeight="1">
      <c r="A365" s="936"/>
      <c r="B365" s="948" t="s">
        <v>2067</v>
      </c>
      <c r="C365" s="950" t="s">
        <v>179</v>
      </c>
      <c r="D365" s="950" t="s">
        <v>179</v>
      </c>
      <c r="E365" s="952" t="s">
        <v>179</v>
      </c>
      <c r="F365" s="940"/>
      <c r="G365" s="953"/>
      <c r="H365" s="969"/>
      <c r="I365" s="956" t="s">
        <v>153</v>
      </c>
      <c r="J365" s="1056" t="s">
        <v>81</v>
      </c>
      <c r="K365" s="1001" t="s">
        <v>128</v>
      </c>
      <c r="L365" s="959">
        <v>60.0</v>
      </c>
      <c r="M365" s="960">
        <v>50.0</v>
      </c>
      <c r="N365" s="960">
        <v>100.0</v>
      </c>
      <c r="O365" s="960">
        <v>95.0</v>
      </c>
      <c r="P365" s="960">
        <v>70.0</v>
      </c>
      <c r="Q365" s="960">
        <v>65.0</v>
      </c>
      <c r="R365" s="960">
        <v>166.0</v>
      </c>
      <c r="S365" s="960">
        <v>229.0</v>
      </c>
      <c r="T365" s="960">
        <v>251.0</v>
      </c>
      <c r="U365" s="960">
        <f t="array" ref="U365">HLOOKUP($J365,'Type Chart'!$C$2:$T$20,2,false)*HLOOKUP($K365,'Type Chart'!$C$2:$U$20,2,false)</f>
        <v>1</v>
      </c>
      <c r="V365" s="960">
        <f t="array" ref="V365">HLOOKUP($J365,'Type Chart'!$C$2:$T$20,3,false)*HLOOKUP($K365,'Type Chart'!$C$2:$U$20,3,false)</f>
        <v>0.5</v>
      </c>
      <c r="W365" s="960">
        <f t="array" ref="W365">HLOOKUP($J365,'Type Chart'!$C$2:$T$20,4,false)*HLOOKUP($K365,'Type Chart'!$C$2:$U$20,4,false)</f>
        <v>1</v>
      </c>
      <c r="X365" s="960">
        <f t="array" ref="X365">HLOOKUP($J365,'Type Chart'!$C$2:$T$20,5,false)*HLOOKUP($K365,'Type Chart'!$C$2:$U$20,5,false)</f>
        <v>1</v>
      </c>
      <c r="Y365" s="960">
        <f t="array" ref="Y365">HLOOKUP($J365,'Type Chart'!$C$2:$T$20,6,false)*HLOOKUP($K365,'Type Chart'!$C$2:$U$20,6,false)</f>
        <v>0</v>
      </c>
      <c r="Z365" s="960">
        <f t="array" ref="Z365">HLOOKUP($J365,'Type Chart'!$C$2:$T$20,7,false)*HLOOKUP($K365,'Type Chart'!$C$2:$U$20,7,false)</f>
        <v>2</v>
      </c>
      <c r="AA365" s="960">
        <f t="array" ref="AA365">HLOOKUP($J365,'Type Chart'!$C$2:$T$20,8,false)*HLOOKUP($K365,'Type Chart'!$C$2:$U$20,8,false)</f>
        <v>0.5</v>
      </c>
      <c r="AB365" s="960">
        <f t="array" ref="AB365">HLOOKUP($J365,'Type Chart'!$C$2:$T$20,9,false)*HLOOKUP($K365,'Type Chart'!$C$2:$U$20,9,false)</f>
        <v>1</v>
      </c>
      <c r="AC365" s="960">
        <f t="array" ref="AC365">HLOOKUP($J365,'Type Chart'!$C$2:$T$20,10,false)*HLOOKUP($K365,'Type Chart'!$C$2:$U$20,10,false)</f>
        <v>0.5</v>
      </c>
      <c r="AD365" s="960">
        <f t="array" ref="AD365">HLOOKUP($J365,'Type Chart'!$C$2:$T$20,11,false)*HLOOKUP($K365,'Type Chart'!$C$2:$U$20,11,false)</f>
        <v>0.5</v>
      </c>
      <c r="AE365" s="960">
        <f t="array" ref="AE365">HLOOKUP($J365,'Type Chart'!$C$2:$T$20,12,false)*HLOOKUP($K365,'Type Chart'!$C$2:$U$20,12,false)</f>
        <v>0.5</v>
      </c>
      <c r="AF365" s="960">
        <f t="array" ref="AF365">HLOOKUP($J365,'Type Chart'!$C$2:$T$20,13,false)*HLOOKUP($K365,'Type Chart'!$C$2:$U$20,13,false)</f>
        <v>1</v>
      </c>
      <c r="AG365" s="960">
        <f t="array" ref="AG365">HLOOKUP($J365,'Type Chart'!$C$2:$T$20,14,false)*HLOOKUP($K365,'Type Chart'!$C$2:$U$20,14,false)</f>
        <v>4</v>
      </c>
      <c r="AH365" s="960">
        <f t="array" ref="AH365">HLOOKUP($J365,'Type Chart'!$C$2:$T$20,15,false)*HLOOKUP($K365,'Type Chart'!$C$2:$U$20,15,false)</f>
        <v>1</v>
      </c>
      <c r="AI365" s="960">
        <f t="array" ref="AI365">HLOOKUP($J365,'Type Chart'!$C$2:$T$20,16,false)*HLOOKUP($K365,'Type Chart'!$C$2:$U$20,16,false)</f>
        <v>1</v>
      </c>
      <c r="AJ365" s="960">
        <f t="array" ref="AJ365">HLOOKUP($J365,'Type Chart'!$C$2:$T$20,17,false)*HLOOKUP($K365,'Type Chart'!$C$2:$U$20,17,false)</f>
        <v>1</v>
      </c>
      <c r="AK365" s="960">
        <f t="array" ref="AK365">HLOOKUP($J365,'Type Chart'!$C$2:$T$20,18,false)*HLOOKUP($K365,'Type Chart'!$C$2:$U$20,18,false)</f>
        <v>1</v>
      </c>
      <c r="AL365" s="960">
        <f t="array" ref="AL365">HLOOKUP($J365,'Type Chart'!$C$2:$T$20,19,false)*HLOOKUP($K365,'Type Chart'!$C$2:$U$20,19,false)</f>
        <v>1</v>
      </c>
      <c r="AM365" s="964" t="s">
        <v>1022</v>
      </c>
      <c r="AN365" s="965" t="s">
        <v>349</v>
      </c>
      <c r="AO365" s="966" t="s">
        <v>960</v>
      </c>
      <c r="AP365" s="936"/>
      <c r="AQ365" s="967"/>
      <c r="AR365" s="968"/>
      <c r="AS365" s="936"/>
    </row>
    <row r="366" ht="15.75" customHeight="1">
      <c r="A366" s="936"/>
      <c r="B366" s="948" t="s">
        <v>2068</v>
      </c>
      <c r="C366" s="950" t="s">
        <v>2069</v>
      </c>
      <c r="D366" s="950" t="s">
        <v>2069</v>
      </c>
      <c r="E366" s="952" t="s">
        <v>2069</v>
      </c>
      <c r="F366" s="940"/>
      <c r="G366" s="953"/>
      <c r="H366" s="969"/>
      <c r="I366" s="956" t="s">
        <v>2070</v>
      </c>
      <c r="J366" s="1203" t="s">
        <v>344</v>
      </c>
      <c r="K366" s="1207" t="s">
        <v>127</v>
      </c>
      <c r="L366" s="959">
        <v>28.0</v>
      </c>
      <c r="M366" s="960">
        <v>25.0</v>
      </c>
      <c r="N366" s="960">
        <v>25.0</v>
      </c>
      <c r="O366" s="960">
        <v>45.0</v>
      </c>
      <c r="P366" s="960">
        <v>35.0</v>
      </c>
      <c r="Q366" s="960">
        <v>40.0</v>
      </c>
      <c r="R366" s="960">
        <v>116.0</v>
      </c>
      <c r="S366" s="960">
        <v>179.0</v>
      </c>
      <c r="T366" s="960">
        <v>196.0</v>
      </c>
      <c r="U366" s="960">
        <f t="array" ref="U366">HLOOKUP($J366,'Type Chart'!$C$2:$T$20,2,false)*HLOOKUP($K366,'Type Chart'!$C$2:$U$20,2,false)</f>
        <v>1</v>
      </c>
      <c r="V366" s="960">
        <f t="array" ref="V366">HLOOKUP($J366,'Type Chart'!$C$2:$T$20,3,false)*HLOOKUP($K366,'Type Chart'!$C$2:$U$20,3,false)</f>
        <v>0.25</v>
      </c>
      <c r="W366" s="960">
        <f t="array" ref="W366">HLOOKUP($J366,'Type Chart'!$C$2:$T$20,4,false)*HLOOKUP($K366,'Type Chart'!$C$2:$U$20,4,false)</f>
        <v>1</v>
      </c>
      <c r="X366" s="960">
        <f t="array" ref="X366">HLOOKUP($J366,'Type Chart'!$C$2:$T$20,5,false)*HLOOKUP($K366,'Type Chart'!$C$2:$U$20,5,false)</f>
        <v>2</v>
      </c>
      <c r="Y366" s="960">
        <f t="array" ref="Y366">HLOOKUP($J366,'Type Chart'!$C$2:$T$20,6,false)*HLOOKUP($K366,'Type Chart'!$C$2:$U$20,6,false)</f>
        <v>1</v>
      </c>
      <c r="Z366" s="960">
        <f t="array" ref="Z366">HLOOKUP($J366,'Type Chart'!$C$2:$T$20,7,false)*HLOOKUP($K366,'Type Chart'!$C$2:$U$20,7,false)</f>
        <v>1</v>
      </c>
      <c r="AA366" s="960">
        <f t="array" ref="AA366">HLOOKUP($J366,'Type Chart'!$C$2:$T$20,8,false)*HLOOKUP($K366,'Type Chart'!$C$2:$U$20,8,false)</f>
        <v>1</v>
      </c>
      <c r="AB366" s="960">
        <f t="array" ref="AB366">HLOOKUP($J366,'Type Chart'!$C$2:$T$20,9,false)*HLOOKUP($K366,'Type Chart'!$C$2:$U$20,9,false)</f>
        <v>2</v>
      </c>
      <c r="AC366" s="960">
        <f t="array" ref="AC366">HLOOKUP($J366,'Type Chart'!$C$2:$T$20,10,false)*HLOOKUP($K366,'Type Chart'!$C$2:$U$20,10,false)</f>
        <v>2</v>
      </c>
      <c r="AD366" s="960">
        <f t="array" ref="AD366">HLOOKUP($J366,'Type Chart'!$C$2:$T$20,11,false)*HLOOKUP($K366,'Type Chart'!$C$2:$U$20,11,false)</f>
        <v>1</v>
      </c>
      <c r="AE366" s="960">
        <f t="array" ref="AE366">HLOOKUP($J366,'Type Chart'!$C$2:$T$20,12,false)*HLOOKUP($K366,'Type Chart'!$C$2:$U$20,12,false)</f>
        <v>1</v>
      </c>
      <c r="AF366" s="960">
        <f t="array" ref="AF366">HLOOKUP($J366,'Type Chart'!$C$2:$T$20,13,false)*HLOOKUP($K366,'Type Chart'!$C$2:$U$20,13,false)</f>
        <v>1</v>
      </c>
      <c r="AG366" s="960">
        <f t="array" ref="AG366">HLOOKUP($J366,'Type Chart'!$C$2:$T$20,14,false)*HLOOKUP($K366,'Type Chart'!$C$2:$U$20,14,false)</f>
        <v>1</v>
      </c>
      <c r="AH366" s="960">
        <f t="array" ref="AH366">HLOOKUP($J366,'Type Chart'!$C$2:$T$20,15,false)*HLOOKUP($K366,'Type Chart'!$C$2:$U$20,15,false)</f>
        <v>0.5</v>
      </c>
      <c r="AI366" s="960">
        <f t="array" ref="AI366">HLOOKUP($J366,'Type Chart'!$C$2:$T$20,16,false)*HLOOKUP($K366,'Type Chart'!$C$2:$U$20,16,false)</f>
        <v>1</v>
      </c>
      <c r="AJ366" s="960">
        <f t="array" ref="AJ366">HLOOKUP($J366,'Type Chart'!$C$2:$T$20,17,false)*HLOOKUP($K366,'Type Chart'!$C$2:$U$20,17,false)</f>
        <v>0</v>
      </c>
      <c r="AK366" s="960">
        <f t="array" ref="AK366">HLOOKUP($J366,'Type Chart'!$C$2:$T$20,18,false)*HLOOKUP($K366,'Type Chart'!$C$2:$U$20,18,false)</f>
        <v>1</v>
      </c>
      <c r="AL366" s="960">
        <f t="array" ref="AL366">HLOOKUP($J366,'Type Chart'!$C$2:$T$20,19,false)*HLOOKUP($K366,'Type Chart'!$C$2:$U$20,19,false)</f>
        <v>1</v>
      </c>
      <c r="AM366" s="964" t="s">
        <v>1292</v>
      </c>
      <c r="AN366" s="965" t="s">
        <v>1302</v>
      </c>
      <c r="AO366" s="966" t="s">
        <v>1828</v>
      </c>
      <c r="AP366" s="936"/>
      <c r="AQ366" s="967"/>
      <c r="AR366" s="968"/>
      <c r="AS366" s="936"/>
    </row>
    <row r="367" ht="15.75" customHeight="1">
      <c r="A367" s="936"/>
      <c r="B367" s="948" t="s">
        <v>2071</v>
      </c>
      <c r="C367" s="950" t="s">
        <v>2072</v>
      </c>
      <c r="D367" s="950" t="s">
        <v>2072</v>
      </c>
      <c r="E367" s="952" t="s">
        <v>2072</v>
      </c>
      <c r="F367" s="940"/>
      <c r="G367" s="953"/>
      <c r="H367" s="969"/>
      <c r="I367" s="956" t="s">
        <v>2073</v>
      </c>
      <c r="J367" s="1203" t="s">
        <v>344</v>
      </c>
      <c r="K367" s="1207" t="s">
        <v>127</v>
      </c>
      <c r="L367" s="959">
        <v>38.0</v>
      </c>
      <c r="M367" s="960">
        <v>35.0</v>
      </c>
      <c r="N367" s="960">
        <v>35.0</v>
      </c>
      <c r="O367" s="960">
        <v>65.0</v>
      </c>
      <c r="P367" s="960">
        <v>55.0</v>
      </c>
      <c r="Q367" s="960">
        <v>50.0</v>
      </c>
      <c r="R367" s="960">
        <v>136.0</v>
      </c>
      <c r="S367" s="960">
        <v>199.0</v>
      </c>
      <c r="T367" s="960">
        <v>218.0</v>
      </c>
      <c r="U367" s="960">
        <f t="array" ref="U367">HLOOKUP($J367,'Type Chart'!$C$2:$T$20,2,false)*HLOOKUP($K367,'Type Chart'!$C$2:$U$20,2,false)</f>
        <v>1</v>
      </c>
      <c r="V367" s="960">
        <f t="array" ref="V367">HLOOKUP($J367,'Type Chart'!$C$2:$T$20,3,false)*HLOOKUP($K367,'Type Chart'!$C$2:$U$20,3,false)</f>
        <v>0.25</v>
      </c>
      <c r="W367" s="960">
        <f t="array" ref="W367">HLOOKUP($J367,'Type Chart'!$C$2:$T$20,4,false)*HLOOKUP($K367,'Type Chart'!$C$2:$U$20,4,false)</f>
        <v>1</v>
      </c>
      <c r="X367" s="960">
        <f t="array" ref="X367">HLOOKUP($J367,'Type Chart'!$C$2:$T$20,5,false)*HLOOKUP($K367,'Type Chart'!$C$2:$U$20,5,false)</f>
        <v>2</v>
      </c>
      <c r="Y367" s="960">
        <f t="array" ref="Y367">HLOOKUP($J367,'Type Chart'!$C$2:$T$20,6,false)*HLOOKUP($K367,'Type Chart'!$C$2:$U$20,6,false)</f>
        <v>1</v>
      </c>
      <c r="Z367" s="960">
        <f t="array" ref="Z367">HLOOKUP($J367,'Type Chart'!$C$2:$T$20,7,false)*HLOOKUP($K367,'Type Chart'!$C$2:$U$20,7,false)</f>
        <v>1</v>
      </c>
      <c r="AA367" s="960">
        <f t="array" ref="AA367">HLOOKUP($J367,'Type Chart'!$C$2:$T$20,8,false)*HLOOKUP($K367,'Type Chart'!$C$2:$U$20,8,false)</f>
        <v>1</v>
      </c>
      <c r="AB367" s="960">
        <f t="array" ref="AB367">HLOOKUP($J367,'Type Chart'!$C$2:$T$20,9,false)*HLOOKUP($K367,'Type Chart'!$C$2:$U$20,9,false)</f>
        <v>2</v>
      </c>
      <c r="AC367" s="960">
        <f t="array" ref="AC367">HLOOKUP($J367,'Type Chart'!$C$2:$T$20,10,false)*HLOOKUP($K367,'Type Chart'!$C$2:$U$20,10,false)</f>
        <v>2</v>
      </c>
      <c r="AD367" s="960">
        <f t="array" ref="AD367">HLOOKUP($J367,'Type Chart'!$C$2:$T$20,11,false)*HLOOKUP($K367,'Type Chart'!$C$2:$U$20,11,false)</f>
        <v>1</v>
      </c>
      <c r="AE367" s="960">
        <f t="array" ref="AE367">HLOOKUP($J367,'Type Chart'!$C$2:$T$20,12,false)*HLOOKUP($K367,'Type Chart'!$C$2:$U$20,12,false)</f>
        <v>1</v>
      </c>
      <c r="AF367" s="960">
        <f t="array" ref="AF367">HLOOKUP($J367,'Type Chart'!$C$2:$T$20,13,false)*HLOOKUP($K367,'Type Chart'!$C$2:$U$20,13,false)</f>
        <v>1</v>
      </c>
      <c r="AG367" s="960">
        <f t="array" ref="AG367">HLOOKUP($J367,'Type Chart'!$C$2:$T$20,14,false)*HLOOKUP($K367,'Type Chart'!$C$2:$U$20,14,false)</f>
        <v>1</v>
      </c>
      <c r="AH367" s="960">
        <f t="array" ref="AH367">HLOOKUP($J367,'Type Chart'!$C$2:$T$20,15,false)*HLOOKUP($K367,'Type Chart'!$C$2:$U$20,15,false)</f>
        <v>0.5</v>
      </c>
      <c r="AI367" s="960">
        <f t="array" ref="AI367">HLOOKUP($J367,'Type Chart'!$C$2:$T$20,16,false)*HLOOKUP($K367,'Type Chart'!$C$2:$U$20,16,false)</f>
        <v>1</v>
      </c>
      <c r="AJ367" s="960">
        <f t="array" ref="AJ367">HLOOKUP($J367,'Type Chart'!$C$2:$T$20,17,false)*HLOOKUP($K367,'Type Chart'!$C$2:$U$20,17,false)</f>
        <v>0</v>
      </c>
      <c r="AK367" s="960">
        <f t="array" ref="AK367">HLOOKUP($J367,'Type Chart'!$C$2:$T$20,18,false)*HLOOKUP($K367,'Type Chart'!$C$2:$U$20,18,false)</f>
        <v>1</v>
      </c>
      <c r="AL367" s="960">
        <f t="array" ref="AL367">HLOOKUP($J367,'Type Chart'!$C$2:$T$20,19,false)*HLOOKUP($K367,'Type Chart'!$C$2:$U$20,19,false)</f>
        <v>1</v>
      </c>
      <c r="AM367" s="964" t="s">
        <v>1292</v>
      </c>
      <c r="AN367" s="965" t="s">
        <v>1302</v>
      </c>
      <c r="AO367" s="966" t="s">
        <v>1828</v>
      </c>
      <c r="AP367" s="936"/>
      <c r="AQ367" s="967"/>
      <c r="AR367" s="968"/>
      <c r="AS367" s="936"/>
    </row>
    <row r="368" ht="15.75" customHeight="1">
      <c r="A368" s="936"/>
      <c r="B368" s="948" t="s">
        <v>2074</v>
      </c>
      <c r="C368" s="950" t="s">
        <v>2075</v>
      </c>
      <c r="D368" s="950" t="s">
        <v>2075</v>
      </c>
      <c r="E368" s="1147" t="s">
        <v>2075</v>
      </c>
      <c r="F368" s="940"/>
      <c r="G368" s="953"/>
      <c r="H368" s="969"/>
      <c r="I368" s="998" t="s">
        <v>490</v>
      </c>
      <c r="J368" s="1215" t="s">
        <v>344</v>
      </c>
      <c r="K368" s="1207" t="s">
        <v>127</v>
      </c>
      <c r="L368" s="1200">
        <v>68.0</v>
      </c>
      <c r="M368" s="1201">
        <v>65.0</v>
      </c>
      <c r="N368" s="1201">
        <v>65.0</v>
      </c>
      <c r="O368" s="1201">
        <v>125.0</v>
      </c>
      <c r="P368" s="1201">
        <v>115.0</v>
      </c>
      <c r="Q368" s="1201">
        <v>80.0</v>
      </c>
      <c r="R368" s="960">
        <v>196.0</v>
      </c>
      <c r="S368" s="960">
        <v>259.0</v>
      </c>
      <c r="T368" s="960">
        <v>284.0</v>
      </c>
      <c r="U368" s="960">
        <f t="array" ref="U368">HLOOKUP($J368,'Type Chart'!$C$2:$T$20,2,false)*HLOOKUP($K368,'Type Chart'!$C$2:$U$20,2,false)</f>
        <v>1</v>
      </c>
      <c r="V368" s="960">
        <f t="array" ref="V368">HLOOKUP($J368,'Type Chart'!$C$2:$T$20,3,false)*HLOOKUP($K368,'Type Chart'!$C$2:$U$20,3,false)</f>
        <v>0.25</v>
      </c>
      <c r="W368" s="960">
        <f t="array" ref="W368">HLOOKUP($J368,'Type Chart'!$C$2:$T$20,4,false)*HLOOKUP($K368,'Type Chart'!$C$2:$U$20,4,false)</f>
        <v>1</v>
      </c>
      <c r="X368" s="960">
        <f t="array" ref="X368">HLOOKUP($J368,'Type Chart'!$C$2:$T$20,5,false)*HLOOKUP($K368,'Type Chart'!$C$2:$U$20,5,false)</f>
        <v>2</v>
      </c>
      <c r="Y368" s="960">
        <f t="array" ref="Y368">HLOOKUP($J368,'Type Chart'!$C$2:$T$20,6,false)*HLOOKUP($K368,'Type Chart'!$C$2:$U$20,6,false)</f>
        <v>1</v>
      </c>
      <c r="Z368" s="960">
        <f t="array" ref="Z368">HLOOKUP($J368,'Type Chart'!$C$2:$T$20,7,false)*HLOOKUP($K368,'Type Chart'!$C$2:$U$20,7,false)</f>
        <v>1</v>
      </c>
      <c r="AA368" s="960">
        <f t="array" ref="AA368">HLOOKUP($J368,'Type Chart'!$C$2:$T$20,8,false)*HLOOKUP($K368,'Type Chart'!$C$2:$U$20,8,false)</f>
        <v>1</v>
      </c>
      <c r="AB368" s="960">
        <f t="array" ref="AB368">HLOOKUP($J368,'Type Chart'!$C$2:$T$20,9,false)*HLOOKUP($K368,'Type Chart'!$C$2:$U$20,9,false)</f>
        <v>2</v>
      </c>
      <c r="AC368" s="960">
        <f t="array" ref="AC368">HLOOKUP($J368,'Type Chart'!$C$2:$T$20,10,false)*HLOOKUP($K368,'Type Chart'!$C$2:$U$20,10,false)</f>
        <v>2</v>
      </c>
      <c r="AD368" s="960">
        <f t="array" ref="AD368">HLOOKUP($J368,'Type Chart'!$C$2:$T$20,11,false)*HLOOKUP($K368,'Type Chart'!$C$2:$U$20,11,false)</f>
        <v>1</v>
      </c>
      <c r="AE368" s="960">
        <f t="array" ref="AE368">HLOOKUP($J368,'Type Chart'!$C$2:$T$20,12,false)*HLOOKUP($K368,'Type Chart'!$C$2:$U$20,12,false)</f>
        <v>1</v>
      </c>
      <c r="AF368" s="960">
        <f t="array" ref="AF368">HLOOKUP($J368,'Type Chart'!$C$2:$T$20,13,false)*HLOOKUP($K368,'Type Chart'!$C$2:$U$20,13,false)</f>
        <v>1</v>
      </c>
      <c r="AG368" s="960">
        <f t="array" ref="AG368">HLOOKUP($J368,'Type Chart'!$C$2:$T$20,14,false)*HLOOKUP($K368,'Type Chart'!$C$2:$U$20,14,false)</f>
        <v>1</v>
      </c>
      <c r="AH368" s="960">
        <f t="array" ref="AH368">HLOOKUP($J368,'Type Chart'!$C$2:$T$20,15,false)*HLOOKUP($K368,'Type Chart'!$C$2:$U$20,15,false)</f>
        <v>0.5</v>
      </c>
      <c r="AI368" s="960">
        <f t="array" ref="AI368">HLOOKUP($J368,'Type Chart'!$C$2:$T$20,16,false)*HLOOKUP($K368,'Type Chart'!$C$2:$U$20,16,false)</f>
        <v>1</v>
      </c>
      <c r="AJ368" s="960">
        <f t="array" ref="AJ368">HLOOKUP($J368,'Type Chart'!$C$2:$T$20,17,false)*HLOOKUP($K368,'Type Chart'!$C$2:$U$20,17,false)</f>
        <v>0</v>
      </c>
      <c r="AK368" s="960">
        <f t="array" ref="AK368">HLOOKUP($J368,'Type Chart'!$C$2:$T$20,18,false)*HLOOKUP($K368,'Type Chart'!$C$2:$U$20,18,false)</f>
        <v>1</v>
      </c>
      <c r="AL368" s="960">
        <f t="array" ref="AL368">HLOOKUP($J368,'Type Chart'!$C$2:$T$20,19,false)*HLOOKUP($K368,'Type Chart'!$C$2:$U$20,19,false)</f>
        <v>1</v>
      </c>
      <c r="AM368" s="1145" t="s">
        <v>1292</v>
      </c>
      <c r="AN368" s="965" t="s">
        <v>1302</v>
      </c>
      <c r="AO368" s="966" t="s">
        <v>1828</v>
      </c>
      <c r="AP368" s="936"/>
      <c r="AQ368" s="967"/>
      <c r="AR368" s="968"/>
      <c r="AS368" s="936"/>
    </row>
    <row r="369" ht="15.75" customHeight="1">
      <c r="A369" s="1099"/>
      <c r="B369" s="948" t="s">
        <v>2076</v>
      </c>
      <c r="C369" s="950" t="s">
        <v>2077</v>
      </c>
      <c r="D369" s="950" t="s">
        <v>2077</v>
      </c>
      <c r="E369" s="1147" t="s">
        <v>2077</v>
      </c>
      <c r="F369" s="940"/>
      <c r="G369" s="953"/>
      <c r="H369" s="969"/>
      <c r="I369" s="998" t="s">
        <v>2078</v>
      </c>
      <c r="J369" s="1203" t="s">
        <v>344</v>
      </c>
      <c r="K369" s="1207" t="s">
        <v>127</v>
      </c>
      <c r="L369" s="959">
        <v>68.0</v>
      </c>
      <c r="M369" s="960">
        <v>85.0</v>
      </c>
      <c r="N369" s="960">
        <v>65.0</v>
      </c>
      <c r="O369" s="960">
        <v>165.0</v>
      </c>
      <c r="P369" s="960">
        <v>135.0</v>
      </c>
      <c r="Q369" s="960">
        <v>100.0</v>
      </c>
      <c r="R369" s="960">
        <v>236.0</v>
      </c>
      <c r="S369" s="960">
        <v>299.0</v>
      </c>
      <c r="T369" s="960">
        <v>328.0</v>
      </c>
      <c r="U369" s="960">
        <f t="array" ref="U369">HLOOKUP($J369,'Type Chart'!$C$2:$T$20,2,false)*HLOOKUP($K369,'Type Chart'!$C$2:$U$20,2,false)</f>
        <v>1</v>
      </c>
      <c r="V369" s="960">
        <f t="array" ref="V369">HLOOKUP($J369,'Type Chart'!$C$2:$T$20,3,false)*HLOOKUP($K369,'Type Chart'!$C$2:$U$20,3,false)</f>
        <v>0.25</v>
      </c>
      <c r="W369" s="960">
        <f t="array" ref="W369">HLOOKUP($J369,'Type Chart'!$C$2:$T$20,4,false)*HLOOKUP($K369,'Type Chart'!$C$2:$U$20,4,false)</f>
        <v>1</v>
      </c>
      <c r="X369" s="960">
        <f t="array" ref="X369">HLOOKUP($J369,'Type Chart'!$C$2:$T$20,5,false)*HLOOKUP($K369,'Type Chart'!$C$2:$U$20,5,false)</f>
        <v>2</v>
      </c>
      <c r="Y369" s="960">
        <f t="array" ref="Y369">HLOOKUP($J369,'Type Chart'!$C$2:$T$20,6,false)*HLOOKUP($K369,'Type Chart'!$C$2:$U$20,6,false)</f>
        <v>1</v>
      </c>
      <c r="Z369" s="960">
        <f t="array" ref="Z369">HLOOKUP($J369,'Type Chart'!$C$2:$T$20,7,false)*HLOOKUP($K369,'Type Chart'!$C$2:$U$20,7,false)</f>
        <v>1</v>
      </c>
      <c r="AA369" s="960">
        <f t="array" ref="AA369">HLOOKUP($J369,'Type Chart'!$C$2:$T$20,8,false)*HLOOKUP($K369,'Type Chart'!$C$2:$U$20,8,false)</f>
        <v>1</v>
      </c>
      <c r="AB369" s="960">
        <f t="array" ref="AB369">HLOOKUP($J369,'Type Chart'!$C$2:$T$20,9,false)*HLOOKUP($K369,'Type Chart'!$C$2:$U$20,9,false)</f>
        <v>2</v>
      </c>
      <c r="AC369" s="960">
        <f t="array" ref="AC369">HLOOKUP($J369,'Type Chart'!$C$2:$T$20,10,false)*HLOOKUP($K369,'Type Chart'!$C$2:$U$20,10,false)</f>
        <v>2</v>
      </c>
      <c r="AD369" s="960">
        <f t="array" ref="AD369">HLOOKUP($J369,'Type Chart'!$C$2:$T$20,11,false)*HLOOKUP($K369,'Type Chart'!$C$2:$U$20,11,false)</f>
        <v>1</v>
      </c>
      <c r="AE369" s="960">
        <f t="array" ref="AE369">HLOOKUP($J369,'Type Chart'!$C$2:$T$20,12,false)*HLOOKUP($K369,'Type Chart'!$C$2:$U$20,12,false)</f>
        <v>1</v>
      </c>
      <c r="AF369" s="960">
        <f t="array" ref="AF369">HLOOKUP($J369,'Type Chart'!$C$2:$T$20,13,false)*HLOOKUP($K369,'Type Chart'!$C$2:$U$20,13,false)</f>
        <v>1</v>
      </c>
      <c r="AG369" s="960">
        <f t="array" ref="AG369">HLOOKUP($J369,'Type Chart'!$C$2:$T$20,14,false)*HLOOKUP($K369,'Type Chart'!$C$2:$U$20,14,false)</f>
        <v>1</v>
      </c>
      <c r="AH369" s="960">
        <f t="array" ref="AH369">HLOOKUP($J369,'Type Chart'!$C$2:$T$20,15,false)*HLOOKUP($K369,'Type Chart'!$C$2:$U$20,15,false)</f>
        <v>0.5</v>
      </c>
      <c r="AI369" s="960">
        <f t="array" ref="AI369">HLOOKUP($J369,'Type Chart'!$C$2:$T$20,16,false)*HLOOKUP($K369,'Type Chart'!$C$2:$U$20,16,false)</f>
        <v>1</v>
      </c>
      <c r="AJ369" s="960">
        <f t="array" ref="AJ369">HLOOKUP($J369,'Type Chart'!$C$2:$T$20,17,false)*HLOOKUP($K369,'Type Chart'!$C$2:$U$20,17,false)</f>
        <v>0</v>
      </c>
      <c r="AK369" s="960">
        <f t="array" ref="AK369">HLOOKUP($J369,'Type Chart'!$C$2:$T$20,18,false)*HLOOKUP($K369,'Type Chart'!$C$2:$U$20,18,false)</f>
        <v>1</v>
      </c>
      <c r="AL369" s="960">
        <f t="array" ref="AL369">HLOOKUP($J369,'Type Chart'!$C$2:$T$20,19,false)*HLOOKUP($K369,'Type Chart'!$C$2:$U$20,19,false)</f>
        <v>1</v>
      </c>
      <c r="AM369" s="1145" t="s">
        <v>2079</v>
      </c>
      <c r="AN369" s="965"/>
      <c r="AO369" s="1146"/>
      <c r="AP369" s="936"/>
      <c r="AQ369" s="967"/>
      <c r="AR369" s="968"/>
      <c r="AS369" s="936"/>
    </row>
    <row r="370" ht="15.75" customHeight="1">
      <c r="A370" s="1099"/>
      <c r="B370" s="948" t="s">
        <v>2080</v>
      </c>
      <c r="C370" s="950" t="s">
        <v>2081</v>
      </c>
      <c r="D370" s="950" t="s">
        <v>2081</v>
      </c>
      <c r="E370" s="1147" t="s">
        <v>2081</v>
      </c>
      <c r="F370" s="940"/>
      <c r="G370" s="953"/>
      <c r="H370" s="969"/>
      <c r="I370" s="998" t="s">
        <v>2082</v>
      </c>
      <c r="J370" s="1180" t="s">
        <v>343</v>
      </c>
      <c r="K370" s="1056" t="s">
        <v>81</v>
      </c>
      <c r="L370" s="959">
        <v>40.0</v>
      </c>
      <c r="M370" s="960">
        <v>30.0</v>
      </c>
      <c r="N370" s="960">
        <v>32.0</v>
      </c>
      <c r="O370" s="960">
        <v>50.0</v>
      </c>
      <c r="P370" s="960">
        <v>52.0</v>
      </c>
      <c r="Q370" s="960">
        <v>65.0</v>
      </c>
      <c r="R370" s="960">
        <v>166.0</v>
      </c>
      <c r="S370" s="960">
        <v>229.0</v>
      </c>
      <c r="T370" s="960">
        <v>251.0</v>
      </c>
      <c r="U370" s="960">
        <f t="array" ref="U370">HLOOKUP($J370,'Type Chart'!$C$2:$T$20,2,false)*HLOOKUP($K370,'Type Chart'!$C$2:$U$20,2,false)</f>
        <v>1</v>
      </c>
      <c r="V370" s="960">
        <f t="array" ref="V370">HLOOKUP($J370,'Type Chart'!$C$2:$T$20,3,false)*HLOOKUP($K370,'Type Chart'!$C$2:$U$20,3,false)</f>
        <v>0.5</v>
      </c>
      <c r="W370" s="960">
        <f t="array" ref="W370">HLOOKUP($J370,'Type Chart'!$C$2:$T$20,4,false)*HLOOKUP($K370,'Type Chart'!$C$2:$U$20,4,false)</f>
        <v>2</v>
      </c>
      <c r="X370" s="960">
        <f t="array" ref="X370">HLOOKUP($J370,'Type Chart'!$C$2:$T$20,5,false)*HLOOKUP($K370,'Type Chart'!$C$2:$U$20,5,false)</f>
        <v>1</v>
      </c>
      <c r="Y370" s="960">
        <f t="array" ref="Y370">HLOOKUP($J370,'Type Chart'!$C$2:$T$20,6,false)*HLOOKUP($K370,'Type Chart'!$C$2:$U$20,6,false)</f>
        <v>0.5</v>
      </c>
      <c r="Z370" s="960">
        <f t="array" ref="Z370">HLOOKUP($J370,'Type Chart'!$C$2:$T$20,7,false)*HLOOKUP($K370,'Type Chart'!$C$2:$U$20,7,false)</f>
        <v>2</v>
      </c>
      <c r="AA370" s="960">
        <f t="array" ref="AA370">HLOOKUP($J370,'Type Chart'!$C$2:$T$20,8,false)*HLOOKUP($K370,'Type Chart'!$C$2:$U$20,8,false)</f>
        <v>1</v>
      </c>
      <c r="AB370" s="960">
        <f t="array" ref="AB370">HLOOKUP($J370,'Type Chart'!$C$2:$T$20,9,false)*HLOOKUP($K370,'Type Chart'!$C$2:$U$20,9,false)</f>
        <v>1</v>
      </c>
      <c r="AC370" s="960">
        <f t="array" ref="AC370">HLOOKUP($J370,'Type Chart'!$C$2:$T$20,10,false)*HLOOKUP($K370,'Type Chart'!$C$2:$U$20,10,false)</f>
        <v>0.5</v>
      </c>
      <c r="AD370" s="960">
        <f t="array" ref="AD370">HLOOKUP($J370,'Type Chart'!$C$2:$T$20,11,false)*HLOOKUP($K370,'Type Chart'!$C$2:$U$20,11,false)</f>
        <v>1</v>
      </c>
      <c r="AE370" s="960">
        <f t="array" ref="AE370">HLOOKUP($J370,'Type Chart'!$C$2:$T$20,12,false)*HLOOKUP($K370,'Type Chart'!$C$2:$U$20,12,false)</f>
        <v>0.5</v>
      </c>
      <c r="AF370" s="960">
        <f t="array" ref="AF370">HLOOKUP($J370,'Type Chart'!$C$2:$T$20,13,false)*HLOOKUP($K370,'Type Chart'!$C$2:$U$20,13,false)</f>
        <v>1</v>
      </c>
      <c r="AG370" s="960">
        <f t="array" ref="AG370">HLOOKUP($J370,'Type Chart'!$C$2:$T$20,14,false)*HLOOKUP($K370,'Type Chart'!$C$2:$U$20,14,false)</f>
        <v>2</v>
      </c>
      <c r="AH370" s="960">
        <f t="array" ref="AH370">HLOOKUP($J370,'Type Chart'!$C$2:$T$20,15,false)*HLOOKUP($K370,'Type Chart'!$C$2:$U$20,15,false)</f>
        <v>1</v>
      </c>
      <c r="AI370" s="960">
        <f t="array" ref="AI370">HLOOKUP($J370,'Type Chart'!$C$2:$T$20,16,false)*HLOOKUP($K370,'Type Chart'!$C$2:$U$20,16,false)</f>
        <v>0.5</v>
      </c>
      <c r="AJ370" s="960">
        <f t="array" ref="AJ370">HLOOKUP($J370,'Type Chart'!$C$2:$T$20,17,false)*HLOOKUP($K370,'Type Chart'!$C$2:$U$20,17,false)</f>
        <v>1</v>
      </c>
      <c r="AK370" s="960">
        <f t="array" ref="AK370">HLOOKUP($J370,'Type Chart'!$C$2:$T$20,18,false)*HLOOKUP($K370,'Type Chart'!$C$2:$U$20,18,false)</f>
        <v>1</v>
      </c>
      <c r="AL370" s="960">
        <f t="array" ref="AL370">HLOOKUP($J370,'Type Chart'!$C$2:$T$20,19,false)*HLOOKUP($K370,'Type Chart'!$C$2:$U$20,19,false)</f>
        <v>1</v>
      </c>
      <c r="AM370" s="1145" t="s">
        <v>1259</v>
      </c>
      <c r="AN370" s="965"/>
      <c r="AO370" s="1146" t="s">
        <v>960</v>
      </c>
      <c r="AP370" s="936"/>
      <c r="AQ370" s="967"/>
      <c r="AR370" s="968"/>
      <c r="AS370" s="936"/>
    </row>
    <row r="371" ht="15.75" customHeight="1">
      <c r="A371" s="1099"/>
      <c r="B371" s="948" t="s">
        <v>2083</v>
      </c>
      <c r="C371" s="950" t="s">
        <v>2084</v>
      </c>
      <c r="D371" s="1197" t="s">
        <v>2084</v>
      </c>
      <c r="E371" s="1147" t="s">
        <v>2084</v>
      </c>
      <c r="F371" s="940"/>
      <c r="G371" s="953"/>
      <c r="H371" s="969"/>
      <c r="I371" s="998" t="s">
        <v>766</v>
      </c>
      <c r="J371" s="1180" t="s">
        <v>343</v>
      </c>
      <c r="K371" s="1001" t="s">
        <v>128</v>
      </c>
      <c r="L371" s="959">
        <v>70.0</v>
      </c>
      <c r="M371" s="960">
        <v>60.0</v>
      </c>
      <c r="N371" s="960">
        <v>62.0</v>
      </c>
      <c r="O371" s="960">
        <v>100.0</v>
      </c>
      <c r="P371" s="960">
        <v>82.0</v>
      </c>
      <c r="Q371" s="960">
        <v>80.0</v>
      </c>
      <c r="R371" s="960">
        <v>196.0</v>
      </c>
      <c r="S371" s="960">
        <v>259.0</v>
      </c>
      <c r="T371" s="960">
        <v>284.0</v>
      </c>
      <c r="U371" s="960">
        <f t="array" ref="U371">HLOOKUP($J371,'Type Chart'!$C$2:$T$20,2,false)*HLOOKUP($K371,'Type Chart'!$C$2:$U$20,2,false)</f>
        <v>1</v>
      </c>
      <c r="V371" s="960">
        <f t="array" ref="V371">HLOOKUP($J371,'Type Chart'!$C$2:$T$20,3,false)*HLOOKUP($K371,'Type Chart'!$C$2:$U$20,3,false)</f>
        <v>0.25</v>
      </c>
      <c r="W371" s="960">
        <f t="array" ref="W371">HLOOKUP($J371,'Type Chart'!$C$2:$T$20,4,false)*HLOOKUP($K371,'Type Chart'!$C$2:$U$20,4,false)</f>
        <v>2</v>
      </c>
      <c r="X371" s="960">
        <f t="array" ref="X371">HLOOKUP($J371,'Type Chart'!$C$2:$T$20,5,false)*HLOOKUP($K371,'Type Chart'!$C$2:$U$20,5,false)</f>
        <v>1</v>
      </c>
      <c r="Y371" s="960">
        <f t="array" ref="Y371">HLOOKUP($J371,'Type Chart'!$C$2:$T$20,6,false)*HLOOKUP($K371,'Type Chart'!$C$2:$U$20,6,false)</f>
        <v>0</v>
      </c>
      <c r="Z371" s="960">
        <f t="array" ref="Z371">HLOOKUP($J371,'Type Chart'!$C$2:$T$20,7,false)*HLOOKUP($K371,'Type Chart'!$C$2:$U$20,7,false)</f>
        <v>4</v>
      </c>
      <c r="AA371" s="960">
        <f t="array" ref="AA371">HLOOKUP($J371,'Type Chart'!$C$2:$T$20,8,false)*HLOOKUP($K371,'Type Chart'!$C$2:$U$20,8,false)</f>
        <v>0.5</v>
      </c>
      <c r="AB371" s="960">
        <f t="array" ref="AB371">HLOOKUP($J371,'Type Chart'!$C$2:$T$20,9,false)*HLOOKUP($K371,'Type Chart'!$C$2:$U$20,9,false)</f>
        <v>1</v>
      </c>
      <c r="AC371" s="960">
        <f t="array" ref="AC371">HLOOKUP($J371,'Type Chart'!$C$2:$T$20,10,false)*HLOOKUP($K371,'Type Chart'!$C$2:$U$20,10,false)</f>
        <v>1</v>
      </c>
      <c r="AD371" s="960">
        <f t="array" ref="AD371">HLOOKUP($J371,'Type Chart'!$C$2:$T$20,11,false)*HLOOKUP($K371,'Type Chart'!$C$2:$U$20,11,false)</f>
        <v>2</v>
      </c>
      <c r="AE371" s="960">
        <f t="array" ref="AE371">HLOOKUP($J371,'Type Chart'!$C$2:$T$20,12,false)*HLOOKUP($K371,'Type Chart'!$C$2:$U$20,12,false)</f>
        <v>1</v>
      </c>
      <c r="AF371" s="960">
        <f t="array" ref="AF371">HLOOKUP($J371,'Type Chart'!$C$2:$T$20,13,false)*HLOOKUP($K371,'Type Chart'!$C$2:$U$20,13,false)</f>
        <v>0.25</v>
      </c>
      <c r="AG371" s="960">
        <f t="array" ref="AG371">HLOOKUP($J371,'Type Chart'!$C$2:$T$20,14,false)*HLOOKUP($K371,'Type Chart'!$C$2:$U$20,14,false)</f>
        <v>2</v>
      </c>
      <c r="AH371" s="960">
        <f t="array" ref="AH371">HLOOKUP($J371,'Type Chart'!$C$2:$T$20,15,false)*HLOOKUP($K371,'Type Chart'!$C$2:$U$20,15,false)</f>
        <v>1</v>
      </c>
      <c r="AI371" s="960">
        <f t="array" ref="AI371">HLOOKUP($J371,'Type Chart'!$C$2:$T$20,16,false)*HLOOKUP($K371,'Type Chart'!$C$2:$U$20,16,false)</f>
        <v>2</v>
      </c>
      <c r="AJ371" s="960">
        <f t="array" ref="AJ371">HLOOKUP($J371,'Type Chart'!$C$2:$T$20,17,false)*HLOOKUP($K371,'Type Chart'!$C$2:$U$20,17,false)</f>
        <v>1</v>
      </c>
      <c r="AK371" s="960">
        <f t="array" ref="AK371">HLOOKUP($J371,'Type Chart'!$C$2:$T$20,18,false)*HLOOKUP($K371,'Type Chart'!$C$2:$U$20,18,false)</f>
        <v>1</v>
      </c>
      <c r="AL371" s="960">
        <f t="array" ref="AL371">HLOOKUP($J371,'Type Chart'!$C$2:$T$20,19,false)*HLOOKUP($K371,'Type Chart'!$C$2:$U$20,19,false)</f>
        <v>1</v>
      </c>
      <c r="AM371" s="964" t="s">
        <v>1061</v>
      </c>
      <c r="AN371" s="965"/>
      <c r="AO371" s="1146" t="s">
        <v>1062</v>
      </c>
      <c r="AP371" s="936"/>
      <c r="AQ371" s="967"/>
      <c r="AR371" s="968"/>
      <c r="AS371" s="936"/>
    </row>
    <row r="372" ht="15.75" customHeight="1">
      <c r="A372" s="1099"/>
      <c r="B372" s="948" t="s">
        <v>2085</v>
      </c>
      <c r="C372" s="950" t="s">
        <v>2086</v>
      </c>
      <c r="D372" s="950" t="s">
        <v>2086</v>
      </c>
      <c r="E372" s="1147" t="s">
        <v>2086</v>
      </c>
      <c r="F372" s="940"/>
      <c r="G372" s="953"/>
      <c r="H372" s="969"/>
      <c r="I372" s="998" t="s">
        <v>2087</v>
      </c>
      <c r="J372" s="957" t="s">
        <v>209</v>
      </c>
      <c r="K372" s="984" t="s">
        <v>216</v>
      </c>
      <c r="L372" s="959">
        <v>60.0</v>
      </c>
      <c r="M372" s="960">
        <v>40.0</v>
      </c>
      <c r="N372" s="960">
        <v>60.0</v>
      </c>
      <c r="O372" s="960">
        <v>40.0</v>
      </c>
      <c r="P372" s="960">
        <v>60.0</v>
      </c>
      <c r="Q372" s="960">
        <v>35.0</v>
      </c>
      <c r="R372" s="960">
        <v>106.0</v>
      </c>
      <c r="S372" s="960">
        <v>169.0</v>
      </c>
      <c r="T372" s="960">
        <v>185.0</v>
      </c>
      <c r="U372" s="960">
        <f t="array" ref="U372">HLOOKUP($J372,'Type Chart'!$C$2:$T$20,2,false)*HLOOKUP($K372,'Type Chart'!$C$2:$U$20,2,false)</f>
        <v>1</v>
      </c>
      <c r="V372" s="960">
        <f t="array" ref="V372">HLOOKUP($J372,'Type Chart'!$C$2:$T$20,3,false)*HLOOKUP($K372,'Type Chart'!$C$2:$U$20,3,false)</f>
        <v>1</v>
      </c>
      <c r="W372" s="960">
        <f t="array" ref="W372">HLOOKUP($J372,'Type Chart'!$C$2:$T$20,4,false)*HLOOKUP($K372,'Type Chart'!$C$2:$U$20,4,false)</f>
        <v>2</v>
      </c>
      <c r="X372" s="960">
        <f t="array" ref="X372">HLOOKUP($J372,'Type Chart'!$C$2:$T$20,5,false)*HLOOKUP($K372,'Type Chart'!$C$2:$U$20,5,false)</f>
        <v>2</v>
      </c>
      <c r="Y372" s="960">
        <f t="array" ref="Y372">HLOOKUP($J372,'Type Chart'!$C$2:$T$20,6,false)*HLOOKUP($K372,'Type Chart'!$C$2:$U$20,6,false)</f>
        <v>0.5</v>
      </c>
      <c r="Z372" s="960">
        <f t="array" ref="Z372">HLOOKUP($J372,'Type Chart'!$C$2:$T$20,7,false)*HLOOKUP($K372,'Type Chart'!$C$2:$U$20,7,false)</f>
        <v>1</v>
      </c>
      <c r="AA372" s="960">
        <f t="array" ref="AA372">HLOOKUP($J372,'Type Chart'!$C$2:$T$20,8,false)*HLOOKUP($K372,'Type Chart'!$C$2:$U$20,8,false)</f>
        <v>2</v>
      </c>
      <c r="AB372" s="960">
        <f t="array" ref="AB372">HLOOKUP($J372,'Type Chart'!$C$2:$T$20,9,false)*HLOOKUP($K372,'Type Chart'!$C$2:$U$20,9,false)</f>
        <v>1</v>
      </c>
      <c r="AC372" s="960">
        <f t="array" ref="AC372">HLOOKUP($J372,'Type Chart'!$C$2:$T$20,10,false)*HLOOKUP($K372,'Type Chart'!$C$2:$U$20,10,false)</f>
        <v>1</v>
      </c>
      <c r="AD372" s="960">
        <f t="array" ref="AD372">HLOOKUP($J372,'Type Chart'!$C$2:$T$20,11,false)*HLOOKUP($K372,'Type Chart'!$C$2:$U$20,11,false)</f>
        <v>2</v>
      </c>
      <c r="AE372" s="960">
        <f t="array" ref="AE372">HLOOKUP($J372,'Type Chart'!$C$2:$T$20,12,false)*HLOOKUP($K372,'Type Chart'!$C$2:$U$20,12,false)</f>
        <v>0.5</v>
      </c>
      <c r="AF372" s="960">
        <f t="array" ref="AF372">HLOOKUP($J372,'Type Chart'!$C$2:$T$20,13,false)*HLOOKUP($K372,'Type Chart'!$C$2:$U$20,13,false)</f>
        <v>0.5</v>
      </c>
      <c r="AG372" s="960">
        <f t="array" ref="AG372">HLOOKUP($J372,'Type Chart'!$C$2:$T$20,14,false)*HLOOKUP($K372,'Type Chart'!$C$2:$U$20,14,false)</f>
        <v>0.5</v>
      </c>
      <c r="AH372" s="960">
        <f t="array" ref="AH372">HLOOKUP($J372,'Type Chart'!$C$2:$T$20,15,false)*HLOOKUP($K372,'Type Chart'!$C$2:$U$20,15,false)</f>
        <v>1</v>
      </c>
      <c r="AI372" s="960">
        <f t="array" ref="AI372">HLOOKUP($J372,'Type Chart'!$C$2:$T$20,16,false)*HLOOKUP($K372,'Type Chart'!$C$2:$U$20,16,false)</f>
        <v>2</v>
      </c>
      <c r="AJ372" s="960">
        <f t="array" ref="AJ372">HLOOKUP($J372,'Type Chart'!$C$2:$T$20,17,false)*HLOOKUP($K372,'Type Chart'!$C$2:$U$20,17,false)</f>
        <v>1</v>
      </c>
      <c r="AK372" s="960">
        <f t="array" ref="AK372">HLOOKUP($J372,'Type Chart'!$C$2:$T$20,18,false)*HLOOKUP($K372,'Type Chart'!$C$2:$U$20,18,false)</f>
        <v>1</v>
      </c>
      <c r="AL372" s="960">
        <f t="array" ref="AL372">HLOOKUP($J372,'Type Chart'!$C$2:$T$20,19,false)*HLOOKUP($K372,'Type Chart'!$C$2:$U$20,19,false)</f>
        <v>1</v>
      </c>
      <c r="AM372" s="1145" t="s">
        <v>1206</v>
      </c>
      <c r="AN372" s="965" t="s">
        <v>2088</v>
      </c>
      <c r="AO372" s="1146" t="s">
        <v>1615</v>
      </c>
      <c r="AP372" s="936"/>
      <c r="AQ372" s="967"/>
      <c r="AR372" s="968"/>
      <c r="AS372" s="936"/>
    </row>
    <row r="373" ht="15.75" customHeight="1">
      <c r="A373" s="1099"/>
      <c r="B373" s="948" t="s">
        <v>2089</v>
      </c>
      <c r="C373" s="1197" t="s">
        <v>2090</v>
      </c>
      <c r="D373" s="950" t="s">
        <v>2090</v>
      </c>
      <c r="E373" s="1147" t="s">
        <v>2090</v>
      </c>
      <c r="F373" s="940"/>
      <c r="G373" s="953"/>
      <c r="H373" s="969"/>
      <c r="I373" s="998" t="s">
        <v>527</v>
      </c>
      <c r="J373" s="957" t="s">
        <v>209</v>
      </c>
      <c r="K373" s="1213" t="s">
        <v>341</v>
      </c>
      <c r="L373" s="959">
        <v>60.0</v>
      </c>
      <c r="M373" s="960">
        <v>130.0</v>
      </c>
      <c r="N373" s="960">
        <v>80.0</v>
      </c>
      <c r="O373" s="960">
        <v>60.0</v>
      </c>
      <c r="P373" s="960">
        <v>60.0</v>
      </c>
      <c r="Q373" s="960">
        <v>70.0</v>
      </c>
      <c r="R373" s="960">
        <v>176.0</v>
      </c>
      <c r="S373" s="960">
        <v>239.0</v>
      </c>
      <c r="T373" s="960">
        <v>262.0</v>
      </c>
      <c r="U373" s="960">
        <f t="array" ref="U373">HLOOKUP($J373,'Type Chart'!$C$2:$T$20,2,false)*HLOOKUP($K373,'Type Chart'!$C$2:$U$20,2,false)</f>
        <v>1</v>
      </c>
      <c r="V373" s="960">
        <f t="array" ref="V373">HLOOKUP($J373,'Type Chart'!$C$2:$T$20,3,false)*HLOOKUP($K373,'Type Chart'!$C$2:$U$20,3,false)</f>
        <v>1</v>
      </c>
      <c r="W373" s="960">
        <f t="array" ref="W373">HLOOKUP($J373,'Type Chart'!$C$2:$T$20,4,false)*HLOOKUP($K373,'Type Chart'!$C$2:$U$20,4,false)</f>
        <v>4</v>
      </c>
      <c r="X373" s="960">
        <f t="array" ref="X373">HLOOKUP($J373,'Type Chart'!$C$2:$T$20,5,false)*HLOOKUP($K373,'Type Chart'!$C$2:$U$20,5,false)</f>
        <v>2</v>
      </c>
      <c r="Y373" s="960">
        <f t="array" ref="Y373">HLOOKUP($J373,'Type Chart'!$C$2:$T$20,6,false)*HLOOKUP($K373,'Type Chart'!$C$2:$U$20,6,false)</f>
        <v>0.5</v>
      </c>
      <c r="Z373" s="960">
        <f t="array" ref="Z373">HLOOKUP($J373,'Type Chart'!$C$2:$T$20,7,false)*HLOOKUP($K373,'Type Chart'!$C$2:$U$20,7,false)</f>
        <v>0.5</v>
      </c>
      <c r="AA373" s="960">
        <f t="array" ref="AA373">HLOOKUP($J373,'Type Chart'!$C$2:$T$20,8,false)*HLOOKUP($K373,'Type Chart'!$C$2:$U$20,8,false)</f>
        <v>1</v>
      </c>
      <c r="AB373" s="960">
        <f t="array" ref="AB373">HLOOKUP($J373,'Type Chart'!$C$2:$T$20,9,false)*HLOOKUP($K373,'Type Chart'!$C$2:$U$20,9,false)</f>
        <v>1</v>
      </c>
      <c r="AC373" s="960">
        <f t="array" ref="AC373">HLOOKUP($J373,'Type Chart'!$C$2:$T$20,10,false)*HLOOKUP($K373,'Type Chart'!$C$2:$U$20,10,false)</f>
        <v>1</v>
      </c>
      <c r="AD373" s="960">
        <f t="array" ref="AD373">HLOOKUP($J373,'Type Chart'!$C$2:$T$20,11,false)*HLOOKUP($K373,'Type Chart'!$C$2:$U$20,11,false)</f>
        <v>2</v>
      </c>
      <c r="AE373" s="960">
        <f t="array" ref="AE373">HLOOKUP($J373,'Type Chart'!$C$2:$T$20,12,false)*HLOOKUP($K373,'Type Chart'!$C$2:$U$20,12,false)</f>
        <v>0.5</v>
      </c>
      <c r="AF373" s="960">
        <f t="array" ref="AF373">HLOOKUP($J373,'Type Chart'!$C$2:$T$20,13,false)*HLOOKUP($K373,'Type Chart'!$C$2:$U$20,13,false)</f>
        <v>0.5</v>
      </c>
      <c r="AG373" s="960">
        <f t="array" ref="AG373">HLOOKUP($J373,'Type Chart'!$C$2:$T$20,14,false)*HLOOKUP($K373,'Type Chart'!$C$2:$U$20,14,false)</f>
        <v>0.5</v>
      </c>
      <c r="AH373" s="960">
        <f t="array" ref="AH373">HLOOKUP($J373,'Type Chart'!$C$2:$T$20,15,false)*HLOOKUP($K373,'Type Chart'!$C$2:$U$20,15,false)</f>
        <v>2</v>
      </c>
      <c r="AI373" s="960">
        <f t="array" ref="AI373">HLOOKUP($J373,'Type Chart'!$C$2:$T$20,16,false)*HLOOKUP($K373,'Type Chart'!$C$2:$U$20,16,false)</f>
        <v>2</v>
      </c>
      <c r="AJ373" s="960">
        <f t="array" ref="AJ373">HLOOKUP($J373,'Type Chart'!$C$2:$T$20,17,false)*HLOOKUP($K373,'Type Chart'!$C$2:$U$20,17,false)</f>
        <v>1</v>
      </c>
      <c r="AK373" s="960">
        <f t="array" ref="AK373">HLOOKUP($J373,'Type Chart'!$C$2:$T$20,18,false)*HLOOKUP($K373,'Type Chart'!$C$2:$U$20,18,false)</f>
        <v>0.5</v>
      </c>
      <c r="AL373" s="960">
        <f t="array" ref="AL373">HLOOKUP($J373,'Type Chart'!$C$2:$T$20,19,false)*HLOOKUP($K373,'Type Chart'!$C$2:$U$20,19,false)</f>
        <v>2</v>
      </c>
      <c r="AM373" s="1145" t="s">
        <v>1206</v>
      </c>
      <c r="AN373" s="965" t="s">
        <v>2088</v>
      </c>
      <c r="AO373" s="1146" t="s">
        <v>1239</v>
      </c>
      <c r="AP373" s="936"/>
      <c r="AQ373" s="967"/>
      <c r="AR373" s="968"/>
      <c r="AS373" s="936"/>
    </row>
    <row r="374" ht="15.75" customHeight="1">
      <c r="A374" s="1099"/>
      <c r="B374" s="948" t="s">
        <v>2091</v>
      </c>
      <c r="C374" s="950" t="s">
        <v>2092</v>
      </c>
      <c r="D374" s="950" t="s">
        <v>2092</v>
      </c>
      <c r="E374" s="1147" t="s">
        <v>2092</v>
      </c>
      <c r="F374" s="940"/>
      <c r="G374" s="953"/>
      <c r="H374" s="969"/>
      <c r="I374" s="998" t="s">
        <v>2093</v>
      </c>
      <c r="J374" s="1194" t="s">
        <v>136</v>
      </c>
      <c r="K374" s="984" t="s">
        <v>216</v>
      </c>
      <c r="L374" s="959">
        <v>60.0</v>
      </c>
      <c r="M374" s="960">
        <v>60.0</v>
      </c>
      <c r="N374" s="960">
        <v>60.0</v>
      </c>
      <c r="O374" s="960">
        <v>35.0</v>
      </c>
      <c r="P374" s="960">
        <v>35.0</v>
      </c>
      <c r="Q374" s="960">
        <v>30.0</v>
      </c>
      <c r="R374" s="960">
        <v>96.0</v>
      </c>
      <c r="S374" s="960">
        <v>159.0</v>
      </c>
      <c r="T374" s="960">
        <v>174.0</v>
      </c>
      <c r="U374" s="960">
        <f t="array" ref="U374">HLOOKUP($J374,'Type Chart'!$C$2:$T$20,2,false)*HLOOKUP($K374,'Type Chart'!$C$2:$U$20,2,false)</f>
        <v>1</v>
      </c>
      <c r="V374" s="960">
        <f t="array" ref="V374">HLOOKUP($J374,'Type Chart'!$C$2:$T$20,3,false)*HLOOKUP($K374,'Type Chart'!$C$2:$U$20,3,false)</f>
        <v>2</v>
      </c>
      <c r="W374" s="960">
        <f t="array" ref="W374">HLOOKUP($J374,'Type Chart'!$C$2:$T$20,4,false)*HLOOKUP($K374,'Type Chart'!$C$2:$U$20,4,false)</f>
        <v>1</v>
      </c>
      <c r="X374" s="960">
        <f t="array" ref="X374">HLOOKUP($J374,'Type Chart'!$C$2:$T$20,5,false)*HLOOKUP($K374,'Type Chart'!$C$2:$U$20,5,false)</f>
        <v>1</v>
      </c>
      <c r="Y374" s="960">
        <f t="array" ref="Y374">HLOOKUP($J374,'Type Chart'!$C$2:$T$20,6,false)*HLOOKUP($K374,'Type Chart'!$C$2:$U$20,6,false)</f>
        <v>1</v>
      </c>
      <c r="Z374" s="960">
        <f t="array" ref="Z374">HLOOKUP($J374,'Type Chart'!$C$2:$T$20,7,false)*HLOOKUP($K374,'Type Chart'!$C$2:$U$20,7,false)</f>
        <v>1</v>
      </c>
      <c r="AA374" s="960">
        <f t="array" ref="AA374">HLOOKUP($J374,'Type Chart'!$C$2:$T$20,8,false)*HLOOKUP($K374,'Type Chart'!$C$2:$U$20,8,false)</f>
        <v>1</v>
      </c>
      <c r="AB374" s="960">
        <f t="array" ref="AB374">HLOOKUP($J374,'Type Chart'!$C$2:$T$20,9,false)*HLOOKUP($K374,'Type Chart'!$C$2:$U$20,9,false)</f>
        <v>0</v>
      </c>
      <c r="AC374" s="960">
        <f t="array" ref="AC374">HLOOKUP($J374,'Type Chart'!$C$2:$T$20,10,false)*HLOOKUP($K374,'Type Chart'!$C$2:$U$20,10,false)</f>
        <v>1</v>
      </c>
      <c r="AD374" s="960">
        <f t="array" ref="AD374">HLOOKUP($J374,'Type Chart'!$C$2:$T$20,11,false)*HLOOKUP($K374,'Type Chart'!$C$2:$U$20,11,false)</f>
        <v>1</v>
      </c>
      <c r="AE374" s="960">
        <f t="array" ref="AE374">HLOOKUP($J374,'Type Chart'!$C$2:$T$20,12,false)*HLOOKUP($K374,'Type Chart'!$C$2:$U$20,12,false)</f>
        <v>1</v>
      </c>
      <c r="AF374" s="960">
        <f t="array" ref="AF374">HLOOKUP($J374,'Type Chart'!$C$2:$T$20,13,false)*HLOOKUP($K374,'Type Chart'!$C$2:$U$20,13,false)</f>
        <v>1</v>
      </c>
      <c r="AG374" s="960">
        <f t="array" ref="AG374">HLOOKUP($J374,'Type Chart'!$C$2:$T$20,14,false)*HLOOKUP($K374,'Type Chart'!$C$2:$U$20,14,false)</f>
        <v>1</v>
      </c>
      <c r="AH374" s="960">
        <f t="array" ref="AH374">HLOOKUP($J374,'Type Chart'!$C$2:$T$20,15,false)*HLOOKUP($K374,'Type Chart'!$C$2:$U$20,15,false)</f>
        <v>1</v>
      </c>
      <c r="AI374" s="960">
        <f t="array" ref="AI374">HLOOKUP($J374,'Type Chart'!$C$2:$T$20,16,false)*HLOOKUP($K374,'Type Chart'!$C$2:$U$20,16,false)</f>
        <v>1</v>
      </c>
      <c r="AJ374" s="960">
        <f t="array" ref="AJ374">HLOOKUP($J374,'Type Chart'!$C$2:$T$20,17,false)*HLOOKUP($K374,'Type Chart'!$C$2:$U$20,17,false)</f>
        <v>1</v>
      </c>
      <c r="AK374" s="960">
        <f t="array" ref="AK374">HLOOKUP($J374,'Type Chart'!$C$2:$T$20,18,false)*HLOOKUP($K374,'Type Chart'!$C$2:$U$20,18,false)</f>
        <v>1</v>
      </c>
      <c r="AL374" s="960">
        <f t="array" ref="AL374">HLOOKUP($J374,'Type Chart'!$C$2:$T$20,19,false)*HLOOKUP($K374,'Type Chart'!$C$2:$U$20,19,false)</f>
        <v>1</v>
      </c>
      <c r="AM374" s="964" t="s">
        <v>2094</v>
      </c>
      <c r="AN374" s="965"/>
      <c r="AO374" s="966"/>
      <c r="AP374" s="936"/>
      <c r="AQ374" s="967"/>
      <c r="AR374" s="968"/>
      <c r="AS374" s="936"/>
    </row>
    <row r="375" ht="15.75" customHeight="1">
      <c r="A375" s="1099"/>
      <c r="B375" s="948" t="s">
        <v>2095</v>
      </c>
      <c r="C375" s="950" t="s">
        <v>2096</v>
      </c>
      <c r="D375" s="950" t="s">
        <v>2096</v>
      </c>
      <c r="E375" s="1147" t="s">
        <v>2096</v>
      </c>
      <c r="F375" s="940"/>
      <c r="G375" s="953"/>
      <c r="H375" s="969"/>
      <c r="I375" s="998" t="s">
        <v>873</v>
      </c>
      <c r="J375" s="1194" t="s">
        <v>136</v>
      </c>
      <c r="K375" s="984" t="s">
        <v>216</v>
      </c>
      <c r="L375" s="959">
        <v>80.0</v>
      </c>
      <c r="M375" s="960">
        <v>80.0</v>
      </c>
      <c r="N375" s="960">
        <v>80.0</v>
      </c>
      <c r="O375" s="960">
        <v>55.0</v>
      </c>
      <c r="P375" s="960">
        <v>55.0</v>
      </c>
      <c r="Q375" s="960">
        <v>90.0</v>
      </c>
      <c r="R375" s="960">
        <v>216.0</v>
      </c>
      <c r="S375" s="960">
        <v>279.0</v>
      </c>
      <c r="T375" s="960">
        <v>306.0</v>
      </c>
      <c r="U375" s="960">
        <f t="array" ref="U375">HLOOKUP($J375,'Type Chart'!$C$2:$T$20,2,false)*HLOOKUP($K375,'Type Chart'!$C$2:$U$20,2,false)</f>
        <v>1</v>
      </c>
      <c r="V375" s="960">
        <f t="array" ref="V375">HLOOKUP($J375,'Type Chart'!$C$2:$T$20,3,false)*HLOOKUP($K375,'Type Chart'!$C$2:$U$20,3,false)</f>
        <v>2</v>
      </c>
      <c r="W375" s="960">
        <f t="array" ref="W375">HLOOKUP($J375,'Type Chart'!$C$2:$T$20,4,false)*HLOOKUP($K375,'Type Chart'!$C$2:$U$20,4,false)</f>
        <v>1</v>
      </c>
      <c r="X375" s="960">
        <f t="array" ref="X375">HLOOKUP($J375,'Type Chart'!$C$2:$T$20,5,false)*HLOOKUP($K375,'Type Chart'!$C$2:$U$20,5,false)</f>
        <v>1</v>
      </c>
      <c r="Y375" s="960">
        <f t="array" ref="Y375">HLOOKUP($J375,'Type Chart'!$C$2:$T$20,6,false)*HLOOKUP($K375,'Type Chart'!$C$2:$U$20,6,false)</f>
        <v>1</v>
      </c>
      <c r="Z375" s="960">
        <f t="array" ref="Z375">HLOOKUP($J375,'Type Chart'!$C$2:$T$20,7,false)*HLOOKUP($K375,'Type Chart'!$C$2:$U$20,7,false)</f>
        <v>1</v>
      </c>
      <c r="AA375" s="960">
        <f t="array" ref="AA375">HLOOKUP($J375,'Type Chart'!$C$2:$T$20,8,false)*HLOOKUP($K375,'Type Chart'!$C$2:$U$20,8,false)</f>
        <v>1</v>
      </c>
      <c r="AB375" s="960">
        <f t="array" ref="AB375">HLOOKUP($J375,'Type Chart'!$C$2:$T$20,9,false)*HLOOKUP($K375,'Type Chart'!$C$2:$U$20,9,false)</f>
        <v>0</v>
      </c>
      <c r="AC375" s="960">
        <f t="array" ref="AC375">HLOOKUP($J375,'Type Chart'!$C$2:$T$20,10,false)*HLOOKUP($K375,'Type Chart'!$C$2:$U$20,10,false)</f>
        <v>1</v>
      </c>
      <c r="AD375" s="960">
        <f t="array" ref="AD375">HLOOKUP($J375,'Type Chart'!$C$2:$T$20,11,false)*HLOOKUP($K375,'Type Chart'!$C$2:$U$20,11,false)</f>
        <v>1</v>
      </c>
      <c r="AE375" s="960">
        <f t="array" ref="AE375">HLOOKUP($J375,'Type Chart'!$C$2:$T$20,12,false)*HLOOKUP($K375,'Type Chart'!$C$2:$U$20,12,false)</f>
        <v>1</v>
      </c>
      <c r="AF375" s="960">
        <f t="array" ref="AF375">HLOOKUP($J375,'Type Chart'!$C$2:$T$20,13,false)*HLOOKUP($K375,'Type Chart'!$C$2:$U$20,13,false)</f>
        <v>1</v>
      </c>
      <c r="AG375" s="960">
        <f t="array" ref="AG375">HLOOKUP($J375,'Type Chart'!$C$2:$T$20,14,false)*HLOOKUP($K375,'Type Chart'!$C$2:$U$20,14,false)</f>
        <v>1</v>
      </c>
      <c r="AH375" s="960">
        <f t="array" ref="AH375">HLOOKUP($J375,'Type Chart'!$C$2:$T$20,15,false)*HLOOKUP($K375,'Type Chart'!$C$2:$U$20,15,false)</f>
        <v>1</v>
      </c>
      <c r="AI375" s="960">
        <f t="array" ref="AI375">HLOOKUP($J375,'Type Chart'!$C$2:$T$20,16,false)*HLOOKUP($K375,'Type Chart'!$C$2:$U$20,16,false)</f>
        <v>1</v>
      </c>
      <c r="AJ375" s="960">
        <f t="array" ref="AJ375">HLOOKUP($J375,'Type Chart'!$C$2:$T$20,17,false)*HLOOKUP($K375,'Type Chart'!$C$2:$U$20,17,false)</f>
        <v>1</v>
      </c>
      <c r="AK375" s="960">
        <f t="array" ref="AK375">HLOOKUP($J375,'Type Chart'!$C$2:$T$20,18,false)*HLOOKUP($K375,'Type Chart'!$C$2:$U$20,18,false)</f>
        <v>1</v>
      </c>
      <c r="AL375" s="960">
        <f t="array" ref="AL375">HLOOKUP($J375,'Type Chart'!$C$2:$T$20,19,false)*HLOOKUP($K375,'Type Chart'!$C$2:$U$20,19,false)</f>
        <v>1</v>
      </c>
      <c r="AM375" s="964" t="s">
        <v>1265</v>
      </c>
      <c r="AN375" s="1202"/>
      <c r="AO375" s="966"/>
      <c r="AP375" s="936"/>
      <c r="AQ375" s="967"/>
      <c r="AR375" s="968"/>
      <c r="AS375" s="936"/>
    </row>
    <row r="376" ht="15.75" customHeight="1">
      <c r="A376" s="936"/>
      <c r="B376" s="948" t="s">
        <v>2097</v>
      </c>
      <c r="C376" s="950" t="s">
        <v>2098</v>
      </c>
      <c r="D376" s="950" t="s">
        <v>2098</v>
      </c>
      <c r="E376" s="1147" t="s">
        <v>2098</v>
      </c>
      <c r="F376" s="940"/>
      <c r="G376" s="953"/>
      <c r="H376" s="969"/>
      <c r="I376" s="998" t="s">
        <v>773</v>
      </c>
      <c r="J376" s="1216" t="s">
        <v>136</v>
      </c>
      <c r="K376" s="984" t="s">
        <v>216</v>
      </c>
      <c r="L376" s="1200">
        <v>150.0</v>
      </c>
      <c r="M376" s="1201">
        <v>160.0</v>
      </c>
      <c r="N376" s="1201">
        <v>100.0</v>
      </c>
      <c r="O376" s="1201">
        <v>95.0</v>
      </c>
      <c r="P376" s="1201">
        <v>65.0</v>
      </c>
      <c r="Q376" s="1201">
        <v>100.0</v>
      </c>
      <c r="R376" s="960">
        <v>236.0</v>
      </c>
      <c r="S376" s="960">
        <v>299.0</v>
      </c>
      <c r="T376" s="960">
        <v>328.0</v>
      </c>
      <c r="U376" s="960">
        <f t="array" ref="U376">HLOOKUP($J376,'Type Chart'!$C$2:$T$20,2,false)*HLOOKUP($K376,'Type Chart'!$C$2:$U$20,2,false)</f>
        <v>1</v>
      </c>
      <c r="V376" s="960">
        <f t="array" ref="V376">HLOOKUP($J376,'Type Chart'!$C$2:$T$20,3,false)*HLOOKUP($K376,'Type Chart'!$C$2:$U$20,3,false)</f>
        <v>2</v>
      </c>
      <c r="W376" s="960">
        <f t="array" ref="W376">HLOOKUP($J376,'Type Chart'!$C$2:$T$20,4,false)*HLOOKUP($K376,'Type Chart'!$C$2:$U$20,4,false)</f>
        <v>1</v>
      </c>
      <c r="X376" s="960">
        <f t="array" ref="X376">HLOOKUP($J376,'Type Chart'!$C$2:$T$20,5,false)*HLOOKUP($K376,'Type Chart'!$C$2:$U$20,5,false)</f>
        <v>1</v>
      </c>
      <c r="Y376" s="960">
        <f t="array" ref="Y376">HLOOKUP($J376,'Type Chart'!$C$2:$T$20,6,false)*HLOOKUP($K376,'Type Chart'!$C$2:$U$20,6,false)</f>
        <v>1</v>
      </c>
      <c r="Z376" s="960">
        <f t="array" ref="Z376">HLOOKUP($J376,'Type Chart'!$C$2:$T$20,7,false)*HLOOKUP($K376,'Type Chart'!$C$2:$U$20,7,false)</f>
        <v>1</v>
      </c>
      <c r="AA376" s="960">
        <f t="array" ref="AA376">HLOOKUP($J376,'Type Chart'!$C$2:$T$20,8,false)*HLOOKUP($K376,'Type Chart'!$C$2:$U$20,8,false)</f>
        <v>1</v>
      </c>
      <c r="AB376" s="960">
        <f t="array" ref="AB376">HLOOKUP($J376,'Type Chart'!$C$2:$T$20,9,false)*HLOOKUP($K376,'Type Chart'!$C$2:$U$20,9,false)</f>
        <v>0</v>
      </c>
      <c r="AC376" s="960">
        <f t="array" ref="AC376">HLOOKUP($J376,'Type Chart'!$C$2:$T$20,10,false)*HLOOKUP($K376,'Type Chart'!$C$2:$U$20,10,false)</f>
        <v>1</v>
      </c>
      <c r="AD376" s="960">
        <f t="array" ref="AD376">HLOOKUP($J376,'Type Chart'!$C$2:$T$20,11,false)*HLOOKUP($K376,'Type Chart'!$C$2:$U$20,11,false)</f>
        <v>1</v>
      </c>
      <c r="AE376" s="960">
        <f t="array" ref="AE376">HLOOKUP($J376,'Type Chart'!$C$2:$T$20,12,false)*HLOOKUP($K376,'Type Chart'!$C$2:$U$20,12,false)</f>
        <v>1</v>
      </c>
      <c r="AF376" s="960">
        <f t="array" ref="AF376">HLOOKUP($J376,'Type Chart'!$C$2:$T$20,13,false)*HLOOKUP($K376,'Type Chart'!$C$2:$U$20,13,false)</f>
        <v>1</v>
      </c>
      <c r="AG376" s="960">
        <f t="array" ref="AG376">HLOOKUP($J376,'Type Chart'!$C$2:$T$20,14,false)*HLOOKUP($K376,'Type Chart'!$C$2:$U$20,14,false)</f>
        <v>1</v>
      </c>
      <c r="AH376" s="960">
        <f t="array" ref="AH376">HLOOKUP($J376,'Type Chart'!$C$2:$T$20,15,false)*HLOOKUP($K376,'Type Chart'!$C$2:$U$20,15,false)</f>
        <v>1</v>
      </c>
      <c r="AI376" s="960">
        <f t="array" ref="AI376">HLOOKUP($J376,'Type Chart'!$C$2:$T$20,16,false)*HLOOKUP($K376,'Type Chart'!$C$2:$U$20,16,false)</f>
        <v>1</v>
      </c>
      <c r="AJ376" s="960">
        <f t="array" ref="AJ376">HLOOKUP($J376,'Type Chart'!$C$2:$T$20,17,false)*HLOOKUP($K376,'Type Chart'!$C$2:$U$20,17,false)</f>
        <v>1</v>
      </c>
      <c r="AK376" s="960">
        <f t="array" ref="AK376">HLOOKUP($J376,'Type Chart'!$C$2:$T$20,18,false)*HLOOKUP($K376,'Type Chart'!$C$2:$U$20,18,false)</f>
        <v>1</v>
      </c>
      <c r="AL376" s="960">
        <f t="array" ref="AL376">HLOOKUP($J376,'Type Chart'!$C$2:$T$20,19,false)*HLOOKUP($K376,'Type Chart'!$C$2:$U$20,19,false)</f>
        <v>1</v>
      </c>
      <c r="AM376" s="1145" t="s">
        <v>2094</v>
      </c>
      <c r="AN376" s="965"/>
      <c r="AO376" s="966"/>
      <c r="AP376" s="936"/>
      <c r="AQ376" s="967"/>
      <c r="AR376" s="968"/>
      <c r="AS376" s="936"/>
    </row>
    <row r="377" ht="15.75" customHeight="1">
      <c r="A377" s="1099"/>
      <c r="B377" s="948" t="s">
        <v>2099</v>
      </c>
      <c r="C377" s="1197" t="s">
        <v>2100</v>
      </c>
      <c r="D377" s="1197" t="s">
        <v>2100</v>
      </c>
      <c r="E377" s="1147" t="s">
        <v>2100</v>
      </c>
      <c r="F377" s="940"/>
      <c r="G377" s="953"/>
      <c r="H377" s="969"/>
      <c r="I377" s="998" t="s">
        <v>2101</v>
      </c>
      <c r="J377" s="1180" t="s">
        <v>343</v>
      </c>
      <c r="K377" s="1204" t="s">
        <v>80</v>
      </c>
      <c r="L377" s="959">
        <v>31.0</v>
      </c>
      <c r="M377" s="960">
        <v>45.0</v>
      </c>
      <c r="N377" s="960">
        <v>90.0</v>
      </c>
      <c r="O377" s="960">
        <v>30.0</v>
      </c>
      <c r="P377" s="960">
        <v>30.0</v>
      </c>
      <c r="Q377" s="960">
        <v>40.0</v>
      </c>
      <c r="R377" s="960">
        <v>116.0</v>
      </c>
      <c r="S377" s="960">
        <v>179.0</v>
      </c>
      <c r="T377" s="960">
        <v>196.0</v>
      </c>
      <c r="U377" s="960">
        <f t="array" ref="U377">HLOOKUP($J377,'Type Chart'!$C$2:$T$20,2,false)*HLOOKUP($K377,'Type Chart'!$C$2:$U$20,2,false)</f>
        <v>1</v>
      </c>
      <c r="V377" s="960">
        <f t="array" ref="V377">HLOOKUP($J377,'Type Chart'!$C$2:$T$20,3,false)*HLOOKUP($K377,'Type Chart'!$C$2:$U$20,3,false)</f>
        <v>0.5</v>
      </c>
      <c r="W377" s="960">
        <f t="array" ref="W377">HLOOKUP($J377,'Type Chart'!$C$2:$T$20,4,false)*HLOOKUP($K377,'Type Chart'!$C$2:$U$20,4,false)</f>
        <v>2</v>
      </c>
      <c r="X377" s="960">
        <f t="array" ref="X377">HLOOKUP($J377,'Type Chart'!$C$2:$T$20,5,false)*HLOOKUP($K377,'Type Chart'!$C$2:$U$20,5,false)</f>
        <v>0.5</v>
      </c>
      <c r="Y377" s="960">
        <f t="array" ref="Y377">HLOOKUP($J377,'Type Chart'!$C$2:$T$20,6,false)*HLOOKUP($K377,'Type Chart'!$C$2:$U$20,6,false)</f>
        <v>0.5</v>
      </c>
      <c r="Z377" s="960">
        <f t="array" ref="Z377">HLOOKUP($J377,'Type Chart'!$C$2:$T$20,7,false)*HLOOKUP($K377,'Type Chart'!$C$2:$U$20,7,false)</f>
        <v>1</v>
      </c>
      <c r="AA377" s="960">
        <f t="array" ref="AA377">HLOOKUP($J377,'Type Chart'!$C$2:$T$20,8,false)*HLOOKUP($K377,'Type Chart'!$C$2:$U$20,8,false)</f>
        <v>1</v>
      </c>
      <c r="AB377" s="960">
        <f t="array" ref="AB377">HLOOKUP($J377,'Type Chart'!$C$2:$T$20,9,false)*HLOOKUP($K377,'Type Chart'!$C$2:$U$20,9,false)</f>
        <v>1</v>
      </c>
      <c r="AC377" s="960">
        <f t="array" ref="AC377">HLOOKUP($J377,'Type Chart'!$C$2:$T$20,10,false)*HLOOKUP($K377,'Type Chart'!$C$2:$U$20,10,false)</f>
        <v>1</v>
      </c>
      <c r="AD377" s="960">
        <f t="array" ref="AD377">HLOOKUP($J377,'Type Chart'!$C$2:$T$20,11,false)*HLOOKUP($K377,'Type Chart'!$C$2:$U$20,11,false)</f>
        <v>2</v>
      </c>
      <c r="AE377" s="960">
        <f t="array" ref="AE377">HLOOKUP($J377,'Type Chart'!$C$2:$T$20,12,false)*HLOOKUP($K377,'Type Chart'!$C$2:$U$20,12,false)</f>
        <v>2</v>
      </c>
      <c r="AF377" s="960">
        <f t="array" ref="AF377">HLOOKUP($J377,'Type Chart'!$C$2:$T$20,13,false)*HLOOKUP($K377,'Type Chart'!$C$2:$U$20,13,false)</f>
        <v>1</v>
      </c>
      <c r="AG377" s="960">
        <f t="array" ref="AG377">HLOOKUP($J377,'Type Chart'!$C$2:$T$20,14,false)*HLOOKUP($K377,'Type Chart'!$C$2:$U$20,14,false)</f>
        <v>0</v>
      </c>
      <c r="AH377" s="960">
        <f t="array" ref="AH377">HLOOKUP($J377,'Type Chart'!$C$2:$T$20,15,false)*HLOOKUP($K377,'Type Chart'!$C$2:$U$20,15,false)</f>
        <v>1</v>
      </c>
      <c r="AI377" s="960">
        <f t="array" ref="AI377">HLOOKUP($J377,'Type Chart'!$C$2:$T$20,16,false)*HLOOKUP($K377,'Type Chart'!$C$2:$U$20,16,false)</f>
        <v>2</v>
      </c>
      <c r="AJ377" s="960">
        <f t="array" ref="AJ377">HLOOKUP($J377,'Type Chart'!$C$2:$T$20,17,false)*HLOOKUP($K377,'Type Chart'!$C$2:$U$20,17,false)</f>
        <v>1</v>
      </c>
      <c r="AK377" s="960">
        <f t="array" ref="AK377">HLOOKUP($J377,'Type Chart'!$C$2:$T$20,18,false)*HLOOKUP($K377,'Type Chart'!$C$2:$U$20,18,false)</f>
        <v>1</v>
      </c>
      <c r="AL377" s="960">
        <f t="array" ref="AL377">HLOOKUP($J377,'Type Chart'!$C$2:$T$20,19,false)*HLOOKUP($K377,'Type Chart'!$C$2:$U$20,19,false)</f>
        <v>1</v>
      </c>
      <c r="AM377" s="1145" t="s">
        <v>1002</v>
      </c>
      <c r="AN377" s="1202"/>
      <c r="AO377" s="1146" t="s">
        <v>988</v>
      </c>
      <c r="AP377" s="936"/>
      <c r="AQ377" s="967"/>
      <c r="AR377" s="968"/>
      <c r="AS377" s="936"/>
    </row>
    <row r="378" ht="15.75" customHeight="1">
      <c r="A378" s="1099"/>
      <c r="B378" s="948" t="s">
        <v>2102</v>
      </c>
      <c r="C378" s="950" t="s">
        <v>2103</v>
      </c>
      <c r="D378" s="950" t="s">
        <v>2103</v>
      </c>
      <c r="E378" s="1147" t="s">
        <v>2103</v>
      </c>
      <c r="F378" s="940"/>
      <c r="G378" s="953"/>
      <c r="H378" s="969"/>
      <c r="I378" s="998" t="s">
        <v>2104</v>
      </c>
      <c r="J378" s="1180" t="s">
        <v>343</v>
      </c>
      <c r="K378" s="1001" t="s">
        <v>128</v>
      </c>
      <c r="L378" s="959">
        <v>61.0</v>
      </c>
      <c r="M378" s="960">
        <v>90.0</v>
      </c>
      <c r="N378" s="960">
        <v>45.0</v>
      </c>
      <c r="O378" s="960">
        <v>50.0</v>
      </c>
      <c r="P378" s="960">
        <v>50.0</v>
      </c>
      <c r="Q378" s="960">
        <v>160.0</v>
      </c>
      <c r="R378" s="960">
        <v>356.0</v>
      </c>
      <c r="S378" s="960">
        <v>419.0</v>
      </c>
      <c r="T378" s="960">
        <v>460.0</v>
      </c>
      <c r="U378" s="960">
        <f t="array" ref="U378">HLOOKUP($J378,'Type Chart'!$C$2:$T$20,2,false)*HLOOKUP($K378,'Type Chart'!$C$2:$U$20,2,false)</f>
        <v>1</v>
      </c>
      <c r="V378" s="960">
        <f t="array" ref="V378">HLOOKUP($J378,'Type Chart'!$C$2:$T$20,3,false)*HLOOKUP($K378,'Type Chart'!$C$2:$U$20,3,false)</f>
        <v>0.25</v>
      </c>
      <c r="W378" s="960">
        <f t="array" ref="W378">HLOOKUP($J378,'Type Chart'!$C$2:$T$20,4,false)*HLOOKUP($K378,'Type Chart'!$C$2:$U$20,4,false)</f>
        <v>2</v>
      </c>
      <c r="X378" s="960">
        <f t="array" ref="X378">HLOOKUP($J378,'Type Chart'!$C$2:$T$20,5,false)*HLOOKUP($K378,'Type Chart'!$C$2:$U$20,5,false)</f>
        <v>1</v>
      </c>
      <c r="Y378" s="960">
        <f t="array" ref="Y378">HLOOKUP($J378,'Type Chart'!$C$2:$T$20,6,false)*HLOOKUP($K378,'Type Chart'!$C$2:$U$20,6,false)</f>
        <v>0</v>
      </c>
      <c r="Z378" s="960">
        <f t="array" ref="Z378">HLOOKUP($J378,'Type Chart'!$C$2:$T$20,7,false)*HLOOKUP($K378,'Type Chart'!$C$2:$U$20,7,false)</f>
        <v>4</v>
      </c>
      <c r="AA378" s="960">
        <f t="array" ref="AA378">HLOOKUP($J378,'Type Chart'!$C$2:$T$20,8,false)*HLOOKUP($K378,'Type Chart'!$C$2:$U$20,8,false)</f>
        <v>0.5</v>
      </c>
      <c r="AB378" s="960">
        <f t="array" ref="AB378">HLOOKUP($J378,'Type Chart'!$C$2:$T$20,9,false)*HLOOKUP($K378,'Type Chart'!$C$2:$U$20,9,false)</f>
        <v>1</v>
      </c>
      <c r="AC378" s="960">
        <f t="array" ref="AC378">HLOOKUP($J378,'Type Chart'!$C$2:$T$20,10,false)*HLOOKUP($K378,'Type Chart'!$C$2:$U$20,10,false)</f>
        <v>1</v>
      </c>
      <c r="AD378" s="960">
        <f t="array" ref="AD378">HLOOKUP($J378,'Type Chart'!$C$2:$T$20,11,false)*HLOOKUP($K378,'Type Chart'!$C$2:$U$20,11,false)</f>
        <v>2</v>
      </c>
      <c r="AE378" s="960">
        <f t="array" ref="AE378">HLOOKUP($J378,'Type Chart'!$C$2:$T$20,12,false)*HLOOKUP($K378,'Type Chart'!$C$2:$U$20,12,false)</f>
        <v>1</v>
      </c>
      <c r="AF378" s="960">
        <f t="array" ref="AF378">HLOOKUP($J378,'Type Chart'!$C$2:$T$20,13,false)*HLOOKUP($K378,'Type Chart'!$C$2:$U$20,13,false)</f>
        <v>0.25</v>
      </c>
      <c r="AG378" s="960">
        <f t="array" ref="AG378">HLOOKUP($J378,'Type Chart'!$C$2:$T$20,14,false)*HLOOKUP($K378,'Type Chart'!$C$2:$U$20,14,false)</f>
        <v>2</v>
      </c>
      <c r="AH378" s="960">
        <f t="array" ref="AH378">HLOOKUP($J378,'Type Chart'!$C$2:$T$20,15,false)*HLOOKUP($K378,'Type Chart'!$C$2:$U$20,15,false)</f>
        <v>1</v>
      </c>
      <c r="AI378" s="960">
        <f t="array" ref="AI378">HLOOKUP($J378,'Type Chart'!$C$2:$T$20,16,false)*HLOOKUP($K378,'Type Chart'!$C$2:$U$20,16,false)</f>
        <v>2</v>
      </c>
      <c r="AJ378" s="960">
        <f t="array" ref="AJ378">HLOOKUP($J378,'Type Chart'!$C$2:$T$20,17,false)*HLOOKUP($K378,'Type Chart'!$C$2:$U$20,17,false)</f>
        <v>1</v>
      </c>
      <c r="AK378" s="960">
        <f t="array" ref="AK378">HLOOKUP($J378,'Type Chart'!$C$2:$T$20,18,false)*HLOOKUP($K378,'Type Chart'!$C$2:$U$20,18,false)</f>
        <v>1</v>
      </c>
      <c r="AL378" s="960">
        <f t="array" ref="AL378">HLOOKUP($J378,'Type Chart'!$C$2:$T$20,19,false)*HLOOKUP($K378,'Type Chart'!$C$2:$U$20,19,false)</f>
        <v>1</v>
      </c>
      <c r="AM378" s="1145" t="s">
        <v>1798</v>
      </c>
      <c r="AN378" s="1202"/>
      <c r="AO378" s="1146" t="s">
        <v>1193</v>
      </c>
      <c r="AP378" s="936"/>
      <c r="AQ378" s="967"/>
      <c r="AR378" s="968"/>
      <c r="AS378" s="936"/>
    </row>
    <row r="379" ht="15.75" customHeight="1">
      <c r="A379" s="1099"/>
      <c r="B379" s="948" t="s">
        <v>2105</v>
      </c>
      <c r="C379" s="950" t="s">
        <v>2106</v>
      </c>
      <c r="D379" s="950" t="s">
        <v>2106</v>
      </c>
      <c r="E379" s="1147" t="s">
        <v>2106</v>
      </c>
      <c r="F379" s="940"/>
      <c r="G379" s="953"/>
      <c r="H379" s="969"/>
      <c r="I379" s="998" t="s">
        <v>2107</v>
      </c>
      <c r="J379" s="1180" t="s">
        <v>343</v>
      </c>
      <c r="K379" s="1220" t="s">
        <v>215</v>
      </c>
      <c r="L379" s="959">
        <v>1.0</v>
      </c>
      <c r="M379" s="960">
        <v>90.0</v>
      </c>
      <c r="N379" s="960">
        <v>45.0</v>
      </c>
      <c r="O379" s="960">
        <v>30.0</v>
      </c>
      <c r="P379" s="960">
        <v>30.0</v>
      </c>
      <c r="Q379" s="960">
        <v>40.0</v>
      </c>
      <c r="R379" s="960">
        <v>116.0</v>
      </c>
      <c r="S379" s="960">
        <v>179.0</v>
      </c>
      <c r="T379" s="960">
        <v>196.0</v>
      </c>
      <c r="U379" s="960">
        <f t="array" ref="U379">HLOOKUP($J379,'Type Chart'!$C$2:$T$20,2,false)*HLOOKUP($K379,'Type Chart'!$C$2:$U$20,2,false)</f>
        <v>0</v>
      </c>
      <c r="V379" s="960">
        <f t="array" ref="V379">HLOOKUP($J379,'Type Chart'!$C$2:$T$20,3,false)*HLOOKUP($K379,'Type Chart'!$C$2:$U$20,3,false)</f>
        <v>0</v>
      </c>
      <c r="W379" s="960">
        <f t="array" ref="W379">HLOOKUP($J379,'Type Chart'!$C$2:$T$20,4,false)*HLOOKUP($K379,'Type Chart'!$C$2:$U$20,4,false)</f>
        <v>2</v>
      </c>
      <c r="X379" s="960">
        <f t="array" ref="X379">HLOOKUP($J379,'Type Chart'!$C$2:$T$20,5,false)*HLOOKUP($K379,'Type Chart'!$C$2:$U$20,5,false)</f>
        <v>0.5</v>
      </c>
      <c r="Y379" s="960">
        <f t="array" ref="Y379">HLOOKUP($J379,'Type Chart'!$C$2:$T$20,6,false)*HLOOKUP($K379,'Type Chart'!$C$2:$U$20,6,false)</f>
        <v>0.5</v>
      </c>
      <c r="Z379" s="960">
        <f t="array" ref="Z379">HLOOKUP($J379,'Type Chart'!$C$2:$T$20,7,false)*HLOOKUP($K379,'Type Chart'!$C$2:$U$20,7,false)</f>
        <v>2</v>
      </c>
      <c r="AA379" s="960">
        <f t="array" ref="AA379">HLOOKUP($J379,'Type Chart'!$C$2:$T$20,8,false)*HLOOKUP($K379,'Type Chart'!$C$2:$U$20,8,false)</f>
        <v>0.5</v>
      </c>
      <c r="AB379" s="960">
        <f t="array" ref="AB379">HLOOKUP($J379,'Type Chart'!$C$2:$T$20,9,false)*HLOOKUP($K379,'Type Chart'!$C$2:$U$20,9,false)</f>
        <v>2</v>
      </c>
      <c r="AC379" s="960">
        <f t="array" ref="AC379">HLOOKUP($J379,'Type Chart'!$C$2:$T$20,10,false)*HLOOKUP($K379,'Type Chart'!$C$2:$U$20,10,false)</f>
        <v>1</v>
      </c>
      <c r="AD379" s="960">
        <f t="array" ref="AD379">HLOOKUP($J379,'Type Chart'!$C$2:$T$20,11,false)*HLOOKUP($K379,'Type Chart'!$C$2:$U$20,11,false)</f>
        <v>2</v>
      </c>
      <c r="AE379" s="960">
        <f t="array" ref="AE379">HLOOKUP($J379,'Type Chart'!$C$2:$T$20,12,false)*HLOOKUP($K379,'Type Chart'!$C$2:$U$20,12,false)</f>
        <v>1</v>
      </c>
      <c r="AF379" s="960">
        <f t="array" ref="AF379">HLOOKUP($J379,'Type Chart'!$C$2:$T$20,13,false)*HLOOKUP($K379,'Type Chart'!$C$2:$U$20,13,false)</f>
        <v>0.5</v>
      </c>
      <c r="AG379" s="960">
        <f t="array" ref="AG379">HLOOKUP($J379,'Type Chart'!$C$2:$T$20,14,false)*HLOOKUP($K379,'Type Chart'!$C$2:$U$20,14,false)</f>
        <v>1</v>
      </c>
      <c r="AH379" s="960">
        <f t="array" ref="AH379">HLOOKUP($J379,'Type Chart'!$C$2:$T$20,15,false)*HLOOKUP($K379,'Type Chart'!$C$2:$U$20,15,false)</f>
        <v>1</v>
      </c>
      <c r="AI379" s="960">
        <f t="array" ref="AI379">HLOOKUP($J379,'Type Chart'!$C$2:$T$20,16,false)*HLOOKUP($K379,'Type Chart'!$C$2:$U$20,16,false)</f>
        <v>1</v>
      </c>
      <c r="AJ379" s="960">
        <f t="array" ref="AJ379">HLOOKUP($J379,'Type Chart'!$C$2:$T$20,17,false)*HLOOKUP($K379,'Type Chart'!$C$2:$U$20,17,false)</f>
        <v>1</v>
      </c>
      <c r="AK379" s="960">
        <f t="array" ref="AK379">HLOOKUP($J379,'Type Chart'!$C$2:$T$20,18,false)*HLOOKUP($K379,'Type Chart'!$C$2:$U$20,18,false)</f>
        <v>2</v>
      </c>
      <c r="AL379" s="960">
        <f t="array" ref="AL379">HLOOKUP($J379,'Type Chart'!$C$2:$T$20,19,false)*HLOOKUP($K379,'Type Chart'!$C$2:$U$20,19,false)</f>
        <v>1</v>
      </c>
      <c r="AM379" s="1145" t="s">
        <v>2108</v>
      </c>
      <c r="AN379" s="1202"/>
      <c r="AO379" s="1146"/>
      <c r="AP379" s="936"/>
      <c r="AQ379" s="967"/>
      <c r="AR379" s="968"/>
      <c r="AS379" s="936"/>
    </row>
    <row r="380" ht="15.75" customHeight="1">
      <c r="A380" s="936"/>
      <c r="B380" s="948" t="s">
        <v>2109</v>
      </c>
      <c r="C380" s="1197" t="s">
        <v>2110</v>
      </c>
      <c r="D380" s="1197" t="s">
        <v>2110</v>
      </c>
      <c r="E380" s="1147" t="s">
        <v>2110</v>
      </c>
      <c r="F380" s="940"/>
      <c r="G380" s="953"/>
      <c r="H380" s="969"/>
      <c r="I380" s="998" t="s">
        <v>2111</v>
      </c>
      <c r="J380" s="1216" t="s">
        <v>136</v>
      </c>
      <c r="K380" s="1199" t="s">
        <v>216</v>
      </c>
      <c r="L380" s="1200">
        <v>64.0</v>
      </c>
      <c r="M380" s="1201">
        <v>51.0</v>
      </c>
      <c r="N380" s="1201">
        <v>23.0</v>
      </c>
      <c r="O380" s="1201">
        <v>51.0</v>
      </c>
      <c r="P380" s="1201">
        <v>23.0</v>
      </c>
      <c r="Q380" s="1201">
        <v>28.0</v>
      </c>
      <c r="R380" s="960">
        <v>92.0</v>
      </c>
      <c r="S380" s="960">
        <v>155.0</v>
      </c>
      <c r="T380" s="960">
        <v>170.0</v>
      </c>
      <c r="U380" s="960">
        <f t="array" ref="U380">HLOOKUP($J380,'Type Chart'!$C$2:$T$20,2,false)*HLOOKUP($K380,'Type Chart'!$C$2:$U$20,2,false)</f>
        <v>1</v>
      </c>
      <c r="V380" s="960">
        <f t="array" ref="V380">HLOOKUP($J380,'Type Chart'!$C$2:$T$20,3,false)*HLOOKUP($K380,'Type Chart'!$C$2:$U$20,3,false)</f>
        <v>2</v>
      </c>
      <c r="W380" s="960">
        <f t="array" ref="W380">HLOOKUP($J380,'Type Chart'!$C$2:$T$20,4,false)*HLOOKUP($K380,'Type Chart'!$C$2:$U$20,4,false)</f>
        <v>1</v>
      </c>
      <c r="X380" s="960">
        <f t="array" ref="X380">HLOOKUP($J380,'Type Chart'!$C$2:$T$20,5,false)*HLOOKUP($K380,'Type Chart'!$C$2:$U$20,5,false)</f>
        <v>1</v>
      </c>
      <c r="Y380" s="960">
        <f t="array" ref="Y380">HLOOKUP($J380,'Type Chart'!$C$2:$T$20,6,false)*HLOOKUP($K380,'Type Chart'!$C$2:$U$20,6,false)</f>
        <v>1</v>
      </c>
      <c r="Z380" s="960">
        <f t="array" ref="Z380">HLOOKUP($J380,'Type Chart'!$C$2:$T$20,7,false)*HLOOKUP($K380,'Type Chart'!$C$2:$U$20,7,false)</f>
        <v>1</v>
      </c>
      <c r="AA380" s="960">
        <f t="array" ref="AA380">HLOOKUP($J380,'Type Chart'!$C$2:$T$20,8,false)*HLOOKUP($K380,'Type Chart'!$C$2:$U$20,8,false)</f>
        <v>1</v>
      </c>
      <c r="AB380" s="960">
        <f t="array" ref="AB380">HLOOKUP($J380,'Type Chart'!$C$2:$T$20,9,false)*HLOOKUP($K380,'Type Chart'!$C$2:$U$20,9,false)</f>
        <v>0</v>
      </c>
      <c r="AC380" s="960">
        <f t="array" ref="AC380">HLOOKUP($J380,'Type Chart'!$C$2:$T$20,10,false)*HLOOKUP($K380,'Type Chart'!$C$2:$U$20,10,false)</f>
        <v>1</v>
      </c>
      <c r="AD380" s="960">
        <f t="array" ref="AD380">HLOOKUP($J380,'Type Chart'!$C$2:$T$20,11,false)*HLOOKUP($K380,'Type Chart'!$C$2:$U$20,11,false)</f>
        <v>1</v>
      </c>
      <c r="AE380" s="960">
        <f t="array" ref="AE380">HLOOKUP($J380,'Type Chart'!$C$2:$T$20,12,false)*HLOOKUP($K380,'Type Chart'!$C$2:$U$20,12,false)</f>
        <v>1</v>
      </c>
      <c r="AF380" s="960">
        <f t="array" ref="AF380">HLOOKUP($J380,'Type Chart'!$C$2:$T$20,13,false)*HLOOKUP($K380,'Type Chart'!$C$2:$U$20,13,false)</f>
        <v>1</v>
      </c>
      <c r="AG380" s="960">
        <f t="array" ref="AG380">HLOOKUP($J380,'Type Chart'!$C$2:$T$20,14,false)*HLOOKUP($K380,'Type Chart'!$C$2:$U$20,14,false)</f>
        <v>1</v>
      </c>
      <c r="AH380" s="960">
        <f t="array" ref="AH380">HLOOKUP($J380,'Type Chart'!$C$2:$T$20,15,false)*HLOOKUP($K380,'Type Chart'!$C$2:$U$20,15,false)</f>
        <v>1</v>
      </c>
      <c r="AI380" s="960">
        <f t="array" ref="AI380">HLOOKUP($J380,'Type Chart'!$C$2:$T$20,16,false)*HLOOKUP($K380,'Type Chart'!$C$2:$U$20,16,false)</f>
        <v>1</v>
      </c>
      <c r="AJ380" s="960">
        <f t="array" ref="AJ380">HLOOKUP($J380,'Type Chart'!$C$2:$T$20,17,false)*HLOOKUP($K380,'Type Chart'!$C$2:$U$20,17,false)</f>
        <v>1</v>
      </c>
      <c r="AK380" s="960">
        <f t="array" ref="AK380">HLOOKUP($J380,'Type Chart'!$C$2:$T$20,18,false)*HLOOKUP($K380,'Type Chart'!$C$2:$U$20,18,false)</f>
        <v>1</v>
      </c>
      <c r="AL380" s="960">
        <f t="array" ref="AL380">HLOOKUP($J380,'Type Chart'!$C$2:$T$20,19,false)*HLOOKUP($K380,'Type Chart'!$C$2:$U$20,19,false)</f>
        <v>1</v>
      </c>
      <c r="AM380" s="1145" t="s">
        <v>1468</v>
      </c>
      <c r="AN380" s="965"/>
      <c r="AO380" s="966" t="s">
        <v>1243</v>
      </c>
      <c r="AP380" s="936"/>
      <c r="AQ380" s="967"/>
      <c r="AR380" s="968"/>
      <c r="AS380" s="936"/>
    </row>
    <row r="381" ht="15.75" customHeight="1">
      <c r="A381" s="936"/>
      <c r="B381" s="948" t="s">
        <v>2112</v>
      </c>
      <c r="C381" s="1197" t="s">
        <v>2113</v>
      </c>
      <c r="D381" s="1197" t="s">
        <v>2113</v>
      </c>
      <c r="E381" s="1147" t="s">
        <v>2113</v>
      </c>
      <c r="F381" s="940"/>
      <c r="G381" s="953"/>
      <c r="H381" s="969"/>
      <c r="I381" s="998" t="s">
        <v>2114</v>
      </c>
      <c r="J381" s="1216" t="s">
        <v>136</v>
      </c>
      <c r="K381" s="1199" t="s">
        <v>216</v>
      </c>
      <c r="L381" s="959">
        <v>84.0</v>
      </c>
      <c r="M381" s="1201">
        <v>71.0</v>
      </c>
      <c r="N381" s="960">
        <v>43.0</v>
      </c>
      <c r="O381" s="1201">
        <v>71.0</v>
      </c>
      <c r="P381" s="960">
        <v>43.0</v>
      </c>
      <c r="Q381" s="960">
        <v>48.0</v>
      </c>
      <c r="R381" s="960">
        <v>132.0</v>
      </c>
      <c r="S381" s="960">
        <v>195.0</v>
      </c>
      <c r="T381" s="960">
        <v>214.0</v>
      </c>
      <c r="U381" s="960">
        <f t="array" ref="U381">HLOOKUP($J381,'Type Chart'!$C$2:$T$20,2,false)*HLOOKUP($K381,'Type Chart'!$C$2:$U$20,2,false)</f>
        <v>1</v>
      </c>
      <c r="V381" s="960">
        <f t="array" ref="V381">HLOOKUP($J381,'Type Chart'!$C$2:$T$20,3,false)*HLOOKUP($K381,'Type Chart'!$C$2:$U$20,3,false)</f>
        <v>2</v>
      </c>
      <c r="W381" s="960">
        <f t="array" ref="W381">HLOOKUP($J381,'Type Chart'!$C$2:$T$20,4,false)*HLOOKUP($K381,'Type Chart'!$C$2:$U$20,4,false)</f>
        <v>1</v>
      </c>
      <c r="X381" s="960">
        <f t="array" ref="X381">HLOOKUP($J381,'Type Chart'!$C$2:$T$20,5,false)*HLOOKUP($K381,'Type Chart'!$C$2:$U$20,5,false)</f>
        <v>1</v>
      </c>
      <c r="Y381" s="960">
        <f t="array" ref="Y381">HLOOKUP($J381,'Type Chart'!$C$2:$T$20,6,false)*HLOOKUP($K381,'Type Chart'!$C$2:$U$20,6,false)</f>
        <v>1</v>
      </c>
      <c r="Z381" s="960">
        <f t="array" ref="Z381">HLOOKUP($J381,'Type Chart'!$C$2:$T$20,7,false)*HLOOKUP($K381,'Type Chart'!$C$2:$U$20,7,false)</f>
        <v>1</v>
      </c>
      <c r="AA381" s="960">
        <f t="array" ref="AA381">HLOOKUP($J381,'Type Chart'!$C$2:$T$20,8,false)*HLOOKUP($K381,'Type Chart'!$C$2:$U$20,8,false)</f>
        <v>1</v>
      </c>
      <c r="AB381" s="960">
        <f t="array" ref="AB381">HLOOKUP($J381,'Type Chart'!$C$2:$T$20,9,false)*HLOOKUP($K381,'Type Chart'!$C$2:$U$20,9,false)</f>
        <v>0</v>
      </c>
      <c r="AC381" s="960">
        <f t="array" ref="AC381">HLOOKUP($J381,'Type Chart'!$C$2:$T$20,10,false)*HLOOKUP($K381,'Type Chart'!$C$2:$U$20,10,false)</f>
        <v>1</v>
      </c>
      <c r="AD381" s="960">
        <f t="array" ref="AD381">HLOOKUP($J381,'Type Chart'!$C$2:$T$20,11,false)*HLOOKUP($K381,'Type Chart'!$C$2:$U$20,11,false)</f>
        <v>1</v>
      </c>
      <c r="AE381" s="960">
        <f t="array" ref="AE381">HLOOKUP($J381,'Type Chart'!$C$2:$T$20,12,false)*HLOOKUP($K381,'Type Chart'!$C$2:$U$20,12,false)</f>
        <v>1</v>
      </c>
      <c r="AF381" s="960">
        <f t="array" ref="AF381">HLOOKUP($J381,'Type Chart'!$C$2:$T$20,13,false)*HLOOKUP($K381,'Type Chart'!$C$2:$U$20,13,false)</f>
        <v>1</v>
      </c>
      <c r="AG381" s="960">
        <f t="array" ref="AG381">HLOOKUP($J381,'Type Chart'!$C$2:$T$20,14,false)*HLOOKUP($K381,'Type Chart'!$C$2:$U$20,14,false)</f>
        <v>1</v>
      </c>
      <c r="AH381" s="960">
        <f t="array" ref="AH381">HLOOKUP($J381,'Type Chart'!$C$2:$T$20,15,false)*HLOOKUP($K381,'Type Chart'!$C$2:$U$20,15,false)</f>
        <v>1</v>
      </c>
      <c r="AI381" s="960">
        <f t="array" ref="AI381">HLOOKUP($J381,'Type Chart'!$C$2:$T$20,16,false)*HLOOKUP($K381,'Type Chart'!$C$2:$U$20,16,false)</f>
        <v>1</v>
      </c>
      <c r="AJ381" s="960">
        <f t="array" ref="AJ381">HLOOKUP($J381,'Type Chart'!$C$2:$T$20,17,false)*HLOOKUP($K381,'Type Chart'!$C$2:$U$20,17,false)</f>
        <v>1</v>
      </c>
      <c r="AK381" s="960">
        <f t="array" ref="AK381">HLOOKUP($J381,'Type Chart'!$C$2:$T$20,18,false)*HLOOKUP($K381,'Type Chart'!$C$2:$U$20,18,false)</f>
        <v>1</v>
      </c>
      <c r="AL381" s="960">
        <f t="array" ref="AL381">HLOOKUP($J381,'Type Chart'!$C$2:$T$20,19,false)*HLOOKUP($K381,'Type Chart'!$C$2:$U$20,19,false)</f>
        <v>1</v>
      </c>
      <c r="AM381" s="1145" t="s">
        <v>1468</v>
      </c>
      <c r="AN381" s="965"/>
      <c r="AO381" s="966" t="s">
        <v>1399</v>
      </c>
      <c r="AP381" s="936"/>
      <c r="AQ381" s="967"/>
      <c r="AR381" s="1232"/>
      <c r="AS381" s="936"/>
    </row>
    <row r="382" ht="15.75" customHeight="1">
      <c r="A382" s="936"/>
      <c r="B382" s="948" t="s">
        <v>2115</v>
      </c>
      <c r="C382" s="1197" t="s">
        <v>2116</v>
      </c>
      <c r="D382" s="1197" t="s">
        <v>2116</v>
      </c>
      <c r="E382" s="1147" t="s">
        <v>2116</v>
      </c>
      <c r="F382" s="940"/>
      <c r="G382" s="953"/>
      <c r="H382" s="969"/>
      <c r="I382" s="998" t="s">
        <v>2117</v>
      </c>
      <c r="J382" s="1216" t="s">
        <v>136</v>
      </c>
      <c r="K382" s="1199" t="s">
        <v>216</v>
      </c>
      <c r="L382" s="959">
        <v>104.0</v>
      </c>
      <c r="M382" s="960">
        <v>91.0</v>
      </c>
      <c r="N382" s="960">
        <v>63.0</v>
      </c>
      <c r="O382" s="960">
        <v>91.0</v>
      </c>
      <c r="P382" s="960">
        <v>73.0</v>
      </c>
      <c r="Q382" s="960">
        <v>68.0</v>
      </c>
      <c r="R382" s="960">
        <v>172.0</v>
      </c>
      <c r="S382" s="960">
        <v>235.0</v>
      </c>
      <c r="T382" s="960">
        <v>258.0</v>
      </c>
      <c r="U382" s="960">
        <f t="array" ref="U382">HLOOKUP($J382,'Type Chart'!$C$2:$T$20,2,false)*HLOOKUP($K382,'Type Chart'!$C$2:$U$20,2,false)</f>
        <v>1</v>
      </c>
      <c r="V382" s="960">
        <f t="array" ref="V382">HLOOKUP($J382,'Type Chart'!$C$2:$T$20,3,false)*HLOOKUP($K382,'Type Chart'!$C$2:$U$20,3,false)</f>
        <v>2</v>
      </c>
      <c r="W382" s="960">
        <f t="array" ref="W382">HLOOKUP($J382,'Type Chart'!$C$2:$T$20,4,false)*HLOOKUP($K382,'Type Chart'!$C$2:$U$20,4,false)</f>
        <v>1</v>
      </c>
      <c r="X382" s="960">
        <f t="array" ref="X382">HLOOKUP($J382,'Type Chart'!$C$2:$T$20,5,false)*HLOOKUP($K382,'Type Chart'!$C$2:$U$20,5,false)</f>
        <v>1</v>
      </c>
      <c r="Y382" s="960">
        <f t="array" ref="Y382">HLOOKUP($J382,'Type Chart'!$C$2:$T$20,6,false)*HLOOKUP($K382,'Type Chart'!$C$2:$U$20,6,false)</f>
        <v>1</v>
      </c>
      <c r="Z382" s="960">
        <f t="array" ref="Z382">HLOOKUP($J382,'Type Chart'!$C$2:$T$20,7,false)*HLOOKUP($K382,'Type Chart'!$C$2:$U$20,7,false)</f>
        <v>1</v>
      </c>
      <c r="AA382" s="960">
        <f t="array" ref="AA382">HLOOKUP($J382,'Type Chart'!$C$2:$T$20,8,false)*HLOOKUP($K382,'Type Chart'!$C$2:$U$20,8,false)</f>
        <v>1</v>
      </c>
      <c r="AB382" s="960">
        <f t="array" ref="AB382">HLOOKUP($J382,'Type Chart'!$C$2:$T$20,9,false)*HLOOKUP($K382,'Type Chart'!$C$2:$U$20,9,false)</f>
        <v>0</v>
      </c>
      <c r="AC382" s="960">
        <f t="array" ref="AC382">HLOOKUP($J382,'Type Chart'!$C$2:$T$20,10,false)*HLOOKUP($K382,'Type Chart'!$C$2:$U$20,10,false)</f>
        <v>1</v>
      </c>
      <c r="AD382" s="960">
        <f t="array" ref="AD382">HLOOKUP($J382,'Type Chart'!$C$2:$T$20,11,false)*HLOOKUP($K382,'Type Chart'!$C$2:$U$20,11,false)</f>
        <v>1</v>
      </c>
      <c r="AE382" s="960">
        <f t="array" ref="AE382">HLOOKUP($J382,'Type Chart'!$C$2:$T$20,12,false)*HLOOKUP($K382,'Type Chart'!$C$2:$U$20,12,false)</f>
        <v>1</v>
      </c>
      <c r="AF382" s="960">
        <f t="array" ref="AF382">HLOOKUP($J382,'Type Chart'!$C$2:$T$20,13,false)*HLOOKUP($K382,'Type Chart'!$C$2:$U$20,13,false)</f>
        <v>1</v>
      </c>
      <c r="AG382" s="960">
        <f t="array" ref="AG382">HLOOKUP($J382,'Type Chart'!$C$2:$T$20,14,false)*HLOOKUP($K382,'Type Chart'!$C$2:$U$20,14,false)</f>
        <v>1</v>
      </c>
      <c r="AH382" s="960">
        <f t="array" ref="AH382">HLOOKUP($J382,'Type Chart'!$C$2:$T$20,15,false)*HLOOKUP($K382,'Type Chart'!$C$2:$U$20,15,false)</f>
        <v>1</v>
      </c>
      <c r="AI382" s="960">
        <f t="array" ref="AI382">HLOOKUP($J382,'Type Chart'!$C$2:$T$20,16,false)*HLOOKUP($K382,'Type Chart'!$C$2:$U$20,16,false)</f>
        <v>1</v>
      </c>
      <c r="AJ382" s="960">
        <f t="array" ref="AJ382">HLOOKUP($J382,'Type Chart'!$C$2:$T$20,17,false)*HLOOKUP($K382,'Type Chart'!$C$2:$U$20,17,false)</f>
        <v>1</v>
      </c>
      <c r="AK382" s="960">
        <f t="array" ref="AK382">HLOOKUP($J382,'Type Chart'!$C$2:$T$20,18,false)*HLOOKUP($K382,'Type Chart'!$C$2:$U$20,18,false)</f>
        <v>1</v>
      </c>
      <c r="AL382" s="960">
        <f t="array" ref="AL382">HLOOKUP($J382,'Type Chart'!$C$2:$T$20,19,false)*HLOOKUP($K382,'Type Chart'!$C$2:$U$20,19,false)</f>
        <v>1</v>
      </c>
      <c r="AM382" s="1145" t="s">
        <v>1468</v>
      </c>
      <c r="AN382" s="965"/>
      <c r="AO382" s="966" t="s">
        <v>1399</v>
      </c>
      <c r="AP382" s="936"/>
      <c r="AQ382" s="967"/>
      <c r="AR382" s="968"/>
      <c r="AS382" s="936"/>
    </row>
    <row r="383" ht="15.75" customHeight="1">
      <c r="A383" s="1099"/>
      <c r="B383" s="948" t="s">
        <v>2118</v>
      </c>
      <c r="C383" s="950" t="s">
        <v>2119</v>
      </c>
      <c r="D383" s="950" t="s">
        <v>2119</v>
      </c>
      <c r="E383" s="1147" t="s">
        <v>2119</v>
      </c>
      <c r="F383" s="940"/>
      <c r="G383" s="953"/>
      <c r="H383" s="969"/>
      <c r="I383" s="998" t="s">
        <v>2120</v>
      </c>
      <c r="J383" s="1213" t="s">
        <v>341</v>
      </c>
      <c r="K383" s="984" t="s">
        <v>216</v>
      </c>
      <c r="L383" s="959">
        <v>72.0</v>
      </c>
      <c r="M383" s="960">
        <v>60.0</v>
      </c>
      <c r="N383" s="960">
        <v>30.0</v>
      </c>
      <c r="O383" s="960">
        <v>20.0</v>
      </c>
      <c r="P383" s="960">
        <v>30.0</v>
      </c>
      <c r="Q383" s="960">
        <v>25.0</v>
      </c>
      <c r="R383" s="960">
        <v>86.0</v>
      </c>
      <c r="S383" s="960">
        <v>149.0</v>
      </c>
      <c r="T383" s="960">
        <v>163.0</v>
      </c>
      <c r="U383" s="960">
        <f t="array" ref="U383">HLOOKUP($J383,'Type Chart'!$C$2:$T$20,2,false)*HLOOKUP($K383,'Type Chart'!$C$2:$U$20,2,false)</f>
        <v>1</v>
      </c>
      <c r="V383" s="960">
        <f t="array" ref="V383">HLOOKUP($J383,'Type Chart'!$C$2:$T$20,3,false)*HLOOKUP($K383,'Type Chart'!$C$2:$U$20,3,false)</f>
        <v>1</v>
      </c>
      <c r="W383" s="960">
        <f t="array" ref="W383">HLOOKUP($J383,'Type Chart'!$C$2:$T$20,4,false)*HLOOKUP($K383,'Type Chart'!$C$2:$U$20,4,false)</f>
        <v>2</v>
      </c>
      <c r="X383" s="960">
        <f t="array" ref="X383">HLOOKUP($J383,'Type Chart'!$C$2:$T$20,5,false)*HLOOKUP($K383,'Type Chart'!$C$2:$U$20,5,false)</f>
        <v>1</v>
      </c>
      <c r="Y383" s="960">
        <f t="array" ref="Y383">HLOOKUP($J383,'Type Chart'!$C$2:$T$20,6,false)*HLOOKUP($K383,'Type Chart'!$C$2:$U$20,6,false)</f>
        <v>1</v>
      </c>
      <c r="Z383" s="960">
        <f t="array" ref="Z383">HLOOKUP($J383,'Type Chart'!$C$2:$T$20,7,false)*HLOOKUP($K383,'Type Chart'!$C$2:$U$20,7,false)</f>
        <v>0.5</v>
      </c>
      <c r="AA383" s="960">
        <f t="array" ref="AA383">HLOOKUP($J383,'Type Chart'!$C$2:$T$20,8,false)*HLOOKUP($K383,'Type Chart'!$C$2:$U$20,8,false)</f>
        <v>0.5</v>
      </c>
      <c r="AB383" s="960">
        <f t="array" ref="AB383">HLOOKUP($J383,'Type Chart'!$C$2:$T$20,9,false)*HLOOKUP($K383,'Type Chart'!$C$2:$U$20,9,false)</f>
        <v>1</v>
      </c>
      <c r="AC383" s="960">
        <f t="array" ref="AC383">HLOOKUP($J383,'Type Chart'!$C$2:$T$20,10,false)*HLOOKUP($K383,'Type Chart'!$C$2:$U$20,10,false)</f>
        <v>1</v>
      </c>
      <c r="AD383" s="960">
        <f t="array" ref="AD383">HLOOKUP($J383,'Type Chart'!$C$2:$T$20,11,false)*HLOOKUP($K383,'Type Chart'!$C$2:$U$20,11,false)</f>
        <v>1</v>
      </c>
      <c r="AE383" s="960">
        <f t="array" ref="AE383">HLOOKUP($J383,'Type Chart'!$C$2:$T$20,12,false)*HLOOKUP($K383,'Type Chart'!$C$2:$U$20,12,false)</f>
        <v>1</v>
      </c>
      <c r="AF383" s="960">
        <f t="array" ref="AF383">HLOOKUP($J383,'Type Chart'!$C$2:$T$20,13,false)*HLOOKUP($K383,'Type Chart'!$C$2:$U$20,13,false)</f>
        <v>1</v>
      </c>
      <c r="AG383" s="960">
        <f t="array" ref="AG383">HLOOKUP($J383,'Type Chart'!$C$2:$T$20,14,false)*HLOOKUP($K383,'Type Chart'!$C$2:$U$20,14,false)</f>
        <v>1</v>
      </c>
      <c r="AH383" s="960">
        <f t="array" ref="AH383">HLOOKUP($J383,'Type Chart'!$C$2:$T$20,15,false)*HLOOKUP($K383,'Type Chart'!$C$2:$U$20,15,false)</f>
        <v>2</v>
      </c>
      <c r="AI383" s="960">
        <f t="array" ref="AI383">HLOOKUP($J383,'Type Chart'!$C$2:$T$20,16,false)*HLOOKUP($K383,'Type Chart'!$C$2:$U$20,16,false)</f>
        <v>1</v>
      </c>
      <c r="AJ383" s="960">
        <f t="array" ref="AJ383">HLOOKUP($J383,'Type Chart'!$C$2:$T$20,17,false)*HLOOKUP($K383,'Type Chart'!$C$2:$U$20,17,false)</f>
        <v>1</v>
      </c>
      <c r="AK383" s="960">
        <f t="array" ref="AK383">HLOOKUP($J383,'Type Chart'!$C$2:$T$20,18,false)*HLOOKUP($K383,'Type Chart'!$C$2:$U$20,18,false)</f>
        <v>0.5</v>
      </c>
      <c r="AL383" s="960">
        <f t="array" ref="AL383">HLOOKUP($J383,'Type Chart'!$C$2:$T$20,19,false)*HLOOKUP($K383,'Type Chart'!$C$2:$U$20,19,false)</f>
        <v>2</v>
      </c>
      <c r="AM383" s="1145" t="s">
        <v>760</v>
      </c>
      <c r="AN383" s="965" t="s">
        <v>1038</v>
      </c>
      <c r="AO383" s="966" t="s">
        <v>1153</v>
      </c>
      <c r="AP383" s="936"/>
      <c r="AQ383" s="967"/>
      <c r="AR383" s="968"/>
      <c r="AS383" s="936"/>
    </row>
    <row r="384" ht="15.75" customHeight="1">
      <c r="A384" s="1099"/>
      <c r="B384" s="948" t="s">
        <v>2121</v>
      </c>
      <c r="C384" s="950" t="s">
        <v>2122</v>
      </c>
      <c r="D384" s="950" t="s">
        <v>2122</v>
      </c>
      <c r="E384" s="1147" t="s">
        <v>2122</v>
      </c>
      <c r="F384" s="940"/>
      <c r="G384" s="953"/>
      <c r="H384" s="969"/>
      <c r="I384" s="998" t="s">
        <v>588</v>
      </c>
      <c r="J384" s="1213" t="s">
        <v>341</v>
      </c>
      <c r="K384" s="984" t="s">
        <v>216</v>
      </c>
      <c r="L384" s="959">
        <v>144.0</v>
      </c>
      <c r="M384" s="960">
        <v>120.0</v>
      </c>
      <c r="N384" s="960">
        <v>60.0</v>
      </c>
      <c r="O384" s="960">
        <v>40.0</v>
      </c>
      <c r="P384" s="960">
        <v>60.0</v>
      </c>
      <c r="Q384" s="960">
        <v>50.0</v>
      </c>
      <c r="R384" s="960">
        <v>136.0</v>
      </c>
      <c r="S384" s="960">
        <v>199.0</v>
      </c>
      <c r="T384" s="960">
        <v>218.0</v>
      </c>
      <c r="U384" s="960">
        <f t="array" ref="U384">HLOOKUP($J384,'Type Chart'!$C$2:$T$20,2,false)*HLOOKUP($K384,'Type Chart'!$C$2:$U$20,2,false)</f>
        <v>1</v>
      </c>
      <c r="V384" s="960">
        <f t="array" ref="V384">HLOOKUP($J384,'Type Chart'!$C$2:$T$20,3,false)*HLOOKUP($K384,'Type Chart'!$C$2:$U$20,3,false)</f>
        <v>1</v>
      </c>
      <c r="W384" s="960">
        <f t="array" ref="W384">HLOOKUP($J384,'Type Chart'!$C$2:$T$20,4,false)*HLOOKUP($K384,'Type Chart'!$C$2:$U$20,4,false)</f>
        <v>2</v>
      </c>
      <c r="X384" s="960">
        <f t="array" ref="X384">HLOOKUP($J384,'Type Chart'!$C$2:$T$20,5,false)*HLOOKUP($K384,'Type Chart'!$C$2:$U$20,5,false)</f>
        <v>1</v>
      </c>
      <c r="Y384" s="960">
        <f t="array" ref="Y384">HLOOKUP($J384,'Type Chart'!$C$2:$T$20,6,false)*HLOOKUP($K384,'Type Chart'!$C$2:$U$20,6,false)</f>
        <v>1</v>
      </c>
      <c r="Z384" s="960">
        <f t="array" ref="Z384">HLOOKUP($J384,'Type Chart'!$C$2:$T$20,7,false)*HLOOKUP($K384,'Type Chart'!$C$2:$U$20,7,false)</f>
        <v>0.5</v>
      </c>
      <c r="AA384" s="960">
        <f t="array" ref="AA384">HLOOKUP($J384,'Type Chart'!$C$2:$T$20,8,false)*HLOOKUP($K384,'Type Chart'!$C$2:$U$20,8,false)</f>
        <v>0.5</v>
      </c>
      <c r="AB384" s="960">
        <f t="array" ref="AB384">HLOOKUP($J384,'Type Chart'!$C$2:$T$20,9,false)*HLOOKUP($K384,'Type Chart'!$C$2:$U$20,9,false)</f>
        <v>1</v>
      </c>
      <c r="AC384" s="960">
        <f t="array" ref="AC384">HLOOKUP($J384,'Type Chart'!$C$2:$T$20,10,false)*HLOOKUP($K384,'Type Chart'!$C$2:$U$20,10,false)</f>
        <v>1</v>
      </c>
      <c r="AD384" s="960">
        <f t="array" ref="AD384">HLOOKUP($J384,'Type Chart'!$C$2:$T$20,11,false)*HLOOKUP($K384,'Type Chart'!$C$2:$U$20,11,false)</f>
        <v>1</v>
      </c>
      <c r="AE384" s="960">
        <f t="array" ref="AE384">HLOOKUP($J384,'Type Chart'!$C$2:$T$20,12,false)*HLOOKUP($K384,'Type Chart'!$C$2:$U$20,12,false)</f>
        <v>1</v>
      </c>
      <c r="AF384" s="960">
        <f t="array" ref="AF384">HLOOKUP($J384,'Type Chart'!$C$2:$T$20,13,false)*HLOOKUP($K384,'Type Chart'!$C$2:$U$20,13,false)</f>
        <v>1</v>
      </c>
      <c r="AG384" s="960">
        <f t="array" ref="AG384">HLOOKUP($J384,'Type Chart'!$C$2:$T$20,14,false)*HLOOKUP($K384,'Type Chart'!$C$2:$U$20,14,false)</f>
        <v>1</v>
      </c>
      <c r="AH384" s="960">
        <f t="array" ref="AH384">HLOOKUP($J384,'Type Chart'!$C$2:$T$20,15,false)*HLOOKUP($K384,'Type Chart'!$C$2:$U$20,15,false)</f>
        <v>2</v>
      </c>
      <c r="AI384" s="960">
        <f t="array" ref="AI384">HLOOKUP($J384,'Type Chart'!$C$2:$T$20,16,false)*HLOOKUP($K384,'Type Chart'!$C$2:$U$20,16,false)</f>
        <v>1</v>
      </c>
      <c r="AJ384" s="960">
        <f t="array" ref="AJ384">HLOOKUP($J384,'Type Chart'!$C$2:$T$20,17,false)*HLOOKUP($K384,'Type Chart'!$C$2:$U$20,17,false)</f>
        <v>1</v>
      </c>
      <c r="AK384" s="960">
        <f t="array" ref="AK384">HLOOKUP($J384,'Type Chart'!$C$2:$T$20,18,false)*HLOOKUP($K384,'Type Chart'!$C$2:$U$20,18,false)</f>
        <v>0.5</v>
      </c>
      <c r="AL384" s="960">
        <f t="array" ref="AL384">HLOOKUP($J384,'Type Chart'!$C$2:$T$20,19,false)*HLOOKUP($K384,'Type Chart'!$C$2:$U$20,19,false)</f>
        <v>2</v>
      </c>
      <c r="AM384" s="964" t="s">
        <v>760</v>
      </c>
      <c r="AN384" s="1202" t="s">
        <v>1038</v>
      </c>
      <c r="AO384" s="1146" t="s">
        <v>1153</v>
      </c>
      <c r="AP384" s="936"/>
      <c r="AQ384" s="967"/>
      <c r="AR384" s="968"/>
      <c r="AS384" s="936"/>
    </row>
    <row r="385" ht="15.75" customHeight="1">
      <c r="A385" s="1099"/>
      <c r="B385" s="948" t="s">
        <v>2123</v>
      </c>
      <c r="C385" s="950" t="s">
        <v>2124</v>
      </c>
      <c r="D385" s="950" t="s">
        <v>2124</v>
      </c>
      <c r="E385" s="1147" t="s">
        <v>2124</v>
      </c>
      <c r="F385" s="940"/>
      <c r="G385" s="953"/>
      <c r="H385" s="969"/>
      <c r="I385" s="998" t="s">
        <v>2125</v>
      </c>
      <c r="J385" s="1194" t="s">
        <v>136</v>
      </c>
      <c r="K385" s="1207" t="s">
        <v>127</v>
      </c>
      <c r="L385" s="959">
        <v>50.0</v>
      </c>
      <c r="M385" s="960">
        <v>20.0</v>
      </c>
      <c r="N385" s="960">
        <v>40.0</v>
      </c>
      <c r="O385" s="960">
        <v>20.0</v>
      </c>
      <c r="P385" s="960">
        <v>40.0</v>
      </c>
      <c r="Q385" s="960">
        <v>20.0</v>
      </c>
      <c r="R385" s="960">
        <v>76.0</v>
      </c>
      <c r="S385" s="960">
        <v>139.0</v>
      </c>
      <c r="T385" s="960">
        <v>152.0</v>
      </c>
      <c r="U385" s="960">
        <f t="array" ref="U385">HLOOKUP($J385,'Type Chart'!$C$2:$T$20,2,false)*HLOOKUP($K385,'Type Chart'!$C$2:$U$20,2,false)</f>
        <v>1</v>
      </c>
      <c r="V385" s="960">
        <f t="array" ref="V385">HLOOKUP($J385,'Type Chart'!$C$2:$T$20,3,false)*HLOOKUP($K385,'Type Chart'!$C$2:$U$20,3,false)</f>
        <v>1</v>
      </c>
      <c r="W385" s="960">
        <f t="array" ref="W385">HLOOKUP($J385,'Type Chart'!$C$2:$T$20,4,false)*HLOOKUP($K385,'Type Chart'!$C$2:$U$20,4,false)</f>
        <v>1</v>
      </c>
      <c r="X385" s="960">
        <f t="array" ref="X385">HLOOKUP($J385,'Type Chart'!$C$2:$T$20,5,false)*HLOOKUP($K385,'Type Chart'!$C$2:$U$20,5,false)</f>
        <v>2</v>
      </c>
      <c r="Y385" s="960">
        <f t="array" ref="Y385">HLOOKUP($J385,'Type Chart'!$C$2:$T$20,6,false)*HLOOKUP($K385,'Type Chart'!$C$2:$U$20,6,false)</f>
        <v>1</v>
      </c>
      <c r="Z385" s="960">
        <f t="array" ref="Z385">HLOOKUP($J385,'Type Chart'!$C$2:$T$20,7,false)*HLOOKUP($K385,'Type Chart'!$C$2:$U$20,7,false)</f>
        <v>1</v>
      </c>
      <c r="AA385" s="960">
        <f t="array" ref="AA385">HLOOKUP($J385,'Type Chart'!$C$2:$T$20,8,false)*HLOOKUP($K385,'Type Chart'!$C$2:$U$20,8,false)</f>
        <v>0.5</v>
      </c>
      <c r="AB385" s="960">
        <f t="array" ref="AB385">HLOOKUP($J385,'Type Chart'!$C$2:$T$20,9,false)*HLOOKUP($K385,'Type Chart'!$C$2:$U$20,9,false)</f>
        <v>0</v>
      </c>
      <c r="AC385" s="960">
        <f t="array" ref="AC385">HLOOKUP($J385,'Type Chart'!$C$2:$T$20,10,false)*HLOOKUP($K385,'Type Chart'!$C$2:$U$20,10,false)</f>
        <v>2</v>
      </c>
      <c r="AD385" s="960">
        <f t="array" ref="AD385">HLOOKUP($J385,'Type Chart'!$C$2:$T$20,11,false)*HLOOKUP($K385,'Type Chart'!$C$2:$U$20,11,false)</f>
        <v>1</v>
      </c>
      <c r="AE385" s="960">
        <f t="array" ref="AE385">HLOOKUP($J385,'Type Chart'!$C$2:$T$20,12,false)*HLOOKUP($K385,'Type Chart'!$C$2:$U$20,12,false)</f>
        <v>1</v>
      </c>
      <c r="AF385" s="960">
        <f t="array" ref="AF385">HLOOKUP($J385,'Type Chart'!$C$2:$T$20,13,false)*HLOOKUP($K385,'Type Chart'!$C$2:$U$20,13,false)</f>
        <v>1</v>
      </c>
      <c r="AG385" s="960">
        <f t="array" ref="AG385">HLOOKUP($J385,'Type Chart'!$C$2:$T$20,14,false)*HLOOKUP($K385,'Type Chart'!$C$2:$U$20,14,false)</f>
        <v>1</v>
      </c>
      <c r="AH385" s="960">
        <f t="array" ref="AH385">HLOOKUP($J385,'Type Chart'!$C$2:$T$20,15,false)*HLOOKUP($K385,'Type Chart'!$C$2:$U$20,15,false)</f>
        <v>1</v>
      </c>
      <c r="AI385" s="960">
        <f t="array" ref="AI385">HLOOKUP($J385,'Type Chart'!$C$2:$T$20,16,false)*HLOOKUP($K385,'Type Chart'!$C$2:$U$20,16,false)</f>
        <v>1</v>
      </c>
      <c r="AJ385" s="960">
        <f t="array" ref="AJ385">HLOOKUP($J385,'Type Chart'!$C$2:$T$20,17,false)*HLOOKUP($K385,'Type Chart'!$C$2:$U$20,17,false)</f>
        <v>0</v>
      </c>
      <c r="AK385" s="960">
        <f t="array" ref="AK385">HLOOKUP($J385,'Type Chart'!$C$2:$T$20,18,false)*HLOOKUP($K385,'Type Chart'!$C$2:$U$20,18,false)</f>
        <v>0.5</v>
      </c>
      <c r="AL385" s="960">
        <f t="array" ref="AL385">HLOOKUP($J385,'Type Chart'!$C$2:$T$20,19,false)*HLOOKUP($K385,'Type Chart'!$C$2:$U$20,19,false)</f>
        <v>1</v>
      </c>
      <c r="AM385" s="1145" t="s">
        <v>760</v>
      </c>
      <c r="AN385" s="965" t="s">
        <v>1771</v>
      </c>
      <c r="AO385" s="966" t="s">
        <v>1772</v>
      </c>
      <c r="AP385" s="936"/>
      <c r="AQ385" s="967"/>
      <c r="AR385" s="968"/>
      <c r="AS385" s="936"/>
    </row>
    <row r="386" ht="15.75" customHeight="1">
      <c r="A386" s="936"/>
      <c r="B386" s="948" t="s">
        <v>2126</v>
      </c>
      <c r="C386" s="950" t="s">
        <v>2127</v>
      </c>
      <c r="D386" s="950" t="s">
        <v>2127</v>
      </c>
      <c r="E386" s="1147" t="s">
        <v>2127</v>
      </c>
      <c r="F386" s="940"/>
      <c r="G386" s="953"/>
      <c r="H386" s="969"/>
      <c r="I386" s="998" t="s">
        <v>2128</v>
      </c>
      <c r="J386" s="1222" t="s">
        <v>342</v>
      </c>
      <c r="K386" s="984" t="s">
        <v>216</v>
      </c>
      <c r="L386" s="1200">
        <v>30.0</v>
      </c>
      <c r="M386" s="1201">
        <v>45.0</v>
      </c>
      <c r="N386" s="1201">
        <v>135.0</v>
      </c>
      <c r="O386" s="1201">
        <v>45.0</v>
      </c>
      <c r="P386" s="1201">
        <v>90.0</v>
      </c>
      <c r="Q386" s="1201">
        <v>30.0</v>
      </c>
      <c r="R386" s="960">
        <v>96.0</v>
      </c>
      <c r="S386" s="960">
        <v>159.0</v>
      </c>
      <c r="T386" s="960">
        <v>174.0</v>
      </c>
      <c r="U386" s="960">
        <f t="array" ref="U386">HLOOKUP($J386,'Type Chart'!$C$2:$T$20,2,false)*HLOOKUP($K386,'Type Chart'!$C$2:$U$20,2,false)</f>
        <v>0.5</v>
      </c>
      <c r="V386" s="960">
        <f t="array" ref="V386">HLOOKUP($J386,'Type Chart'!$C$2:$T$20,3,false)*HLOOKUP($K386,'Type Chart'!$C$2:$U$20,3,false)</f>
        <v>2</v>
      </c>
      <c r="W386" s="960">
        <f t="array" ref="W386">HLOOKUP($J386,'Type Chart'!$C$2:$T$20,4,false)*HLOOKUP($K386,'Type Chart'!$C$2:$U$20,4,false)</f>
        <v>0.5</v>
      </c>
      <c r="X386" s="960">
        <f t="array" ref="X386">HLOOKUP($J386,'Type Chart'!$C$2:$T$20,5,false)*HLOOKUP($K386,'Type Chart'!$C$2:$U$20,5,false)</f>
        <v>0.5</v>
      </c>
      <c r="Y386" s="960">
        <f t="array" ref="Y386">HLOOKUP($J386,'Type Chart'!$C$2:$T$20,6,false)*HLOOKUP($K386,'Type Chart'!$C$2:$U$20,6,false)</f>
        <v>2</v>
      </c>
      <c r="Z386" s="960">
        <f t="array" ref="Z386">HLOOKUP($J386,'Type Chart'!$C$2:$T$20,7,false)*HLOOKUP($K386,'Type Chart'!$C$2:$U$20,7,false)</f>
        <v>1</v>
      </c>
      <c r="AA386" s="960">
        <f t="array" ref="AA386">HLOOKUP($J386,'Type Chart'!$C$2:$T$20,8,false)*HLOOKUP($K386,'Type Chart'!$C$2:$U$20,8,false)</f>
        <v>1</v>
      </c>
      <c r="AB386" s="960">
        <f t="array" ref="AB386">HLOOKUP($J386,'Type Chart'!$C$2:$T$20,9,false)*HLOOKUP($K386,'Type Chart'!$C$2:$U$20,9,false)</f>
        <v>1</v>
      </c>
      <c r="AC386" s="960">
        <f t="array" ref="AC386">HLOOKUP($J386,'Type Chart'!$C$2:$T$20,10,false)*HLOOKUP($K386,'Type Chart'!$C$2:$U$20,10,false)</f>
        <v>2</v>
      </c>
      <c r="AD386" s="960">
        <f t="array" ref="AD386">HLOOKUP($J386,'Type Chart'!$C$2:$T$20,11,false)*HLOOKUP($K386,'Type Chart'!$C$2:$U$20,11,false)</f>
        <v>0.5</v>
      </c>
      <c r="AE386" s="960">
        <f t="array" ref="AE386">HLOOKUP($J386,'Type Chart'!$C$2:$T$20,12,false)*HLOOKUP($K386,'Type Chart'!$C$2:$U$20,12,false)</f>
        <v>2</v>
      </c>
      <c r="AF386" s="960">
        <f t="array" ref="AF386">HLOOKUP($J386,'Type Chart'!$C$2:$T$20,13,false)*HLOOKUP($K386,'Type Chart'!$C$2:$U$20,13,false)</f>
        <v>2</v>
      </c>
      <c r="AG386" s="960">
        <f t="array" ref="AG386">HLOOKUP($J386,'Type Chart'!$C$2:$T$20,14,false)*HLOOKUP($K386,'Type Chart'!$C$2:$U$20,14,false)</f>
        <v>1</v>
      </c>
      <c r="AH386" s="960">
        <f t="array" ref="AH386">HLOOKUP($J386,'Type Chart'!$C$2:$T$20,15,false)*HLOOKUP($K386,'Type Chart'!$C$2:$U$20,15,false)</f>
        <v>1</v>
      </c>
      <c r="AI386" s="960">
        <f t="array" ref="AI386">HLOOKUP($J386,'Type Chart'!$C$2:$T$20,16,false)*HLOOKUP($K386,'Type Chart'!$C$2:$U$20,16,false)</f>
        <v>1</v>
      </c>
      <c r="AJ386" s="960">
        <f t="array" ref="AJ386">HLOOKUP($J386,'Type Chart'!$C$2:$T$20,17,false)*HLOOKUP($K386,'Type Chart'!$C$2:$U$20,17,false)</f>
        <v>1</v>
      </c>
      <c r="AK386" s="960">
        <f t="array" ref="AK386">HLOOKUP($J386,'Type Chart'!$C$2:$T$20,18,false)*HLOOKUP($K386,'Type Chart'!$C$2:$U$20,18,false)</f>
        <v>1</v>
      </c>
      <c r="AL386" s="960">
        <f t="array" ref="AL386">HLOOKUP($J386,'Type Chart'!$C$2:$T$20,19,false)*HLOOKUP($K386,'Type Chart'!$C$2:$U$20,19,false)</f>
        <v>1</v>
      </c>
      <c r="AM386" s="1145" t="s">
        <v>1331</v>
      </c>
      <c r="AN386" s="965" t="s">
        <v>1336</v>
      </c>
      <c r="AO386" s="966" t="s">
        <v>1224</v>
      </c>
      <c r="AP386" s="936"/>
      <c r="AQ386" s="967"/>
      <c r="AR386" s="968"/>
      <c r="AS386" s="936"/>
    </row>
    <row r="387" ht="15.75" customHeight="1">
      <c r="A387" s="1099"/>
      <c r="B387" s="948" t="s">
        <v>2129</v>
      </c>
      <c r="C387" s="950" t="s">
        <v>2130</v>
      </c>
      <c r="D387" s="950" t="s">
        <v>2130</v>
      </c>
      <c r="E387" s="1147" t="s">
        <v>2130</v>
      </c>
      <c r="F387" s="940"/>
      <c r="G387" s="953"/>
      <c r="H387" s="969"/>
      <c r="I387" s="998" t="s">
        <v>2131</v>
      </c>
      <c r="J387" s="1194" t="s">
        <v>136</v>
      </c>
      <c r="K387" s="984" t="s">
        <v>216</v>
      </c>
      <c r="L387" s="959">
        <v>50.0</v>
      </c>
      <c r="M387" s="960">
        <v>45.0</v>
      </c>
      <c r="N387" s="960">
        <v>45.0</v>
      </c>
      <c r="O387" s="960">
        <v>35.0</v>
      </c>
      <c r="P387" s="960">
        <v>35.0</v>
      </c>
      <c r="Q387" s="960">
        <v>50.0</v>
      </c>
      <c r="R387" s="960">
        <v>136.0</v>
      </c>
      <c r="S387" s="960">
        <v>199.0</v>
      </c>
      <c r="T387" s="960">
        <v>218.0</v>
      </c>
      <c r="U387" s="960">
        <f t="array" ref="U387">HLOOKUP($J387,'Type Chart'!$C$2:$T$20,2,false)*HLOOKUP($K387,'Type Chart'!$C$2:$U$20,2,false)</f>
        <v>1</v>
      </c>
      <c r="V387" s="960">
        <f t="array" ref="V387">HLOOKUP($J387,'Type Chart'!$C$2:$T$20,3,false)*HLOOKUP($K387,'Type Chart'!$C$2:$U$20,3,false)</f>
        <v>2</v>
      </c>
      <c r="W387" s="960">
        <f t="array" ref="W387">HLOOKUP($J387,'Type Chart'!$C$2:$T$20,4,false)*HLOOKUP($K387,'Type Chart'!$C$2:$U$20,4,false)</f>
        <v>1</v>
      </c>
      <c r="X387" s="960">
        <f t="array" ref="X387">HLOOKUP($J387,'Type Chart'!$C$2:$T$20,5,false)*HLOOKUP($K387,'Type Chart'!$C$2:$U$20,5,false)</f>
        <v>1</v>
      </c>
      <c r="Y387" s="960">
        <f t="array" ref="Y387">HLOOKUP($J387,'Type Chart'!$C$2:$T$20,6,false)*HLOOKUP($K387,'Type Chart'!$C$2:$U$20,6,false)</f>
        <v>1</v>
      </c>
      <c r="Z387" s="960">
        <f t="array" ref="Z387">HLOOKUP($J387,'Type Chart'!$C$2:$T$20,7,false)*HLOOKUP($K387,'Type Chart'!$C$2:$U$20,7,false)</f>
        <v>1</v>
      </c>
      <c r="AA387" s="960">
        <f t="array" ref="AA387">HLOOKUP($J387,'Type Chart'!$C$2:$T$20,8,false)*HLOOKUP($K387,'Type Chart'!$C$2:$U$20,8,false)</f>
        <v>1</v>
      </c>
      <c r="AB387" s="960">
        <f t="array" ref="AB387">HLOOKUP($J387,'Type Chart'!$C$2:$T$20,9,false)*HLOOKUP($K387,'Type Chart'!$C$2:$U$20,9,false)</f>
        <v>0</v>
      </c>
      <c r="AC387" s="960">
        <f t="array" ref="AC387">HLOOKUP($J387,'Type Chart'!$C$2:$T$20,10,false)*HLOOKUP($K387,'Type Chart'!$C$2:$U$20,10,false)</f>
        <v>1</v>
      </c>
      <c r="AD387" s="960">
        <f t="array" ref="AD387">HLOOKUP($J387,'Type Chart'!$C$2:$T$20,11,false)*HLOOKUP($K387,'Type Chart'!$C$2:$U$20,11,false)</f>
        <v>1</v>
      </c>
      <c r="AE387" s="960">
        <f t="array" ref="AE387">HLOOKUP($J387,'Type Chart'!$C$2:$T$20,12,false)*HLOOKUP($K387,'Type Chart'!$C$2:$U$20,12,false)</f>
        <v>1</v>
      </c>
      <c r="AF387" s="960">
        <f t="array" ref="AF387">HLOOKUP($J387,'Type Chart'!$C$2:$T$20,13,false)*HLOOKUP($K387,'Type Chart'!$C$2:$U$20,13,false)</f>
        <v>1</v>
      </c>
      <c r="AG387" s="960">
        <f t="array" ref="AG387">HLOOKUP($J387,'Type Chart'!$C$2:$T$20,14,false)*HLOOKUP($K387,'Type Chart'!$C$2:$U$20,14,false)</f>
        <v>1</v>
      </c>
      <c r="AH387" s="960">
        <f t="array" ref="AH387">HLOOKUP($J387,'Type Chart'!$C$2:$T$20,15,false)*HLOOKUP($K387,'Type Chart'!$C$2:$U$20,15,false)</f>
        <v>1</v>
      </c>
      <c r="AI387" s="960">
        <f t="array" ref="AI387">HLOOKUP($J387,'Type Chart'!$C$2:$T$20,16,false)*HLOOKUP($K387,'Type Chart'!$C$2:$U$20,16,false)</f>
        <v>1</v>
      </c>
      <c r="AJ387" s="960">
        <f t="array" ref="AJ387">HLOOKUP($J387,'Type Chart'!$C$2:$T$20,17,false)*HLOOKUP($K387,'Type Chart'!$C$2:$U$20,17,false)</f>
        <v>1</v>
      </c>
      <c r="AK387" s="960">
        <f t="array" ref="AK387">HLOOKUP($J387,'Type Chart'!$C$2:$T$20,18,false)*HLOOKUP($K387,'Type Chart'!$C$2:$U$20,18,false)</f>
        <v>1</v>
      </c>
      <c r="AL387" s="960">
        <f t="array" ref="AL387">HLOOKUP($J387,'Type Chart'!$C$2:$T$20,19,false)*HLOOKUP($K387,'Type Chart'!$C$2:$U$20,19,false)</f>
        <v>1</v>
      </c>
      <c r="AM387" s="964" t="s">
        <v>1165</v>
      </c>
      <c r="AN387" s="965" t="s">
        <v>2132</v>
      </c>
      <c r="AO387" s="966" t="s">
        <v>1220</v>
      </c>
      <c r="AP387" s="936"/>
      <c r="AQ387" s="967"/>
      <c r="AR387" s="968"/>
      <c r="AS387" s="936"/>
    </row>
    <row r="388" ht="15.75" customHeight="1">
      <c r="A388" s="936"/>
      <c r="B388" s="948" t="s">
        <v>2133</v>
      </c>
      <c r="C388" s="950" t="s">
        <v>2134</v>
      </c>
      <c r="D388" s="950" t="s">
        <v>2134</v>
      </c>
      <c r="E388" s="952" t="s">
        <v>2134</v>
      </c>
      <c r="F388" s="940"/>
      <c r="G388" s="953"/>
      <c r="H388" s="969"/>
      <c r="I388" s="956" t="s">
        <v>2135</v>
      </c>
      <c r="J388" s="1194" t="s">
        <v>136</v>
      </c>
      <c r="K388" s="984" t="s">
        <v>216</v>
      </c>
      <c r="L388" s="959">
        <v>70.0</v>
      </c>
      <c r="M388" s="960">
        <v>65.0</v>
      </c>
      <c r="N388" s="960">
        <v>65.0</v>
      </c>
      <c r="O388" s="960">
        <v>55.0</v>
      </c>
      <c r="P388" s="960">
        <v>55.0</v>
      </c>
      <c r="Q388" s="960">
        <v>90.0</v>
      </c>
      <c r="R388" s="960">
        <v>216.0</v>
      </c>
      <c r="S388" s="960">
        <v>279.0</v>
      </c>
      <c r="T388" s="960">
        <v>306.0</v>
      </c>
      <c r="U388" s="960">
        <f t="array" ref="U388">HLOOKUP($J388,'Type Chart'!$C$2:$T$20,2,false)*HLOOKUP($K388,'Type Chart'!$C$2:$U$20,2,false)</f>
        <v>1</v>
      </c>
      <c r="V388" s="960">
        <f t="array" ref="V388">HLOOKUP($J388,'Type Chart'!$C$2:$T$20,3,false)*HLOOKUP($K388,'Type Chart'!$C$2:$U$20,3,false)</f>
        <v>2</v>
      </c>
      <c r="W388" s="960">
        <f t="array" ref="W388">HLOOKUP($J388,'Type Chart'!$C$2:$T$20,4,false)*HLOOKUP($K388,'Type Chart'!$C$2:$U$20,4,false)</f>
        <v>1</v>
      </c>
      <c r="X388" s="960">
        <f t="array" ref="X388">HLOOKUP($J388,'Type Chart'!$C$2:$T$20,5,false)*HLOOKUP($K388,'Type Chart'!$C$2:$U$20,5,false)</f>
        <v>1</v>
      </c>
      <c r="Y388" s="960">
        <f t="array" ref="Y388">HLOOKUP($J388,'Type Chart'!$C$2:$T$20,6,false)*HLOOKUP($K388,'Type Chart'!$C$2:$U$20,6,false)</f>
        <v>1</v>
      </c>
      <c r="Z388" s="960">
        <f t="array" ref="Z388">HLOOKUP($J388,'Type Chart'!$C$2:$T$20,7,false)*HLOOKUP($K388,'Type Chart'!$C$2:$U$20,7,false)</f>
        <v>1</v>
      </c>
      <c r="AA388" s="960">
        <f t="array" ref="AA388">HLOOKUP($J388,'Type Chart'!$C$2:$T$20,8,false)*HLOOKUP($K388,'Type Chart'!$C$2:$U$20,8,false)</f>
        <v>1</v>
      </c>
      <c r="AB388" s="960">
        <f t="array" ref="AB388">HLOOKUP($J388,'Type Chart'!$C$2:$T$20,9,false)*HLOOKUP($K388,'Type Chart'!$C$2:$U$20,9,false)</f>
        <v>0</v>
      </c>
      <c r="AC388" s="960">
        <f t="array" ref="AC388">HLOOKUP($J388,'Type Chart'!$C$2:$T$20,10,false)*HLOOKUP($K388,'Type Chart'!$C$2:$U$20,10,false)</f>
        <v>1</v>
      </c>
      <c r="AD388" s="960">
        <f t="array" ref="AD388">HLOOKUP($J388,'Type Chart'!$C$2:$T$20,11,false)*HLOOKUP($K388,'Type Chart'!$C$2:$U$20,11,false)</f>
        <v>1</v>
      </c>
      <c r="AE388" s="960">
        <f t="array" ref="AE388">HLOOKUP($J388,'Type Chart'!$C$2:$T$20,12,false)*HLOOKUP($K388,'Type Chart'!$C$2:$U$20,12,false)</f>
        <v>1</v>
      </c>
      <c r="AF388" s="960">
        <f t="array" ref="AF388">HLOOKUP($J388,'Type Chart'!$C$2:$T$20,13,false)*HLOOKUP($K388,'Type Chart'!$C$2:$U$20,13,false)</f>
        <v>1</v>
      </c>
      <c r="AG388" s="960">
        <f t="array" ref="AG388">HLOOKUP($J388,'Type Chart'!$C$2:$T$20,14,false)*HLOOKUP($K388,'Type Chart'!$C$2:$U$20,14,false)</f>
        <v>1</v>
      </c>
      <c r="AH388" s="960">
        <f t="array" ref="AH388">HLOOKUP($J388,'Type Chart'!$C$2:$T$20,15,false)*HLOOKUP($K388,'Type Chart'!$C$2:$U$20,15,false)</f>
        <v>1</v>
      </c>
      <c r="AI388" s="960">
        <f t="array" ref="AI388">HLOOKUP($J388,'Type Chart'!$C$2:$T$20,16,false)*HLOOKUP($K388,'Type Chart'!$C$2:$U$20,16,false)</f>
        <v>1</v>
      </c>
      <c r="AJ388" s="960">
        <f t="array" ref="AJ388">HLOOKUP($J388,'Type Chart'!$C$2:$T$20,17,false)*HLOOKUP($K388,'Type Chart'!$C$2:$U$20,17,false)</f>
        <v>1</v>
      </c>
      <c r="AK388" s="960">
        <f t="array" ref="AK388">HLOOKUP($J388,'Type Chart'!$C$2:$T$20,18,false)*HLOOKUP($K388,'Type Chart'!$C$2:$U$20,18,false)</f>
        <v>1</v>
      </c>
      <c r="AL388" s="960">
        <f t="array" ref="AL388">HLOOKUP($J388,'Type Chart'!$C$2:$T$20,19,false)*HLOOKUP($K388,'Type Chart'!$C$2:$U$20,19,false)</f>
        <v>1</v>
      </c>
      <c r="AM388" s="964" t="s">
        <v>1165</v>
      </c>
      <c r="AN388" s="965" t="s">
        <v>2132</v>
      </c>
      <c r="AO388" s="966" t="s">
        <v>1220</v>
      </c>
      <c r="AP388" s="936"/>
      <c r="AQ388" s="967"/>
      <c r="AR388" s="968"/>
      <c r="AS388" s="936"/>
    </row>
    <row r="389" ht="15.75" customHeight="1">
      <c r="A389" s="936"/>
      <c r="B389" s="948" t="s">
        <v>2136</v>
      </c>
      <c r="C389" s="950" t="s">
        <v>2137</v>
      </c>
      <c r="D389" s="950" t="s">
        <v>2137</v>
      </c>
      <c r="E389" s="952" t="s">
        <v>2137</v>
      </c>
      <c r="F389" s="940"/>
      <c r="G389" s="953"/>
      <c r="H389" s="969"/>
      <c r="I389" s="956" t="s">
        <v>630</v>
      </c>
      <c r="J389" s="1195" t="s">
        <v>193</v>
      </c>
      <c r="K389" s="1220" t="s">
        <v>215</v>
      </c>
      <c r="L389" s="959">
        <v>50.0</v>
      </c>
      <c r="M389" s="960">
        <v>75.0</v>
      </c>
      <c r="N389" s="960">
        <v>75.0</v>
      </c>
      <c r="O389" s="960">
        <v>65.0</v>
      </c>
      <c r="P389" s="960">
        <v>65.0</v>
      </c>
      <c r="Q389" s="960">
        <v>50.0</v>
      </c>
      <c r="R389" s="960">
        <v>136.0</v>
      </c>
      <c r="S389" s="960">
        <v>199.0</v>
      </c>
      <c r="T389" s="960">
        <v>218.0</v>
      </c>
      <c r="U389" s="960">
        <f t="array" ref="U389">HLOOKUP($J389,'Type Chart'!$C$2:$T$20,2,false)*HLOOKUP($K389,'Type Chart'!$C$2:$U$20,2,false)</f>
        <v>0</v>
      </c>
      <c r="V389" s="960">
        <f t="array" ref="V389">HLOOKUP($J389,'Type Chart'!$C$2:$T$20,3,false)*HLOOKUP($K389,'Type Chart'!$C$2:$U$20,3,false)</f>
        <v>0</v>
      </c>
      <c r="W389" s="960">
        <f t="array" ref="W389">HLOOKUP($J389,'Type Chart'!$C$2:$T$20,4,false)*HLOOKUP($K389,'Type Chart'!$C$2:$U$20,4,false)</f>
        <v>1</v>
      </c>
      <c r="X389" s="960">
        <f t="array" ref="X389">HLOOKUP($J389,'Type Chart'!$C$2:$T$20,5,false)*HLOOKUP($K389,'Type Chart'!$C$2:$U$20,5,false)</f>
        <v>0.5</v>
      </c>
      <c r="Y389" s="960">
        <f t="array" ref="Y389">HLOOKUP($J389,'Type Chart'!$C$2:$T$20,6,false)*HLOOKUP($K389,'Type Chart'!$C$2:$U$20,6,false)</f>
        <v>1</v>
      </c>
      <c r="Z389" s="960">
        <f t="array" ref="Z389">HLOOKUP($J389,'Type Chart'!$C$2:$T$20,7,false)*HLOOKUP($K389,'Type Chart'!$C$2:$U$20,7,false)</f>
        <v>1</v>
      </c>
      <c r="AA389" s="960">
        <f t="array" ref="AA389">HLOOKUP($J389,'Type Chart'!$C$2:$T$20,8,false)*HLOOKUP($K389,'Type Chart'!$C$2:$U$20,8,false)</f>
        <v>1</v>
      </c>
      <c r="AB389" s="960">
        <f t="array" ref="AB389">HLOOKUP($J389,'Type Chart'!$C$2:$T$20,9,false)*HLOOKUP($K389,'Type Chart'!$C$2:$U$20,9,false)</f>
        <v>1</v>
      </c>
      <c r="AC389" s="960">
        <f t="array" ref="AC389">HLOOKUP($J389,'Type Chart'!$C$2:$T$20,10,false)*HLOOKUP($K389,'Type Chart'!$C$2:$U$20,10,false)</f>
        <v>1</v>
      </c>
      <c r="AD389" s="960">
        <f t="array" ref="AD389">HLOOKUP($J389,'Type Chart'!$C$2:$T$20,11,false)*HLOOKUP($K389,'Type Chart'!$C$2:$U$20,11,false)</f>
        <v>1</v>
      </c>
      <c r="AE389" s="960">
        <f t="array" ref="AE389">HLOOKUP($J389,'Type Chart'!$C$2:$T$20,12,false)*HLOOKUP($K389,'Type Chart'!$C$2:$U$20,12,false)</f>
        <v>1</v>
      </c>
      <c r="AF389" s="960">
        <f t="array" ref="AF389">HLOOKUP($J389,'Type Chart'!$C$2:$T$20,13,false)*HLOOKUP($K389,'Type Chart'!$C$2:$U$20,13,false)</f>
        <v>1</v>
      </c>
      <c r="AG389" s="960">
        <f t="array" ref="AG389">HLOOKUP($J389,'Type Chart'!$C$2:$T$20,14,false)*HLOOKUP($K389,'Type Chart'!$C$2:$U$20,14,false)</f>
        <v>1</v>
      </c>
      <c r="AH389" s="960">
        <f t="array" ref="AH389">HLOOKUP($J389,'Type Chart'!$C$2:$T$20,15,false)*HLOOKUP($K389,'Type Chart'!$C$2:$U$20,15,false)</f>
        <v>0</v>
      </c>
      <c r="AI389" s="960">
        <f t="array" ref="AI389">HLOOKUP($J389,'Type Chart'!$C$2:$T$20,16,false)*HLOOKUP($K389,'Type Chart'!$C$2:$U$20,16,false)</f>
        <v>1</v>
      </c>
      <c r="AJ389" s="960">
        <f t="array" ref="AJ389">HLOOKUP($J389,'Type Chart'!$C$2:$T$20,17,false)*HLOOKUP($K389,'Type Chart'!$C$2:$U$20,17,false)</f>
        <v>1</v>
      </c>
      <c r="AK389" s="960">
        <f t="array" ref="AK389">HLOOKUP($J389,'Type Chart'!$C$2:$T$20,18,false)*HLOOKUP($K389,'Type Chart'!$C$2:$U$20,18,false)</f>
        <v>1</v>
      </c>
      <c r="AL389" s="960">
        <f t="array" ref="AL389">HLOOKUP($J389,'Type Chart'!$C$2:$T$20,19,false)*HLOOKUP($K389,'Type Chart'!$C$2:$U$20,19,false)</f>
        <v>2</v>
      </c>
      <c r="AM389" s="964" t="s">
        <v>1022</v>
      </c>
      <c r="AN389" s="965" t="s">
        <v>2138</v>
      </c>
      <c r="AO389" s="966" t="s">
        <v>1813</v>
      </c>
      <c r="AP389" s="936"/>
      <c r="AQ389" s="967"/>
      <c r="AR389" s="968"/>
      <c r="AS389" s="936"/>
    </row>
    <row r="390" ht="15.75" customHeight="1">
      <c r="A390" s="936"/>
      <c r="B390" s="948" t="s">
        <v>2139</v>
      </c>
      <c r="C390" s="950" t="s">
        <v>2140</v>
      </c>
      <c r="D390" s="950" t="s">
        <v>2140</v>
      </c>
      <c r="E390" s="952" t="s">
        <v>2140</v>
      </c>
      <c r="F390" s="940"/>
      <c r="G390" s="953"/>
      <c r="H390" s="969"/>
      <c r="I390" s="956" t="s">
        <v>2141</v>
      </c>
      <c r="J390" s="1195" t="s">
        <v>193</v>
      </c>
      <c r="K390" s="1220" t="s">
        <v>215</v>
      </c>
      <c r="L390" s="959">
        <v>50.0</v>
      </c>
      <c r="M390" s="960">
        <v>85.0</v>
      </c>
      <c r="N390" s="960">
        <v>125.0</v>
      </c>
      <c r="O390" s="960">
        <v>85.0</v>
      </c>
      <c r="P390" s="960">
        <v>115.0</v>
      </c>
      <c r="Q390" s="960">
        <v>20.0</v>
      </c>
      <c r="R390" s="960">
        <v>76.0</v>
      </c>
      <c r="S390" s="960">
        <v>139.0</v>
      </c>
      <c r="T390" s="960">
        <v>152.0</v>
      </c>
      <c r="U390" s="960">
        <f t="array" ref="U390">HLOOKUP($J390,'Type Chart'!$C$2:$T$20,2,false)*HLOOKUP($K390,'Type Chart'!$C$2:$U$20,2,false)</f>
        <v>0</v>
      </c>
      <c r="V390" s="960">
        <f t="array" ref="V390">HLOOKUP($J390,'Type Chart'!$C$2:$T$20,3,false)*HLOOKUP($K390,'Type Chart'!$C$2:$U$20,3,false)</f>
        <v>0</v>
      </c>
      <c r="W390" s="960">
        <f t="array" ref="W390">HLOOKUP($J390,'Type Chart'!$C$2:$T$20,4,false)*HLOOKUP($K390,'Type Chart'!$C$2:$U$20,4,false)</f>
        <v>1</v>
      </c>
      <c r="X390" s="960">
        <f t="array" ref="X390">HLOOKUP($J390,'Type Chart'!$C$2:$T$20,5,false)*HLOOKUP($K390,'Type Chart'!$C$2:$U$20,5,false)</f>
        <v>0.5</v>
      </c>
      <c r="Y390" s="960">
        <f t="array" ref="Y390">HLOOKUP($J390,'Type Chart'!$C$2:$T$20,6,false)*HLOOKUP($K390,'Type Chart'!$C$2:$U$20,6,false)</f>
        <v>1</v>
      </c>
      <c r="Z390" s="960">
        <f t="array" ref="Z390">HLOOKUP($J390,'Type Chart'!$C$2:$T$20,7,false)*HLOOKUP($K390,'Type Chart'!$C$2:$U$20,7,false)</f>
        <v>1</v>
      </c>
      <c r="AA390" s="960">
        <f t="array" ref="AA390">HLOOKUP($J390,'Type Chart'!$C$2:$T$20,8,false)*HLOOKUP($K390,'Type Chart'!$C$2:$U$20,8,false)</f>
        <v>1</v>
      </c>
      <c r="AB390" s="960">
        <f t="array" ref="AB390">HLOOKUP($J390,'Type Chart'!$C$2:$T$20,9,false)*HLOOKUP($K390,'Type Chart'!$C$2:$U$20,9,false)</f>
        <v>1</v>
      </c>
      <c r="AC390" s="960">
        <f t="array" ref="AC390">HLOOKUP($J390,'Type Chart'!$C$2:$T$20,10,false)*HLOOKUP($K390,'Type Chart'!$C$2:$U$20,10,false)</f>
        <v>1</v>
      </c>
      <c r="AD390" s="960">
        <f t="array" ref="AD390">HLOOKUP($J390,'Type Chart'!$C$2:$T$20,11,false)*HLOOKUP($K390,'Type Chart'!$C$2:$U$20,11,false)</f>
        <v>1</v>
      </c>
      <c r="AE390" s="960">
        <f t="array" ref="AE390">HLOOKUP($J390,'Type Chart'!$C$2:$T$20,12,false)*HLOOKUP($K390,'Type Chart'!$C$2:$U$20,12,false)</f>
        <v>1</v>
      </c>
      <c r="AF390" s="960">
        <f t="array" ref="AF390">HLOOKUP($J390,'Type Chart'!$C$2:$T$20,13,false)*HLOOKUP($K390,'Type Chart'!$C$2:$U$20,13,false)</f>
        <v>1</v>
      </c>
      <c r="AG390" s="960">
        <f t="array" ref="AG390">HLOOKUP($J390,'Type Chart'!$C$2:$T$20,14,false)*HLOOKUP($K390,'Type Chart'!$C$2:$U$20,14,false)</f>
        <v>1</v>
      </c>
      <c r="AH390" s="960">
        <f t="array" ref="AH390">HLOOKUP($J390,'Type Chart'!$C$2:$T$20,15,false)*HLOOKUP($K390,'Type Chart'!$C$2:$U$20,15,false)</f>
        <v>0</v>
      </c>
      <c r="AI390" s="960">
        <f t="array" ref="AI390">HLOOKUP($J390,'Type Chart'!$C$2:$T$20,16,false)*HLOOKUP($K390,'Type Chart'!$C$2:$U$20,16,false)</f>
        <v>1</v>
      </c>
      <c r="AJ390" s="960">
        <f t="array" ref="AJ390">HLOOKUP($J390,'Type Chart'!$C$2:$T$20,17,false)*HLOOKUP($K390,'Type Chart'!$C$2:$U$20,17,false)</f>
        <v>1</v>
      </c>
      <c r="AK390" s="960">
        <f t="array" ref="AK390">HLOOKUP($J390,'Type Chart'!$C$2:$T$20,18,false)*HLOOKUP($K390,'Type Chart'!$C$2:$U$20,18,false)</f>
        <v>1</v>
      </c>
      <c r="AL390" s="960">
        <f t="array" ref="AL390">HLOOKUP($J390,'Type Chart'!$C$2:$T$20,19,false)*HLOOKUP($K390,'Type Chart'!$C$2:$U$20,19,false)</f>
        <v>2</v>
      </c>
      <c r="AM390" s="964" t="s">
        <v>1752</v>
      </c>
      <c r="AN390" s="965"/>
      <c r="AO390" s="966"/>
      <c r="AP390" s="936"/>
      <c r="AQ390" s="967"/>
      <c r="AR390" s="968"/>
      <c r="AS390" s="936"/>
    </row>
    <row r="391" ht="15.75" customHeight="1">
      <c r="A391" s="936"/>
      <c r="B391" s="948" t="s">
        <v>2142</v>
      </c>
      <c r="C391" s="950" t="s">
        <v>2143</v>
      </c>
      <c r="D391" s="950" t="s">
        <v>2143</v>
      </c>
      <c r="E391" s="952" t="s">
        <v>2143</v>
      </c>
      <c r="F391" s="940"/>
      <c r="G391" s="953"/>
      <c r="H391" s="969"/>
      <c r="I391" s="956" t="s">
        <v>2144</v>
      </c>
      <c r="J391" s="1206" t="s">
        <v>82</v>
      </c>
      <c r="K391" s="1207" t="s">
        <v>127</v>
      </c>
      <c r="L391" s="959">
        <v>50.0</v>
      </c>
      <c r="M391" s="960">
        <v>85.0</v>
      </c>
      <c r="N391" s="960">
        <v>85.0</v>
      </c>
      <c r="O391" s="960">
        <v>55.0</v>
      </c>
      <c r="P391" s="960">
        <v>55.0</v>
      </c>
      <c r="Q391" s="960">
        <v>50.0</v>
      </c>
      <c r="R391" s="960">
        <v>136.0</v>
      </c>
      <c r="S391" s="960">
        <v>199.0</v>
      </c>
      <c r="T391" s="960">
        <v>218.0</v>
      </c>
      <c r="U391" s="960">
        <f t="array" ref="U391">HLOOKUP($J391,'Type Chart'!$C$2:$T$20,2,false)*HLOOKUP($K391,'Type Chart'!$C$2:$U$20,2,false)</f>
        <v>0.5</v>
      </c>
      <c r="V391" s="960">
        <f t="array" ref="V391">HLOOKUP($J391,'Type Chart'!$C$2:$T$20,3,false)*HLOOKUP($K391,'Type Chart'!$C$2:$U$20,3,false)</f>
        <v>1</v>
      </c>
      <c r="W391" s="960">
        <f t="array" ref="W391">HLOOKUP($J391,'Type Chart'!$C$2:$T$20,4,false)*HLOOKUP($K391,'Type Chart'!$C$2:$U$20,4,false)</f>
        <v>0.5</v>
      </c>
      <c r="X391" s="960">
        <f t="array" ref="X391">HLOOKUP($J391,'Type Chart'!$C$2:$T$20,5,false)*HLOOKUP($K391,'Type Chart'!$C$2:$U$20,5,false)</f>
        <v>0</v>
      </c>
      <c r="Y391" s="960">
        <f t="array" ref="Y391">HLOOKUP($J391,'Type Chart'!$C$2:$T$20,6,false)*HLOOKUP($K391,'Type Chart'!$C$2:$U$20,6,false)</f>
        <v>2</v>
      </c>
      <c r="Z391" s="960">
        <f t="array" ref="Z391">HLOOKUP($J391,'Type Chart'!$C$2:$T$20,7,false)*HLOOKUP($K391,'Type Chart'!$C$2:$U$20,7,false)</f>
        <v>0.5</v>
      </c>
      <c r="AA391" s="960">
        <f t="array" ref="AA391">HLOOKUP($J391,'Type Chart'!$C$2:$T$20,8,false)*HLOOKUP($K391,'Type Chart'!$C$2:$U$20,8,false)</f>
        <v>0.25</v>
      </c>
      <c r="AB391" s="960">
        <f t="array" ref="AB391">HLOOKUP($J391,'Type Chart'!$C$2:$T$20,9,false)*HLOOKUP($K391,'Type Chart'!$C$2:$U$20,9,false)</f>
        <v>1</v>
      </c>
      <c r="AC391" s="960">
        <f t="array" ref="AC391">HLOOKUP($J391,'Type Chart'!$C$2:$T$20,10,false)*HLOOKUP($K391,'Type Chart'!$C$2:$U$20,10,false)</f>
        <v>1</v>
      </c>
      <c r="AD391" s="960">
        <f t="array" ref="AD391">HLOOKUP($J391,'Type Chart'!$C$2:$T$20,11,false)*HLOOKUP($K391,'Type Chart'!$C$2:$U$20,11,false)</f>
        <v>2</v>
      </c>
      <c r="AE391" s="960">
        <f t="array" ref="AE391">HLOOKUP($J391,'Type Chart'!$C$2:$T$20,12,false)*HLOOKUP($K391,'Type Chart'!$C$2:$U$20,12,false)</f>
        <v>1</v>
      </c>
      <c r="AF391" s="960">
        <f t="array" ref="AF391">HLOOKUP($J391,'Type Chart'!$C$2:$T$20,13,false)*HLOOKUP($K391,'Type Chart'!$C$2:$U$20,13,false)</f>
        <v>0.5</v>
      </c>
      <c r="AG391" s="960">
        <f t="array" ref="AG391">HLOOKUP($J391,'Type Chart'!$C$2:$T$20,14,false)*HLOOKUP($K391,'Type Chart'!$C$2:$U$20,14,false)</f>
        <v>1</v>
      </c>
      <c r="AH391" s="960">
        <f t="array" ref="AH391">HLOOKUP($J391,'Type Chart'!$C$2:$T$20,15,false)*HLOOKUP($K391,'Type Chart'!$C$2:$U$20,15,false)</f>
        <v>0.5</v>
      </c>
      <c r="AI391" s="960">
        <f t="array" ref="AI391">HLOOKUP($J391,'Type Chart'!$C$2:$T$20,16,false)*HLOOKUP($K391,'Type Chart'!$C$2:$U$20,16,false)</f>
        <v>0.5</v>
      </c>
      <c r="AJ391" s="960">
        <f t="array" ref="AJ391">HLOOKUP($J391,'Type Chart'!$C$2:$T$20,17,false)*HLOOKUP($K391,'Type Chart'!$C$2:$U$20,17,false)</f>
        <v>0</v>
      </c>
      <c r="AK391" s="960">
        <f t="array" ref="AK391">HLOOKUP($J391,'Type Chart'!$C$2:$T$20,18,false)*HLOOKUP($K391,'Type Chart'!$C$2:$U$20,18,false)</f>
        <v>0.5</v>
      </c>
      <c r="AL391" s="960">
        <f t="array" ref="AL391">HLOOKUP($J391,'Type Chart'!$C$2:$T$20,19,false)*HLOOKUP($K391,'Type Chart'!$C$2:$U$20,19,false)</f>
        <v>0.5</v>
      </c>
      <c r="AM391" s="964" t="s">
        <v>1461</v>
      </c>
      <c r="AN391" s="965" t="s">
        <v>1061</v>
      </c>
      <c r="AO391" s="966" t="s">
        <v>1153</v>
      </c>
      <c r="AP391" s="936"/>
      <c r="AQ391" s="967"/>
      <c r="AR391" s="968"/>
      <c r="AS391" s="936"/>
    </row>
    <row r="392" ht="15.75" customHeight="1">
      <c r="A392" s="936"/>
      <c r="B392" s="948" t="s">
        <v>2145</v>
      </c>
      <c r="C392" s="950" t="s">
        <v>2146</v>
      </c>
      <c r="D392" s="950" t="s">
        <v>2146</v>
      </c>
      <c r="E392" s="952" t="s">
        <v>2146</v>
      </c>
      <c r="F392" s="940"/>
      <c r="G392" s="953"/>
      <c r="H392" s="969"/>
      <c r="I392" s="956" t="s">
        <v>2147</v>
      </c>
      <c r="J392" s="1206" t="s">
        <v>82</v>
      </c>
      <c r="K392" s="1207" t="s">
        <v>127</v>
      </c>
      <c r="L392" s="959">
        <v>50.0</v>
      </c>
      <c r="M392" s="960">
        <v>105.0</v>
      </c>
      <c r="N392" s="960">
        <v>125.0</v>
      </c>
      <c r="O392" s="960">
        <v>55.0</v>
      </c>
      <c r="P392" s="960">
        <v>95.0</v>
      </c>
      <c r="Q392" s="960">
        <v>50.0</v>
      </c>
      <c r="R392" s="960">
        <v>136.0</v>
      </c>
      <c r="S392" s="960">
        <v>199.0</v>
      </c>
      <c r="T392" s="960">
        <v>218.0</v>
      </c>
      <c r="U392" s="960">
        <f t="array" ref="U392">HLOOKUP($J392,'Type Chart'!$C$2:$T$20,2,false)*HLOOKUP($K392,'Type Chart'!$C$2:$U$20,2,false)</f>
        <v>0.5</v>
      </c>
      <c r="V392" s="960">
        <f t="array" ref="V392">HLOOKUP($J392,'Type Chart'!$C$2:$T$20,3,false)*HLOOKUP($K392,'Type Chart'!$C$2:$U$20,3,false)</f>
        <v>1</v>
      </c>
      <c r="W392" s="960">
        <f t="array" ref="W392">HLOOKUP($J392,'Type Chart'!$C$2:$T$20,4,false)*HLOOKUP($K392,'Type Chart'!$C$2:$U$20,4,false)</f>
        <v>0.5</v>
      </c>
      <c r="X392" s="960">
        <f t="array" ref="X392">HLOOKUP($J392,'Type Chart'!$C$2:$T$20,5,false)*HLOOKUP($K392,'Type Chart'!$C$2:$U$20,5,false)</f>
        <v>0</v>
      </c>
      <c r="Y392" s="960">
        <f t="array" ref="Y392">HLOOKUP($J392,'Type Chart'!$C$2:$T$20,6,false)*HLOOKUP($K392,'Type Chart'!$C$2:$U$20,6,false)</f>
        <v>2</v>
      </c>
      <c r="Z392" s="960">
        <f t="array" ref="Z392">HLOOKUP($J392,'Type Chart'!$C$2:$T$20,7,false)*HLOOKUP($K392,'Type Chart'!$C$2:$U$20,7,false)</f>
        <v>0.5</v>
      </c>
      <c r="AA392" s="960">
        <f t="array" ref="AA392">HLOOKUP($J392,'Type Chart'!$C$2:$T$20,8,false)*HLOOKUP($K392,'Type Chart'!$C$2:$U$20,8,false)</f>
        <v>0.25</v>
      </c>
      <c r="AB392" s="960">
        <f t="array" ref="AB392">HLOOKUP($J392,'Type Chart'!$C$2:$T$20,9,false)*HLOOKUP($K392,'Type Chart'!$C$2:$U$20,9,false)</f>
        <v>1</v>
      </c>
      <c r="AC392" s="960">
        <f t="array" ref="AC392">HLOOKUP($J392,'Type Chart'!$C$2:$T$20,10,false)*HLOOKUP($K392,'Type Chart'!$C$2:$U$20,10,false)</f>
        <v>1</v>
      </c>
      <c r="AD392" s="960">
        <f t="array" ref="AD392">HLOOKUP($J392,'Type Chart'!$C$2:$T$20,11,false)*HLOOKUP($K392,'Type Chart'!$C$2:$U$20,11,false)</f>
        <v>2</v>
      </c>
      <c r="AE392" s="960">
        <f t="array" ref="AE392">HLOOKUP($J392,'Type Chart'!$C$2:$T$20,12,false)*HLOOKUP($K392,'Type Chart'!$C$2:$U$20,12,false)</f>
        <v>1</v>
      </c>
      <c r="AF392" s="960">
        <f t="array" ref="AF392">HLOOKUP($J392,'Type Chart'!$C$2:$T$20,13,false)*HLOOKUP($K392,'Type Chart'!$C$2:$U$20,13,false)</f>
        <v>0.5</v>
      </c>
      <c r="AG392" s="960">
        <f t="array" ref="AG392">HLOOKUP($J392,'Type Chart'!$C$2:$T$20,14,false)*HLOOKUP($K392,'Type Chart'!$C$2:$U$20,14,false)</f>
        <v>1</v>
      </c>
      <c r="AH392" s="960">
        <f t="array" ref="AH392">HLOOKUP($J392,'Type Chart'!$C$2:$T$20,15,false)*HLOOKUP($K392,'Type Chart'!$C$2:$U$20,15,false)</f>
        <v>0.5</v>
      </c>
      <c r="AI392" s="960">
        <f t="array" ref="AI392">HLOOKUP($J392,'Type Chart'!$C$2:$T$20,16,false)*HLOOKUP($K392,'Type Chart'!$C$2:$U$20,16,false)</f>
        <v>0.5</v>
      </c>
      <c r="AJ392" s="960">
        <f t="array" ref="AJ392">HLOOKUP($J392,'Type Chart'!$C$2:$T$20,17,false)*HLOOKUP($K392,'Type Chart'!$C$2:$U$20,17,false)</f>
        <v>0</v>
      </c>
      <c r="AK392" s="960">
        <f t="array" ref="AK392">HLOOKUP($J392,'Type Chart'!$C$2:$T$20,18,false)*HLOOKUP($K392,'Type Chart'!$C$2:$U$20,18,false)</f>
        <v>0.5</v>
      </c>
      <c r="AL392" s="960">
        <f t="array" ref="AL392">HLOOKUP($J392,'Type Chart'!$C$2:$T$20,19,false)*HLOOKUP($K392,'Type Chart'!$C$2:$U$20,19,false)</f>
        <v>0.5</v>
      </c>
      <c r="AM392" s="964" t="s">
        <v>1771</v>
      </c>
      <c r="AN392" s="965"/>
      <c r="AO392" s="966"/>
      <c r="AP392" s="936"/>
      <c r="AQ392" s="967"/>
      <c r="AR392" s="968"/>
      <c r="AS392" s="936"/>
    </row>
    <row r="393" ht="15.75" customHeight="1">
      <c r="A393" s="1099"/>
      <c r="B393" s="948" t="s">
        <v>2148</v>
      </c>
      <c r="C393" s="1197" t="s">
        <v>2149</v>
      </c>
      <c r="D393" s="1197" t="s">
        <v>2149</v>
      </c>
      <c r="E393" s="1147" t="s">
        <v>2149</v>
      </c>
      <c r="F393" s="940"/>
      <c r="G393" s="953"/>
      <c r="H393" s="969"/>
      <c r="I393" s="998" t="s">
        <v>2150</v>
      </c>
      <c r="J393" s="1233" t="s">
        <v>82</v>
      </c>
      <c r="K393" s="1222" t="s">
        <v>342</v>
      </c>
      <c r="L393" s="1200">
        <v>50.0</v>
      </c>
      <c r="M393" s="1201">
        <v>70.0</v>
      </c>
      <c r="N393" s="1201">
        <v>100.0</v>
      </c>
      <c r="O393" s="1201">
        <v>40.0</v>
      </c>
      <c r="P393" s="1201">
        <v>40.0</v>
      </c>
      <c r="Q393" s="1201">
        <v>30.0</v>
      </c>
      <c r="R393" s="960">
        <v>96.0</v>
      </c>
      <c r="S393" s="960">
        <v>159.0</v>
      </c>
      <c r="T393" s="960">
        <v>174.0</v>
      </c>
      <c r="U393" s="960">
        <f t="array" ref="U393">HLOOKUP($J393,'Type Chart'!$C$2:$T$20,2,false)*HLOOKUP($K393,'Type Chart'!$C$2:$U$20,2,false)</f>
        <v>0.25</v>
      </c>
      <c r="V393" s="960">
        <f t="array" ref="V393">HLOOKUP($J393,'Type Chart'!$C$2:$T$20,3,false)*HLOOKUP($K393,'Type Chart'!$C$2:$U$20,3,false)</f>
        <v>4</v>
      </c>
      <c r="W393" s="960">
        <f t="array" ref="W393">HLOOKUP($J393,'Type Chart'!$C$2:$T$20,4,false)*HLOOKUP($K393,'Type Chart'!$C$2:$U$20,4,false)</f>
        <v>0.25</v>
      </c>
      <c r="X393" s="960">
        <f t="array" ref="X393">HLOOKUP($J393,'Type Chart'!$C$2:$T$20,5,false)*HLOOKUP($K393,'Type Chart'!$C$2:$U$20,5,false)</f>
        <v>0</v>
      </c>
      <c r="Y393" s="960">
        <f t="array" ref="Y393">HLOOKUP($J393,'Type Chart'!$C$2:$T$20,6,false)*HLOOKUP($K393,'Type Chart'!$C$2:$U$20,6,false)</f>
        <v>4</v>
      </c>
      <c r="Z393" s="960">
        <f t="array" ref="Z393">HLOOKUP($J393,'Type Chart'!$C$2:$T$20,7,false)*HLOOKUP($K393,'Type Chart'!$C$2:$U$20,7,false)</f>
        <v>0.5</v>
      </c>
      <c r="AA393" s="960">
        <f t="array" ref="AA393">HLOOKUP($J393,'Type Chart'!$C$2:$T$20,8,false)*HLOOKUP($K393,'Type Chart'!$C$2:$U$20,8,false)</f>
        <v>0.5</v>
      </c>
      <c r="AB393" s="960">
        <f t="array" ref="AB393">HLOOKUP($J393,'Type Chart'!$C$2:$T$20,9,false)*HLOOKUP($K393,'Type Chart'!$C$2:$U$20,9,false)</f>
        <v>1</v>
      </c>
      <c r="AC393" s="960">
        <f t="array" ref="AC393">HLOOKUP($J393,'Type Chart'!$C$2:$T$20,10,false)*HLOOKUP($K393,'Type Chart'!$C$2:$U$20,10,false)</f>
        <v>1</v>
      </c>
      <c r="AD393" s="960">
        <f t="array" ref="AD393">HLOOKUP($J393,'Type Chart'!$C$2:$T$20,11,false)*HLOOKUP($K393,'Type Chart'!$C$2:$U$20,11,false)</f>
        <v>1</v>
      </c>
      <c r="AE393" s="960">
        <f t="array" ref="AE393">HLOOKUP($J393,'Type Chart'!$C$2:$T$20,12,false)*HLOOKUP($K393,'Type Chart'!$C$2:$U$20,12,false)</f>
        <v>2</v>
      </c>
      <c r="AF393" s="960">
        <f t="array" ref="AF393">HLOOKUP($J393,'Type Chart'!$C$2:$T$20,13,false)*HLOOKUP($K393,'Type Chart'!$C$2:$U$20,13,false)</f>
        <v>1</v>
      </c>
      <c r="AG393" s="960">
        <f t="array" ref="AG393">HLOOKUP($J393,'Type Chart'!$C$2:$T$20,14,false)*HLOOKUP($K393,'Type Chart'!$C$2:$U$20,14,false)</f>
        <v>1</v>
      </c>
      <c r="AH393" s="960">
        <f t="array" ref="AH393">HLOOKUP($J393,'Type Chart'!$C$2:$T$20,15,false)*HLOOKUP($K393,'Type Chart'!$C$2:$U$20,15,false)</f>
        <v>0.5</v>
      </c>
      <c r="AI393" s="960">
        <f t="array" ref="AI393">HLOOKUP($J393,'Type Chart'!$C$2:$T$20,16,false)*HLOOKUP($K393,'Type Chart'!$C$2:$U$20,16,false)</f>
        <v>0.5</v>
      </c>
      <c r="AJ393" s="960">
        <f t="array" ref="AJ393">HLOOKUP($J393,'Type Chart'!$C$2:$T$20,17,false)*HLOOKUP($K393,'Type Chart'!$C$2:$U$20,17,false)</f>
        <v>0.5</v>
      </c>
      <c r="AK393" s="960">
        <f t="array" ref="AK393">HLOOKUP($J393,'Type Chart'!$C$2:$T$20,18,false)*HLOOKUP($K393,'Type Chart'!$C$2:$U$20,18,false)</f>
        <v>1</v>
      </c>
      <c r="AL393" s="960">
        <f t="array" ref="AL393">HLOOKUP($J393,'Type Chart'!$C$2:$T$20,19,false)*HLOOKUP($K393,'Type Chart'!$C$2:$U$20,19,false)</f>
        <v>0.5</v>
      </c>
      <c r="AM393" s="1145" t="s">
        <v>1331</v>
      </c>
      <c r="AN393" s="1202" t="s">
        <v>1276</v>
      </c>
      <c r="AO393" s="1146" t="s">
        <v>2151</v>
      </c>
      <c r="AP393" s="936"/>
      <c r="AQ393" s="967"/>
      <c r="AR393" s="968"/>
      <c r="AS393" s="936"/>
    </row>
    <row r="394" ht="15.75" customHeight="1">
      <c r="A394" s="936"/>
      <c r="B394" s="948" t="s">
        <v>2152</v>
      </c>
      <c r="C394" s="950" t="s">
        <v>2153</v>
      </c>
      <c r="D394" s="950" t="s">
        <v>2153</v>
      </c>
      <c r="E394" s="952" t="s">
        <v>2153</v>
      </c>
      <c r="F394" s="940"/>
      <c r="G394" s="953"/>
      <c r="H394" s="969"/>
      <c r="I394" s="956" t="s">
        <v>2154</v>
      </c>
      <c r="J394" s="1206" t="s">
        <v>82</v>
      </c>
      <c r="K394" s="1214" t="s">
        <v>342</v>
      </c>
      <c r="L394" s="959">
        <v>60.0</v>
      </c>
      <c r="M394" s="960">
        <v>90.0</v>
      </c>
      <c r="N394" s="960">
        <v>140.0</v>
      </c>
      <c r="O394" s="960">
        <v>50.0</v>
      </c>
      <c r="P394" s="960">
        <v>50.0</v>
      </c>
      <c r="Q394" s="960">
        <v>40.0</v>
      </c>
      <c r="R394" s="960">
        <v>116.0</v>
      </c>
      <c r="S394" s="960">
        <v>179.0</v>
      </c>
      <c r="T394" s="960">
        <v>196.0</v>
      </c>
      <c r="U394" s="960">
        <f t="array" ref="U394">HLOOKUP($J394,'Type Chart'!$C$2:$T$20,2,false)*HLOOKUP($K394,'Type Chart'!$C$2:$U$20,2,false)</f>
        <v>0.25</v>
      </c>
      <c r="V394" s="960">
        <f t="array" ref="V394">HLOOKUP($J394,'Type Chart'!$C$2:$T$20,3,false)*HLOOKUP($K394,'Type Chart'!$C$2:$U$20,3,false)</f>
        <v>4</v>
      </c>
      <c r="W394" s="960">
        <f t="array" ref="W394">HLOOKUP($J394,'Type Chart'!$C$2:$T$20,4,false)*HLOOKUP($K394,'Type Chart'!$C$2:$U$20,4,false)</f>
        <v>0.25</v>
      </c>
      <c r="X394" s="960">
        <f t="array" ref="X394">HLOOKUP($J394,'Type Chart'!$C$2:$T$20,5,false)*HLOOKUP($K394,'Type Chart'!$C$2:$U$20,5,false)</f>
        <v>0</v>
      </c>
      <c r="Y394" s="960">
        <f t="array" ref="Y394">HLOOKUP($J394,'Type Chart'!$C$2:$T$20,6,false)*HLOOKUP($K394,'Type Chart'!$C$2:$U$20,6,false)</f>
        <v>4</v>
      </c>
      <c r="Z394" s="960">
        <f t="array" ref="Z394">HLOOKUP($J394,'Type Chart'!$C$2:$T$20,7,false)*HLOOKUP($K394,'Type Chart'!$C$2:$U$20,7,false)</f>
        <v>0.5</v>
      </c>
      <c r="AA394" s="960">
        <f t="array" ref="AA394">HLOOKUP($J394,'Type Chart'!$C$2:$T$20,8,false)*HLOOKUP($K394,'Type Chart'!$C$2:$U$20,8,false)</f>
        <v>0.5</v>
      </c>
      <c r="AB394" s="960">
        <f t="array" ref="AB394">HLOOKUP($J394,'Type Chart'!$C$2:$T$20,9,false)*HLOOKUP($K394,'Type Chart'!$C$2:$U$20,9,false)</f>
        <v>1</v>
      </c>
      <c r="AC394" s="960">
        <f t="array" ref="AC394">HLOOKUP($J394,'Type Chart'!$C$2:$T$20,10,false)*HLOOKUP($K394,'Type Chart'!$C$2:$U$20,10,false)</f>
        <v>1</v>
      </c>
      <c r="AD394" s="960">
        <f t="array" ref="AD394">HLOOKUP($J394,'Type Chart'!$C$2:$T$20,11,false)*HLOOKUP($K394,'Type Chart'!$C$2:$U$20,11,false)</f>
        <v>1</v>
      </c>
      <c r="AE394" s="960">
        <f t="array" ref="AE394">HLOOKUP($J394,'Type Chart'!$C$2:$T$20,12,false)*HLOOKUP($K394,'Type Chart'!$C$2:$U$20,12,false)</f>
        <v>2</v>
      </c>
      <c r="AF394" s="960">
        <f t="array" ref="AF394">HLOOKUP($J394,'Type Chart'!$C$2:$T$20,13,false)*HLOOKUP($K394,'Type Chart'!$C$2:$U$20,13,false)</f>
        <v>1</v>
      </c>
      <c r="AG394" s="960">
        <f t="array" ref="AG394">HLOOKUP($J394,'Type Chart'!$C$2:$T$20,14,false)*HLOOKUP($K394,'Type Chart'!$C$2:$U$20,14,false)</f>
        <v>1</v>
      </c>
      <c r="AH394" s="960">
        <f t="array" ref="AH394">HLOOKUP($J394,'Type Chart'!$C$2:$T$20,15,false)*HLOOKUP($K394,'Type Chart'!$C$2:$U$20,15,false)</f>
        <v>0.5</v>
      </c>
      <c r="AI394" s="960">
        <f t="array" ref="AI394">HLOOKUP($J394,'Type Chart'!$C$2:$T$20,16,false)*HLOOKUP($K394,'Type Chart'!$C$2:$U$20,16,false)</f>
        <v>0.5</v>
      </c>
      <c r="AJ394" s="960">
        <f t="array" ref="AJ394">HLOOKUP($J394,'Type Chart'!$C$2:$T$20,17,false)*HLOOKUP($K394,'Type Chart'!$C$2:$U$20,17,false)</f>
        <v>0.5</v>
      </c>
      <c r="AK394" s="960">
        <f t="array" ref="AK394">HLOOKUP($J394,'Type Chart'!$C$2:$T$20,18,false)*HLOOKUP($K394,'Type Chart'!$C$2:$U$20,18,false)</f>
        <v>1</v>
      </c>
      <c r="AL394" s="960">
        <f t="array" ref="AL394">HLOOKUP($J394,'Type Chart'!$C$2:$T$20,19,false)*HLOOKUP($K394,'Type Chart'!$C$2:$U$20,19,false)</f>
        <v>0.5</v>
      </c>
      <c r="AM394" s="964" t="s">
        <v>1331</v>
      </c>
      <c r="AN394" s="965" t="s">
        <v>1276</v>
      </c>
      <c r="AO394" s="966" t="s">
        <v>2151</v>
      </c>
      <c r="AP394" s="936"/>
      <c r="AQ394" s="967"/>
      <c r="AR394" s="968"/>
      <c r="AS394" s="936"/>
    </row>
    <row r="395" ht="15.75" customHeight="1">
      <c r="A395" s="936"/>
      <c r="B395" s="948" t="s">
        <v>2155</v>
      </c>
      <c r="C395" s="950" t="s">
        <v>2156</v>
      </c>
      <c r="D395" s="950" t="s">
        <v>2156</v>
      </c>
      <c r="E395" s="952" t="s">
        <v>2156</v>
      </c>
      <c r="F395" s="940"/>
      <c r="G395" s="953"/>
      <c r="H395" s="969"/>
      <c r="I395" s="956" t="s">
        <v>2157</v>
      </c>
      <c r="J395" s="1206" t="s">
        <v>82</v>
      </c>
      <c r="K395" s="1214" t="s">
        <v>342</v>
      </c>
      <c r="L395" s="959">
        <v>70.0</v>
      </c>
      <c r="M395" s="960">
        <v>110.0</v>
      </c>
      <c r="N395" s="960">
        <v>180.0</v>
      </c>
      <c r="O395" s="960">
        <v>60.0</v>
      </c>
      <c r="P395" s="960">
        <v>60.0</v>
      </c>
      <c r="Q395" s="960">
        <v>50.0</v>
      </c>
      <c r="R395" s="960">
        <v>136.0</v>
      </c>
      <c r="S395" s="960">
        <v>199.0</v>
      </c>
      <c r="T395" s="960">
        <v>218.0</v>
      </c>
      <c r="U395" s="960">
        <f t="array" ref="U395">HLOOKUP($J395,'Type Chart'!$C$2:$T$20,2,false)*HLOOKUP($K395,'Type Chart'!$C$2:$U$20,2,false)</f>
        <v>0.25</v>
      </c>
      <c r="V395" s="960">
        <f t="array" ref="V395">HLOOKUP($J395,'Type Chart'!$C$2:$T$20,3,false)*HLOOKUP($K395,'Type Chart'!$C$2:$U$20,3,false)</f>
        <v>4</v>
      </c>
      <c r="W395" s="960">
        <f t="array" ref="W395">HLOOKUP($J395,'Type Chart'!$C$2:$T$20,4,false)*HLOOKUP($K395,'Type Chart'!$C$2:$U$20,4,false)</f>
        <v>0.25</v>
      </c>
      <c r="X395" s="960">
        <f t="array" ref="X395">HLOOKUP($J395,'Type Chart'!$C$2:$T$20,5,false)*HLOOKUP($K395,'Type Chart'!$C$2:$U$20,5,false)</f>
        <v>0</v>
      </c>
      <c r="Y395" s="960">
        <f t="array" ref="Y395">HLOOKUP($J395,'Type Chart'!$C$2:$T$20,6,false)*HLOOKUP($K395,'Type Chart'!$C$2:$U$20,6,false)</f>
        <v>4</v>
      </c>
      <c r="Z395" s="960">
        <f t="array" ref="Z395">HLOOKUP($J395,'Type Chart'!$C$2:$T$20,7,false)*HLOOKUP($K395,'Type Chart'!$C$2:$U$20,7,false)</f>
        <v>0.5</v>
      </c>
      <c r="AA395" s="960">
        <f t="array" ref="AA395">HLOOKUP($J395,'Type Chart'!$C$2:$T$20,8,false)*HLOOKUP($K395,'Type Chart'!$C$2:$U$20,8,false)</f>
        <v>0.5</v>
      </c>
      <c r="AB395" s="960">
        <f t="array" ref="AB395">HLOOKUP($J395,'Type Chart'!$C$2:$T$20,9,false)*HLOOKUP($K395,'Type Chart'!$C$2:$U$20,9,false)</f>
        <v>1</v>
      </c>
      <c r="AC395" s="960">
        <f t="array" ref="AC395">HLOOKUP($J395,'Type Chart'!$C$2:$T$20,10,false)*HLOOKUP($K395,'Type Chart'!$C$2:$U$20,10,false)</f>
        <v>1</v>
      </c>
      <c r="AD395" s="960">
        <f t="array" ref="AD395">HLOOKUP($J395,'Type Chart'!$C$2:$T$20,11,false)*HLOOKUP($K395,'Type Chart'!$C$2:$U$20,11,false)</f>
        <v>1</v>
      </c>
      <c r="AE395" s="960">
        <f t="array" ref="AE395">HLOOKUP($J395,'Type Chart'!$C$2:$T$20,12,false)*HLOOKUP($K395,'Type Chart'!$C$2:$U$20,12,false)</f>
        <v>2</v>
      </c>
      <c r="AF395" s="960">
        <f t="array" ref="AF395">HLOOKUP($J395,'Type Chart'!$C$2:$T$20,13,false)*HLOOKUP($K395,'Type Chart'!$C$2:$U$20,13,false)</f>
        <v>1</v>
      </c>
      <c r="AG395" s="960">
        <f t="array" ref="AG395">HLOOKUP($J395,'Type Chart'!$C$2:$T$20,14,false)*HLOOKUP($K395,'Type Chart'!$C$2:$U$20,14,false)</f>
        <v>1</v>
      </c>
      <c r="AH395" s="960">
        <f t="array" ref="AH395">HLOOKUP($J395,'Type Chart'!$C$2:$T$20,15,false)*HLOOKUP($K395,'Type Chart'!$C$2:$U$20,15,false)</f>
        <v>0.5</v>
      </c>
      <c r="AI395" s="960">
        <f t="array" ref="AI395">HLOOKUP($J395,'Type Chart'!$C$2:$T$20,16,false)*HLOOKUP($K395,'Type Chart'!$C$2:$U$20,16,false)</f>
        <v>0.5</v>
      </c>
      <c r="AJ395" s="960">
        <f t="array" ref="AJ395">HLOOKUP($J395,'Type Chart'!$C$2:$T$20,17,false)*HLOOKUP($K395,'Type Chart'!$C$2:$U$20,17,false)</f>
        <v>0.5</v>
      </c>
      <c r="AK395" s="960">
        <f t="array" ref="AK395">HLOOKUP($J395,'Type Chart'!$C$2:$T$20,18,false)*HLOOKUP($K395,'Type Chart'!$C$2:$U$20,18,false)</f>
        <v>1</v>
      </c>
      <c r="AL395" s="960">
        <f t="array" ref="AL395">HLOOKUP($J395,'Type Chart'!$C$2:$T$20,19,false)*HLOOKUP($K395,'Type Chart'!$C$2:$U$20,19,false)</f>
        <v>0.5</v>
      </c>
      <c r="AM395" s="964" t="s">
        <v>1331</v>
      </c>
      <c r="AN395" s="965" t="s">
        <v>1276</v>
      </c>
      <c r="AO395" s="966" t="s">
        <v>2151</v>
      </c>
      <c r="AP395" s="936"/>
      <c r="AQ395" s="967"/>
      <c r="AR395" s="968"/>
      <c r="AS395" s="936"/>
    </row>
    <row r="396" ht="15.75" customHeight="1">
      <c r="A396" s="936"/>
      <c r="B396" s="948" t="s">
        <v>2158</v>
      </c>
      <c r="C396" s="950" t="s">
        <v>2159</v>
      </c>
      <c r="D396" s="950" t="s">
        <v>2159</v>
      </c>
      <c r="E396" s="952" t="s">
        <v>2159</v>
      </c>
      <c r="F396" s="940"/>
      <c r="G396" s="953"/>
      <c r="H396" s="969"/>
      <c r="I396" s="998" t="s">
        <v>2160</v>
      </c>
      <c r="J396" s="1206" t="s">
        <v>82</v>
      </c>
      <c r="K396" s="984" t="s">
        <v>216</v>
      </c>
      <c r="L396" s="959">
        <v>70.0</v>
      </c>
      <c r="M396" s="960">
        <v>140.0</v>
      </c>
      <c r="N396" s="960">
        <v>230.0</v>
      </c>
      <c r="O396" s="960">
        <v>60.0</v>
      </c>
      <c r="P396" s="960">
        <v>80.0</v>
      </c>
      <c r="Q396" s="960">
        <v>50.0</v>
      </c>
      <c r="R396" s="960">
        <v>136.0</v>
      </c>
      <c r="S396" s="960">
        <v>199.0</v>
      </c>
      <c r="T396" s="960">
        <v>218.0</v>
      </c>
      <c r="U396" s="960">
        <f t="array" ref="U396">HLOOKUP($J396,'Type Chart'!$C$2:$T$20,2,false)*HLOOKUP($K396,'Type Chart'!$C$2:$U$20,2,false)</f>
        <v>0.5</v>
      </c>
      <c r="V396" s="960">
        <f t="array" ref="V396">HLOOKUP($J396,'Type Chart'!$C$2:$T$20,3,false)*HLOOKUP($K396,'Type Chart'!$C$2:$U$20,3,false)</f>
        <v>2</v>
      </c>
      <c r="W396" s="960">
        <f t="array" ref="W396">HLOOKUP($J396,'Type Chart'!$C$2:$T$20,4,false)*HLOOKUP($K396,'Type Chart'!$C$2:$U$20,4,false)</f>
        <v>0.5</v>
      </c>
      <c r="X396" s="960">
        <f t="array" ref="X396">HLOOKUP($J396,'Type Chart'!$C$2:$T$20,5,false)*HLOOKUP($K396,'Type Chart'!$C$2:$U$20,5,false)</f>
        <v>0</v>
      </c>
      <c r="Y396" s="960">
        <f t="array" ref="Y396">HLOOKUP($J396,'Type Chart'!$C$2:$T$20,6,false)*HLOOKUP($K396,'Type Chart'!$C$2:$U$20,6,false)</f>
        <v>2</v>
      </c>
      <c r="Z396" s="960">
        <f t="array" ref="Z396">HLOOKUP($J396,'Type Chart'!$C$2:$T$20,7,false)*HLOOKUP($K396,'Type Chart'!$C$2:$U$20,7,false)</f>
        <v>0.5</v>
      </c>
      <c r="AA396" s="960">
        <f t="array" ref="AA396">HLOOKUP($J396,'Type Chart'!$C$2:$T$20,8,false)*HLOOKUP($K396,'Type Chart'!$C$2:$U$20,8,false)</f>
        <v>0.5</v>
      </c>
      <c r="AB396" s="960">
        <f t="array" ref="AB396">HLOOKUP($J396,'Type Chart'!$C$2:$T$20,9,false)*HLOOKUP($K396,'Type Chart'!$C$2:$U$20,9,false)</f>
        <v>1</v>
      </c>
      <c r="AC396" s="960">
        <f t="array" ref="AC396">HLOOKUP($J396,'Type Chart'!$C$2:$T$20,10,false)*HLOOKUP($K396,'Type Chart'!$C$2:$U$20,10,false)</f>
        <v>0.5</v>
      </c>
      <c r="AD396" s="960">
        <f t="array" ref="AD396">HLOOKUP($J396,'Type Chart'!$C$2:$T$20,11,false)*HLOOKUP($K396,'Type Chart'!$C$2:$U$20,11,false)</f>
        <v>2</v>
      </c>
      <c r="AE396" s="960">
        <f t="array" ref="AE396">HLOOKUP($J396,'Type Chart'!$C$2:$T$20,12,false)*HLOOKUP($K396,'Type Chart'!$C$2:$U$20,12,false)</f>
        <v>1</v>
      </c>
      <c r="AF396" s="960">
        <f t="array" ref="AF396">HLOOKUP($J396,'Type Chart'!$C$2:$T$20,13,false)*HLOOKUP($K396,'Type Chart'!$C$2:$U$20,13,false)</f>
        <v>0.5</v>
      </c>
      <c r="AG396" s="960">
        <f t="array" ref="AG396">HLOOKUP($J396,'Type Chart'!$C$2:$T$20,14,false)*HLOOKUP($K396,'Type Chart'!$C$2:$U$20,14,false)</f>
        <v>1</v>
      </c>
      <c r="AH396" s="960">
        <f t="array" ref="AH396">HLOOKUP($J396,'Type Chart'!$C$2:$T$20,15,false)*HLOOKUP($K396,'Type Chart'!$C$2:$U$20,15,false)</f>
        <v>0.5</v>
      </c>
      <c r="AI396" s="960">
        <f t="array" ref="AI396">HLOOKUP($J396,'Type Chart'!$C$2:$T$20,16,false)*HLOOKUP($K396,'Type Chart'!$C$2:$U$20,16,false)</f>
        <v>0.5</v>
      </c>
      <c r="AJ396" s="960">
        <f t="array" ref="AJ396">HLOOKUP($J396,'Type Chart'!$C$2:$T$20,17,false)*HLOOKUP($K396,'Type Chart'!$C$2:$U$20,17,false)</f>
        <v>0.5</v>
      </c>
      <c r="AK396" s="960">
        <f t="array" ref="AK396">HLOOKUP($J396,'Type Chart'!$C$2:$T$20,18,false)*HLOOKUP($K396,'Type Chart'!$C$2:$U$20,18,false)</f>
        <v>1</v>
      </c>
      <c r="AL396" s="960">
        <f t="array" ref="AL396">HLOOKUP($J396,'Type Chart'!$C$2:$T$20,19,false)*HLOOKUP($K396,'Type Chart'!$C$2:$U$20,19,false)</f>
        <v>0.5</v>
      </c>
      <c r="AM396" s="1145" t="s">
        <v>1557</v>
      </c>
      <c r="AN396" s="965"/>
      <c r="AO396" s="966"/>
      <c r="AP396" s="936"/>
      <c r="AQ396" s="967"/>
      <c r="AR396" s="968"/>
      <c r="AS396" s="936"/>
    </row>
    <row r="397" ht="15.75" customHeight="1">
      <c r="A397" s="936"/>
      <c r="B397" s="948" t="s">
        <v>2161</v>
      </c>
      <c r="C397" s="950" t="s">
        <v>2162</v>
      </c>
      <c r="D397" s="950" t="s">
        <v>2162</v>
      </c>
      <c r="E397" s="952" t="s">
        <v>2162</v>
      </c>
      <c r="F397" s="940"/>
      <c r="G397" s="953"/>
      <c r="H397" s="969"/>
      <c r="I397" s="998" t="s">
        <v>847</v>
      </c>
      <c r="J397" s="1213" t="s">
        <v>341</v>
      </c>
      <c r="K397" s="1203" t="s">
        <v>344</v>
      </c>
      <c r="L397" s="959">
        <v>30.0</v>
      </c>
      <c r="M397" s="960">
        <v>40.0</v>
      </c>
      <c r="N397" s="960">
        <v>55.0</v>
      </c>
      <c r="O397" s="960">
        <v>40.0</v>
      </c>
      <c r="P397" s="960">
        <v>55.0</v>
      </c>
      <c r="Q397" s="960">
        <v>60.0</v>
      </c>
      <c r="R397" s="960">
        <v>156.0</v>
      </c>
      <c r="S397" s="960">
        <v>219.0</v>
      </c>
      <c r="T397" s="960">
        <v>240.0</v>
      </c>
      <c r="U397" s="960">
        <f t="array" ref="U397">HLOOKUP($J397,'Type Chart'!$C$2:$T$20,2,false)*HLOOKUP($K397,'Type Chart'!$C$2:$U$20,2,false)</f>
        <v>1</v>
      </c>
      <c r="V397" s="960">
        <f t="array" ref="V397">HLOOKUP($J397,'Type Chart'!$C$2:$T$20,3,false)*HLOOKUP($K397,'Type Chart'!$C$2:$U$20,3,false)</f>
        <v>0.5</v>
      </c>
      <c r="W397" s="960">
        <f t="array" ref="W397">HLOOKUP($J397,'Type Chart'!$C$2:$T$20,4,false)*HLOOKUP($K397,'Type Chart'!$C$2:$U$20,4,false)</f>
        <v>2</v>
      </c>
      <c r="X397" s="960">
        <f t="array" ref="X397">HLOOKUP($J397,'Type Chart'!$C$2:$T$20,5,false)*HLOOKUP($K397,'Type Chart'!$C$2:$U$20,5,false)</f>
        <v>1</v>
      </c>
      <c r="Y397" s="960">
        <f t="array" ref="Y397">HLOOKUP($J397,'Type Chart'!$C$2:$T$20,6,false)*HLOOKUP($K397,'Type Chart'!$C$2:$U$20,6,false)</f>
        <v>1</v>
      </c>
      <c r="Z397" s="960">
        <f t="array" ref="Z397">HLOOKUP($J397,'Type Chart'!$C$2:$T$20,7,false)*HLOOKUP($K397,'Type Chart'!$C$2:$U$20,7,false)</f>
        <v>0.5</v>
      </c>
      <c r="AA397" s="960">
        <f t="array" ref="AA397">HLOOKUP($J397,'Type Chart'!$C$2:$T$20,8,false)*HLOOKUP($K397,'Type Chart'!$C$2:$U$20,8,false)</f>
        <v>1</v>
      </c>
      <c r="AB397" s="960">
        <f t="array" ref="AB397">HLOOKUP($J397,'Type Chart'!$C$2:$T$20,9,false)*HLOOKUP($K397,'Type Chart'!$C$2:$U$20,9,false)</f>
        <v>2</v>
      </c>
      <c r="AC397" s="960">
        <f t="array" ref="AC397">HLOOKUP($J397,'Type Chart'!$C$2:$T$20,10,false)*HLOOKUP($K397,'Type Chart'!$C$2:$U$20,10,false)</f>
        <v>1</v>
      </c>
      <c r="AD397" s="960">
        <f t="array" ref="AD397">HLOOKUP($J397,'Type Chart'!$C$2:$T$20,11,false)*HLOOKUP($K397,'Type Chart'!$C$2:$U$20,11,false)</f>
        <v>1</v>
      </c>
      <c r="AE397" s="960">
        <f t="array" ref="AE397">HLOOKUP($J397,'Type Chart'!$C$2:$T$20,12,false)*HLOOKUP($K397,'Type Chart'!$C$2:$U$20,12,false)</f>
        <v>1</v>
      </c>
      <c r="AF397" s="960">
        <f t="array" ref="AF397">HLOOKUP($J397,'Type Chart'!$C$2:$T$20,13,false)*HLOOKUP($K397,'Type Chart'!$C$2:$U$20,13,false)</f>
        <v>1</v>
      </c>
      <c r="AG397" s="960">
        <f t="array" ref="AG397">HLOOKUP($J397,'Type Chart'!$C$2:$T$20,14,false)*HLOOKUP($K397,'Type Chart'!$C$2:$U$20,14,false)</f>
        <v>1</v>
      </c>
      <c r="AH397" s="960">
        <f t="array" ref="AH397">HLOOKUP($J397,'Type Chart'!$C$2:$T$20,15,false)*HLOOKUP($K397,'Type Chart'!$C$2:$U$20,15,false)</f>
        <v>1</v>
      </c>
      <c r="AI397" s="960">
        <f t="array" ref="AI397">HLOOKUP($J397,'Type Chart'!$C$2:$T$20,16,false)*HLOOKUP($K397,'Type Chart'!$C$2:$U$20,16,false)</f>
        <v>1</v>
      </c>
      <c r="AJ397" s="960">
        <f t="array" ref="AJ397">HLOOKUP($J397,'Type Chart'!$C$2:$T$20,17,false)*HLOOKUP($K397,'Type Chart'!$C$2:$U$20,17,false)</f>
        <v>1</v>
      </c>
      <c r="AK397" s="960">
        <f t="array" ref="AK397">HLOOKUP($J397,'Type Chart'!$C$2:$T$20,18,false)*HLOOKUP($K397,'Type Chart'!$C$2:$U$20,18,false)</f>
        <v>1</v>
      </c>
      <c r="AL397" s="960">
        <f t="array" ref="AL397">HLOOKUP($J397,'Type Chart'!$C$2:$T$20,19,false)*HLOOKUP($K397,'Type Chart'!$C$2:$U$20,19,false)</f>
        <v>2</v>
      </c>
      <c r="AM397" s="1145" t="s">
        <v>2163</v>
      </c>
      <c r="AN397" s="965"/>
      <c r="AO397" s="966" t="s">
        <v>1828</v>
      </c>
      <c r="AP397" s="936"/>
      <c r="AQ397" s="967"/>
      <c r="AR397" s="968"/>
      <c r="AS397" s="936"/>
    </row>
    <row r="398" ht="15.75" customHeight="1">
      <c r="A398" s="936"/>
      <c r="B398" s="948" t="s">
        <v>2164</v>
      </c>
      <c r="C398" s="950" t="s">
        <v>2165</v>
      </c>
      <c r="D398" s="950" t="s">
        <v>2165</v>
      </c>
      <c r="E398" s="952" t="s">
        <v>2165</v>
      </c>
      <c r="F398" s="940"/>
      <c r="G398" s="953"/>
      <c r="H398" s="969"/>
      <c r="I398" s="998" t="s">
        <v>627</v>
      </c>
      <c r="J398" s="1213" t="s">
        <v>341</v>
      </c>
      <c r="K398" s="1203" t="s">
        <v>344</v>
      </c>
      <c r="L398" s="959">
        <v>60.0</v>
      </c>
      <c r="M398" s="960">
        <v>60.0</v>
      </c>
      <c r="N398" s="960">
        <v>75.0</v>
      </c>
      <c r="O398" s="960">
        <v>60.0</v>
      </c>
      <c r="P398" s="960">
        <v>75.0</v>
      </c>
      <c r="Q398" s="960">
        <v>80.0</v>
      </c>
      <c r="R398" s="960">
        <v>196.0</v>
      </c>
      <c r="S398" s="960">
        <v>259.0</v>
      </c>
      <c r="T398" s="960">
        <v>284.0</v>
      </c>
      <c r="U398" s="960">
        <f t="array" ref="U398">HLOOKUP($J398,'Type Chart'!$C$2:$T$20,2,false)*HLOOKUP($K398,'Type Chart'!$C$2:$U$20,2,false)</f>
        <v>1</v>
      </c>
      <c r="V398" s="960">
        <f t="array" ref="V398">HLOOKUP($J398,'Type Chart'!$C$2:$T$20,3,false)*HLOOKUP($K398,'Type Chart'!$C$2:$U$20,3,false)</f>
        <v>0.5</v>
      </c>
      <c r="W398" s="960">
        <f t="array" ref="W398">HLOOKUP($J398,'Type Chart'!$C$2:$T$20,4,false)*HLOOKUP($K398,'Type Chart'!$C$2:$U$20,4,false)</f>
        <v>2</v>
      </c>
      <c r="X398" s="960">
        <f t="array" ref="X398">HLOOKUP($J398,'Type Chart'!$C$2:$T$20,5,false)*HLOOKUP($K398,'Type Chart'!$C$2:$U$20,5,false)</f>
        <v>1</v>
      </c>
      <c r="Y398" s="960">
        <f t="array" ref="Y398">HLOOKUP($J398,'Type Chart'!$C$2:$T$20,6,false)*HLOOKUP($K398,'Type Chart'!$C$2:$U$20,6,false)</f>
        <v>1</v>
      </c>
      <c r="Z398" s="960">
        <f t="array" ref="Z398">HLOOKUP($J398,'Type Chart'!$C$2:$T$20,7,false)*HLOOKUP($K398,'Type Chart'!$C$2:$U$20,7,false)</f>
        <v>0.5</v>
      </c>
      <c r="AA398" s="960">
        <f t="array" ref="AA398">HLOOKUP($J398,'Type Chart'!$C$2:$T$20,8,false)*HLOOKUP($K398,'Type Chart'!$C$2:$U$20,8,false)</f>
        <v>1</v>
      </c>
      <c r="AB398" s="960">
        <f t="array" ref="AB398">HLOOKUP($J398,'Type Chart'!$C$2:$T$20,9,false)*HLOOKUP($K398,'Type Chart'!$C$2:$U$20,9,false)</f>
        <v>2</v>
      </c>
      <c r="AC398" s="960">
        <f t="array" ref="AC398">HLOOKUP($J398,'Type Chart'!$C$2:$T$20,10,false)*HLOOKUP($K398,'Type Chart'!$C$2:$U$20,10,false)</f>
        <v>1</v>
      </c>
      <c r="AD398" s="960">
        <f t="array" ref="AD398">HLOOKUP($J398,'Type Chart'!$C$2:$T$20,11,false)*HLOOKUP($K398,'Type Chart'!$C$2:$U$20,11,false)</f>
        <v>1</v>
      </c>
      <c r="AE398" s="960">
        <f t="array" ref="AE398">HLOOKUP($J398,'Type Chart'!$C$2:$T$20,12,false)*HLOOKUP($K398,'Type Chart'!$C$2:$U$20,12,false)</f>
        <v>1</v>
      </c>
      <c r="AF398" s="960">
        <f t="array" ref="AF398">HLOOKUP($J398,'Type Chart'!$C$2:$T$20,13,false)*HLOOKUP($K398,'Type Chart'!$C$2:$U$20,13,false)</f>
        <v>1</v>
      </c>
      <c r="AG398" s="960">
        <f t="array" ref="AG398">HLOOKUP($J398,'Type Chart'!$C$2:$T$20,14,false)*HLOOKUP($K398,'Type Chart'!$C$2:$U$20,14,false)</f>
        <v>1</v>
      </c>
      <c r="AH398" s="960">
        <f t="array" ref="AH398">HLOOKUP($J398,'Type Chart'!$C$2:$T$20,15,false)*HLOOKUP($K398,'Type Chart'!$C$2:$U$20,15,false)</f>
        <v>1</v>
      </c>
      <c r="AI398" s="960">
        <f t="array" ref="AI398">HLOOKUP($J398,'Type Chart'!$C$2:$T$20,16,false)*HLOOKUP($K398,'Type Chart'!$C$2:$U$20,16,false)</f>
        <v>1</v>
      </c>
      <c r="AJ398" s="960">
        <f t="array" ref="AJ398">HLOOKUP($J398,'Type Chart'!$C$2:$T$20,17,false)*HLOOKUP($K398,'Type Chart'!$C$2:$U$20,17,false)</f>
        <v>1</v>
      </c>
      <c r="AK398" s="960">
        <f t="array" ref="AK398">HLOOKUP($J398,'Type Chart'!$C$2:$T$20,18,false)*HLOOKUP($K398,'Type Chart'!$C$2:$U$20,18,false)</f>
        <v>1</v>
      </c>
      <c r="AL398" s="960">
        <f t="array" ref="AL398">HLOOKUP($J398,'Type Chart'!$C$2:$T$20,19,false)*HLOOKUP($K398,'Type Chart'!$C$2:$U$20,19,false)</f>
        <v>2</v>
      </c>
      <c r="AM398" s="1145" t="s">
        <v>2163</v>
      </c>
      <c r="AN398" s="965"/>
      <c r="AO398" s="966" t="s">
        <v>1828</v>
      </c>
      <c r="AP398" s="936"/>
      <c r="AQ398" s="967"/>
      <c r="AR398" s="968"/>
      <c r="AS398" s="936"/>
    </row>
    <row r="399" ht="15.75" customHeight="1">
      <c r="A399" s="936"/>
      <c r="B399" s="948" t="s">
        <v>2166</v>
      </c>
      <c r="C399" s="950" t="s">
        <v>2167</v>
      </c>
      <c r="D399" s="950" t="s">
        <v>2167</v>
      </c>
      <c r="E399" s="952" t="s">
        <v>2167</v>
      </c>
      <c r="F399" s="940"/>
      <c r="G399" s="953"/>
      <c r="H399" s="969"/>
      <c r="I399" s="998" t="s">
        <v>2168</v>
      </c>
      <c r="J399" s="1213" t="s">
        <v>341</v>
      </c>
      <c r="K399" s="1203" t="s">
        <v>344</v>
      </c>
      <c r="L399" s="959">
        <v>60.0</v>
      </c>
      <c r="M399" s="960">
        <v>100.0</v>
      </c>
      <c r="N399" s="960">
        <v>85.0</v>
      </c>
      <c r="O399" s="960">
        <v>80.0</v>
      </c>
      <c r="P399" s="960">
        <v>85.0</v>
      </c>
      <c r="Q399" s="960">
        <v>100.0</v>
      </c>
      <c r="R399" s="960">
        <v>236.0</v>
      </c>
      <c r="S399" s="960">
        <v>299.0</v>
      </c>
      <c r="T399" s="960">
        <v>328.0</v>
      </c>
      <c r="U399" s="960">
        <f t="array" ref="U399">HLOOKUP($J399,'Type Chart'!$C$2:$T$20,2,false)*HLOOKUP($K399,'Type Chart'!$C$2:$U$20,2,false)</f>
        <v>1</v>
      </c>
      <c r="V399" s="960">
        <f t="array" ref="V399">HLOOKUP($J399,'Type Chart'!$C$2:$T$20,3,false)*HLOOKUP($K399,'Type Chart'!$C$2:$U$20,3,false)</f>
        <v>0.5</v>
      </c>
      <c r="W399" s="960">
        <f t="array" ref="W399">HLOOKUP($J399,'Type Chart'!$C$2:$T$20,4,false)*HLOOKUP($K399,'Type Chart'!$C$2:$U$20,4,false)</f>
        <v>2</v>
      </c>
      <c r="X399" s="960">
        <f t="array" ref="X399">HLOOKUP($J399,'Type Chart'!$C$2:$T$20,5,false)*HLOOKUP($K399,'Type Chart'!$C$2:$U$20,5,false)</f>
        <v>1</v>
      </c>
      <c r="Y399" s="960">
        <f t="array" ref="Y399">HLOOKUP($J399,'Type Chart'!$C$2:$T$20,6,false)*HLOOKUP($K399,'Type Chart'!$C$2:$U$20,6,false)</f>
        <v>1</v>
      </c>
      <c r="Z399" s="960">
        <f t="array" ref="Z399">HLOOKUP($J399,'Type Chart'!$C$2:$T$20,7,false)*HLOOKUP($K399,'Type Chart'!$C$2:$U$20,7,false)</f>
        <v>0.5</v>
      </c>
      <c r="AA399" s="960">
        <f t="array" ref="AA399">HLOOKUP($J399,'Type Chart'!$C$2:$T$20,8,false)*HLOOKUP($K399,'Type Chart'!$C$2:$U$20,8,false)</f>
        <v>1</v>
      </c>
      <c r="AB399" s="960">
        <f t="array" ref="AB399">HLOOKUP($J399,'Type Chart'!$C$2:$T$20,9,false)*HLOOKUP($K399,'Type Chart'!$C$2:$U$20,9,false)</f>
        <v>2</v>
      </c>
      <c r="AC399" s="960">
        <f t="array" ref="AC399">HLOOKUP($J399,'Type Chart'!$C$2:$T$20,10,false)*HLOOKUP($K399,'Type Chart'!$C$2:$U$20,10,false)</f>
        <v>1</v>
      </c>
      <c r="AD399" s="960">
        <f t="array" ref="AD399">HLOOKUP($J399,'Type Chart'!$C$2:$T$20,11,false)*HLOOKUP($K399,'Type Chart'!$C$2:$U$20,11,false)</f>
        <v>1</v>
      </c>
      <c r="AE399" s="960">
        <f t="array" ref="AE399">HLOOKUP($J399,'Type Chart'!$C$2:$T$20,12,false)*HLOOKUP($K399,'Type Chart'!$C$2:$U$20,12,false)</f>
        <v>1</v>
      </c>
      <c r="AF399" s="960">
        <f t="array" ref="AF399">HLOOKUP($J399,'Type Chart'!$C$2:$T$20,13,false)*HLOOKUP($K399,'Type Chart'!$C$2:$U$20,13,false)</f>
        <v>1</v>
      </c>
      <c r="AG399" s="960">
        <f t="array" ref="AG399">HLOOKUP($J399,'Type Chart'!$C$2:$T$20,14,false)*HLOOKUP($K399,'Type Chart'!$C$2:$U$20,14,false)</f>
        <v>1</v>
      </c>
      <c r="AH399" s="960">
        <f t="array" ref="AH399">HLOOKUP($J399,'Type Chart'!$C$2:$T$20,15,false)*HLOOKUP($K399,'Type Chart'!$C$2:$U$20,15,false)</f>
        <v>1</v>
      </c>
      <c r="AI399" s="960">
        <f t="array" ref="AI399">HLOOKUP($J399,'Type Chart'!$C$2:$T$20,16,false)*HLOOKUP($K399,'Type Chart'!$C$2:$U$20,16,false)</f>
        <v>1</v>
      </c>
      <c r="AJ399" s="960">
        <f t="array" ref="AJ399">HLOOKUP($J399,'Type Chart'!$C$2:$T$20,17,false)*HLOOKUP($K399,'Type Chart'!$C$2:$U$20,17,false)</f>
        <v>1</v>
      </c>
      <c r="AK399" s="960">
        <f t="array" ref="AK399">HLOOKUP($J399,'Type Chart'!$C$2:$T$20,18,false)*HLOOKUP($K399,'Type Chart'!$C$2:$U$20,18,false)</f>
        <v>1</v>
      </c>
      <c r="AL399" s="960">
        <f t="array" ref="AL399">HLOOKUP($J399,'Type Chart'!$C$2:$T$20,19,false)*HLOOKUP($K399,'Type Chart'!$C$2:$U$20,19,false)</f>
        <v>2</v>
      </c>
      <c r="AM399" s="1145" t="s">
        <v>2163</v>
      </c>
      <c r="AN399" s="965"/>
      <c r="AO399" s="966"/>
      <c r="AP399" s="936"/>
      <c r="AQ399" s="967"/>
      <c r="AR399" s="968"/>
      <c r="AS399" s="936"/>
    </row>
    <row r="400" ht="15.75" customHeight="1">
      <c r="A400" s="936"/>
      <c r="B400" s="948" t="s">
        <v>2169</v>
      </c>
      <c r="C400" s="950" t="s">
        <v>2170</v>
      </c>
      <c r="D400" s="950" t="s">
        <v>2170</v>
      </c>
      <c r="E400" s="952" t="s">
        <v>2170</v>
      </c>
      <c r="F400" s="940"/>
      <c r="G400" s="953"/>
      <c r="H400" s="969"/>
      <c r="I400" s="998" t="s">
        <v>2171</v>
      </c>
      <c r="J400" s="1196" t="s">
        <v>203</v>
      </c>
      <c r="K400" s="984" t="s">
        <v>216</v>
      </c>
      <c r="L400" s="959">
        <v>40.0</v>
      </c>
      <c r="M400" s="960">
        <v>45.0</v>
      </c>
      <c r="N400" s="960">
        <v>40.0</v>
      </c>
      <c r="O400" s="960">
        <v>65.0</v>
      </c>
      <c r="P400" s="960">
        <v>40.0</v>
      </c>
      <c r="Q400" s="960">
        <v>65.0</v>
      </c>
      <c r="R400" s="960">
        <v>166.0</v>
      </c>
      <c r="S400" s="960">
        <v>229.0</v>
      </c>
      <c r="T400" s="960">
        <v>251.0</v>
      </c>
      <c r="U400" s="960">
        <f t="array" ref="U400">HLOOKUP($J400,'Type Chart'!$C$2:$T$20,2,false)*HLOOKUP($K400,'Type Chart'!$C$2:$U$20,2,false)</f>
        <v>1</v>
      </c>
      <c r="V400" s="960">
        <f t="array" ref="V400">HLOOKUP($J400,'Type Chart'!$C$2:$T$20,3,false)*HLOOKUP($K400,'Type Chart'!$C$2:$U$20,3,false)</f>
        <v>1</v>
      </c>
      <c r="W400" s="960">
        <f t="array" ref="W400">HLOOKUP($J400,'Type Chart'!$C$2:$T$20,4,false)*HLOOKUP($K400,'Type Chart'!$C$2:$U$20,4,false)</f>
        <v>0.5</v>
      </c>
      <c r="X400" s="960">
        <f t="array" ref="X400">HLOOKUP($J400,'Type Chart'!$C$2:$T$20,5,false)*HLOOKUP($K400,'Type Chart'!$C$2:$U$20,5,false)</f>
        <v>1</v>
      </c>
      <c r="Y400" s="960">
        <f t="array" ref="Y400">HLOOKUP($J400,'Type Chart'!$C$2:$T$20,6,false)*HLOOKUP($K400,'Type Chart'!$C$2:$U$20,6,false)</f>
        <v>2</v>
      </c>
      <c r="Z400" s="960">
        <f t="array" ref="Z400">HLOOKUP($J400,'Type Chart'!$C$2:$T$20,7,false)*HLOOKUP($K400,'Type Chart'!$C$2:$U$20,7,false)</f>
        <v>1</v>
      </c>
      <c r="AA400" s="960">
        <f t="array" ref="AA400">HLOOKUP($J400,'Type Chart'!$C$2:$T$20,8,false)*HLOOKUP($K400,'Type Chart'!$C$2:$U$20,8,false)</f>
        <v>1</v>
      </c>
      <c r="AB400" s="960">
        <f t="array" ref="AB400">HLOOKUP($J400,'Type Chart'!$C$2:$T$20,9,false)*HLOOKUP($K400,'Type Chart'!$C$2:$U$20,9,false)</f>
        <v>1</v>
      </c>
      <c r="AC400" s="960">
        <f t="array" ref="AC400">HLOOKUP($J400,'Type Chart'!$C$2:$T$20,10,false)*HLOOKUP($K400,'Type Chart'!$C$2:$U$20,10,false)</f>
        <v>0.5</v>
      </c>
      <c r="AD400" s="960">
        <f t="array" ref="AD400">HLOOKUP($J400,'Type Chart'!$C$2:$T$20,11,false)*HLOOKUP($K400,'Type Chart'!$C$2:$U$20,11,false)</f>
        <v>1</v>
      </c>
      <c r="AE400" s="960">
        <f t="array" ref="AE400">HLOOKUP($J400,'Type Chart'!$C$2:$T$20,12,false)*HLOOKUP($K400,'Type Chart'!$C$2:$U$20,12,false)</f>
        <v>1</v>
      </c>
      <c r="AF400" s="960">
        <f t="array" ref="AF400">HLOOKUP($J400,'Type Chart'!$C$2:$T$20,13,false)*HLOOKUP($K400,'Type Chart'!$C$2:$U$20,13,false)</f>
        <v>1</v>
      </c>
      <c r="AG400" s="960">
        <f t="array" ref="AG400">HLOOKUP($J400,'Type Chart'!$C$2:$T$20,14,false)*HLOOKUP($K400,'Type Chart'!$C$2:$U$20,14,false)</f>
        <v>0.5</v>
      </c>
      <c r="AH400" s="960">
        <f t="array" ref="AH400">HLOOKUP($J400,'Type Chart'!$C$2:$T$20,15,false)*HLOOKUP($K400,'Type Chart'!$C$2:$U$20,15,false)</f>
        <v>1</v>
      </c>
      <c r="AI400" s="960">
        <f t="array" ref="AI400">HLOOKUP($J400,'Type Chart'!$C$2:$T$20,16,false)*HLOOKUP($K400,'Type Chart'!$C$2:$U$20,16,false)</f>
        <v>1</v>
      </c>
      <c r="AJ400" s="960">
        <f t="array" ref="AJ400">HLOOKUP($J400,'Type Chart'!$C$2:$T$20,17,false)*HLOOKUP($K400,'Type Chart'!$C$2:$U$20,17,false)</f>
        <v>1</v>
      </c>
      <c r="AK400" s="960">
        <f t="array" ref="AK400">HLOOKUP($J400,'Type Chart'!$C$2:$T$20,18,false)*HLOOKUP($K400,'Type Chart'!$C$2:$U$20,18,false)</f>
        <v>1</v>
      </c>
      <c r="AL400" s="960">
        <f t="array" ref="AL400">HLOOKUP($J400,'Type Chart'!$C$2:$T$20,19,false)*HLOOKUP($K400,'Type Chart'!$C$2:$U$20,19,false)</f>
        <v>1</v>
      </c>
      <c r="AM400" s="1145" t="s">
        <v>1067</v>
      </c>
      <c r="AN400" s="965" t="s">
        <v>1068</v>
      </c>
      <c r="AO400" s="966" t="s">
        <v>2172</v>
      </c>
      <c r="AP400" s="936"/>
      <c r="AQ400" s="967"/>
      <c r="AR400" s="968"/>
      <c r="AS400" s="936"/>
    </row>
    <row r="401" ht="15.75" customHeight="1">
      <c r="A401" s="936"/>
      <c r="B401" s="948" t="s">
        <v>2173</v>
      </c>
      <c r="C401" s="950" t="s">
        <v>2174</v>
      </c>
      <c r="D401" s="950" t="s">
        <v>2174</v>
      </c>
      <c r="E401" s="952" t="s">
        <v>2174</v>
      </c>
      <c r="F401" s="940"/>
      <c r="G401" s="953"/>
      <c r="H401" s="969"/>
      <c r="I401" s="956" t="s">
        <v>2175</v>
      </c>
      <c r="J401" s="1196" t="s">
        <v>203</v>
      </c>
      <c r="K401" s="984" t="s">
        <v>216</v>
      </c>
      <c r="L401" s="959">
        <v>70.0</v>
      </c>
      <c r="M401" s="960">
        <v>75.0</v>
      </c>
      <c r="N401" s="960">
        <v>60.0</v>
      </c>
      <c r="O401" s="960">
        <v>105.0</v>
      </c>
      <c r="P401" s="960">
        <v>60.0</v>
      </c>
      <c r="Q401" s="960">
        <v>105.0</v>
      </c>
      <c r="R401" s="960">
        <v>246.0</v>
      </c>
      <c r="S401" s="960">
        <v>309.0</v>
      </c>
      <c r="T401" s="960">
        <v>339.0</v>
      </c>
      <c r="U401" s="960">
        <f t="array" ref="U401">HLOOKUP($J401,'Type Chart'!$C$2:$T$20,2,false)*HLOOKUP($K401,'Type Chart'!$C$2:$U$20,2,false)</f>
        <v>1</v>
      </c>
      <c r="V401" s="960">
        <f t="array" ref="V401">HLOOKUP($J401,'Type Chart'!$C$2:$T$20,3,false)*HLOOKUP($K401,'Type Chart'!$C$2:$U$20,3,false)</f>
        <v>1</v>
      </c>
      <c r="W401" s="960">
        <f t="array" ref="W401">HLOOKUP($J401,'Type Chart'!$C$2:$T$20,4,false)*HLOOKUP($K401,'Type Chart'!$C$2:$U$20,4,false)</f>
        <v>0.5</v>
      </c>
      <c r="X401" s="960">
        <f t="array" ref="X401">HLOOKUP($J401,'Type Chart'!$C$2:$T$20,5,false)*HLOOKUP($K401,'Type Chart'!$C$2:$U$20,5,false)</f>
        <v>1</v>
      </c>
      <c r="Y401" s="960">
        <f t="array" ref="Y401">HLOOKUP($J401,'Type Chart'!$C$2:$T$20,6,false)*HLOOKUP($K401,'Type Chart'!$C$2:$U$20,6,false)</f>
        <v>2</v>
      </c>
      <c r="Z401" s="960">
        <f t="array" ref="Z401">HLOOKUP($J401,'Type Chart'!$C$2:$T$20,7,false)*HLOOKUP($K401,'Type Chart'!$C$2:$U$20,7,false)</f>
        <v>1</v>
      </c>
      <c r="AA401" s="960">
        <f t="array" ref="AA401">HLOOKUP($J401,'Type Chart'!$C$2:$T$20,8,false)*HLOOKUP($K401,'Type Chart'!$C$2:$U$20,8,false)</f>
        <v>1</v>
      </c>
      <c r="AB401" s="960">
        <f t="array" ref="AB401">HLOOKUP($J401,'Type Chart'!$C$2:$T$20,9,false)*HLOOKUP($K401,'Type Chart'!$C$2:$U$20,9,false)</f>
        <v>1</v>
      </c>
      <c r="AC401" s="960">
        <f t="array" ref="AC401">HLOOKUP($J401,'Type Chart'!$C$2:$T$20,10,false)*HLOOKUP($K401,'Type Chart'!$C$2:$U$20,10,false)</f>
        <v>0.5</v>
      </c>
      <c r="AD401" s="960">
        <f t="array" ref="AD401">HLOOKUP($J401,'Type Chart'!$C$2:$T$20,11,false)*HLOOKUP($K401,'Type Chart'!$C$2:$U$20,11,false)</f>
        <v>1</v>
      </c>
      <c r="AE401" s="960">
        <f t="array" ref="AE401">HLOOKUP($J401,'Type Chart'!$C$2:$T$20,12,false)*HLOOKUP($K401,'Type Chart'!$C$2:$U$20,12,false)</f>
        <v>1</v>
      </c>
      <c r="AF401" s="960">
        <f t="array" ref="AF401">HLOOKUP($J401,'Type Chart'!$C$2:$T$20,13,false)*HLOOKUP($K401,'Type Chart'!$C$2:$U$20,13,false)</f>
        <v>1</v>
      </c>
      <c r="AG401" s="960">
        <f t="array" ref="AG401">HLOOKUP($J401,'Type Chart'!$C$2:$T$20,14,false)*HLOOKUP($K401,'Type Chart'!$C$2:$U$20,14,false)</f>
        <v>0.5</v>
      </c>
      <c r="AH401" s="960">
        <f t="array" ref="AH401">HLOOKUP($J401,'Type Chart'!$C$2:$T$20,15,false)*HLOOKUP($K401,'Type Chart'!$C$2:$U$20,15,false)</f>
        <v>1</v>
      </c>
      <c r="AI401" s="960">
        <f t="array" ref="AI401">HLOOKUP($J401,'Type Chart'!$C$2:$T$20,16,false)*HLOOKUP($K401,'Type Chart'!$C$2:$U$20,16,false)</f>
        <v>1</v>
      </c>
      <c r="AJ401" s="960">
        <f t="array" ref="AJ401">HLOOKUP($J401,'Type Chart'!$C$2:$T$20,17,false)*HLOOKUP($K401,'Type Chart'!$C$2:$U$20,17,false)</f>
        <v>1</v>
      </c>
      <c r="AK401" s="960">
        <f t="array" ref="AK401">HLOOKUP($J401,'Type Chart'!$C$2:$T$20,18,false)*HLOOKUP($K401,'Type Chart'!$C$2:$U$20,18,false)</f>
        <v>1</v>
      </c>
      <c r="AL401" s="960">
        <f t="array" ref="AL401">HLOOKUP($J401,'Type Chart'!$C$2:$T$20,19,false)*HLOOKUP($K401,'Type Chart'!$C$2:$U$20,19,false)</f>
        <v>1</v>
      </c>
      <c r="AM401" s="964" t="s">
        <v>1067</v>
      </c>
      <c r="AN401" s="965" t="s">
        <v>1068</v>
      </c>
      <c r="AO401" s="966" t="s">
        <v>2172</v>
      </c>
      <c r="AP401" s="936"/>
      <c r="AQ401" s="967"/>
      <c r="AR401" s="968"/>
      <c r="AS401" s="936"/>
    </row>
    <row r="402" ht="15.75" customHeight="1">
      <c r="A402" s="936"/>
      <c r="B402" s="948" t="s">
        <v>2176</v>
      </c>
      <c r="C402" s="950" t="s">
        <v>2177</v>
      </c>
      <c r="D402" s="950" t="s">
        <v>2177</v>
      </c>
      <c r="E402" s="952" t="s">
        <v>2177</v>
      </c>
      <c r="F402" s="940"/>
      <c r="G402" s="953"/>
      <c r="H402" s="969"/>
      <c r="I402" s="956" t="s">
        <v>2178</v>
      </c>
      <c r="J402" s="1196" t="s">
        <v>203</v>
      </c>
      <c r="K402" s="984" t="s">
        <v>216</v>
      </c>
      <c r="L402" s="959">
        <v>70.0</v>
      </c>
      <c r="M402" s="960">
        <v>75.0</v>
      </c>
      <c r="N402" s="960">
        <v>80.0</v>
      </c>
      <c r="O402" s="960">
        <v>135.0</v>
      </c>
      <c r="P402" s="960">
        <v>80.0</v>
      </c>
      <c r="Q402" s="960">
        <v>135.0</v>
      </c>
      <c r="R402" s="960">
        <v>306.0</v>
      </c>
      <c r="S402" s="960">
        <v>369.0</v>
      </c>
      <c r="T402" s="960">
        <v>405.0</v>
      </c>
      <c r="U402" s="960">
        <f t="array" ref="U402">HLOOKUP($J402,'Type Chart'!$C$2:$T$20,2,false)*HLOOKUP($K402,'Type Chart'!$C$2:$U$20,2,false)</f>
        <v>1</v>
      </c>
      <c r="V402" s="960">
        <f t="array" ref="V402">HLOOKUP($J402,'Type Chart'!$C$2:$T$20,3,false)*HLOOKUP($K402,'Type Chart'!$C$2:$U$20,3,false)</f>
        <v>1</v>
      </c>
      <c r="W402" s="960">
        <f t="array" ref="W402">HLOOKUP($J402,'Type Chart'!$C$2:$T$20,4,false)*HLOOKUP($K402,'Type Chart'!$C$2:$U$20,4,false)</f>
        <v>0.5</v>
      </c>
      <c r="X402" s="960">
        <f t="array" ref="X402">HLOOKUP($J402,'Type Chart'!$C$2:$T$20,5,false)*HLOOKUP($K402,'Type Chart'!$C$2:$U$20,5,false)</f>
        <v>1</v>
      </c>
      <c r="Y402" s="960">
        <f t="array" ref="Y402">HLOOKUP($J402,'Type Chart'!$C$2:$T$20,6,false)*HLOOKUP($K402,'Type Chart'!$C$2:$U$20,6,false)</f>
        <v>2</v>
      </c>
      <c r="Z402" s="960">
        <f t="array" ref="Z402">HLOOKUP($J402,'Type Chart'!$C$2:$T$20,7,false)*HLOOKUP($K402,'Type Chart'!$C$2:$U$20,7,false)</f>
        <v>1</v>
      </c>
      <c r="AA402" s="960">
        <f t="array" ref="AA402">HLOOKUP($J402,'Type Chart'!$C$2:$T$20,8,false)*HLOOKUP($K402,'Type Chart'!$C$2:$U$20,8,false)</f>
        <v>1</v>
      </c>
      <c r="AB402" s="960">
        <f t="array" ref="AB402">HLOOKUP($J402,'Type Chart'!$C$2:$T$20,9,false)*HLOOKUP($K402,'Type Chart'!$C$2:$U$20,9,false)</f>
        <v>1</v>
      </c>
      <c r="AC402" s="960">
        <f t="array" ref="AC402">HLOOKUP($J402,'Type Chart'!$C$2:$T$20,10,false)*HLOOKUP($K402,'Type Chart'!$C$2:$U$20,10,false)</f>
        <v>0.5</v>
      </c>
      <c r="AD402" s="960">
        <f t="array" ref="AD402">HLOOKUP($J402,'Type Chart'!$C$2:$T$20,11,false)*HLOOKUP($K402,'Type Chart'!$C$2:$U$20,11,false)</f>
        <v>1</v>
      </c>
      <c r="AE402" s="960">
        <f t="array" ref="AE402">HLOOKUP($J402,'Type Chart'!$C$2:$T$20,12,false)*HLOOKUP($K402,'Type Chart'!$C$2:$U$20,12,false)</f>
        <v>1</v>
      </c>
      <c r="AF402" s="960">
        <f t="array" ref="AF402">HLOOKUP($J402,'Type Chart'!$C$2:$T$20,13,false)*HLOOKUP($K402,'Type Chart'!$C$2:$U$20,13,false)</f>
        <v>1</v>
      </c>
      <c r="AG402" s="960">
        <f t="array" ref="AG402">HLOOKUP($J402,'Type Chart'!$C$2:$T$20,14,false)*HLOOKUP($K402,'Type Chart'!$C$2:$U$20,14,false)</f>
        <v>0.5</v>
      </c>
      <c r="AH402" s="960">
        <f t="array" ref="AH402">HLOOKUP($J402,'Type Chart'!$C$2:$T$20,15,false)*HLOOKUP($K402,'Type Chart'!$C$2:$U$20,15,false)</f>
        <v>1</v>
      </c>
      <c r="AI402" s="960">
        <f t="array" ref="AI402">HLOOKUP($J402,'Type Chart'!$C$2:$T$20,16,false)*HLOOKUP($K402,'Type Chart'!$C$2:$U$20,16,false)</f>
        <v>1</v>
      </c>
      <c r="AJ402" s="960">
        <f t="array" ref="AJ402">HLOOKUP($J402,'Type Chart'!$C$2:$T$20,17,false)*HLOOKUP($K402,'Type Chart'!$C$2:$U$20,17,false)</f>
        <v>1</v>
      </c>
      <c r="AK402" s="960">
        <f t="array" ref="AK402">HLOOKUP($J402,'Type Chart'!$C$2:$T$20,18,false)*HLOOKUP($K402,'Type Chart'!$C$2:$U$20,18,false)</f>
        <v>1</v>
      </c>
      <c r="AL402" s="960">
        <f t="array" ref="AL402">HLOOKUP($J402,'Type Chart'!$C$2:$T$20,19,false)*HLOOKUP($K402,'Type Chart'!$C$2:$U$20,19,false)</f>
        <v>1</v>
      </c>
      <c r="AM402" s="964" t="s">
        <v>1061</v>
      </c>
      <c r="AN402" s="965"/>
      <c r="AO402" s="966"/>
      <c r="AP402" s="936"/>
      <c r="AQ402" s="967"/>
      <c r="AR402" s="968"/>
      <c r="AS402" s="936"/>
    </row>
    <row r="403" ht="15.75" customHeight="1">
      <c r="A403" s="1099"/>
      <c r="B403" s="948" t="s">
        <v>2179</v>
      </c>
      <c r="C403" s="1197" t="s">
        <v>2180</v>
      </c>
      <c r="D403" s="1197" t="s">
        <v>2180</v>
      </c>
      <c r="E403" s="1147" t="s">
        <v>2180</v>
      </c>
      <c r="F403" s="940"/>
      <c r="G403" s="953"/>
      <c r="H403" s="969"/>
      <c r="I403" s="998" t="s">
        <v>894</v>
      </c>
      <c r="J403" s="1198" t="s">
        <v>203</v>
      </c>
      <c r="K403" s="1199" t="s">
        <v>216</v>
      </c>
      <c r="L403" s="1200">
        <v>60.0</v>
      </c>
      <c r="M403" s="1201">
        <v>50.0</v>
      </c>
      <c r="N403" s="1201">
        <v>40.0</v>
      </c>
      <c r="O403" s="1201">
        <v>85.0</v>
      </c>
      <c r="P403" s="1201">
        <v>75.0</v>
      </c>
      <c r="Q403" s="1201">
        <v>95.0</v>
      </c>
      <c r="R403" s="960">
        <v>226.0</v>
      </c>
      <c r="S403" s="960">
        <v>289.0</v>
      </c>
      <c r="T403" s="960">
        <v>317.0</v>
      </c>
      <c r="U403" s="960">
        <f t="array" ref="U403">HLOOKUP($J403,'Type Chart'!$C$2:$T$20,2,false)*HLOOKUP($K403,'Type Chart'!$C$2:$U$20,2,false)</f>
        <v>1</v>
      </c>
      <c r="V403" s="960">
        <f t="array" ref="V403">HLOOKUP($J403,'Type Chart'!$C$2:$T$20,3,false)*HLOOKUP($K403,'Type Chart'!$C$2:$U$20,3,false)</f>
        <v>1</v>
      </c>
      <c r="W403" s="960">
        <f t="array" ref="W403">HLOOKUP($J403,'Type Chart'!$C$2:$T$20,4,false)*HLOOKUP($K403,'Type Chart'!$C$2:$U$20,4,false)</f>
        <v>0.5</v>
      </c>
      <c r="X403" s="960">
        <f t="array" ref="X403">HLOOKUP($J403,'Type Chart'!$C$2:$T$20,5,false)*HLOOKUP($K403,'Type Chart'!$C$2:$U$20,5,false)</f>
        <v>1</v>
      </c>
      <c r="Y403" s="960">
        <f t="array" ref="Y403">HLOOKUP($J403,'Type Chart'!$C$2:$T$20,6,false)*HLOOKUP($K403,'Type Chart'!$C$2:$U$20,6,false)</f>
        <v>2</v>
      </c>
      <c r="Z403" s="960">
        <f t="array" ref="Z403">HLOOKUP($J403,'Type Chart'!$C$2:$T$20,7,false)*HLOOKUP($K403,'Type Chart'!$C$2:$U$20,7,false)</f>
        <v>1</v>
      </c>
      <c r="AA403" s="960">
        <f t="array" ref="AA403">HLOOKUP($J403,'Type Chart'!$C$2:$T$20,8,false)*HLOOKUP($K403,'Type Chart'!$C$2:$U$20,8,false)</f>
        <v>1</v>
      </c>
      <c r="AB403" s="960">
        <f t="array" ref="AB403">HLOOKUP($J403,'Type Chart'!$C$2:$T$20,9,false)*HLOOKUP($K403,'Type Chart'!$C$2:$U$20,9,false)</f>
        <v>1</v>
      </c>
      <c r="AC403" s="960">
        <f t="array" ref="AC403">HLOOKUP($J403,'Type Chart'!$C$2:$T$20,10,false)*HLOOKUP($K403,'Type Chart'!$C$2:$U$20,10,false)</f>
        <v>0.5</v>
      </c>
      <c r="AD403" s="960">
        <f t="array" ref="AD403">HLOOKUP($J403,'Type Chart'!$C$2:$T$20,11,false)*HLOOKUP($K403,'Type Chart'!$C$2:$U$20,11,false)</f>
        <v>1</v>
      </c>
      <c r="AE403" s="960">
        <f t="array" ref="AE403">HLOOKUP($J403,'Type Chart'!$C$2:$T$20,12,false)*HLOOKUP($K403,'Type Chart'!$C$2:$U$20,12,false)</f>
        <v>1</v>
      </c>
      <c r="AF403" s="960">
        <f t="array" ref="AF403">HLOOKUP($J403,'Type Chart'!$C$2:$T$20,13,false)*HLOOKUP($K403,'Type Chart'!$C$2:$U$20,13,false)</f>
        <v>1</v>
      </c>
      <c r="AG403" s="960">
        <f t="array" ref="AG403">HLOOKUP($J403,'Type Chart'!$C$2:$T$20,14,false)*HLOOKUP($K403,'Type Chart'!$C$2:$U$20,14,false)</f>
        <v>0.5</v>
      </c>
      <c r="AH403" s="960">
        <f t="array" ref="AH403">HLOOKUP($J403,'Type Chart'!$C$2:$T$20,15,false)*HLOOKUP($K403,'Type Chart'!$C$2:$U$20,15,false)</f>
        <v>1</v>
      </c>
      <c r="AI403" s="960">
        <f t="array" ref="AI403">HLOOKUP($J403,'Type Chart'!$C$2:$T$20,16,false)*HLOOKUP($K403,'Type Chart'!$C$2:$U$20,16,false)</f>
        <v>1</v>
      </c>
      <c r="AJ403" s="960">
        <f t="array" ref="AJ403">HLOOKUP($J403,'Type Chart'!$C$2:$T$20,17,false)*HLOOKUP($K403,'Type Chart'!$C$2:$U$20,17,false)</f>
        <v>1</v>
      </c>
      <c r="AK403" s="960">
        <f t="array" ref="AK403">HLOOKUP($J403,'Type Chart'!$C$2:$T$20,18,false)*HLOOKUP($K403,'Type Chart'!$C$2:$U$20,18,false)</f>
        <v>1</v>
      </c>
      <c r="AL403" s="960">
        <f t="array" ref="AL403">HLOOKUP($J403,'Type Chart'!$C$2:$T$20,19,false)*HLOOKUP($K403,'Type Chart'!$C$2:$U$20,19,false)</f>
        <v>1</v>
      </c>
      <c r="AM403" s="1145" t="s">
        <v>1759</v>
      </c>
      <c r="AN403" s="965"/>
      <c r="AO403" s="1146" t="s">
        <v>1068</v>
      </c>
      <c r="AP403" s="936"/>
      <c r="AQ403" s="967"/>
      <c r="AR403" s="968"/>
      <c r="AS403" s="936"/>
    </row>
    <row r="404" ht="15.75" customHeight="1">
      <c r="A404" s="936"/>
      <c r="B404" s="948" t="s">
        <v>2181</v>
      </c>
      <c r="C404" s="950" t="s">
        <v>2182</v>
      </c>
      <c r="D404" s="950" t="s">
        <v>2182</v>
      </c>
      <c r="E404" s="952" t="s">
        <v>2182</v>
      </c>
      <c r="F404" s="940"/>
      <c r="G404" s="953"/>
      <c r="H404" s="969"/>
      <c r="I404" s="956" t="s">
        <v>895</v>
      </c>
      <c r="J404" s="1196" t="s">
        <v>203</v>
      </c>
      <c r="K404" s="984" t="s">
        <v>216</v>
      </c>
      <c r="L404" s="959">
        <v>60.0</v>
      </c>
      <c r="M404" s="960">
        <v>40.0</v>
      </c>
      <c r="N404" s="960">
        <v>50.0</v>
      </c>
      <c r="O404" s="960">
        <v>75.0</v>
      </c>
      <c r="P404" s="960">
        <v>85.0</v>
      </c>
      <c r="Q404" s="960">
        <v>95.0</v>
      </c>
      <c r="R404" s="960">
        <v>226.0</v>
      </c>
      <c r="S404" s="960">
        <v>289.0</v>
      </c>
      <c r="T404" s="960">
        <v>317.0</v>
      </c>
      <c r="U404" s="960">
        <f t="array" ref="U404">HLOOKUP($J404,'Type Chart'!$C$2:$T$20,2,false)*HLOOKUP($K404,'Type Chart'!$C$2:$U$20,2,false)</f>
        <v>1</v>
      </c>
      <c r="V404" s="960">
        <f t="array" ref="V404">HLOOKUP($J404,'Type Chart'!$C$2:$T$20,3,false)*HLOOKUP($K404,'Type Chart'!$C$2:$U$20,3,false)</f>
        <v>1</v>
      </c>
      <c r="W404" s="960">
        <f t="array" ref="W404">HLOOKUP($J404,'Type Chart'!$C$2:$T$20,4,false)*HLOOKUP($K404,'Type Chart'!$C$2:$U$20,4,false)</f>
        <v>0.5</v>
      </c>
      <c r="X404" s="960">
        <f t="array" ref="X404">HLOOKUP($J404,'Type Chart'!$C$2:$T$20,5,false)*HLOOKUP($K404,'Type Chart'!$C$2:$U$20,5,false)</f>
        <v>1</v>
      </c>
      <c r="Y404" s="960">
        <f t="array" ref="Y404">HLOOKUP($J404,'Type Chart'!$C$2:$T$20,6,false)*HLOOKUP($K404,'Type Chart'!$C$2:$U$20,6,false)</f>
        <v>2</v>
      </c>
      <c r="Z404" s="960">
        <f t="array" ref="Z404">HLOOKUP($J404,'Type Chart'!$C$2:$T$20,7,false)*HLOOKUP($K404,'Type Chart'!$C$2:$U$20,7,false)</f>
        <v>1</v>
      </c>
      <c r="AA404" s="960">
        <f t="array" ref="AA404">HLOOKUP($J404,'Type Chart'!$C$2:$T$20,8,false)*HLOOKUP($K404,'Type Chart'!$C$2:$U$20,8,false)</f>
        <v>1</v>
      </c>
      <c r="AB404" s="960">
        <f t="array" ref="AB404">HLOOKUP($J404,'Type Chart'!$C$2:$T$20,9,false)*HLOOKUP($K404,'Type Chart'!$C$2:$U$20,9,false)</f>
        <v>1</v>
      </c>
      <c r="AC404" s="960">
        <f t="array" ref="AC404">HLOOKUP($J404,'Type Chart'!$C$2:$T$20,10,false)*HLOOKUP($K404,'Type Chart'!$C$2:$U$20,10,false)</f>
        <v>0.5</v>
      </c>
      <c r="AD404" s="960">
        <f t="array" ref="AD404">HLOOKUP($J404,'Type Chart'!$C$2:$T$20,11,false)*HLOOKUP($K404,'Type Chart'!$C$2:$U$20,11,false)</f>
        <v>1</v>
      </c>
      <c r="AE404" s="960">
        <f t="array" ref="AE404">HLOOKUP($J404,'Type Chart'!$C$2:$T$20,12,false)*HLOOKUP($K404,'Type Chart'!$C$2:$U$20,12,false)</f>
        <v>1</v>
      </c>
      <c r="AF404" s="960">
        <f t="array" ref="AF404">HLOOKUP($J404,'Type Chart'!$C$2:$T$20,13,false)*HLOOKUP($K404,'Type Chart'!$C$2:$U$20,13,false)</f>
        <v>1</v>
      </c>
      <c r="AG404" s="960">
        <f t="array" ref="AG404">HLOOKUP($J404,'Type Chart'!$C$2:$T$20,14,false)*HLOOKUP($K404,'Type Chart'!$C$2:$U$20,14,false)</f>
        <v>0.5</v>
      </c>
      <c r="AH404" s="960">
        <f t="array" ref="AH404">HLOOKUP($J404,'Type Chart'!$C$2:$T$20,15,false)*HLOOKUP($K404,'Type Chart'!$C$2:$U$20,15,false)</f>
        <v>1</v>
      </c>
      <c r="AI404" s="960">
        <f t="array" ref="AI404">HLOOKUP($J404,'Type Chart'!$C$2:$T$20,16,false)*HLOOKUP($K404,'Type Chart'!$C$2:$U$20,16,false)</f>
        <v>1</v>
      </c>
      <c r="AJ404" s="960">
        <f t="array" ref="AJ404">HLOOKUP($J404,'Type Chart'!$C$2:$T$20,17,false)*HLOOKUP($K404,'Type Chart'!$C$2:$U$20,17,false)</f>
        <v>1</v>
      </c>
      <c r="AK404" s="960">
        <f t="array" ref="AK404">HLOOKUP($J404,'Type Chart'!$C$2:$T$20,18,false)*HLOOKUP($K404,'Type Chart'!$C$2:$U$20,18,false)</f>
        <v>1</v>
      </c>
      <c r="AL404" s="960">
        <f t="array" ref="AL404">HLOOKUP($J404,'Type Chart'!$C$2:$T$20,19,false)*HLOOKUP($K404,'Type Chart'!$C$2:$U$20,19,false)</f>
        <v>1</v>
      </c>
      <c r="AM404" s="964" t="s">
        <v>2172</v>
      </c>
      <c r="AN404" s="965"/>
      <c r="AO404" s="966" t="s">
        <v>1614</v>
      </c>
      <c r="AP404" s="936"/>
      <c r="AQ404" s="967"/>
      <c r="AR404" s="968"/>
      <c r="AS404" s="936"/>
    </row>
    <row r="405" ht="15.75" customHeight="1">
      <c r="A405" s="936"/>
      <c r="B405" s="948" t="s">
        <v>2183</v>
      </c>
      <c r="C405" s="950" t="s">
        <v>2184</v>
      </c>
      <c r="D405" s="950" t="s">
        <v>2184</v>
      </c>
      <c r="E405" s="952" t="s">
        <v>2184</v>
      </c>
      <c r="F405" s="940"/>
      <c r="G405" s="953"/>
      <c r="H405" s="969"/>
      <c r="I405" s="956" t="s">
        <v>785</v>
      </c>
      <c r="J405" s="1180" t="s">
        <v>343</v>
      </c>
      <c r="K405" s="984" t="s">
        <v>216</v>
      </c>
      <c r="L405" s="959">
        <v>65.0</v>
      </c>
      <c r="M405" s="960">
        <v>73.0</v>
      </c>
      <c r="N405" s="960">
        <v>75.0</v>
      </c>
      <c r="O405" s="960">
        <v>47.0</v>
      </c>
      <c r="P405" s="960">
        <v>85.0</v>
      </c>
      <c r="Q405" s="960">
        <v>85.0</v>
      </c>
      <c r="R405" s="960">
        <v>206.0</v>
      </c>
      <c r="S405" s="960">
        <v>269.0</v>
      </c>
      <c r="T405" s="960">
        <v>295.0</v>
      </c>
      <c r="U405" s="960">
        <f t="array" ref="U405">HLOOKUP($J405,'Type Chart'!$C$2:$T$20,2,false)*HLOOKUP($K405,'Type Chart'!$C$2:$U$20,2,false)</f>
        <v>1</v>
      </c>
      <c r="V405" s="960">
        <f t="array" ref="V405">HLOOKUP($J405,'Type Chart'!$C$2:$T$20,3,false)*HLOOKUP($K405,'Type Chart'!$C$2:$U$20,3,false)</f>
        <v>0.5</v>
      </c>
      <c r="W405" s="960">
        <f t="array" ref="W405">HLOOKUP($J405,'Type Chart'!$C$2:$T$20,4,false)*HLOOKUP($K405,'Type Chart'!$C$2:$U$20,4,false)</f>
        <v>2</v>
      </c>
      <c r="X405" s="960">
        <f t="array" ref="X405">HLOOKUP($J405,'Type Chart'!$C$2:$T$20,5,false)*HLOOKUP($K405,'Type Chart'!$C$2:$U$20,5,false)</f>
        <v>1</v>
      </c>
      <c r="Y405" s="960">
        <f t="array" ref="Y405">HLOOKUP($J405,'Type Chart'!$C$2:$T$20,6,false)*HLOOKUP($K405,'Type Chart'!$C$2:$U$20,6,false)</f>
        <v>0.5</v>
      </c>
      <c r="Z405" s="960">
        <f t="array" ref="Z405">HLOOKUP($J405,'Type Chart'!$C$2:$T$20,7,false)*HLOOKUP($K405,'Type Chart'!$C$2:$U$20,7,false)</f>
        <v>2</v>
      </c>
      <c r="AA405" s="960">
        <f t="array" ref="AA405">HLOOKUP($J405,'Type Chart'!$C$2:$T$20,8,false)*HLOOKUP($K405,'Type Chart'!$C$2:$U$20,8,false)</f>
        <v>1</v>
      </c>
      <c r="AB405" s="960">
        <f t="array" ref="AB405">HLOOKUP($J405,'Type Chart'!$C$2:$T$20,9,false)*HLOOKUP($K405,'Type Chart'!$C$2:$U$20,9,false)</f>
        <v>1</v>
      </c>
      <c r="AC405" s="960">
        <f t="array" ref="AC405">HLOOKUP($J405,'Type Chart'!$C$2:$T$20,10,false)*HLOOKUP($K405,'Type Chart'!$C$2:$U$20,10,false)</f>
        <v>1</v>
      </c>
      <c r="AD405" s="960">
        <f t="array" ref="AD405">HLOOKUP($J405,'Type Chart'!$C$2:$T$20,11,false)*HLOOKUP($K405,'Type Chart'!$C$2:$U$20,11,false)</f>
        <v>2</v>
      </c>
      <c r="AE405" s="960">
        <f t="array" ref="AE405">HLOOKUP($J405,'Type Chart'!$C$2:$T$20,12,false)*HLOOKUP($K405,'Type Chart'!$C$2:$U$20,12,false)</f>
        <v>1</v>
      </c>
      <c r="AF405" s="960">
        <f t="array" ref="AF405">HLOOKUP($J405,'Type Chart'!$C$2:$T$20,13,false)*HLOOKUP($K405,'Type Chart'!$C$2:$U$20,13,false)</f>
        <v>0.5</v>
      </c>
      <c r="AG405" s="960">
        <f t="array" ref="AG405">HLOOKUP($J405,'Type Chart'!$C$2:$T$20,14,false)*HLOOKUP($K405,'Type Chart'!$C$2:$U$20,14,false)</f>
        <v>1</v>
      </c>
      <c r="AH405" s="960">
        <f t="array" ref="AH405">HLOOKUP($J405,'Type Chart'!$C$2:$T$20,15,false)*HLOOKUP($K405,'Type Chart'!$C$2:$U$20,15,false)</f>
        <v>1</v>
      </c>
      <c r="AI405" s="960">
        <f t="array" ref="AI405">HLOOKUP($J405,'Type Chart'!$C$2:$T$20,16,false)*HLOOKUP($K405,'Type Chart'!$C$2:$U$20,16,false)</f>
        <v>1</v>
      </c>
      <c r="AJ405" s="960">
        <f t="array" ref="AJ405">HLOOKUP($J405,'Type Chart'!$C$2:$T$20,17,false)*HLOOKUP($K405,'Type Chart'!$C$2:$U$20,17,false)</f>
        <v>1</v>
      </c>
      <c r="AK405" s="960">
        <f t="array" ref="AK405">HLOOKUP($J405,'Type Chart'!$C$2:$T$20,18,false)*HLOOKUP($K405,'Type Chart'!$C$2:$U$20,18,false)</f>
        <v>1</v>
      </c>
      <c r="AL405" s="960">
        <f t="array" ref="AL405">HLOOKUP($J405,'Type Chart'!$C$2:$T$20,19,false)*HLOOKUP($K405,'Type Chart'!$C$2:$U$20,19,false)</f>
        <v>1</v>
      </c>
      <c r="AM405" s="964" t="s">
        <v>1549</v>
      </c>
      <c r="AN405" s="965" t="s">
        <v>1013</v>
      </c>
      <c r="AO405" s="966" t="s">
        <v>1813</v>
      </c>
      <c r="AP405" s="936"/>
      <c r="AQ405" s="967"/>
      <c r="AR405" s="968"/>
      <c r="AS405" s="936"/>
    </row>
    <row r="406" ht="15.75" customHeight="1">
      <c r="A406" s="1099"/>
      <c r="B406" s="948" t="s">
        <v>2185</v>
      </c>
      <c r="C406" s="950" t="s">
        <v>2186</v>
      </c>
      <c r="D406" s="950" t="s">
        <v>2186</v>
      </c>
      <c r="E406" s="1147" t="s">
        <v>2186</v>
      </c>
      <c r="F406" s="940"/>
      <c r="G406" s="953"/>
      <c r="H406" s="969"/>
      <c r="I406" s="998" t="s">
        <v>786</v>
      </c>
      <c r="J406" s="1180" t="s">
        <v>343</v>
      </c>
      <c r="K406" s="984" t="s">
        <v>216</v>
      </c>
      <c r="L406" s="959">
        <v>65.0</v>
      </c>
      <c r="M406" s="960">
        <v>47.0</v>
      </c>
      <c r="N406" s="960">
        <v>75.0</v>
      </c>
      <c r="O406" s="960">
        <v>73.0</v>
      </c>
      <c r="P406" s="960">
        <v>85.0</v>
      </c>
      <c r="Q406" s="960">
        <v>85.0</v>
      </c>
      <c r="R406" s="960">
        <v>206.0</v>
      </c>
      <c r="S406" s="960">
        <v>269.0</v>
      </c>
      <c r="T406" s="960">
        <v>295.0</v>
      </c>
      <c r="U406" s="960">
        <f t="array" ref="U406">HLOOKUP($J406,'Type Chart'!$C$2:$T$20,2,false)*HLOOKUP($K406,'Type Chart'!$C$2:$U$20,2,false)</f>
        <v>1</v>
      </c>
      <c r="V406" s="960">
        <f t="array" ref="V406">HLOOKUP($J406,'Type Chart'!$C$2:$T$20,3,false)*HLOOKUP($K406,'Type Chart'!$C$2:$U$20,3,false)</f>
        <v>0.5</v>
      </c>
      <c r="W406" s="960">
        <f t="array" ref="W406">HLOOKUP($J406,'Type Chart'!$C$2:$T$20,4,false)*HLOOKUP($K406,'Type Chart'!$C$2:$U$20,4,false)</f>
        <v>2</v>
      </c>
      <c r="X406" s="960">
        <f t="array" ref="X406">HLOOKUP($J406,'Type Chart'!$C$2:$T$20,5,false)*HLOOKUP($K406,'Type Chart'!$C$2:$U$20,5,false)</f>
        <v>1</v>
      </c>
      <c r="Y406" s="960">
        <f t="array" ref="Y406">HLOOKUP($J406,'Type Chart'!$C$2:$T$20,6,false)*HLOOKUP($K406,'Type Chart'!$C$2:$U$20,6,false)</f>
        <v>0.5</v>
      </c>
      <c r="Z406" s="960">
        <f t="array" ref="Z406">HLOOKUP($J406,'Type Chart'!$C$2:$T$20,7,false)*HLOOKUP($K406,'Type Chart'!$C$2:$U$20,7,false)</f>
        <v>2</v>
      </c>
      <c r="AA406" s="960">
        <f t="array" ref="AA406">HLOOKUP($J406,'Type Chart'!$C$2:$T$20,8,false)*HLOOKUP($K406,'Type Chart'!$C$2:$U$20,8,false)</f>
        <v>1</v>
      </c>
      <c r="AB406" s="960">
        <f t="array" ref="AB406">HLOOKUP($J406,'Type Chart'!$C$2:$T$20,9,false)*HLOOKUP($K406,'Type Chart'!$C$2:$U$20,9,false)</f>
        <v>1</v>
      </c>
      <c r="AC406" s="960">
        <f t="array" ref="AC406">HLOOKUP($J406,'Type Chart'!$C$2:$T$20,10,false)*HLOOKUP($K406,'Type Chart'!$C$2:$U$20,10,false)</f>
        <v>1</v>
      </c>
      <c r="AD406" s="960">
        <f t="array" ref="AD406">HLOOKUP($J406,'Type Chart'!$C$2:$T$20,11,false)*HLOOKUP($K406,'Type Chart'!$C$2:$U$20,11,false)</f>
        <v>2</v>
      </c>
      <c r="AE406" s="960">
        <f t="array" ref="AE406">HLOOKUP($J406,'Type Chart'!$C$2:$T$20,12,false)*HLOOKUP($K406,'Type Chart'!$C$2:$U$20,12,false)</f>
        <v>1</v>
      </c>
      <c r="AF406" s="960">
        <f t="array" ref="AF406">HLOOKUP($J406,'Type Chart'!$C$2:$T$20,13,false)*HLOOKUP($K406,'Type Chart'!$C$2:$U$20,13,false)</f>
        <v>0.5</v>
      </c>
      <c r="AG406" s="960">
        <f t="array" ref="AG406">HLOOKUP($J406,'Type Chart'!$C$2:$T$20,14,false)*HLOOKUP($K406,'Type Chart'!$C$2:$U$20,14,false)</f>
        <v>1</v>
      </c>
      <c r="AH406" s="960">
        <f t="array" ref="AH406">HLOOKUP($J406,'Type Chart'!$C$2:$T$20,15,false)*HLOOKUP($K406,'Type Chart'!$C$2:$U$20,15,false)</f>
        <v>1</v>
      </c>
      <c r="AI406" s="960">
        <f t="array" ref="AI406">HLOOKUP($J406,'Type Chart'!$C$2:$T$20,16,false)*HLOOKUP($K406,'Type Chart'!$C$2:$U$20,16,false)</f>
        <v>1</v>
      </c>
      <c r="AJ406" s="960">
        <f t="array" ref="AJ406">HLOOKUP($J406,'Type Chart'!$C$2:$T$20,17,false)*HLOOKUP($K406,'Type Chart'!$C$2:$U$20,17,false)</f>
        <v>1</v>
      </c>
      <c r="AK406" s="960">
        <f t="array" ref="AK406">HLOOKUP($J406,'Type Chart'!$C$2:$T$20,18,false)*HLOOKUP($K406,'Type Chart'!$C$2:$U$20,18,false)</f>
        <v>1</v>
      </c>
      <c r="AL406" s="960">
        <f t="array" ref="AL406">HLOOKUP($J406,'Type Chart'!$C$2:$T$20,19,false)*HLOOKUP($K406,'Type Chart'!$C$2:$U$20,19,false)</f>
        <v>1</v>
      </c>
      <c r="AM406" s="1145" t="s">
        <v>1369</v>
      </c>
      <c r="AN406" s="1202" t="s">
        <v>1003</v>
      </c>
      <c r="AO406" s="1146" t="s">
        <v>1813</v>
      </c>
      <c r="AP406" s="936"/>
      <c r="AQ406" s="967"/>
      <c r="AR406" s="968"/>
      <c r="AS406" s="936"/>
    </row>
    <row r="407" ht="15.75" customHeight="1">
      <c r="A407" s="1099"/>
      <c r="B407" s="948" t="s">
        <v>2187</v>
      </c>
      <c r="C407" s="1197" t="s">
        <v>2188</v>
      </c>
      <c r="D407" s="1197" t="s">
        <v>2188</v>
      </c>
      <c r="E407" s="1147" t="s">
        <v>2188</v>
      </c>
      <c r="F407" s="940"/>
      <c r="G407" s="953"/>
      <c r="H407" s="969"/>
      <c r="I407" s="998" t="s">
        <v>2189</v>
      </c>
      <c r="J407" s="1228" t="s">
        <v>209</v>
      </c>
      <c r="K407" s="1209" t="s">
        <v>178</v>
      </c>
      <c r="L407" s="1200">
        <v>50.0</v>
      </c>
      <c r="M407" s="1201">
        <v>60.0</v>
      </c>
      <c r="N407" s="1201">
        <v>45.0</v>
      </c>
      <c r="O407" s="1201">
        <v>100.0</v>
      </c>
      <c r="P407" s="1201">
        <v>80.0</v>
      </c>
      <c r="Q407" s="1201">
        <v>65.0</v>
      </c>
      <c r="R407" s="960">
        <v>166.0</v>
      </c>
      <c r="S407" s="960">
        <v>229.0</v>
      </c>
      <c r="T407" s="960">
        <v>251.0</v>
      </c>
      <c r="U407" s="960">
        <f t="array" ref="U407">HLOOKUP($J407,'Type Chart'!$C$2:$T$20,2,false)*HLOOKUP($K407,'Type Chart'!$C$2:$U$20,2,false)</f>
        <v>1</v>
      </c>
      <c r="V407" s="960">
        <f t="array" ref="V407">HLOOKUP($J407,'Type Chart'!$C$2:$T$20,3,false)*HLOOKUP($K407,'Type Chart'!$C$2:$U$20,3,false)</f>
        <v>0.5</v>
      </c>
      <c r="W407" s="960">
        <f t="array" ref="W407">HLOOKUP($J407,'Type Chart'!$C$2:$T$20,4,false)*HLOOKUP($K407,'Type Chart'!$C$2:$U$20,4,false)</f>
        <v>2</v>
      </c>
      <c r="X407" s="960">
        <f t="array" ref="X407">HLOOKUP($J407,'Type Chart'!$C$2:$T$20,5,false)*HLOOKUP($K407,'Type Chart'!$C$2:$U$20,5,false)</f>
        <v>1</v>
      </c>
      <c r="Y407" s="960">
        <f t="array" ref="Y407">HLOOKUP($J407,'Type Chart'!$C$2:$T$20,6,false)*HLOOKUP($K407,'Type Chart'!$C$2:$U$20,6,false)</f>
        <v>1</v>
      </c>
      <c r="Z407" s="960">
        <f t="array" ref="Z407">HLOOKUP($J407,'Type Chart'!$C$2:$T$20,7,false)*HLOOKUP($K407,'Type Chart'!$C$2:$U$20,7,false)</f>
        <v>1</v>
      </c>
      <c r="AA407" s="960">
        <f t="array" ref="AA407">HLOOKUP($J407,'Type Chart'!$C$2:$T$20,8,false)*HLOOKUP($K407,'Type Chart'!$C$2:$U$20,8,false)</f>
        <v>1</v>
      </c>
      <c r="AB407" s="960">
        <f t="array" ref="AB407">HLOOKUP($J407,'Type Chart'!$C$2:$T$20,9,false)*HLOOKUP($K407,'Type Chart'!$C$2:$U$20,9,false)</f>
        <v>1</v>
      </c>
      <c r="AC407" s="960">
        <f t="array" ref="AC407">HLOOKUP($J407,'Type Chart'!$C$2:$T$20,10,false)*HLOOKUP($K407,'Type Chart'!$C$2:$U$20,10,false)</f>
        <v>1</v>
      </c>
      <c r="AD407" s="960">
        <f t="array" ref="AD407">HLOOKUP($J407,'Type Chart'!$C$2:$T$20,11,false)*HLOOKUP($K407,'Type Chart'!$C$2:$U$20,11,false)</f>
        <v>2</v>
      </c>
      <c r="AE407" s="960">
        <f t="array" ref="AE407">HLOOKUP($J407,'Type Chart'!$C$2:$T$20,12,false)*HLOOKUP($K407,'Type Chart'!$C$2:$U$20,12,false)</f>
        <v>0.5</v>
      </c>
      <c r="AF407" s="960">
        <f t="array" ref="AF407">HLOOKUP($J407,'Type Chart'!$C$2:$T$20,13,false)*HLOOKUP($K407,'Type Chart'!$C$2:$U$20,13,false)</f>
        <v>0.25</v>
      </c>
      <c r="AG407" s="960">
        <f t="array" ref="AG407">HLOOKUP($J407,'Type Chart'!$C$2:$T$20,14,false)*HLOOKUP($K407,'Type Chart'!$C$2:$U$20,14,false)</f>
        <v>0.5</v>
      </c>
      <c r="AH407" s="960">
        <f t="array" ref="AH407">HLOOKUP($J407,'Type Chart'!$C$2:$T$20,15,false)*HLOOKUP($K407,'Type Chart'!$C$2:$U$20,15,false)</f>
        <v>2</v>
      </c>
      <c r="AI407" s="960">
        <f t="array" ref="AI407">HLOOKUP($J407,'Type Chart'!$C$2:$T$20,16,false)*HLOOKUP($K407,'Type Chart'!$C$2:$U$20,16,false)</f>
        <v>2</v>
      </c>
      <c r="AJ407" s="960">
        <f t="array" ref="AJ407">HLOOKUP($J407,'Type Chart'!$C$2:$T$20,17,false)*HLOOKUP($K407,'Type Chart'!$C$2:$U$20,17,false)</f>
        <v>1</v>
      </c>
      <c r="AK407" s="960">
        <f t="array" ref="AK407">HLOOKUP($J407,'Type Chart'!$C$2:$T$20,18,false)*HLOOKUP($K407,'Type Chart'!$C$2:$U$20,18,false)</f>
        <v>1</v>
      </c>
      <c r="AL407" s="960">
        <f t="array" ref="AL407">HLOOKUP($J407,'Type Chart'!$C$2:$T$20,19,false)*HLOOKUP($K407,'Type Chart'!$C$2:$U$20,19,false)</f>
        <v>0.5</v>
      </c>
      <c r="AM407" s="1145" t="s">
        <v>1520</v>
      </c>
      <c r="AN407" s="965" t="s">
        <v>1146</v>
      </c>
      <c r="AO407" s="1146" t="s">
        <v>1526</v>
      </c>
      <c r="AP407" s="936"/>
      <c r="AQ407" s="967"/>
      <c r="AR407" s="968"/>
      <c r="AS407" s="936"/>
    </row>
    <row r="408" ht="15.75" customHeight="1">
      <c r="A408" s="936"/>
      <c r="B408" s="948" t="s">
        <v>2190</v>
      </c>
      <c r="C408" s="950" t="s">
        <v>2191</v>
      </c>
      <c r="D408" s="950" t="s">
        <v>2191</v>
      </c>
      <c r="E408" s="952" t="s">
        <v>2191</v>
      </c>
      <c r="F408" s="940"/>
      <c r="G408" s="953"/>
      <c r="H408" s="969"/>
      <c r="I408" s="956" t="s">
        <v>2192</v>
      </c>
      <c r="J408" s="958" t="s">
        <v>178</v>
      </c>
      <c r="K408" s="984" t="s">
        <v>216</v>
      </c>
      <c r="L408" s="959">
        <v>70.0</v>
      </c>
      <c r="M408" s="960">
        <v>43.0</v>
      </c>
      <c r="N408" s="960">
        <v>53.0</v>
      </c>
      <c r="O408" s="960">
        <v>43.0</v>
      </c>
      <c r="P408" s="960">
        <v>53.0</v>
      </c>
      <c r="Q408" s="960">
        <v>40.0</v>
      </c>
      <c r="R408" s="960">
        <v>116.0</v>
      </c>
      <c r="S408" s="960">
        <v>179.0</v>
      </c>
      <c r="T408" s="960">
        <v>196.0</v>
      </c>
      <c r="U408" s="960">
        <f t="array" ref="U408">HLOOKUP($J408,'Type Chart'!$C$2:$T$20,2,false)*HLOOKUP($K408,'Type Chart'!$C$2:$U$20,2,false)</f>
        <v>1</v>
      </c>
      <c r="V408" s="960">
        <f t="array" ref="V408">HLOOKUP($J408,'Type Chart'!$C$2:$T$20,3,false)*HLOOKUP($K408,'Type Chart'!$C$2:$U$20,3,false)</f>
        <v>0.5</v>
      </c>
      <c r="W408" s="960">
        <f t="array" ref="W408">HLOOKUP($J408,'Type Chart'!$C$2:$T$20,4,false)*HLOOKUP($K408,'Type Chart'!$C$2:$U$20,4,false)</f>
        <v>1</v>
      </c>
      <c r="X408" s="960">
        <f t="array" ref="X408">HLOOKUP($J408,'Type Chart'!$C$2:$T$20,5,false)*HLOOKUP($K408,'Type Chart'!$C$2:$U$20,5,false)</f>
        <v>0.5</v>
      </c>
      <c r="Y408" s="960">
        <f t="array" ref="Y408">HLOOKUP($J408,'Type Chart'!$C$2:$T$20,6,false)*HLOOKUP($K408,'Type Chart'!$C$2:$U$20,6,false)</f>
        <v>2</v>
      </c>
      <c r="Z408" s="960">
        <f t="array" ref="Z408">HLOOKUP($J408,'Type Chart'!$C$2:$T$20,7,false)*HLOOKUP($K408,'Type Chart'!$C$2:$U$20,7,false)</f>
        <v>1</v>
      </c>
      <c r="AA408" s="960">
        <f t="array" ref="AA408">HLOOKUP($J408,'Type Chart'!$C$2:$T$20,8,false)*HLOOKUP($K408,'Type Chart'!$C$2:$U$20,8,false)</f>
        <v>0.5</v>
      </c>
      <c r="AB408" s="960">
        <f t="array" ref="AB408">HLOOKUP($J408,'Type Chart'!$C$2:$T$20,9,false)*HLOOKUP($K408,'Type Chart'!$C$2:$U$20,9,false)</f>
        <v>1</v>
      </c>
      <c r="AC408" s="960">
        <f t="array" ref="AC408">HLOOKUP($J408,'Type Chart'!$C$2:$T$20,10,false)*HLOOKUP($K408,'Type Chart'!$C$2:$U$20,10,false)</f>
        <v>1</v>
      </c>
      <c r="AD408" s="960">
        <f t="array" ref="AD408">HLOOKUP($J408,'Type Chart'!$C$2:$T$20,11,false)*HLOOKUP($K408,'Type Chart'!$C$2:$U$20,11,false)</f>
        <v>1</v>
      </c>
      <c r="AE408" s="960">
        <f t="array" ref="AE408">HLOOKUP($J408,'Type Chart'!$C$2:$T$20,12,false)*HLOOKUP($K408,'Type Chart'!$C$2:$U$20,12,false)</f>
        <v>1</v>
      </c>
      <c r="AF408" s="960">
        <f t="array" ref="AF408">HLOOKUP($J408,'Type Chart'!$C$2:$T$20,13,false)*HLOOKUP($K408,'Type Chart'!$C$2:$U$20,13,false)</f>
        <v>0.5</v>
      </c>
      <c r="AG408" s="960">
        <f t="array" ref="AG408">HLOOKUP($J408,'Type Chart'!$C$2:$T$20,14,false)*HLOOKUP($K408,'Type Chart'!$C$2:$U$20,14,false)</f>
        <v>1</v>
      </c>
      <c r="AH408" s="960">
        <f t="array" ref="AH408">HLOOKUP($J408,'Type Chart'!$C$2:$T$20,15,false)*HLOOKUP($K408,'Type Chart'!$C$2:$U$20,15,false)</f>
        <v>2</v>
      </c>
      <c r="AI408" s="960">
        <f t="array" ref="AI408">HLOOKUP($J408,'Type Chart'!$C$2:$T$20,16,false)*HLOOKUP($K408,'Type Chart'!$C$2:$U$20,16,false)</f>
        <v>1</v>
      </c>
      <c r="AJ408" s="960">
        <f t="array" ref="AJ408">HLOOKUP($J408,'Type Chart'!$C$2:$T$20,17,false)*HLOOKUP($K408,'Type Chart'!$C$2:$U$20,17,false)</f>
        <v>1</v>
      </c>
      <c r="AK408" s="960">
        <f t="array" ref="AK408">HLOOKUP($J408,'Type Chart'!$C$2:$T$20,18,false)*HLOOKUP($K408,'Type Chart'!$C$2:$U$20,18,false)</f>
        <v>1</v>
      </c>
      <c r="AL408" s="960">
        <f t="array" ref="AL408">HLOOKUP($J408,'Type Chart'!$C$2:$T$20,19,false)*HLOOKUP($K408,'Type Chart'!$C$2:$U$20,19,false)</f>
        <v>0.5</v>
      </c>
      <c r="AM408" s="964" t="s">
        <v>1325</v>
      </c>
      <c r="AN408" s="965" t="s">
        <v>1416</v>
      </c>
      <c r="AO408" s="966" t="s">
        <v>1044</v>
      </c>
      <c r="AP408" s="936"/>
      <c r="AQ408" s="967"/>
      <c r="AR408" s="968"/>
      <c r="AS408" s="936"/>
    </row>
    <row r="409" ht="15.75" customHeight="1">
      <c r="A409" s="936"/>
      <c r="B409" s="948" t="s">
        <v>2193</v>
      </c>
      <c r="C409" s="950" t="s">
        <v>2194</v>
      </c>
      <c r="D409" s="950" t="s">
        <v>2194</v>
      </c>
      <c r="E409" s="952" t="s">
        <v>2194</v>
      </c>
      <c r="F409" s="940"/>
      <c r="G409" s="953"/>
      <c r="H409" s="969"/>
      <c r="I409" s="998" t="s">
        <v>723</v>
      </c>
      <c r="J409" s="958" t="s">
        <v>178</v>
      </c>
      <c r="K409" s="984" t="s">
        <v>216</v>
      </c>
      <c r="L409" s="959">
        <v>100.0</v>
      </c>
      <c r="M409" s="960">
        <v>73.0</v>
      </c>
      <c r="N409" s="960">
        <v>83.0</v>
      </c>
      <c r="O409" s="960">
        <v>73.0</v>
      </c>
      <c r="P409" s="960">
        <v>83.0</v>
      </c>
      <c r="Q409" s="960">
        <v>55.0</v>
      </c>
      <c r="R409" s="960">
        <v>146.0</v>
      </c>
      <c r="S409" s="960">
        <v>209.0</v>
      </c>
      <c r="T409" s="960">
        <v>229.0</v>
      </c>
      <c r="U409" s="960">
        <f t="array" ref="U409">HLOOKUP($J409,'Type Chart'!$C$2:$T$20,2,false)*HLOOKUP($K409,'Type Chart'!$C$2:$U$20,2,false)</f>
        <v>1</v>
      </c>
      <c r="V409" s="960">
        <f t="array" ref="V409">HLOOKUP($J409,'Type Chart'!$C$2:$T$20,3,false)*HLOOKUP($K409,'Type Chart'!$C$2:$U$20,3,false)</f>
        <v>0.5</v>
      </c>
      <c r="W409" s="960">
        <f t="array" ref="W409">HLOOKUP($J409,'Type Chart'!$C$2:$T$20,4,false)*HLOOKUP($K409,'Type Chart'!$C$2:$U$20,4,false)</f>
        <v>1</v>
      </c>
      <c r="X409" s="960">
        <f t="array" ref="X409">HLOOKUP($J409,'Type Chart'!$C$2:$T$20,5,false)*HLOOKUP($K409,'Type Chart'!$C$2:$U$20,5,false)</f>
        <v>0.5</v>
      </c>
      <c r="Y409" s="960">
        <f t="array" ref="Y409">HLOOKUP($J409,'Type Chart'!$C$2:$T$20,6,false)*HLOOKUP($K409,'Type Chart'!$C$2:$U$20,6,false)</f>
        <v>2</v>
      </c>
      <c r="Z409" s="960">
        <f t="array" ref="Z409">HLOOKUP($J409,'Type Chart'!$C$2:$T$20,7,false)*HLOOKUP($K409,'Type Chart'!$C$2:$U$20,7,false)</f>
        <v>1</v>
      </c>
      <c r="AA409" s="960">
        <f t="array" ref="AA409">HLOOKUP($J409,'Type Chart'!$C$2:$T$20,8,false)*HLOOKUP($K409,'Type Chart'!$C$2:$U$20,8,false)</f>
        <v>0.5</v>
      </c>
      <c r="AB409" s="960">
        <f t="array" ref="AB409">HLOOKUP($J409,'Type Chart'!$C$2:$T$20,9,false)*HLOOKUP($K409,'Type Chart'!$C$2:$U$20,9,false)</f>
        <v>1</v>
      </c>
      <c r="AC409" s="960">
        <f t="array" ref="AC409">HLOOKUP($J409,'Type Chart'!$C$2:$T$20,10,false)*HLOOKUP($K409,'Type Chart'!$C$2:$U$20,10,false)</f>
        <v>1</v>
      </c>
      <c r="AD409" s="960">
        <f t="array" ref="AD409">HLOOKUP($J409,'Type Chart'!$C$2:$T$20,11,false)*HLOOKUP($K409,'Type Chart'!$C$2:$U$20,11,false)</f>
        <v>1</v>
      </c>
      <c r="AE409" s="960">
        <f t="array" ref="AE409">HLOOKUP($J409,'Type Chart'!$C$2:$T$20,12,false)*HLOOKUP($K409,'Type Chart'!$C$2:$U$20,12,false)</f>
        <v>1</v>
      </c>
      <c r="AF409" s="960">
        <f t="array" ref="AF409">HLOOKUP($J409,'Type Chart'!$C$2:$T$20,13,false)*HLOOKUP($K409,'Type Chart'!$C$2:$U$20,13,false)</f>
        <v>0.5</v>
      </c>
      <c r="AG409" s="960">
        <f t="array" ref="AG409">HLOOKUP($J409,'Type Chart'!$C$2:$T$20,14,false)*HLOOKUP($K409,'Type Chart'!$C$2:$U$20,14,false)</f>
        <v>1</v>
      </c>
      <c r="AH409" s="960">
        <f t="array" ref="AH409">HLOOKUP($J409,'Type Chart'!$C$2:$T$20,15,false)*HLOOKUP($K409,'Type Chart'!$C$2:$U$20,15,false)</f>
        <v>2</v>
      </c>
      <c r="AI409" s="960">
        <f t="array" ref="AI409">HLOOKUP($J409,'Type Chart'!$C$2:$T$20,16,false)*HLOOKUP($K409,'Type Chart'!$C$2:$U$20,16,false)</f>
        <v>1</v>
      </c>
      <c r="AJ409" s="960">
        <f t="array" ref="AJ409">HLOOKUP($J409,'Type Chart'!$C$2:$T$20,17,false)*HLOOKUP($K409,'Type Chart'!$C$2:$U$20,17,false)</f>
        <v>1</v>
      </c>
      <c r="AK409" s="960">
        <f t="array" ref="AK409">HLOOKUP($J409,'Type Chart'!$C$2:$T$20,18,false)*HLOOKUP($K409,'Type Chart'!$C$2:$U$20,18,false)</f>
        <v>1</v>
      </c>
      <c r="AL409" s="960">
        <f t="array" ref="AL409">HLOOKUP($J409,'Type Chart'!$C$2:$T$20,19,false)*HLOOKUP($K409,'Type Chart'!$C$2:$U$20,19,false)</f>
        <v>0.5</v>
      </c>
      <c r="AM409" s="964" t="s">
        <v>1325</v>
      </c>
      <c r="AN409" s="965" t="s">
        <v>1416</v>
      </c>
      <c r="AO409" s="966" t="s">
        <v>1044</v>
      </c>
      <c r="AP409" s="936"/>
      <c r="AQ409" s="967"/>
      <c r="AR409" s="968"/>
      <c r="AS409" s="936"/>
    </row>
    <row r="410" ht="15.75" customHeight="1">
      <c r="A410" s="936"/>
      <c r="B410" s="948" t="s">
        <v>2195</v>
      </c>
      <c r="C410" s="950" t="s">
        <v>2196</v>
      </c>
      <c r="D410" s="950" t="s">
        <v>2196</v>
      </c>
      <c r="E410" s="952" t="s">
        <v>2196</v>
      </c>
      <c r="F410" s="940"/>
      <c r="G410" s="953"/>
      <c r="H410" s="969"/>
      <c r="I410" s="998" t="s">
        <v>2197</v>
      </c>
      <c r="J410" s="1056" t="s">
        <v>81</v>
      </c>
      <c r="K410" s="1195" t="s">
        <v>193</v>
      </c>
      <c r="L410" s="959">
        <v>45.0</v>
      </c>
      <c r="M410" s="960">
        <v>90.0</v>
      </c>
      <c r="N410" s="960">
        <v>20.0</v>
      </c>
      <c r="O410" s="960">
        <v>65.0</v>
      </c>
      <c r="P410" s="960">
        <v>20.0</v>
      </c>
      <c r="Q410" s="960">
        <v>65.0</v>
      </c>
      <c r="R410" s="960">
        <v>166.0</v>
      </c>
      <c r="S410" s="960">
        <v>229.0</v>
      </c>
      <c r="T410" s="960">
        <v>251.0</v>
      </c>
      <c r="U410" s="960">
        <f t="array" ref="U410">HLOOKUP($J410,'Type Chart'!$C$2:$T$20,2,false)*HLOOKUP($K410,'Type Chart'!$C$2:$U$20,2,false)</f>
        <v>1</v>
      </c>
      <c r="V410" s="960">
        <f t="array" ref="V410">HLOOKUP($J410,'Type Chart'!$C$2:$T$20,3,false)*HLOOKUP($K410,'Type Chart'!$C$2:$U$20,3,false)</f>
        <v>2</v>
      </c>
      <c r="W410" s="960">
        <f t="array" ref="W410">HLOOKUP($J410,'Type Chart'!$C$2:$T$20,4,false)*HLOOKUP($K410,'Type Chart'!$C$2:$U$20,4,false)</f>
        <v>1</v>
      </c>
      <c r="X410" s="960">
        <f t="array" ref="X410">HLOOKUP($J410,'Type Chart'!$C$2:$T$20,5,false)*HLOOKUP($K410,'Type Chart'!$C$2:$U$20,5,false)</f>
        <v>1</v>
      </c>
      <c r="Y410" s="960">
        <f t="array" ref="Y410">HLOOKUP($J410,'Type Chart'!$C$2:$T$20,6,false)*HLOOKUP($K410,'Type Chart'!$C$2:$U$20,6,false)</f>
        <v>1</v>
      </c>
      <c r="Z410" s="960">
        <f t="array" ref="Z410">HLOOKUP($J410,'Type Chart'!$C$2:$T$20,7,false)*HLOOKUP($K410,'Type Chart'!$C$2:$U$20,7,false)</f>
        <v>1</v>
      </c>
      <c r="AA410" s="960">
        <f t="array" ref="AA410">HLOOKUP($J410,'Type Chart'!$C$2:$T$20,8,false)*HLOOKUP($K410,'Type Chart'!$C$2:$U$20,8,false)</f>
        <v>2</v>
      </c>
      <c r="AB410" s="960">
        <f t="array" ref="AB410">HLOOKUP($J410,'Type Chart'!$C$2:$T$20,9,false)*HLOOKUP($K410,'Type Chart'!$C$2:$U$20,9,false)</f>
        <v>0.5</v>
      </c>
      <c r="AC410" s="960">
        <f t="array" ref="AC410">HLOOKUP($J410,'Type Chart'!$C$2:$T$20,10,false)*HLOOKUP($K410,'Type Chart'!$C$2:$U$20,10,false)</f>
        <v>0.5</v>
      </c>
      <c r="AD410" s="960">
        <f t="array" ref="AD410">HLOOKUP($J410,'Type Chart'!$C$2:$T$20,11,false)*HLOOKUP($K410,'Type Chart'!$C$2:$U$20,11,false)</f>
        <v>0.5</v>
      </c>
      <c r="AE410" s="960">
        <f t="array" ref="AE410">HLOOKUP($J410,'Type Chart'!$C$2:$T$20,12,false)*HLOOKUP($K410,'Type Chart'!$C$2:$U$20,12,false)</f>
        <v>0.5</v>
      </c>
      <c r="AF410" s="960">
        <f t="array" ref="AF410">HLOOKUP($J410,'Type Chart'!$C$2:$T$20,13,false)*HLOOKUP($K410,'Type Chart'!$C$2:$U$20,13,false)</f>
        <v>2</v>
      </c>
      <c r="AG410" s="960">
        <f t="array" ref="AG410">HLOOKUP($J410,'Type Chart'!$C$2:$T$20,14,false)*HLOOKUP($K410,'Type Chart'!$C$2:$U$20,14,false)</f>
        <v>2</v>
      </c>
      <c r="AH410" s="960">
        <f t="array" ref="AH410">HLOOKUP($J410,'Type Chart'!$C$2:$T$20,15,false)*HLOOKUP($K410,'Type Chart'!$C$2:$U$20,15,false)</f>
        <v>0</v>
      </c>
      <c r="AI410" s="960">
        <f t="array" ref="AI410">HLOOKUP($J410,'Type Chart'!$C$2:$T$20,16,false)*HLOOKUP($K410,'Type Chart'!$C$2:$U$20,16,false)</f>
        <v>0.5</v>
      </c>
      <c r="AJ410" s="960">
        <f t="array" ref="AJ410">HLOOKUP($J410,'Type Chart'!$C$2:$T$20,17,false)*HLOOKUP($K410,'Type Chart'!$C$2:$U$20,17,false)</f>
        <v>1</v>
      </c>
      <c r="AK410" s="960">
        <f t="array" ref="AK410">HLOOKUP($J410,'Type Chart'!$C$2:$T$20,18,false)*HLOOKUP($K410,'Type Chart'!$C$2:$U$20,18,false)</f>
        <v>0.5</v>
      </c>
      <c r="AL410" s="960">
        <f t="array" ref="AL410">HLOOKUP($J410,'Type Chart'!$C$2:$T$20,19,false)*HLOOKUP($K410,'Type Chart'!$C$2:$U$20,19,false)</f>
        <v>2</v>
      </c>
      <c r="AM410" s="1145" t="s">
        <v>2198</v>
      </c>
      <c r="AN410" s="965"/>
      <c r="AO410" s="966" t="s">
        <v>1798</v>
      </c>
      <c r="AP410" s="936"/>
      <c r="AQ410" s="967"/>
      <c r="AR410" s="968"/>
      <c r="AS410" s="936"/>
    </row>
    <row r="411" ht="15.75" customHeight="1">
      <c r="A411" s="936"/>
      <c r="B411" s="948" t="s">
        <v>2199</v>
      </c>
      <c r="C411" s="950" t="s">
        <v>2200</v>
      </c>
      <c r="D411" s="950" t="s">
        <v>2200</v>
      </c>
      <c r="E411" s="952" t="s">
        <v>2200</v>
      </c>
      <c r="F411" s="940"/>
      <c r="G411" s="953"/>
      <c r="H411" s="969"/>
      <c r="I411" s="956" t="s">
        <v>2201</v>
      </c>
      <c r="J411" s="1056" t="s">
        <v>81</v>
      </c>
      <c r="K411" s="1195" t="s">
        <v>193</v>
      </c>
      <c r="L411" s="959">
        <v>70.0</v>
      </c>
      <c r="M411" s="960">
        <v>120.0</v>
      </c>
      <c r="N411" s="960">
        <v>40.0</v>
      </c>
      <c r="O411" s="960">
        <v>95.0</v>
      </c>
      <c r="P411" s="960">
        <v>40.0</v>
      </c>
      <c r="Q411" s="960">
        <v>95.0</v>
      </c>
      <c r="R411" s="960">
        <v>226.0</v>
      </c>
      <c r="S411" s="960">
        <v>289.0</v>
      </c>
      <c r="T411" s="960">
        <v>317.0</v>
      </c>
      <c r="U411" s="960">
        <f t="array" ref="U411">HLOOKUP($J411,'Type Chart'!$C$2:$T$20,2,false)*HLOOKUP($K411,'Type Chart'!$C$2:$U$20,2,false)</f>
        <v>1</v>
      </c>
      <c r="V411" s="960">
        <f t="array" ref="V411">HLOOKUP($J411,'Type Chart'!$C$2:$T$20,3,false)*HLOOKUP($K411,'Type Chart'!$C$2:$U$20,3,false)</f>
        <v>2</v>
      </c>
      <c r="W411" s="960">
        <f t="array" ref="W411">HLOOKUP($J411,'Type Chart'!$C$2:$T$20,4,false)*HLOOKUP($K411,'Type Chart'!$C$2:$U$20,4,false)</f>
        <v>1</v>
      </c>
      <c r="X411" s="960">
        <f t="array" ref="X411">HLOOKUP($J411,'Type Chart'!$C$2:$T$20,5,false)*HLOOKUP($K411,'Type Chart'!$C$2:$U$20,5,false)</f>
        <v>1</v>
      </c>
      <c r="Y411" s="960">
        <f t="array" ref="Y411">HLOOKUP($J411,'Type Chart'!$C$2:$T$20,6,false)*HLOOKUP($K411,'Type Chart'!$C$2:$U$20,6,false)</f>
        <v>1</v>
      </c>
      <c r="Z411" s="960">
        <f t="array" ref="Z411">HLOOKUP($J411,'Type Chart'!$C$2:$T$20,7,false)*HLOOKUP($K411,'Type Chart'!$C$2:$U$20,7,false)</f>
        <v>1</v>
      </c>
      <c r="AA411" s="960">
        <f t="array" ref="AA411">HLOOKUP($J411,'Type Chart'!$C$2:$T$20,8,false)*HLOOKUP($K411,'Type Chart'!$C$2:$U$20,8,false)</f>
        <v>2</v>
      </c>
      <c r="AB411" s="960">
        <f t="array" ref="AB411">HLOOKUP($J411,'Type Chart'!$C$2:$T$20,9,false)*HLOOKUP($K411,'Type Chart'!$C$2:$U$20,9,false)</f>
        <v>0.5</v>
      </c>
      <c r="AC411" s="960">
        <f t="array" ref="AC411">HLOOKUP($J411,'Type Chart'!$C$2:$T$20,10,false)*HLOOKUP($K411,'Type Chart'!$C$2:$U$20,10,false)</f>
        <v>0.5</v>
      </c>
      <c r="AD411" s="960">
        <f t="array" ref="AD411">HLOOKUP($J411,'Type Chart'!$C$2:$T$20,11,false)*HLOOKUP($K411,'Type Chart'!$C$2:$U$20,11,false)</f>
        <v>0.5</v>
      </c>
      <c r="AE411" s="960">
        <f t="array" ref="AE411">HLOOKUP($J411,'Type Chart'!$C$2:$T$20,12,false)*HLOOKUP($K411,'Type Chart'!$C$2:$U$20,12,false)</f>
        <v>0.5</v>
      </c>
      <c r="AF411" s="960">
        <f t="array" ref="AF411">HLOOKUP($J411,'Type Chart'!$C$2:$T$20,13,false)*HLOOKUP($K411,'Type Chart'!$C$2:$U$20,13,false)</f>
        <v>2</v>
      </c>
      <c r="AG411" s="960">
        <f t="array" ref="AG411">HLOOKUP($J411,'Type Chart'!$C$2:$T$20,14,false)*HLOOKUP($K411,'Type Chart'!$C$2:$U$20,14,false)</f>
        <v>2</v>
      </c>
      <c r="AH411" s="960">
        <f t="array" ref="AH411">HLOOKUP($J411,'Type Chart'!$C$2:$T$20,15,false)*HLOOKUP($K411,'Type Chart'!$C$2:$U$20,15,false)</f>
        <v>0</v>
      </c>
      <c r="AI411" s="960">
        <f t="array" ref="AI411">HLOOKUP($J411,'Type Chart'!$C$2:$T$20,16,false)*HLOOKUP($K411,'Type Chart'!$C$2:$U$20,16,false)</f>
        <v>0.5</v>
      </c>
      <c r="AJ411" s="960">
        <f t="array" ref="AJ411">HLOOKUP($J411,'Type Chart'!$C$2:$T$20,17,false)*HLOOKUP($K411,'Type Chart'!$C$2:$U$20,17,false)</f>
        <v>1</v>
      </c>
      <c r="AK411" s="960">
        <f t="array" ref="AK411">HLOOKUP($J411,'Type Chart'!$C$2:$T$20,18,false)*HLOOKUP($K411,'Type Chart'!$C$2:$U$20,18,false)</f>
        <v>0.5</v>
      </c>
      <c r="AL411" s="960">
        <f t="array" ref="AL411">HLOOKUP($J411,'Type Chart'!$C$2:$T$20,19,false)*HLOOKUP($K411,'Type Chart'!$C$2:$U$20,19,false)</f>
        <v>2</v>
      </c>
      <c r="AM411" s="964" t="s">
        <v>2198</v>
      </c>
      <c r="AN411" s="965"/>
      <c r="AO411" s="966" t="s">
        <v>1798</v>
      </c>
      <c r="AP411" s="936"/>
      <c r="AQ411" s="967"/>
      <c r="AR411" s="968"/>
      <c r="AS411" s="936"/>
    </row>
    <row r="412" ht="15.75" customHeight="1">
      <c r="A412" s="936"/>
      <c r="B412" s="948" t="s">
        <v>2202</v>
      </c>
      <c r="C412" s="950" t="s">
        <v>2203</v>
      </c>
      <c r="D412" s="950" t="s">
        <v>2203</v>
      </c>
      <c r="E412" s="952" t="s">
        <v>2203</v>
      </c>
      <c r="F412" s="940"/>
      <c r="G412" s="953"/>
      <c r="H412" s="969"/>
      <c r="I412" s="956" t="s">
        <v>2204</v>
      </c>
      <c r="J412" s="1056" t="s">
        <v>81</v>
      </c>
      <c r="K412" s="1195" t="s">
        <v>193</v>
      </c>
      <c r="L412" s="959">
        <v>70.0</v>
      </c>
      <c r="M412" s="960">
        <v>140.0</v>
      </c>
      <c r="N412" s="960">
        <v>70.0</v>
      </c>
      <c r="O412" s="960">
        <v>110.0</v>
      </c>
      <c r="P412" s="960">
        <v>65.0</v>
      </c>
      <c r="Q412" s="960">
        <v>105.0</v>
      </c>
      <c r="R412" s="960">
        <v>246.0</v>
      </c>
      <c r="S412" s="960">
        <v>309.0</v>
      </c>
      <c r="T412" s="960">
        <v>339.0</v>
      </c>
      <c r="U412" s="960">
        <f t="array" ref="U412">HLOOKUP($J412,'Type Chart'!$C$2:$T$20,2,false)*HLOOKUP($K412,'Type Chart'!$C$2:$U$20,2,false)</f>
        <v>1</v>
      </c>
      <c r="V412" s="960">
        <f t="array" ref="V412">HLOOKUP($J412,'Type Chart'!$C$2:$T$20,3,false)*HLOOKUP($K412,'Type Chart'!$C$2:$U$20,3,false)</f>
        <v>2</v>
      </c>
      <c r="W412" s="960">
        <f t="array" ref="W412">HLOOKUP($J412,'Type Chart'!$C$2:$T$20,4,false)*HLOOKUP($K412,'Type Chart'!$C$2:$U$20,4,false)</f>
        <v>1</v>
      </c>
      <c r="X412" s="960">
        <f t="array" ref="X412">HLOOKUP($J412,'Type Chart'!$C$2:$T$20,5,false)*HLOOKUP($K412,'Type Chart'!$C$2:$U$20,5,false)</f>
        <v>1</v>
      </c>
      <c r="Y412" s="960">
        <f t="array" ref="Y412">HLOOKUP($J412,'Type Chart'!$C$2:$T$20,6,false)*HLOOKUP($K412,'Type Chart'!$C$2:$U$20,6,false)</f>
        <v>1</v>
      </c>
      <c r="Z412" s="960">
        <f t="array" ref="Z412">HLOOKUP($J412,'Type Chart'!$C$2:$T$20,7,false)*HLOOKUP($K412,'Type Chart'!$C$2:$U$20,7,false)</f>
        <v>1</v>
      </c>
      <c r="AA412" s="960">
        <f t="array" ref="AA412">HLOOKUP($J412,'Type Chart'!$C$2:$T$20,8,false)*HLOOKUP($K412,'Type Chart'!$C$2:$U$20,8,false)</f>
        <v>2</v>
      </c>
      <c r="AB412" s="960">
        <f t="array" ref="AB412">HLOOKUP($J412,'Type Chart'!$C$2:$T$20,9,false)*HLOOKUP($K412,'Type Chart'!$C$2:$U$20,9,false)</f>
        <v>0.5</v>
      </c>
      <c r="AC412" s="960">
        <f t="array" ref="AC412">HLOOKUP($J412,'Type Chart'!$C$2:$T$20,10,false)*HLOOKUP($K412,'Type Chart'!$C$2:$U$20,10,false)</f>
        <v>0.5</v>
      </c>
      <c r="AD412" s="960">
        <f t="array" ref="AD412">HLOOKUP($J412,'Type Chart'!$C$2:$T$20,11,false)*HLOOKUP($K412,'Type Chart'!$C$2:$U$20,11,false)</f>
        <v>0.5</v>
      </c>
      <c r="AE412" s="960">
        <f t="array" ref="AE412">HLOOKUP($J412,'Type Chart'!$C$2:$T$20,12,false)*HLOOKUP($K412,'Type Chart'!$C$2:$U$20,12,false)</f>
        <v>0.5</v>
      </c>
      <c r="AF412" s="960">
        <f t="array" ref="AF412">HLOOKUP($J412,'Type Chart'!$C$2:$T$20,13,false)*HLOOKUP($K412,'Type Chart'!$C$2:$U$20,13,false)</f>
        <v>2</v>
      </c>
      <c r="AG412" s="960">
        <f t="array" ref="AG412">HLOOKUP($J412,'Type Chart'!$C$2:$T$20,14,false)*HLOOKUP($K412,'Type Chart'!$C$2:$U$20,14,false)</f>
        <v>2</v>
      </c>
      <c r="AH412" s="960">
        <f t="array" ref="AH412">HLOOKUP($J412,'Type Chart'!$C$2:$T$20,15,false)*HLOOKUP($K412,'Type Chart'!$C$2:$U$20,15,false)</f>
        <v>0</v>
      </c>
      <c r="AI412" s="960">
        <f t="array" ref="AI412">HLOOKUP($J412,'Type Chart'!$C$2:$T$20,16,false)*HLOOKUP($K412,'Type Chart'!$C$2:$U$20,16,false)</f>
        <v>0.5</v>
      </c>
      <c r="AJ412" s="960">
        <f t="array" ref="AJ412">HLOOKUP($J412,'Type Chart'!$C$2:$T$20,17,false)*HLOOKUP($K412,'Type Chart'!$C$2:$U$20,17,false)</f>
        <v>1</v>
      </c>
      <c r="AK412" s="960">
        <f t="array" ref="AK412">HLOOKUP($J412,'Type Chart'!$C$2:$T$20,18,false)*HLOOKUP($K412,'Type Chart'!$C$2:$U$20,18,false)</f>
        <v>0.5</v>
      </c>
      <c r="AL412" s="960">
        <f t="array" ref="AL412">HLOOKUP($J412,'Type Chart'!$C$2:$T$20,19,false)*HLOOKUP($K412,'Type Chart'!$C$2:$U$20,19,false)</f>
        <v>2</v>
      </c>
      <c r="AM412" s="964" t="s">
        <v>2205</v>
      </c>
      <c r="AN412" s="965"/>
      <c r="AO412" s="966"/>
      <c r="AP412" s="936"/>
      <c r="AQ412" s="967"/>
      <c r="AR412" s="968"/>
      <c r="AS412" s="936"/>
    </row>
    <row r="413" ht="15.75" customHeight="1">
      <c r="A413" s="936"/>
      <c r="B413" s="948" t="s">
        <v>2206</v>
      </c>
      <c r="C413" s="950" t="s">
        <v>2207</v>
      </c>
      <c r="D413" s="950" t="s">
        <v>2207</v>
      </c>
      <c r="E413" s="952" t="s">
        <v>2207</v>
      </c>
      <c r="F413" s="940"/>
      <c r="G413" s="953"/>
      <c r="H413" s="969"/>
      <c r="I413" s="956" t="s">
        <v>2208</v>
      </c>
      <c r="J413" s="1056" t="s">
        <v>81</v>
      </c>
      <c r="K413" s="984" t="s">
        <v>216</v>
      </c>
      <c r="L413" s="959">
        <v>130.0</v>
      </c>
      <c r="M413" s="960">
        <v>70.0</v>
      </c>
      <c r="N413" s="960">
        <v>35.0</v>
      </c>
      <c r="O413" s="960">
        <v>70.0</v>
      </c>
      <c r="P413" s="960">
        <v>35.0</v>
      </c>
      <c r="Q413" s="960">
        <v>60.0</v>
      </c>
      <c r="R413" s="960">
        <v>156.0</v>
      </c>
      <c r="S413" s="960">
        <v>219.0</v>
      </c>
      <c r="T413" s="960">
        <v>240.0</v>
      </c>
      <c r="U413" s="960">
        <f t="array" ref="U413">HLOOKUP($J413,'Type Chart'!$C$2:$T$20,2,false)*HLOOKUP($K413,'Type Chart'!$C$2:$U$20,2,false)</f>
        <v>1</v>
      </c>
      <c r="V413" s="960">
        <f t="array" ref="V413">HLOOKUP($J413,'Type Chart'!$C$2:$T$20,3,false)*HLOOKUP($K413,'Type Chart'!$C$2:$U$20,3,false)</f>
        <v>1</v>
      </c>
      <c r="W413" s="960">
        <f t="array" ref="W413">HLOOKUP($J413,'Type Chart'!$C$2:$T$20,4,false)*HLOOKUP($K413,'Type Chart'!$C$2:$U$20,4,false)</f>
        <v>1</v>
      </c>
      <c r="X413" s="960">
        <f t="array" ref="X413">HLOOKUP($J413,'Type Chart'!$C$2:$T$20,5,false)*HLOOKUP($K413,'Type Chart'!$C$2:$U$20,5,false)</f>
        <v>1</v>
      </c>
      <c r="Y413" s="960">
        <f t="array" ref="Y413">HLOOKUP($J413,'Type Chart'!$C$2:$T$20,6,false)*HLOOKUP($K413,'Type Chart'!$C$2:$U$20,6,false)</f>
        <v>1</v>
      </c>
      <c r="Z413" s="960">
        <f t="array" ref="Z413">HLOOKUP($J413,'Type Chart'!$C$2:$T$20,7,false)*HLOOKUP($K413,'Type Chart'!$C$2:$U$20,7,false)</f>
        <v>1</v>
      </c>
      <c r="AA413" s="960">
        <f t="array" ref="AA413">HLOOKUP($J413,'Type Chart'!$C$2:$T$20,8,false)*HLOOKUP($K413,'Type Chart'!$C$2:$U$20,8,false)</f>
        <v>1</v>
      </c>
      <c r="AB413" s="960">
        <f t="array" ref="AB413">HLOOKUP($J413,'Type Chart'!$C$2:$T$20,9,false)*HLOOKUP($K413,'Type Chart'!$C$2:$U$20,9,false)</f>
        <v>1</v>
      </c>
      <c r="AC413" s="960">
        <f t="array" ref="AC413">HLOOKUP($J413,'Type Chart'!$C$2:$T$20,10,false)*HLOOKUP($K413,'Type Chart'!$C$2:$U$20,10,false)</f>
        <v>0.5</v>
      </c>
      <c r="AD413" s="960">
        <f t="array" ref="AD413">HLOOKUP($J413,'Type Chart'!$C$2:$T$20,11,false)*HLOOKUP($K413,'Type Chart'!$C$2:$U$20,11,false)</f>
        <v>0.5</v>
      </c>
      <c r="AE413" s="960">
        <f t="array" ref="AE413">HLOOKUP($J413,'Type Chart'!$C$2:$T$20,12,false)*HLOOKUP($K413,'Type Chart'!$C$2:$U$20,12,false)</f>
        <v>0.5</v>
      </c>
      <c r="AF413" s="960">
        <f t="array" ref="AF413">HLOOKUP($J413,'Type Chart'!$C$2:$T$20,13,false)*HLOOKUP($K413,'Type Chart'!$C$2:$U$20,13,false)</f>
        <v>2</v>
      </c>
      <c r="AG413" s="960">
        <f t="array" ref="AG413">HLOOKUP($J413,'Type Chart'!$C$2:$T$20,14,false)*HLOOKUP($K413,'Type Chart'!$C$2:$U$20,14,false)</f>
        <v>2</v>
      </c>
      <c r="AH413" s="960">
        <f t="array" ref="AH413">HLOOKUP($J413,'Type Chart'!$C$2:$T$20,15,false)*HLOOKUP($K413,'Type Chart'!$C$2:$U$20,15,false)</f>
        <v>1</v>
      </c>
      <c r="AI413" s="960">
        <f t="array" ref="AI413">HLOOKUP($J413,'Type Chart'!$C$2:$T$20,16,false)*HLOOKUP($K413,'Type Chart'!$C$2:$U$20,16,false)</f>
        <v>0.5</v>
      </c>
      <c r="AJ413" s="960">
        <f t="array" ref="AJ413">HLOOKUP($J413,'Type Chart'!$C$2:$T$20,17,false)*HLOOKUP($K413,'Type Chart'!$C$2:$U$20,17,false)</f>
        <v>1</v>
      </c>
      <c r="AK413" s="960">
        <f t="array" ref="AK413">HLOOKUP($J413,'Type Chart'!$C$2:$T$20,18,false)*HLOOKUP($K413,'Type Chart'!$C$2:$U$20,18,false)</f>
        <v>1</v>
      </c>
      <c r="AL413" s="960">
        <f t="array" ref="AL413">HLOOKUP($J413,'Type Chart'!$C$2:$T$20,19,false)*HLOOKUP($K413,'Type Chart'!$C$2:$U$20,19,false)</f>
        <v>1</v>
      </c>
      <c r="AM413" s="964" t="s">
        <v>1542</v>
      </c>
      <c r="AN413" s="965" t="s">
        <v>1369</v>
      </c>
      <c r="AO413" s="966" t="s">
        <v>1636</v>
      </c>
      <c r="AP413" s="936"/>
      <c r="AQ413" s="967"/>
      <c r="AR413" s="968"/>
      <c r="AS413" s="936"/>
    </row>
    <row r="414" ht="15.75" customHeight="1">
      <c r="A414" s="1099"/>
      <c r="B414" s="948" t="s">
        <v>2209</v>
      </c>
      <c r="C414" s="1197" t="s">
        <v>2210</v>
      </c>
      <c r="D414" s="1197" t="s">
        <v>2210</v>
      </c>
      <c r="E414" s="1147" t="s">
        <v>2210</v>
      </c>
      <c r="F414" s="940"/>
      <c r="G414" s="953"/>
      <c r="H414" s="969"/>
      <c r="I414" s="998" t="s">
        <v>2211</v>
      </c>
      <c r="J414" s="1211" t="s">
        <v>81</v>
      </c>
      <c r="K414" s="1199" t="s">
        <v>216</v>
      </c>
      <c r="L414" s="1200">
        <v>170.0</v>
      </c>
      <c r="M414" s="1201">
        <v>90.0</v>
      </c>
      <c r="N414" s="1201">
        <v>45.0</v>
      </c>
      <c r="O414" s="1201">
        <v>90.0</v>
      </c>
      <c r="P414" s="1201">
        <v>45.0</v>
      </c>
      <c r="Q414" s="1201">
        <v>60.0</v>
      </c>
      <c r="R414" s="960">
        <v>156.0</v>
      </c>
      <c r="S414" s="960">
        <v>219.0</v>
      </c>
      <c r="T414" s="960">
        <v>240.0</v>
      </c>
      <c r="U414" s="960">
        <f t="array" ref="U414">HLOOKUP($J414,'Type Chart'!$C$2:$T$20,2,false)*HLOOKUP($K414,'Type Chart'!$C$2:$U$20,2,false)</f>
        <v>1</v>
      </c>
      <c r="V414" s="960">
        <f t="array" ref="V414">HLOOKUP($J414,'Type Chart'!$C$2:$T$20,3,false)*HLOOKUP($K414,'Type Chart'!$C$2:$U$20,3,false)</f>
        <v>1</v>
      </c>
      <c r="W414" s="960">
        <f t="array" ref="W414">HLOOKUP($J414,'Type Chart'!$C$2:$T$20,4,false)*HLOOKUP($K414,'Type Chart'!$C$2:$U$20,4,false)</f>
        <v>1</v>
      </c>
      <c r="X414" s="960">
        <f t="array" ref="X414">HLOOKUP($J414,'Type Chart'!$C$2:$T$20,5,false)*HLOOKUP($K414,'Type Chart'!$C$2:$U$20,5,false)</f>
        <v>1</v>
      </c>
      <c r="Y414" s="960">
        <f t="array" ref="Y414">HLOOKUP($J414,'Type Chart'!$C$2:$T$20,6,false)*HLOOKUP($K414,'Type Chart'!$C$2:$U$20,6,false)</f>
        <v>1</v>
      </c>
      <c r="Z414" s="960">
        <f t="array" ref="Z414">HLOOKUP($J414,'Type Chart'!$C$2:$T$20,7,false)*HLOOKUP($K414,'Type Chart'!$C$2:$U$20,7,false)</f>
        <v>1</v>
      </c>
      <c r="AA414" s="960">
        <f t="array" ref="AA414">HLOOKUP($J414,'Type Chart'!$C$2:$T$20,8,false)*HLOOKUP($K414,'Type Chart'!$C$2:$U$20,8,false)</f>
        <v>1</v>
      </c>
      <c r="AB414" s="960">
        <f t="array" ref="AB414">HLOOKUP($J414,'Type Chart'!$C$2:$T$20,9,false)*HLOOKUP($K414,'Type Chart'!$C$2:$U$20,9,false)</f>
        <v>1</v>
      </c>
      <c r="AC414" s="960">
        <f t="array" ref="AC414">HLOOKUP($J414,'Type Chart'!$C$2:$T$20,10,false)*HLOOKUP($K414,'Type Chart'!$C$2:$U$20,10,false)</f>
        <v>0.5</v>
      </c>
      <c r="AD414" s="960">
        <f t="array" ref="AD414">HLOOKUP($J414,'Type Chart'!$C$2:$T$20,11,false)*HLOOKUP($K414,'Type Chart'!$C$2:$U$20,11,false)</f>
        <v>0.5</v>
      </c>
      <c r="AE414" s="960">
        <f t="array" ref="AE414">HLOOKUP($J414,'Type Chart'!$C$2:$T$20,12,false)*HLOOKUP($K414,'Type Chart'!$C$2:$U$20,12,false)</f>
        <v>0.5</v>
      </c>
      <c r="AF414" s="960">
        <f t="array" ref="AF414">HLOOKUP($J414,'Type Chart'!$C$2:$T$20,13,false)*HLOOKUP($K414,'Type Chart'!$C$2:$U$20,13,false)</f>
        <v>2</v>
      </c>
      <c r="AG414" s="960">
        <f t="array" ref="AG414">HLOOKUP($J414,'Type Chart'!$C$2:$T$20,14,false)*HLOOKUP($K414,'Type Chart'!$C$2:$U$20,14,false)</f>
        <v>2</v>
      </c>
      <c r="AH414" s="960">
        <f t="array" ref="AH414">HLOOKUP($J414,'Type Chart'!$C$2:$T$20,15,false)*HLOOKUP($K414,'Type Chart'!$C$2:$U$20,15,false)</f>
        <v>1</v>
      </c>
      <c r="AI414" s="960">
        <f t="array" ref="AI414">HLOOKUP($J414,'Type Chart'!$C$2:$T$20,16,false)*HLOOKUP($K414,'Type Chart'!$C$2:$U$20,16,false)</f>
        <v>0.5</v>
      </c>
      <c r="AJ414" s="960">
        <f t="array" ref="AJ414">HLOOKUP($J414,'Type Chart'!$C$2:$T$20,17,false)*HLOOKUP($K414,'Type Chart'!$C$2:$U$20,17,false)</f>
        <v>1</v>
      </c>
      <c r="AK414" s="960">
        <f t="array" ref="AK414">HLOOKUP($J414,'Type Chart'!$C$2:$T$20,18,false)*HLOOKUP($K414,'Type Chart'!$C$2:$U$20,18,false)</f>
        <v>1</v>
      </c>
      <c r="AL414" s="960">
        <f t="array" ref="AL414">HLOOKUP($J414,'Type Chart'!$C$2:$T$20,19,false)*HLOOKUP($K414,'Type Chart'!$C$2:$U$20,19,false)</f>
        <v>1</v>
      </c>
      <c r="AM414" s="1145" t="s">
        <v>1542</v>
      </c>
      <c r="AN414" s="965" t="s">
        <v>1369</v>
      </c>
      <c r="AO414" s="966" t="s">
        <v>1636</v>
      </c>
      <c r="AP414" s="936"/>
      <c r="AQ414" s="967"/>
      <c r="AR414" s="968"/>
      <c r="AS414" s="936"/>
    </row>
    <row r="415" ht="15.75" customHeight="1">
      <c r="A415" s="936"/>
      <c r="B415" s="948" t="s">
        <v>2212</v>
      </c>
      <c r="C415" s="950" t="s">
        <v>2213</v>
      </c>
      <c r="D415" s="950" t="s">
        <v>2213</v>
      </c>
      <c r="E415" s="952" t="s">
        <v>2213</v>
      </c>
      <c r="F415" s="940"/>
      <c r="G415" s="953"/>
      <c r="H415" s="969"/>
      <c r="I415" s="956" t="s">
        <v>2214</v>
      </c>
      <c r="J415" s="982" t="s">
        <v>150</v>
      </c>
      <c r="K415" s="1204" t="s">
        <v>80</v>
      </c>
      <c r="L415" s="959">
        <v>60.0</v>
      </c>
      <c r="M415" s="960">
        <v>60.0</v>
      </c>
      <c r="N415" s="960">
        <v>40.0</v>
      </c>
      <c r="O415" s="960">
        <v>65.0</v>
      </c>
      <c r="P415" s="960">
        <v>45.0</v>
      </c>
      <c r="Q415" s="960">
        <v>35.0</v>
      </c>
      <c r="R415" s="960">
        <v>106.0</v>
      </c>
      <c r="S415" s="960">
        <v>169.0</v>
      </c>
      <c r="T415" s="960">
        <v>185.0</v>
      </c>
      <c r="U415" s="960">
        <f t="array" ref="U415">HLOOKUP($J415,'Type Chart'!$C$2:$T$20,2,false)*HLOOKUP($K415,'Type Chart'!$C$2:$U$20,2,false)</f>
        <v>1</v>
      </c>
      <c r="V415" s="960">
        <f t="array" ref="V415">HLOOKUP($J415,'Type Chart'!$C$2:$T$20,3,false)*HLOOKUP($K415,'Type Chart'!$C$2:$U$20,3,false)</f>
        <v>1</v>
      </c>
      <c r="W415" s="960">
        <f t="array" ref="W415">HLOOKUP($J415,'Type Chart'!$C$2:$T$20,4,false)*HLOOKUP($K415,'Type Chart'!$C$2:$U$20,4,false)</f>
        <v>1</v>
      </c>
      <c r="X415" s="960">
        <f t="array" ref="X415">HLOOKUP($J415,'Type Chart'!$C$2:$T$20,5,false)*HLOOKUP($K415,'Type Chart'!$C$2:$U$20,5,false)</f>
        <v>0.5</v>
      </c>
      <c r="Y415" s="960">
        <f t="array" ref="Y415">HLOOKUP($J415,'Type Chart'!$C$2:$T$20,6,false)*HLOOKUP($K415,'Type Chart'!$C$2:$U$20,6,false)</f>
        <v>2</v>
      </c>
      <c r="Z415" s="960">
        <f t="array" ref="Z415">HLOOKUP($J415,'Type Chart'!$C$2:$T$20,7,false)*HLOOKUP($K415,'Type Chart'!$C$2:$U$20,7,false)</f>
        <v>1</v>
      </c>
      <c r="AA415" s="960">
        <f t="array" ref="AA415">HLOOKUP($J415,'Type Chart'!$C$2:$T$20,8,false)*HLOOKUP($K415,'Type Chart'!$C$2:$U$20,8,false)</f>
        <v>0.5</v>
      </c>
      <c r="AB415" s="960">
        <f t="array" ref="AB415">HLOOKUP($J415,'Type Chart'!$C$2:$T$20,9,false)*HLOOKUP($K415,'Type Chart'!$C$2:$U$20,9,false)</f>
        <v>1</v>
      </c>
      <c r="AC415" s="960">
        <f t="array" ref="AC415">HLOOKUP($J415,'Type Chart'!$C$2:$T$20,10,false)*HLOOKUP($K415,'Type Chart'!$C$2:$U$20,10,false)</f>
        <v>0.5</v>
      </c>
      <c r="AD415" s="960">
        <f t="array" ref="AD415">HLOOKUP($J415,'Type Chart'!$C$2:$T$20,11,false)*HLOOKUP($K415,'Type Chart'!$C$2:$U$20,11,false)</f>
        <v>0.5</v>
      </c>
      <c r="AE415" s="960">
        <f t="array" ref="AE415">HLOOKUP($J415,'Type Chart'!$C$2:$T$20,12,false)*HLOOKUP($K415,'Type Chart'!$C$2:$U$20,12,false)</f>
        <v>4</v>
      </c>
      <c r="AF415" s="960">
        <f t="array" ref="AF415">HLOOKUP($J415,'Type Chart'!$C$2:$T$20,13,false)*HLOOKUP($K415,'Type Chart'!$C$2:$U$20,13,false)</f>
        <v>1</v>
      </c>
      <c r="AG415" s="960">
        <f t="array" ref="AG415">HLOOKUP($J415,'Type Chart'!$C$2:$T$20,14,false)*HLOOKUP($K415,'Type Chart'!$C$2:$U$20,14,false)</f>
        <v>0</v>
      </c>
      <c r="AH415" s="960">
        <f t="array" ref="AH415">HLOOKUP($J415,'Type Chart'!$C$2:$T$20,15,false)*HLOOKUP($K415,'Type Chart'!$C$2:$U$20,15,false)</f>
        <v>1</v>
      </c>
      <c r="AI415" s="960">
        <f t="array" ref="AI415">HLOOKUP($J415,'Type Chart'!$C$2:$T$20,16,false)*HLOOKUP($K415,'Type Chart'!$C$2:$U$20,16,false)</f>
        <v>1</v>
      </c>
      <c r="AJ415" s="960">
        <f t="array" ref="AJ415">HLOOKUP($J415,'Type Chart'!$C$2:$T$20,17,false)*HLOOKUP($K415,'Type Chart'!$C$2:$U$20,17,false)</f>
        <v>1</v>
      </c>
      <c r="AK415" s="960">
        <f t="array" ref="AK415">HLOOKUP($J415,'Type Chart'!$C$2:$T$20,18,false)*HLOOKUP($K415,'Type Chart'!$C$2:$U$20,18,false)</f>
        <v>1</v>
      </c>
      <c r="AL415" s="960">
        <f t="array" ref="AL415">HLOOKUP($J415,'Type Chart'!$C$2:$T$20,19,false)*HLOOKUP($K415,'Type Chart'!$C$2:$U$20,19,false)</f>
        <v>0.5</v>
      </c>
      <c r="AM415" s="964" t="s">
        <v>1369</v>
      </c>
      <c r="AN415" s="965" t="s">
        <v>2215</v>
      </c>
      <c r="AO415" s="966" t="s">
        <v>1370</v>
      </c>
      <c r="AP415" s="936"/>
      <c r="AQ415" s="967"/>
      <c r="AR415" s="968"/>
      <c r="AS415" s="936"/>
    </row>
    <row r="416" ht="15.75" customHeight="1">
      <c r="A416" s="1099"/>
      <c r="B416" s="948" t="s">
        <v>2216</v>
      </c>
      <c r="C416" s="1197" t="s">
        <v>2217</v>
      </c>
      <c r="D416" s="1197" t="s">
        <v>2217</v>
      </c>
      <c r="E416" s="1147" t="s">
        <v>2217</v>
      </c>
      <c r="F416" s="940"/>
      <c r="G416" s="953"/>
      <c r="H416" s="969"/>
      <c r="I416" s="998" t="s">
        <v>745</v>
      </c>
      <c r="J416" s="1208" t="s">
        <v>150</v>
      </c>
      <c r="K416" s="1223" t="s">
        <v>80</v>
      </c>
      <c r="L416" s="1200">
        <v>70.0</v>
      </c>
      <c r="M416" s="1201">
        <v>100.0</v>
      </c>
      <c r="N416" s="1201">
        <v>70.0</v>
      </c>
      <c r="O416" s="1201">
        <v>105.0</v>
      </c>
      <c r="P416" s="1201">
        <v>75.0</v>
      </c>
      <c r="Q416" s="1201">
        <v>40.0</v>
      </c>
      <c r="R416" s="960">
        <v>116.0</v>
      </c>
      <c r="S416" s="960">
        <v>179.0</v>
      </c>
      <c r="T416" s="960">
        <v>196.0</v>
      </c>
      <c r="U416" s="960">
        <f t="array" ref="U416">HLOOKUP($J416,'Type Chart'!$C$2:$T$20,2,false)*HLOOKUP($K416,'Type Chart'!$C$2:$U$20,2,false)</f>
        <v>1</v>
      </c>
      <c r="V416" s="960">
        <f t="array" ref="V416">HLOOKUP($J416,'Type Chart'!$C$2:$T$20,3,false)*HLOOKUP($K416,'Type Chart'!$C$2:$U$20,3,false)</f>
        <v>1</v>
      </c>
      <c r="W416" s="960">
        <f t="array" ref="W416">HLOOKUP($J416,'Type Chart'!$C$2:$T$20,4,false)*HLOOKUP($K416,'Type Chart'!$C$2:$U$20,4,false)</f>
        <v>1</v>
      </c>
      <c r="X416" s="960">
        <f t="array" ref="X416">HLOOKUP($J416,'Type Chart'!$C$2:$T$20,5,false)*HLOOKUP($K416,'Type Chart'!$C$2:$U$20,5,false)</f>
        <v>0.5</v>
      </c>
      <c r="Y416" s="960">
        <f t="array" ref="Y416">HLOOKUP($J416,'Type Chart'!$C$2:$T$20,6,false)*HLOOKUP($K416,'Type Chart'!$C$2:$U$20,6,false)</f>
        <v>2</v>
      </c>
      <c r="Z416" s="960">
        <f t="array" ref="Z416">HLOOKUP($J416,'Type Chart'!$C$2:$T$20,7,false)*HLOOKUP($K416,'Type Chart'!$C$2:$U$20,7,false)</f>
        <v>1</v>
      </c>
      <c r="AA416" s="960">
        <f t="array" ref="AA416">HLOOKUP($J416,'Type Chart'!$C$2:$T$20,8,false)*HLOOKUP($K416,'Type Chart'!$C$2:$U$20,8,false)</f>
        <v>0.5</v>
      </c>
      <c r="AB416" s="960">
        <f t="array" ref="AB416">HLOOKUP($J416,'Type Chart'!$C$2:$T$20,9,false)*HLOOKUP($K416,'Type Chart'!$C$2:$U$20,9,false)</f>
        <v>1</v>
      </c>
      <c r="AC416" s="960">
        <f t="array" ref="AC416">HLOOKUP($J416,'Type Chart'!$C$2:$T$20,10,false)*HLOOKUP($K416,'Type Chart'!$C$2:$U$20,10,false)</f>
        <v>0.5</v>
      </c>
      <c r="AD416" s="960">
        <f t="array" ref="AD416">HLOOKUP($J416,'Type Chart'!$C$2:$T$20,11,false)*HLOOKUP($K416,'Type Chart'!$C$2:$U$20,11,false)</f>
        <v>0.5</v>
      </c>
      <c r="AE416" s="960">
        <f t="array" ref="AE416">HLOOKUP($J416,'Type Chart'!$C$2:$T$20,12,false)*HLOOKUP($K416,'Type Chart'!$C$2:$U$20,12,false)</f>
        <v>4</v>
      </c>
      <c r="AF416" s="960">
        <f t="array" ref="AF416">HLOOKUP($J416,'Type Chart'!$C$2:$T$20,13,false)*HLOOKUP($K416,'Type Chart'!$C$2:$U$20,13,false)</f>
        <v>1</v>
      </c>
      <c r="AG416" s="960">
        <f t="array" ref="AG416">HLOOKUP($J416,'Type Chart'!$C$2:$T$20,14,false)*HLOOKUP($K416,'Type Chart'!$C$2:$U$20,14,false)</f>
        <v>0</v>
      </c>
      <c r="AH416" s="960">
        <f t="array" ref="AH416">HLOOKUP($J416,'Type Chart'!$C$2:$T$20,15,false)*HLOOKUP($K416,'Type Chart'!$C$2:$U$20,15,false)</f>
        <v>1</v>
      </c>
      <c r="AI416" s="960">
        <f t="array" ref="AI416">HLOOKUP($J416,'Type Chart'!$C$2:$T$20,16,false)*HLOOKUP($K416,'Type Chart'!$C$2:$U$20,16,false)</f>
        <v>1</v>
      </c>
      <c r="AJ416" s="960">
        <f t="array" ref="AJ416">HLOOKUP($J416,'Type Chart'!$C$2:$T$20,17,false)*HLOOKUP($K416,'Type Chart'!$C$2:$U$20,17,false)</f>
        <v>1</v>
      </c>
      <c r="AK416" s="960">
        <f t="array" ref="AK416">HLOOKUP($J416,'Type Chart'!$C$2:$T$20,18,false)*HLOOKUP($K416,'Type Chart'!$C$2:$U$20,18,false)</f>
        <v>1</v>
      </c>
      <c r="AL416" s="960">
        <f t="array" ref="AL416">HLOOKUP($J416,'Type Chart'!$C$2:$T$20,19,false)*HLOOKUP($K416,'Type Chart'!$C$2:$U$20,19,false)</f>
        <v>0.5</v>
      </c>
      <c r="AM416" s="1145" t="s">
        <v>1880</v>
      </c>
      <c r="AN416" s="1202" t="s">
        <v>2218</v>
      </c>
      <c r="AO416" s="1146" t="s">
        <v>1266</v>
      </c>
      <c r="AP416" s="936"/>
      <c r="AQ416" s="967"/>
      <c r="AR416" s="968"/>
      <c r="AS416" s="936"/>
    </row>
    <row r="417" ht="15.75" customHeight="1">
      <c r="A417" s="1099"/>
      <c r="B417" s="948" t="s">
        <v>2219</v>
      </c>
      <c r="C417" s="1197" t="s">
        <v>2220</v>
      </c>
      <c r="D417" s="1197" t="s">
        <v>2220</v>
      </c>
      <c r="E417" s="1147" t="s">
        <v>2220</v>
      </c>
      <c r="F417" s="940"/>
      <c r="G417" s="953"/>
      <c r="H417" s="969"/>
      <c r="I417" s="998" t="s">
        <v>2221</v>
      </c>
      <c r="J417" s="1208" t="s">
        <v>150</v>
      </c>
      <c r="K417" s="1223" t="s">
        <v>80</v>
      </c>
      <c r="L417" s="1200">
        <v>70.0</v>
      </c>
      <c r="M417" s="1201">
        <v>120.0</v>
      </c>
      <c r="N417" s="1201">
        <v>100.0</v>
      </c>
      <c r="O417" s="1201">
        <v>145.0</v>
      </c>
      <c r="P417" s="1201">
        <v>105.0</v>
      </c>
      <c r="Q417" s="1201">
        <v>20.0</v>
      </c>
      <c r="R417" s="960">
        <v>76.0</v>
      </c>
      <c r="S417" s="960">
        <v>139.0</v>
      </c>
      <c r="T417" s="960">
        <v>152.0</v>
      </c>
      <c r="U417" s="960">
        <f t="array" ref="U417">HLOOKUP($J417,'Type Chart'!$C$2:$T$20,2,false)*HLOOKUP($K417,'Type Chart'!$C$2:$U$20,2,false)</f>
        <v>1</v>
      </c>
      <c r="V417" s="960">
        <f t="array" ref="V417">HLOOKUP($J417,'Type Chart'!$C$2:$T$20,3,false)*HLOOKUP($K417,'Type Chart'!$C$2:$U$20,3,false)</f>
        <v>1</v>
      </c>
      <c r="W417" s="960">
        <f t="array" ref="W417">HLOOKUP($J417,'Type Chart'!$C$2:$T$20,4,false)*HLOOKUP($K417,'Type Chart'!$C$2:$U$20,4,false)</f>
        <v>1</v>
      </c>
      <c r="X417" s="960">
        <f t="array" ref="X417">HLOOKUP($J417,'Type Chart'!$C$2:$T$20,5,false)*HLOOKUP($K417,'Type Chart'!$C$2:$U$20,5,false)</f>
        <v>0.5</v>
      </c>
      <c r="Y417" s="960">
        <f t="array" ref="Y417">HLOOKUP($J417,'Type Chart'!$C$2:$T$20,6,false)*HLOOKUP($K417,'Type Chart'!$C$2:$U$20,6,false)</f>
        <v>2</v>
      </c>
      <c r="Z417" s="960">
        <f t="array" ref="Z417">HLOOKUP($J417,'Type Chart'!$C$2:$T$20,7,false)*HLOOKUP($K417,'Type Chart'!$C$2:$U$20,7,false)</f>
        <v>1</v>
      </c>
      <c r="AA417" s="960">
        <f t="array" ref="AA417">HLOOKUP($J417,'Type Chart'!$C$2:$T$20,8,false)*HLOOKUP($K417,'Type Chart'!$C$2:$U$20,8,false)</f>
        <v>0.5</v>
      </c>
      <c r="AB417" s="960">
        <f t="array" ref="AB417">HLOOKUP($J417,'Type Chart'!$C$2:$T$20,9,false)*HLOOKUP($K417,'Type Chart'!$C$2:$U$20,9,false)</f>
        <v>1</v>
      </c>
      <c r="AC417" s="960">
        <f t="array" ref="AC417">HLOOKUP($J417,'Type Chart'!$C$2:$T$20,10,false)*HLOOKUP($K417,'Type Chart'!$C$2:$U$20,10,false)</f>
        <v>0.5</v>
      </c>
      <c r="AD417" s="960">
        <f t="array" ref="AD417">HLOOKUP($J417,'Type Chart'!$C$2:$T$20,11,false)*HLOOKUP($K417,'Type Chart'!$C$2:$U$20,11,false)</f>
        <v>0.5</v>
      </c>
      <c r="AE417" s="960">
        <f t="array" ref="AE417">HLOOKUP($J417,'Type Chart'!$C$2:$T$20,12,false)*HLOOKUP($K417,'Type Chart'!$C$2:$U$20,12,false)</f>
        <v>4</v>
      </c>
      <c r="AF417" s="960">
        <f t="array" ref="AF417">HLOOKUP($J417,'Type Chart'!$C$2:$T$20,13,false)*HLOOKUP($K417,'Type Chart'!$C$2:$U$20,13,false)</f>
        <v>1</v>
      </c>
      <c r="AG417" s="960">
        <f t="array" ref="AG417">HLOOKUP($J417,'Type Chart'!$C$2:$T$20,14,false)*HLOOKUP($K417,'Type Chart'!$C$2:$U$20,14,false)</f>
        <v>0</v>
      </c>
      <c r="AH417" s="960">
        <f t="array" ref="AH417">HLOOKUP($J417,'Type Chart'!$C$2:$T$20,15,false)*HLOOKUP($K417,'Type Chart'!$C$2:$U$20,15,false)</f>
        <v>1</v>
      </c>
      <c r="AI417" s="960">
        <f t="array" ref="AI417">HLOOKUP($J417,'Type Chart'!$C$2:$T$20,16,false)*HLOOKUP($K417,'Type Chart'!$C$2:$U$20,16,false)</f>
        <v>1</v>
      </c>
      <c r="AJ417" s="960">
        <f t="array" ref="AJ417">HLOOKUP($J417,'Type Chart'!$C$2:$T$20,17,false)*HLOOKUP($K417,'Type Chart'!$C$2:$U$20,17,false)</f>
        <v>1</v>
      </c>
      <c r="AK417" s="960">
        <f t="array" ref="AK417">HLOOKUP($J417,'Type Chart'!$C$2:$T$20,18,false)*HLOOKUP($K417,'Type Chart'!$C$2:$U$20,18,false)</f>
        <v>1</v>
      </c>
      <c r="AL417" s="960">
        <f t="array" ref="AL417">HLOOKUP($J417,'Type Chart'!$C$2:$T$20,19,false)*HLOOKUP($K417,'Type Chart'!$C$2:$U$20,19,false)</f>
        <v>0.5</v>
      </c>
      <c r="AM417" s="1145" t="s">
        <v>1153</v>
      </c>
      <c r="AN417" s="1202"/>
      <c r="AO417" s="1146"/>
      <c r="AP417" s="936"/>
      <c r="AQ417" s="967"/>
      <c r="AR417" s="968"/>
      <c r="AS417" s="936"/>
    </row>
    <row r="418" ht="15.75" customHeight="1">
      <c r="A418" s="936"/>
      <c r="B418" s="948" t="s">
        <v>2222</v>
      </c>
      <c r="C418" s="950" t="s">
        <v>2223</v>
      </c>
      <c r="D418" s="950" t="s">
        <v>2223</v>
      </c>
      <c r="E418" s="952" t="s">
        <v>2223</v>
      </c>
      <c r="F418" s="940"/>
      <c r="G418" s="953"/>
      <c r="H418" s="969"/>
      <c r="I418" s="956" t="s">
        <v>300</v>
      </c>
      <c r="J418" s="982" t="s">
        <v>150</v>
      </c>
      <c r="K418" s="984" t="s">
        <v>216</v>
      </c>
      <c r="L418" s="959">
        <v>70.0</v>
      </c>
      <c r="M418" s="960">
        <v>85.0</v>
      </c>
      <c r="N418" s="960">
        <v>140.0</v>
      </c>
      <c r="O418" s="960">
        <v>85.0</v>
      </c>
      <c r="P418" s="960">
        <v>70.0</v>
      </c>
      <c r="Q418" s="960">
        <v>20.0</v>
      </c>
      <c r="R418" s="960">
        <v>76.0</v>
      </c>
      <c r="S418" s="960">
        <v>139.0</v>
      </c>
      <c r="T418" s="960">
        <v>152.0</v>
      </c>
      <c r="U418" s="960">
        <f t="array" ref="U418">HLOOKUP($J418,'Type Chart'!$C$2:$T$20,2,false)*HLOOKUP($K418,'Type Chart'!$C$2:$U$20,2,false)</f>
        <v>1</v>
      </c>
      <c r="V418" s="960">
        <f t="array" ref="V418">HLOOKUP($J418,'Type Chart'!$C$2:$T$20,3,false)*HLOOKUP($K418,'Type Chart'!$C$2:$U$20,3,false)</f>
        <v>1</v>
      </c>
      <c r="W418" s="960">
        <f t="array" ref="W418">HLOOKUP($J418,'Type Chart'!$C$2:$T$20,4,false)*HLOOKUP($K418,'Type Chart'!$C$2:$U$20,4,false)</f>
        <v>1</v>
      </c>
      <c r="X418" s="960">
        <f t="array" ref="X418">HLOOKUP($J418,'Type Chart'!$C$2:$T$20,5,false)*HLOOKUP($K418,'Type Chart'!$C$2:$U$20,5,false)</f>
        <v>1</v>
      </c>
      <c r="Y418" s="960">
        <f t="array" ref="Y418">HLOOKUP($J418,'Type Chart'!$C$2:$T$20,6,false)*HLOOKUP($K418,'Type Chart'!$C$2:$U$20,6,false)</f>
        <v>2</v>
      </c>
      <c r="Z418" s="960">
        <f t="array" ref="Z418">HLOOKUP($J418,'Type Chart'!$C$2:$T$20,7,false)*HLOOKUP($K418,'Type Chart'!$C$2:$U$20,7,false)</f>
        <v>2</v>
      </c>
      <c r="AA418" s="960">
        <f t="array" ref="AA418">HLOOKUP($J418,'Type Chart'!$C$2:$T$20,8,false)*HLOOKUP($K418,'Type Chart'!$C$2:$U$20,8,false)</f>
        <v>0.5</v>
      </c>
      <c r="AB418" s="960">
        <f t="array" ref="AB418">HLOOKUP($J418,'Type Chart'!$C$2:$T$20,9,false)*HLOOKUP($K418,'Type Chart'!$C$2:$U$20,9,false)</f>
        <v>1</v>
      </c>
      <c r="AC418" s="960">
        <f t="array" ref="AC418">HLOOKUP($J418,'Type Chart'!$C$2:$T$20,10,false)*HLOOKUP($K418,'Type Chart'!$C$2:$U$20,10,false)</f>
        <v>0.5</v>
      </c>
      <c r="AD418" s="960">
        <f t="array" ref="AD418">HLOOKUP($J418,'Type Chart'!$C$2:$T$20,11,false)*HLOOKUP($K418,'Type Chart'!$C$2:$U$20,11,false)</f>
        <v>0.5</v>
      </c>
      <c r="AE418" s="960">
        <f t="array" ref="AE418">HLOOKUP($J418,'Type Chart'!$C$2:$T$20,12,false)*HLOOKUP($K418,'Type Chart'!$C$2:$U$20,12,false)</f>
        <v>2</v>
      </c>
      <c r="AF418" s="960">
        <f t="array" ref="AF418">HLOOKUP($J418,'Type Chart'!$C$2:$T$20,13,false)*HLOOKUP($K418,'Type Chart'!$C$2:$U$20,13,false)</f>
        <v>0.5</v>
      </c>
      <c r="AG418" s="960">
        <f t="array" ref="AG418">HLOOKUP($J418,'Type Chart'!$C$2:$T$20,14,false)*HLOOKUP($K418,'Type Chart'!$C$2:$U$20,14,false)</f>
        <v>1</v>
      </c>
      <c r="AH418" s="960">
        <f t="array" ref="AH418">HLOOKUP($J418,'Type Chart'!$C$2:$T$20,15,false)*HLOOKUP($K418,'Type Chart'!$C$2:$U$20,15,false)</f>
        <v>1</v>
      </c>
      <c r="AI418" s="960">
        <f t="array" ref="AI418">HLOOKUP($J418,'Type Chart'!$C$2:$T$20,16,false)*HLOOKUP($K418,'Type Chart'!$C$2:$U$20,16,false)</f>
        <v>0.5</v>
      </c>
      <c r="AJ418" s="960">
        <f t="array" ref="AJ418">HLOOKUP($J418,'Type Chart'!$C$2:$T$20,17,false)*HLOOKUP($K418,'Type Chart'!$C$2:$U$20,17,false)</f>
        <v>1</v>
      </c>
      <c r="AK418" s="960">
        <f t="array" ref="AK418">HLOOKUP($J418,'Type Chart'!$C$2:$T$20,18,false)*HLOOKUP($K418,'Type Chart'!$C$2:$U$20,18,false)</f>
        <v>1</v>
      </c>
      <c r="AL418" s="960">
        <f t="array" ref="AL418">HLOOKUP($J418,'Type Chart'!$C$2:$T$20,19,false)*HLOOKUP($K418,'Type Chart'!$C$2:$U$20,19,false)</f>
        <v>0.5</v>
      </c>
      <c r="AM418" s="964" t="s">
        <v>2224</v>
      </c>
      <c r="AN418" s="965" t="s">
        <v>952</v>
      </c>
      <c r="AO418" s="966" t="s">
        <v>1385</v>
      </c>
      <c r="AP418" s="936"/>
      <c r="AQ418" s="967"/>
      <c r="AR418" s="968"/>
      <c r="AS418" s="936"/>
    </row>
    <row r="419" ht="15.75" customHeight="1">
      <c r="A419" s="936"/>
      <c r="B419" s="948" t="s">
        <v>2225</v>
      </c>
      <c r="C419" s="950" t="s">
        <v>2226</v>
      </c>
      <c r="D419" s="950" t="s">
        <v>2226</v>
      </c>
      <c r="E419" s="952" t="s">
        <v>2226</v>
      </c>
      <c r="F419" s="940"/>
      <c r="G419" s="953"/>
      <c r="H419" s="969"/>
      <c r="I419" s="956" t="s">
        <v>2227</v>
      </c>
      <c r="J419" s="1203" t="s">
        <v>344</v>
      </c>
      <c r="K419" s="984" t="s">
        <v>216</v>
      </c>
      <c r="L419" s="959">
        <v>60.0</v>
      </c>
      <c r="M419" s="960">
        <v>25.0</v>
      </c>
      <c r="N419" s="960">
        <v>35.0</v>
      </c>
      <c r="O419" s="960">
        <v>70.0</v>
      </c>
      <c r="P419" s="960">
        <v>80.0</v>
      </c>
      <c r="Q419" s="960">
        <v>60.0</v>
      </c>
      <c r="R419" s="960">
        <v>156.0</v>
      </c>
      <c r="S419" s="960">
        <v>219.0</v>
      </c>
      <c r="T419" s="960">
        <v>240.0</v>
      </c>
      <c r="U419" s="960">
        <f t="array" ref="U419">HLOOKUP($J419,'Type Chart'!$C$2:$T$20,2,false)*HLOOKUP($K419,'Type Chart'!$C$2:$U$20,2,false)</f>
        <v>1</v>
      </c>
      <c r="V419" s="960">
        <f t="array" ref="V419">HLOOKUP($J419,'Type Chart'!$C$2:$T$20,3,false)*HLOOKUP($K419,'Type Chart'!$C$2:$U$20,3,false)</f>
        <v>0.5</v>
      </c>
      <c r="W419" s="960">
        <f t="array" ref="W419">HLOOKUP($J419,'Type Chart'!$C$2:$T$20,4,false)*HLOOKUP($K419,'Type Chart'!$C$2:$U$20,4,false)</f>
        <v>1</v>
      </c>
      <c r="X419" s="960">
        <f t="array" ref="X419">HLOOKUP($J419,'Type Chart'!$C$2:$T$20,5,false)*HLOOKUP($K419,'Type Chart'!$C$2:$U$20,5,false)</f>
        <v>1</v>
      </c>
      <c r="Y419" s="960">
        <f t="array" ref="Y419">HLOOKUP($J419,'Type Chart'!$C$2:$T$20,6,false)*HLOOKUP($K419,'Type Chart'!$C$2:$U$20,6,false)</f>
        <v>1</v>
      </c>
      <c r="Z419" s="960">
        <f t="array" ref="Z419">HLOOKUP($J419,'Type Chart'!$C$2:$T$20,7,false)*HLOOKUP($K419,'Type Chart'!$C$2:$U$20,7,false)</f>
        <v>1</v>
      </c>
      <c r="AA419" s="960">
        <f t="array" ref="AA419">HLOOKUP($J419,'Type Chart'!$C$2:$T$20,8,false)*HLOOKUP($K419,'Type Chart'!$C$2:$U$20,8,false)</f>
        <v>2</v>
      </c>
      <c r="AB419" s="960">
        <f t="array" ref="AB419">HLOOKUP($J419,'Type Chart'!$C$2:$T$20,9,false)*HLOOKUP($K419,'Type Chart'!$C$2:$U$20,9,false)</f>
        <v>2</v>
      </c>
      <c r="AC419" s="960">
        <f t="array" ref="AC419">HLOOKUP($J419,'Type Chart'!$C$2:$T$20,10,false)*HLOOKUP($K419,'Type Chart'!$C$2:$U$20,10,false)</f>
        <v>1</v>
      </c>
      <c r="AD419" s="960">
        <f t="array" ref="AD419">HLOOKUP($J419,'Type Chart'!$C$2:$T$20,11,false)*HLOOKUP($K419,'Type Chart'!$C$2:$U$20,11,false)</f>
        <v>1</v>
      </c>
      <c r="AE419" s="960">
        <f t="array" ref="AE419">HLOOKUP($J419,'Type Chart'!$C$2:$T$20,12,false)*HLOOKUP($K419,'Type Chart'!$C$2:$U$20,12,false)</f>
        <v>1</v>
      </c>
      <c r="AF419" s="960">
        <f t="array" ref="AF419">HLOOKUP($J419,'Type Chart'!$C$2:$T$20,13,false)*HLOOKUP($K419,'Type Chart'!$C$2:$U$20,13,false)</f>
        <v>1</v>
      </c>
      <c r="AG419" s="960">
        <f t="array" ref="AG419">HLOOKUP($J419,'Type Chart'!$C$2:$T$20,14,false)*HLOOKUP($K419,'Type Chart'!$C$2:$U$20,14,false)</f>
        <v>1</v>
      </c>
      <c r="AH419" s="960">
        <f t="array" ref="AH419">HLOOKUP($J419,'Type Chart'!$C$2:$T$20,15,false)*HLOOKUP($K419,'Type Chart'!$C$2:$U$20,15,false)</f>
        <v>0.5</v>
      </c>
      <c r="AI419" s="960">
        <f t="array" ref="AI419">HLOOKUP($J419,'Type Chart'!$C$2:$T$20,16,false)*HLOOKUP($K419,'Type Chart'!$C$2:$U$20,16,false)</f>
        <v>1</v>
      </c>
      <c r="AJ419" s="960">
        <f t="array" ref="AJ419">HLOOKUP($J419,'Type Chart'!$C$2:$T$20,17,false)*HLOOKUP($K419,'Type Chart'!$C$2:$U$20,17,false)</f>
        <v>1</v>
      </c>
      <c r="AK419" s="960">
        <f t="array" ref="AK419">HLOOKUP($J419,'Type Chart'!$C$2:$T$20,18,false)*HLOOKUP($K419,'Type Chart'!$C$2:$U$20,18,false)</f>
        <v>2</v>
      </c>
      <c r="AL419" s="960">
        <f t="array" ref="AL419">HLOOKUP($J419,'Type Chart'!$C$2:$T$20,19,false)*HLOOKUP($K419,'Type Chart'!$C$2:$U$20,19,false)</f>
        <v>1</v>
      </c>
      <c r="AM419" s="964" t="s">
        <v>760</v>
      </c>
      <c r="AN419" s="965" t="s">
        <v>1370</v>
      </c>
      <c r="AO419" s="966" t="s">
        <v>1044</v>
      </c>
      <c r="AP419" s="936"/>
      <c r="AQ419" s="967"/>
      <c r="AR419" s="968"/>
      <c r="AS419" s="936"/>
    </row>
    <row r="420" ht="15.75" customHeight="1">
      <c r="A420" s="936"/>
      <c r="B420" s="948" t="s">
        <v>2228</v>
      </c>
      <c r="C420" s="950" t="s">
        <v>2229</v>
      </c>
      <c r="D420" s="950" t="s">
        <v>2229</v>
      </c>
      <c r="E420" s="952" t="s">
        <v>2229</v>
      </c>
      <c r="F420" s="940"/>
      <c r="G420" s="953"/>
      <c r="H420" s="969"/>
      <c r="I420" s="956" t="s">
        <v>837</v>
      </c>
      <c r="J420" s="1203" t="s">
        <v>344</v>
      </c>
      <c r="K420" s="984" t="s">
        <v>216</v>
      </c>
      <c r="L420" s="959">
        <v>80.0</v>
      </c>
      <c r="M420" s="960">
        <v>45.0</v>
      </c>
      <c r="N420" s="960">
        <v>65.0</v>
      </c>
      <c r="O420" s="960">
        <v>90.0</v>
      </c>
      <c r="P420" s="960">
        <v>110.0</v>
      </c>
      <c r="Q420" s="960">
        <v>80.0</v>
      </c>
      <c r="R420" s="960">
        <v>196.0</v>
      </c>
      <c r="S420" s="960">
        <v>259.0</v>
      </c>
      <c r="T420" s="960">
        <v>284.0</v>
      </c>
      <c r="U420" s="960">
        <f t="array" ref="U420">HLOOKUP($J420,'Type Chart'!$C$2:$T$20,2,false)*HLOOKUP($K420,'Type Chart'!$C$2:$U$20,2,false)</f>
        <v>1</v>
      </c>
      <c r="V420" s="960">
        <f t="array" ref="V420">HLOOKUP($J420,'Type Chart'!$C$2:$T$20,3,false)*HLOOKUP($K420,'Type Chart'!$C$2:$U$20,3,false)</f>
        <v>0.5</v>
      </c>
      <c r="W420" s="960">
        <f t="array" ref="W420">HLOOKUP($J420,'Type Chart'!$C$2:$T$20,4,false)*HLOOKUP($K420,'Type Chart'!$C$2:$U$20,4,false)</f>
        <v>1</v>
      </c>
      <c r="X420" s="960">
        <f t="array" ref="X420">HLOOKUP($J420,'Type Chart'!$C$2:$T$20,5,false)*HLOOKUP($K420,'Type Chart'!$C$2:$U$20,5,false)</f>
        <v>1</v>
      </c>
      <c r="Y420" s="960">
        <f t="array" ref="Y420">HLOOKUP($J420,'Type Chart'!$C$2:$T$20,6,false)*HLOOKUP($K420,'Type Chart'!$C$2:$U$20,6,false)</f>
        <v>1</v>
      </c>
      <c r="Z420" s="960">
        <f t="array" ref="Z420">HLOOKUP($J420,'Type Chart'!$C$2:$T$20,7,false)*HLOOKUP($K420,'Type Chart'!$C$2:$U$20,7,false)</f>
        <v>1</v>
      </c>
      <c r="AA420" s="960">
        <f t="array" ref="AA420">HLOOKUP($J420,'Type Chart'!$C$2:$T$20,8,false)*HLOOKUP($K420,'Type Chart'!$C$2:$U$20,8,false)</f>
        <v>2</v>
      </c>
      <c r="AB420" s="960">
        <f t="array" ref="AB420">HLOOKUP($J420,'Type Chart'!$C$2:$T$20,9,false)*HLOOKUP($K420,'Type Chart'!$C$2:$U$20,9,false)</f>
        <v>2</v>
      </c>
      <c r="AC420" s="960">
        <f t="array" ref="AC420">HLOOKUP($J420,'Type Chart'!$C$2:$T$20,10,false)*HLOOKUP($K420,'Type Chart'!$C$2:$U$20,10,false)</f>
        <v>1</v>
      </c>
      <c r="AD420" s="960">
        <f t="array" ref="AD420">HLOOKUP($J420,'Type Chart'!$C$2:$T$20,11,false)*HLOOKUP($K420,'Type Chart'!$C$2:$U$20,11,false)</f>
        <v>1</v>
      </c>
      <c r="AE420" s="960">
        <f t="array" ref="AE420">HLOOKUP($J420,'Type Chart'!$C$2:$T$20,12,false)*HLOOKUP($K420,'Type Chart'!$C$2:$U$20,12,false)</f>
        <v>1</v>
      </c>
      <c r="AF420" s="960">
        <f t="array" ref="AF420">HLOOKUP($J420,'Type Chart'!$C$2:$T$20,13,false)*HLOOKUP($K420,'Type Chart'!$C$2:$U$20,13,false)</f>
        <v>1</v>
      </c>
      <c r="AG420" s="960">
        <f t="array" ref="AG420">HLOOKUP($J420,'Type Chart'!$C$2:$T$20,14,false)*HLOOKUP($K420,'Type Chart'!$C$2:$U$20,14,false)</f>
        <v>1</v>
      </c>
      <c r="AH420" s="960">
        <f t="array" ref="AH420">HLOOKUP($J420,'Type Chart'!$C$2:$T$20,15,false)*HLOOKUP($K420,'Type Chart'!$C$2:$U$20,15,false)</f>
        <v>0.5</v>
      </c>
      <c r="AI420" s="960">
        <f t="array" ref="AI420">HLOOKUP($J420,'Type Chart'!$C$2:$T$20,16,false)*HLOOKUP($K420,'Type Chart'!$C$2:$U$20,16,false)</f>
        <v>1</v>
      </c>
      <c r="AJ420" s="960">
        <f t="array" ref="AJ420">HLOOKUP($J420,'Type Chart'!$C$2:$T$20,17,false)*HLOOKUP($K420,'Type Chart'!$C$2:$U$20,17,false)</f>
        <v>1</v>
      </c>
      <c r="AK420" s="960">
        <f t="array" ref="AK420">HLOOKUP($J420,'Type Chart'!$C$2:$T$20,18,false)*HLOOKUP($K420,'Type Chart'!$C$2:$U$20,18,false)</f>
        <v>2</v>
      </c>
      <c r="AL420" s="960">
        <f t="array" ref="AL420">HLOOKUP($J420,'Type Chart'!$C$2:$T$20,19,false)*HLOOKUP($K420,'Type Chart'!$C$2:$U$20,19,false)</f>
        <v>1</v>
      </c>
      <c r="AM420" s="964" t="s">
        <v>760</v>
      </c>
      <c r="AN420" s="965" t="s">
        <v>1370</v>
      </c>
      <c r="AO420" s="966" t="s">
        <v>1044</v>
      </c>
      <c r="AP420" s="936"/>
      <c r="AQ420" s="967"/>
      <c r="AR420" s="968"/>
      <c r="AS420" s="936"/>
    </row>
    <row r="421" ht="15.75" customHeight="1">
      <c r="A421" s="936"/>
      <c r="B421" s="948" t="s">
        <v>2230</v>
      </c>
      <c r="C421" s="950" t="s">
        <v>2231</v>
      </c>
      <c r="D421" s="950" t="s">
        <v>2231</v>
      </c>
      <c r="E421" s="952" t="s">
        <v>2231</v>
      </c>
      <c r="F421" s="940"/>
      <c r="G421" s="953"/>
      <c r="H421" s="969"/>
      <c r="I421" s="956" t="s">
        <v>2232</v>
      </c>
      <c r="J421" s="1194" t="s">
        <v>136</v>
      </c>
      <c r="K421" s="984" t="s">
        <v>216</v>
      </c>
      <c r="L421" s="959">
        <v>60.0</v>
      </c>
      <c r="M421" s="960">
        <v>60.0</v>
      </c>
      <c r="N421" s="960">
        <v>60.0</v>
      </c>
      <c r="O421" s="960">
        <v>60.0</v>
      </c>
      <c r="P421" s="960">
        <v>60.0</v>
      </c>
      <c r="Q421" s="960">
        <v>60.0</v>
      </c>
      <c r="R421" s="960">
        <v>156.0</v>
      </c>
      <c r="S421" s="960">
        <v>219.0</v>
      </c>
      <c r="T421" s="960">
        <v>240.0</v>
      </c>
      <c r="U421" s="960">
        <f t="array" ref="U421">HLOOKUP($J421,'Type Chart'!$C$2:$T$20,2,false)*HLOOKUP($K421,'Type Chart'!$C$2:$U$20,2,false)</f>
        <v>1</v>
      </c>
      <c r="V421" s="960">
        <f t="array" ref="V421">HLOOKUP($J421,'Type Chart'!$C$2:$T$20,3,false)*HLOOKUP($K421,'Type Chart'!$C$2:$U$20,3,false)</f>
        <v>2</v>
      </c>
      <c r="W421" s="960">
        <f t="array" ref="W421">HLOOKUP($J421,'Type Chart'!$C$2:$T$20,4,false)*HLOOKUP($K421,'Type Chart'!$C$2:$U$20,4,false)</f>
        <v>1</v>
      </c>
      <c r="X421" s="960">
        <f t="array" ref="X421">HLOOKUP($J421,'Type Chart'!$C$2:$T$20,5,false)*HLOOKUP($K421,'Type Chart'!$C$2:$U$20,5,false)</f>
        <v>1</v>
      </c>
      <c r="Y421" s="960">
        <f t="array" ref="Y421">HLOOKUP($J421,'Type Chart'!$C$2:$T$20,6,false)*HLOOKUP($K421,'Type Chart'!$C$2:$U$20,6,false)</f>
        <v>1</v>
      </c>
      <c r="Z421" s="960">
        <f t="array" ref="Z421">HLOOKUP($J421,'Type Chart'!$C$2:$T$20,7,false)*HLOOKUP($K421,'Type Chart'!$C$2:$U$20,7,false)</f>
        <v>1</v>
      </c>
      <c r="AA421" s="960">
        <f t="array" ref="AA421">HLOOKUP($J421,'Type Chart'!$C$2:$T$20,8,false)*HLOOKUP($K421,'Type Chart'!$C$2:$U$20,8,false)</f>
        <v>1</v>
      </c>
      <c r="AB421" s="960">
        <f t="array" ref="AB421">HLOOKUP($J421,'Type Chart'!$C$2:$T$20,9,false)*HLOOKUP($K421,'Type Chart'!$C$2:$U$20,9,false)</f>
        <v>0</v>
      </c>
      <c r="AC421" s="960">
        <f t="array" ref="AC421">HLOOKUP($J421,'Type Chart'!$C$2:$T$20,10,false)*HLOOKUP($K421,'Type Chart'!$C$2:$U$20,10,false)</f>
        <v>1</v>
      </c>
      <c r="AD421" s="960">
        <f t="array" ref="AD421">HLOOKUP($J421,'Type Chart'!$C$2:$T$20,11,false)*HLOOKUP($K421,'Type Chart'!$C$2:$U$20,11,false)</f>
        <v>1</v>
      </c>
      <c r="AE421" s="960">
        <f t="array" ref="AE421">HLOOKUP($J421,'Type Chart'!$C$2:$T$20,12,false)*HLOOKUP($K421,'Type Chart'!$C$2:$U$20,12,false)</f>
        <v>1</v>
      </c>
      <c r="AF421" s="960">
        <f t="array" ref="AF421">HLOOKUP($J421,'Type Chart'!$C$2:$T$20,13,false)*HLOOKUP($K421,'Type Chart'!$C$2:$U$20,13,false)</f>
        <v>1</v>
      </c>
      <c r="AG421" s="960">
        <f t="array" ref="AG421">HLOOKUP($J421,'Type Chart'!$C$2:$T$20,14,false)*HLOOKUP($K421,'Type Chart'!$C$2:$U$20,14,false)</f>
        <v>1</v>
      </c>
      <c r="AH421" s="960">
        <f t="array" ref="AH421">HLOOKUP($J421,'Type Chart'!$C$2:$T$20,15,false)*HLOOKUP($K421,'Type Chart'!$C$2:$U$20,15,false)</f>
        <v>1</v>
      </c>
      <c r="AI421" s="960">
        <f t="array" ref="AI421">HLOOKUP($J421,'Type Chart'!$C$2:$T$20,16,false)*HLOOKUP($K421,'Type Chart'!$C$2:$U$20,16,false)</f>
        <v>1</v>
      </c>
      <c r="AJ421" s="960">
        <f t="array" ref="AJ421">HLOOKUP($J421,'Type Chart'!$C$2:$T$20,17,false)*HLOOKUP($K421,'Type Chart'!$C$2:$U$20,17,false)</f>
        <v>1</v>
      </c>
      <c r="AK421" s="960">
        <f t="array" ref="AK421">HLOOKUP($J421,'Type Chart'!$C$2:$T$20,18,false)*HLOOKUP($K421,'Type Chart'!$C$2:$U$20,18,false)</f>
        <v>1</v>
      </c>
      <c r="AL421" s="960">
        <f t="array" ref="AL421">HLOOKUP($J421,'Type Chart'!$C$2:$T$20,19,false)*HLOOKUP($K421,'Type Chart'!$C$2:$U$20,19,false)</f>
        <v>1</v>
      </c>
      <c r="AM421" s="964" t="s">
        <v>1370</v>
      </c>
      <c r="AN421" s="965" t="s">
        <v>1023</v>
      </c>
      <c r="AO421" s="966" t="s">
        <v>1861</v>
      </c>
      <c r="AP421" s="936"/>
      <c r="AQ421" s="967"/>
      <c r="AR421" s="968"/>
      <c r="AS421" s="936"/>
    </row>
    <row r="422" ht="15.75" customHeight="1">
      <c r="A422" s="936"/>
      <c r="B422" s="948" t="s">
        <v>2233</v>
      </c>
      <c r="C422" s="950" t="s">
        <v>2234</v>
      </c>
      <c r="D422" s="950" t="s">
        <v>2234</v>
      </c>
      <c r="E422" s="952" t="s">
        <v>2234</v>
      </c>
      <c r="F422" s="940"/>
      <c r="G422" s="953"/>
      <c r="H422" s="969"/>
      <c r="I422" s="956" t="s">
        <v>896</v>
      </c>
      <c r="J422" s="1204" t="s">
        <v>80</v>
      </c>
      <c r="K422" s="984" t="s">
        <v>216</v>
      </c>
      <c r="L422" s="959">
        <v>45.0</v>
      </c>
      <c r="M422" s="960">
        <v>100.0</v>
      </c>
      <c r="N422" s="960">
        <v>45.0</v>
      </c>
      <c r="O422" s="960">
        <v>45.0</v>
      </c>
      <c r="P422" s="960">
        <v>45.0</v>
      </c>
      <c r="Q422" s="960">
        <v>10.0</v>
      </c>
      <c r="R422" s="960">
        <v>56.0</v>
      </c>
      <c r="S422" s="960">
        <v>119.0</v>
      </c>
      <c r="T422" s="960">
        <v>130.0</v>
      </c>
      <c r="U422" s="960">
        <f t="array" ref="U422">HLOOKUP($J422,'Type Chart'!$C$2:$T$20,2,false)*HLOOKUP($K422,'Type Chart'!$C$2:$U$20,2,false)</f>
        <v>1</v>
      </c>
      <c r="V422" s="960">
        <f t="array" ref="V422">HLOOKUP($J422,'Type Chart'!$C$2:$T$20,3,false)*HLOOKUP($K422,'Type Chart'!$C$2:$U$20,3,false)</f>
        <v>1</v>
      </c>
      <c r="W422" s="960">
        <f t="array" ref="W422">HLOOKUP($J422,'Type Chart'!$C$2:$T$20,4,false)*HLOOKUP($K422,'Type Chart'!$C$2:$U$20,4,false)</f>
        <v>1</v>
      </c>
      <c r="X422" s="960">
        <f t="array" ref="X422">HLOOKUP($J422,'Type Chart'!$C$2:$T$20,5,false)*HLOOKUP($K422,'Type Chart'!$C$2:$U$20,5,false)</f>
        <v>0.5</v>
      </c>
      <c r="Y422" s="960">
        <f t="array" ref="Y422">HLOOKUP($J422,'Type Chart'!$C$2:$T$20,6,false)*HLOOKUP($K422,'Type Chart'!$C$2:$U$20,6,false)</f>
        <v>1</v>
      </c>
      <c r="Z422" s="960">
        <f t="array" ref="Z422">HLOOKUP($J422,'Type Chart'!$C$2:$T$20,7,false)*HLOOKUP($K422,'Type Chart'!$C$2:$U$20,7,false)</f>
        <v>0.5</v>
      </c>
      <c r="AA422" s="960">
        <f t="array" ref="AA422">HLOOKUP($J422,'Type Chart'!$C$2:$T$20,8,false)*HLOOKUP($K422,'Type Chart'!$C$2:$U$20,8,false)</f>
        <v>1</v>
      </c>
      <c r="AB422" s="960">
        <f t="array" ref="AB422">HLOOKUP($J422,'Type Chart'!$C$2:$T$20,9,false)*HLOOKUP($K422,'Type Chart'!$C$2:$U$20,9,false)</f>
        <v>1</v>
      </c>
      <c r="AC422" s="960">
        <f t="array" ref="AC422">HLOOKUP($J422,'Type Chart'!$C$2:$T$20,10,false)*HLOOKUP($K422,'Type Chart'!$C$2:$U$20,10,false)</f>
        <v>1</v>
      </c>
      <c r="AD422" s="960">
        <f t="array" ref="AD422">HLOOKUP($J422,'Type Chart'!$C$2:$T$20,11,false)*HLOOKUP($K422,'Type Chart'!$C$2:$U$20,11,false)</f>
        <v>1</v>
      </c>
      <c r="AE422" s="960">
        <f t="array" ref="AE422">HLOOKUP($J422,'Type Chart'!$C$2:$T$20,12,false)*HLOOKUP($K422,'Type Chart'!$C$2:$U$20,12,false)</f>
        <v>2</v>
      </c>
      <c r="AF422" s="960">
        <f t="array" ref="AF422">HLOOKUP($J422,'Type Chart'!$C$2:$T$20,13,false)*HLOOKUP($K422,'Type Chart'!$C$2:$U$20,13,false)</f>
        <v>2</v>
      </c>
      <c r="AG422" s="960">
        <f t="array" ref="AG422">HLOOKUP($J422,'Type Chart'!$C$2:$T$20,14,false)*HLOOKUP($K422,'Type Chart'!$C$2:$U$20,14,false)</f>
        <v>0</v>
      </c>
      <c r="AH422" s="960">
        <f t="array" ref="AH422">HLOOKUP($J422,'Type Chart'!$C$2:$T$20,15,false)*HLOOKUP($K422,'Type Chart'!$C$2:$U$20,15,false)</f>
        <v>1</v>
      </c>
      <c r="AI422" s="960">
        <f t="array" ref="AI422">HLOOKUP($J422,'Type Chart'!$C$2:$T$20,16,false)*HLOOKUP($K422,'Type Chart'!$C$2:$U$20,16,false)</f>
        <v>2</v>
      </c>
      <c r="AJ422" s="960">
        <f t="array" ref="AJ422">HLOOKUP($J422,'Type Chart'!$C$2:$T$20,17,false)*HLOOKUP($K422,'Type Chart'!$C$2:$U$20,17,false)</f>
        <v>1</v>
      </c>
      <c r="AK422" s="960">
        <f t="array" ref="AK422">HLOOKUP($J422,'Type Chart'!$C$2:$T$20,18,false)*HLOOKUP($K422,'Type Chart'!$C$2:$U$20,18,false)</f>
        <v>1</v>
      </c>
      <c r="AL422" s="960">
        <f t="array" ref="AL422">HLOOKUP($J422,'Type Chart'!$C$2:$T$20,19,false)*HLOOKUP($K422,'Type Chart'!$C$2:$U$20,19,false)</f>
        <v>1</v>
      </c>
      <c r="AM422" s="964" t="s">
        <v>1461</v>
      </c>
      <c r="AN422" s="965" t="s">
        <v>1223</v>
      </c>
      <c r="AO422" s="966" t="s">
        <v>1153</v>
      </c>
      <c r="AP422" s="936"/>
      <c r="AQ422" s="967"/>
      <c r="AR422" s="968"/>
      <c r="AS422" s="936"/>
    </row>
    <row r="423" ht="15.75" customHeight="1">
      <c r="A423" s="936"/>
      <c r="B423" s="948" t="s">
        <v>2235</v>
      </c>
      <c r="C423" s="950" t="s">
        <v>2236</v>
      </c>
      <c r="D423" s="950" t="s">
        <v>2236</v>
      </c>
      <c r="E423" s="952" t="s">
        <v>2236</v>
      </c>
      <c r="F423" s="940"/>
      <c r="G423" s="953"/>
      <c r="H423" s="969"/>
      <c r="I423" s="956" t="s">
        <v>2237</v>
      </c>
      <c r="J423" s="1204" t="s">
        <v>80</v>
      </c>
      <c r="K423" s="1006" t="s">
        <v>346</v>
      </c>
      <c r="L423" s="959">
        <v>50.0</v>
      </c>
      <c r="M423" s="960">
        <v>70.0</v>
      </c>
      <c r="N423" s="960">
        <v>50.0</v>
      </c>
      <c r="O423" s="960">
        <v>50.0</v>
      </c>
      <c r="P423" s="960">
        <v>50.0</v>
      </c>
      <c r="Q423" s="960">
        <v>70.0</v>
      </c>
      <c r="R423" s="960">
        <v>176.0</v>
      </c>
      <c r="S423" s="960">
        <v>239.0</v>
      </c>
      <c r="T423" s="960">
        <v>262.0</v>
      </c>
      <c r="U423" s="960">
        <f t="array" ref="U423">HLOOKUP($J423,'Type Chart'!$C$2:$T$20,2,false)*HLOOKUP($K423,'Type Chart'!$C$2:$U$20,2,false)</f>
        <v>1</v>
      </c>
      <c r="V423" s="960">
        <f t="array" ref="V423">HLOOKUP($J423,'Type Chart'!$C$2:$T$20,3,false)*HLOOKUP($K423,'Type Chart'!$C$2:$U$20,3,false)</f>
        <v>1</v>
      </c>
      <c r="W423" s="960">
        <f t="array" ref="W423">HLOOKUP($J423,'Type Chart'!$C$2:$T$20,4,false)*HLOOKUP($K423,'Type Chart'!$C$2:$U$20,4,false)</f>
        <v>1</v>
      </c>
      <c r="X423" s="960">
        <f t="array" ref="X423">HLOOKUP($J423,'Type Chart'!$C$2:$T$20,5,false)*HLOOKUP($K423,'Type Chart'!$C$2:$U$20,5,false)</f>
        <v>0.5</v>
      </c>
      <c r="Y423" s="960">
        <f t="array" ref="Y423">HLOOKUP($J423,'Type Chart'!$C$2:$T$20,6,false)*HLOOKUP($K423,'Type Chart'!$C$2:$U$20,6,false)</f>
        <v>1</v>
      </c>
      <c r="Z423" s="960">
        <f t="array" ref="Z423">HLOOKUP($J423,'Type Chart'!$C$2:$T$20,7,false)*HLOOKUP($K423,'Type Chart'!$C$2:$U$20,7,false)</f>
        <v>0.5</v>
      </c>
      <c r="AA423" s="960">
        <f t="array" ref="AA423">HLOOKUP($J423,'Type Chart'!$C$2:$T$20,8,false)*HLOOKUP($K423,'Type Chart'!$C$2:$U$20,8,false)</f>
        <v>1</v>
      </c>
      <c r="AB423" s="960">
        <f t="array" ref="AB423">HLOOKUP($J423,'Type Chart'!$C$2:$T$20,9,false)*HLOOKUP($K423,'Type Chart'!$C$2:$U$20,9,false)</f>
        <v>1</v>
      </c>
      <c r="AC423" s="960">
        <f t="array" ref="AC423">HLOOKUP($J423,'Type Chart'!$C$2:$T$20,10,false)*HLOOKUP($K423,'Type Chart'!$C$2:$U$20,10,false)</f>
        <v>1</v>
      </c>
      <c r="AD423" s="960">
        <f t="array" ref="AD423">HLOOKUP($J423,'Type Chart'!$C$2:$T$20,11,false)*HLOOKUP($K423,'Type Chart'!$C$2:$U$20,11,false)</f>
        <v>0.5</v>
      </c>
      <c r="AE423" s="960">
        <f t="array" ref="AE423">HLOOKUP($J423,'Type Chart'!$C$2:$T$20,12,false)*HLOOKUP($K423,'Type Chart'!$C$2:$U$20,12,false)</f>
        <v>1</v>
      </c>
      <c r="AF423" s="960">
        <f t="array" ref="AF423">HLOOKUP($J423,'Type Chart'!$C$2:$T$20,13,false)*HLOOKUP($K423,'Type Chart'!$C$2:$U$20,13,false)</f>
        <v>1</v>
      </c>
      <c r="AG423" s="960">
        <f t="array" ref="AG423">HLOOKUP($J423,'Type Chart'!$C$2:$T$20,14,false)*HLOOKUP($K423,'Type Chart'!$C$2:$U$20,14,false)</f>
        <v>0</v>
      </c>
      <c r="AH423" s="960">
        <f t="array" ref="AH423">HLOOKUP($J423,'Type Chart'!$C$2:$T$20,15,false)*HLOOKUP($K423,'Type Chart'!$C$2:$U$20,15,false)</f>
        <v>1</v>
      </c>
      <c r="AI423" s="960">
        <f t="array" ref="AI423">HLOOKUP($J423,'Type Chart'!$C$2:$T$20,16,false)*HLOOKUP($K423,'Type Chart'!$C$2:$U$20,16,false)</f>
        <v>4</v>
      </c>
      <c r="AJ423" s="960">
        <f t="array" ref="AJ423">HLOOKUP($J423,'Type Chart'!$C$2:$T$20,17,false)*HLOOKUP($K423,'Type Chart'!$C$2:$U$20,17,false)</f>
        <v>2</v>
      </c>
      <c r="AK423" s="960">
        <f t="array" ref="AK423">HLOOKUP($J423,'Type Chart'!$C$2:$T$20,18,false)*HLOOKUP($K423,'Type Chart'!$C$2:$U$20,18,false)</f>
        <v>1</v>
      </c>
      <c r="AL423" s="960">
        <f t="array" ref="AL423">HLOOKUP($J423,'Type Chart'!$C$2:$T$20,19,false)*HLOOKUP($K423,'Type Chart'!$C$2:$U$20,19,false)</f>
        <v>2</v>
      </c>
      <c r="AM423" s="964" t="s">
        <v>1437</v>
      </c>
      <c r="AN423" s="965"/>
      <c r="AO423" s="966"/>
      <c r="AP423" s="936"/>
      <c r="AQ423" s="967"/>
      <c r="AR423" s="968"/>
      <c r="AS423" s="936"/>
    </row>
    <row r="424" ht="15.75" customHeight="1">
      <c r="A424" s="936"/>
      <c r="B424" s="948" t="s">
        <v>2238</v>
      </c>
      <c r="C424" s="950" t="s">
        <v>2239</v>
      </c>
      <c r="D424" s="950" t="s">
        <v>2239</v>
      </c>
      <c r="E424" s="952" t="s">
        <v>2239</v>
      </c>
      <c r="F424" s="940"/>
      <c r="G424" s="953"/>
      <c r="H424" s="969"/>
      <c r="I424" s="956" t="s">
        <v>640</v>
      </c>
      <c r="J424" s="1204" t="s">
        <v>80</v>
      </c>
      <c r="K424" s="1006" t="s">
        <v>346</v>
      </c>
      <c r="L424" s="959">
        <v>80.0</v>
      </c>
      <c r="M424" s="960">
        <v>100.0</v>
      </c>
      <c r="N424" s="960">
        <v>80.0</v>
      </c>
      <c r="O424" s="960">
        <v>80.0</v>
      </c>
      <c r="P424" s="960">
        <v>80.0</v>
      </c>
      <c r="Q424" s="960">
        <v>100.0</v>
      </c>
      <c r="R424" s="960">
        <v>236.0</v>
      </c>
      <c r="S424" s="960">
        <v>299.0</v>
      </c>
      <c r="T424" s="960">
        <v>328.0</v>
      </c>
      <c r="U424" s="960">
        <f t="array" ref="U424">HLOOKUP($J424,'Type Chart'!$C$2:$T$20,2,false)*HLOOKUP($K424,'Type Chart'!$C$2:$U$20,2,false)</f>
        <v>1</v>
      </c>
      <c r="V424" s="960">
        <f t="array" ref="V424">HLOOKUP($J424,'Type Chart'!$C$2:$T$20,3,false)*HLOOKUP($K424,'Type Chart'!$C$2:$U$20,3,false)</f>
        <v>1</v>
      </c>
      <c r="W424" s="960">
        <f t="array" ref="W424">HLOOKUP($J424,'Type Chart'!$C$2:$T$20,4,false)*HLOOKUP($K424,'Type Chart'!$C$2:$U$20,4,false)</f>
        <v>1</v>
      </c>
      <c r="X424" s="960">
        <f t="array" ref="X424">HLOOKUP($J424,'Type Chart'!$C$2:$T$20,5,false)*HLOOKUP($K424,'Type Chart'!$C$2:$U$20,5,false)</f>
        <v>0.5</v>
      </c>
      <c r="Y424" s="960">
        <f t="array" ref="Y424">HLOOKUP($J424,'Type Chart'!$C$2:$T$20,6,false)*HLOOKUP($K424,'Type Chart'!$C$2:$U$20,6,false)</f>
        <v>1</v>
      </c>
      <c r="Z424" s="960">
        <f t="array" ref="Z424">HLOOKUP($J424,'Type Chart'!$C$2:$T$20,7,false)*HLOOKUP($K424,'Type Chart'!$C$2:$U$20,7,false)</f>
        <v>0.5</v>
      </c>
      <c r="AA424" s="960">
        <f t="array" ref="AA424">HLOOKUP($J424,'Type Chart'!$C$2:$T$20,8,false)*HLOOKUP($K424,'Type Chart'!$C$2:$U$20,8,false)</f>
        <v>1</v>
      </c>
      <c r="AB424" s="960">
        <f t="array" ref="AB424">HLOOKUP($J424,'Type Chart'!$C$2:$T$20,9,false)*HLOOKUP($K424,'Type Chart'!$C$2:$U$20,9,false)</f>
        <v>1</v>
      </c>
      <c r="AC424" s="960">
        <f t="array" ref="AC424">HLOOKUP($J424,'Type Chart'!$C$2:$T$20,10,false)*HLOOKUP($K424,'Type Chart'!$C$2:$U$20,10,false)</f>
        <v>1</v>
      </c>
      <c r="AD424" s="960">
        <f t="array" ref="AD424">HLOOKUP($J424,'Type Chart'!$C$2:$T$20,11,false)*HLOOKUP($K424,'Type Chart'!$C$2:$U$20,11,false)</f>
        <v>0.5</v>
      </c>
      <c r="AE424" s="960">
        <f t="array" ref="AE424">HLOOKUP($J424,'Type Chart'!$C$2:$T$20,12,false)*HLOOKUP($K424,'Type Chart'!$C$2:$U$20,12,false)</f>
        <v>1</v>
      </c>
      <c r="AF424" s="960">
        <f t="array" ref="AF424">HLOOKUP($J424,'Type Chart'!$C$2:$T$20,13,false)*HLOOKUP($K424,'Type Chart'!$C$2:$U$20,13,false)</f>
        <v>1</v>
      </c>
      <c r="AG424" s="960">
        <f t="array" ref="AG424">HLOOKUP($J424,'Type Chart'!$C$2:$T$20,14,false)*HLOOKUP($K424,'Type Chart'!$C$2:$U$20,14,false)</f>
        <v>0</v>
      </c>
      <c r="AH424" s="960">
        <f t="array" ref="AH424">HLOOKUP($J424,'Type Chart'!$C$2:$T$20,15,false)*HLOOKUP($K424,'Type Chart'!$C$2:$U$20,15,false)</f>
        <v>1</v>
      </c>
      <c r="AI424" s="960">
        <f t="array" ref="AI424">HLOOKUP($J424,'Type Chart'!$C$2:$T$20,16,false)*HLOOKUP($K424,'Type Chart'!$C$2:$U$20,16,false)</f>
        <v>4</v>
      </c>
      <c r="AJ424" s="960">
        <f t="array" ref="AJ424">HLOOKUP($J424,'Type Chart'!$C$2:$T$20,17,false)*HLOOKUP($K424,'Type Chart'!$C$2:$U$20,17,false)</f>
        <v>2</v>
      </c>
      <c r="AK424" s="960">
        <f t="array" ref="AK424">HLOOKUP($J424,'Type Chart'!$C$2:$T$20,18,false)*HLOOKUP($K424,'Type Chart'!$C$2:$U$20,18,false)</f>
        <v>1</v>
      </c>
      <c r="AL424" s="960">
        <f t="array" ref="AL424">HLOOKUP($J424,'Type Chart'!$C$2:$T$20,19,false)*HLOOKUP($K424,'Type Chart'!$C$2:$U$20,19,false)</f>
        <v>2</v>
      </c>
      <c r="AM424" s="964" t="s">
        <v>1437</v>
      </c>
      <c r="AN424" s="965"/>
      <c r="AO424" s="966"/>
      <c r="AP424" s="936"/>
      <c r="AQ424" s="967"/>
      <c r="AR424" s="968"/>
      <c r="AS424" s="936"/>
    </row>
    <row r="425" ht="15.75" customHeight="1">
      <c r="A425" s="936"/>
      <c r="B425" s="948" t="s">
        <v>2240</v>
      </c>
      <c r="C425" s="950" t="s">
        <v>2241</v>
      </c>
      <c r="D425" s="950" t="s">
        <v>2241</v>
      </c>
      <c r="E425" s="952" t="s">
        <v>2241</v>
      </c>
      <c r="F425" s="940"/>
      <c r="G425" s="953"/>
      <c r="H425" s="969"/>
      <c r="I425" s="956" t="s">
        <v>813</v>
      </c>
      <c r="J425" s="957" t="s">
        <v>209</v>
      </c>
      <c r="K425" s="984" t="s">
        <v>216</v>
      </c>
      <c r="L425" s="959">
        <v>50.0</v>
      </c>
      <c r="M425" s="960">
        <v>85.0</v>
      </c>
      <c r="N425" s="960">
        <v>40.0</v>
      </c>
      <c r="O425" s="960">
        <v>85.0</v>
      </c>
      <c r="P425" s="960">
        <v>40.0</v>
      </c>
      <c r="Q425" s="960">
        <v>35.0</v>
      </c>
      <c r="R425" s="960">
        <v>106.0</v>
      </c>
      <c r="S425" s="960">
        <v>169.0</v>
      </c>
      <c r="T425" s="960">
        <v>185.0</v>
      </c>
      <c r="U425" s="960">
        <f t="array" ref="U425">HLOOKUP($J425,'Type Chart'!$C$2:$T$20,2,false)*HLOOKUP($K425,'Type Chart'!$C$2:$U$20,2,false)</f>
        <v>1</v>
      </c>
      <c r="V425" s="960">
        <f t="array" ref="V425">HLOOKUP($J425,'Type Chart'!$C$2:$T$20,3,false)*HLOOKUP($K425,'Type Chart'!$C$2:$U$20,3,false)</f>
        <v>1</v>
      </c>
      <c r="W425" s="960">
        <f t="array" ref="W425">HLOOKUP($J425,'Type Chart'!$C$2:$T$20,4,false)*HLOOKUP($K425,'Type Chart'!$C$2:$U$20,4,false)</f>
        <v>2</v>
      </c>
      <c r="X425" s="960">
        <f t="array" ref="X425">HLOOKUP($J425,'Type Chart'!$C$2:$T$20,5,false)*HLOOKUP($K425,'Type Chart'!$C$2:$U$20,5,false)</f>
        <v>2</v>
      </c>
      <c r="Y425" s="960">
        <f t="array" ref="Y425">HLOOKUP($J425,'Type Chart'!$C$2:$T$20,6,false)*HLOOKUP($K425,'Type Chart'!$C$2:$U$20,6,false)</f>
        <v>0.5</v>
      </c>
      <c r="Z425" s="960">
        <f t="array" ref="Z425">HLOOKUP($J425,'Type Chart'!$C$2:$T$20,7,false)*HLOOKUP($K425,'Type Chart'!$C$2:$U$20,7,false)</f>
        <v>1</v>
      </c>
      <c r="AA425" s="960">
        <f t="array" ref="AA425">HLOOKUP($J425,'Type Chart'!$C$2:$T$20,8,false)*HLOOKUP($K425,'Type Chart'!$C$2:$U$20,8,false)</f>
        <v>2</v>
      </c>
      <c r="AB425" s="960">
        <f t="array" ref="AB425">HLOOKUP($J425,'Type Chart'!$C$2:$T$20,9,false)*HLOOKUP($K425,'Type Chart'!$C$2:$U$20,9,false)</f>
        <v>1</v>
      </c>
      <c r="AC425" s="960">
        <f t="array" ref="AC425">HLOOKUP($J425,'Type Chart'!$C$2:$T$20,10,false)*HLOOKUP($K425,'Type Chart'!$C$2:$U$20,10,false)</f>
        <v>1</v>
      </c>
      <c r="AD425" s="960">
        <f t="array" ref="AD425">HLOOKUP($J425,'Type Chart'!$C$2:$T$20,11,false)*HLOOKUP($K425,'Type Chart'!$C$2:$U$20,11,false)</f>
        <v>2</v>
      </c>
      <c r="AE425" s="960">
        <f t="array" ref="AE425">HLOOKUP($J425,'Type Chart'!$C$2:$T$20,12,false)*HLOOKUP($K425,'Type Chart'!$C$2:$U$20,12,false)</f>
        <v>0.5</v>
      </c>
      <c r="AF425" s="960">
        <f t="array" ref="AF425">HLOOKUP($J425,'Type Chart'!$C$2:$T$20,13,false)*HLOOKUP($K425,'Type Chart'!$C$2:$U$20,13,false)</f>
        <v>0.5</v>
      </c>
      <c r="AG425" s="960">
        <f t="array" ref="AG425">HLOOKUP($J425,'Type Chart'!$C$2:$T$20,14,false)*HLOOKUP($K425,'Type Chart'!$C$2:$U$20,14,false)</f>
        <v>0.5</v>
      </c>
      <c r="AH425" s="960">
        <f t="array" ref="AH425">HLOOKUP($J425,'Type Chart'!$C$2:$T$20,15,false)*HLOOKUP($K425,'Type Chart'!$C$2:$U$20,15,false)</f>
        <v>1</v>
      </c>
      <c r="AI425" s="960">
        <f t="array" ref="AI425">HLOOKUP($J425,'Type Chart'!$C$2:$T$20,16,false)*HLOOKUP($K425,'Type Chart'!$C$2:$U$20,16,false)</f>
        <v>2</v>
      </c>
      <c r="AJ425" s="960">
        <f t="array" ref="AJ425">HLOOKUP($J425,'Type Chart'!$C$2:$T$20,17,false)*HLOOKUP($K425,'Type Chart'!$C$2:$U$20,17,false)</f>
        <v>1</v>
      </c>
      <c r="AK425" s="960">
        <f t="array" ref="AK425">HLOOKUP($J425,'Type Chart'!$C$2:$T$20,18,false)*HLOOKUP($K425,'Type Chart'!$C$2:$U$20,18,false)</f>
        <v>1</v>
      </c>
      <c r="AL425" s="960">
        <f t="array" ref="AL425">HLOOKUP($J425,'Type Chart'!$C$2:$T$20,19,false)*HLOOKUP($K425,'Type Chart'!$C$2:$U$20,19,false)</f>
        <v>1</v>
      </c>
      <c r="AM425" s="964" t="s">
        <v>1129</v>
      </c>
      <c r="AN425" s="965"/>
      <c r="AO425" s="966" t="s">
        <v>1283</v>
      </c>
      <c r="AP425" s="936"/>
      <c r="AQ425" s="967"/>
      <c r="AR425" s="968"/>
      <c r="AS425" s="936"/>
    </row>
    <row r="426" ht="15.75" customHeight="1">
      <c r="A426" s="936"/>
      <c r="B426" s="948" t="s">
        <v>2242</v>
      </c>
      <c r="C426" s="950" t="s">
        <v>2243</v>
      </c>
      <c r="D426" s="950" t="s">
        <v>2243</v>
      </c>
      <c r="E426" s="952" t="s">
        <v>2243</v>
      </c>
      <c r="F426" s="940"/>
      <c r="G426" s="953"/>
      <c r="H426" s="969"/>
      <c r="I426" s="956" t="s">
        <v>814</v>
      </c>
      <c r="J426" s="957" t="s">
        <v>209</v>
      </c>
      <c r="K426" s="1195" t="s">
        <v>193</v>
      </c>
      <c r="L426" s="959">
        <v>70.0</v>
      </c>
      <c r="M426" s="960">
        <v>115.0</v>
      </c>
      <c r="N426" s="960">
        <v>60.0</v>
      </c>
      <c r="O426" s="960">
        <v>115.0</v>
      </c>
      <c r="P426" s="960">
        <v>60.0</v>
      </c>
      <c r="Q426" s="960">
        <v>55.0</v>
      </c>
      <c r="R426" s="960">
        <v>146.0</v>
      </c>
      <c r="S426" s="960">
        <v>209.0</v>
      </c>
      <c r="T426" s="960">
        <v>229.0</v>
      </c>
      <c r="U426" s="960">
        <f t="array" ref="U426">HLOOKUP($J426,'Type Chart'!$C$2:$T$20,2,false)*HLOOKUP($K426,'Type Chart'!$C$2:$U$20,2,false)</f>
        <v>1</v>
      </c>
      <c r="V426" s="960">
        <f t="array" ref="V426">HLOOKUP($J426,'Type Chart'!$C$2:$T$20,3,false)*HLOOKUP($K426,'Type Chart'!$C$2:$U$20,3,false)</f>
        <v>2</v>
      </c>
      <c r="W426" s="960">
        <f t="array" ref="W426">HLOOKUP($J426,'Type Chart'!$C$2:$T$20,4,false)*HLOOKUP($K426,'Type Chart'!$C$2:$U$20,4,false)</f>
        <v>2</v>
      </c>
      <c r="X426" s="960">
        <f t="array" ref="X426">HLOOKUP($J426,'Type Chart'!$C$2:$T$20,5,false)*HLOOKUP($K426,'Type Chart'!$C$2:$U$20,5,false)</f>
        <v>2</v>
      </c>
      <c r="Y426" s="960">
        <f t="array" ref="Y426">HLOOKUP($J426,'Type Chart'!$C$2:$T$20,6,false)*HLOOKUP($K426,'Type Chart'!$C$2:$U$20,6,false)</f>
        <v>0.5</v>
      </c>
      <c r="Z426" s="960">
        <f t="array" ref="Z426">HLOOKUP($J426,'Type Chart'!$C$2:$T$20,7,false)*HLOOKUP($K426,'Type Chart'!$C$2:$U$20,7,false)</f>
        <v>1</v>
      </c>
      <c r="AA426" s="960">
        <f t="array" ref="AA426">HLOOKUP($J426,'Type Chart'!$C$2:$T$20,8,false)*HLOOKUP($K426,'Type Chart'!$C$2:$U$20,8,false)</f>
        <v>4</v>
      </c>
      <c r="AB426" s="960">
        <f t="array" ref="AB426">HLOOKUP($J426,'Type Chart'!$C$2:$T$20,9,false)*HLOOKUP($K426,'Type Chart'!$C$2:$U$20,9,false)</f>
        <v>0.5</v>
      </c>
      <c r="AC426" s="960">
        <f t="array" ref="AC426">HLOOKUP($J426,'Type Chart'!$C$2:$T$20,10,false)*HLOOKUP($K426,'Type Chart'!$C$2:$U$20,10,false)</f>
        <v>1</v>
      </c>
      <c r="AD426" s="960">
        <f t="array" ref="AD426">HLOOKUP($J426,'Type Chart'!$C$2:$T$20,11,false)*HLOOKUP($K426,'Type Chart'!$C$2:$U$20,11,false)</f>
        <v>2</v>
      </c>
      <c r="AE426" s="960">
        <f t="array" ref="AE426">HLOOKUP($J426,'Type Chart'!$C$2:$T$20,12,false)*HLOOKUP($K426,'Type Chart'!$C$2:$U$20,12,false)</f>
        <v>0.5</v>
      </c>
      <c r="AF426" s="960">
        <f t="array" ref="AF426">HLOOKUP($J426,'Type Chart'!$C$2:$T$20,13,false)*HLOOKUP($K426,'Type Chart'!$C$2:$U$20,13,false)</f>
        <v>0.5</v>
      </c>
      <c r="AG426" s="960">
        <f t="array" ref="AG426">HLOOKUP($J426,'Type Chart'!$C$2:$T$20,14,false)*HLOOKUP($K426,'Type Chart'!$C$2:$U$20,14,false)</f>
        <v>0.5</v>
      </c>
      <c r="AH426" s="960">
        <f t="array" ref="AH426">HLOOKUP($J426,'Type Chart'!$C$2:$T$20,15,false)*HLOOKUP($K426,'Type Chart'!$C$2:$U$20,15,false)</f>
        <v>0</v>
      </c>
      <c r="AI426" s="960">
        <f t="array" ref="AI426">HLOOKUP($J426,'Type Chart'!$C$2:$T$20,16,false)*HLOOKUP($K426,'Type Chart'!$C$2:$U$20,16,false)</f>
        <v>2</v>
      </c>
      <c r="AJ426" s="960">
        <f t="array" ref="AJ426">HLOOKUP($J426,'Type Chart'!$C$2:$T$20,17,false)*HLOOKUP($K426,'Type Chart'!$C$2:$U$20,17,false)</f>
        <v>1</v>
      </c>
      <c r="AK426" s="960">
        <f t="array" ref="AK426">HLOOKUP($J426,'Type Chart'!$C$2:$T$20,18,false)*HLOOKUP($K426,'Type Chart'!$C$2:$U$20,18,false)</f>
        <v>0.5</v>
      </c>
      <c r="AL426" s="960">
        <f t="array" ref="AL426">HLOOKUP($J426,'Type Chart'!$C$2:$T$20,19,false)*HLOOKUP($K426,'Type Chart'!$C$2:$U$20,19,false)</f>
        <v>2</v>
      </c>
      <c r="AM426" s="964" t="s">
        <v>1129</v>
      </c>
      <c r="AN426" s="965"/>
      <c r="AO426" s="966" t="s">
        <v>1283</v>
      </c>
      <c r="AP426" s="936"/>
      <c r="AQ426" s="967"/>
      <c r="AR426" s="968"/>
      <c r="AS426" s="936"/>
    </row>
    <row r="427" ht="15.75" customHeight="1">
      <c r="A427" s="936"/>
      <c r="B427" s="948" t="s">
        <v>2244</v>
      </c>
      <c r="C427" s="950" t="s">
        <v>2245</v>
      </c>
      <c r="D427" s="950" t="s">
        <v>2245</v>
      </c>
      <c r="E427" s="952" t="s">
        <v>2245</v>
      </c>
      <c r="F427" s="940"/>
      <c r="G427" s="953"/>
      <c r="H427" s="969"/>
      <c r="I427" s="956" t="s">
        <v>2246</v>
      </c>
      <c r="J427" s="1194" t="s">
        <v>136</v>
      </c>
      <c r="K427" s="1001" t="s">
        <v>128</v>
      </c>
      <c r="L427" s="959">
        <v>45.0</v>
      </c>
      <c r="M427" s="960">
        <v>40.0</v>
      </c>
      <c r="N427" s="960">
        <v>60.0</v>
      </c>
      <c r="O427" s="960">
        <v>40.0</v>
      </c>
      <c r="P427" s="960">
        <v>75.0</v>
      </c>
      <c r="Q427" s="960">
        <v>50.0</v>
      </c>
      <c r="R427" s="960">
        <v>136.0</v>
      </c>
      <c r="S427" s="960">
        <v>199.0</v>
      </c>
      <c r="T427" s="960">
        <v>218.0</v>
      </c>
      <c r="U427" s="960">
        <f t="array" ref="U427">HLOOKUP($J427,'Type Chart'!$C$2:$T$20,2,false)*HLOOKUP($K427,'Type Chart'!$C$2:$U$20,2,false)</f>
        <v>1</v>
      </c>
      <c r="V427" s="960">
        <f t="array" ref="V427">HLOOKUP($J427,'Type Chart'!$C$2:$T$20,3,false)*HLOOKUP($K427,'Type Chart'!$C$2:$U$20,3,false)</f>
        <v>1</v>
      </c>
      <c r="W427" s="960">
        <f t="array" ref="W427">HLOOKUP($J427,'Type Chart'!$C$2:$T$20,4,false)*HLOOKUP($K427,'Type Chart'!$C$2:$U$20,4,false)</f>
        <v>1</v>
      </c>
      <c r="X427" s="960">
        <f t="array" ref="X427">HLOOKUP($J427,'Type Chart'!$C$2:$T$20,5,false)*HLOOKUP($K427,'Type Chart'!$C$2:$U$20,5,false)</f>
        <v>1</v>
      </c>
      <c r="Y427" s="960">
        <f t="array" ref="Y427">HLOOKUP($J427,'Type Chart'!$C$2:$T$20,6,false)*HLOOKUP($K427,'Type Chart'!$C$2:$U$20,6,false)</f>
        <v>0</v>
      </c>
      <c r="Z427" s="960">
        <f t="array" ref="Z427">HLOOKUP($J427,'Type Chart'!$C$2:$T$20,7,false)*HLOOKUP($K427,'Type Chart'!$C$2:$U$20,7,false)</f>
        <v>2</v>
      </c>
      <c r="AA427" s="960">
        <f t="array" ref="AA427">HLOOKUP($J427,'Type Chart'!$C$2:$T$20,8,false)*HLOOKUP($K427,'Type Chart'!$C$2:$U$20,8,false)</f>
        <v>0.5</v>
      </c>
      <c r="AB427" s="960">
        <f t="array" ref="AB427">HLOOKUP($J427,'Type Chart'!$C$2:$T$20,9,false)*HLOOKUP($K427,'Type Chart'!$C$2:$U$20,9,false)</f>
        <v>0</v>
      </c>
      <c r="AC427" s="960">
        <f t="array" ref="AC427">HLOOKUP($J427,'Type Chart'!$C$2:$T$20,10,false)*HLOOKUP($K427,'Type Chart'!$C$2:$U$20,10,false)</f>
        <v>1</v>
      </c>
      <c r="AD427" s="960">
        <f t="array" ref="AD427">HLOOKUP($J427,'Type Chart'!$C$2:$T$20,11,false)*HLOOKUP($K427,'Type Chart'!$C$2:$U$20,11,false)</f>
        <v>1</v>
      </c>
      <c r="AE427" s="960">
        <f t="array" ref="AE427">HLOOKUP($J427,'Type Chart'!$C$2:$T$20,12,false)*HLOOKUP($K427,'Type Chart'!$C$2:$U$20,12,false)</f>
        <v>1</v>
      </c>
      <c r="AF427" s="960">
        <f t="array" ref="AF427">HLOOKUP($J427,'Type Chart'!$C$2:$T$20,13,false)*HLOOKUP($K427,'Type Chart'!$C$2:$U$20,13,false)</f>
        <v>0.5</v>
      </c>
      <c r="AG427" s="960">
        <f t="array" ref="AG427">HLOOKUP($J427,'Type Chart'!$C$2:$T$20,14,false)*HLOOKUP($K427,'Type Chart'!$C$2:$U$20,14,false)</f>
        <v>2</v>
      </c>
      <c r="AH427" s="960">
        <f t="array" ref="AH427">HLOOKUP($J427,'Type Chart'!$C$2:$T$20,15,false)*HLOOKUP($K427,'Type Chart'!$C$2:$U$20,15,false)</f>
        <v>1</v>
      </c>
      <c r="AI427" s="960">
        <f t="array" ref="AI427">HLOOKUP($J427,'Type Chart'!$C$2:$T$20,16,false)*HLOOKUP($K427,'Type Chart'!$C$2:$U$20,16,false)</f>
        <v>2</v>
      </c>
      <c r="AJ427" s="960">
        <f t="array" ref="AJ427">HLOOKUP($J427,'Type Chart'!$C$2:$T$20,17,false)*HLOOKUP($K427,'Type Chart'!$C$2:$U$20,17,false)</f>
        <v>1</v>
      </c>
      <c r="AK427" s="960">
        <f t="array" ref="AK427">HLOOKUP($J427,'Type Chart'!$C$2:$T$20,18,false)*HLOOKUP($K427,'Type Chart'!$C$2:$U$20,18,false)</f>
        <v>1</v>
      </c>
      <c r="AL427" s="960">
        <f t="array" ref="AL427">HLOOKUP($J427,'Type Chart'!$C$2:$T$20,19,false)*HLOOKUP($K427,'Type Chart'!$C$2:$U$20,19,false)</f>
        <v>1</v>
      </c>
      <c r="AM427" s="964" t="s">
        <v>1520</v>
      </c>
      <c r="AN427" s="965"/>
      <c r="AO427" s="966" t="s">
        <v>1258</v>
      </c>
      <c r="AP427" s="936"/>
      <c r="AQ427" s="967"/>
      <c r="AR427" s="968"/>
      <c r="AS427" s="936"/>
    </row>
    <row r="428" ht="15.75" customHeight="1">
      <c r="A428" s="936"/>
      <c r="B428" s="948" t="s">
        <v>2247</v>
      </c>
      <c r="C428" s="950" t="s">
        <v>2248</v>
      </c>
      <c r="D428" s="950" t="s">
        <v>2248</v>
      </c>
      <c r="E428" s="952" t="s">
        <v>2248</v>
      </c>
      <c r="F428" s="940"/>
      <c r="G428" s="953"/>
      <c r="H428" s="969"/>
      <c r="I428" s="956" t="s">
        <v>670</v>
      </c>
      <c r="J428" s="1006" t="s">
        <v>346</v>
      </c>
      <c r="K428" s="1001" t="s">
        <v>128</v>
      </c>
      <c r="L428" s="959">
        <v>75.0</v>
      </c>
      <c r="M428" s="960">
        <v>70.0</v>
      </c>
      <c r="N428" s="960">
        <v>90.0</v>
      </c>
      <c r="O428" s="960">
        <v>70.0</v>
      </c>
      <c r="P428" s="960">
        <v>105.0</v>
      </c>
      <c r="Q428" s="960">
        <v>80.0</v>
      </c>
      <c r="R428" s="960">
        <v>196.0</v>
      </c>
      <c r="S428" s="960">
        <v>259.0</v>
      </c>
      <c r="T428" s="960">
        <v>284.0</v>
      </c>
      <c r="U428" s="960">
        <f t="array" ref="U428">HLOOKUP($J428,'Type Chart'!$C$2:$T$20,2,false)*HLOOKUP($K428,'Type Chart'!$C$2:$U$20,2,false)</f>
        <v>1</v>
      </c>
      <c r="V428" s="960">
        <f t="array" ref="V428">HLOOKUP($J428,'Type Chart'!$C$2:$T$20,3,false)*HLOOKUP($K428,'Type Chart'!$C$2:$U$20,3,false)</f>
        <v>0.5</v>
      </c>
      <c r="W428" s="960">
        <f t="array" ref="W428">HLOOKUP($J428,'Type Chart'!$C$2:$T$20,4,false)*HLOOKUP($K428,'Type Chart'!$C$2:$U$20,4,false)</f>
        <v>1</v>
      </c>
      <c r="X428" s="960">
        <f t="array" ref="X428">HLOOKUP($J428,'Type Chart'!$C$2:$T$20,5,false)*HLOOKUP($K428,'Type Chart'!$C$2:$U$20,5,false)</f>
        <v>1</v>
      </c>
      <c r="Y428" s="960">
        <f t="array" ref="Y428">HLOOKUP($J428,'Type Chart'!$C$2:$T$20,6,false)*HLOOKUP($K428,'Type Chart'!$C$2:$U$20,6,false)</f>
        <v>0</v>
      </c>
      <c r="Z428" s="960">
        <f t="array" ref="Z428">HLOOKUP($J428,'Type Chart'!$C$2:$T$20,7,false)*HLOOKUP($K428,'Type Chart'!$C$2:$U$20,7,false)</f>
        <v>2</v>
      </c>
      <c r="AA428" s="960">
        <f t="array" ref="AA428">HLOOKUP($J428,'Type Chart'!$C$2:$T$20,8,false)*HLOOKUP($K428,'Type Chart'!$C$2:$U$20,8,false)</f>
        <v>0.5</v>
      </c>
      <c r="AB428" s="960">
        <f t="array" ref="AB428">HLOOKUP($J428,'Type Chart'!$C$2:$T$20,9,false)*HLOOKUP($K428,'Type Chart'!$C$2:$U$20,9,false)</f>
        <v>1</v>
      </c>
      <c r="AC428" s="960">
        <f t="array" ref="AC428">HLOOKUP($J428,'Type Chart'!$C$2:$T$20,10,false)*HLOOKUP($K428,'Type Chart'!$C$2:$U$20,10,false)</f>
        <v>1</v>
      </c>
      <c r="AD428" s="960">
        <f t="array" ref="AD428">HLOOKUP($J428,'Type Chart'!$C$2:$T$20,11,false)*HLOOKUP($K428,'Type Chart'!$C$2:$U$20,11,false)</f>
        <v>0.5</v>
      </c>
      <c r="AE428" s="960">
        <f t="array" ref="AE428">HLOOKUP($J428,'Type Chart'!$C$2:$T$20,12,false)*HLOOKUP($K428,'Type Chart'!$C$2:$U$20,12,false)</f>
        <v>0.5</v>
      </c>
      <c r="AF428" s="960">
        <f t="array" ref="AF428">HLOOKUP($J428,'Type Chart'!$C$2:$T$20,13,false)*HLOOKUP($K428,'Type Chart'!$C$2:$U$20,13,false)</f>
        <v>0.25</v>
      </c>
      <c r="AG428" s="960">
        <f t="array" ref="AG428">HLOOKUP($J428,'Type Chart'!$C$2:$T$20,14,false)*HLOOKUP($K428,'Type Chart'!$C$2:$U$20,14,false)</f>
        <v>1</v>
      </c>
      <c r="AH428" s="960">
        <f t="array" ref="AH428">HLOOKUP($J428,'Type Chart'!$C$2:$T$20,15,false)*HLOOKUP($K428,'Type Chart'!$C$2:$U$20,15,false)</f>
        <v>1</v>
      </c>
      <c r="AI428" s="960">
        <f t="array" ref="AI428">HLOOKUP($J428,'Type Chart'!$C$2:$T$20,16,false)*HLOOKUP($K428,'Type Chart'!$C$2:$U$20,16,false)</f>
        <v>4</v>
      </c>
      <c r="AJ428" s="960">
        <f t="array" ref="AJ428">HLOOKUP($J428,'Type Chart'!$C$2:$T$20,17,false)*HLOOKUP($K428,'Type Chart'!$C$2:$U$20,17,false)</f>
        <v>2</v>
      </c>
      <c r="AK428" s="960">
        <f t="array" ref="AK428">HLOOKUP($J428,'Type Chart'!$C$2:$T$20,18,false)*HLOOKUP($K428,'Type Chart'!$C$2:$U$20,18,false)</f>
        <v>1</v>
      </c>
      <c r="AL428" s="960">
        <f t="array" ref="AL428">HLOOKUP($J428,'Type Chart'!$C$2:$T$20,19,false)*HLOOKUP($K428,'Type Chart'!$C$2:$U$20,19,false)</f>
        <v>2</v>
      </c>
      <c r="AM428" s="964" t="s">
        <v>1520</v>
      </c>
      <c r="AN428" s="965"/>
      <c r="AO428" s="966" t="s">
        <v>1258</v>
      </c>
      <c r="AP428" s="936"/>
      <c r="AQ428" s="967"/>
      <c r="AR428" s="968"/>
      <c r="AS428" s="936"/>
    </row>
    <row r="429" ht="15.75" customHeight="1">
      <c r="A429" s="936"/>
      <c r="B429" s="948" t="s">
        <v>2249</v>
      </c>
      <c r="C429" s="950" t="s">
        <v>2250</v>
      </c>
      <c r="D429" s="950" t="s">
        <v>2250</v>
      </c>
      <c r="E429" s="952" t="s">
        <v>2250</v>
      </c>
      <c r="F429" s="940"/>
      <c r="G429" s="953"/>
      <c r="H429" s="969"/>
      <c r="I429" s="956" t="s">
        <v>2251</v>
      </c>
      <c r="J429" s="1006" t="s">
        <v>346</v>
      </c>
      <c r="K429" s="1207" t="s">
        <v>127</v>
      </c>
      <c r="L429" s="959">
        <v>75.0</v>
      </c>
      <c r="M429" s="960">
        <v>110.0</v>
      </c>
      <c r="N429" s="960">
        <v>110.0</v>
      </c>
      <c r="O429" s="960">
        <v>110.0</v>
      </c>
      <c r="P429" s="960">
        <v>105.0</v>
      </c>
      <c r="Q429" s="960">
        <v>80.0</v>
      </c>
      <c r="R429" s="960">
        <v>196.0</v>
      </c>
      <c r="S429" s="960">
        <v>259.0</v>
      </c>
      <c r="T429" s="960">
        <v>284.0</v>
      </c>
      <c r="U429" s="960">
        <f t="array" ref="U429">HLOOKUP($J429,'Type Chart'!$C$2:$T$20,2,false)*HLOOKUP($K429,'Type Chart'!$C$2:$U$20,2,false)</f>
        <v>1</v>
      </c>
      <c r="V429" s="960">
        <f t="array" ref="V429">HLOOKUP($J429,'Type Chart'!$C$2:$T$20,3,false)*HLOOKUP($K429,'Type Chart'!$C$2:$U$20,3,false)</f>
        <v>0.5</v>
      </c>
      <c r="W429" s="960">
        <f t="array" ref="W429">HLOOKUP($J429,'Type Chart'!$C$2:$T$20,4,false)*HLOOKUP($K429,'Type Chart'!$C$2:$U$20,4,false)</f>
        <v>1</v>
      </c>
      <c r="X429" s="960">
        <f t="array" ref="X429">HLOOKUP($J429,'Type Chart'!$C$2:$T$20,5,false)*HLOOKUP($K429,'Type Chart'!$C$2:$U$20,5,false)</f>
        <v>2</v>
      </c>
      <c r="Y429" s="960">
        <f t="array" ref="Y429">HLOOKUP($J429,'Type Chart'!$C$2:$T$20,6,false)*HLOOKUP($K429,'Type Chart'!$C$2:$U$20,6,false)</f>
        <v>1</v>
      </c>
      <c r="Z429" s="960">
        <f t="array" ref="Z429">HLOOKUP($J429,'Type Chart'!$C$2:$T$20,7,false)*HLOOKUP($K429,'Type Chart'!$C$2:$U$20,7,false)</f>
        <v>1</v>
      </c>
      <c r="AA429" s="960">
        <f t="array" ref="AA429">HLOOKUP($J429,'Type Chart'!$C$2:$T$20,8,false)*HLOOKUP($K429,'Type Chart'!$C$2:$U$20,8,false)</f>
        <v>0.5</v>
      </c>
      <c r="AB429" s="960">
        <f t="array" ref="AB429">HLOOKUP($J429,'Type Chart'!$C$2:$T$20,9,false)*HLOOKUP($K429,'Type Chart'!$C$2:$U$20,9,false)</f>
        <v>1</v>
      </c>
      <c r="AC429" s="960">
        <f t="array" ref="AC429">HLOOKUP($J429,'Type Chart'!$C$2:$T$20,10,false)*HLOOKUP($K429,'Type Chart'!$C$2:$U$20,10,false)</f>
        <v>2</v>
      </c>
      <c r="AD429" s="960">
        <f t="array" ref="AD429">HLOOKUP($J429,'Type Chart'!$C$2:$T$20,11,false)*HLOOKUP($K429,'Type Chart'!$C$2:$U$20,11,false)</f>
        <v>0.5</v>
      </c>
      <c r="AE429" s="960">
        <f t="array" ref="AE429">HLOOKUP($J429,'Type Chart'!$C$2:$T$20,12,false)*HLOOKUP($K429,'Type Chart'!$C$2:$U$20,12,false)</f>
        <v>0.5</v>
      </c>
      <c r="AF429" s="960">
        <f t="array" ref="AF429">HLOOKUP($J429,'Type Chart'!$C$2:$T$20,13,false)*HLOOKUP($K429,'Type Chart'!$C$2:$U$20,13,false)</f>
        <v>0.5</v>
      </c>
      <c r="AG429" s="960">
        <f t="array" ref="AG429">HLOOKUP($J429,'Type Chart'!$C$2:$T$20,14,false)*HLOOKUP($K429,'Type Chart'!$C$2:$U$20,14,false)</f>
        <v>0.5</v>
      </c>
      <c r="AH429" s="960">
        <f t="array" ref="AH429">HLOOKUP($J429,'Type Chart'!$C$2:$T$20,15,false)*HLOOKUP($K429,'Type Chart'!$C$2:$U$20,15,false)</f>
        <v>1</v>
      </c>
      <c r="AI429" s="960">
        <f t="array" ref="AI429">HLOOKUP($J429,'Type Chart'!$C$2:$T$20,16,false)*HLOOKUP($K429,'Type Chart'!$C$2:$U$20,16,false)</f>
        <v>2</v>
      </c>
      <c r="AJ429" s="960">
        <f t="array" ref="AJ429">HLOOKUP($J429,'Type Chart'!$C$2:$T$20,17,false)*HLOOKUP($K429,'Type Chart'!$C$2:$U$20,17,false)</f>
        <v>0</v>
      </c>
      <c r="AK429" s="960">
        <f t="array" ref="AK429">HLOOKUP($J429,'Type Chart'!$C$2:$T$20,18,false)*HLOOKUP($K429,'Type Chart'!$C$2:$U$20,18,false)</f>
        <v>0.5</v>
      </c>
      <c r="AL429" s="960">
        <f t="array" ref="AL429">HLOOKUP($J429,'Type Chart'!$C$2:$T$20,19,false)*HLOOKUP($K429,'Type Chart'!$C$2:$U$20,19,false)</f>
        <v>2</v>
      </c>
      <c r="AM429" s="964" t="s">
        <v>2079</v>
      </c>
      <c r="AN429" s="965"/>
      <c r="AO429" s="966"/>
      <c r="AP429" s="936"/>
      <c r="AQ429" s="967"/>
      <c r="AR429" s="968"/>
      <c r="AS429" s="936"/>
    </row>
    <row r="430" ht="15.75" customHeight="1">
      <c r="A430" s="936"/>
      <c r="B430" s="948" t="s">
        <v>2252</v>
      </c>
      <c r="C430" s="950" t="s">
        <v>2253</v>
      </c>
      <c r="D430" s="950" t="s">
        <v>2253</v>
      </c>
      <c r="E430" s="952" t="s">
        <v>2253</v>
      </c>
      <c r="F430" s="940"/>
      <c r="G430" s="953"/>
      <c r="H430" s="969"/>
      <c r="I430" s="956" t="s">
        <v>691</v>
      </c>
      <c r="J430" s="1194" t="s">
        <v>136</v>
      </c>
      <c r="K430" s="984" t="s">
        <v>216</v>
      </c>
      <c r="L430" s="959">
        <v>73.0</v>
      </c>
      <c r="M430" s="960">
        <v>115.0</v>
      </c>
      <c r="N430" s="960">
        <v>60.0</v>
      </c>
      <c r="O430" s="960">
        <v>60.0</v>
      </c>
      <c r="P430" s="960">
        <v>60.0</v>
      </c>
      <c r="Q430" s="960">
        <v>90.0</v>
      </c>
      <c r="R430" s="960">
        <v>216.0</v>
      </c>
      <c r="S430" s="960">
        <v>279.0</v>
      </c>
      <c r="T430" s="960">
        <v>306.0</v>
      </c>
      <c r="U430" s="960">
        <f t="array" ref="U430">HLOOKUP($J430,'Type Chart'!$C$2:$T$20,2,false)*HLOOKUP($K430,'Type Chart'!$C$2:$U$20,2,false)</f>
        <v>1</v>
      </c>
      <c r="V430" s="960">
        <f t="array" ref="V430">HLOOKUP($J430,'Type Chart'!$C$2:$T$20,3,false)*HLOOKUP($K430,'Type Chart'!$C$2:$U$20,3,false)</f>
        <v>2</v>
      </c>
      <c r="W430" s="960">
        <f t="array" ref="W430">HLOOKUP($J430,'Type Chart'!$C$2:$T$20,4,false)*HLOOKUP($K430,'Type Chart'!$C$2:$U$20,4,false)</f>
        <v>1</v>
      </c>
      <c r="X430" s="960">
        <f t="array" ref="X430">HLOOKUP($J430,'Type Chart'!$C$2:$T$20,5,false)*HLOOKUP($K430,'Type Chart'!$C$2:$U$20,5,false)</f>
        <v>1</v>
      </c>
      <c r="Y430" s="960">
        <f t="array" ref="Y430">HLOOKUP($J430,'Type Chart'!$C$2:$T$20,6,false)*HLOOKUP($K430,'Type Chart'!$C$2:$U$20,6,false)</f>
        <v>1</v>
      </c>
      <c r="Z430" s="960">
        <f t="array" ref="Z430">HLOOKUP($J430,'Type Chart'!$C$2:$T$20,7,false)*HLOOKUP($K430,'Type Chart'!$C$2:$U$20,7,false)</f>
        <v>1</v>
      </c>
      <c r="AA430" s="960">
        <f t="array" ref="AA430">HLOOKUP($J430,'Type Chart'!$C$2:$T$20,8,false)*HLOOKUP($K430,'Type Chart'!$C$2:$U$20,8,false)</f>
        <v>1</v>
      </c>
      <c r="AB430" s="960">
        <f t="array" ref="AB430">HLOOKUP($J430,'Type Chart'!$C$2:$T$20,9,false)*HLOOKUP($K430,'Type Chart'!$C$2:$U$20,9,false)</f>
        <v>0</v>
      </c>
      <c r="AC430" s="960">
        <f t="array" ref="AC430">HLOOKUP($J430,'Type Chart'!$C$2:$T$20,10,false)*HLOOKUP($K430,'Type Chart'!$C$2:$U$20,10,false)</f>
        <v>1</v>
      </c>
      <c r="AD430" s="960">
        <f t="array" ref="AD430">HLOOKUP($J430,'Type Chart'!$C$2:$T$20,11,false)*HLOOKUP($K430,'Type Chart'!$C$2:$U$20,11,false)</f>
        <v>1</v>
      </c>
      <c r="AE430" s="960">
        <f t="array" ref="AE430">HLOOKUP($J430,'Type Chart'!$C$2:$T$20,12,false)*HLOOKUP($K430,'Type Chart'!$C$2:$U$20,12,false)</f>
        <v>1</v>
      </c>
      <c r="AF430" s="960">
        <f t="array" ref="AF430">HLOOKUP($J430,'Type Chart'!$C$2:$T$20,13,false)*HLOOKUP($K430,'Type Chart'!$C$2:$U$20,13,false)</f>
        <v>1</v>
      </c>
      <c r="AG430" s="960">
        <f t="array" ref="AG430">HLOOKUP($J430,'Type Chart'!$C$2:$T$20,14,false)*HLOOKUP($K430,'Type Chart'!$C$2:$U$20,14,false)</f>
        <v>1</v>
      </c>
      <c r="AH430" s="960">
        <f t="array" ref="AH430">HLOOKUP($J430,'Type Chart'!$C$2:$T$20,15,false)*HLOOKUP($K430,'Type Chart'!$C$2:$U$20,15,false)</f>
        <v>1</v>
      </c>
      <c r="AI430" s="960">
        <f t="array" ref="AI430">HLOOKUP($J430,'Type Chart'!$C$2:$T$20,16,false)*HLOOKUP($K430,'Type Chart'!$C$2:$U$20,16,false)</f>
        <v>1</v>
      </c>
      <c r="AJ430" s="960">
        <f t="array" ref="AJ430">HLOOKUP($J430,'Type Chart'!$C$2:$T$20,17,false)*HLOOKUP($K430,'Type Chart'!$C$2:$U$20,17,false)</f>
        <v>1</v>
      </c>
      <c r="AK430" s="960">
        <f t="array" ref="AK430">HLOOKUP($J430,'Type Chart'!$C$2:$T$20,18,false)*HLOOKUP($K430,'Type Chart'!$C$2:$U$20,18,false)</f>
        <v>1</v>
      </c>
      <c r="AL430" s="960">
        <f t="array" ref="AL430">HLOOKUP($J430,'Type Chart'!$C$2:$T$20,19,false)*HLOOKUP($K430,'Type Chart'!$C$2:$U$20,19,false)</f>
        <v>1</v>
      </c>
      <c r="AM430" s="964" t="s">
        <v>1642</v>
      </c>
      <c r="AN430" s="965"/>
      <c r="AO430" s="966" t="s">
        <v>2254</v>
      </c>
      <c r="AP430" s="936"/>
      <c r="AQ430" s="967"/>
      <c r="AR430" s="968"/>
      <c r="AS430" s="936"/>
    </row>
    <row r="431" ht="15.75" customHeight="1">
      <c r="A431" s="1099"/>
      <c r="B431" s="948" t="s">
        <v>2255</v>
      </c>
      <c r="C431" s="950" t="s">
        <v>2256</v>
      </c>
      <c r="D431" s="950" t="s">
        <v>2256</v>
      </c>
      <c r="E431" s="952" t="s">
        <v>2256</v>
      </c>
      <c r="F431" s="940"/>
      <c r="G431" s="953"/>
      <c r="H431" s="969"/>
      <c r="I431" s="956" t="s">
        <v>859</v>
      </c>
      <c r="J431" s="958" t="s">
        <v>178</v>
      </c>
      <c r="K431" s="984" t="s">
        <v>216</v>
      </c>
      <c r="L431" s="959">
        <v>73.0</v>
      </c>
      <c r="M431" s="960">
        <v>100.0</v>
      </c>
      <c r="N431" s="960">
        <v>60.0</v>
      </c>
      <c r="O431" s="960">
        <v>100.0</v>
      </c>
      <c r="P431" s="960">
        <v>60.0</v>
      </c>
      <c r="Q431" s="960">
        <v>65.0</v>
      </c>
      <c r="R431" s="960">
        <v>166.0</v>
      </c>
      <c r="S431" s="960">
        <v>229.0</v>
      </c>
      <c r="T431" s="960">
        <v>251.0</v>
      </c>
      <c r="U431" s="960">
        <f t="array" ref="U431">HLOOKUP($J431,'Type Chart'!$C$2:$T$20,2,false)*HLOOKUP($K431,'Type Chart'!$C$2:$U$20,2,false)</f>
        <v>1</v>
      </c>
      <c r="V431" s="960">
        <f t="array" ref="V431">HLOOKUP($J431,'Type Chart'!$C$2:$T$20,3,false)*HLOOKUP($K431,'Type Chart'!$C$2:$U$20,3,false)</f>
        <v>0.5</v>
      </c>
      <c r="W431" s="960">
        <f t="array" ref="W431">HLOOKUP($J431,'Type Chart'!$C$2:$T$20,4,false)*HLOOKUP($K431,'Type Chart'!$C$2:$U$20,4,false)</f>
        <v>1</v>
      </c>
      <c r="X431" s="960">
        <f t="array" ref="X431">HLOOKUP($J431,'Type Chart'!$C$2:$T$20,5,false)*HLOOKUP($K431,'Type Chart'!$C$2:$U$20,5,false)</f>
        <v>0.5</v>
      </c>
      <c r="Y431" s="960">
        <f t="array" ref="Y431">HLOOKUP($J431,'Type Chart'!$C$2:$T$20,6,false)*HLOOKUP($K431,'Type Chart'!$C$2:$U$20,6,false)</f>
        <v>2</v>
      </c>
      <c r="Z431" s="960">
        <f t="array" ref="Z431">HLOOKUP($J431,'Type Chart'!$C$2:$T$20,7,false)*HLOOKUP($K431,'Type Chart'!$C$2:$U$20,7,false)</f>
        <v>1</v>
      </c>
      <c r="AA431" s="960">
        <f t="array" ref="AA431">HLOOKUP($J431,'Type Chart'!$C$2:$T$20,8,false)*HLOOKUP($K431,'Type Chart'!$C$2:$U$20,8,false)</f>
        <v>0.5</v>
      </c>
      <c r="AB431" s="960">
        <f t="array" ref="AB431">HLOOKUP($J431,'Type Chart'!$C$2:$T$20,9,false)*HLOOKUP($K431,'Type Chart'!$C$2:$U$20,9,false)</f>
        <v>1</v>
      </c>
      <c r="AC431" s="960">
        <f t="array" ref="AC431">HLOOKUP($J431,'Type Chart'!$C$2:$T$20,10,false)*HLOOKUP($K431,'Type Chart'!$C$2:$U$20,10,false)</f>
        <v>1</v>
      </c>
      <c r="AD431" s="960">
        <f t="array" ref="AD431">HLOOKUP($J431,'Type Chart'!$C$2:$T$20,11,false)*HLOOKUP($K431,'Type Chart'!$C$2:$U$20,11,false)</f>
        <v>1</v>
      </c>
      <c r="AE431" s="960">
        <f t="array" ref="AE431">HLOOKUP($J431,'Type Chart'!$C$2:$T$20,12,false)*HLOOKUP($K431,'Type Chart'!$C$2:$U$20,12,false)</f>
        <v>1</v>
      </c>
      <c r="AF431" s="960">
        <f t="array" ref="AF431">HLOOKUP($J431,'Type Chart'!$C$2:$T$20,13,false)*HLOOKUP($K431,'Type Chart'!$C$2:$U$20,13,false)</f>
        <v>0.5</v>
      </c>
      <c r="AG431" s="960">
        <f t="array" ref="AG431">HLOOKUP($J431,'Type Chart'!$C$2:$T$20,14,false)*HLOOKUP($K431,'Type Chart'!$C$2:$U$20,14,false)</f>
        <v>1</v>
      </c>
      <c r="AH431" s="960">
        <f t="array" ref="AH431">HLOOKUP($J431,'Type Chart'!$C$2:$T$20,15,false)*HLOOKUP($K431,'Type Chart'!$C$2:$U$20,15,false)</f>
        <v>2</v>
      </c>
      <c r="AI431" s="960">
        <f t="array" ref="AI431">HLOOKUP($J431,'Type Chart'!$C$2:$T$20,16,false)*HLOOKUP($K431,'Type Chart'!$C$2:$U$20,16,false)</f>
        <v>1</v>
      </c>
      <c r="AJ431" s="960">
        <f t="array" ref="AJ431">HLOOKUP($J431,'Type Chart'!$C$2:$T$20,17,false)*HLOOKUP($K431,'Type Chart'!$C$2:$U$20,17,false)</f>
        <v>1</v>
      </c>
      <c r="AK431" s="960">
        <f t="array" ref="AK431">HLOOKUP($J431,'Type Chart'!$C$2:$T$20,18,false)*HLOOKUP($K431,'Type Chart'!$C$2:$U$20,18,false)</f>
        <v>1</v>
      </c>
      <c r="AL431" s="960">
        <f t="array" ref="AL431">HLOOKUP($J431,'Type Chart'!$C$2:$T$20,19,false)*HLOOKUP($K431,'Type Chart'!$C$2:$U$20,19,false)</f>
        <v>0.5</v>
      </c>
      <c r="AM431" s="1145" t="s">
        <v>998</v>
      </c>
      <c r="AN431" s="1202"/>
      <c r="AO431" s="1146" t="s">
        <v>1193</v>
      </c>
      <c r="AP431" s="936"/>
      <c r="AQ431" s="967"/>
      <c r="AR431" s="968"/>
      <c r="AS431" s="936"/>
    </row>
    <row r="432" ht="15.75" customHeight="1">
      <c r="A432" s="936"/>
      <c r="B432" s="948" t="s">
        <v>2257</v>
      </c>
      <c r="C432" s="950" t="s">
        <v>2258</v>
      </c>
      <c r="D432" s="950" t="s">
        <v>2258</v>
      </c>
      <c r="E432" s="952" t="s">
        <v>2258</v>
      </c>
      <c r="F432" s="940"/>
      <c r="G432" s="953"/>
      <c r="H432" s="969"/>
      <c r="I432" s="956" t="s">
        <v>2259</v>
      </c>
      <c r="J432" s="1214" t="s">
        <v>342</v>
      </c>
      <c r="K432" s="1203" t="s">
        <v>344</v>
      </c>
      <c r="L432" s="959">
        <v>90.0</v>
      </c>
      <c r="M432" s="960">
        <v>55.0</v>
      </c>
      <c r="N432" s="960">
        <v>65.0</v>
      </c>
      <c r="O432" s="960">
        <v>95.0</v>
      </c>
      <c r="P432" s="960">
        <v>85.0</v>
      </c>
      <c r="Q432" s="960">
        <v>70.0</v>
      </c>
      <c r="R432" s="960">
        <v>176.0</v>
      </c>
      <c r="S432" s="960">
        <v>239.0</v>
      </c>
      <c r="T432" s="960">
        <v>262.0</v>
      </c>
      <c r="U432" s="960">
        <f t="array" ref="U432">HLOOKUP($J432,'Type Chart'!$C$2:$T$20,2,false)*HLOOKUP($K432,'Type Chart'!$C$2:$U$20,2,false)</f>
        <v>0.5</v>
      </c>
      <c r="V432" s="960">
        <f t="array" ref="V432">HLOOKUP($J432,'Type Chart'!$C$2:$T$20,3,false)*HLOOKUP($K432,'Type Chart'!$C$2:$U$20,3,false)</f>
        <v>1</v>
      </c>
      <c r="W432" s="960">
        <f t="array" ref="W432">HLOOKUP($J432,'Type Chart'!$C$2:$T$20,4,false)*HLOOKUP($K432,'Type Chart'!$C$2:$U$20,4,false)</f>
        <v>0.5</v>
      </c>
      <c r="X432" s="960">
        <f t="array" ref="X432">HLOOKUP($J432,'Type Chart'!$C$2:$T$20,5,false)*HLOOKUP($K432,'Type Chart'!$C$2:$U$20,5,false)</f>
        <v>0.5</v>
      </c>
      <c r="Y432" s="960">
        <f t="array" ref="Y432">HLOOKUP($J432,'Type Chart'!$C$2:$T$20,6,false)*HLOOKUP($K432,'Type Chart'!$C$2:$U$20,6,false)</f>
        <v>2</v>
      </c>
      <c r="Z432" s="960">
        <f t="array" ref="Z432">HLOOKUP($J432,'Type Chart'!$C$2:$T$20,7,false)*HLOOKUP($K432,'Type Chart'!$C$2:$U$20,7,false)</f>
        <v>1</v>
      </c>
      <c r="AA432" s="960">
        <f t="array" ref="AA432">HLOOKUP($J432,'Type Chart'!$C$2:$T$20,8,false)*HLOOKUP($K432,'Type Chart'!$C$2:$U$20,8,false)</f>
        <v>2</v>
      </c>
      <c r="AB432" s="960">
        <f t="array" ref="AB432">HLOOKUP($J432,'Type Chart'!$C$2:$T$20,9,false)*HLOOKUP($K432,'Type Chart'!$C$2:$U$20,9,false)</f>
        <v>2</v>
      </c>
      <c r="AC432" s="960">
        <f t="array" ref="AC432">HLOOKUP($J432,'Type Chart'!$C$2:$T$20,10,false)*HLOOKUP($K432,'Type Chart'!$C$2:$U$20,10,false)</f>
        <v>2</v>
      </c>
      <c r="AD432" s="960">
        <f t="array" ref="AD432">HLOOKUP($J432,'Type Chart'!$C$2:$T$20,11,false)*HLOOKUP($K432,'Type Chart'!$C$2:$U$20,11,false)</f>
        <v>0.5</v>
      </c>
      <c r="AE432" s="960">
        <f t="array" ref="AE432">HLOOKUP($J432,'Type Chart'!$C$2:$T$20,12,false)*HLOOKUP($K432,'Type Chart'!$C$2:$U$20,12,false)</f>
        <v>2</v>
      </c>
      <c r="AF432" s="960">
        <f t="array" ref="AF432">HLOOKUP($J432,'Type Chart'!$C$2:$T$20,13,false)*HLOOKUP($K432,'Type Chart'!$C$2:$U$20,13,false)</f>
        <v>2</v>
      </c>
      <c r="AG432" s="960">
        <f t="array" ref="AG432">HLOOKUP($J432,'Type Chart'!$C$2:$T$20,14,false)*HLOOKUP($K432,'Type Chart'!$C$2:$U$20,14,false)</f>
        <v>1</v>
      </c>
      <c r="AH432" s="960">
        <f t="array" ref="AH432">HLOOKUP($J432,'Type Chart'!$C$2:$T$20,15,false)*HLOOKUP($K432,'Type Chart'!$C$2:$U$20,15,false)</f>
        <v>0.5</v>
      </c>
      <c r="AI432" s="960">
        <f t="array" ref="AI432">HLOOKUP($J432,'Type Chart'!$C$2:$T$20,16,false)*HLOOKUP($K432,'Type Chart'!$C$2:$U$20,16,false)</f>
        <v>1</v>
      </c>
      <c r="AJ432" s="960">
        <f t="array" ref="AJ432">HLOOKUP($J432,'Type Chart'!$C$2:$T$20,17,false)*HLOOKUP($K432,'Type Chart'!$C$2:$U$20,17,false)</f>
        <v>1</v>
      </c>
      <c r="AK432" s="960">
        <f t="array" ref="AK432">HLOOKUP($J432,'Type Chart'!$C$2:$T$20,18,false)*HLOOKUP($K432,'Type Chart'!$C$2:$U$20,18,false)</f>
        <v>2</v>
      </c>
      <c r="AL432" s="960">
        <f t="array" ref="AL432">HLOOKUP($J432,'Type Chart'!$C$2:$T$20,19,false)*HLOOKUP($K432,'Type Chart'!$C$2:$U$20,19,false)</f>
        <v>1</v>
      </c>
      <c r="AM432" s="964" t="s">
        <v>1437</v>
      </c>
      <c r="AN432" s="965"/>
      <c r="AO432" s="966"/>
      <c r="AP432" s="936"/>
      <c r="AQ432" s="967"/>
      <c r="AR432" s="968"/>
      <c r="AS432" s="936"/>
    </row>
    <row r="433" ht="15.75" customHeight="1">
      <c r="A433" s="936"/>
      <c r="B433" s="948" t="s">
        <v>2260</v>
      </c>
      <c r="C433" s="950" t="s">
        <v>2261</v>
      </c>
      <c r="D433" s="950" t="s">
        <v>2261</v>
      </c>
      <c r="E433" s="952" t="s">
        <v>2261</v>
      </c>
      <c r="F433" s="940"/>
      <c r="G433" s="953"/>
      <c r="H433" s="969"/>
      <c r="I433" s="956" t="s">
        <v>2262</v>
      </c>
      <c r="J433" s="1214" t="s">
        <v>342</v>
      </c>
      <c r="K433" s="1203" t="s">
        <v>344</v>
      </c>
      <c r="L433" s="959">
        <v>90.0</v>
      </c>
      <c r="M433" s="960">
        <v>95.0</v>
      </c>
      <c r="N433" s="960">
        <v>85.0</v>
      </c>
      <c r="O433" s="960">
        <v>55.0</v>
      </c>
      <c r="P433" s="960">
        <v>65.0</v>
      </c>
      <c r="Q433" s="960">
        <v>70.0</v>
      </c>
      <c r="R433" s="960">
        <v>176.0</v>
      </c>
      <c r="S433" s="960">
        <v>239.0</v>
      </c>
      <c r="T433" s="960">
        <v>262.0</v>
      </c>
      <c r="U433" s="960">
        <f t="array" ref="U433">HLOOKUP($J433,'Type Chart'!$C$2:$T$20,2,false)*HLOOKUP($K433,'Type Chart'!$C$2:$U$20,2,false)</f>
        <v>0.5</v>
      </c>
      <c r="V433" s="960">
        <f t="array" ref="V433">HLOOKUP($J433,'Type Chart'!$C$2:$T$20,3,false)*HLOOKUP($K433,'Type Chart'!$C$2:$U$20,3,false)</f>
        <v>1</v>
      </c>
      <c r="W433" s="960">
        <f t="array" ref="W433">HLOOKUP($J433,'Type Chart'!$C$2:$T$20,4,false)*HLOOKUP($K433,'Type Chart'!$C$2:$U$20,4,false)</f>
        <v>0.5</v>
      </c>
      <c r="X433" s="960">
        <f t="array" ref="X433">HLOOKUP($J433,'Type Chart'!$C$2:$T$20,5,false)*HLOOKUP($K433,'Type Chart'!$C$2:$U$20,5,false)</f>
        <v>0.5</v>
      </c>
      <c r="Y433" s="960">
        <f t="array" ref="Y433">HLOOKUP($J433,'Type Chart'!$C$2:$T$20,6,false)*HLOOKUP($K433,'Type Chart'!$C$2:$U$20,6,false)</f>
        <v>2</v>
      </c>
      <c r="Z433" s="960">
        <f t="array" ref="Z433">HLOOKUP($J433,'Type Chart'!$C$2:$T$20,7,false)*HLOOKUP($K433,'Type Chart'!$C$2:$U$20,7,false)</f>
        <v>1</v>
      </c>
      <c r="AA433" s="960">
        <f t="array" ref="AA433">HLOOKUP($J433,'Type Chart'!$C$2:$T$20,8,false)*HLOOKUP($K433,'Type Chart'!$C$2:$U$20,8,false)</f>
        <v>2</v>
      </c>
      <c r="AB433" s="960">
        <f t="array" ref="AB433">HLOOKUP($J433,'Type Chart'!$C$2:$T$20,9,false)*HLOOKUP($K433,'Type Chart'!$C$2:$U$20,9,false)</f>
        <v>2</v>
      </c>
      <c r="AC433" s="960">
        <f t="array" ref="AC433">HLOOKUP($J433,'Type Chart'!$C$2:$T$20,10,false)*HLOOKUP($K433,'Type Chart'!$C$2:$U$20,10,false)</f>
        <v>2</v>
      </c>
      <c r="AD433" s="960">
        <f t="array" ref="AD433">HLOOKUP($J433,'Type Chart'!$C$2:$T$20,11,false)*HLOOKUP($K433,'Type Chart'!$C$2:$U$20,11,false)</f>
        <v>0.5</v>
      </c>
      <c r="AE433" s="960">
        <f t="array" ref="AE433">HLOOKUP($J433,'Type Chart'!$C$2:$T$20,12,false)*HLOOKUP($K433,'Type Chart'!$C$2:$U$20,12,false)</f>
        <v>2</v>
      </c>
      <c r="AF433" s="960">
        <f t="array" ref="AF433">HLOOKUP($J433,'Type Chart'!$C$2:$T$20,13,false)*HLOOKUP($K433,'Type Chart'!$C$2:$U$20,13,false)</f>
        <v>2</v>
      </c>
      <c r="AG433" s="960">
        <f t="array" ref="AG433">HLOOKUP($J433,'Type Chart'!$C$2:$T$20,14,false)*HLOOKUP($K433,'Type Chart'!$C$2:$U$20,14,false)</f>
        <v>1</v>
      </c>
      <c r="AH433" s="960">
        <f t="array" ref="AH433">HLOOKUP($J433,'Type Chart'!$C$2:$T$20,15,false)*HLOOKUP($K433,'Type Chart'!$C$2:$U$20,15,false)</f>
        <v>0.5</v>
      </c>
      <c r="AI433" s="960">
        <f t="array" ref="AI433">HLOOKUP($J433,'Type Chart'!$C$2:$T$20,16,false)*HLOOKUP($K433,'Type Chart'!$C$2:$U$20,16,false)</f>
        <v>1</v>
      </c>
      <c r="AJ433" s="960">
        <f t="array" ref="AJ433">HLOOKUP($J433,'Type Chart'!$C$2:$T$20,17,false)*HLOOKUP($K433,'Type Chart'!$C$2:$U$20,17,false)</f>
        <v>1</v>
      </c>
      <c r="AK433" s="960">
        <f t="array" ref="AK433">HLOOKUP($J433,'Type Chart'!$C$2:$T$20,18,false)*HLOOKUP($K433,'Type Chart'!$C$2:$U$20,18,false)</f>
        <v>2</v>
      </c>
      <c r="AL433" s="960">
        <f t="array" ref="AL433">HLOOKUP($J433,'Type Chart'!$C$2:$T$20,19,false)*HLOOKUP($K433,'Type Chart'!$C$2:$U$20,19,false)</f>
        <v>1</v>
      </c>
      <c r="AM433" s="964" t="s">
        <v>1437</v>
      </c>
      <c r="AN433" s="965"/>
      <c r="AO433" s="966"/>
      <c r="AP433" s="936"/>
      <c r="AQ433" s="967"/>
      <c r="AR433" s="968"/>
      <c r="AS433" s="936"/>
    </row>
    <row r="434" ht="15.75" customHeight="1">
      <c r="A434" s="936"/>
      <c r="B434" s="948" t="s">
        <v>2263</v>
      </c>
      <c r="C434" s="950" t="s">
        <v>2264</v>
      </c>
      <c r="D434" s="950" t="s">
        <v>2264</v>
      </c>
      <c r="E434" s="952" t="s">
        <v>2264</v>
      </c>
      <c r="F434" s="940"/>
      <c r="G434" s="953"/>
      <c r="H434" s="969"/>
      <c r="I434" s="956" t="s">
        <v>2265</v>
      </c>
      <c r="J434" s="1056" t="s">
        <v>81</v>
      </c>
      <c r="K434" s="1204" t="s">
        <v>80</v>
      </c>
      <c r="L434" s="959">
        <v>50.0</v>
      </c>
      <c r="M434" s="960">
        <v>48.0</v>
      </c>
      <c r="N434" s="960">
        <v>43.0</v>
      </c>
      <c r="O434" s="960">
        <v>46.0</v>
      </c>
      <c r="P434" s="960">
        <v>41.0</v>
      </c>
      <c r="Q434" s="960">
        <v>60.0</v>
      </c>
      <c r="R434" s="960">
        <v>156.0</v>
      </c>
      <c r="S434" s="960">
        <v>219.0</v>
      </c>
      <c r="T434" s="960">
        <v>240.0</v>
      </c>
      <c r="U434" s="960">
        <f t="array" ref="U434">HLOOKUP($J434,'Type Chart'!$C$2:$T$20,2,false)*HLOOKUP($K434,'Type Chart'!$C$2:$U$20,2,false)</f>
        <v>1</v>
      </c>
      <c r="V434" s="960">
        <f t="array" ref="V434">HLOOKUP($J434,'Type Chart'!$C$2:$T$20,3,false)*HLOOKUP($K434,'Type Chart'!$C$2:$U$20,3,false)</f>
        <v>1</v>
      </c>
      <c r="W434" s="960">
        <f t="array" ref="W434">HLOOKUP($J434,'Type Chart'!$C$2:$T$20,4,false)*HLOOKUP($K434,'Type Chart'!$C$2:$U$20,4,false)</f>
        <v>1</v>
      </c>
      <c r="X434" s="960">
        <f t="array" ref="X434">HLOOKUP($J434,'Type Chart'!$C$2:$T$20,5,false)*HLOOKUP($K434,'Type Chart'!$C$2:$U$20,5,false)</f>
        <v>0.5</v>
      </c>
      <c r="Y434" s="960">
        <f t="array" ref="Y434">HLOOKUP($J434,'Type Chart'!$C$2:$T$20,6,false)*HLOOKUP($K434,'Type Chart'!$C$2:$U$20,6,false)</f>
        <v>1</v>
      </c>
      <c r="Z434" s="960">
        <f t="array" ref="Z434">HLOOKUP($J434,'Type Chart'!$C$2:$T$20,7,false)*HLOOKUP($K434,'Type Chart'!$C$2:$U$20,7,false)</f>
        <v>0.5</v>
      </c>
      <c r="AA434" s="960">
        <f t="array" ref="AA434">HLOOKUP($J434,'Type Chart'!$C$2:$T$20,8,false)*HLOOKUP($K434,'Type Chart'!$C$2:$U$20,8,false)</f>
        <v>1</v>
      </c>
      <c r="AB434" s="960">
        <f t="array" ref="AB434">HLOOKUP($J434,'Type Chart'!$C$2:$T$20,9,false)*HLOOKUP($K434,'Type Chart'!$C$2:$U$20,9,false)</f>
        <v>1</v>
      </c>
      <c r="AC434" s="960">
        <f t="array" ref="AC434">HLOOKUP($J434,'Type Chart'!$C$2:$T$20,10,false)*HLOOKUP($K434,'Type Chart'!$C$2:$U$20,10,false)</f>
        <v>0.5</v>
      </c>
      <c r="AD434" s="960">
        <f t="array" ref="AD434">HLOOKUP($J434,'Type Chart'!$C$2:$T$20,11,false)*HLOOKUP($K434,'Type Chart'!$C$2:$U$20,11,false)</f>
        <v>0.5</v>
      </c>
      <c r="AE434" s="960">
        <f t="array" ref="AE434">HLOOKUP($J434,'Type Chart'!$C$2:$T$20,12,false)*HLOOKUP($K434,'Type Chart'!$C$2:$U$20,12,false)</f>
        <v>1</v>
      </c>
      <c r="AF434" s="960">
        <f t="array" ref="AF434">HLOOKUP($J434,'Type Chart'!$C$2:$T$20,13,false)*HLOOKUP($K434,'Type Chart'!$C$2:$U$20,13,false)</f>
        <v>4</v>
      </c>
      <c r="AG434" s="960">
        <f t="array" ref="AG434">HLOOKUP($J434,'Type Chart'!$C$2:$T$20,14,false)*HLOOKUP($K434,'Type Chart'!$C$2:$U$20,14,false)</f>
        <v>0</v>
      </c>
      <c r="AH434" s="960">
        <f t="array" ref="AH434">HLOOKUP($J434,'Type Chart'!$C$2:$T$20,15,false)*HLOOKUP($K434,'Type Chart'!$C$2:$U$20,15,false)</f>
        <v>1</v>
      </c>
      <c r="AI434" s="960">
        <f t="array" ref="AI434">HLOOKUP($J434,'Type Chart'!$C$2:$T$20,16,false)*HLOOKUP($K434,'Type Chart'!$C$2:$U$20,16,false)</f>
        <v>1</v>
      </c>
      <c r="AJ434" s="960">
        <f t="array" ref="AJ434">HLOOKUP($J434,'Type Chart'!$C$2:$T$20,17,false)*HLOOKUP($K434,'Type Chart'!$C$2:$U$20,17,false)</f>
        <v>1</v>
      </c>
      <c r="AK434" s="960">
        <f t="array" ref="AK434">HLOOKUP($J434,'Type Chart'!$C$2:$T$20,18,false)*HLOOKUP($K434,'Type Chart'!$C$2:$U$20,18,false)</f>
        <v>1</v>
      </c>
      <c r="AL434" s="960">
        <f t="array" ref="AL434">HLOOKUP($J434,'Type Chart'!$C$2:$T$20,19,false)*HLOOKUP($K434,'Type Chart'!$C$2:$U$20,19,false)</f>
        <v>1</v>
      </c>
      <c r="AM434" s="964" t="s">
        <v>1369</v>
      </c>
      <c r="AN434" s="965" t="s">
        <v>1359</v>
      </c>
      <c r="AO434" s="966" t="s">
        <v>1409</v>
      </c>
      <c r="AP434" s="936"/>
      <c r="AQ434" s="967"/>
      <c r="AR434" s="968"/>
      <c r="AS434" s="936"/>
    </row>
    <row r="435" ht="15.75" customHeight="1">
      <c r="A435" s="936"/>
      <c r="B435" s="948" t="s">
        <v>2266</v>
      </c>
      <c r="C435" s="950" t="s">
        <v>2267</v>
      </c>
      <c r="D435" s="950" t="s">
        <v>2267</v>
      </c>
      <c r="E435" s="952" t="s">
        <v>2267</v>
      </c>
      <c r="F435" s="940"/>
      <c r="G435" s="953"/>
      <c r="H435" s="969"/>
      <c r="I435" s="998" t="s">
        <v>778</v>
      </c>
      <c r="J435" s="1056" t="s">
        <v>81</v>
      </c>
      <c r="K435" s="1204" t="s">
        <v>80</v>
      </c>
      <c r="L435" s="959">
        <v>110.0</v>
      </c>
      <c r="M435" s="960">
        <v>78.0</v>
      </c>
      <c r="N435" s="960">
        <v>73.0</v>
      </c>
      <c r="O435" s="960">
        <v>76.0</v>
      </c>
      <c r="P435" s="960">
        <v>71.0</v>
      </c>
      <c r="Q435" s="960">
        <v>60.0</v>
      </c>
      <c r="R435" s="960">
        <v>156.0</v>
      </c>
      <c r="S435" s="960">
        <v>219.0</v>
      </c>
      <c r="T435" s="960">
        <v>240.0</v>
      </c>
      <c r="U435" s="960">
        <f t="array" ref="U435">HLOOKUP($J435,'Type Chart'!$C$2:$T$20,2,false)*HLOOKUP($K435,'Type Chart'!$C$2:$U$20,2,false)</f>
        <v>1</v>
      </c>
      <c r="V435" s="960">
        <f t="array" ref="V435">HLOOKUP($J435,'Type Chart'!$C$2:$T$20,3,false)*HLOOKUP($K435,'Type Chart'!$C$2:$U$20,3,false)</f>
        <v>1</v>
      </c>
      <c r="W435" s="960">
        <f t="array" ref="W435">HLOOKUP($J435,'Type Chart'!$C$2:$T$20,4,false)*HLOOKUP($K435,'Type Chart'!$C$2:$U$20,4,false)</f>
        <v>1</v>
      </c>
      <c r="X435" s="960">
        <f t="array" ref="X435">HLOOKUP($J435,'Type Chart'!$C$2:$T$20,5,false)*HLOOKUP($K435,'Type Chart'!$C$2:$U$20,5,false)</f>
        <v>0.5</v>
      </c>
      <c r="Y435" s="960">
        <f t="array" ref="Y435">HLOOKUP($J435,'Type Chart'!$C$2:$T$20,6,false)*HLOOKUP($K435,'Type Chart'!$C$2:$U$20,6,false)</f>
        <v>1</v>
      </c>
      <c r="Z435" s="960">
        <f t="array" ref="Z435">HLOOKUP($J435,'Type Chart'!$C$2:$T$20,7,false)*HLOOKUP($K435,'Type Chart'!$C$2:$U$20,7,false)</f>
        <v>0.5</v>
      </c>
      <c r="AA435" s="960">
        <f t="array" ref="AA435">HLOOKUP($J435,'Type Chart'!$C$2:$T$20,8,false)*HLOOKUP($K435,'Type Chart'!$C$2:$U$20,8,false)</f>
        <v>1</v>
      </c>
      <c r="AB435" s="960">
        <f t="array" ref="AB435">HLOOKUP($J435,'Type Chart'!$C$2:$T$20,9,false)*HLOOKUP($K435,'Type Chart'!$C$2:$U$20,9,false)</f>
        <v>1</v>
      </c>
      <c r="AC435" s="960">
        <f t="array" ref="AC435">HLOOKUP($J435,'Type Chart'!$C$2:$T$20,10,false)*HLOOKUP($K435,'Type Chart'!$C$2:$U$20,10,false)</f>
        <v>0.5</v>
      </c>
      <c r="AD435" s="960">
        <f t="array" ref="AD435">HLOOKUP($J435,'Type Chart'!$C$2:$T$20,11,false)*HLOOKUP($K435,'Type Chart'!$C$2:$U$20,11,false)</f>
        <v>0.5</v>
      </c>
      <c r="AE435" s="960">
        <f t="array" ref="AE435">HLOOKUP($J435,'Type Chart'!$C$2:$T$20,12,false)*HLOOKUP($K435,'Type Chart'!$C$2:$U$20,12,false)</f>
        <v>1</v>
      </c>
      <c r="AF435" s="960">
        <f t="array" ref="AF435">HLOOKUP($J435,'Type Chart'!$C$2:$T$20,13,false)*HLOOKUP($K435,'Type Chart'!$C$2:$U$20,13,false)</f>
        <v>4</v>
      </c>
      <c r="AG435" s="960">
        <f t="array" ref="AG435">HLOOKUP($J435,'Type Chart'!$C$2:$T$20,14,false)*HLOOKUP($K435,'Type Chart'!$C$2:$U$20,14,false)</f>
        <v>0</v>
      </c>
      <c r="AH435" s="960">
        <f t="array" ref="AH435">HLOOKUP($J435,'Type Chart'!$C$2:$T$20,15,false)*HLOOKUP($K435,'Type Chart'!$C$2:$U$20,15,false)</f>
        <v>1</v>
      </c>
      <c r="AI435" s="960">
        <f t="array" ref="AI435">HLOOKUP($J435,'Type Chart'!$C$2:$T$20,16,false)*HLOOKUP($K435,'Type Chart'!$C$2:$U$20,16,false)</f>
        <v>1</v>
      </c>
      <c r="AJ435" s="960">
        <f t="array" ref="AJ435">HLOOKUP($J435,'Type Chart'!$C$2:$T$20,17,false)*HLOOKUP($K435,'Type Chart'!$C$2:$U$20,17,false)</f>
        <v>1</v>
      </c>
      <c r="AK435" s="960">
        <f t="array" ref="AK435">HLOOKUP($J435,'Type Chart'!$C$2:$T$20,18,false)*HLOOKUP($K435,'Type Chart'!$C$2:$U$20,18,false)</f>
        <v>1</v>
      </c>
      <c r="AL435" s="960">
        <f t="array" ref="AL435">HLOOKUP($J435,'Type Chart'!$C$2:$T$20,19,false)*HLOOKUP($K435,'Type Chart'!$C$2:$U$20,19,false)</f>
        <v>1</v>
      </c>
      <c r="AM435" s="964" t="s">
        <v>1369</v>
      </c>
      <c r="AN435" s="965" t="s">
        <v>1359</v>
      </c>
      <c r="AO435" s="966" t="s">
        <v>1409</v>
      </c>
      <c r="AP435" s="936"/>
      <c r="AQ435" s="967"/>
      <c r="AR435" s="968"/>
      <c r="AS435" s="936"/>
    </row>
    <row r="436" ht="15.75" customHeight="1">
      <c r="A436" s="936"/>
      <c r="B436" s="948" t="s">
        <v>2268</v>
      </c>
      <c r="C436" s="950" t="s">
        <v>2269</v>
      </c>
      <c r="D436" s="950" t="s">
        <v>2269</v>
      </c>
      <c r="E436" s="952" t="s">
        <v>2269</v>
      </c>
      <c r="F436" s="940"/>
      <c r="G436" s="953"/>
      <c r="H436" s="969"/>
      <c r="I436" s="998" t="s">
        <v>2270</v>
      </c>
      <c r="J436" s="1056" t="s">
        <v>81</v>
      </c>
      <c r="K436" s="984" t="s">
        <v>216</v>
      </c>
      <c r="L436" s="959">
        <v>43.0</v>
      </c>
      <c r="M436" s="960">
        <v>80.0</v>
      </c>
      <c r="N436" s="960">
        <v>65.0</v>
      </c>
      <c r="O436" s="960">
        <v>50.0</v>
      </c>
      <c r="P436" s="960">
        <v>35.0</v>
      </c>
      <c r="Q436" s="960">
        <v>35.0</v>
      </c>
      <c r="R436" s="960">
        <v>106.0</v>
      </c>
      <c r="S436" s="960">
        <v>169.0</v>
      </c>
      <c r="T436" s="960">
        <v>185.0</v>
      </c>
      <c r="U436" s="960">
        <f t="array" ref="U436">HLOOKUP($J436,'Type Chart'!$C$2:$T$20,2,false)*HLOOKUP($K436,'Type Chart'!$C$2:$U$20,2,false)</f>
        <v>1</v>
      </c>
      <c r="V436" s="960">
        <f t="array" ref="V436">HLOOKUP($J436,'Type Chart'!$C$2:$T$20,3,false)*HLOOKUP($K436,'Type Chart'!$C$2:$U$20,3,false)</f>
        <v>1</v>
      </c>
      <c r="W436" s="960">
        <f t="array" ref="W436">HLOOKUP($J436,'Type Chart'!$C$2:$T$20,4,false)*HLOOKUP($K436,'Type Chart'!$C$2:$U$20,4,false)</f>
        <v>1</v>
      </c>
      <c r="X436" s="960">
        <f t="array" ref="X436">HLOOKUP($J436,'Type Chart'!$C$2:$T$20,5,false)*HLOOKUP($K436,'Type Chart'!$C$2:$U$20,5,false)</f>
        <v>1</v>
      </c>
      <c r="Y436" s="960">
        <f t="array" ref="Y436">HLOOKUP($J436,'Type Chart'!$C$2:$T$20,6,false)*HLOOKUP($K436,'Type Chart'!$C$2:$U$20,6,false)</f>
        <v>1</v>
      </c>
      <c r="Z436" s="960">
        <f t="array" ref="Z436">HLOOKUP($J436,'Type Chart'!$C$2:$T$20,7,false)*HLOOKUP($K436,'Type Chart'!$C$2:$U$20,7,false)</f>
        <v>1</v>
      </c>
      <c r="AA436" s="960">
        <f t="array" ref="AA436">HLOOKUP($J436,'Type Chart'!$C$2:$T$20,8,false)*HLOOKUP($K436,'Type Chart'!$C$2:$U$20,8,false)</f>
        <v>1</v>
      </c>
      <c r="AB436" s="960">
        <f t="array" ref="AB436">HLOOKUP($J436,'Type Chart'!$C$2:$T$20,9,false)*HLOOKUP($K436,'Type Chart'!$C$2:$U$20,9,false)</f>
        <v>1</v>
      </c>
      <c r="AC436" s="960">
        <f t="array" ref="AC436">HLOOKUP($J436,'Type Chart'!$C$2:$T$20,10,false)*HLOOKUP($K436,'Type Chart'!$C$2:$U$20,10,false)</f>
        <v>0.5</v>
      </c>
      <c r="AD436" s="960">
        <f t="array" ref="AD436">HLOOKUP($J436,'Type Chart'!$C$2:$T$20,11,false)*HLOOKUP($K436,'Type Chart'!$C$2:$U$20,11,false)</f>
        <v>0.5</v>
      </c>
      <c r="AE436" s="960">
        <f t="array" ref="AE436">HLOOKUP($J436,'Type Chart'!$C$2:$T$20,12,false)*HLOOKUP($K436,'Type Chart'!$C$2:$U$20,12,false)</f>
        <v>0.5</v>
      </c>
      <c r="AF436" s="960">
        <f t="array" ref="AF436">HLOOKUP($J436,'Type Chart'!$C$2:$T$20,13,false)*HLOOKUP($K436,'Type Chart'!$C$2:$U$20,13,false)</f>
        <v>2</v>
      </c>
      <c r="AG436" s="960">
        <f t="array" ref="AG436">HLOOKUP($J436,'Type Chart'!$C$2:$T$20,14,false)*HLOOKUP($K436,'Type Chart'!$C$2:$U$20,14,false)</f>
        <v>2</v>
      </c>
      <c r="AH436" s="960">
        <f t="array" ref="AH436">HLOOKUP($J436,'Type Chart'!$C$2:$T$20,15,false)*HLOOKUP($K436,'Type Chart'!$C$2:$U$20,15,false)</f>
        <v>1</v>
      </c>
      <c r="AI436" s="960">
        <f t="array" ref="AI436">HLOOKUP($J436,'Type Chart'!$C$2:$T$20,16,false)*HLOOKUP($K436,'Type Chart'!$C$2:$U$20,16,false)</f>
        <v>0.5</v>
      </c>
      <c r="AJ436" s="960">
        <f t="array" ref="AJ436">HLOOKUP($J436,'Type Chart'!$C$2:$T$20,17,false)*HLOOKUP($K436,'Type Chart'!$C$2:$U$20,17,false)</f>
        <v>1</v>
      </c>
      <c r="AK436" s="960">
        <f t="array" ref="AK436">HLOOKUP($J436,'Type Chart'!$C$2:$T$20,18,false)*HLOOKUP($K436,'Type Chart'!$C$2:$U$20,18,false)</f>
        <v>1</v>
      </c>
      <c r="AL436" s="960">
        <f t="array" ref="AL436">HLOOKUP($J436,'Type Chart'!$C$2:$T$20,19,false)*HLOOKUP($K436,'Type Chart'!$C$2:$U$20,19,false)</f>
        <v>1</v>
      </c>
      <c r="AM436" s="964" t="s">
        <v>1461</v>
      </c>
      <c r="AN436" s="965" t="s">
        <v>1385</v>
      </c>
      <c r="AO436" s="966" t="s">
        <v>1018</v>
      </c>
      <c r="AP436" s="936"/>
      <c r="AQ436" s="967"/>
      <c r="AR436" s="968"/>
      <c r="AS436" s="936"/>
    </row>
    <row r="437" ht="15.75" customHeight="1">
      <c r="A437" s="936"/>
      <c r="B437" s="948" t="s">
        <v>2271</v>
      </c>
      <c r="C437" s="950" t="s">
        <v>2272</v>
      </c>
      <c r="D437" s="950" t="s">
        <v>2272</v>
      </c>
      <c r="E437" s="952" t="s">
        <v>2272</v>
      </c>
      <c r="F437" s="940"/>
      <c r="G437" s="953"/>
      <c r="H437" s="969"/>
      <c r="I437" s="998" t="s">
        <v>575</v>
      </c>
      <c r="J437" s="1056" t="s">
        <v>81</v>
      </c>
      <c r="K437" s="1195" t="s">
        <v>193</v>
      </c>
      <c r="L437" s="959">
        <v>63.0</v>
      </c>
      <c r="M437" s="960">
        <v>120.0</v>
      </c>
      <c r="N437" s="960">
        <v>85.0</v>
      </c>
      <c r="O437" s="960">
        <v>90.0</v>
      </c>
      <c r="P437" s="960">
        <v>55.0</v>
      </c>
      <c r="Q437" s="960">
        <v>55.0</v>
      </c>
      <c r="R437" s="960">
        <v>146.0</v>
      </c>
      <c r="S437" s="960">
        <v>209.0</v>
      </c>
      <c r="T437" s="960">
        <v>229.0</v>
      </c>
      <c r="U437" s="960">
        <f t="array" ref="U437">HLOOKUP($J437,'Type Chart'!$C$2:$T$20,2,false)*HLOOKUP($K437,'Type Chart'!$C$2:$U$20,2,false)</f>
        <v>1</v>
      </c>
      <c r="V437" s="960">
        <f t="array" ref="V437">HLOOKUP($J437,'Type Chart'!$C$2:$T$20,3,false)*HLOOKUP($K437,'Type Chart'!$C$2:$U$20,3,false)</f>
        <v>2</v>
      </c>
      <c r="W437" s="960">
        <f t="array" ref="W437">HLOOKUP($J437,'Type Chart'!$C$2:$T$20,4,false)*HLOOKUP($K437,'Type Chart'!$C$2:$U$20,4,false)</f>
        <v>1</v>
      </c>
      <c r="X437" s="960">
        <f t="array" ref="X437">HLOOKUP($J437,'Type Chart'!$C$2:$T$20,5,false)*HLOOKUP($K437,'Type Chart'!$C$2:$U$20,5,false)</f>
        <v>1</v>
      </c>
      <c r="Y437" s="960">
        <f t="array" ref="Y437">HLOOKUP($J437,'Type Chart'!$C$2:$T$20,6,false)*HLOOKUP($K437,'Type Chart'!$C$2:$U$20,6,false)</f>
        <v>1</v>
      </c>
      <c r="Z437" s="960">
        <f t="array" ref="Z437">HLOOKUP($J437,'Type Chart'!$C$2:$T$20,7,false)*HLOOKUP($K437,'Type Chart'!$C$2:$U$20,7,false)</f>
        <v>1</v>
      </c>
      <c r="AA437" s="960">
        <f t="array" ref="AA437">HLOOKUP($J437,'Type Chart'!$C$2:$T$20,8,false)*HLOOKUP($K437,'Type Chart'!$C$2:$U$20,8,false)</f>
        <v>2</v>
      </c>
      <c r="AB437" s="960">
        <f t="array" ref="AB437">HLOOKUP($J437,'Type Chart'!$C$2:$T$20,9,false)*HLOOKUP($K437,'Type Chart'!$C$2:$U$20,9,false)</f>
        <v>0.5</v>
      </c>
      <c r="AC437" s="960">
        <f t="array" ref="AC437">HLOOKUP($J437,'Type Chart'!$C$2:$T$20,10,false)*HLOOKUP($K437,'Type Chart'!$C$2:$U$20,10,false)</f>
        <v>0.5</v>
      </c>
      <c r="AD437" s="960">
        <f t="array" ref="AD437">HLOOKUP($J437,'Type Chart'!$C$2:$T$20,11,false)*HLOOKUP($K437,'Type Chart'!$C$2:$U$20,11,false)</f>
        <v>0.5</v>
      </c>
      <c r="AE437" s="960">
        <f t="array" ref="AE437">HLOOKUP($J437,'Type Chart'!$C$2:$T$20,12,false)*HLOOKUP($K437,'Type Chart'!$C$2:$U$20,12,false)</f>
        <v>0.5</v>
      </c>
      <c r="AF437" s="960">
        <f t="array" ref="AF437">HLOOKUP($J437,'Type Chart'!$C$2:$T$20,13,false)*HLOOKUP($K437,'Type Chart'!$C$2:$U$20,13,false)</f>
        <v>2</v>
      </c>
      <c r="AG437" s="960">
        <f t="array" ref="AG437">HLOOKUP($J437,'Type Chart'!$C$2:$T$20,14,false)*HLOOKUP($K437,'Type Chart'!$C$2:$U$20,14,false)</f>
        <v>2</v>
      </c>
      <c r="AH437" s="960">
        <f t="array" ref="AH437">HLOOKUP($J437,'Type Chart'!$C$2:$T$20,15,false)*HLOOKUP($K437,'Type Chart'!$C$2:$U$20,15,false)</f>
        <v>0</v>
      </c>
      <c r="AI437" s="960">
        <f t="array" ref="AI437">HLOOKUP($J437,'Type Chart'!$C$2:$T$20,16,false)*HLOOKUP($K437,'Type Chart'!$C$2:$U$20,16,false)</f>
        <v>0.5</v>
      </c>
      <c r="AJ437" s="960">
        <f t="array" ref="AJ437">HLOOKUP($J437,'Type Chart'!$C$2:$T$20,17,false)*HLOOKUP($K437,'Type Chart'!$C$2:$U$20,17,false)</f>
        <v>1</v>
      </c>
      <c r="AK437" s="960">
        <f t="array" ref="AK437">HLOOKUP($J437,'Type Chart'!$C$2:$T$20,18,false)*HLOOKUP($K437,'Type Chart'!$C$2:$U$20,18,false)</f>
        <v>0.5</v>
      </c>
      <c r="AL437" s="960">
        <f t="array" ref="AL437">HLOOKUP($J437,'Type Chart'!$C$2:$T$20,19,false)*HLOOKUP($K437,'Type Chart'!$C$2:$U$20,19,false)</f>
        <v>2</v>
      </c>
      <c r="AM437" s="964" t="s">
        <v>1461</v>
      </c>
      <c r="AN437" s="965" t="s">
        <v>1385</v>
      </c>
      <c r="AO437" s="966" t="s">
        <v>1018</v>
      </c>
      <c r="AP437" s="936"/>
      <c r="AQ437" s="967"/>
      <c r="AR437" s="968"/>
      <c r="AS437" s="936"/>
    </row>
    <row r="438" ht="15.75" customHeight="1">
      <c r="A438" s="936"/>
      <c r="B438" s="948" t="s">
        <v>2273</v>
      </c>
      <c r="C438" s="950" t="s">
        <v>2274</v>
      </c>
      <c r="D438" s="950" t="s">
        <v>2274</v>
      </c>
      <c r="E438" s="952" t="s">
        <v>2274</v>
      </c>
      <c r="F438" s="940"/>
      <c r="G438" s="953"/>
      <c r="H438" s="969"/>
      <c r="I438" s="998" t="s">
        <v>2275</v>
      </c>
      <c r="J438" s="1204" t="s">
        <v>80</v>
      </c>
      <c r="K438" s="1203" t="s">
        <v>344</v>
      </c>
      <c r="L438" s="959">
        <v>40.0</v>
      </c>
      <c r="M438" s="960">
        <v>40.0</v>
      </c>
      <c r="N438" s="960">
        <v>55.0</v>
      </c>
      <c r="O438" s="960">
        <v>40.0</v>
      </c>
      <c r="P438" s="960">
        <v>70.0</v>
      </c>
      <c r="Q438" s="960">
        <v>55.0</v>
      </c>
      <c r="R438" s="960">
        <v>146.0</v>
      </c>
      <c r="S438" s="960">
        <v>209.0</v>
      </c>
      <c r="T438" s="960">
        <v>229.0</v>
      </c>
      <c r="U438" s="960">
        <f t="array" ref="U438">HLOOKUP($J438,'Type Chart'!$C$2:$T$20,2,false)*HLOOKUP($K438,'Type Chart'!$C$2:$U$20,2,false)</f>
        <v>1</v>
      </c>
      <c r="V438" s="960">
        <f t="array" ref="V438">HLOOKUP($J438,'Type Chart'!$C$2:$T$20,3,false)*HLOOKUP($K438,'Type Chart'!$C$2:$U$20,3,false)</f>
        <v>0.5</v>
      </c>
      <c r="W438" s="960">
        <f t="array" ref="W438">HLOOKUP($J438,'Type Chart'!$C$2:$T$20,4,false)*HLOOKUP($K438,'Type Chart'!$C$2:$U$20,4,false)</f>
        <v>1</v>
      </c>
      <c r="X438" s="960">
        <f t="array" ref="X438">HLOOKUP($J438,'Type Chart'!$C$2:$T$20,5,false)*HLOOKUP($K438,'Type Chart'!$C$2:$U$20,5,false)</f>
        <v>0.5</v>
      </c>
      <c r="Y438" s="960">
        <f t="array" ref="Y438">HLOOKUP($J438,'Type Chart'!$C$2:$T$20,6,false)*HLOOKUP($K438,'Type Chart'!$C$2:$U$20,6,false)</f>
        <v>1</v>
      </c>
      <c r="Z438" s="960">
        <f t="array" ref="Z438">HLOOKUP($J438,'Type Chart'!$C$2:$T$20,7,false)*HLOOKUP($K438,'Type Chart'!$C$2:$U$20,7,false)</f>
        <v>0.5</v>
      </c>
      <c r="AA438" s="960">
        <f t="array" ref="AA438">HLOOKUP($J438,'Type Chart'!$C$2:$T$20,8,false)*HLOOKUP($K438,'Type Chart'!$C$2:$U$20,8,false)</f>
        <v>2</v>
      </c>
      <c r="AB438" s="960">
        <f t="array" ref="AB438">HLOOKUP($J438,'Type Chart'!$C$2:$T$20,9,false)*HLOOKUP($K438,'Type Chart'!$C$2:$U$20,9,false)</f>
        <v>2</v>
      </c>
      <c r="AC438" s="960">
        <f t="array" ref="AC438">HLOOKUP($J438,'Type Chart'!$C$2:$T$20,10,false)*HLOOKUP($K438,'Type Chart'!$C$2:$U$20,10,false)</f>
        <v>1</v>
      </c>
      <c r="AD438" s="960">
        <f t="array" ref="AD438">HLOOKUP($J438,'Type Chart'!$C$2:$T$20,11,false)*HLOOKUP($K438,'Type Chart'!$C$2:$U$20,11,false)</f>
        <v>1</v>
      </c>
      <c r="AE438" s="960">
        <f t="array" ref="AE438">HLOOKUP($J438,'Type Chart'!$C$2:$T$20,12,false)*HLOOKUP($K438,'Type Chart'!$C$2:$U$20,12,false)</f>
        <v>2</v>
      </c>
      <c r="AF438" s="960">
        <f t="array" ref="AF438">HLOOKUP($J438,'Type Chart'!$C$2:$T$20,13,false)*HLOOKUP($K438,'Type Chart'!$C$2:$U$20,13,false)</f>
        <v>2</v>
      </c>
      <c r="AG438" s="960">
        <f t="array" ref="AG438">HLOOKUP($J438,'Type Chart'!$C$2:$T$20,14,false)*HLOOKUP($K438,'Type Chart'!$C$2:$U$20,14,false)</f>
        <v>0</v>
      </c>
      <c r="AH438" s="960">
        <f t="array" ref="AH438">HLOOKUP($J438,'Type Chart'!$C$2:$T$20,15,false)*HLOOKUP($K438,'Type Chart'!$C$2:$U$20,15,false)</f>
        <v>0.5</v>
      </c>
      <c r="AI438" s="960">
        <f t="array" ref="AI438">HLOOKUP($J438,'Type Chart'!$C$2:$T$20,16,false)*HLOOKUP($K438,'Type Chart'!$C$2:$U$20,16,false)</f>
        <v>2</v>
      </c>
      <c r="AJ438" s="960">
        <f t="array" ref="AJ438">HLOOKUP($J438,'Type Chart'!$C$2:$T$20,17,false)*HLOOKUP($K438,'Type Chart'!$C$2:$U$20,17,false)</f>
        <v>1</v>
      </c>
      <c r="AK438" s="960">
        <f t="array" ref="AK438">HLOOKUP($J438,'Type Chart'!$C$2:$T$20,18,false)*HLOOKUP($K438,'Type Chart'!$C$2:$U$20,18,false)</f>
        <v>2</v>
      </c>
      <c r="AL438" s="960">
        <f t="array" ref="AL438">HLOOKUP($J438,'Type Chart'!$C$2:$T$20,19,false)*HLOOKUP($K438,'Type Chart'!$C$2:$U$20,19,false)</f>
        <v>1</v>
      </c>
      <c r="AM438" s="964" t="s">
        <v>1437</v>
      </c>
      <c r="AN438" s="965"/>
      <c r="AO438" s="966"/>
      <c r="AP438" s="936"/>
      <c r="AQ438" s="967"/>
      <c r="AR438" s="968"/>
      <c r="AS438" s="936"/>
    </row>
    <row r="439" ht="15.75" customHeight="1">
      <c r="A439" s="1099"/>
      <c r="B439" s="948" t="s">
        <v>2276</v>
      </c>
      <c r="C439" s="1197" t="s">
        <v>2277</v>
      </c>
      <c r="D439" s="1197" t="s">
        <v>2277</v>
      </c>
      <c r="E439" s="1147" t="s">
        <v>2277</v>
      </c>
      <c r="F439" s="940"/>
      <c r="G439" s="953"/>
      <c r="H439" s="969"/>
      <c r="I439" s="998" t="s">
        <v>2278</v>
      </c>
      <c r="J439" s="1223" t="s">
        <v>80</v>
      </c>
      <c r="K439" s="1215" t="s">
        <v>344</v>
      </c>
      <c r="L439" s="1200">
        <v>60.0</v>
      </c>
      <c r="M439" s="1201">
        <v>70.0</v>
      </c>
      <c r="N439" s="1201">
        <v>105.0</v>
      </c>
      <c r="O439" s="1201">
        <v>70.0</v>
      </c>
      <c r="P439" s="1201">
        <v>120.0</v>
      </c>
      <c r="Q439" s="1201">
        <v>75.0</v>
      </c>
      <c r="R439" s="960">
        <v>186.0</v>
      </c>
      <c r="S439" s="960">
        <v>249.0</v>
      </c>
      <c r="T439" s="960">
        <v>273.0</v>
      </c>
      <c r="U439" s="960">
        <f t="array" ref="U439">HLOOKUP($J439,'Type Chart'!$C$2:$T$20,2,false)*HLOOKUP($K439,'Type Chart'!$C$2:$U$20,2,false)</f>
        <v>1</v>
      </c>
      <c r="V439" s="960">
        <f t="array" ref="V439">HLOOKUP($J439,'Type Chart'!$C$2:$T$20,3,false)*HLOOKUP($K439,'Type Chart'!$C$2:$U$20,3,false)</f>
        <v>0.5</v>
      </c>
      <c r="W439" s="960">
        <f t="array" ref="W439">HLOOKUP($J439,'Type Chart'!$C$2:$T$20,4,false)*HLOOKUP($K439,'Type Chart'!$C$2:$U$20,4,false)</f>
        <v>1</v>
      </c>
      <c r="X439" s="960">
        <f t="array" ref="X439">HLOOKUP($J439,'Type Chart'!$C$2:$T$20,5,false)*HLOOKUP($K439,'Type Chart'!$C$2:$U$20,5,false)</f>
        <v>0.5</v>
      </c>
      <c r="Y439" s="960">
        <f t="array" ref="Y439">HLOOKUP($J439,'Type Chart'!$C$2:$T$20,6,false)*HLOOKUP($K439,'Type Chart'!$C$2:$U$20,6,false)</f>
        <v>1</v>
      </c>
      <c r="Z439" s="960">
        <f t="array" ref="Z439">HLOOKUP($J439,'Type Chart'!$C$2:$T$20,7,false)*HLOOKUP($K439,'Type Chart'!$C$2:$U$20,7,false)</f>
        <v>0.5</v>
      </c>
      <c r="AA439" s="960">
        <f t="array" ref="AA439">HLOOKUP($J439,'Type Chart'!$C$2:$T$20,8,false)*HLOOKUP($K439,'Type Chart'!$C$2:$U$20,8,false)</f>
        <v>2</v>
      </c>
      <c r="AB439" s="960">
        <f t="array" ref="AB439">HLOOKUP($J439,'Type Chart'!$C$2:$T$20,9,false)*HLOOKUP($K439,'Type Chart'!$C$2:$U$20,9,false)</f>
        <v>2</v>
      </c>
      <c r="AC439" s="960">
        <f t="array" ref="AC439">HLOOKUP($J439,'Type Chart'!$C$2:$T$20,10,false)*HLOOKUP($K439,'Type Chart'!$C$2:$U$20,10,false)</f>
        <v>1</v>
      </c>
      <c r="AD439" s="960">
        <f t="array" ref="AD439">HLOOKUP($J439,'Type Chart'!$C$2:$T$20,11,false)*HLOOKUP($K439,'Type Chart'!$C$2:$U$20,11,false)</f>
        <v>1</v>
      </c>
      <c r="AE439" s="960">
        <f t="array" ref="AE439">HLOOKUP($J439,'Type Chart'!$C$2:$T$20,12,false)*HLOOKUP($K439,'Type Chart'!$C$2:$U$20,12,false)</f>
        <v>2</v>
      </c>
      <c r="AF439" s="960">
        <f t="array" ref="AF439">HLOOKUP($J439,'Type Chart'!$C$2:$T$20,13,false)*HLOOKUP($K439,'Type Chart'!$C$2:$U$20,13,false)</f>
        <v>2</v>
      </c>
      <c r="AG439" s="960">
        <f t="array" ref="AG439">HLOOKUP($J439,'Type Chart'!$C$2:$T$20,14,false)*HLOOKUP($K439,'Type Chart'!$C$2:$U$20,14,false)</f>
        <v>0</v>
      </c>
      <c r="AH439" s="960">
        <f t="array" ref="AH439">HLOOKUP($J439,'Type Chart'!$C$2:$T$20,15,false)*HLOOKUP($K439,'Type Chart'!$C$2:$U$20,15,false)</f>
        <v>0.5</v>
      </c>
      <c r="AI439" s="960">
        <f t="array" ref="AI439">HLOOKUP($J439,'Type Chart'!$C$2:$T$20,16,false)*HLOOKUP($K439,'Type Chart'!$C$2:$U$20,16,false)</f>
        <v>2</v>
      </c>
      <c r="AJ439" s="960">
        <f t="array" ref="AJ439">HLOOKUP($J439,'Type Chart'!$C$2:$T$20,17,false)*HLOOKUP($K439,'Type Chart'!$C$2:$U$20,17,false)</f>
        <v>1</v>
      </c>
      <c r="AK439" s="960">
        <f t="array" ref="AK439">HLOOKUP($J439,'Type Chart'!$C$2:$T$20,18,false)*HLOOKUP($K439,'Type Chart'!$C$2:$U$20,18,false)</f>
        <v>2</v>
      </c>
      <c r="AL439" s="960">
        <f t="array" ref="AL439">HLOOKUP($J439,'Type Chart'!$C$2:$T$20,19,false)*HLOOKUP($K439,'Type Chart'!$C$2:$U$20,19,false)</f>
        <v>1</v>
      </c>
      <c r="AM439" s="1145" t="s">
        <v>1437</v>
      </c>
      <c r="AN439" s="1202"/>
      <c r="AO439" s="1146"/>
      <c r="AP439" s="936"/>
      <c r="AQ439" s="967"/>
      <c r="AR439" s="968"/>
      <c r="AS439" s="936"/>
    </row>
    <row r="440" ht="15.75" customHeight="1">
      <c r="A440" s="936"/>
      <c r="B440" s="948" t="s">
        <v>2279</v>
      </c>
      <c r="C440" s="950" t="s">
        <v>2280</v>
      </c>
      <c r="D440" s="950" t="s">
        <v>2280</v>
      </c>
      <c r="E440" s="952" t="s">
        <v>2280</v>
      </c>
      <c r="F440" s="940"/>
      <c r="G440" s="953"/>
      <c r="H440" s="969"/>
      <c r="I440" s="956" t="s">
        <v>2281</v>
      </c>
      <c r="J440" s="1214" t="s">
        <v>342</v>
      </c>
      <c r="K440" s="957" t="s">
        <v>209</v>
      </c>
      <c r="L440" s="959">
        <v>66.0</v>
      </c>
      <c r="M440" s="960">
        <v>41.0</v>
      </c>
      <c r="N440" s="960">
        <v>77.0</v>
      </c>
      <c r="O440" s="960">
        <v>61.0</v>
      </c>
      <c r="P440" s="960">
        <v>87.0</v>
      </c>
      <c r="Q440" s="960">
        <v>23.0</v>
      </c>
      <c r="R440" s="960">
        <v>82.0</v>
      </c>
      <c r="S440" s="960">
        <v>145.0</v>
      </c>
      <c r="T440" s="960">
        <v>159.0</v>
      </c>
      <c r="U440" s="960">
        <f t="array" ref="U440">HLOOKUP($J440,'Type Chart'!$C$2:$T$20,2,false)*HLOOKUP($K440,'Type Chart'!$C$2:$U$20,2,false)</f>
        <v>0.5</v>
      </c>
      <c r="V440" s="960">
        <f t="array" ref="V440">HLOOKUP($J440,'Type Chart'!$C$2:$T$20,3,false)*HLOOKUP($K440,'Type Chart'!$C$2:$U$20,3,false)</f>
        <v>2</v>
      </c>
      <c r="W440" s="960">
        <f t="array" ref="W440">HLOOKUP($J440,'Type Chart'!$C$2:$T$20,4,false)*HLOOKUP($K440,'Type Chart'!$C$2:$U$20,4,false)</f>
        <v>1</v>
      </c>
      <c r="X440" s="960">
        <f t="array" ref="X440">HLOOKUP($J440,'Type Chart'!$C$2:$T$20,5,false)*HLOOKUP($K440,'Type Chart'!$C$2:$U$20,5,false)</f>
        <v>1</v>
      </c>
      <c r="Y440" s="960">
        <f t="array" ref="Y440">HLOOKUP($J440,'Type Chart'!$C$2:$T$20,6,false)*HLOOKUP($K440,'Type Chart'!$C$2:$U$20,6,false)</f>
        <v>1</v>
      </c>
      <c r="Z440" s="960">
        <f t="array" ref="Z440">HLOOKUP($J440,'Type Chart'!$C$2:$T$20,7,false)*HLOOKUP($K440,'Type Chart'!$C$2:$U$20,7,false)</f>
        <v>1</v>
      </c>
      <c r="AA440" s="960">
        <f t="array" ref="AA440">HLOOKUP($J440,'Type Chart'!$C$2:$T$20,8,false)*HLOOKUP($K440,'Type Chart'!$C$2:$U$20,8,false)</f>
        <v>2</v>
      </c>
      <c r="AB440" s="960">
        <f t="array" ref="AB440">HLOOKUP($J440,'Type Chart'!$C$2:$T$20,9,false)*HLOOKUP($K440,'Type Chart'!$C$2:$U$20,9,false)</f>
        <v>1</v>
      </c>
      <c r="AC440" s="960">
        <f t="array" ref="AC440">HLOOKUP($J440,'Type Chart'!$C$2:$T$20,10,false)*HLOOKUP($K440,'Type Chart'!$C$2:$U$20,10,false)</f>
        <v>2</v>
      </c>
      <c r="AD440" s="960">
        <f t="array" ref="AD440">HLOOKUP($J440,'Type Chart'!$C$2:$T$20,11,false)*HLOOKUP($K440,'Type Chart'!$C$2:$U$20,11,false)</f>
        <v>1</v>
      </c>
      <c r="AE440" s="960">
        <f t="array" ref="AE440">HLOOKUP($J440,'Type Chart'!$C$2:$T$20,12,false)*HLOOKUP($K440,'Type Chart'!$C$2:$U$20,12,false)</f>
        <v>1</v>
      </c>
      <c r="AF440" s="960">
        <f t="array" ref="AF440">HLOOKUP($J440,'Type Chart'!$C$2:$T$20,13,false)*HLOOKUP($K440,'Type Chart'!$C$2:$U$20,13,false)</f>
        <v>1</v>
      </c>
      <c r="AG440" s="960">
        <f t="array" ref="AG440">HLOOKUP($J440,'Type Chart'!$C$2:$T$20,14,false)*HLOOKUP($K440,'Type Chart'!$C$2:$U$20,14,false)</f>
        <v>0.5</v>
      </c>
      <c r="AH440" s="960">
        <f t="array" ref="AH440">HLOOKUP($J440,'Type Chart'!$C$2:$T$20,15,false)*HLOOKUP($K440,'Type Chart'!$C$2:$U$20,15,false)</f>
        <v>1</v>
      </c>
      <c r="AI440" s="960">
        <f t="array" ref="AI440">HLOOKUP($J440,'Type Chart'!$C$2:$T$20,16,false)*HLOOKUP($K440,'Type Chart'!$C$2:$U$20,16,false)</f>
        <v>2</v>
      </c>
      <c r="AJ440" s="960">
        <f t="array" ref="AJ440">HLOOKUP($J440,'Type Chart'!$C$2:$T$20,17,false)*HLOOKUP($K440,'Type Chart'!$C$2:$U$20,17,false)</f>
        <v>1</v>
      </c>
      <c r="AK440" s="960">
        <f t="array" ref="AK440">HLOOKUP($J440,'Type Chart'!$C$2:$T$20,18,false)*HLOOKUP($K440,'Type Chart'!$C$2:$U$20,18,false)</f>
        <v>1</v>
      </c>
      <c r="AL440" s="960">
        <f t="array" ref="AL440">HLOOKUP($J440,'Type Chart'!$C$2:$T$20,19,false)*HLOOKUP($K440,'Type Chart'!$C$2:$U$20,19,false)</f>
        <v>1</v>
      </c>
      <c r="AM440" s="964" t="s">
        <v>1902</v>
      </c>
      <c r="AN440" s="965"/>
      <c r="AO440" s="966" t="s">
        <v>2282</v>
      </c>
      <c r="AP440" s="936"/>
      <c r="AQ440" s="967"/>
      <c r="AR440" s="968"/>
      <c r="AS440" s="936"/>
    </row>
    <row r="441" ht="15.75" customHeight="1">
      <c r="A441" s="1099"/>
      <c r="B441" s="948" t="s">
        <v>2283</v>
      </c>
      <c r="C441" s="950" t="s">
        <v>2284</v>
      </c>
      <c r="D441" s="950" t="s">
        <v>2284</v>
      </c>
      <c r="E441" s="952" t="s">
        <v>2284</v>
      </c>
      <c r="F441" s="940"/>
      <c r="G441" s="953"/>
      <c r="H441" s="969"/>
      <c r="I441" s="956" t="s">
        <v>2285</v>
      </c>
      <c r="J441" s="1214" t="s">
        <v>342</v>
      </c>
      <c r="K441" s="957" t="s">
        <v>209</v>
      </c>
      <c r="L441" s="959">
        <v>86.0</v>
      </c>
      <c r="M441" s="960">
        <v>81.0</v>
      </c>
      <c r="N441" s="960">
        <v>97.0</v>
      </c>
      <c r="O441" s="960">
        <v>81.0</v>
      </c>
      <c r="P441" s="960">
        <v>107.0</v>
      </c>
      <c r="Q441" s="960">
        <v>43.0</v>
      </c>
      <c r="R441" s="960">
        <v>122.0</v>
      </c>
      <c r="S441" s="960">
        <v>185.0</v>
      </c>
      <c r="T441" s="960">
        <v>203.0</v>
      </c>
      <c r="U441" s="960">
        <f t="array" ref="U441">HLOOKUP($J441,'Type Chart'!$C$2:$T$20,2,false)*HLOOKUP($K441,'Type Chart'!$C$2:$U$20,2,false)</f>
        <v>0.5</v>
      </c>
      <c r="V441" s="960">
        <f t="array" ref="V441">HLOOKUP($J441,'Type Chart'!$C$2:$T$20,3,false)*HLOOKUP($K441,'Type Chart'!$C$2:$U$20,3,false)</f>
        <v>2</v>
      </c>
      <c r="W441" s="960">
        <f t="array" ref="W441">HLOOKUP($J441,'Type Chart'!$C$2:$T$20,4,false)*HLOOKUP($K441,'Type Chart'!$C$2:$U$20,4,false)</f>
        <v>1</v>
      </c>
      <c r="X441" s="960">
        <f t="array" ref="X441">HLOOKUP($J441,'Type Chart'!$C$2:$T$20,5,false)*HLOOKUP($K441,'Type Chart'!$C$2:$U$20,5,false)</f>
        <v>1</v>
      </c>
      <c r="Y441" s="960">
        <f t="array" ref="Y441">HLOOKUP($J441,'Type Chart'!$C$2:$T$20,6,false)*HLOOKUP($K441,'Type Chart'!$C$2:$U$20,6,false)</f>
        <v>1</v>
      </c>
      <c r="Z441" s="960">
        <f t="array" ref="Z441">HLOOKUP($J441,'Type Chart'!$C$2:$T$20,7,false)*HLOOKUP($K441,'Type Chart'!$C$2:$U$20,7,false)</f>
        <v>1</v>
      </c>
      <c r="AA441" s="960">
        <f t="array" ref="AA441">HLOOKUP($J441,'Type Chart'!$C$2:$T$20,8,false)*HLOOKUP($K441,'Type Chart'!$C$2:$U$20,8,false)</f>
        <v>2</v>
      </c>
      <c r="AB441" s="960">
        <f t="array" ref="AB441">HLOOKUP($J441,'Type Chart'!$C$2:$T$20,9,false)*HLOOKUP($K441,'Type Chart'!$C$2:$U$20,9,false)</f>
        <v>1</v>
      </c>
      <c r="AC441" s="960">
        <f t="array" ref="AC441">HLOOKUP($J441,'Type Chart'!$C$2:$T$20,10,false)*HLOOKUP($K441,'Type Chart'!$C$2:$U$20,10,false)</f>
        <v>2</v>
      </c>
      <c r="AD441" s="960">
        <f t="array" ref="AD441">HLOOKUP($J441,'Type Chart'!$C$2:$T$20,11,false)*HLOOKUP($K441,'Type Chart'!$C$2:$U$20,11,false)</f>
        <v>1</v>
      </c>
      <c r="AE441" s="960">
        <f t="array" ref="AE441">HLOOKUP($J441,'Type Chart'!$C$2:$T$20,12,false)*HLOOKUP($K441,'Type Chart'!$C$2:$U$20,12,false)</f>
        <v>1</v>
      </c>
      <c r="AF441" s="960">
        <f t="array" ref="AF441">HLOOKUP($J441,'Type Chart'!$C$2:$T$20,13,false)*HLOOKUP($K441,'Type Chart'!$C$2:$U$20,13,false)</f>
        <v>1</v>
      </c>
      <c r="AG441" s="960">
        <f t="array" ref="AG441">HLOOKUP($J441,'Type Chart'!$C$2:$T$20,14,false)*HLOOKUP($K441,'Type Chart'!$C$2:$U$20,14,false)</f>
        <v>0.5</v>
      </c>
      <c r="AH441" s="960">
        <f t="array" ref="AH441">HLOOKUP($J441,'Type Chart'!$C$2:$T$20,15,false)*HLOOKUP($K441,'Type Chart'!$C$2:$U$20,15,false)</f>
        <v>1</v>
      </c>
      <c r="AI441" s="960">
        <f t="array" ref="AI441">HLOOKUP($J441,'Type Chart'!$C$2:$T$20,16,false)*HLOOKUP($K441,'Type Chart'!$C$2:$U$20,16,false)</f>
        <v>2</v>
      </c>
      <c r="AJ441" s="960">
        <f t="array" ref="AJ441">HLOOKUP($J441,'Type Chart'!$C$2:$T$20,17,false)*HLOOKUP($K441,'Type Chart'!$C$2:$U$20,17,false)</f>
        <v>1</v>
      </c>
      <c r="AK441" s="960">
        <f t="array" ref="AK441">HLOOKUP($J441,'Type Chart'!$C$2:$T$20,18,false)*HLOOKUP($K441,'Type Chart'!$C$2:$U$20,18,false)</f>
        <v>1</v>
      </c>
      <c r="AL441" s="960">
        <f t="array" ref="AL441">HLOOKUP($J441,'Type Chart'!$C$2:$T$20,19,false)*HLOOKUP($K441,'Type Chart'!$C$2:$U$20,19,false)</f>
        <v>1</v>
      </c>
      <c r="AM441" s="1145" t="s">
        <v>1902</v>
      </c>
      <c r="AN441" s="965"/>
      <c r="AO441" s="1146" t="s">
        <v>2282</v>
      </c>
      <c r="AP441" s="936"/>
      <c r="AQ441" s="967"/>
      <c r="AR441" s="968"/>
      <c r="AS441" s="936"/>
    </row>
    <row r="442" ht="15.75" customHeight="1">
      <c r="A442" s="936"/>
      <c r="B442" s="948" t="s">
        <v>2286</v>
      </c>
      <c r="C442" s="950" t="s">
        <v>2287</v>
      </c>
      <c r="D442" s="950" t="s">
        <v>2287</v>
      </c>
      <c r="E442" s="952" t="s">
        <v>2287</v>
      </c>
      <c r="F442" s="940"/>
      <c r="G442" s="953"/>
      <c r="H442" s="969"/>
      <c r="I442" s="956" t="s">
        <v>2288</v>
      </c>
      <c r="J442" s="1214" t="s">
        <v>342</v>
      </c>
      <c r="K442" s="1180" t="s">
        <v>343</v>
      </c>
      <c r="L442" s="959">
        <v>45.0</v>
      </c>
      <c r="M442" s="960">
        <v>95.0</v>
      </c>
      <c r="N442" s="960">
        <v>50.0</v>
      </c>
      <c r="O442" s="960">
        <v>40.0</v>
      </c>
      <c r="P442" s="960">
        <v>50.0</v>
      </c>
      <c r="Q442" s="960">
        <v>75.0</v>
      </c>
      <c r="R442" s="960">
        <v>186.0</v>
      </c>
      <c r="S442" s="960">
        <v>249.0</v>
      </c>
      <c r="T442" s="960">
        <v>273.0</v>
      </c>
      <c r="U442" s="960">
        <f t="array" ref="U442">HLOOKUP($J442,'Type Chart'!$C$2:$T$20,2,false)*HLOOKUP($K442,'Type Chart'!$C$2:$U$20,2,false)</f>
        <v>0.5</v>
      </c>
      <c r="V442" s="960">
        <f t="array" ref="V442">HLOOKUP($J442,'Type Chart'!$C$2:$T$20,3,false)*HLOOKUP($K442,'Type Chart'!$C$2:$U$20,3,false)</f>
        <v>1</v>
      </c>
      <c r="W442" s="960">
        <f t="array" ref="W442">HLOOKUP($J442,'Type Chart'!$C$2:$T$20,4,false)*HLOOKUP($K442,'Type Chart'!$C$2:$U$20,4,false)</f>
        <v>1</v>
      </c>
      <c r="X442" s="960">
        <f t="array" ref="X442">HLOOKUP($J442,'Type Chart'!$C$2:$T$20,5,false)*HLOOKUP($K442,'Type Chart'!$C$2:$U$20,5,false)</f>
        <v>0.5</v>
      </c>
      <c r="Y442" s="960">
        <f t="array" ref="Y442">HLOOKUP($J442,'Type Chart'!$C$2:$T$20,6,false)*HLOOKUP($K442,'Type Chart'!$C$2:$U$20,6,false)</f>
        <v>1</v>
      </c>
      <c r="Z442" s="960">
        <f t="array" ref="Z442">HLOOKUP($J442,'Type Chart'!$C$2:$T$20,7,false)*HLOOKUP($K442,'Type Chart'!$C$2:$U$20,7,false)</f>
        <v>2</v>
      </c>
      <c r="AA442" s="960">
        <f t="array" ref="AA442">HLOOKUP($J442,'Type Chart'!$C$2:$T$20,8,false)*HLOOKUP($K442,'Type Chart'!$C$2:$U$20,8,false)</f>
        <v>1</v>
      </c>
      <c r="AB442" s="960">
        <f t="array" ref="AB442">HLOOKUP($J442,'Type Chart'!$C$2:$T$20,9,false)*HLOOKUP($K442,'Type Chart'!$C$2:$U$20,9,false)</f>
        <v>1</v>
      </c>
      <c r="AC442" s="960">
        <f t="array" ref="AC442">HLOOKUP($J442,'Type Chart'!$C$2:$T$20,10,false)*HLOOKUP($K442,'Type Chart'!$C$2:$U$20,10,false)</f>
        <v>2</v>
      </c>
      <c r="AD442" s="960">
        <f t="array" ref="AD442">HLOOKUP($J442,'Type Chart'!$C$2:$T$20,11,false)*HLOOKUP($K442,'Type Chart'!$C$2:$U$20,11,false)</f>
        <v>1</v>
      </c>
      <c r="AE442" s="960">
        <f t="array" ref="AE442">HLOOKUP($J442,'Type Chart'!$C$2:$T$20,12,false)*HLOOKUP($K442,'Type Chart'!$C$2:$U$20,12,false)</f>
        <v>2</v>
      </c>
      <c r="AF442" s="960">
        <f t="array" ref="AF442">HLOOKUP($J442,'Type Chart'!$C$2:$T$20,13,false)*HLOOKUP($K442,'Type Chart'!$C$2:$U$20,13,false)</f>
        <v>1</v>
      </c>
      <c r="AG442" s="960">
        <f t="array" ref="AG442">HLOOKUP($J442,'Type Chart'!$C$2:$T$20,14,false)*HLOOKUP($K442,'Type Chart'!$C$2:$U$20,14,false)</f>
        <v>1</v>
      </c>
      <c r="AH442" s="960">
        <f t="array" ref="AH442">HLOOKUP($J442,'Type Chart'!$C$2:$T$20,15,false)*HLOOKUP($K442,'Type Chart'!$C$2:$U$20,15,false)</f>
        <v>1</v>
      </c>
      <c r="AI442" s="960">
        <f t="array" ref="AI442">HLOOKUP($J442,'Type Chart'!$C$2:$T$20,16,false)*HLOOKUP($K442,'Type Chart'!$C$2:$U$20,16,false)</f>
        <v>1</v>
      </c>
      <c r="AJ442" s="960">
        <f t="array" ref="AJ442">HLOOKUP($J442,'Type Chart'!$C$2:$T$20,17,false)*HLOOKUP($K442,'Type Chart'!$C$2:$U$20,17,false)</f>
        <v>1</v>
      </c>
      <c r="AK442" s="960">
        <f t="array" ref="AK442">HLOOKUP($J442,'Type Chart'!$C$2:$T$20,18,false)*HLOOKUP($K442,'Type Chart'!$C$2:$U$20,18,false)</f>
        <v>1</v>
      </c>
      <c r="AL442" s="960">
        <f t="array" ref="AL442">HLOOKUP($J442,'Type Chart'!$C$2:$T$20,19,false)*HLOOKUP($K442,'Type Chart'!$C$2:$U$20,19,false)</f>
        <v>1</v>
      </c>
      <c r="AM442" s="964" t="s">
        <v>1487</v>
      </c>
      <c r="AN442" s="965"/>
      <c r="AO442" s="966" t="s">
        <v>1259</v>
      </c>
      <c r="AP442" s="936"/>
      <c r="AQ442" s="967"/>
      <c r="AR442" s="968"/>
      <c r="AS442" s="936"/>
    </row>
    <row r="443" ht="15.75" customHeight="1">
      <c r="A443" s="1099"/>
      <c r="B443" s="948" t="s">
        <v>2289</v>
      </c>
      <c r="C443" s="1197" t="s">
        <v>2290</v>
      </c>
      <c r="D443" s="1197" t="s">
        <v>2290</v>
      </c>
      <c r="E443" s="1147" t="s">
        <v>2290</v>
      </c>
      <c r="F443" s="940"/>
      <c r="G443" s="953"/>
      <c r="H443" s="969"/>
      <c r="I443" s="998" t="s">
        <v>2291</v>
      </c>
      <c r="J443" s="1222" t="s">
        <v>342</v>
      </c>
      <c r="K443" s="1225" t="s">
        <v>343</v>
      </c>
      <c r="L443" s="1200">
        <v>75.0</v>
      </c>
      <c r="M443" s="1201">
        <v>125.0</v>
      </c>
      <c r="N443" s="1201">
        <v>100.0</v>
      </c>
      <c r="O443" s="1201">
        <v>70.0</v>
      </c>
      <c r="P443" s="1201">
        <v>80.0</v>
      </c>
      <c r="Q443" s="1201">
        <v>45.0</v>
      </c>
      <c r="R443" s="960">
        <v>126.0</v>
      </c>
      <c r="S443" s="960">
        <v>189.0</v>
      </c>
      <c r="T443" s="960">
        <v>207.0</v>
      </c>
      <c r="U443" s="960">
        <f t="array" ref="U443">HLOOKUP($J443,'Type Chart'!$C$2:$T$20,2,false)*HLOOKUP($K443,'Type Chart'!$C$2:$U$20,2,false)</f>
        <v>0.5</v>
      </c>
      <c r="V443" s="960">
        <f t="array" ref="V443">HLOOKUP($J443,'Type Chart'!$C$2:$T$20,3,false)*HLOOKUP($K443,'Type Chart'!$C$2:$U$20,3,false)</f>
        <v>1</v>
      </c>
      <c r="W443" s="960">
        <f t="array" ref="W443">HLOOKUP($J443,'Type Chart'!$C$2:$T$20,4,false)*HLOOKUP($K443,'Type Chart'!$C$2:$U$20,4,false)</f>
        <v>1</v>
      </c>
      <c r="X443" s="960">
        <f t="array" ref="X443">HLOOKUP($J443,'Type Chart'!$C$2:$T$20,5,false)*HLOOKUP($K443,'Type Chart'!$C$2:$U$20,5,false)</f>
        <v>0.5</v>
      </c>
      <c r="Y443" s="960">
        <f t="array" ref="Y443">HLOOKUP($J443,'Type Chart'!$C$2:$T$20,6,false)*HLOOKUP($K443,'Type Chart'!$C$2:$U$20,6,false)</f>
        <v>1</v>
      </c>
      <c r="Z443" s="960">
        <f t="array" ref="Z443">HLOOKUP($J443,'Type Chart'!$C$2:$T$20,7,false)*HLOOKUP($K443,'Type Chart'!$C$2:$U$20,7,false)</f>
        <v>2</v>
      </c>
      <c r="AA443" s="960">
        <f t="array" ref="AA443">HLOOKUP($J443,'Type Chart'!$C$2:$T$20,8,false)*HLOOKUP($K443,'Type Chart'!$C$2:$U$20,8,false)</f>
        <v>1</v>
      </c>
      <c r="AB443" s="960">
        <f t="array" ref="AB443">HLOOKUP($J443,'Type Chart'!$C$2:$T$20,9,false)*HLOOKUP($K443,'Type Chart'!$C$2:$U$20,9,false)</f>
        <v>1</v>
      </c>
      <c r="AC443" s="960">
        <f t="array" ref="AC443">HLOOKUP($J443,'Type Chart'!$C$2:$T$20,10,false)*HLOOKUP($K443,'Type Chart'!$C$2:$U$20,10,false)</f>
        <v>2</v>
      </c>
      <c r="AD443" s="960">
        <f t="array" ref="AD443">HLOOKUP($J443,'Type Chart'!$C$2:$T$20,11,false)*HLOOKUP($K443,'Type Chart'!$C$2:$U$20,11,false)</f>
        <v>1</v>
      </c>
      <c r="AE443" s="960">
        <f t="array" ref="AE443">HLOOKUP($J443,'Type Chart'!$C$2:$T$20,12,false)*HLOOKUP($K443,'Type Chart'!$C$2:$U$20,12,false)</f>
        <v>2</v>
      </c>
      <c r="AF443" s="960">
        <f t="array" ref="AF443">HLOOKUP($J443,'Type Chart'!$C$2:$T$20,13,false)*HLOOKUP($K443,'Type Chart'!$C$2:$U$20,13,false)</f>
        <v>1</v>
      </c>
      <c r="AG443" s="960">
        <f t="array" ref="AG443">HLOOKUP($J443,'Type Chart'!$C$2:$T$20,14,false)*HLOOKUP($K443,'Type Chart'!$C$2:$U$20,14,false)</f>
        <v>1</v>
      </c>
      <c r="AH443" s="960">
        <f t="array" ref="AH443">HLOOKUP($J443,'Type Chart'!$C$2:$T$20,15,false)*HLOOKUP($K443,'Type Chart'!$C$2:$U$20,15,false)</f>
        <v>1</v>
      </c>
      <c r="AI443" s="960">
        <f t="array" ref="AI443">HLOOKUP($J443,'Type Chart'!$C$2:$T$20,16,false)*HLOOKUP($K443,'Type Chart'!$C$2:$U$20,16,false)</f>
        <v>1</v>
      </c>
      <c r="AJ443" s="960">
        <f t="array" ref="AJ443">HLOOKUP($J443,'Type Chart'!$C$2:$T$20,17,false)*HLOOKUP($K443,'Type Chart'!$C$2:$U$20,17,false)</f>
        <v>1</v>
      </c>
      <c r="AK443" s="960">
        <f t="array" ref="AK443">HLOOKUP($J443,'Type Chart'!$C$2:$T$20,18,false)*HLOOKUP($K443,'Type Chart'!$C$2:$U$20,18,false)</f>
        <v>1</v>
      </c>
      <c r="AL443" s="960">
        <f t="array" ref="AL443">HLOOKUP($J443,'Type Chart'!$C$2:$T$20,19,false)*HLOOKUP($K443,'Type Chart'!$C$2:$U$20,19,false)</f>
        <v>1</v>
      </c>
      <c r="AM443" s="1145" t="s">
        <v>1487</v>
      </c>
      <c r="AN443" s="965"/>
      <c r="AO443" s="966" t="s">
        <v>1259</v>
      </c>
      <c r="AP443" s="936"/>
      <c r="AQ443" s="967"/>
      <c r="AR443" s="968"/>
      <c r="AS443" s="936"/>
    </row>
    <row r="444" ht="15.75" customHeight="1">
      <c r="A444" s="1099"/>
      <c r="B444" s="948" t="s">
        <v>2292</v>
      </c>
      <c r="C444" s="1197" t="s">
        <v>2293</v>
      </c>
      <c r="D444" s="1197" t="s">
        <v>2293</v>
      </c>
      <c r="E444" s="1147" t="s">
        <v>2293</v>
      </c>
      <c r="F444" s="940"/>
      <c r="G444" s="953"/>
      <c r="H444" s="969"/>
      <c r="I444" s="998" t="s">
        <v>2294</v>
      </c>
      <c r="J444" s="1211" t="s">
        <v>81</v>
      </c>
      <c r="K444" s="1199" t="s">
        <v>216</v>
      </c>
      <c r="L444" s="1200">
        <v>20.0</v>
      </c>
      <c r="M444" s="1201">
        <v>15.0</v>
      </c>
      <c r="N444" s="1201">
        <v>20.0</v>
      </c>
      <c r="O444" s="1201">
        <v>10.0</v>
      </c>
      <c r="P444" s="1201">
        <v>55.0</v>
      </c>
      <c r="Q444" s="1201">
        <v>80.0</v>
      </c>
      <c r="R444" s="960">
        <v>196.0</v>
      </c>
      <c r="S444" s="960">
        <v>259.0</v>
      </c>
      <c r="T444" s="960">
        <v>284.0</v>
      </c>
      <c r="U444" s="960">
        <f t="array" ref="U444">HLOOKUP($J444,'Type Chart'!$C$2:$T$20,2,false)*HLOOKUP($K444,'Type Chart'!$C$2:$U$20,2,false)</f>
        <v>1</v>
      </c>
      <c r="V444" s="960">
        <f t="array" ref="V444">HLOOKUP($J444,'Type Chart'!$C$2:$T$20,3,false)*HLOOKUP($K444,'Type Chart'!$C$2:$U$20,3,false)</f>
        <v>1</v>
      </c>
      <c r="W444" s="960">
        <f t="array" ref="W444">HLOOKUP($J444,'Type Chart'!$C$2:$T$20,4,false)*HLOOKUP($K444,'Type Chart'!$C$2:$U$20,4,false)</f>
        <v>1</v>
      </c>
      <c r="X444" s="960">
        <f t="array" ref="X444">HLOOKUP($J444,'Type Chart'!$C$2:$T$20,5,false)*HLOOKUP($K444,'Type Chart'!$C$2:$U$20,5,false)</f>
        <v>1</v>
      </c>
      <c r="Y444" s="960">
        <f t="array" ref="Y444">HLOOKUP($J444,'Type Chart'!$C$2:$T$20,6,false)*HLOOKUP($K444,'Type Chart'!$C$2:$U$20,6,false)</f>
        <v>1</v>
      </c>
      <c r="Z444" s="960">
        <f t="array" ref="Z444">HLOOKUP($J444,'Type Chart'!$C$2:$T$20,7,false)*HLOOKUP($K444,'Type Chart'!$C$2:$U$20,7,false)</f>
        <v>1</v>
      </c>
      <c r="AA444" s="960">
        <f t="array" ref="AA444">HLOOKUP($J444,'Type Chart'!$C$2:$T$20,8,false)*HLOOKUP($K444,'Type Chart'!$C$2:$U$20,8,false)</f>
        <v>1</v>
      </c>
      <c r="AB444" s="960">
        <f t="array" ref="AB444">HLOOKUP($J444,'Type Chart'!$C$2:$T$20,9,false)*HLOOKUP($K444,'Type Chart'!$C$2:$U$20,9,false)</f>
        <v>1</v>
      </c>
      <c r="AC444" s="960">
        <f t="array" ref="AC444">HLOOKUP($J444,'Type Chart'!$C$2:$T$20,10,false)*HLOOKUP($K444,'Type Chart'!$C$2:$U$20,10,false)</f>
        <v>0.5</v>
      </c>
      <c r="AD444" s="960">
        <f t="array" ref="AD444">HLOOKUP($J444,'Type Chart'!$C$2:$T$20,11,false)*HLOOKUP($K444,'Type Chart'!$C$2:$U$20,11,false)</f>
        <v>0.5</v>
      </c>
      <c r="AE444" s="960">
        <f t="array" ref="AE444">HLOOKUP($J444,'Type Chart'!$C$2:$T$20,12,false)*HLOOKUP($K444,'Type Chart'!$C$2:$U$20,12,false)</f>
        <v>0.5</v>
      </c>
      <c r="AF444" s="960">
        <f t="array" ref="AF444">HLOOKUP($J444,'Type Chart'!$C$2:$T$20,13,false)*HLOOKUP($K444,'Type Chart'!$C$2:$U$20,13,false)</f>
        <v>2</v>
      </c>
      <c r="AG444" s="960">
        <f t="array" ref="AG444">HLOOKUP($J444,'Type Chart'!$C$2:$T$20,14,false)*HLOOKUP($K444,'Type Chart'!$C$2:$U$20,14,false)</f>
        <v>2</v>
      </c>
      <c r="AH444" s="960">
        <f t="array" ref="AH444">HLOOKUP($J444,'Type Chart'!$C$2:$T$20,15,false)*HLOOKUP($K444,'Type Chart'!$C$2:$U$20,15,false)</f>
        <v>1</v>
      </c>
      <c r="AI444" s="960">
        <f t="array" ref="AI444">HLOOKUP($J444,'Type Chart'!$C$2:$T$20,16,false)*HLOOKUP($K444,'Type Chart'!$C$2:$U$20,16,false)</f>
        <v>0.5</v>
      </c>
      <c r="AJ444" s="960">
        <f t="array" ref="AJ444">HLOOKUP($J444,'Type Chart'!$C$2:$T$20,17,false)*HLOOKUP($K444,'Type Chart'!$C$2:$U$20,17,false)</f>
        <v>1</v>
      </c>
      <c r="AK444" s="960">
        <f t="array" ref="AK444">HLOOKUP($J444,'Type Chart'!$C$2:$T$20,18,false)*HLOOKUP($K444,'Type Chart'!$C$2:$U$20,18,false)</f>
        <v>1</v>
      </c>
      <c r="AL444" s="960">
        <f t="array" ref="AL444">HLOOKUP($J444,'Type Chart'!$C$2:$T$20,19,false)*HLOOKUP($K444,'Type Chart'!$C$2:$U$20,19,false)</f>
        <v>1</v>
      </c>
      <c r="AM444" s="1145" t="s">
        <v>1259</v>
      </c>
      <c r="AN444" s="965" t="s">
        <v>1369</v>
      </c>
      <c r="AO444" s="1146" t="s">
        <v>1018</v>
      </c>
      <c r="AP444" s="936"/>
      <c r="AQ444" s="967"/>
      <c r="AR444" s="968"/>
      <c r="AS444" s="936"/>
    </row>
    <row r="445" ht="15.75" customHeight="1">
      <c r="A445" s="1099"/>
      <c r="B445" s="948" t="s">
        <v>2295</v>
      </c>
      <c r="C445" s="950" t="s">
        <v>2296</v>
      </c>
      <c r="D445" s="950" t="s">
        <v>2296</v>
      </c>
      <c r="E445" s="952" t="s">
        <v>2296</v>
      </c>
      <c r="F445" s="940"/>
      <c r="G445" s="953"/>
      <c r="H445" s="969"/>
      <c r="I445" s="956" t="s">
        <v>576</v>
      </c>
      <c r="J445" s="1056" t="s">
        <v>81</v>
      </c>
      <c r="K445" s="984" t="s">
        <v>216</v>
      </c>
      <c r="L445" s="959">
        <v>95.0</v>
      </c>
      <c r="M445" s="960">
        <v>60.0</v>
      </c>
      <c r="N445" s="960">
        <v>79.0</v>
      </c>
      <c r="O445" s="960">
        <v>100.0</v>
      </c>
      <c r="P445" s="960">
        <v>125.0</v>
      </c>
      <c r="Q445" s="960">
        <v>81.0</v>
      </c>
      <c r="R445" s="960">
        <v>198.0</v>
      </c>
      <c r="S445" s="960">
        <v>261.0</v>
      </c>
      <c r="T445" s="960">
        <v>287.0</v>
      </c>
      <c r="U445" s="960">
        <f t="array" ref="U445">HLOOKUP($J445,'Type Chart'!$C$2:$T$20,2,false)*HLOOKUP($K445,'Type Chart'!$C$2:$U$20,2,false)</f>
        <v>1</v>
      </c>
      <c r="V445" s="960">
        <f t="array" ref="V445">HLOOKUP($J445,'Type Chart'!$C$2:$T$20,3,false)*HLOOKUP($K445,'Type Chart'!$C$2:$U$20,3,false)</f>
        <v>1</v>
      </c>
      <c r="W445" s="960">
        <f t="array" ref="W445">HLOOKUP($J445,'Type Chart'!$C$2:$T$20,4,false)*HLOOKUP($K445,'Type Chart'!$C$2:$U$20,4,false)</f>
        <v>1</v>
      </c>
      <c r="X445" s="960">
        <f t="array" ref="X445">HLOOKUP($J445,'Type Chart'!$C$2:$T$20,5,false)*HLOOKUP($K445,'Type Chart'!$C$2:$U$20,5,false)</f>
        <v>1</v>
      </c>
      <c r="Y445" s="960">
        <f t="array" ref="Y445">HLOOKUP($J445,'Type Chart'!$C$2:$T$20,6,false)*HLOOKUP($K445,'Type Chart'!$C$2:$U$20,6,false)</f>
        <v>1</v>
      </c>
      <c r="Z445" s="960">
        <f t="array" ref="Z445">HLOOKUP($J445,'Type Chart'!$C$2:$T$20,7,false)*HLOOKUP($K445,'Type Chart'!$C$2:$U$20,7,false)</f>
        <v>1</v>
      </c>
      <c r="AA445" s="960">
        <f t="array" ref="AA445">HLOOKUP($J445,'Type Chart'!$C$2:$T$20,8,false)*HLOOKUP($K445,'Type Chart'!$C$2:$U$20,8,false)</f>
        <v>1</v>
      </c>
      <c r="AB445" s="960">
        <f t="array" ref="AB445">HLOOKUP($J445,'Type Chart'!$C$2:$T$20,9,false)*HLOOKUP($K445,'Type Chart'!$C$2:$U$20,9,false)</f>
        <v>1</v>
      </c>
      <c r="AC445" s="960">
        <f t="array" ref="AC445">HLOOKUP($J445,'Type Chart'!$C$2:$T$20,10,false)*HLOOKUP($K445,'Type Chart'!$C$2:$U$20,10,false)</f>
        <v>0.5</v>
      </c>
      <c r="AD445" s="960">
        <f t="array" ref="AD445">HLOOKUP($J445,'Type Chart'!$C$2:$T$20,11,false)*HLOOKUP($K445,'Type Chart'!$C$2:$U$20,11,false)</f>
        <v>0.5</v>
      </c>
      <c r="AE445" s="960">
        <f t="array" ref="AE445">HLOOKUP($J445,'Type Chart'!$C$2:$T$20,12,false)*HLOOKUP($K445,'Type Chart'!$C$2:$U$20,12,false)</f>
        <v>0.5</v>
      </c>
      <c r="AF445" s="960">
        <f t="array" ref="AF445">HLOOKUP($J445,'Type Chart'!$C$2:$T$20,13,false)*HLOOKUP($K445,'Type Chart'!$C$2:$U$20,13,false)</f>
        <v>2</v>
      </c>
      <c r="AG445" s="960">
        <f t="array" ref="AG445">HLOOKUP($J445,'Type Chart'!$C$2:$T$20,14,false)*HLOOKUP($K445,'Type Chart'!$C$2:$U$20,14,false)</f>
        <v>2</v>
      </c>
      <c r="AH445" s="960">
        <f t="array" ref="AH445">HLOOKUP($J445,'Type Chart'!$C$2:$T$20,15,false)*HLOOKUP($K445,'Type Chart'!$C$2:$U$20,15,false)</f>
        <v>1</v>
      </c>
      <c r="AI445" s="960">
        <f t="array" ref="AI445">HLOOKUP($J445,'Type Chart'!$C$2:$T$20,16,false)*HLOOKUP($K445,'Type Chart'!$C$2:$U$20,16,false)</f>
        <v>0.5</v>
      </c>
      <c r="AJ445" s="960">
        <f t="array" ref="AJ445">HLOOKUP($J445,'Type Chart'!$C$2:$T$20,17,false)*HLOOKUP($K445,'Type Chart'!$C$2:$U$20,17,false)</f>
        <v>1</v>
      </c>
      <c r="AK445" s="960">
        <f t="array" ref="AK445">HLOOKUP($J445,'Type Chart'!$C$2:$T$20,18,false)*HLOOKUP($K445,'Type Chart'!$C$2:$U$20,18,false)</f>
        <v>1</v>
      </c>
      <c r="AL445" s="960">
        <f t="array" ref="AL445">HLOOKUP($J445,'Type Chart'!$C$2:$T$20,19,false)*HLOOKUP($K445,'Type Chart'!$C$2:$U$20,19,false)</f>
        <v>1</v>
      </c>
      <c r="AM445" s="1145" t="s">
        <v>1661</v>
      </c>
      <c r="AN445" s="965" t="s">
        <v>1185</v>
      </c>
      <c r="AO445" s="1146" t="s">
        <v>1165</v>
      </c>
      <c r="AP445" s="936"/>
      <c r="AQ445" s="967"/>
      <c r="AR445" s="968"/>
      <c r="AS445" s="936"/>
    </row>
    <row r="446" ht="15.75" customHeight="1">
      <c r="A446" s="936"/>
      <c r="B446" s="948" t="s">
        <v>2297</v>
      </c>
      <c r="C446" s="950" t="s">
        <v>2298</v>
      </c>
      <c r="D446" s="950" t="s">
        <v>2298</v>
      </c>
      <c r="E446" s="952" t="s">
        <v>2298</v>
      </c>
      <c r="F446" s="940"/>
      <c r="G446" s="953"/>
      <c r="H446" s="969"/>
      <c r="I446" s="998" t="s">
        <v>2299</v>
      </c>
      <c r="J446" s="1194" t="s">
        <v>136</v>
      </c>
      <c r="K446" s="984" t="s">
        <v>216</v>
      </c>
      <c r="L446" s="959">
        <v>70.0</v>
      </c>
      <c r="M446" s="960">
        <v>70.0</v>
      </c>
      <c r="N446" s="960">
        <v>70.0</v>
      </c>
      <c r="O446" s="960">
        <v>70.0</v>
      </c>
      <c r="P446" s="960">
        <v>70.0</v>
      </c>
      <c r="Q446" s="960">
        <v>70.0</v>
      </c>
      <c r="R446" s="960">
        <v>176.0</v>
      </c>
      <c r="S446" s="960">
        <v>239.0</v>
      </c>
      <c r="T446" s="960">
        <v>262.0</v>
      </c>
      <c r="U446" s="960">
        <f t="array" ref="U446">HLOOKUP($J446,'Type Chart'!$C$2:$T$20,2,false)*HLOOKUP($K446,'Type Chart'!$C$2:$U$20,2,false)</f>
        <v>1</v>
      </c>
      <c r="V446" s="960">
        <f t="array" ref="V446">HLOOKUP($J446,'Type Chart'!$C$2:$T$20,3,false)*HLOOKUP($K446,'Type Chart'!$C$2:$U$20,3,false)</f>
        <v>2</v>
      </c>
      <c r="W446" s="960">
        <f t="array" ref="W446">HLOOKUP($J446,'Type Chart'!$C$2:$T$20,4,false)*HLOOKUP($K446,'Type Chart'!$C$2:$U$20,4,false)</f>
        <v>1</v>
      </c>
      <c r="X446" s="960">
        <f t="array" ref="X446">HLOOKUP($J446,'Type Chart'!$C$2:$T$20,5,false)*HLOOKUP($K446,'Type Chart'!$C$2:$U$20,5,false)</f>
        <v>1</v>
      </c>
      <c r="Y446" s="960">
        <f t="array" ref="Y446">HLOOKUP($J446,'Type Chart'!$C$2:$T$20,6,false)*HLOOKUP($K446,'Type Chart'!$C$2:$U$20,6,false)</f>
        <v>1</v>
      </c>
      <c r="Z446" s="960">
        <f t="array" ref="Z446">HLOOKUP($J446,'Type Chart'!$C$2:$T$20,7,false)*HLOOKUP($K446,'Type Chart'!$C$2:$U$20,7,false)</f>
        <v>1</v>
      </c>
      <c r="AA446" s="960">
        <f t="array" ref="AA446">HLOOKUP($J446,'Type Chart'!$C$2:$T$20,8,false)*HLOOKUP($K446,'Type Chart'!$C$2:$U$20,8,false)</f>
        <v>1</v>
      </c>
      <c r="AB446" s="960">
        <f t="array" ref="AB446">HLOOKUP($J446,'Type Chart'!$C$2:$T$20,9,false)*HLOOKUP($K446,'Type Chart'!$C$2:$U$20,9,false)</f>
        <v>0</v>
      </c>
      <c r="AC446" s="960">
        <f t="array" ref="AC446">HLOOKUP($J446,'Type Chart'!$C$2:$T$20,10,false)*HLOOKUP($K446,'Type Chart'!$C$2:$U$20,10,false)</f>
        <v>1</v>
      </c>
      <c r="AD446" s="960">
        <f t="array" ref="AD446">HLOOKUP($J446,'Type Chart'!$C$2:$T$20,11,false)*HLOOKUP($K446,'Type Chart'!$C$2:$U$20,11,false)</f>
        <v>1</v>
      </c>
      <c r="AE446" s="960">
        <f t="array" ref="AE446">HLOOKUP($J446,'Type Chart'!$C$2:$T$20,12,false)*HLOOKUP($K446,'Type Chart'!$C$2:$U$20,12,false)</f>
        <v>1</v>
      </c>
      <c r="AF446" s="960">
        <f t="array" ref="AF446">HLOOKUP($J446,'Type Chart'!$C$2:$T$20,13,false)*HLOOKUP($K446,'Type Chart'!$C$2:$U$20,13,false)</f>
        <v>1</v>
      </c>
      <c r="AG446" s="960">
        <f t="array" ref="AG446">HLOOKUP($J446,'Type Chart'!$C$2:$T$20,14,false)*HLOOKUP($K446,'Type Chart'!$C$2:$U$20,14,false)</f>
        <v>1</v>
      </c>
      <c r="AH446" s="960">
        <f t="array" ref="AH446">HLOOKUP($J446,'Type Chart'!$C$2:$T$20,15,false)*HLOOKUP($K446,'Type Chart'!$C$2:$U$20,15,false)</f>
        <v>1</v>
      </c>
      <c r="AI446" s="960">
        <f t="array" ref="AI446">HLOOKUP($J446,'Type Chart'!$C$2:$T$20,16,false)*HLOOKUP($K446,'Type Chart'!$C$2:$U$20,16,false)</f>
        <v>1</v>
      </c>
      <c r="AJ446" s="960">
        <f t="array" ref="AJ446">HLOOKUP($J446,'Type Chart'!$C$2:$T$20,17,false)*HLOOKUP($K446,'Type Chart'!$C$2:$U$20,17,false)</f>
        <v>1</v>
      </c>
      <c r="AK446" s="960">
        <f t="array" ref="AK446">HLOOKUP($J446,'Type Chart'!$C$2:$T$20,18,false)*HLOOKUP($K446,'Type Chart'!$C$2:$U$20,18,false)</f>
        <v>1</v>
      </c>
      <c r="AL446" s="960">
        <f t="array" ref="AL446">HLOOKUP($J446,'Type Chart'!$C$2:$T$20,19,false)*HLOOKUP($K446,'Type Chart'!$C$2:$U$20,19,false)</f>
        <v>1</v>
      </c>
      <c r="AM446" s="964" t="s">
        <v>2300</v>
      </c>
      <c r="AN446" s="965"/>
      <c r="AO446" s="966"/>
      <c r="AP446" s="936"/>
      <c r="AQ446" s="967"/>
      <c r="AR446" s="968"/>
      <c r="AS446" s="936"/>
    </row>
    <row r="447" ht="15.75" customHeight="1">
      <c r="A447" s="936"/>
      <c r="B447" s="948" t="s">
        <v>2301</v>
      </c>
      <c r="C447" s="950" t="s">
        <v>2302</v>
      </c>
      <c r="D447" s="950" t="s">
        <v>2302</v>
      </c>
      <c r="E447" s="952" t="s">
        <v>2302</v>
      </c>
      <c r="F447" s="940"/>
      <c r="G447" s="953"/>
      <c r="H447" s="969"/>
      <c r="I447" s="998" t="s">
        <v>2303</v>
      </c>
      <c r="J447" s="982" t="s">
        <v>150</v>
      </c>
      <c r="K447" s="984" t="s">
        <v>216</v>
      </c>
      <c r="L447" s="959">
        <v>70.0</v>
      </c>
      <c r="M447" s="960">
        <v>70.0</v>
      </c>
      <c r="N447" s="960">
        <v>70.0</v>
      </c>
      <c r="O447" s="960">
        <v>70.0</v>
      </c>
      <c r="P447" s="960">
        <v>70.0</v>
      </c>
      <c r="Q447" s="960">
        <v>70.0</v>
      </c>
      <c r="R447" s="960">
        <v>176.0</v>
      </c>
      <c r="S447" s="960">
        <v>239.0</v>
      </c>
      <c r="T447" s="960">
        <v>262.0</v>
      </c>
      <c r="U447" s="960">
        <f t="array" ref="U447">HLOOKUP($J447,'Type Chart'!$C$2:$T$20,2,false)*HLOOKUP($K447,'Type Chart'!$C$2:$U$20,2,false)</f>
        <v>1</v>
      </c>
      <c r="V447" s="960">
        <f t="array" ref="V447">HLOOKUP($J447,'Type Chart'!$C$2:$T$20,3,false)*HLOOKUP($K447,'Type Chart'!$C$2:$U$20,3,false)</f>
        <v>1</v>
      </c>
      <c r="W447" s="960">
        <f t="array" ref="W447">HLOOKUP($J447,'Type Chart'!$C$2:$T$20,4,false)*HLOOKUP($K447,'Type Chart'!$C$2:$U$20,4,false)</f>
        <v>1</v>
      </c>
      <c r="X447" s="960">
        <f t="array" ref="X447">HLOOKUP($J447,'Type Chart'!$C$2:$T$20,5,false)*HLOOKUP($K447,'Type Chart'!$C$2:$U$20,5,false)</f>
        <v>1</v>
      </c>
      <c r="Y447" s="960">
        <f t="array" ref="Y447">HLOOKUP($J447,'Type Chart'!$C$2:$T$20,6,false)*HLOOKUP($K447,'Type Chart'!$C$2:$U$20,6,false)</f>
        <v>2</v>
      </c>
      <c r="Z447" s="960">
        <f t="array" ref="Z447">HLOOKUP($J447,'Type Chart'!$C$2:$T$20,7,false)*HLOOKUP($K447,'Type Chart'!$C$2:$U$20,7,false)</f>
        <v>2</v>
      </c>
      <c r="AA447" s="960">
        <f t="array" ref="AA447">HLOOKUP($J447,'Type Chart'!$C$2:$T$20,8,false)*HLOOKUP($K447,'Type Chart'!$C$2:$U$20,8,false)</f>
        <v>0.5</v>
      </c>
      <c r="AB447" s="960">
        <f t="array" ref="AB447">HLOOKUP($J447,'Type Chart'!$C$2:$T$20,9,false)*HLOOKUP($K447,'Type Chart'!$C$2:$U$20,9,false)</f>
        <v>1</v>
      </c>
      <c r="AC447" s="960">
        <f t="array" ref="AC447">HLOOKUP($J447,'Type Chart'!$C$2:$T$20,10,false)*HLOOKUP($K447,'Type Chart'!$C$2:$U$20,10,false)</f>
        <v>0.5</v>
      </c>
      <c r="AD447" s="960">
        <f t="array" ref="AD447">HLOOKUP($J447,'Type Chart'!$C$2:$T$20,11,false)*HLOOKUP($K447,'Type Chart'!$C$2:$U$20,11,false)</f>
        <v>0.5</v>
      </c>
      <c r="AE447" s="960">
        <f t="array" ref="AE447">HLOOKUP($J447,'Type Chart'!$C$2:$T$20,12,false)*HLOOKUP($K447,'Type Chart'!$C$2:$U$20,12,false)</f>
        <v>2</v>
      </c>
      <c r="AF447" s="960">
        <f t="array" ref="AF447">HLOOKUP($J447,'Type Chart'!$C$2:$T$20,13,false)*HLOOKUP($K447,'Type Chart'!$C$2:$U$20,13,false)</f>
        <v>0.5</v>
      </c>
      <c r="AG447" s="960">
        <f t="array" ref="AG447">HLOOKUP($J447,'Type Chart'!$C$2:$T$20,14,false)*HLOOKUP($K447,'Type Chart'!$C$2:$U$20,14,false)</f>
        <v>1</v>
      </c>
      <c r="AH447" s="960">
        <f t="array" ref="AH447">HLOOKUP($J447,'Type Chart'!$C$2:$T$20,15,false)*HLOOKUP($K447,'Type Chart'!$C$2:$U$20,15,false)</f>
        <v>1</v>
      </c>
      <c r="AI447" s="960">
        <f t="array" ref="AI447">HLOOKUP($J447,'Type Chart'!$C$2:$T$20,16,false)*HLOOKUP($K447,'Type Chart'!$C$2:$U$20,16,false)</f>
        <v>0.5</v>
      </c>
      <c r="AJ447" s="960">
        <f t="array" ref="AJ447">HLOOKUP($J447,'Type Chart'!$C$2:$T$20,17,false)*HLOOKUP($K447,'Type Chart'!$C$2:$U$20,17,false)</f>
        <v>1</v>
      </c>
      <c r="AK447" s="960">
        <f t="array" ref="AK447">HLOOKUP($J447,'Type Chart'!$C$2:$T$20,18,false)*HLOOKUP($K447,'Type Chart'!$C$2:$U$20,18,false)</f>
        <v>1</v>
      </c>
      <c r="AL447" s="960">
        <f t="array" ref="AL447">HLOOKUP($J447,'Type Chart'!$C$2:$T$20,19,false)*HLOOKUP($K447,'Type Chart'!$C$2:$U$20,19,false)</f>
        <v>0.5</v>
      </c>
      <c r="AM447" s="964" t="s">
        <v>2300</v>
      </c>
      <c r="AN447" s="965"/>
      <c r="AO447" s="966"/>
      <c r="AP447" s="936"/>
      <c r="AQ447" s="967"/>
      <c r="AR447" s="968"/>
      <c r="AS447" s="936"/>
    </row>
    <row r="448" ht="15.75" customHeight="1">
      <c r="A448" s="936"/>
      <c r="B448" s="948" t="s">
        <v>2304</v>
      </c>
      <c r="C448" s="950" t="s">
        <v>2305</v>
      </c>
      <c r="D448" s="950" t="s">
        <v>2305</v>
      </c>
      <c r="E448" s="952" t="s">
        <v>2305</v>
      </c>
      <c r="F448" s="940"/>
      <c r="G448" s="953"/>
      <c r="H448" s="969"/>
      <c r="I448" s="956" t="s">
        <v>2306</v>
      </c>
      <c r="J448" s="1056" t="s">
        <v>81</v>
      </c>
      <c r="K448" s="984" t="s">
        <v>216</v>
      </c>
      <c r="L448" s="959">
        <v>70.0</v>
      </c>
      <c r="M448" s="960">
        <v>70.0</v>
      </c>
      <c r="N448" s="960">
        <v>70.0</v>
      </c>
      <c r="O448" s="960">
        <v>70.0</v>
      </c>
      <c r="P448" s="960">
        <v>70.0</v>
      </c>
      <c r="Q448" s="960">
        <v>70.0</v>
      </c>
      <c r="R448" s="960">
        <v>176.0</v>
      </c>
      <c r="S448" s="960">
        <v>239.0</v>
      </c>
      <c r="T448" s="960">
        <v>262.0</v>
      </c>
      <c r="U448" s="960">
        <f t="array" ref="U448">HLOOKUP($J448,'Type Chart'!$C$2:$T$20,2,false)*HLOOKUP($K448,'Type Chart'!$C$2:$U$20,2,false)</f>
        <v>1</v>
      </c>
      <c r="V448" s="960">
        <f t="array" ref="V448">HLOOKUP($J448,'Type Chart'!$C$2:$T$20,3,false)*HLOOKUP($K448,'Type Chart'!$C$2:$U$20,3,false)</f>
        <v>1</v>
      </c>
      <c r="W448" s="960">
        <f t="array" ref="W448">HLOOKUP($J448,'Type Chart'!$C$2:$T$20,4,false)*HLOOKUP($K448,'Type Chart'!$C$2:$U$20,4,false)</f>
        <v>1</v>
      </c>
      <c r="X448" s="960">
        <f t="array" ref="X448">HLOOKUP($J448,'Type Chart'!$C$2:$T$20,5,false)*HLOOKUP($K448,'Type Chart'!$C$2:$U$20,5,false)</f>
        <v>1</v>
      </c>
      <c r="Y448" s="960">
        <f t="array" ref="Y448">HLOOKUP($J448,'Type Chart'!$C$2:$T$20,6,false)*HLOOKUP($K448,'Type Chart'!$C$2:$U$20,6,false)</f>
        <v>1</v>
      </c>
      <c r="Z448" s="960">
        <f t="array" ref="Z448">HLOOKUP($J448,'Type Chart'!$C$2:$T$20,7,false)*HLOOKUP($K448,'Type Chart'!$C$2:$U$20,7,false)</f>
        <v>1</v>
      </c>
      <c r="AA448" s="960">
        <f t="array" ref="AA448">HLOOKUP($J448,'Type Chart'!$C$2:$T$20,8,false)*HLOOKUP($K448,'Type Chart'!$C$2:$U$20,8,false)</f>
        <v>1</v>
      </c>
      <c r="AB448" s="960">
        <f t="array" ref="AB448">HLOOKUP($J448,'Type Chart'!$C$2:$T$20,9,false)*HLOOKUP($K448,'Type Chart'!$C$2:$U$20,9,false)</f>
        <v>1</v>
      </c>
      <c r="AC448" s="960">
        <f t="array" ref="AC448">HLOOKUP($J448,'Type Chart'!$C$2:$T$20,10,false)*HLOOKUP($K448,'Type Chart'!$C$2:$U$20,10,false)</f>
        <v>0.5</v>
      </c>
      <c r="AD448" s="960">
        <f t="array" ref="AD448">HLOOKUP($J448,'Type Chart'!$C$2:$T$20,11,false)*HLOOKUP($K448,'Type Chart'!$C$2:$U$20,11,false)</f>
        <v>0.5</v>
      </c>
      <c r="AE448" s="960">
        <f t="array" ref="AE448">HLOOKUP($J448,'Type Chart'!$C$2:$T$20,12,false)*HLOOKUP($K448,'Type Chart'!$C$2:$U$20,12,false)</f>
        <v>0.5</v>
      </c>
      <c r="AF448" s="960">
        <f t="array" ref="AF448">HLOOKUP($J448,'Type Chart'!$C$2:$T$20,13,false)*HLOOKUP($K448,'Type Chart'!$C$2:$U$20,13,false)</f>
        <v>2</v>
      </c>
      <c r="AG448" s="960">
        <f t="array" ref="AG448">HLOOKUP($J448,'Type Chart'!$C$2:$T$20,14,false)*HLOOKUP($K448,'Type Chart'!$C$2:$U$20,14,false)</f>
        <v>2</v>
      </c>
      <c r="AH448" s="960">
        <f t="array" ref="AH448">HLOOKUP($J448,'Type Chart'!$C$2:$T$20,15,false)*HLOOKUP($K448,'Type Chart'!$C$2:$U$20,15,false)</f>
        <v>1</v>
      </c>
      <c r="AI448" s="960">
        <f t="array" ref="AI448">HLOOKUP($J448,'Type Chart'!$C$2:$T$20,16,false)*HLOOKUP($K448,'Type Chart'!$C$2:$U$20,16,false)</f>
        <v>0.5</v>
      </c>
      <c r="AJ448" s="960">
        <f t="array" ref="AJ448">HLOOKUP($J448,'Type Chart'!$C$2:$T$20,17,false)*HLOOKUP($K448,'Type Chart'!$C$2:$U$20,17,false)</f>
        <v>1</v>
      </c>
      <c r="AK448" s="960">
        <f t="array" ref="AK448">HLOOKUP($J448,'Type Chart'!$C$2:$T$20,18,false)*HLOOKUP($K448,'Type Chart'!$C$2:$U$20,18,false)</f>
        <v>1</v>
      </c>
      <c r="AL448" s="960">
        <f t="array" ref="AL448">HLOOKUP($J448,'Type Chart'!$C$2:$T$20,19,false)*HLOOKUP($K448,'Type Chart'!$C$2:$U$20,19,false)</f>
        <v>1</v>
      </c>
      <c r="AM448" s="964" t="s">
        <v>2300</v>
      </c>
      <c r="AN448" s="965"/>
      <c r="AO448" s="966"/>
      <c r="AP448" s="936"/>
      <c r="AQ448" s="967"/>
      <c r="AR448" s="968"/>
      <c r="AS448" s="936"/>
    </row>
    <row r="449" ht="15.75" customHeight="1">
      <c r="A449" s="1099"/>
      <c r="B449" s="948" t="s">
        <v>2307</v>
      </c>
      <c r="C449" s="950" t="s">
        <v>2308</v>
      </c>
      <c r="D449" s="950" t="s">
        <v>2308</v>
      </c>
      <c r="E449" s="952" t="s">
        <v>2308</v>
      </c>
      <c r="F449" s="940"/>
      <c r="G449" s="953"/>
      <c r="H449" s="969"/>
      <c r="I449" s="956" t="s">
        <v>2309</v>
      </c>
      <c r="J449" s="1205" t="s">
        <v>345</v>
      </c>
      <c r="K449" s="984" t="s">
        <v>216</v>
      </c>
      <c r="L449" s="959">
        <v>70.0</v>
      </c>
      <c r="M449" s="960">
        <v>70.0</v>
      </c>
      <c r="N449" s="960">
        <v>70.0</v>
      </c>
      <c r="O449" s="960">
        <v>70.0</v>
      </c>
      <c r="P449" s="960">
        <v>70.0</v>
      </c>
      <c r="Q449" s="960">
        <v>70.0</v>
      </c>
      <c r="R449" s="960">
        <v>176.0</v>
      </c>
      <c r="S449" s="960">
        <v>239.0</v>
      </c>
      <c r="T449" s="960">
        <v>262.0</v>
      </c>
      <c r="U449" s="960">
        <f t="array" ref="U449">HLOOKUP($J449,'Type Chart'!$C$2:$T$20,2,false)*HLOOKUP($K449,'Type Chart'!$C$2:$U$20,2,false)</f>
        <v>1</v>
      </c>
      <c r="V449" s="960">
        <f t="array" ref="V449">HLOOKUP($J449,'Type Chart'!$C$2:$T$20,3,false)*HLOOKUP($K449,'Type Chart'!$C$2:$U$20,3,false)</f>
        <v>2</v>
      </c>
      <c r="W449" s="960">
        <f t="array" ref="W449">HLOOKUP($J449,'Type Chart'!$C$2:$T$20,4,false)*HLOOKUP($K449,'Type Chart'!$C$2:$U$20,4,false)</f>
        <v>1</v>
      </c>
      <c r="X449" s="960">
        <f t="array" ref="X449">HLOOKUP($J449,'Type Chart'!$C$2:$T$20,5,false)*HLOOKUP($K449,'Type Chart'!$C$2:$U$20,5,false)</f>
        <v>1</v>
      </c>
      <c r="Y449" s="960">
        <f t="array" ref="Y449">HLOOKUP($J449,'Type Chart'!$C$2:$T$20,6,false)*HLOOKUP($K449,'Type Chart'!$C$2:$U$20,6,false)</f>
        <v>1</v>
      </c>
      <c r="Z449" s="960">
        <f t="array" ref="Z449">HLOOKUP($J449,'Type Chart'!$C$2:$T$20,7,false)*HLOOKUP($K449,'Type Chart'!$C$2:$U$20,7,false)</f>
        <v>2</v>
      </c>
      <c r="AA449" s="960">
        <f t="array" ref="AA449">HLOOKUP($J449,'Type Chart'!$C$2:$T$20,8,false)*HLOOKUP($K449,'Type Chart'!$C$2:$U$20,8,false)</f>
        <v>1</v>
      </c>
      <c r="AB449" s="960">
        <f t="array" ref="AB449">HLOOKUP($J449,'Type Chart'!$C$2:$T$20,9,false)*HLOOKUP($K449,'Type Chart'!$C$2:$U$20,9,false)</f>
        <v>1</v>
      </c>
      <c r="AC449" s="960">
        <f t="array" ref="AC449">HLOOKUP($J449,'Type Chart'!$C$2:$T$20,10,false)*HLOOKUP($K449,'Type Chart'!$C$2:$U$20,10,false)</f>
        <v>2</v>
      </c>
      <c r="AD449" s="960">
        <f t="array" ref="AD449">HLOOKUP($J449,'Type Chart'!$C$2:$T$20,11,false)*HLOOKUP($K449,'Type Chart'!$C$2:$U$20,11,false)</f>
        <v>2</v>
      </c>
      <c r="AE449" s="960">
        <f t="array" ref="AE449">HLOOKUP($J449,'Type Chart'!$C$2:$T$20,12,false)*HLOOKUP($K449,'Type Chart'!$C$2:$U$20,12,false)</f>
        <v>1</v>
      </c>
      <c r="AF449" s="960">
        <f t="array" ref="AF449">HLOOKUP($J449,'Type Chart'!$C$2:$T$20,13,false)*HLOOKUP($K449,'Type Chart'!$C$2:$U$20,13,false)</f>
        <v>1</v>
      </c>
      <c r="AG449" s="960">
        <f t="array" ref="AG449">HLOOKUP($J449,'Type Chart'!$C$2:$T$20,14,false)*HLOOKUP($K449,'Type Chart'!$C$2:$U$20,14,false)</f>
        <v>1</v>
      </c>
      <c r="AH449" s="960">
        <f t="array" ref="AH449">HLOOKUP($J449,'Type Chart'!$C$2:$T$20,15,false)*HLOOKUP($K449,'Type Chart'!$C$2:$U$20,15,false)</f>
        <v>1</v>
      </c>
      <c r="AI449" s="960">
        <f t="array" ref="AI449">HLOOKUP($J449,'Type Chart'!$C$2:$T$20,16,false)*HLOOKUP($K449,'Type Chart'!$C$2:$U$20,16,false)</f>
        <v>0.5</v>
      </c>
      <c r="AJ449" s="960">
        <f t="array" ref="AJ449">HLOOKUP($J449,'Type Chart'!$C$2:$T$20,17,false)*HLOOKUP($K449,'Type Chart'!$C$2:$U$20,17,false)</f>
        <v>1</v>
      </c>
      <c r="AK449" s="960">
        <f t="array" ref="AK449">HLOOKUP($J449,'Type Chart'!$C$2:$T$20,18,false)*HLOOKUP($K449,'Type Chart'!$C$2:$U$20,18,false)</f>
        <v>1</v>
      </c>
      <c r="AL449" s="960">
        <f t="array" ref="AL449">HLOOKUP($J449,'Type Chart'!$C$2:$T$20,19,false)*HLOOKUP($K449,'Type Chart'!$C$2:$U$20,19,false)</f>
        <v>1</v>
      </c>
      <c r="AM449" s="1145" t="s">
        <v>2300</v>
      </c>
      <c r="AN449" s="1202"/>
      <c r="AO449" s="1146"/>
      <c r="AP449" s="936"/>
      <c r="AQ449" s="967"/>
      <c r="AR449" s="968"/>
      <c r="AS449" s="936"/>
    </row>
    <row r="450" ht="15.75" customHeight="1">
      <c r="A450" s="1099"/>
      <c r="B450" s="948" t="s">
        <v>2310</v>
      </c>
      <c r="C450" s="950" t="s">
        <v>2311</v>
      </c>
      <c r="D450" s="950" t="s">
        <v>2311</v>
      </c>
      <c r="E450" s="952" t="s">
        <v>2311</v>
      </c>
      <c r="F450" s="940"/>
      <c r="G450" s="953"/>
      <c r="H450" s="969"/>
      <c r="I450" s="956" t="s">
        <v>2312</v>
      </c>
      <c r="J450" s="1194" t="s">
        <v>136</v>
      </c>
      <c r="K450" s="984" t="s">
        <v>216</v>
      </c>
      <c r="L450" s="959">
        <v>60.0</v>
      </c>
      <c r="M450" s="960">
        <v>90.0</v>
      </c>
      <c r="N450" s="960">
        <v>70.0</v>
      </c>
      <c r="O450" s="960">
        <v>60.0</v>
      </c>
      <c r="P450" s="960">
        <v>120.0</v>
      </c>
      <c r="Q450" s="960">
        <v>40.0</v>
      </c>
      <c r="R450" s="960">
        <v>116.0</v>
      </c>
      <c r="S450" s="960">
        <v>179.0</v>
      </c>
      <c r="T450" s="960">
        <v>196.0</v>
      </c>
      <c r="U450" s="960">
        <f t="array" ref="U450">HLOOKUP($J450,'Type Chart'!$C$2:$T$20,2,false)*HLOOKUP($K450,'Type Chart'!$C$2:$U$20,2,false)</f>
        <v>1</v>
      </c>
      <c r="V450" s="960">
        <f t="array" ref="V450">HLOOKUP($J450,'Type Chart'!$C$2:$T$20,3,false)*HLOOKUP($K450,'Type Chart'!$C$2:$U$20,3,false)</f>
        <v>2</v>
      </c>
      <c r="W450" s="960">
        <f t="array" ref="W450">HLOOKUP($J450,'Type Chart'!$C$2:$T$20,4,false)*HLOOKUP($K450,'Type Chart'!$C$2:$U$20,4,false)</f>
        <v>1</v>
      </c>
      <c r="X450" s="960">
        <f t="array" ref="X450">HLOOKUP($J450,'Type Chart'!$C$2:$T$20,5,false)*HLOOKUP($K450,'Type Chart'!$C$2:$U$20,5,false)</f>
        <v>1</v>
      </c>
      <c r="Y450" s="960">
        <f t="array" ref="Y450">HLOOKUP($J450,'Type Chart'!$C$2:$T$20,6,false)*HLOOKUP($K450,'Type Chart'!$C$2:$U$20,6,false)</f>
        <v>1</v>
      </c>
      <c r="Z450" s="960">
        <f t="array" ref="Z450">HLOOKUP($J450,'Type Chart'!$C$2:$T$20,7,false)*HLOOKUP($K450,'Type Chart'!$C$2:$U$20,7,false)</f>
        <v>1</v>
      </c>
      <c r="AA450" s="960">
        <f t="array" ref="AA450">HLOOKUP($J450,'Type Chart'!$C$2:$T$20,8,false)*HLOOKUP($K450,'Type Chart'!$C$2:$U$20,8,false)</f>
        <v>1</v>
      </c>
      <c r="AB450" s="960">
        <f t="array" ref="AB450">HLOOKUP($J450,'Type Chart'!$C$2:$T$20,9,false)*HLOOKUP($K450,'Type Chart'!$C$2:$U$20,9,false)</f>
        <v>0</v>
      </c>
      <c r="AC450" s="960">
        <f t="array" ref="AC450">HLOOKUP($J450,'Type Chart'!$C$2:$T$20,10,false)*HLOOKUP($K450,'Type Chart'!$C$2:$U$20,10,false)</f>
        <v>1</v>
      </c>
      <c r="AD450" s="960">
        <f t="array" ref="AD450">HLOOKUP($J450,'Type Chart'!$C$2:$T$20,11,false)*HLOOKUP($K450,'Type Chart'!$C$2:$U$20,11,false)</f>
        <v>1</v>
      </c>
      <c r="AE450" s="960">
        <f t="array" ref="AE450">HLOOKUP($J450,'Type Chart'!$C$2:$T$20,12,false)*HLOOKUP($K450,'Type Chart'!$C$2:$U$20,12,false)</f>
        <v>1</v>
      </c>
      <c r="AF450" s="960">
        <f t="array" ref="AF450">HLOOKUP($J450,'Type Chart'!$C$2:$T$20,13,false)*HLOOKUP($K450,'Type Chart'!$C$2:$U$20,13,false)</f>
        <v>1</v>
      </c>
      <c r="AG450" s="960">
        <f t="array" ref="AG450">HLOOKUP($J450,'Type Chart'!$C$2:$T$20,14,false)*HLOOKUP($K450,'Type Chart'!$C$2:$U$20,14,false)</f>
        <v>1</v>
      </c>
      <c r="AH450" s="960">
        <f t="array" ref="AH450">HLOOKUP($J450,'Type Chart'!$C$2:$T$20,15,false)*HLOOKUP($K450,'Type Chart'!$C$2:$U$20,15,false)</f>
        <v>1</v>
      </c>
      <c r="AI450" s="960">
        <f t="array" ref="AI450">HLOOKUP($J450,'Type Chart'!$C$2:$T$20,16,false)*HLOOKUP($K450,'Type Chart'!$C$2:$U$20,16,false)</f>
        <v>1</v>
      </c>
      <c r="AJ450" s="960">
        <f t="array" ref="AJ450">HLOOKUP($J450,'Type Chart'!$C$2:$T$20,17,false)*HLOOKUP($K450,'Type Chart'!$C$2:$U$20,17,false)</f>
        <v>1</v>
      </c>
      <c r="AK450" s="960">
        <f t="array" ref="AK450">HLOOKUP($J450,'Type Chart'!$C$2:$T$20,18,false)*HLOOKUP($K450,'Type Chart'!$C$2:$U$20,18,false)</f>
        <v>1</v>
      </c>
      <c r="AL450" s="960">
        <f t="array" ref="AL450">HLOOKUP($J450,'Type Chart'!$C$2:$T$20,19,false)*HLOOKUP($K450,'Type Chart'!$C$2:$U$20,19,false)</f>
        <v>1</v>
      </c>
      <c r="AM450" s="1145" t="s">
        <v>2313</v>
      </c>
      <c r="AN450" s="965"/>
      <c r="AO450" s="1146" t="s">
        <v>2314</v>
      </c>
      <c r="AP450" s="936"/>
      <c r="AQ450" s="967"/>
      <c r="AR450" s="968"/>
      <c r="AS450" s="936"/>
    </row>
    <row r="451" ht="15.75" customHeight="1">
      <c r="A451" s="936"/>
      <c r="B451" s="948" t="s">
        <v>2315</v>
      </c>
      <c r="C451" s="950" t="s">
        <v>2316</v>
      </c>
      <c r="D451" s="950" t="s">
        <v>2316</v>
      </c>
      <c r="E451" s="952" t="s">
        <v>2316</v>
      </c>
      <c r="F451" s="940"/>
      <c r="G451" s="953"/>
      <c r="H451" s="969"/>
      <c r="I451" s="956" t="s">
        <v>2317</v>
      </c>
      <c r="J451" s="1220" t="s">
        <v>215</v>
      </c>
      <c r="K451" s="984" t="s">
        <v>216</v>
      </c>
      <c r="L451" s="959">
        <v>44.0</v>
      </c>
      <c r="M451" s="960">
        <v>75.0</v>
      </c>
      <c r="N451" s="960">
        <v>35.0</v>
      </c>
      <c r="O451" s="960">
        <v>63.0</v>
      </c>
      <c r="P451" s="960">
        <v>33.0</v>
      </c>
      <c r="Q451" s="960">
        <v>45.0</v>
      </c>
      <c r="R451" s="960">
        <v>126.0</v>
      </c>
      <c r="S451" s="960">
        <v>189.0</v>
      </c>
      <c r="T451" s="960">
        <v>207.0</v>
      </c>
      <c r="U451" s="960">
        <f t="array" ref="U451">HLOOKUP($J451,'Type Chart'!$C$2:$T$20,2,false)*HLOOKUP($K451,'Type Chart'!$C$2:$U$20,2,false)</f>
        <v>0</v>
      </c>
      <c r="V451" s="960">
        <f t="array" ref="V451">HLOOKUP($J451,'Type Chart'!$C$2:$T$20,3,false)*HLOOKUP($K451,'Type Chart'!$C$2:$U$20,3,false)</f>
        <v>0</v>
      </c>
      <c r="W451" s="960">
        <f t="array" ref="W451">HLOOKUP($J451,'Type Chart'!$C$2:$T$20,4,false)*HLOOKUP($K451,'Type Chart'!$C$2:$U$20,4,false)</f>
        <v>1</v>
      </c>
      <c r="X451" s="960">
        <f t="array" ref="X451">HLOOKUP($J451,'Type Chart'!$C$2:$T$20,5,false)*HLOOKUP($K451,'Type Chart'!$C$2:$U$20,5,false)</f>
        <v>0.5</v>
      </c>
      <c r="Y451" s="960">
        <f t="array" ref="Y451">HLOOKUP($J451,'Type Chart'!$C$2:$T$20,6,false)*HLOOKUP($K451,'Type Chart'!$C$2:$U$20,6,false)</f>
        <v>1</v>
      </c>
      <c r="Z451" s="960">
        <f t="array" ref="Z451">HLOOKUP($J451,'Type Chart'!$C$2:$T$20,7,false)*HLOOKUP($K451,'Type Chart'!$C$2:$U$20,7,false)</f>
        <v>1</v>
      </c>
      <c r="AA451" s="960">
        <f t="array" ref="AA451">HLOOKUP($J451,'Type Chart'!$C$2:$T$20,8,false)*HLOOKUP($K451,'Type Chart'!$C$2:$U$20,8,false)</f>
        <v>0.5</v>
      </c>
      <c r="AB451" s="960">
        <f t="array" ref="AB451">HLOOKUP($J451,'Type Chart'!$C$2:$T$20,9,false)*HLOOKUP($K451,'Type Chart'!$C$2:$U$20,9,false)</f>
        <v>2</v>
      </c>
      <c r="AC451" s="960">
        <f t="array" ref="AC451">HLOOKUP($J451,'Type Chart'!$C$2:$T$20,10,false)*HLOOKUP($K451,'Type Chart'!$C$2:$U$20,10,false)</f>
        <v>1</v>
      </c>
      <c r="AD451" s="960">
        <f t="array" ref="AD451">HLOOKUP($J451,'Type Chart'!$C$2:$T$20,11,false)*HLOOKUP($K451,'Type Chart'!$C$2:$U$20,11,false)</f>
        <v>1</v>
      </c>
      <c r="AE451" s="960">
        <f t="array" ref="AE451">HLOOKUP($J451,'Type Chart'!$C$2:$T$20,12,false)*HLOOKUP($K451,'Type Chart'!$C$2:$U$20,12,false)</f>
        <v>1</v>
      </c>
      <c r="AF451" s="960">
        <f t="array" ref="AF451">HLOOKUP($J451,'Type Chart'!$C$2:$T$20,13,false)*HLOOKUP($K451,'Type Chart'!$C$2:$U$20,13,false)</f>
        <v>1</v>
      </c>
      <c r="AG451" s="960">
        <f t="array" ref="AG451">HLOOKUP($J451,'Type Chart'!$C$2:$T$20,14,false)*HLOOKUP($K451,'Type Chart'!$C$2:$U$20,14,false)</f>
        <v>1</v>
      </c>
      <c r="AH451" s="960">
        <f t="array" ref="AH451">HLOOKUP($J451,'Type Chart'!$C$2:$T$20,15,false)*HLOOKUP($K451,'Type Chart'!$C$2:$U$20,15,false)</f>
        <v>1</v>
      </c>
      <c r="AI451" s="960">
        <f t="array" ref="AI451">HLOOKUP($J451,'Type Chart'!$C$2:$T$20,16,false)*HLOOKUP($K451,'Type Chart'!$C$2:$U$20,16,false)</f>
        <v>1</v>
      </c>
      <c r="AJ451" s="960">
        <f t="array" ref="AJ451">HLOOKUP($J451,'Type Chart'!$C$2:$T$20,17,false)*HLOOKUP($K451,'Type Chart'!$C$2:$U$20,17,false)</f>
        <v>1</v>
      </c>
      <c r="AK451" s="960">
        <f t="array" ref="AK451">HLOOKUP($J451,'Type Chart'!$C$2:$T$20,18,false)*HLOOKUP($K451,'Type Chart'!$C$2:$U$20,18,false)</f>
        <v>2</v>
      </c>
      <c r="AL451" s="960">
        <f t="array" ref="AL451">HLOOKUP($J451,'Type Chart'!$C$2:$T$20,19,false)*HLOOKUP($K451,'Type Chart'!$C$2:$U$20,19,false)</f>
        <v>1</v>
      </c>
      <c r="AM451" s="964" t="s">
        <v>1454</v>
      </c>
      <c r="AN451" s="965" t="s">
        <v>1188</v>
      </c>
      <c r="AO451" s="966" t="s">
        <v>1442</v>
      </c>
      <c r="AP451" s="936"/>
      <c r="AQ451" s="967"/>
      <c r="AR451" s="968"/>
      <c r="AS451" s="936"/>
    </row>
    <row r="452" ht="15.75" customHeight="1">
      <c r="A452" s="936"/>
      <c r="B452" s="948" t="s">
        <v>2318</v>
      </c>
      <c r="C452" s="950" t="s">
        <v>2319</v>
      </c>
      <c r="D452" s="950" t="s">
        <v>2319</v>
      </c>
      <c r="E452" s="952" t="s">
        <v>2319</v>
      </c>
      <c r="F452" s="940"/>
      <c r="G452" s="953"/>
      <c r="H452" s="969"/>
      <c r="I452" s="956" t="s">
        <v>812</v>
      </c>
      <c r="J452" s="1220" t="s">
        <v>215</v>
      </c>
      <c r="K452" s="984" t="s">
        <v>216</v>
      </c>
      <c r="L452" s="959">
        <v>64.0</v>
      </c>
      <c r="M452" s="960">
        <v>115.0</v>
      </c>
      <c r="N452" s="960">
        <v>65.0</v>
      </c>
      <c r="O452" s="960">
        <v>83.0</v>
      </c>
      <c r="P452" s="960">
        <v>63.0</v>
      </c>
      <c r="Q452" s="960">
        <v>65.0</v>
      </c>
      <c r="R452" s="960">
        <v>166.0</v>
      </c>
      <c r="S452" s="960">
        <v>229.0</v>
      </c>
      <c r="T452" s="960">
        <v>251.0</v>
      </c>
      <c r="U452" s="960">
        <f t="array" ref="U452">HLOOKUP($J452,'Type Chart'!$C$2:$T$20,2,false)*HLOOKUP($K452,'Type Chart'!$C$2:$U$20,2,false)</f>
        <v>0</v>
      </c>
      <c r="V452" s="960">
        <f t="array" ref="V452">HLOOKUP($J452,'Type Chart'!$C$2:$T$20,3,false)*HLOOKUP($K452,'Type Chart'!$C$2:$U$20,3,false)</f>
        <v>0</v>
      </c>
      <c r="W452" s="960">
        <f t="array" ref="W452">HLOOKUP($J452,'Type Chart'!$C$2:$T$20,4,false)*HLOOKUP($K452,'Type Chart'!$C$2:$U$20,4,false)</f>
        <v>1</v>
      </c>
      <c r="X452" s="960">
        <f t="array" ref="X452">HLOOKUP($J452,'Type Chart'!$C$2:$T$20,5,false)*HLOOKUP($K452,'Type Chart'!$C$2:$U$20,5,false)</f>
        <v>0.5</v>
      </c>
      <c r="Y452" s="960">
        <f t="array" ref="Y452">HLOOKUP($J452,'Type Chart'!$C$2:$T$20,6,false)*HLOOKUP($K452,'Type Chart'!$C$2:$U$20,6,false)</f>
        <v>1</v>
      </c>
      <c r="Z452" s="960">
        <f t="array" ref="Z452">HLOOKUP($J452,'Type Chart'!$C$2:$T$20,7,false)*HLOOKUP($K452,'Type Chart'!$C$2:$U$20,7,false)</f>
        <v>1</v>
      </c>
      <c r="AA452" s="960">
        <f t="array" ref="AA452">HLOOKUP($J452,'Type Chart'!$C$2:$T$20,8,false)*HLOOKUP($K452,'Type Chart'!$C$2:$U$20,8,false)</f>
        <v>0.5</v>
      </c>
      <c r="AB452" s="960">
        <f t="array" ref="AB452">HLOOKUP($J452,'Type Chart'!$C$2:$T$20,9,false)*HLOOKUP($K452,'Type Chart'!$C$2:$U$20,9,false)</f>
        <v>2</v>
      </c>
      <c r="AC452" s="960">
        <f t="array" ref="AC452">HLOOKUP($J452,'Type Chart'!$C$2:$T$20,10,false)*HLOOKUP($K452,'Type Chart'!$C$2:$U$20,10,false)</f>
        <v>1</v>
      </c>
      <c r="AD452" s="960">
        <f t="array" ref="AD452">HLOOKUP($J452,'Type Chart'!$C$2:$T$20,11,false)*HLOOKUP($K452,'Type Chart'!$C$2:$U$20,11,false)</f>
        <v>1</v>
      </c>
      <c r="AE452" s="960">
        <f t="array" ref="AE452">HLOOKUP($J452,'Type Chart'!$C$2:$T$20,12,false)*HLOOKUP($K452,'Type Chart'!$C$2:$U$20,12,false)</f>
        <v>1</v>
      </c>
      <c r="AF452" s="960">
        <f t="array" ref="AF452">HLOOKUP($J452,'Type Chart'!$C$2:$T$20,13,false)*HLOOKUP($K452,'Type Chart'!$C$2:$U$20,13,false)</f>
        <v>1</v>
      </c>
      <c r="AG452" s="960">
        <f t="array" ref="AG452">HLOOKUP($J452,'Type Chart'!$C$2:$T$20,14,false)*HLOOKUP($K452,'Type Chart'!$C$2:$U$20,14,false)</f>
        <v>1</v>
      </c>
      <c r="AH452" s="960">
        <f t="array" ref="AH452">HLOOKUP($J452,'Type Chart'!$C$2:$T$20,15,false)*HLOOKUP($K452,'Type Chart'!$C$2:$U$20,15,false)</f>
        <v>1</v>
      </c>
      <c r="AI452" s="960">
        <f t="array" ref="AI452">HLOOKUP($J452,'Type Chart'!$C$2:$T$20,16,false)*HLOOKUP($K452,'Type Chart'!$C$2:$U$20,16,false)</f>
        <v>1</v>
      </c>
      <c r="AJ452" s="960">
        <f t="array" ref="AJ452">HLOOKUP($J452,'Type Chart'!$C$2:$T$20,17,false)*HLOOKUP($K452,'Type Chart'!$C$2:$U$20,17,false)</f>
        <v>1</v>
      </c>
      <c r="AK452" s="960">
        <f t="array" ref="AK452">HLOOKUP($J452,'Type Chart'!$C$2:$T$20,18,false)*HLOOKUP($K452,'Type Chart'!$C$2:$U$20,18,false)</f>
        <v>2</v>
      </c>
      <c r="AL452" s="960">
        <f t="array" ref="AL452">HLOOKUP($J452,'Type Chart'!$C$2:$T$20,19,false)*HLOOKUP($K452,'Type Chart'!$C$2:$U$20,19,false)</f>
        <v>1</v>
      </c>
      <c r="AM452" s="964" t="s">
        <v>1454</v>
      </c>
      <c r="AN452" s="965" t="s">
        <v>1188</v>
      </c>
      <c r="AO452" s="966" t="s">
        <v>1442</v>
      </c>
      <c r="AP452" s="936"/>
      <c r="AQ452" s="967"/>
      <c r="AR452" s="968"/>
      <c r="AS452" s="936"/>
    </row>
    <row r="453" ht="15.75" customHeight="1">
      <c r="A453" s="936"/>
      <c r="B453" s="948" t="s">
        <v>2320</v>
      </c>
      <c r="C453" s="950" t="s">
        <v>2321</v>
      </c>
      <c r="D453" s="950" t="s">
        <v>2321</v>
      </c>
      <c r="E453" s="952" t="s">
        <v>2321</v>
      </c>
      <c r="F453" s="940"/>
      <c r="G453" s="953"/>
      <c r="H453" s="969"/>
      <c r="I453" s="956" t="s">
        <v>2322</v>
      </c>
      <c r="J453" s="1220" t="s">
        <v>215</v>
      </c>
      <c r="K453" s="984" t="s">
        <v>216</v>
      </c>
      <c r="L453" s="959">
        <v>64.0</v>
      </c>
      <c r="M453" s="960">
        <v>165.0</v>
      </c>
      <c r="N453" s="960">
        <v>75.0</v>
      </c>
      <c r="O453" s="960">
        <v>93.0</v>
      </c>
      <c r="P453" s="960">
        <v>83.0</v>
      </c>
      <c r="Q453" s="960">
        <v>75.0</v>
      </c>
      <c r="R453" s="960">
        <v>186.0</v>
      </c>
      <c r="S453" s="960">
        <v>249.0</v>
      </c>
      <c r="T453" s="960">
        <v>273.0</v>
      </c>
      <c r="U453" s="960">
        <f t="array" ref="U453">HLOOKUP($J453,'Type Chart'!$C$2:$T$20,2,false)*HLOOKUP($K453,'Type Chart'!$C$2:$U$20,2,false)</f>
        <v>0</v>
      </c>
      <c r="V453" s="960">
        <f t="array" ref="V453">HLOOKUP($J453,'Type Chart'!$C$2:$T$20,3,false)*HLOOKUP($K453,'Type Chart'!$C$2:$U$20,3,false)</f>
        <v>0</v>
      </c>
      <c r="W453" s="960">
        <f t="array" ref="W453">HLOOKUP($J453,'Type Chart'!$C$2:$T$20,4,false)*HLOOKUP($K453,'Type Chart'!$C$2:$U$20,4,false)</f>
        <v>1</v>
      </c>
      <c r="X453" s="960">
        <f t="array" ref="X453">HLOOKUP($J453,'Type Chart'!$C$2:$T$20,5,false)*HLOOKUP($K453,'Type Chart'!$C$2:$U$20,5,false)</f>
        <v>0.5</v>
      </c>
      <c r="Y453" s="960">
        <f t="array" ref="Y453">HLOOKUP($J453,'Type Chart'!$C$2:$T$20,6,false)*HLOOKUP($K453,'Type Chart'!$C$2:$U$20,6,false)</f>
        <v>1</v>
      </c>
      <c r="Z453" s="960">
        <f t="array" ref="Z453">HLOOKUP($J453,'Type Chart'!$C$2:$T$20,7,false)*HLOOKUP($K453,'Type Chart'!$C$2:$U$20,7,false)</f>
        <v>1</v>
      </c>
      <c r="AA453" s="960">
        <f t="array" ref="AA453">HLOOKUP($J453,'Type Chart'!$C$2:$T$20,8,false)*HLOOKUP($K453,'Type Chart'!$C$2:$U$20,8,false)</f>
        <v>0.5</v>
      </c>
      <c r="AB453" s="960">
        <f t="array" ref="AB453">HLOOKUP($J453,'Type Chart'!$C$2:$T$20,9,false)*HLOOKUP($K453,'Type Chart'!$C$2:$U$20,9,false)</f>
        <v>2</v>
      </c>
      <c r="AC453" s="960">
        <f t="array" ref="AC453">HLOOKUP($J453,'Type Chart'!$C$2:$T$20,10,false)*HLOOKUP($K453,'Type Chart'!$C$2:$U$20,10,false)</f>
        <v>1</v>
      </c>
      <c r="AD453" s="960">
        <f t="array" ref="AD453">HLOOKUP($J453,'Type Chart'!$C$2:$T$20,11,false)*HLOOKUP($K453,'Type Chart'!$C$2:$U$20,11,false)</f>
        <v>1</v>
      </c>
      <c r="AE453" s="960">
        <f t="array" ref="AE453">HLOOKUP($J453,'Type Chart'!$C$2:$T$20,12,false)*HLOOKUP($K453,'Type Chart'!$C$2:$U$20,12,false)</f>
        <v>1</v>
      </c>
      <c r="AF453" s="960">
        <f t="array" ref="AF453">HLOOKUP($J453,'Type Chart'!$C$2:$T$20,13,false)*HLOOKUP($K453,'Type Chart'!$C$2:$U$20,13,false)</f>
        <v>1</v>
      </c>
      <c r="AG453" s="960">
        <f t="array" ref="AG453">HLOOKUP($J453,'Type Chart'!$C$2:$T$20,14,false)*HLOOKUP($K453,'Type Chart'!$C$2:$U$20,14,false)</f>
        <v>1</v>
      </c>
      <c r="AH453" s="960">
        <f t="array" ref="AH453">HLOOKUP($J453,'Type Chart'!$C$2:$T$20,15,false)*HLOOKUP($K453,'Type Chart'!$C$2:$U$20,15,false)</f>
        <v>1</v>
      </c>
      <c r="AI453" s="960">
        <f t="array" ref="AI453">HLOOKUP($J453,'Type Chart'!$C$2:$T$20,16,false)*HLOOKUP($K453,'Type Chart'!$C$2:$U$20,16,false)</f>
        <v>1</v>
      </c>
      <c r="AJ453" s="960">
        <f t="array" ref="AJ453">HLOOKUP($J453,'Type Chart'!$C$2:$T$20,17,false)*HLOOKUP($K453,'Type Chart'!$C$2:$U$20,17,false)</f>
        <v>1</v>
      </c>
      <c r="AK453" s="960">
        <f t="array" ref="AK453">HLOOKUP($J453,'Type Chart'!$C$2:$T$20,18,false)*HLOOKUP($K453,'Type Chart'!$C$2:$U$20,18,false)</f>
        <v>2</v>
      </c>
      <c r="AL453" s="960">
        <f t="array" ref="AL453">HLOOKUP($J453,'Type Chart'!$C$2:$T$20,19,false)*HLOOKUP($K453,'Type Chart'!$C$2:$U$20,19,false)</f>
        <v>1</v>
      </c>
      <c r="AM453" s="964" t="s">
        <v>1813</v>
      </c>
      <c r="AN453" s="965"/>
      <c r="AO453" s="966"/>
      <c r="AP453" s="936"/>
      <c r="AQ453" s="967"/>
      <c r="AR453" s="968"/>
      <c r="AS453" s="936"/>
    </row>
    <row r="454" ht="15.75" customHeight="1">
      <c r="A454" s="936"/>
      <c r="B454" s="948" t="s">
        <v>2323</v>
      </c>
      <c r="C454" s="950" t="s">
        <v>2324</v>
      </c>
      <c r="D454" s="950" t="s">
        <v>2324</v>
      </c>
      <c r="E454" s="952" t="s">
        <v>2324</v>
      </c>
      <c r="F454" s="940"/>
      <c r="G454" s="953"/>
      <c r="H454" s="969"/>
      <c r="I454" s="956" t="s">
        <v>2325</v>
      </c>
      <c r="J454" s="1220" t="s">
        <v>215</v>
      </c>
      <c r="K454" s="984" t="s">
        <v>216</v>
      </c>
      <c r="L454" s="959">
        <v>20.0</v>
      </c>
      <c r="M454" s="960">
        <v>40.0</v>
      </c>
      <c r="N454" s="960">
        <v>90.0</v>
      </c>
      <c r="O454" s="960">
        <v>30.0</v>
      </c>
      <c r="P454" s="960">
        <v>90.0</v>
      </c>
      <c r="Q454" s="960">
        <v>25.0</v>
      </c>
      <c r="R454" s="960">
        <v>86.0</v>
      </c>
      <c r="S454" s="960">
        <v>149.0</v>
      </c>
      <c r="T454" s="960">
        <v>163.0</v>
      </c>
      <c r="U454" s="960">
        <f t="array" ref="U454">HLOOKUP($J454,'Type Chart'!$C$2:$T$20,2,false)*HLOOKUP($K454,'Type Chart'!$C$2:$U$20,2,false)</f>
        <v>0</v>
      </c>
      <c r="V454" s="960">
        <f t="array" ref="V454">HLOOKUP($J454,'Type Chart'!$C$2:$T$20,3,false)*HLOOKUP($K454,'Type Chart'!$C$2:$U$20,3,false)</f>
        <v>0</v>
      </c>
      <c r="W454" s="960">
        <f t="array" ref="W454">HLOOKUP($J454,'Type Chart'!$C$2:$T$20,4,false)*HLOOKUP($K454,'Type Chart'!$C$2:$U$20,4,false)</f>
        <v>1</v>
      </c>
      <c r="X454" s="960">
        <f t="array" ref="X454">HLOOKUP($J454,'Type Chart'!$C$2:$T$20,5,false)*HLOOKUP($K454,'Type Chart'!$C$2:$U$20,5,false)</f>
        <v>0.5</v>
      </c>
      <c r="Y454" s="960">
        <f t="array" ref="Y454">HLOOKUP($J454,'Type Chart'!$C$2:$T$20,6,false)*HLOOKUP($K454,'Type Chart'!$C$2:$U$20,6,false)</f>
        <v>1</v>
      </c>
      <c r="Z454" s="960">
        <f t="array" ref="Z454">HLOOKUP($J454,'Type Chart'!$C$2:$T$20,7,false)*HLOOKUP($K454,'Type Chart'!$C$2:$U$20,7,false)</f>
        <v>1</v>
      </c>
      <c r="AA454" s="960">
        <f t="array" ref="AA454">HLOOKUP($J454,'Type Chart'!$C$2:$T$20,8,false)*HLOOKUP($K454,'Type Chart'!$C$2:$U$20,8,false)</f>
        <v>0.5</v>
      </c>
      <c r="AB454" s="960">
        <f t="array" ref="AB454">HLOOKUP($J454,'Type Chart'!$C$2:$T$20,9,false)*HLOOKUP($K454,'Type Chart'!$C$2:$U$20,9,false)</f>
        <v>2</v>
      </c>
      <c r="AC454" s="960">
        <f t="array" ref="AC454">HLOOKUP($J454,'Type Chart'!$C$2:$T$20,10,false)*HLOOKUP($K454,'Type Chart'!$C$2:$U$20,10,false)</f>
        <v>1</v>
      </c>
      <c r="AD454" s="960">
        <f t="array" ref="AD454">HLOOKUP($J454,'Type Chart'!$C$2:$T$20,11,false)*HLOOKUP($K454,'Type Chart'!$C$2:$U$20,11,false)</f>
        <v>1</v>
      </c>
      <c r="AE454" s="960">
        <f t="array" ref="AE454">HLOOKUP($J454,'Type Chart'!$C$2:$T$20,12,false)*HLOOKUP($K454,'Type Chart'!$C$2:$U$20,12,false)</f>
        <v>1</v>
      </c>
      <c r="AF454" s="960">
        <f t="array" ref="AF454">HLOOKUP($J454,'Type Chart'!$C$2:$T$20,13,false)*HLOOKUP($K454,'Type Chart'!$C$2:$U$20,13,false)</f>
        <v>1</v>
      </c>
      <c r="AG454" s="960">
        <f t="array" ref="AG454">HLOOKUP($J454,'Type Chart'!$C$2:$T$20,14,false)*HLOOKUP($K454,'Type Chart'!$C$2:$U$20,14,false)</f>
        <v>1</v>
      </c>
      <c r="AH454" s="960">
        <f t="array" ref="AH454">HLOOKUP($J454,'Type Chart'!$C$2:$T$20,15,false)*HLOOKUP($K454,'Type Chart'!$C$2:$U$20,15,false)</f>
        <v>1</v>
      </c>
      <c r="AI454" s="960">
        <f t="array" ref="AI454">HLOOKUP($J454,'Type Chart'!$C$2:$T$20,16,false)*HLOOKUP($K454,'Type Chart'!$C$2:$U$20,16,false)</f>
        <v>1</v>
      </c>
      <c r="AJ454" s="960">
        <f t="array" ref="AJ454">HLOOKUP($J454,'Type Chart'!$C$2:$T$20,17,false)*HLOOKUP($K454,'Type Chart'!$C$2:$U$20,17,false)</f>
        <v>1</v>
      </c>
      <c r="AK454" s="960">
        <f t="array" ref="AK454">HLOOKUP($J454,'Type Chart'!$C$2:$T$20,18,false)*HLOOKUP($K454,'Type Chart'!$C$2:$U$20,18,false)</f>
        <v>2</v>
      </c>
      <c r="AL454" s="960">
        <f t="array" ref="AL454">HLOOKUP($J454,'Type Chart'!$C$2:$T$20,19,false)*HLOOKUP($K454,'Type Chart'!$C$2:$U$20,19,false)</f>
        <v>1</v>
      </c>
      <c r="AM454" s="964" t="s">
        <v>1437</v>
      </c>
      <c r="AN454" s="965"/>
      <c r="AO454" s="966" t="s">
        <v>1188</v>
      </c>
      <c r="AP454" s="936"/>
      <c r="AQ454" s="967"/>
      <c r="AR454" s="968"/>
      <c r="AS454" s="936"/>
    </row>
    <row r="455" ht="15.75" customHeight="1">
      <c r="A455" s="936"/>
      <c r="B455" s="948" t="s">
        <v>2326</v>
      </c>
      <c r="C455" s="950" t="s">
        <v>120</v>
      </c>
      <c r="D455" s="950" t="s">
        <v>120</v>
      </c>
      <c r="E455" s="952" t="s">
        <v>120</v>
      </c>
      <c r="F455" s="940"/>
      <c r="G455" s="953"/>
      <c r="H455" s="969"/>
      <c r="I455" s="956" t="s">
        <v>229</v>
      </c>
      <c r="J455" s="1220" t="s">
        <v>215</v>
      </c>
      <c r="K455" s="984" t="s">
        <v>216</v>
      </c>
      <c r="L455" s="959">
        <v>40.0</v>
      </c>
      <c r="M455" s="960">
        <v>70.0</v>
      </c>
      <c r="N455" s="960">
        <v>130.0</v>
      </c>
      <c r="O455" s="960">
        <v>60.0</v>
      </c>
      <c r="P455" s="960">
        <v>130.0</v>
      </c>
      <c r="Q455" s="960">
        <v>25.0</v>
      </c>
      <c r="R455" s="960">
        <v>86.0</v>
      </c>
      <c r="S455" s="960">
        <v>149.0</v>
      </c>
      <c r="T455" s="960">
        <v>163.0</v>
      </c>
      <c r="U455" s="960">
        <f t="array" ref="U455">HLOOKUP($J455,'Type Chart'!$C$2:$T$20,2,false)*HLOOKUP($K455,'Type Chart'!$C$2:$U$20,2,false)</f>
        <v>0</v>
      </c>
      <c r="V455" s="960">
        <f t="array" ref="V455">HLOOKUP($J455,'Type Chart'!$C$2:$T$20,3,false)*HLOOKUP($K455,'Type Chart'!$C$2:$U$20,3,false)</f>
        <v>0</v>
      </c>
      <c r="W455" s="960">
        <f t="array" ref="W455">HLOOKUP($J455,'Type Chart'!$C$2:$T$20,4,false)*HLOOKUP($K455,'Type Chart'!$C$2:$U$20,4,false)</f>
        <v>1</v>
      </c>
      <c r="X455" s="960">
        <f t="array" ref="X455">HLOOKUP($J455,'Type Chart'!$C$2:$T$20,5,false)*HLOOKUP($K455,'Type Chart'!$C$2:$U$20,5,false)</f>
        <v>0.5</v>
      </c>
      <c r="Y455" s="960">
        <f t="array" ref="Y455">HLOOKUP($J455,'Type Chart'!$C$2:$T$20,6,false)*HLOOKUP($K455,'Type Chart'!$C$2:$U$20,6,false)</f>
        <v>1</v>
      </c>
      <c r="Z455" s="960">
        <f t="array" ref="Z455">HLOOKUP($J455,'Type Chart'!$C$2:$T$20,7,false)*HLOOKUP($K455,'Type Chart'!$C$2:$U$20,7,false)</f>
        <v>1</v>
      </c>
      <c r="AA455" s="960">
        <f t="array" ref="AA455">HLOOKUP($J455,'Type Chart'!$C$2:$T$20,8,false)*HLOOKUP($K455,'Type Chart'!$C$2:$U$20,8,false)</f>
        <v>0.5</v>
      </c>
      <c r="AB455" s="960">
        <f t="array" ref="AB455">HLOOKUP($J455,'Type Chart'!$C$2:$T$20,9,false)*HLOOKUP($K455,'Type Chart'!$C$2:$U$20,9,false)</f>
        <v>2</v>
      </c>
      <c r="AC455" s="960">
        <f t="array" ref="AC455">HLOOKUP($J455,'Type Chart'!$C$2:$T$20,10,false)*HLOOKUP($K455,'Type Chart'!$C$2:$U$20,10,false)</f>
        <v>1</v>
      </c>
      <c r="AD455" s="960">
        <f t="array" ref="AD455">HLOOKUP($J455,'Type Chart'!$C$2:$T$20,11,false)*HLOOKUP($K455,'Type Chart'!$C$2:$U$20,11,false)</f>
        <v>1</v>
      </c>
      <c r="AE455" s="960">
        <f t="array" ref="AE455">HLOOKUP($J455,'Type Chart'!$C$2:$T$20,12,false)*HLOOKUP($K455,'Type Chart'!$C$2:$U$20,12,false)</f>
        <v>1</v>
      </c>
      <c r="AF455" s="960">
        <f t="array" ref="AF455">HLOOKUP($J455,'Type Chart'!$C$2:$T$20,13,false)*HLOOKUP($K455,'Type Chart'!$C$2:$U$20,13,false)</f>
        <v>1</v>
      </c>
      <c r="AG455" s="960">
        <f t="array" ref="AG455">HLOOKUP($J455,'Type Chart'!$C$2:$T$20,14,false)*HLOOKUP($K455,'Type Chart'!$C$2:$U$20,14,false)</f>
        <v>1</v>
      </c>
      <c r="AH455" s="960">
        <f t="array" ref="AH455">HLOOKUP($J455,'Type Chart'!$C$2:$T$20,15,false)*HLOOKUP($K455,'Type Chart'!$C$2:$U$20,15,false)</f>
        <v>1</v>
      </c>
      <c r="AI455" s="960">
        <f t="array" ref="AI455">HLOOKUP($J455,'Type Chart'!$C$2:$T$20,16,false)*HLOOKUP($K455,'Type Chart'!$C$2:$U$20,16,false)</f>
        <v>1</v>
      </c>
      <c r="AJ455" s="960">
        <f t="array" ref="AJ455">HLOOKUP($J455,'Type Chart'!$C$2:$T$20,17,false)*HLOOKUP($K455,'Type Chart'!$C$2:$U$20,17,false)</f>
        <v>1</v>
      </c>
      <c r="AK455" s="960">
        <f t="array" ref="AK455">HLOOKUP($J455,'Type Chart'!$C$2:$T$20,18,false)*HLOOKUP($K455,'Type Chart'!$C$2:$U$20,18,false)</f>
        <v>2</v>
      </c>
      <c r="AL455" s="960">
        <f t="array" ref="AL455">HLOOKUP($J455,'Type Chart'!$C$2:$T$20,19,false)*HLOOKUP($K455,'Type Chart'!$C$2:$U$20,19,false)</f>
        <v>1</v>
      </c>
      <c r="AM455" s="964" t="s">
        <v>1636</v>
      </c>
      <c r="AN455" s="965"/>
      <c r="AO455" s="966" t="s">
        <v>1188</v>
      </c>
      <c r="AP455" s="936"/>
      <c r="AQ455" s="967"/>
      <c r="AR455" s="968"/>
      <c r="AS455" s="936"/>
    </row>
    <row r="456" ht="15.75" customHeight="1">
      <c r="A456" s="936"/>
      <c r="B456" s="948" t="s">
        <v>2327</v>
      </c>
      <c r="C456" s="950" t="s">
        <v>2328</v>
      </c>
      <c r="D456" s="950" t="s">
        <v>2328</v>
      </c>
      <c r="E456" s="952" t="s">
        <v>2328</v>
      </c>
      <c r="F456" s="940"/>
      <c r="G456" s="953"/>
      <c r="H456" s="969"/>
      <c r="I456" s="956" t="s">
        <v>871</v>
      </c>
      <c r="J456" s="957" t="s">
        <v>209</v>
      </c>
      <c r="K456" s="1001" t="s">
        <v>128</v>
      </c>
      <c r="L456" s="959">
        <v>99.0</v>
      </c>
      <c r="M456" s="960">
        <v>68.0</v>
      </c>
      <c r="N456" s="960">
        <v>83.0</v>
      </c>
      <c r="O456" s="960">
        <v>72.0</v>
      </c>
      <c r="P456" s="960">
        <v>87.0</v>
      </c>
      <c r="Q456" s="960">
        <v>51.0</v>
      </c>
      <c r="R456" s="960">
        <v>138.0</v>
      </c>
      <c r="S456" s="960">
        <v>201.0</v>
      </c>
      <c r="T456" s="960">
        <v>221.0</v>
      </c>
      <c r="U456" s="960">
        <f t="array" ref="U456">HLOOKUP($J456,'Type Chart'!$C$2:$T$20,2,false)*HLOOKUP($K456,'Type Chart'!$C$2:$U$20,2,false)</f>
        <v>1</v>
      </c>
      <c r="V456" s="960">
        <f t="array" ref="V456">HLOOKUP($J456,'Type Chart'!$C$2:$T$20,3,false)*HLOOKUP($K456,'Type Chart'!$C$2:$U$20,3,false)</f>
        <v>0.5</v>
      </c>
      <c r="W456" s="960">
        <f t="array" ref="W456">HLOOKUP($J456,'Type Chart'!$C$2:$T$20,4,false)*HLOOKUP($K456,'Type Chart'!$C$2:$U$20,4,false)</f>
        <v>2</v>
      </c>
      <c r="X456" s="960">
        <f t="array" ref="X456">HLOOKUP($J456,'Type Chart'!$C$2:$T$20,5,false)*HLOOKUP($K456,'Type Chart'!$C$2:$U$20,5,false)</f>
        <v>2</v>
      </c>
      <c r="Y456" s="960">
        <f t="array" ref="Y456">HLOOKUP($J456,'Type Chart'!$C$2:$T$20,6,false)*HLOOKUP($K456,'Type Chart'!$C$2:$U$20,6,false)</f>
        <v>0</v>
      </c>
      <c r="Z456" s="960">
        <f t="array" ref="Z456">HLOOKUP($J456,'Type Chart'!$C$2:$T$20,7,false)*HLOOKUP($K456,'Type Chart'!$C$2:$U$20,7,false)</f>
        <v>2</v>
      </c>
      <c r="AA456" s="960">
        <f t="array" ref="AA456">HLOOKUP($J456,'Type Chart'!$C$2:$T$20,8,false)*HLOOKUP($K456,'Type Chart'!$C$2:$U$20,8,false)</f>
        <v>1</v>
      </c>
      <c r="AB456" s="960">
        <f t="array" ref="AB456">HLOOKUP($J456,'Type Chart'!$C$2:$T$20,9,false)*HLOOKUP($K456,'Type Chart'!$C$2:$U$20,9,false)</f>
        <v>1</v>
      </c>
      <c r="AC456" s="960">
        <f t="array" ref="AC456">HLOOKUP($J456,'Type Chart'!$C$2:$T$20,10,false)*HLOOKUP($K456,'Type Chart'!$C$2:$U$20,10,false)</f>
        <v>1</v>
      </c>
      <c r="AD456" s="960">
        <f t="array" ref="AD456">HLOOKUP($J456,'Type Chart'!$C$2:$T$20,11,false)*HLOOKUP($K456,'Type Chart'!$C$2:$U$20,11,false)</f>
        <v>2</v>
      </c>
      <c r="AE456" s="960">
        <f t="array" ref="AE456">HLOOKUP($J456,'Type Chart'!$C$2:$T$20,12,false)*HLOOKUP($K456,'Type Chart'!$C$2:$U$20,12,false)</f>
        <v>0.5</v>
      </c>
      <c r="AF456" s="960">
        <f t="array" ref="AF456">HLOOKUP($J456,'Type Chart'!$C$2:$T$20,13,false)*HLOOKUP($K456,'Type Chart'!$C$2:$U$20,13,false)</f>
        <v>0.25</v>
      </c>
      <c r="AG456" s="960">
        <f t="array" ref="AG456">HLOOKUP($J456,'Type Chart'!$C$2:$T$20,14,false)*HLOOKUP($K456,'Type Chart'!$C$2:$U$20,14,false)</f>
        <v>1</v>
      </c>
      <c r="AH456" s="960">
        <f t="array" ref="AH456">HLOOKUP($J456,'Type Chart'!$C$2:$T$20,15,false)*HLOOKUP($K456,'Type Chart'!$C$2:$U$20,15,false)</f>
        <v>1</v>
      </c>
      <c r="AI456" s="960">
        <f t="array" ref="AI456">HLOOKUP($J456,'Type Chart'!$C$2:$T$20,16,false)*HLOOKUP($K456,'Type Chart'!$C$2:$U$20,16,false)</f>
        <v>4</v>
      </c>
      <c r="AJ456" s="960">
        <f t="array" ref="AJ456">HLOOKUP($J456,'Type Chart'!$C$2:$T$20,17,false)*HLOOKUP($K456,'Type Chart'!$C$2:$U$20,17,false)</f>
        <v>1</v>
      </c>
      <c r="AK456" s="960">
        <f t="array" ref="AK456">HLOOKUP($J456,'Type Chart'!$C$2:$T$20,18,false)*HLOOKUP($K456,'Type Chart'!$C$2:$U$20,18,false)</f>
        <v>1</v>
      </c>
      <c r="AL456" s="960">
        <f t="array" ref="AL456">HLOOKUP($J456,'Type Chart'!$C$2:$T$20,19,false)*HLOOKUP($K456,'Type Chart'!$C$2:$U$20,19,false)</f>
        <v>1</v>
      </c>
      <c r="AM456" s="964" t="s">
        <v>524</v>
      </c>
      <c r="AN456" s="965" t="s">
        <v>831</v>
      </c>
      <c r="AO456" s="966" t="s">
        <v>1478</v>
      </c>
      <c r="AP456" s="936"/>
      <c r="AQ456" s="967"/>
      <c r="AR456" s="968"/>
      <c r="AS456" s="936"/>
    </row>
    <row r="457" ht="15.75" customHeight="1">
      <c r="A457" s="936"/>
      <c r="B457" s="948" t="s">
        <v>2329</v>
      </c>
      <c r="C457" s="950" t="s">
        <v>2330</v>
      </c>
      <c r="D457" s="950" t="s">
        <v>2330</v>
      </c>
      <c r="E457" s="952" t="s">
        <v>2330</v>
      </c>
      <c r="F457" s="940"/>
      <c r="G457" s="953"/>
      <c r="H457" s="969"/>
      <c r="I457" s="956" t="s">
        <v>883</v>
      </c>
      <c r="J457" s="1203" t="s">
        <v>344</v>
      </c>
      <c r="K457" s="984" t="s">
        <v>216</v>
      </c>
      <c r="L457" s="959">
        <v>75.0</v>
      </c>
      <c r="M457" s="960">
        <v>50.0</v>
      </c>
      <c r="N457" s="960">
        <v>80.0</v>
      </c>
      <c r="O457" s="960">
        <v>95.0</v>
      </c>
      <c r="P457" s="960">
        <v>90.0</v>
      </c>
      <c r="Q457" s="960">
        <v>65.0</v>
      </c>
      <c r="R457" s="960">
        <v>166.0</v>
      </c>
      <c r="S457" s="960">
        <v>229.0</v>
      </c>
      <c r="T457" s="960">
        <v>251.0</v>
      </c>
      <c r="U457" s="960">
        <f t="array" ref="U457">HLOOKUP($J457,'Type Chart'!$C$2:$T$20,2,false)*HLOOKUP($K457,'Type Chart'!$C$2:$U$20,2,false)</f>
        <v>1</v>
      </c>
      <c r="V457" s="960">
        <f t="array" ref="V457">HLOOKUP($J457,'Type Chart'!$C$2:$T$20,3,false)*HLOOKUP($K457,'Type Chart'!$C$2:$U$20,3,false)</f>
        <v>0.5</v>
      </c>
      <c r="W457" s="960">
        <f t="array" ref="W457">HLOOKUP($J457,'Type Chart'!$C$2:$T$20,4,false)*HLOOKUP($K457,'Type Chart'!$C$2:$U$20,4,false)</f>
        <v>1</v>
      </c>
      <c r="X457" s="960">
        <f t="array" ref="X457">HLOOKUP($J457,'Type Chart'!$C$2:$T$20,5,false)*HLOOKUP($K457,'Type Chart'!$C$2:$U$20,5,false)</f>
        <v>1</v>
      </c>
      <c r="Y457" s="960">
        <f t="array" ref="Y457">HLOOKUP($J457,'Type Chart'!$C$2:$T$20,6,false)*HLOOKUP($K457,'Type Chart'!$C$2:$U$20,6,false)</f>
        <v>1</v>
      </c>
      <c r="Z457" s="960">
        <f t="array" ref="Z457">HLOOKUP($J457,'Type Chart'!$C$2:$T$20,7,false)*HLOOKUP($K457,'Type Chart'!$C$2:$U$20,7,false)</f>
        <v>1</v>
      </c>
      <c r="AA457" s="960">
        <f t="array" ref="AA457">HLOOKUP($J457,'Type Chart'!$C$2:$T$20,8,false)*HLOOKUP($K457,'Type Chart'!$C$2:$U$20,8,false)</f>
        <v>2</v>
      </c>
      <c r="AB457" s="960">
        <f t="array" ref="AB457">HLOOKUP($J457,'Type Chart'!$C$2:$T$20,9,false)*HLOOKUP($K457,'Type Chart'!$C$2:$U$20,9,false)</f>
        <v>2</v>
      </c>
      <c r="AC457" s="960">
        <f t="array" ref="AC457">HLOOKUP($J457,'Type Chart'!$C$2:$T$20,10,false)*HLOOKUP($K457,'Type Chart'!$C$2:$U$20,10,false)</f>
        <v>1</v>
      </c>
      <c r="AD457" s="960">
        <f t="array" ref="AD457">HLOOKUP($J457,'Type Chart'!$C$2:$T$20,11,false)*HLOOKUP($K457,'Type Chart'!$C$2:$U$20,11,false)</f>
        <v>1</v>
      </c>
      <c r="AE457" s="960">
        <f t="array" ref="AE457">HLOOKUP($J457,'Type Chart'!$C$2:$T$20,12,false)*HLOOKUP($K457,'Type Chart'!$C$2:$U$20,12,false)</f>
        <v>1</v>
      </c>
      <c r="AF457" s="960">
        <f t="array" ref="AF457">HLOOKUP($J457,'Type Chart'!$C$2:$T$20,13,false)*HLOOKUP($K457,'Type Chart'!$C$2:$U$20,13,false)</f>
        <v>1</v>
      </c>
      <c r="AG457" s="960">
        <f t="array" ref="AG457">HLOOKUP($J457,'Type Chart'!$C$2:$T$20,14,false)*HLOOKUP($K457,'Type Chart'!$C$2:$U$20,14,false)</f>
        <v>1</v>
      </c>
      <c r="AH457" s="960">
        <f t="array" ref="AH457">HLOOKUP($J457,'Type Chart'!$C$2:$T$20,15,false)*HLOOKUP($K457,'Type Chart'!$C$2:$U$20,15,false)</f>
        <v>0.5</v>
      </c>
      <c r="AI457" s="960">
        <f t="array" ref="AI457">HLOOKUP($J457,'Type Chart'!$C$2:$T$20,16,false)*HLOOKUP($K457,'Type Chart'!$C$2:$U$20,16,false)</f>
        <v>1</v>
      </c>
      <c r="AJ457" s="960">
        <f t="array" ref="AJ457">HLOOKUP($J457,'Type Chart'!$C$2:$T$20,17,false)*HLOOKUP($K457,'Type Chart'!$C$2:$U$20,17,false)</f>
        <v>1</v>
      </c>
      <c r="AK457" s="960">
        <f t="array" ref="AK457">HLOOKUP($J457,'Type Chart'!$C$2:$T$20,18,false)*HLOOKUP($K457,'Type Chart'!$C$2:$U$20,18,false)</f>
        <v>2</v>
      </c>
      <c r="AL457" s="960">
        <f t="array" ref="AL457">HLOOKUP($J457,'Type Chart'!$C$2:$T$20,19,false)*HLOOKUP($K457,'Type Chart'!$C$2:$U$20,19,false)</f>
        <v>1</v>
      </c>
      <c r="AM457" s="964" t="s">
        <v>1437</v>
      </c>
      <c r="AN457" s="965"/>
      <c r="AO457" s="966"/>
      <c r="AP457" s="936"/>
      <c r="AQ457" s="967"/>
      <c r="AR457" s="968"/>
      <c r="AS457" s="936"/>
    </row>
    <row r="458" ht="15.75" customHeight="1">
      <c r="A458" s="936"/>
      <c r="B458" s="948" t="s">
        <v>2331</v>
      </c>
      <c r="C458" s="950" t="s">
        <v>2332</v>
      </c>
      <c r="D458" s="950" t="s">
        <v>2332</v>
      </c>
      <c r="E458" s="952" t="s">
        <v>2332</v>
      </c>
      <c r="F458" s="940"/>
      <c r="G458" s="953"/>
      <c r="H458" s="969"/>
      <c r="I458" s="998" t="s">
        <v>2333</v>
      </c>
      <c r="J458" s="1195" t="s">
        <v>193</v>
      </c>
      <c r="K458" s="984" t="s">
        <v>216</v>
      </c>
      <c r="L458" s="959">
        <v>65.0</v>
      </c>
      <c r="M458" s="960">
        <v>130.0</v>
      </c>
      <c r="N458" s="960">
        <v>60.0</v>
      </c>
      <c r="O458" s="960">
        <v>75.0</v>
      </c>
      <c r="P458" s="960">
        <v>60.0</v>
      </c>
      <c r="Q458" s="960">
        <v>75.0</v>
      </c>
      <c r="R458" s="960">
        <v>186.0</v>
      </c>
      <c r="S458" s="960">
        <v>249.0</v>
      </c>
      <c r="T458" s="960">
        <v>273.0</v>
      </c>
      <c r="U458" s="960">
        <f t="array" ref="U458">HLOOKUP($J458,'Type Chart'!$C$2:$T$20,2,false)*HLOOKUP($K458,'Type Chart'!$C$2:$U$20,2,false)</f>
        <v>1</v>
      </c>
      <c r="V458" s="960">
        <f t="array" ref="V458">HLOOKUP($J458,'Type Chart'!$C$2:$T$20,3,false)*HLOOKUP($K458,'Type Chart'!$C$2:$U$20,3,false)</f>
        <v>2</v>
      </c>
      <c r="W458" s="960">
        <f t="array" ref="W458">HLOOKUP($J458,'Type Chart'!$C$2:$T$20,4,false)*HLOOKUP($K458,'Type Chart'!$C$2:$U$20,4,false)</f>
        <v>1</v>
      </c>
      <c r="X458" s="960">
        <f t="array" ref="X458">HLOOKUP($J458,'Type Chart'!$C$2:$T$20,5,false)*HLOOKUP($K458,'Type Chart'!$C$2:$U$20,5,false)</f>
        <v>1</v>
      </c>
      <c r="Y458" s="960">
        <f t="array" ref="Y458">HLOOKUP($J458,'Type Chart'!$C$2:$T$20,6,false)*HLOOKUP($K458,'Type Chart'!$C$2:$U$20,6,false)</f>
        <v>1</v>
      </c>
      <c r="Z458" s="960">
        <f t="array" ref="Z458">HLOOKUP($J458,'Type Chart'!$C$2:$T$20,7,false)*HLOOKUP($K458,'Type Chart'!$C$2:$U$20,7,false)</f>
        <v>1</v>
      </c>
      <c r="AA458" s="960">
        <f t="array" ref="AA458">HLOOKUP($J458,'Type Chart'!$C$2:$T$20,8,false)*HLOOKUP($K458,'Type Chart'!$C$2:$U$20,8,false)</f>
        <v>2</v>
      </c>
      <c r="AB458" s="960">
        <f t="array" ref="AB458">HLOOKUP($J458,'Type Chart'!$C$2:$T$20,9,false)*HLOOKUP($K458,'Type Chart'!$C$2:$U$20,9,false)</f>
        <v>0.5</v>
      </c>
      <c r="AC458" s="960">
        <f t="array" ref="AC458">HLOOKUP($J458,'Type Chart'!$C$2:$T$20,10,false)*HLOOKUP($K458,'Type Chart'!$C$2:$U$20,10,false)</f>
        <v>1</v>
      </c>
      <c r="AD458" s="960">
        <f t="array" ref="AD458">HLOOKUP($J458,'Type Chart'!$C$2:$T$20,11,false)*HLOOKUP($K458,'Type Chart'!$C$2:$U$20,11,false)</f>
        <v>1</v>
      </c>
      <c r="AE458" s="960">
        <f t="array" ref="AE458">HLOOKUP($J458,'Type Chart'!$C$2:$T$20,12,false)*HLOOKUP($K458,'Type Chart'!$C$2:$U$20,12,false)</f>
        <v>1</v>
      </c>
      <c r="AF458" s="960">
        <f t="array" ref="AF458">HLOOKUP($J458,'Type Chart'!$C$2:$T$20,13,false)*HLOOKUP($K458,'Type Chart'!$C$2:$U$20,13,false)</f>
        <v>1</v>
      </c>
      <c r="AG458" s="960">
        <f t="array" ref="AG458">HLOOKUP($J458,'Type Chart'!$C$2:$T$20,14,false)*HLOOKUP($K458,'Type Chart'!$C$2:$U$20,14,false)</f>
        <v>1</v>
      </c>
      <c r="AH458" s="960">
        <f t="array" ref="AH458">HLOOKUP($J458,'Type Chart'!$C$2:$T$20,15,false)*HLOOKUP($K458,'Type Chart'!$C$2:$U$20,15,false)</f>
        <v>0</v>
      </c>
      <c r="AI458" s="960">
        <f t="array" ref="AI458">HLOOKUP($J458,'Type Chart'!$C$2:$T$20,16,false)*HLOOKUP($K458,'Type Chart'!$C$2:$U$20,16,false)</f>
        <v>1</v>
      </c>
      <c r="AJ458" s="960">
        <f t="array" ref="AJ458">HLOOKUP($J458,'Type Chart'!$C$2:$T$20,17,false)*HLOOKUP($K458,'Type Chart'!$C$2:$U$20,17,false)</f>
        <v>1</v>
      </c>
      <c r="AK458" s="960">
        <f t="array" ref="AK458">HLOOKUP($J458,'Type Chart'!$C$2:$T$20,18,false)*HLOOKUP($K458,'Type Chart'!$C$2:$U$20,18,false)</f>
        <v>0.5</v>
      </c>
      <c r="AL458" s="960">
        <f t="array" ref="AL458">HLOOKUP($J458,'Type Chart'!$C$2:$T$20,19,false)*HLOOKUP($K458,'Type Chart'!$C$2:$U$20,19,false)</f>
        <v>2</v>
      </c>
      <c r="AM458" s="964" t="s">
        <v>1636</v>
      </c>
      <c r="AN458" s="965" t="s">
        <v>1745</v>
      </c>
      <c r="AO458" s="966" t="s">
        <v>1273</v>
      </c>
      <c r="AP458" s="936"/>
      <c r="AQ458" s="967"/>
      <c r="AR458" s="968"/>
      <c r="AS458" s="936"/>
    </row>
    <row r="459" ht="15.75" customHeight="1">
      <c r="A459" s="936"/>
      <c r="B459" s="948" t="s">
        <v>2334</v>
      </c>
      <c r="C459" s="950" t="s">
        <v>2335</v>
      </c>
      <c r="D459" s="950" t="s">
        <v>2335</v>
      </c>
      <c r="E459" s="952" t="s">
        <v>2335</v>
      </c>
      <c r="F459" s="940"/>
      <c r="G459" s="953"/>
      <c r="H459" s="969"/>
      <c r="I459" s="956" t="s">
        <v>2336</v>
      </c>
      <c r="J459" s="1195" t="s">
        <v>193</v>
      </c>
      <c r="K459" s="984" t="s">
        <v>216</v>
      </c>
      <c r="L459" s="959">
        <v>65.0</v>
      </c>
      <c r="M459" s="960">
        <v>150.0</v>
      </c>
      <c r="N459" s="960">
        <v>60.0</v>
      </c>
      <c r="O459" s="960">
        <v>115.0</v>
      </c>
      <c r="P459" s="960">
        <v>60.0</v>
      </c>
      <c r="Q459" s="960">
        <v>115.0</v>
      </c>
      <c r="R459" s="960">
        <v>266.0</v>
      </c>
      <c r="S459" s="960">
        <v>329.0</v>
      </c>
      <c r="T459" s="960">
        <v>361.0</v>
      </c>
      <c r="U459" s="960">
        <f t="array" ref="U459">HLOOKUP($J459,'Type Chart'!$C$2:$T$20,2,false)*HLOOKUP($K459,'Type Chart'!$C$2:$U$20,2,false)</f>
        <v>1</v>
      </c>
      <c r="V459" s="960">
        <f t="array" ref="V459">HLOOKUP($J459,'Type Chart'!$C$2:$T$20,3,false)*HLOOKUP($K459,'Type Chart'!$C$2:$U$20,3,false)</f>
        <v>2</v>
      </c>
      <c r="W459" s="960">
        <f t="array" ref="W459">HLOOKUP($J459,'Type Chart'!$C$2:$T$20,4,false)*HLOOKUP($K459,'Type Chart'!$C$2:$U$20,4,false)</f>
        <v>1</v>
      </c>
      <c r="X459" s="960">
        <f t="array" ref="X459">HLOOKUP($J459,'Type Chart'!$C$2:$T$20,5,false)*HLOOKUP($K459,'Type Chart'!$C$2:$U$20,5,false)</f>
        <v>1</v>
      </c>
      <c r="Y459" s="960">
        <f t="array" ref="Y459">HLOOKUP($J459,'Type Chart'!$C$2:$T$20,6,false)*HLOOKUP($K459,'Type Chart'!$C$2:$U$20,6,false)</f>
        <v>1</v>
      </c>
      <c r="Z459" s="960">
        <f t="array" ref="Z459">HLOOKUP($J459,'Type Chart'!$C$2:$T$20,7,false)*HLOOKUP($K459,'Type Chart'!$C$2:$U$20,7,false)</f>
        <v>1</v>
      </c>
      <c r="AA459" s="960">
        <f t="array" ref="AA459">HLOOKUP($J459,'Type Chart'!$C$2:$T$20,8,false)*HLOOKUP($K459,'Type Chart'!$C$2:$U$20,8,false)</f>
        <v>2</v>
      </c>
      <c r="AB459" s="960">
        <f t="array" ref="AB459">HLOOKUP($J459,'Type Chart'!$C$2:$T$20,9,false)*HLOOKUP($K459,'Type Chart'!$C$2:$U$20,9,false)</f>
        <v>0.5</v>
      </c>
      <c r="AC459" s="960">
        <f t="array" ref="AC459">HLOOKUP($J459,'Type Chart'!$C$2:$T$20,10,false)*HLOOKUP($K459,'Type Chart'!$C$2:$U$20,10,false)</f>
        <v>1</v>
      </c>
      <c r="AD459" s="960">
        <f t="array" ref="AD459">HLOOKUP($J459,'Type Chart'!$C$2:$T$20,11,false)*HLOOKUP($K459,'Type Chart'!$C$2:$U$20,11,false)</f>
        <v>1</v>
      </c>
      <c r="AE459" s="960">
        <f t="array" ref="AE459">HLOOKUP($J459,'Type Chart'!$C$2:$T$20,12,false)*HLOOKUP($K459,'Type Chart'!$C$2:$U$20,12,false)</f>
        <v>1</v>
      </c>
      <c r="AF459" s="960">
        <f t="array" ref="AF459">HLOOKUP($J459,'Type Chart'!$C$2:$T$20,13,false)*HLOOKUP($K459,'Type Chart'!$C$2:$U$20,13,false)</f>
        <v>1</v>
      </c>
      <c r="AG459" s="960">
        <f t="array" ref="AG459">HLOOKUP($J459,'Type Chart'!$C$2:$T$20,14,false)*HLOOKUP($K459,'Type Chart'!$C$2:$U$20,14,false)</f>
        <v>1</v>
      </c>
      <c r="AH459" s="960">
        <f t="array" ref="AH459">HLOOKUP($J459,'Type Chart'!$C$2:$T$20,15,false)*HLOOKUP($K459,'Type Chart'!$C$2:$U$20,15,false)</f>
        <v>0</v>
      </c>
      <c r="AI459" s="960">
        <f t="array" ref="AI459">HLOOKUP($J459,'Type Chart'!$C$2:$T$20,16,false)*HLOOKUP($K459,'Type Chart'!$C$2:$U$20,16,false)</f>
        <v>1</v>
      </c>
      <c r="AJ459" s="960">
        <f t="array" ref="AJ459">HLOOKUP($J459,'Type Chart'!$C$2:$T$20,17,false)*HLOOKUP($K459,'Type Chart'!$C$2:$U$20,17,false)</f>
        <v>1</v>
      </c>
      <c r="AK459" s="960">
        <f t="array" ref="AK459">HLOOKUP($J459,'Type Chart'!$C$2:$T$20,18,false)*HLOOKUP($K459,'Type Chart'!$C$2:$U$20,18,false)</f>
        <v>0.5</v>
      </c>
      <c r="AL459" s="960">
        <f t="array" ref="AL459">HLOOKUP($J459,'Type Chart'!$C$2:$T$20,19,false)*HLOOKUP($K459,'Type Chart'!$C$2:$U$20,19,false)</f>
        <v>2</v>
      </c>
      <c r="AM459" s="964" t="s">
        <v>1752</v>
      </c>
      <c r="AN459" s="965"/>
      <c r="AO459" s="966"/>
      <c r="AP459" s="936"/>
      <c r="AQ459" s="967"/>
      <c r="AR459" s="968"/>
      <c r="AS459" s="936"/>
    </row>
    <row r="460" ht="15.75" customHeight="1">
      <c r="A460" s="936"/>
      <c r="B460" s="948" t="s">
        <v>2337</v>
      </c>
      <c r="C460" s="950" t="s">
        <v>2338</v>
      </c>
      <c r="D460" s="950" t="s">
        <v>2338</v>
      </c>
      <c r="E460" s="952" t="s">
        <v>2338</v>
      </c>
      <c r="F460" s="940"/>
      <c r="G460" s="953"/>
      <c r="H460" s="969"/>
      <c r="I460" s="956" t="s">
        <v>2339</v>
      </c>
      <c r="J460" s="1203" t="s">
        <v>344</v>
      </c>
      <c r="K460" s="984" t="s">
        <v>216</v>
      </c>
      <c r="L460" s="959">
        <v>95.0</v>
      </c>
      <c r="M460" s="960">
        <v>23.0</v>
      </c>
      <c r="N460" s="960">
        <v>48.0</v>
      </c>
      <c r="O460" s="960">
        <v>23.0</v>
      </c>
      <c r="P460" s="960">
        <v>48.0</v>
      </c>
      <c r="Q460" s="960">
        <v>23.0</v>
      </c>
      <c r="R460" s="960">
        <v>82.0</v>
      </c>
      <c r="S460" s="960">
        <v>145.0</v>
      </c>
      <c r="T460" s="960">
        <v>159.0</v>
      </c>
      <c r="U460" s="960">
        <f t="array" ref="U460">HLOOKUP($J460,'Type Chart'!$C$2:$T$20,2,false)*HLOOKUP($K460,'Type Chart'!$C$2:$U$20,2,false)</f>
        <v>1</v>
      </c>
      <c r="V460" s="960">
        <f t="array" ref="V460">HLOOKUP($J460,'Type Chart'!$C$2:$T$20,3,false)*HLOOKUP($K460,'Type Chart'!$C$2:$U$20,3,false)</f>
        <v>0.5</v>
      </c>
      <c r="W460" s="960">
        <f t="array" ref="W460">HLOOKUP($J460,'Type Chart'!$C$2:$T$20,4,false)*HLOOKUP($K460,'Type Chart'!$C$2:$U$20,4,false)</f>
        <v>1</v>
      </c>
      <c r="X460" s="960">
        <f t="array" ref="X460">HLOOKUP($J460,'Type Chart'!$C$2:$T$20,5,false)*HLOOKUP($K460,'Type Chart'!$C$2:$U$20,5,false)</f>
        <v>1</v>
      </c>
      <c r="Y460" s="960">
        <f t="array" ref="Y460">HLOOKUP($J460,'Type Chart'!$C$2:$T$20,6,false)*HLOOKUP($K460,'Type Chart'!$C$2:$U$20,6,false)</f>
        <v>1</v>
      </c>
      <c r="Z460" s="960">
        <f t="array" ref="Z460">HLOOKUP($J460,'Type Chart'!$C$2:$T$20,7,false)*HLOOKUP($K460,'Type Chart'!$C$2:$U$20,7,false)</f>
        <v>1</v>
      </c>
      <c r="AA460" s="960">
        <f t="array" ref="AA460">HLOOKUP($J460,'Type Chart'!$C$2:$T$20,8,false)*HLOOKUP($K460,'Type Chart'!$C$2:$U$20,8,false)</f>
        <v>2</v>
      </c>
      <c r="AB460" s="960">
        <f t="array" ref="AB460">HLOOKUP($J460,'Type Chart'!$C$2:$T$20,9,false)*HLOOKUP($K460,'Type Chart'!$C$2:$U$20,9,false)</f>
        <v>2</v>
      </c>
      <c r="AC460" s="960">
        <f t="array" ref="AC460">HLOOKUP($J460,'Type Chart'!$C$2:$T$20,10,false)*HLOOKUP($K460,'Type Chart'!$C$2:$U$20,10,false)</f>
        <v>1</v>
      </c>
      <c r="AD460" s="960">
        <f t="array" ref="AD460">HLOOKUP($J460,'Type Chart'!$C$2:$T$20,11,false)*HLOOKUP($K460,'Type Chart'!$C$2:$U$20,11,false)</f>
        <v>1</v>
      </c>
      <c r="AE460" s="960">
        <f t="array" ref="AE460">HLOOKUP($J460,'Type Chart'!$C$2:$T$20,12,false)*HLOOKUP($K460,'Type Chart'!$C$2:$U$20,12,false)</f>
        <v>1</v>
      </c>
      <c r="AF460" s="960">
        <f t="array" ref="AF460">HLOOKUP($J460,'Type Chart'!$C$2:$T$20,13,false)*HLOOKUP($K460,'Type Chart'!$C$2:$U$20,13,false)</f>
        <v>1</v>
      </c>
      <c r="AG460" s="960">
        <f t="array" ref="AG460">HLOOKUP($J460,'Type Chart'!$C$2:$T$20,14,false)*HLOOKUP($K460,'Type Chart'!$C$2:$U$20,14,false)</f>
        <v>1</v>
      </c>
      <c r="AH460" s="960">
        <f t="array" ref="AH460">HLOOKUP($J460,'Type Chart'!$C$2:$T$20,15,false)*HLOOKUP($K460,'Type Chart'!$C$2:$U$20,15,false)</f>
        <v>0.5</v>
      </c>
      <c r="AI460" s="960">
        <f t="array" ref="AI460">HLOOKUP($J460,'Type Chart'!$C$2:$T$20,16,false)*HLOOKUP($K460,'Type Chart'!$C$2:$U$20,16,false)</f>
        <v>1</v>
      </c>
      <c r="AJ460" s="960">
        <f t="array" ref="AJ460">HLOOKUP($J460,'Type Chart'!$C$2:$T$20,17,false)*HLOOKUP($K460,'Type Chart'!$C$2:$U$20,17,false)</f>
        <v>1</v>
      </c>
      <c r="AK460" s="960">
        <f t="array" ref="AK460">HLOOKUP($J460,'Type Chart'!$C$2:$T$20,18,false)*HLOOKUP($K460,'Type Chart'!$C$2:$U$20,18,false)</f>
        <v>2</v>
      </c>
      <c r="AL460" s="960">
        <f t="array" ref="AL460">HLOOKUP($J460,'Type Chart'!$C$2:$T$20,19,false)*HLOOKUP($K460,'Type Chart'!$C$2:$U$20,19,false)</f>
        <v>1</v>
      </c>
      <c r="AM460" s="964" t="s">
        <v>1446</v>
      </c>
      <c r="AN460" s="965"/>
      <c r="AO460" s="966" t="s">
        <v>1828</v>
      </c>
      <c r="AP460" s="936"/>
      <c r="AQ460" s="967"/>
      <c r="AR460" s="968"/>
      <c r="AS460" s="936"/>
    </row>
    <row r="461" ht="15.75" customHeight="1">
      <c r="A461" s="936"/>
      <c r="B461" s="948" t="s">
        <v>2340</v>
      </c>
      <c r="C461" s="950" t="s">
        <v>2341</v>
      </c>
      <c r="D461" s="950" t="s">
        <v>2341</v>
      </c>
      <c r="E461" s="952" t="s">
        <v>2341</v>
      </c>
      <c r="F461" s="940"/>
      <c r="G461" s="953"/>
      <c r="H461" s="969"/>
      <c r="I461" s="956" t="s">
        <v>2342</v>
      </c>
      <c r="J461" s="1205" t="s">
        <v>345</v>
      </c>
      <c r="K461" s="984" t="s">
        <v>216</v>
      </c>
      <c r="L461" s="959">
        <v>50.0</v>
      </c>
      <c r="M461" s="960">
        <v>50.0</v>
      </c>
      <c r="N461" s="960">
        <v>50.0</v>
      </c>
      <c r="O461" s="960">
        <v>50.0</v>
      </c>
      <c r="P461" s="960">
        <v>50.0</v>
      </c>
      <c r="Q461" s="960">
        <v>50.0</v>
      </c>
      <c r="R461" s="960">
        <v>136.0</v>
      </c>
      <c r="S461" s="960">
        <v>199.0</v>
      </c>
      <c r="T461" s="960">
        <v>218.0</v>
      </c>
      <c r="U461" s="960">
        <f t="array" ref="U461">HLOOKUP($J461,'Type Chart'!$C$2:$T$20,2,false)*HLOOKUP($K461,'Type Chart'!$C$2:$U$20,2,false)</f>
        <v>1</v>
      </c>
      <c r="V461" s="960">
        <f t="array" ref="V461">HLOOKUP($J461,'Type Chart'!$C$2:$T$20,3,false)*HLOOKUP($K461,'Type Chart'!$C$2:$U$20,3,false)</f>
        <v>2</v>
      </c>
      <c r="W461" s="960">
        <f t="array" ref="W461">HLOOKUP($J461,'Type Chart'!$C$2:$T$20,4,false)*HLOOKUP($K461,'Type Chart'!$C$2:$U$20,4,false)</f>
        <v>1</v>
      </c>
      <c r="X461" s="960">
        <f t="array" ref="X461">HLOOKUP($J461,'Type Chart'!$C$2:$T$20,5,false)*HLOOKUP($K461,'Type Chart'!$C$2:$U$20,5,false)</f>
        <v>1</v>
      </c>
      <c r="Y461" s="960">
        <f t="array" ref="Y461">HLOOKUP($J461,'Type Chart'!$C$2:$T$20,6,false)*HLOOKUP($K461,'Type Chart'!$C$2:$U$20,6,false)</f>
        <v>1</v>
      </c>
      <c r="Z461" s="960">
        <f t="array" ref="Z461">HLOOKUP($J461,'Type Chart'!$C$2:$T$20,7,false)*HLOOKUP($K461,'Type Chart'!$C$2:$U$20,7,false)</f>
        <v>2</v>
      </c>
      <c r="AA461" s="960">
        <f t="array" ref="AA461">HLOOKUP($J461,'Type Chart'!$C$2:$T$20,8,false)*HLOOKUP($K461,'Type Chart'!$C$2:$U$20,8,false)</f>
        <v>1</v>
      </c>
      <c r="AB461" s="960">
        <f t="array" ref="AB461">HLOOKUP($J461,'Type Chart'!$C$2:$T$20,9,false)*HLOOKUP($K461,'Type Chart'!$C$2:$U$20,9,false)</f>
        <v>1</v>
      </c>
      <c r="AC461" s="960">
        <f t="array" ref="AC461">HLOOKUP($J461,'Type Chart'!$C$2:$T$20,10,false)*HLOOKUP($K461,'Type Chart'!$C$2:$U$20,10,false)</f>
        <v>2</v>
      </c>
      <c r="AD461" s="960">
        <f t="array" ref="AD461">HLOOKUP($J461,'Type Chart'!$C$2:$T$20,11,false)*HLOOKUP($K461,'Type Chart'!$C$2:$U$20,11,false)</f>
        <v>2</v>
      </c>
      <c r="AE461" s="960">
        <f t="array" ref="AE461">HLOOKUP($J461,'Type Chart'!$C$2:$T$20,12,false)*HLOOKUP($K461,'Type Chart'!$C$2:$U$20,12,false)</f>
        <v>1</v>
      </c>
      <c r="AF461" s="960">
        <f t="array" ref="AF461">HLOOKUP($J461,'Type Chart'!$C$2:$T$20,13,false)*HLOOKUP($K461,'Type Chart'!$C$2:$U$20,13,false)</f>
        <v>1</v>
      </c>
      <c r="AG461" s="960">
        <f t="array" ref="AG461">HLOOKUP($J461,'Type Chart'!$C$2:$T$20,14,false)*HLOOKUP($K461,'Type Chart'!$C$2:$U$20,14,false)</f>
        <v>1</v>
      </c>
      <c r="AH461" s="960">
        <f t="array" ref="AH461">HLOOKUP($J461,'Type Chart'!$C$2:$T$20,15,false)*HLOOKUP($K461,'Type Chart'!$C$2:$U$20,15,false)</f>
        <v>1</v>
      </c>
      <c r="AI461" s="960">
        <f t="array" ref="AI461">HLOOKUP($J461,'Type Chart'!$C$2:$T$20,16,false)*HLOOKUP($K461,'Type Chart'!$C$2:$U$20,16,false)</f>
        <v>0.5</v>
      </c>
      <c r="AJ461" s="960">
        <f t="array" ref="AJ461">HLOOKUP($J461,'Type Chart'!$C$2:$T$20,17,false)*HLOOKUP($K461,'Type Chart'!$C$2:$U$20,17,false)</f>
        <v>1</v>
      </c>
      <c r="AK461" s="960">
        <f t="array" ref="AK461">HLOOKUP($J461,'Type Chart'!$C$2:$T$20,18,false)*HLOOKUP($K461,'Type Chart'!$C$2:$U$20,18,false)</f>
        <v>1</v>
      </c>
      <c r="AL461" s="960">
        <f t="array" ref="AL461">HLOOKUP($J461,'Type Chart'!$C$2:$T$20,19,false)*HLOOKUP($K461,'Type Chart'!$C$2:$U$20,19,false)</f>
        <v>1</v>
      </c>
      <c r="AM461" s="964" t="s">
        <v>1192</v>
      </c>
      <c r="AN461" s="965" t="s">
        <v>1410</v>
      </c>
      <c r="AO461" s="966" t="s">
        <v>1898</v>
      </c>
      <c r="AP461" s="936"/>
      <c r="AQ461" s="967"/>
      <c r="AR461" s="968"/>
      <c r="AS461" s="936"/>
    </row>
    <row r="462" ht="15.75" customHeight="1">
      <c r="A462" s="936"/>
      <c r="B462" s="948" t="s">
        <v>2343</v>
      </c>
      <c r="C462" s="950" t="s">
        <v>2344</v>
      </c>
      <c r="D462" s="950" t="s">
        <v>2344</v>
      </c>
      <c r="E462" s="952" t="s">
        <v>2344</v>
      </c>
      <c r="F462" s="940"/>
      <c r="G462" s="953"/>
      <c r="H462" s="969"/>
      <c r="I462" s="956" t="s">
        <v>829</v>
      </c>
      <c r="J462" s="1205" t="s">
        <v>345</v>
      </c>
      <c r="K462" s="984" t="s">
        <v>216</v>
      </c>
      <c r="L462" s="959">
        <v>80.0</v>
      </c>
      <c r="M462" s="960">
        <v>80.0</v>
      </c>
      <c r="N462" s="960">
        <v>80.0</v>
      </c>
      <c r="O462" s="960">
        <v>80.0</v>
      </c>
      <c r="P462" s="960">
        <v>80.0</v>
      </c>
      <c r="Q462" s="960">
        <v>80.0</v>
      </c>
      <c r="R462" s="960">
        <v>196.0</v>
      </c>
      <c r="S462" s="960">
        <v>259.0</v>
      </c>
      <c r="T462" s="960">
        <v>284.0</v>
      </c>
      <c r="U462" s="960">
        <f t="array" ref="U462">HLOOKUP($J462,'Type Chart'!$C$2:$T$20,2,false)*HLOOKUP($K462,'Type Chart'!$C$2:$U$20,2,false)</f>
        <v>1</v>
      </c>
      <c r="V462" s="960">
        <f t="array" ref="V462">HLOOKUP($J462,'Type Chart'!$C$2:$T$20,3,false)*HLOOKUP($K462,'Type Chart'!$C$2:$U$20,3,false)</f>
        <v>2</v>
      </c>
      <c r="W462" s="960">
        <f t="array" ref="W462">HLOOKUP($J462,'Type Chart'!$C$2:$T$20,4,false)*HLOOKUP($K462,'Type Chart'!$C$2:$U$20,4,false)</f>
        <v>1</v>
      </c>
      <c r="X462" s="960">
        <f t="array" ref="X462">HLOOKUP($J462,'Type Chart'!$C$2:$T$20,5,false)*HLOOKUP($K462,'Type Chart'!$C$2:$U$20,5,false)</f>
        <v>1</v>
      </c>
      <c r="Y462" s="960">
        <f t="array" ref="Y462">HLOOKUP($J462,'Type Chart'!$C$2:$T$20,6,false)*HLOOKUP($K462,'Type Chart'!$C$2:$U$20,6,false)</f>
        <v>1</v>
      </c>
      <c r="Z462" s="960">
        <f t="array" ref="Z462">HLOOKUP($J462,'Type Chart'!$C$2:$T$20,7,false)*HLOOKUP($K462,'Type Chart'!$C$2:$U$20,7,false)</f>
        <v>2</v>
      </c>
      <c r="AA462" s="960">
        <f t="array" ref="AA462">HLOOKUP($J462,'Type Chart'!$C$2:$T$20,8,false)*HLOOKUP($K462,'Type Chart'!$C$2:$U$20,8,false)</f>
        <v>1</v>
      </c>
      <c r="AB462" s="960">
        <f t="array" ref="AB462">HLOOKUP($J462,'Type Chart'!$C$2:$T$20,9,false)*HLOOKUP($K462,'Type Chart'!$C$2:$U$20,9,false)</f>
        <v>1</v>
      </c>
      <c r="AC462" s="960">
        <f t="array" ref="AC462">HLOOKUP($J462,'Type Chart'!$C$2:$T$20,10,false)*HLOOKUP($K462,'Type Chart'!$C$2:$U$20,10,false)</f>
        <v>2</v>
      </c>
      <c r="AD462" s="960">
        <f t="array" ref="AD462">HLOOKUP($J462,'Type Chart'!$C$2:$T$20,11,false)*HLOOKUP($K462,'Type Chart'!$C$2:$U$20,11,false)</f>
        <v>2</v>
      </c>
      <c r="AE462" s="960">
        <f t="array" ref="AE462">HLOOKUP($J462,'Type Chart'!$C$2:$T$20,12,false)*HLOOKUP($K462,'Type Chart'!$C$2:$U$20,12,false)</f>
        <v>1</v>
      </c>
      <c r="AF462" s="960">
        <f t="array" ref="AF462">HLOOKUP($J462,'Type Chart'!$C$2:$T$20,13,false)*HLOOKUP($K462,'Type Chart'!$C$2:$U$20,13,false)</f>
        <v>1</v>
      </c>
      <c r="AG462" s="960">
        <f t="array" ref="AG462">HLOOKUP($J462,'Type Chart'!$C$2:$T$20,14,false)*HLOOKUP($K462,'Type Chart'!$C$2:$U$20,14,false)</f>
        <v>1</v>
      </c>
      <c r="AH462" s="960">
        <f t="array" ref="AH462">HLOOKUP($J462,'Type Chart'!$C$2:$T$20,15,false)*HLOOKUP($K462,'Type Chart'!$C$2:$U$20,15,false)</f>
        <v>1</v>
      </c>
      <c r="AI462" s="960">
        <f t="array" ref="AI462">HLOOKUP($J462,'Type Chart'!$C$2:$T$20,16,false)*HLOOKUP($K462,'Type Chart'!$C$2:$U$20,16,false)</f>
        <v>0.5</v>
      </c>
      <c r="AJ462" s="960">
        <f t="array" ref="AJ462">HLOOKUP($J462,'Type Chart'!$C$2:$T$20,17,false)*HLOOKUP($K462,'Type Chart'!$C$2:$U$20,17,false)</f>
        <v>1</v>
      </c>
      <c r="AK462" s="960">
        <f t="array" ref="AK462">HLOOKUP($J462,'Type Chart'!$C$2:$T$20,18,false)*HLOOKUP($K462,'Type Chart'!$C$2:$U$20,18,false)</f>
        <v>1</v>
      </c>
      <c r="AL462" s="960">
        <f t="array" ref="AL462">HLOOKUP($J462,'Type Chart'!$C$2:$T$20,19,false)*HLOOKUP($K462,'Type Chart'!$C$2:$U$20,19,false)</f>
        <v>1</v>
      </c>
      <c r="AM462" s="964" t="s">
        <v>1192</v>
      </c>
      <c r="AN462" s="965" t="s">
        <v>1410</v>
      </c>
      <c r="AO462" s="966" t="s">
        <v>1898</v>
      </c>
      <c r="AP462" s="936"/>
      <c r="AQ462" s="967"/>
      <c r="AR462" s="968"/>
      <c r="AS462" s="936"/>
    </row>
    <row r="463" ht="15.75" customHeight="1">
      <c r="A463" s="936"/>
      <c r="B463" s="948" t="s">
        <v>2345</v>
      </c>
      <c r="C463" s="950" t="s">
        <v>2346</v>
      </c>
      <c r="D463" s="950" t="s">
        <v>2346</v>
      </c>
      <c r="E463" s="952" t="s">
        <v>2346</v>
      </c>
      <c r="F463" s="940"/>
      <c r="G463" s="953"/>
      <c r="H463" s="969"/>
      <c r="I463" s="956" t="s">
        <v>2347</v>
      </c>
      <c r="J463" s="1205" t="s">
        <v>345</v>
      </c>
      <c r="K463" s="984" t="s">
        <v>216</v>
      </c>
      <c r="L463" s="959">
        <v>80.0</v>
      </c>
      <c r="M463" s="960">
        <v>120.0</v>
      </c>
      <c r="N463" s="960">
        <v>80.0</v>
      </c>
      <c r="O463" s="960">
        <v>120.0</v>
      </c>
      <c r="P463" s="960">
        <v>80.0</v>
      </c>
      <c r="Q463" s="960">
        <v>100.0</v>
      </c>
      <c r="R463" s="960">
        <v>236.0</v>
      </c>
      <c r="S463" s="960">
        <v>299.0</v>
      </c>
      <c r="T463" s="960">
        <v>328.0</v>
      </c>
      <c r="U463" s="960">
        <f t="array" ref="U463">HLOOKUP($J463,'Type Chart'!$C$2:$T$20,2,false)*HLOOKUP($K463,'Type Chart'!$C$2:$U$20,2,false)</f>
        <v>1</v>
      </c>
      <c r="V463" s="960">
        <f t="array" ref="V463">HLOOKUP($J463,'Type Chart'!$C$2:$T$20,3,false)*HLOOKUP($K463,'Type Chart'!$C$2:$U$20,3,false)</f>
        <v>2</v>
      </c>
      <c r="W463" s="960">
        <f t="array" ref="W463">HLOOKUP($J463,'Type Chart'!$C$2:$T$20,4,false)*HLOOKUP($K463,'Type Chart'!$C$2:$U$20,4,false)</f>
        <v>1</v>
      </c>
      <c r="X463" s="960">
        <f t="array" ref="X463">HLOOKUP($J463,'Type Chart'!$C$2:$T$20,5,false)*HLOOKUP($K463,'Type Chart'!$C$2:$U$20,5,false)</f>
        <v>1</v>
      </c>
      <c r="Y463" s="960">
        <f t="array" ref="Y463">HLOOKUP($J463,'Type Chart'!$C$2:$T$20,6,false)*HLOOKUP($K463,'Type Chart'!$C$2:$U$20,6,false)</f>
        <v>1</v>
      </c>
      <c r="Z463" s="960">
        <f t="array" ref="Z463">HLOOKUP($J463,'Type Chart'!$C$2:$T$20,7,false)*HLOOKUP($K463,'Type Chart'!$C$2:$U$20,7,false)</f>
        <v>2</v>
      </c>
      <c r="AA463" s="960">
        <f t="array" ref="AA463">HLOOKUP($J463,'Type Chart'!$C$2:$T$20,8,false)*HLOOKUP($K463,'Type Chart'!$C$2:$U$20,8,false)</f>
        <v>1</v>
      </c>
      <c r="AB463" s="960">
        <f t="array" ref="AB463">HLOOKUP($J463,'Type Chart'!$C$2:$T$20,9,false)*HLOOKUP($K463,'Type Chart'!$C$2:$U$20,9,false)</f>
        <v>1</v>
      </c>
      <c r="AC463" s="960">
        <f t="array" ref="AC463">HLOOKUP($J463,'Type Chart'!$C$2:$T$20,10,false)*HLOOKUP($K463,'Type Chart'!$C$2:$U$20,10,false)</f>
        <v>2</v>
      </c>
      <c r="AD463" s="960">
        <f t="array" ref="AD463">HLOOKUP($J463,'Type Chart'!$C$2:$T$20,11,false)*HLOOKUP($K463,'Type Chart'!$C$2:$U$20,11,false)</f>
        <v>2</v>
      </c>
      <c r="AE463" s="960">
        <f t="array" ref="AE463">HLOOKUP($J463,'Type Chart'!$C$2:$T$20,12,false)*HLOOKUP($K463,'Type Chart'!$C$2:$U$20,12,false)</f>
        <v>1</v>
      </c>
      <c r="AF463" s="960">
        <f t="array" ref="AF463">HLOOKUP($J463,'Type Chart'!$C$2:$T$20,13,false)*HLOOKUP($K463,'Type Chart'!$C$2:$U$20,13,false)</f>
        <v>1</v>
      </c>
      <c r="AG463" s="960">
        <f t="array" ref="AG463">HLOOKUP($J463,'Type Chart'!$C$2:$T$20,14,false)*HLOOKUP($K463,'Type Chart'!$C$2:$U$20,14,false)</f>
        <v>1</v>
      </c>
      <c r="AH463" s="960">
        <f t="array" ref="AH463">HLOOKUP($J463,'Type Chart'!$C$2:$T$20,15,false)*HLOOKUP($K463,'Type Chart'!$C$2:$U$20,15,false)</f>
        <v>1</v>
      </c>
      <c r="AI463" s="960">
        <f t="array" ref="AI463">HLOOKUP($J463,'Type Chart'!$C$2:$T$20,16,false)*HLOOKUP($K463,'Type Chart'!$C$2:$U$20,16,false)</f>
        <v>0.5</v>
      </c>
      <c r="AJ463" s="960">
        <f t="array" ref="AJ463">HLOOKUP($J463,'Type Chart'!$C$2:$T$20,17,false)*HLOOKUP($K463,'Type Chart'!$C$2:$U$20,17,false)</f>
        <v>1</v>
      </c>
      <c r="AK463" s="960">
        <f t="array" ref="AK463">HLOOKUP($J463,'Type Chart'!$C$2:$T$20,18,false)*HLOOKUP($K463,'Type Chart'!$C$2:$U$20,18,false)</f>
        <v>1</v>
      </c>
      <c r="AL463" s="960">
        <f t="array" ref="AL463">HLOOKUP($J463,'Type Chart'!$C$2:$T$20,19,false)*HLOOKUP($K463,'Type Chart'!$C$2:$U$20,19,false)</f>
        <v>1</v>
      </c>
      <c r="AM463" s="964" t="s">
        <v>2348</v>
      </c>
      <c r="AN463" s="965"/>
      <c r="AO463" s="966"/>
      <c r="AP463" s="936"/>
      <c r="AQ463" s="967"/>
      <c r="AR463" s="968"/>
      <c r="AS463" s="936"/>
    </row>
    <row r="464" ht="15.75" customHeight="1">
      <c r="A464" s="936"/>
      <c r="B464" s="948" t="s">
        <v>2349</v>
      </c>
      <c r="C464" s="950" t="s">
        <v>2350</v>
      </c>
      <c r="D464" s="950" t="s">
        <v>2350</v>
      </c>
      <c r="E464" s="952" t="s">
        <v>2350</v>
      </c>
      <c r="F464" s="940"/>
      <c r="G464" s="953"/>
      <c r="H464" s="969"/>
      <c r="I464" s="956" t="s">
        <v>2351</v>
      </c>
      <c r="J464" s="1205" t="s">
        <v>345</v>
      </c>
      <c r="K464" s="1056" t="s">
        <v>81</v>
      </c>
      <c r="L464" s="959">
        <v>70.0</v>
      </c>
      <c r="M464" s="960">
        <v>40.0</v>
      </c>
      <c r="N464" s="960">
        <v>50.0</v>
      </c>
      <c r="O464" s="960">
        <v>55.0</v>
      </c>
      <c r="P464" s="960">
        <v>50.0</v>
      </c>
      <c r="Q464" s="960">
        <v>25.0</v>
      </c>
      <c r="R464" s="960">
        <v>86.0</v>
      </c>
      <c r="S464" s="960">
        <v>149.0</v>
      </c>
      <c r="T464" s="960">
        <v>163.0</v>
      </c>
      <c r="U464" s="960">
        <f t="array" ref="U464">HLOOKUP($J464,'Type Chart'!$C$2:$T$20,2,false)*HLOOKUP($K464,'Type Chart'!$C$2:$U$20,2,false)</f>
        <v>1</v>
      </c>
      <c r="V464" s="960">
        <f t="array" ref="V464">HLOOKUP($J464,'Type Chart'!$C$2:$T$20,3,false)*HLOOKUP($K464,'Type Chart'!$C$2:$U$20,3,false)</f>
        <v>2</v>
      </c>
      <c r="W464" s="960">
        <f t="array" ref="W464">HLOOKUP($J464,'Type Chart'!$C$2:$T$20,4,false)*HLOOKUP($K464,'Type Chart'!$C$2:$U$20,4,false)</f>
        <v>1</v>
      </c>
      <c r="X464" s="960">
        <f t="array" ref="X464">HLOOKUP($J464,'Type Chart'!$C$2:$T$20,5,false)*HLOOKUP($K464,'Type Chart'!$C$2:$U$20,5,false)</f>
        <v>1</v>
      </c>
      <c r="Y464" s="960">
        <f t="array" ref="Y464">HLOOKUP($J464,'Type Chart'!$C$2:$T$20,6,false)*HLOOKUP($K464,'Type Chart'!$C$2:$U$20,6,false)</f>
        <v>1</v>
      </c>
      <c r="Z464" s="960">
        <f t="array" ref="Z464">HLOOKUP($J464,'Type Chart'!$C$2:$T$20,7,false)*HLOOKUP($K464,'Type Chart'!$C$2:$U$20,7,false)</f>
        <v>2</v>
      </c>
      <c r="AA464" s="960">
        <f t="array" ref="AA464">HLOOKUP($J464,'Type Chart'!$C$2:$T$20,8,false)*HLOOKUP($K464,'Type Chart'!$C$2:$U$20,8,false)</f>
        <v>1</v>
      </c>
      <c r="AB464" s="960">
        <f t="array" ref="AB464">HLOOKUP($J464,'Type Chart'!$C$2:$T$20,9,false)*HLOOKUP($K464,'Type Chart'!$C$2:$U$20,9,false)</f>
        <v>1</v>
      </c>
      <c r="AC464" s="960">
        <f t="array" ref="AC464">HLOOKUP($J464,'Type Chart'!$C$2:$T$20,10,false)*HLOOKUP($K464,'Type Chart'!$C$2:$U$20,10,false)</f>
        <v>1</v>
      </c>
      <c r="AD464" s="960">
        <f t="array" ref="AD464">HLOOKUP($J464,'Type Chart'!$C$2:$T$20,11,false)*HLOOKUP($K464,'Type Chart'!$C$2:$U$20,11,false)</f>
        <v>1</v>
      </c>
      <c r="AE464" s="960">
        <f t="array" ref="AE464">HLOOKUP($J464,'Type Chart'!$C$2:$T$20,12,false)*HLOOKUP($K464,'Type Chart'!$C$2:$U$20,12,false)</f>
        <v>0.5</v>
      </c>
      <c r="AF464" s="960">
        <f t="array" ref="AF464">HLOOKUP($J464,'Type Chart'!$C$2:$T$20,13,false)*HLOOKUP($K464,'Type Chart'!$C$2:$U$20,13,false)</f>
        <v>2</v>
      </c>
      <c r="AG464" s="960">
        <f t="array" ref="AG464">HLOOKUP($J464,'Type Chart'!$C$2:$T$20,14,false)*HLOOKUP($K464,'Type Chart'!$C$2:$U$20,14,false)</f>
        <v>2</v>
      </c>
      <c r="AH464" s="960">
        <f t="array" ref="AH464">HLOOKUP($J464,'Type Chart'!$C$2:$T$20,15,false)*HLOOKUP($K464,'Type Chart'!$C$2:$U$20,15,false)</f>
        <v>1</v>
      </c>
      <c r="AI464" s="960">
        <f t="array" ref="AI464">HLOOKUP($J464,'Type Chart'!$C$2:$T$20,16,false)*HLOOKUP($K464,'Type Chart'!$C$2:$U$20,16,false)</f>
        <v>0.25</v>
      </c>
      <c r="AJ464" s="960">
        <f t="array" ref="AJ464">HLOOKUP($J464,'Type Chart'!$C$2:$T$20,17,false)*HLOOKUP($K464,'Type Chart'!$C$2:$U$20,17,false)</f>
        <v>1</v>
      </c>
      <c r="AK464" s="960">
        <f t="array" ref="AK464">HLOOKUP($J464,'Type Chart'!$C$2:$T$20,18,false)*HLOOKUP($K464,'Type Chart'!$C$2:$U$20,18,false)</f>
        <v>1</v>
      </c>
      <c r="AL464" s="960">
        <f t="array" ref="AL464">HLOOKUP($J464,'Type Chart'!$C$2:$T$20,19,false)*HLOOKUP($K464,'Type Chart'!$C$2:$U$20,19,false)</f>
        <v>1</v>
      </c>
      <c r="AM464" s="964" t="s">
        <v>760</v>
      </c>
      <c r="AN464" s="965" t="s">
        <v>1410</v>
      </c>
      <c r="AO464" s="966" t="s">
        <v>1369</v>
      </c>
      <c r="AP464" s="936"/>
      <c r="AQ464" s="967"/>
      <c r="AR464" s="968"/>
      <c r="AS464" s="936"/>
    </row>
    <row r="465" ht="15.75" customHeight="1">
      <c r="A465" s="1099"/>
      <c r="B465" s="948" t="s">
        <v>2352</v>
      </c>
      <c r="C465" s="950" t="s">
        <v>2353</v>
      </c>
      <c r="D465" s="950" t="s">
        <v>2353</v>
      </c>
      <c r="E465" s="952" t="s">
        <v>2353</v>
      </c>
      <c r="F465" s="940"/>
      <c r="G465" s="953"/>
      <c r="H465" s="969"/>
      <c r="I465" s="956" t="s">
        <v>2354</v>
      </c>
      <c r="J465" s="1205" t="s">
        <v>345</v>
      </c>
      <c r="K465" s="1056" t="s">
        <v>81</v>
      </c>
      <c r="L465" s="959">
        <v>90.0</v>
      </c>
      <c r="M465" s="960">
        <v>60.0</v>
      </c>
      <c r="N465" s="960">
        <v>70.0</v>
      </c>
      <c r="O465" s="960">
        <v>75.0</v>
      </c>
      <c r="P465" s="960">
        <v>70.0</v>
      </c>
      <c r="Q465" s="960">
        <v>45.0</v>
      </c>
      <c r="R465" s="960">
        <v>126.0</v>
      </c>
      <c r="S465" s="960">
        <v>189.0</v>
      </c>
      <c r="T465" s="960">
        <v>207.0</v>
      </c>
      <c r="U465" s="960">
        <f t="array" ref="U465">HLOOKUP($J465,'Type Chart'!$C$2:$T$20,2,false)*HLOOKUP($K465,'Type Chart'!$C$2:$U$20,2,false)</f>
        <v>1</v>
      </c>
      <c r="V465" s="960">
        <f t="array" ref="V465">HLOOKUP($J465,'Type Chart'!$C$2:$T$20,3,false)*HLOOKUP($K465,'Type Chart'!$C$2:$U$20,3,false)</f>
        <v>2</v>
      </c>
      <c r="W465" s="960">
        <f t="array" ref="W465">HLOOKUP($J465,'Type Chart'!$C$2:$T$20,4,false)*HLOOKUP($K465,'Type Chart'!$C$2:$U$20,4,false)</f>
        <v>1</v>
      </c>
      <c r="X465" s="960">
        <f t="array" ref="X465">HLOOKUP($J465,'Type Chart'!$C$2:$T$20,5,false)*HLOOKUP($K465,'Type Chart'!$C$2:$U$20,5,false)</f>
        <v>1</v>
      </c>
      <c r="Y465" s="960">
        <f t="array" ref="Y465">HLOOKUP($J465,'Type Chart'!$C$2:$T$20,6,false)*HLOOKUP($K465,'Type Chart'!$C$2:$U$20,6,false)</f>
        <v>1</v>
      </c>
      <c r="Z465" s="960">
        <f t="array" ref="Z465">HLOOKUP($J465,'Type Chart'!$C$2:$T$20,7,false)*HLOOKUP($K465,'Type Chart'!$C$2:$U$20,7,false)</f>
        <v>2</v>
      </c>
      <c r="AA465" s="960">
        <f t="array" ref="AA465">HLOOKUP($J465,'Type Chart'!$C$2:$T$20,8,false)*HLOOKUP($K465,'Type Chart'!$C$2:$U$20,8,false)</f>
        <v>1</v>
      </c>
      <c r="AB465" s="960">
        <f t="array" ref="AB465">HLOOKUP($J465,'Type Chart'!$C$2:$T$20,9,false)*HLOOKUP($K465,'Type Chart'!$C$2:$U$20,9,false)</f>
        <v>1</v>
      </c>
      <c r="AC465" s="960">
        <f t="array" ref="AC465">HLOOKUP($J465,'Type Chart'!$C$2:$T$20,10,false)*HLOOKUP($K465,'Type Chart'!$C$2:$U$20,10,false)</f>
        <v>1</v>
      </c>
      <c r="AD465" s="960">
        <f t="array" ref="AD465">HLOOKUP($J465,'Type Chart'!$C$2:$T$20,11,false)*HLOOKUP($K465,'Type Chart'!$C$2:$U$20,11,false)</f>
        <v>1</v>
      </c>
      <c r="AE465" s="960">
        <f t="array" ref="AE465">HLOOKUP($J465,'Type Chart'!$C$2:$T$20,12,false)*HLOOKUP($K465,'Type Chart'!$C$2:$U$20,12,false)</f>
        <v>0.5</v>
      </c>
      <c r="AF465" s="960">
        <f t="array" ref="AF465">HLOOKUP($J465,'Type Chart'!$C$2:$T$20,13,false)*HLOOKUP($K465,'Type Chart'!$C$2:$U$20,13,false)</f>
        <v>2</v>
      </c>
      <c r="AG465" s="960">
        <f t="array" ref="AG465">HLOOKUP($J465,'Type Chart'!$C$2:$T$20,14,false)*HLOOKUP($K465,'Type Chart'!$C$2:$U$20,14,false)</f>
        <v>2</v>
      </c>
      <c r="AH465" s="960">
        <f t="array" ref="AH465">HLOOKUP($J465,'Type Chart'!$C$2:$T$20,15,false)*HLOOKUP($K465,'Type Chart'!$C$2:$U$20,15,false)</f>
        <v>1</v>
      </c>
      <c r="AI465" s="960">
        <f t="array" ref="AI465">HLOOKUP($J465,'Type Chart'!$C$2:$T$20,16,false)*HLOOKUP($K465,'Type Chart'!$C$2:$U$20,16,false)</f>
        <v>0.25</v>
      </c>
      <c r="AJ465" s="960">
        <f t="array" ref="AJ465">HLOOKUP($J465,'Type Chart'!$C$2:$T$20,17,false)*HLOOKUP($K465,'Type Chart'!$C$2:$U$20,17,false)</f>
        <v>1</v>
      </c>
      <c r="AK465" s="960">
        <f t="array" ref="AK465">HLOOKUP($J465,'Type Chart'!$C$2:$T$20,18,false)*HLOOKUP($K465,'Type Chart'!$C$2:$U$20,18,false)</f>
        <v>1</v>
      </c>
      <c r="AL465" s="960">
        <f t="array" ref="AL465">HLOOKUP($J465,'Type Chart'!$C$2:$T$20,19,false)*HLOOKUP($K465,'Type Chart'!$C$2:$U$20,19,false)</f>
        <v>1</v>
      </c>
      <c r="AM465" s="1145" t="s">
        <v>760</v>
      </c>
      <c r="AN465" s="1202" t="s">
        <v>1410</v>
      </c>
      <c r="AO465" s="1146" t="s">
        <v>1369</v>
      </c>
      <c r="AP465" s="936"/>
      <c r="AQ465" s="967"/>
      <c r="AR465" s="968"/>
      <c r="AS465" s="936"/>
    </row>
    <row r="466" ht="15.75" customHeight="1">
      <c r="A466" s="1099"/>
      <c r="B466" s="948" t="s">
        <v>2355</v>
      </c>
      <c r="C466" s="950" t="s">
        <v>2356</v>
      </c>
      <c r="D466" s="950" t="s">
        <v>2356</v>
      </c>
      <c r="E466" s="952" t="s">
        <v>2356</v>
      </c>
      <c r="F466" s="940"/>
      <c r="G466" s="953"/>
      <c r="H466" s="969"/>
      <c r="I466" s="956" t="s">
        <v>2357</v>
      </c>
      <c r="J466" s="1205" t="s">
        <v>345</v>
      </c>
      <c r="K466" s="1056" t="s">
        <v>81</v>
      </c>
      <c r="L466" s="959">
        <v>110.0</v>
      </c>
      <c r="M466" s="960">
        <v>80.0</v>
      </c>
      <c r="N466" s="960">
        <v>90.0</v>
      </c>
      <c r="O466" s="960">
        <v>95.0</v>
      </c>
      <c r="P466" s="960">
        <v>90.0</v>
      </c>
      <c r="Q466" s="960">
        <v>65.0</v>
      </c>
      <c r="R466" s="960">
        <v>166.0</v>
      </c>
      <c r="S466" s="960">
        <v>229.0</v>
      </c>
      <c r="T466" s="960">
        <v>251.0</v>
      </c>
      <c r="U466" s="960">
        <f t="array" ref="U466">HLOOKUP($J466,'Type Chart'!$C$2:$T$20,2,false)*HLOOKUP($K466,'Type Chart'!$C$2:$U$20,2,false)</f>
        <v>1</v>
      </c>
      <c r="V466" s="960">
        <f t="array" ref="V466">HLOOKUP($J466,'Type Chart'!$C$2:$T$20,3,false)*HLOOKUP($K466,'Type Chart'!$C$2:$U$20,3,false)</f>
        <v>2</v>
      </c>
      <c r="W466" s="960">
        <f t="array" ref="W466">HLOOKUP($J466,'Type Chart'!$C$2:$T$20,4,false)*HLOOKUP($K466,'Type Chart'!$C$2:$U$20,4,false)</f>
        <v>1</v>
      </c>
      <c r="X466" s="960">
        <f t="array" ref="X466">HLOOKUP($J466,'Type Chart'!$C$2:$T$20,5,false)*HLOOKUP($K466,'Type Chart'!$C$2:$U$20,5,false)</f>
        <v>1</v>
      </c>
      <c r="Y466" s="960">
        <f t="array" ref="Y466">HLOOKUP($J466,'Type Chart'!$C$2:$T$20,6,false)*HLOOKUP($K466,'Type Chart'!$C$2:$U$20,6,false)</f>
        <v>1</v>
      </c>
      <c r="Z466" s="960">
        <f t="array" ref="Z466">HLOOKUP($J466,'Type Chart'!$C$2:$T$20,7,false)*HLOOKUP($K466,'Type Chart'!$C$2:$U$20,7,false)</f>
        <v>2</v>
      </c>
      <c r="AA466" s="960">
        <f t="array" ref="AA466">HLOOKUP($J466,'Type Chart'!$C$2:$T$20,8,false)*HLOOKUP($K466,'Type Chart'!$C$2:$U$20,8,false)</f>
        <v>1</v>
      </c>
      <c r="AB466" s="960">
        <f t="array" ref="AB466">HLOOKUP($J466,'Type Chart'!$C$2:$T$20,9,false)*HLOOKUP($K466,'Type Chart'!$C$2:$U$20,9,false)</f>
        <v>1</v>
      </c>
      <c r="AC466" s="960">
        <f t="array" ref="AC466">HLOOKUP($J466,'Type Chart'!$C$2:$T$20,10,false)*HLOOKUP($K466,'Type Chart'!$C$2:$U$20,10,false)</f>
        <v>1</v>
      </c>
      <c r="AD466" s="960">
        <f t="array" ref="AD466">HLOOKUP($J466,'Type Chart'!$C$2:$T$20,11,false)*HLOOKUP($K466,'Type Chart'!$C$2:$U$20,11,false)</f>
        <v>1</v>
      </c>
      <c r="AE466" s="960">
        <f t="array" ref="AE466">HLOOKUP($J466,'Type Chart'!$C$2:$T$20,12,false)*HLOOKUP($K466,'Type Chart'!$C$2:$U$20,12,false)</f>
        <v>0.5</v>
      </c>
      <c r="AF466" s="960">
        <f t="array" ref="AF466">HLOOKUP($J466,'Type Chart'!$C$2:$T$20,13,false)*HLOOKUP($K466,'Type Chart'!$C$2:$U$20,13,false)</f>
        <v>2</v>
      </c>
      <c r="AG466" s="960">
        <f t="array" ref="AG466">HLOOKUP($J466,'Type Chart'!$C$2:$T$20,14,false)*HLOOKUP($K466,'Type Chart'!$C$2:$U$20,14,false)</f>
        <v>2</v>
      </c>
      <c r="AH466" s="960">
        <f t="array" ref="AH466">HLOOKUP($J466,'Type Chart'!$C$2:$T$20,15,false)*HLOOKUP($K466,'Type Chart'!$C$2:$U$20,15,false)</f>
        <v>1</v>
      </c>
      <c r="AI466" s="960">
        <f t="array" ref="AI466">HLOOKUP($J466,'Type Chart'!$C$2:$T$20,16,false)*HLOOKUP($K466,'Type Chart'!$C$2:$U$20,16,false)</f>
        <v>0.25</v>
      </c>
      <c r="AJ466" s="960">
        <f t="array" ref="AJ466">HLOOKUP($J466,'Type Chart'!$C$2:$T$20,17,false)*HLOOKUP($K466,'Type Chart'!$C$2:$U$20,17,false)</f>
        <v>1</v>
      </c>
      <c r="AK466" s="960">
        <f t="array" ref="AK466">HLOOKUP($J466,'Type Chart'!$C$2:$T$20,18,false)*HLOOKUP($K466,'Type Chart'!$C$2:$U$20,18,false)</f>
        <v>1</v>
      </c>
      <c r="AL466" s="960">
        <f t="array" ref="AL466">HLOOKUP($J466,'Type Chart'!$C$2:$T$20,19,false)*HLOOKUP($K466,'Type Chart'!$C$2:$U$20,19,false)</f>
        <v>1</v>
      </c>
      <c r="AM466" s="1145" t="s">
        <v>760</v>
      </c>
      <c r="AN466" s="1202" t="s">
        <v>1410</v>
      </c>
      <c r="AO466" s="1146" t="s">
        <v>1369</v>
      </c>
      <c r="AP466" s="936"/>
      <c r="AQ466" s="967"/>
      <c r="AR466" s="968"/>
      <c r="AS466" s="936"/>
    </row>
    <row r="467" ht="15.75" customHeight="1">
      <c r="A467" s="1099"/>
      <c r="B467" s="948" t="s">
        <v>2358</v>
      </c>
      <c r="C467" s="950" t="s">
        <v>2359</v>
      </c>
      <c r="D467" s="950" t="s">
        <v>2359</v>
      </c>
      <c r="E467" s="952" t="s">
        <v>2359</v>
      </c>
      <c r="F467" s="940"/>
      <c r="G467" s="953"/>
      <c r="H467" s="969"/>
      <c r="I467" s="956" t="s">
        <v>2360</v>
      </c>
      <c r="J467" s="1056" t="s">
        <v>81</v>
      </c>
      <c r="K467" s="984" t="s">
        <v>216</v>
      </c>
      <c r="L467" s="959">
        <v>35.0</v>
      </c>
      <c r="M467" s="960">
        <v>64.0</v>
      </c>
      <c r="N467" s="960">
        <v>85.0</v>
      </c>
      <c r="O467" s="960">
        <v>74.0</v>
      </c>
      <c r="P467" s="960">
        <v>55.0</v>
      </c>
      <c r="Q467" s="960">
        <v>32.0</v>
      </c>
      <c r="R467" s="960">
        <v>100.0</v>
      </c>
      <c r="S467" s="960">
        <v>163.0</v>
      </c>
      <c r="T467" s="960">
        <v>179.0</v>
      </c>
      <c r="U467" s="960">
        <f t="array" ref="U467">HLOOKUP($J467,'Type Chart'!$C$2:$T$20,2,false)*HLOOKUP($K467,'Type Chart'!$C$2:$U$20,2,false)</f>
        <v>1</v>
      </c>
      <c r="V467" s="960">
        <f t="array" ref="V467">HLOOKUP($J467,'Type Chart'!$C$2:$T$20,3,false)*HLOOKUP($K467,'Type Chart'!$C$2:$U$20,3,false)</f>
        <v>1</v>
      </c>
      <c r="W467" s="960">
        <f t="array" ref="W467">HLOOKUP($J467,'Type Chart'!$C$2:$T$20,4,false)*HLOOKUP($K467,'Type Chart'!$C$2:$U$20,4,false)</f>
        <v>1</v>
      </c>
      <c r="X467" s="960">
        <f t="array" ref="X467">HLOOKUP($J467,'Type Chart'!$C$2:$T$20,5,false)*HLOOKUP($K467,'Type Chart'!$C$2:$U$20,5,false)</f>
        <v>1</v>
      </c>
      <c r="Y467" s="960">
        <f t="array" ref="Y467">HLOOKUP($J467,'Type Chart'!$C$2:$T$20,6,false)*HLOOKUP($K467,'Type Chart'!$C$2:$U$20,6,false)</f>
        <v>1</v>
      </c>
      <c r="Z467" s="960">
        <f t="array" ref="Z467">HLOOKUP($J467,'Type Chart'!$C$2:$T$20,7,false)*HLOOKUP($K467,'Type Chart'!$C$2:$U$20,7,false)</f>
        <v>1</v>
      </c>
      <c r="AA467" s="960">
        <f t="array" ref="AA467">HLOOKUP($J467,'Type Chart'!$C$2:$T$20,8,false)*HLOOKUP($K467,'Type Chart'!$C$2:$U$20,8,false)</f>
        <v>1</v>
      </c>
      <c r="AB467" s="960">
        <f t="array" ref="AB467">HLOOKUP($J467,'Type Chart'!$C$2:$T$20,9,false)*HLOOKUP($K467,'Type Chart'!$C$2:$U$20,9,false)</f>
        <v>1</v>
      </c>
      <c r="AC467" s="960">
        <f t="array" ref="AC467">HLOOKUP($J467,'Type Chart'!$C$2:$T$20,10,false)*HLOOKUP($K467,'Type Chart'!$C$2:$U$20,10,false)</f>
        <v>0.5</v>
      </c>
      <c r="AD467" s="960">
        <f t="array" ref="AD467">HLOOKUP($J467,'Type Chart'!$C$2:$T$20,11,false)*HLOOKUP($K467,'Type Chart'!$C$2:$U$20,11,false)</f>
        <v>0.5</v>
      </c>
      <c r="AE467" s="960">
        <f t="array" ref="AE467">HLOOKUP($J467,'Type Chart'!$C$2:$T$20,12,false)*HLOOKUP($K467,'Type Chart'!$C$2:$U$20,12,false)</f>
        <v>0.5</v>
      </c>
      <c r="AF467" s="960">
        <f t="array" ref="AF467">HLOOKUP($J467,'Type Chart'!$C$2:$T$20,13,false)*HLOOKUP($K467,'Type Chart'!$C$2:$U$20,13,false)</f>
        <v>2</v>
      </c>
      <c r="AG467" s="960">
        <f t="array" ref="AG467">HLOOKUP($J467,'Type Chart'!$C$2:$T$20,14,false)*HLOOKUP($K467,'Type Chart'!$C$2:$U$20,14,false)</f>
        <v>2</v>
      </c>
      <c r="AH467" s="960">
        <f t="array" ref="AH467">HLOOKUP($J467,'Type Chart'!$C$2:$T$20,15,false)*HLOOKUP($K467,'Type Chart'!$C$2:$U$20,15,false)</f>
        <v>1</v>
      </c>
      <c r="AI467" s="960">
        <f t="array" ref="AI467">HLOOKUP($J467,'Type Chart'!$C$2:$T$20,16,false)*HLOOKUP($K467,'Type Chart'!$C$2:$U$20,16,false)</f>
        <v>0.5</v>
      </c>
      <c r="AJ467" s="960">
        <f t="array" ref="AJ467">HLOOKUP($J467,'Type Chart'!$C$2:$T$20,17,false)*HLOOKUP($K467,'Type Chart'!$C$2:$U$20,17,false)</f>
        <v>1</v>
      </c>
      <c r="AK467" s="960">
        <f t="array" ref="AK467">HLOOKUP($J467,'Type Chart'!$C$2:$T$20,18,false)*HLOOKUP($K467,'Type Chart'!$C$2:$U$20,18,false)</f>
        <v>1</v>
      </c>
      <c r="AL467" s="960">
        <f t="array" ref="AL467">HLOOKUP($J467,'Type Chart'!$C$2:$T$20,19,false)*HLOOKUP($K467,'Type Chart'!$C$2:$U$20,19,false)</f>
        <v>1</v>
      </c>
      <c r="AM467" s="1145" t="s">
        <v>1385</v>
      </c>
      <c r="AN467" s="1202"/>
      <c r="AO467" s="1146" t="s">
        <v>1243</v>
      </c>
      <c r="AP467" s="936"/>
      <c r="AQ467" s="967"/>
      <c r="AR467" s="968"/>
      <c r="AS467" s="936"/>
    </row>
    <row r="468" ht="15.75" customHeight="1">
      <c r="A468" s="936"/>
      <c r="B468" s="948" t="s">
        <v>2361</v>
      </c>
      <c r="C468" s="950" t="s">
        <v>2362</v>
      </c>
      <c r="D468" s="950" t="s">
        <v>2362</v>
      </c>
      <c r="E468" s="952" t="s">
        <v>2362</v>
      </c>
      <c r="F468" s="940"/>
      <c r="G468" s="953"/>
      <c r="H468" s="969"/>
      <c r="I468" s="956" t="s">
        <v>2363</v>
      </c>
      <c r="J468" s="1056" t="s">
        <v>81</v>
      </c>
      <c r="K468" s="984" t="s">
        <v>216</v>
      </c>
      <c r="L468" s="959">
        <v>55.0</v>
      </c>
      <c r="M468" s="960">
        <v>104.0</v>
      </c>
      <c r="N468" s="960">
        <v>105.0</v>
      </c>
      <c r="O468" s="960">
        <v>94.0</v>
      </c>
      <c r="P468" s="960">
        <v>75.0</v>
      </c>
      <c r="Q468" s="960">
        <v>52.0</v>
      </c>
      <c r="R468" s="960">
        <v>140.0</v>
      </c>
      <c r="S468" s="960">
        <v>203.0</v>
      </c>
      <c r="T468" s="960">
        <v>223.0</v>
      </c>
      <c r="U468" s="960">
        <f t="array" ref="U468">HLOOKUP($J468,'Type Chart'!$C$2:$T$20,2,false)*HLOOKUP($K468,'Type Chart'!$C$2:$U$20,2,false)</f>
        <v>1</v>
      </c>
      <c r="V468" s="960">
        <f t="array" ref="V468">HLOOKUP($J468,'Type Chart'!$C$2:$T$20,3,false)*HLOOKUP($K468,'Type Chart'!$C$2:$U$20,3,false)</f>
        <v>1</v>
      </c>
      <c r="W468" s="960">
        <f t="array" ref="W468">HLOOKUP($J468,'Type Chart'!$C$2:$T$20,4,false)*HLOOKUP($K468,'Type Chart'!$C$2:$U$20,4,false)</f>
        <v>1</v>
      </c>
      <c r="X468" s="960">
        <f t="array" ref="X468">HLOOKUP($J468,'Type Chart'!$C$2:$T$20,5,false)*HLOOKUP($K468,'Type Chart'!$C$2:$U$20,5,false)</f>
        <v>1</v>
      </c>
      <c r="Y468" s="960">
        <f t="array" ref="Y468">HLOOKUP($J468,'Type Chart'!$C$2:$T$20,6,false)*HLOOKUP($K468,'Type Chart'!$C$2:$U$20,6,false)</f>
        <v>1</v>
      </c>
      <c r="Z468" s="960">
        <f t="array" ref="Z468">HLOOKUP($J468,'Type Chart'!$C$2:$T$20,7,false)*HLOOKUP($K468,'Type Chart'!$C$2:$U$20,7,false)</f>
        <v>1</v>
      </c>
      <c r="AA468" s="960">
        <f t="array" ref="AA468">HLOOKUP($J468,'Type Chart'!$C$2:$T$20,8,false)*HLOOKUP($K468,'Type Chart'!$C$2:$U$20,8,false)</f>
        <v>1</v>
      </c>
      <c r="AB468" s="960">
        <f t="array" ref="AB468">HLOOKUP($J468,'Type Chart'!$C$2:$T$20,9,false)*HLOOKUP($K468,'Type Chart'!$C$2:$U$20,9,false)</f>
        <v>1</v>
      </c>
      <c r="AC468" s="960">
        <f t="array" ref="AC468">HLOOKUP($J468,'Type Chart'!$C$2:$T$20,10,false)*HLOOKUP($K468,'Type Chart'!$C$2:$U$20,10,false)</f>
        <v>0.5</v>
      </c>
      <c r="AD468" s="960">
        <f t="array" ref="AD468">HLOOKUP($J468,'Type Chart'!$C$2:$T$20,11,false)*HLOOKUP($K468,'Type Chart'!$C$2:$U$20,11,false)</f>
        <v>0.5</v>
      </c>
      <c r="AE468" s="960">
        <f t="array" ref="AE468">HLOOKUP($J468,'Type Chart'!$C$2:$T$20,12,false)*HLOOKUP($K468,'Type Chart'!$C$2:$U$20,12,false)</f>
        <v>0.5</v>
      </c>
      <c r="AF468" s="960">
        <f t="array" ref="AF468">HLOOKUP($J468,'Type Chart'!$C$2:$T$20,13,false)*HLOOKUP($K468,'Type Chart'!$C$2:$U$20,13,false)</f>
        <v>2</v>
      </c>
      <c r="AG468" s="960">
        <f t="array" ref="AG468">HLOOKUP($J468,'Type Chart'!$C$2:$T$20,14,false)*HLOOKUP($K468,'Type Chart'!$C$2:$U$20,14,false)</f>
        <v>2</v>
      </c>
      <c r="AH468" s="960">
        <f t="array" ref="AH468">HLOOKUP($J468,'Type Chart'!$C$2:$T$20,15,false)*HLOOKUP($K468,'Type Chart'!$C$2:$U$20,15,false)</f>
        <v>1</v>
      </c>
      <c r="AI468" s="960">
        <f t="array" ref="AI468">HLOOKUP($J468,'Type Chart'!$C$2:$T$20,16,false)*HLOOKUP($K468,'Type Chart'!$C$2:$U$20,16,false)</f>
        <v>0.5</v>
      </c>
      <c r="AJ468" s="960">
        <f t="array" ref="AJ468">HLOOKUP($J468,'Type Chart'!$C$2:$T$20,17,false)*HLOOKUP($K468,'Type Chart'!$C$2:$U$20,17,false)</f>
        <v>1</v>
      </c>
      <c r="AK468" s="960">
        <f t="array" ref="AK468">HLOOKUP($J468,'Type Chart'!$C$2:$T$20,18,false)*HLOOKUP($K468,'Type Chart'!$C$2:$U$20,18,false)</f>
        <v>1</v>
      </c>
      <c r="AL468" s="960">
        <f t="array" ref="AL468">HLOOKUP($J468,'Type Chart'!$C$2:$T$20,19,false)*HLOOKUP($K468,'Type Chart'!$C$2:$U$20,19,false)</f>
        <v>1</v>
      </c>
      <c r="AM468" s="964" t="s">
        <v>1259</v>
      </c>
      <c r="AN468" s="965"/>
      <c r="AO468" s="966" t="s">
        <v>1542</v>
      </c>
      <c r="AP468" s="936"/>
      <c r="AQ468" s="967"/>
      <c r="AR468" s="968"/>
      <c r="AS468" s="936"/>
    </row>
    <row r="469" ht="15.75" customHeight="1">
      <c r="A469" s="936"/>
      <c r="B469" s="948" t="s">
        <v>2364</v>
      </c>
      <c r="C469" s="950" t="s">
        <v>2365</v>
      </c>
      <c r="D469" s="950" t="s">
        <v>2365</v>
      </c>
      <c r="E469" s="952" t="s">
        <v>2365</v>
      </c>
      <c r="F469" s="940"/>
      <c r="G469" s="953"/>
      <c r="H469" s="969"/>
      <c r="I469" s="956" t="s">
        <v>2366</v>
      </c>
      <c r="J469" s="1056" t="s">
        <v>81</v>
      </c>
      <c r="K469" s="984" t="s">
        <v>216</v>
      </c>
      <c r="L469" s="959">
        <v>55.0</v>
      </c>
      <c r="M469" s="960">
        <v>84.0</v>
      </c>
      <c r="N469" s="960">
        <v>105.0</v>
      </c>
      <c r="O469" s="960">
        <v>114.0</v>
      </c>
      <c r="P469" s="960">
        <v>75.0</v>
      </c>
      <c r="Q469" s="960">
        <v>52.0</v>
      </c>
      <c r="R469" s="960">
        <v>140.0</v>
      </c>
      <c r="S469" s="960">
        <v>203.0</v>
      </c>
      <c r="T469" s="960">
        <v>223.0</v>
      </c>
      <c r="U469" s="960">
        <f t="array" ref="U469">HLOOKUP($J469,'Type Chart'!$C$2:$T$20,2,false)*HLOOKUP($K469,'Type Chart'!$C$2:$U$20,2,false)</f>
        <v>1</v>
      </c>
      <c r="V469" s="960">
        <f t="array" ref="V469">HLOOKUP($J469,'Type Chart'!$C$2:$T$20,3,false)*HLOOKUP($K469,'Type Chart'!$C$2:$U$20,3,false)</f>
        <v>1</v>
      </c>
      <c r="W469" s="960">
        <f t="array" ref="W469">HLOOKUP($J469,'Type Chart'!$C$2:$T$20,4,false)*HLOOKUP($K469,'Type Chart'!$C$2:$U$20,4,false)</f>
        <v>1</v>
      </c>
      <c r="X469" s="960">
        <f t="array" ref="X469">HLOOKUP($J469,'Type Chart'!$C$2:$T$20,5,false)*HLOOKUP($K469,'Type Chart'!$C$2:$U$20,5,false)</f>
        <v>1</v>
      </c>
      <c r="Y469" s="960">
        <f t="array" ref="Y469">HLOOKUP($J469,'Type Chart'!$C$2:$T$20,6,false)*HLOOKUP($K469,'Type Chart'!$C$2:$U$20,6,false)</f>
        <v>1</v>
      </c>
      <c r="Z469" s="960">
        <f t="array" ref="Z469">HLOOKUP($J469,'Type Chart'!$C$2:$T$20,7,false)*HLOOKUP($K469,'Type Chart'!$C$2:$U$20,7,false)</f>
        <v>1</v>
      </c>
      <c r="AA469" s="960">
        <f t="array" ref="AA469">HLOOKUP($J469,'Type Chart'!$C$2:$T$20,8,false)*HLOOKUP($K469,'Type Chart'!$C$2:$U$20,8,false)</f>
        <v>1</v>
      </c>
      <c r="AB469" s="960">
        <f t="array" ref="AB469">HLOOKUP($J469,'Type Chart'!$C$2:$T$20,9,false)*HLOOKUP($K469,'Type Chart'!$C$2:$U$20,9,false)</f>
        <v>1</v>
      </c>
      <c r="AC469" s="960">
        <f t="array" ref="AC469">HLOOKUP($J469,'Type Chart'!$C$2:$T$20,10,false)*HLOOKUP($K469,'Type Chart'!$C$2:$U$20,10,false)</f>
        <v>0.5</v>
      </c>
      <c r="AD469" s="960">
        <f t="array" ref="AD469">HLOOKUP($J469,'Type Chart'!$C$2:$T$20,11,false)*HLOOKUP($K469,'Type Chart'!$C$2:$U$20,11,false)</f>
        <v>0.5</v>
      </c>
      <c r="AE469" s="960">
        <f t="array" ref="AE469">HLOOKUP($J469,'Type Chart'!$C$2:$T$20,12,false)*HLOOKUP($K469,'Type Chart'!$C$2:$U$20,12,false)</f>
        <v>0.5</v>
      </c>
      <c r="AF469" s="960">
        <f t="array" ref="AF469">HLOOKUP($J469,'Type Chart'!$C$2:$T$20,13,false)*HLOOKUP($K469,'Type Chart'!$C$2:$U$20,13,false)</f>
        <v>2</v>
      </c>
      <c r="AG469" s="960">
        <f t="array" ref="AG469">HLOOKUP($J469,'Type Chart'!$C$2:$T$20,14,false)*HLOOKUP($K469,'Type Chart'!$C$2:$U$20,14,false)</f>
        <v>2</v>
      </c>
      <c r="AH469" s="960">
        <f t="array" ref="AH469">HLOOKUP($J469,'Type Chart'!$C$2:$T$20,15,false)*HLOOKUP($K469,'Type Chart'!$C$2:$U$20,15,false)</f>
        <v>1</v>
      </c>
      <c r="AI469" s="960">
        <f t="array" ref="AI469">HLOOKUP($J469,'Type Chart'!$C$2:$T$20,16,false)*HLOOKUP($K469,'Type Chart'!$C$2:$U$20,16,false)</f>
        <v>0.5</v>
      </c>
      <c r="AJ469" s="960">
        <f t="array" ref="AJ469">HLOOKUP($J469,'Type Chart'!$C$2:$T$20,17,false)*HLOOKUP($K469,'Type Chart'!$C$2:$U$20,17,false)</f>
        <v>1</v>
      </c>
      <c r="AK469" s="960">
        <f t="array" ref="AK469">HLOOKUP($J469,'Type Chart'!$C$2:$T$20,18,false)*HLOOKUP($K469,'Type Chart'!$C$2:$U$20,18,false)</f>
        <v>1</v>
      </c>
      <c r="AL469" s="960">
        <f t="array" ref="AL469">HLOOKUP($J469,'Type Chart'!$C$2:$T$20,19,false)*HLOOKUP($K469,'Type Chart'!$C$2:$U$20,19,false)</f>
        <v>1</v>
      </c>
      <c r="AM469" s="964" t="s">
        <v>1259</v>
      </c>
      <c r="AN469" s="965"/>
      <c r="AO469" s="966" t="s">
        <v>1409</v>
      </c>
      <c r="AP469" s="936"/>
      <c r="AQ469" s="967"/>
      <c r="AR469" s="968"/>
      <c r="AS469" s="936"/>
    </row>
    <row r="470" ht="15.75" customHeight="1">
      <c r="A470" s="936"/>
      <c r="B470" s="948" t="s">
        <v>2367</v>
      </c>
      <c r="C470" s="950" t="s">
        <v>2368</v>
      </c>
      <c r="D470" s="950" t="s">
        <v>2368</v>
      </c>
      <c r="E470" s="952" t="s">
        <v>2368</v>
      </c>
      <c r="F470" s="940"/>
      <c r="G470" s="953"/>
      <c r="H470" s="969"/>
      <c r="I470" s="956" t="s">
        <v>2369</v>
      </c>
      <c r="J470" s="1056" t="s">
        <v>81</v>
      </c>
      <c r="K470" s="1214" t="s">
        <v>342</v>
      </c>
      <c r="L470" s="959">
        <v>100.0</v>
      </c>
      <c r="M470" s="960">
        <v>90.0</v>
      </c>
      <c r="N470" s="960">
        <v>130.0</v>
      </c>
      <c r="O470" s="960">
        <v>45.0</v>
      </c>
      <c r="P470" s="960">
        <v>65.0</v>
      </c>
      <c r="Q470" s="960">
        <v>55.0</v>
      </c>
      <c r="R470" s="960">
        <v>146.0</v>
      </c>
      <c r="S470" s="960">
        <v>209.0</v>
      </c>
      <c r="T470" s="960">
        <v>229.0</v>
      </c>
      <c r="U470" s="960">
        <f t="array" ref="U470">HLOOKUP($J470,'Type Chart'!$C$2:$T$20,2,false)*HLOOKUP($K470,'Type Chart'!$C$2:$U$20,2,false)</f>
        <v>0.5</v>
      </c>
      <c r="V470" s="960">
        <f t="array" ref="V470">HLOOKUP($J470,'Type Chart'!$C$2:$T$20,3,false)*HLOOKUP($K470,'Type Chart'!$C$2:$U$20,3,false)</f>
        <v>2</v>
      </c>
      <c r="W470" s="960">
        <f t="array" ref="W470">HLOOKUP($J470,'Type Chart'!$C$2:$T$20,4,false)*HLOOKUP($K470,'Type Chart'!$C$2:$U$20,4,false)</f>
        <v>0.5</v>
      </c>
      <c r="X470" s="960">
        <f t="array" ref="X470">HLOOKUP($J470,'Type Chart'!$C$2:$T$20,5,false)*HLOOKUP($K470,'Type Chart'!$C$2:$U$20,5,false)</f>
        <v>0.5</v>
      </c>
      <c r="Y470" s="960">
        <f t="array" ref="Y470">HLOOKUP($J470,'Type Chart'!$C$2:$T$20,6,false)*HLOOKUP($K470,'Type Chart'!$C$2:$U$20,6,false)</f>
        <v>2</v>
      </c>
      <c r="Z470" s="960">
        <f t="array" ref="Z470">HLOOKUP($J470,'Type Chart'!$C$2:$T$20,7,false)*HLOOKUP($K470,'Type Chart'!$C$2:$U$20,7,false)</f>
        <v>1</v>
      </c>
      <c r="AA470" s="960">
        <f t="array" ref="AA470">HLOOKUP($J470,'Type Chart'!$C$2:$T$20,8,false)*HLOOKUP($K470,'Type Chart'!$C$2:$U$20,8,false)</f>
        <v>1</v>
      </c>
      <c r="AB470" s="960">
        <f t="array" ref="AB470">HLOOKUP($J470,'Type Chart'!$C$2:$T$20,9,false)*HLOOKUP($K470,'Type Chart'!$C$2:$U$20,9,false)</f>
        <v>1</v>
      </c>
      <c r="AC470" s="960">
        <f t="array" ref="AC470">HLOOKUP($J470,'Type Chart'!$C$2:$T$20,10,false)*HLOOKUP($K470,'Type Chart'!$C$2:$U$20,10,false)</f>
        <v>1</v>
      </c>
      <c r="AD470" s="960">
        <f t="array" ref="AD470">HLOOKUP($J470,'Type Chart'!$C$2:$T$20,11,false)*HLOOKUP($K470,'Type Chart'!$C$2:$U$20,11,false)</f>
        <v>0.25</v>
      </c>
      <c r="AE470" s="960">
        <f t="array" ref="AE470">HLOOKUP($J470,'Type Chart'!$C$2:$T$20,12,false)*HLOOKUP($K470,'Type Chart'!$C$2:$U$20,12,false)</f>
        <v>1</v>
      </c>
      <c r="AF470" s="960">
        <f t="array" ref="AF470">HLOOKUP($J470,'Type Chart'!$C$2:$T$20,13,false)*HLOOKUP($K470,'Type Chart'!$C$2:$U$20,13,false)</f>
        <v>4</v>
      </c>
      <c r="AG470" s="960">
        <f t="array" ref="AG470">HLOOKUP($J470,'Type Chart'!$C$2:$T$20,14,false)*HLOOKUP($K470,'Type Chart'!$C$2:$U$20,14,false)</f>
        <v>2</v>
      </c>
      <c r="AH470" s="960">
        <f t="array" ref="AH470">HLOOKUP($J470,'Type Chart'!$C$2:$T$20,15,false)*HLOOKUP($K470,'Type Chart'!$C$2:$U$20,15,false)</f>
        <v>1</v>
      </c>
      <c r="AI470" s="960">
        <f t="array" ref="AI470">HLOOKUP($J470,'Type Chart'!$C$2:$T$20,16,false)*HLOOKUP($K470,'Type Chart'!$C$2:$U$20,16,false)</f>
        <v>0.5</v>
      </c>
      <c r="AJ470" s="960">
        <f t="array" ref="AJ470">HLOOKUP($J470,'Type Chart'!$C$2:$T$20,17,false)*HLOOKUP($K470,'Type Chart'!$C$2:$U$20,17,false)</f>
        <v>1</v>
      </c>
      <c r="AK470" s="960">
        <f t="array" ref="AK470">HLOOKUP($J470,'Type Chart'!$C$2:$T$20,18,false)*HLOOKUP($K470,'Type Chart'!$C$2:$U$20,18,false)</f>
        <v>1</v>
      </c>
      <c r="AL470" s="960">
        <f t="array" ref="AL470">HLOOKUP($J470,'Type Chart'!$C$2:$T$20,19,false)*HLOOKUP($K470,'Type Chart'!$C$2:$U$20,19,false)</f>
        <v>1</v>
      </c>
      <c r="AM470" s="964" t="s">
        <v>1259</v>
      </c>
      <c r="AN470" s="965" t="s">
        <v>1276</v>
      </c>
      <c r="AO470" s="966" t="s">
        <v>1331</v>
      </c>
      <c r="AP470" s="936"/>
      <c r="AQ470" s="967"/>
      <c r="AR470" s="968"/>
      <c r="AS470" s="936"/>
    </row>
    <row r="471" ht="15.75" customHeight="1">
      <c r="A471" s="936"/>
      <c r="B471" s="948" t="s">
        <v>2370</v>
      </c>
      <c r="C471" s="950" t="s">
        <v>2371</v>
      </c>
      <c r="D471" s="950" t="s">
        <v>2371</v>
      </c>
      <c r="E471" s="952" t="s">
        <v>2371</v>
      </c>
      <c r="F471" s="940"/>
      <c r="G471" s="953"/>
      <c r="H471" s="969"/>
      <c r="I471" s="998" t="s">
        <v>2372</v>
      </c>
      <c r="J471" s="1056" t="s">
        <v>81</v>
      </c>
      <c r="K471" s="984" t="s">
        <v>216</v>
      </c>
      <c r="L471" s="959">
        <v>43.0</v>
      </c>
      <c r="M471" s="960">
        <v>30.0</v>
      </c>
      <c r="N471" s="960">
        <v>55.0</v>
      </c>
      <c r="O471" s="960">
        <v>40.0</v>
      </c>
      <c r="P471" s="960">
        <v>65.0</v>
      </c>
      <c r="Q471" s="960">
        <v>97.0</v>
      </c>
      <c r="R471" s="960">
        <v>230.0</v>
      </c>
      <c r="S471" s="960">
        <v>293.0</v>
      </c>
      <c r="T471" s="960">
        <v>322.0</v>
      </c>
      <c r="U471" s="960">
        <f t="array" ref="U471">HLOOKUP($J471,'Type Chart'!$C$2:$T$20,2,false)*HLOOKUP($K471,'Type Chart'!$C$2:$U$20,2,false)</f>
        <v>1</v>
      </c>
      <c r="V471" s="960">
        <f t="array" ref="V471">HLOOKUP($J471,'Type Chart'!$C$2:$T$20,3,false)*HLOOKUP($K471,'Type Chart'!$C$2:$U$20,3,false)</f>
        <v>1</v>
      </c>
      <c r="W471" s="960">
        <f t="array" ref="W471">HLOOKUP($J471,'Type Chart'!$C$2:$T$20,4,false)*HLOOKUP($K471,'Type Chart'!$C$2:$U$20,4,false)</f>
        <v>1</v>
      </c>
      <c r="X471" s="960">
        <f t="array" ref="X471">HLOOKUP($J471,'Type Chart'!$C$2:$T$20,5,false)*HLOOKUP($K471,'Type Chart'!$C$2:$U$20,5,false)</f>
        <v>1</v>
      </c>
      <c r="Y471" s="960">
        <f t="array" ref="Y471">HLOOKUP($J471,'Type Chart'!$C$2:$T$20,6,false)*HLOOKUP($K471,'Type Chart'!$C$2:$U$20,6,false)</f>
        <v>1</v>
      </c>
      <c r="Z471" s="960">
        <f t="array" ref="Z471">HLOOKUP($J471,'Type Chart'!$C$2:$T$20,7,false)*HLOOKUP($K471,'Type Chart'!$C$2:$U$20,7,false)</f>
        <v>1</v>
      </c>
      <c r="AA471" s="960">
        <f t="array" ref="AA471">HLOOKUP($J471,'Type Chart'!$C$2:$T$20,8,false)*HLOOKUP($K471,'Type Chart'!$C$2:$U$20,8,false)</f>
        <v>1</v>
      </c>
      <c r="AB471" s="960">
        <f t="array" ref="AB471">HLOOKUP($J471,'Type Chart'!$C$2:$T$20,9,false)*HLOOKUP($K471,'Type Chart'!$C$2:$U$20,9,false)</f>
        <v>1</v>
      </c>
      <c r="AC471" s="960">
        <f t="array" ref="AC471">HLOOKUP($J471,'Type Chart'!$C$2:$T$20,10,false)*HLOOKUP($K471,'Type Chart'!$C$2:$U$20,10,false)</f>
        <v>0.5</v>
      </c>
      <c r="AD471" s="960">
        <f t="array" ref="AD471">HLOOKUP($J471,'Type Chart'!$C$2:$T$20,11,false)*HLOOKUP($K471,'Type Chart'!$C$2:$U$20,11,false)</f>
        <v>0.5</v>
      </c>
      <c r="AE471" s="960">
        <f t="array" ref="AE471">HLOOKUP($J471,'Type Chart'!$C$2:$T$20,12,false)*HLOOKUP($K471,'Type Chart'!$C$2:$U$20,12,false)</f>
        <v>0.5</v>
      </c>
      <c r="AF471" s="960">
        <f t="array" ref="AF471">HLOOKUP($J471,'Type Chart'!$C$2:$T$20,13,false)*HLOOKUP($K471,'Type Chart'!$C$2:$U$20,13,false)</f>
        <v>2</v>
      </c>
      <c r="AG471" s="960">
        <f t="array" ref="AG471">HLOOKUP($J471,'Type Chart'!$C$2:$T$20,14,false)*HLOOKUP($K471,'Type Chart'!$C$2:$U$20,14,false)</f>
        <v>2</v>
      </c>
      <c r="AH471" s="960">
        <f t="array" ref="AH471">HLOOKUP($J471,'Type Chart'!$C$2:$T$20,15,false)*HLOOKUP($K471,'Type Chart'!$C$2:$U$20,15,false)</f>
        <v>1</v>
      </c>
      <c r="AI471" s="960">
        <f t="array" ref="AI471">HLOOKUP($J471,'Type Chart'!$C$2:$T$20,16,false)*HLOOKUP($K471,'Type Chart'!$C$2:$U$20,16,false)</f>
        <v>0.5</v>
      </c>
      <c r="AJ471" s="960">
        <f t="array" ref="AJ471">HLOOKUP($J471,'Type Chart'!$C$2:$T$20,17,false)*HLOOKUP($K471,'Type Chart'!$C$2:$U$20,17,false)</f>
        <v>1</v>
      </c>
      <c r="AK471" s="960">
        <f t="array" ref="AK471">HLOOKUP($J471,'Type Chart'!$C$2:$T$20,18,false)*HLOOKUP($K471,'Type Chart'!$C$2:$U$20,18,false)</f>
        <v>1</v>
      </c>
      <c r="AL471" s="960">
        <f t="array" ref="AL471">HLOOKUP($J471,'Type Chart'!$C$2:$T$20,19,false)*HLOOKUP($K471,'Type Chart'!$C$2:$U$20,19,false)</f>
        <v>1</v>
      </c>
      <c r="AM471" s="964" t="s">
        <v>1259</v>
      </c>
      <c r="AN471" s="965"/>
      <c r="AO471" s="966" t="s">
        <v>1409</v>
      </c>
      <c r="AP471" s="936"/>
      <c r="AQ471" s="967"/>
      <c r="AR471" s="968"/>
      <c r="AS471" s="936"/>
    </row>
    <row r="472" ht="15.75" customHeight="1">
      <c r="A472" s="936"/>
      <c r="B472" s="948" t="s">
        <v>2373</v>
      </c>
      <c r="C472" s="950" t="s">
        <v>2374</v>
      </c>
      <c r="D472" s="950" t="s">
        <v>2374</v>
      </c>
      <c r="E472" s="952" t="s">
        <v>2374</v>
      </c>
      <c r="F472" s="940"/>
      <c r="G472" s="953"/>
      <c r="H472" s="969"/>
      <c r="I472" s="956" t="s">
        <v>2375</v>
      </c>
      <c r="J472" s="1006" t="s">
        <v>346</v>
      </c>
      <c r="K472" s="984" t="s">
        <v>216</v>
      </c>
      <c r="L472" s="959">
        <v>45.0</v>
      </c>
      <c r="M472" s="960">
        <v>75.0</v>
      </c>
      <c r="N472" s="960">
        <v>60.0</v>
      </c>
      <c r="O472" s="960">
        <v>40.0</v>
      </c>
      <c r="P472" s="960">
        <v>30.0</v>
      </c>
      <c r="Q472" s="960">
        <v>50.0</v>
      </c>
      <c r="R472" s="960">
        <v>136.0</v>
      </c>
      <c r="S472" s="960">
        <v>199.0</v>
      </c>
      <c r="T472" s="960">
        <v>218.0</v>
      </c>
      <c r="U472" s="960">
        <f t="array" ref="U472">HLOOKUP($J472,'Type Chart'!$C$2:$T$20,2,false)*HLOOKUP($K472,'Type Chart'!$C$2:$U$20,2,false)</f>
        <v>1</v>
      </c>
      <c r="V472" s="960">
        <f t="array" ref="V472">HLOOKUP($J472,'Type Chart'!$C$2:$T$20,3,false)*HLOOKUP($K472,'Type Chart'!$C$2:$U$20,3,false)</f>
        <v>1</v>
      </c>
      <c r="W472" s="960">
        <f t="array" ref="W472">HLOOKUP($J472,'Type Chart'!$C$2:$T$20,4,false)*HLOOKUP($K472,'Type Chart'!$C$2:$U$20,4,false)</f>
        <v>1</v>
      </c>
      <c r="X472" s="960">
        <f t="array" ref="X472">HLOOKUP($J472,'Type Chart'!$C$2:$T$20,5,false)*HLOOKUP($K472,'Type Chart'!$C$2:$U$20,5,false)</f>
        <v>1</v>
      </c>
      <c r="Y472" s="960">
        <f t="array" ref="Y472">HLOOKUP($J472,'Type Chart'!$C$2:$T$20,6,false)*HLOOKUP($K472,'Type Chart'!$C$2:$U$20,6,false)</f>
        <v>1</v>
      </c>
      <c r="Z472" s="960">
        <f t="array" ref="Z472">HLOOKUP($J472,'Type Chart'!$C$2:$T$20,7,false)*HLOOKUP($K472,'Type Chart'!$C$2:$U$20,7,false)</f>
        <v>1</v>
      </c>
      <c r="AA472" s="960">
        <f t="array" ref="AA472">HLOOKUP($J472,'Type Chart'!$C$2:$T$20,8,false)*HLOOKUP($K472,'Type Chart'!$C$2:$U$20,8,false)</f>
        <v>1</v>
      </c>
      <c r="AB472" s="960">
        <f t="array" ref="AB472">HLOOKUP($J472,'Type Chart'!$C$2:$T$20,9,false)*HLOOKUP($K472,'Type Chart'!$C$2:$U$20,9,false)</f>
        <v>1</v>
      </c>
      <c r="AC472" s="960">
        <f t="array" ref="AC472">HLOOKUP($J472,'Type Chart'!$C$2:$T$20,10,false)*HLOOKUP($K472,'Type Chart'!$C$2:$U$20,10,false)</f>
        <v>1</v>
      </c>
      <c r="AD472" s="960">
        <f t="array" ref="AD472">HLOOKUP($J472,'Type Chart'!$C$2:$T$20,11,false)*HLOOKUP($K472,'Type Chart'!$C$2:$U$20,11,false)</f>
        <v>0.5</v>
      </c>
      <c r="AE472" s="960">
        <f t="array" ref="AE472">HLOOKUP($J472,'Type Chart'!$C$2:$T$20,12,false)*HLOOKUP($K472,'Type Chart'!$C$2:$U$20,12,false)</f>
        <v>0.5</v>
      </c>
      <c r="AF472" s="960">
        <f t="array" ref="AF472">HLOOKUP($J472,'Type Chart'!$C$2:$T$20,13,false)*HLOOKUP($K472,'Type Chart'!$C$2:$U$20,13,false)</f>
        <v>0.5</v>
      </c>
      <c r="AG472" s="960">
        <f t="array" ref="AG472">HLOOKUP($J472,'Type Chart'!$C$2:$T$20,14,false)*HLOOKUP($K472,'Type Chart'!$C$2:$U$20,14,false)</f>
        <v>0.5</v>
      </c>
      <c r="AH472" s="960">
        <f t="array" ref="AH472">HLOOKUP($J472,'Type Chart'!$C$2:$T$20,15,false)*HLOOKUP($K472,'Type Chart'!$C$2:$U$20,15,false)</f>
        <v>1</v>
      </c>
      <c r="AI472" s="960">
        <f t="array" ref="AI472">HLOOKUP($J472,'Type Chart'!$C$2:$T$20,16,false)*HLOOKUP($K472,'Type Chart'!$C$2:$U$20,16,false)</f>
        <v>2</v>
      </c>
      <c r="AJ472" s="960">
        <f t="array" ref="AJ472">HLOOKUP($J472,'Type Chart'!$C$2:$T$20,17,false)*HLOOKUP($K472,'Type Chart'!$C$2:$U$20,17,false)</f>
        <v>2</v>
      </c>
      <c r="AK472" s="960">
        <f t="array" ref="AK472">HLOOKUP($J472,'Type Chart'!$C$2:$T$20,18,false)*HLOOKUP($K472,'Type Chart'!$C$2:$U$20,18,false)</f>
        <v>1</v>
      </c>
      <c r="AL472" s="960">
        <f t="array" ref="AL472">HLOOKUP($J472,'Type Chart'!$C$2:$T$20,19,false)*HLOOKUP($K472,'Type Chart'!$C$2:$U$20,19,false)</f>
        <v>2</v>
      </c>
      <c r="AM472" s="964" t="s">
        <v>1276</v>
      </c>
      <c r="AN472" s="965"/>
      <c r="AO472" s="966" t="s">
        <v>1153</v>
      </c>
      <c r="AP472" s="936"/>
      <c r="AQ472" s="967"/>
      <c r="AR472" s="968"/>
      <c r="AS472" s="936"/>
    </row>
    <row r="473" ht="15.75" customHeight="1">
      <c r="A473" s="936"/>
      <c r="B473" s="948" t="s">
        <v>2376</v>
      </c>
      <c r="C473" s="950" t="s">
        <v>2377</v>
      </c>
      <c r="D473" s="950" t="s">
        <v>2377</v>
      </c>
      <c r="E473" s="952" t="s">
        <v>2377</v>
      </c>
      <c r="F473" s="940"/>
      <c r="G473" s="953"/>
      <c r="H473" s="969"/>
      <c r="I473" s="956" t="s">
        <v>860</v>
      </c>
      <c r="J473" s="1006" t="s">
        <v>346</v>
      </c>
      <c r="K473" s="984" t="s">
        <v>216</v>
      </c>
      <c r="L473" s="959">
        <v>65.0</v>
      </c>
      <c r="M473" s="960">
        <v>95.0</v>
      </c>
      <c r="N473" s="960">
        <v>100.0</v>
      </c>
      <c r="O473" s="960">
        <v>60.0</v>
      </c>
      <c r="P473" s="960">
        <v>50.0</v>
      </c>
      <c r="Q473" s="960">
        <v>50.0</v>
      </c>
      <c r="R473" s="960">
        <v>136.0</v>
      </c>
      <c r="S473" s="960">
        <v>199.0</v>
      </c>
      <c r="T473" s="960">
        <v>218.0</v>
      </c>
      <c r="U473" s="960">
        <f t="array" ref="U473">HLOOKUP($J473,'Type Chart'!$C$2:$T$20,2,false)*HLOOKUP($K473,'Type Chart'!$C$2:$U$20,2,false)</f>
        <v>1</v>
      </c>
      <c r="V473" s="960">
        <f t="array" ref="V473">HLOOKUP($J473,'Type Chart'!$C$2:$T$20,3,false)*HLOOKUP($K473,'Type Chart'!$C$2:$U$20,3,false)</f>
        <v>1</v>
      </c>
      <c r="W473" s="960">
        <f t="array" ref="W473">HLOOKUP($J473,'Type Chart'!$C$2:$T$20,4,false)*HLOOKUP($K473,'Type Chart'!$C$2:$U$20,4,false)</f>
        <v>1</v>
      </c>
      <c r="X473" s="960">
        <f t="array" ref="X473">HLOOKUP($J473,'Type Chart'!$C$2:$T$20,5,false)*HLOOKUP($K473,'Type Chart'!$C$2:$U$20,5,false)</f>
        <v>1</v>
      </c>
      <c r="Y473" s="960">
        <f t="array" ref="Y473">HLOOKUP($J473,'Type Chart'!$C$2:$T$20,6,false)*HLOOKUP($K473,'Type Chart'!$C$2:$U$20,6,false)</f>
        <v>1</v>
      </c>
      <c r="Z473" s="960">
        <f t="array" ref="Z473">HLOOKUP($J473,'Type Chart'!$C$2:$T$20,7,false)*HLOOKUP($K473,'Type Chart'!$C$2:$U$20,7,false)</f>
        <v>1</v>
      </c>
      <c r="AA473" s="960">
        <f t="array" ref="AA473">HLOOKUP($J473,'Type Chart'!$C$2:$T$20,8,false)*HLOOKUP($K473,'Type Chart'!$C$2:$U$20,8,false)</f>
        <v>1</v>
      </c>
      <c r="AB473" s="960">
        <f t="array" ref="AB473">HLOOKUP($J473,'Type Chart'!$C$2:$T$20,9,false)*HLOOKUP($K473,'Type Chart'!$C$2:$U$20,9,false)</f>
        <v>1</v>
      </c>
      <c r="AC473" s="960">
        <f t="array" ref="AC473">HLOOKUP($J473,'Type Chart'!$C$2:$T$20,10,false)*HLOOKUP($K473,'Type Chart'!$C$2:$U$20,10,false)</f>
        <v>1</v>
      </c>
      <c r="AD473" s="960">
        <f t="array" ref="AD473">HLOOKUP($J473,'Type Chart'!$C$2:$T$20,11,false)*HLOOKUP($K473,'Type Chart'!$C$2:$U$20,11,false)</f>
        <v>0.5</v>
      </c>
      <c r="AE473" s="960">
        <f t="array" ref="AE473">HLOOKUP($J473,'Type Chart'!$C$2:$T$20,12,false)*HLOOKUP($K473,'Type Chart'!$C$2:$U$20,12,false)</f>
        <v>0.5</v>
      </c>
      <c r="AF473" s="960">
        <f t="array" ref="AF473">HLOOKUP($J473,'Type Chart'!$C$2:$T$20,13,false)*HLOOKUP($K473,'Type Chart'!$C$2:$U$20,13,false)</f>
        <v>0.5</v>
      </c>
      <c r="AG473" s="960">
        <f t="array" ref="AG473">HLOOKUP($J473,'Type Chart'!$C$2:$T$20,14,false)*HLOOKUP($K473,'Type Chart'!$C$2:$U$20,14,false)</f>
        <v>0.5</v>
      </c>
      <c r="AH473" s="960">
        <f t="array" ref="AH473">HLOOKUP($J473,'Type Chart'!$C$2:$T$20,15,false)*HLOOKUP($K473,'Type Chart'!$C$2:$U$20,15,false)</f>
        <v>1</v>
      </c>
      <c r="AI473" s="960">
        <f t="array" ref="AI473">HLOOKUP($J473,'Type Chart'!$C$2:$T$20,16,false)*HLOOKUP($K473,'Type Chart'!$C$2:$U$20,16,false)</f>
        <v>2</v>
      </c>
      <c r="AJ473" s="960">
        <f t="array" ref="AJ473">HLOOKUP($J473,'Type Chart'!$C$2:$T$20,17,false)*HLOOKUP($K473,'Type Chart'!$C$2:$U$20,17,false)</f>
        <v>2</v>
      </c>
      <c r="AK473" s="960">
        <f t="array" ref="AK473">HLOOKUP($J473,'Type Chart'!$C$2:$T$20,18,false)*HLOOKUP($K473,'Type Chart'!$C$2:$U$20,18,false)</f>
        <v>1</v>
      </c>
      <c r="AL473" s="960">
        <f t="array" ref="AL473">HLOOKUP($J473,'Type Chart'!$C$2:$T$20,19,false)*HLOOKUP($K473,'Type Chart'!$C$2:$U$20,19,false)</f>
        <v>2</v>
      </c>
      <c r="AM473" s="964" t="s">
        <v>1276</v>
      </c>
      <c r="AN473" s="965"/>
      <c r="AO473" s="966" t="s">
        <v>1431</v>
      </c>
      <c r="AP473" s="936"/>
      <c r="AQ473" s="967"/>
      <c r="AR473" s="968"/>
      <c r="AS473" s="936"/>
    </row>
    <row r="474" ht="15.75" customHeight="1">
      <c r="A474" s="936"/>
      <c r="B474" s="948" t="s">
        <v>2378</v>
      </c>
      <c r="C474" s="950" t="s">
        <v>2379</v>
      </c>
      <c r="D474" s="950" t="s">
        <v>2379</v>
      </c>
      <c r="E474" s="952" t="s">
        <v>2379</v>
      </c>
      <c r="F474" s="940"/>
      <c r="G474" s="953"/>
      <c r="H474" s="969"/>
      <c r="I474" s="956" t="s">
        <v>424</v>
      </c>
      <c r="J474" s="1006" t="s">
        <v>346</v>
      </c>
      <c r="K474" s="1001" t="s">
        <v>128</v>
      </c>
      <c r="L474" s="959">
        <v>95.0</v>
      </c>
      <c r="M474" s="960">
        <v>135.0</v>
      </c>
      <c r="N474" s="960">
        <v>80.0</v>
      </c>
      <c r="O474" s="960">
        <v>110.0</v>
      </c>
      <c r="P474" s="960">
        <v>80.0</v>
      </c>
      <c r="Q474" s="960">
        <v>100.0</v>
      </c>
      <c r="R474" s="960">
        <v>236.0</v>
      </c>
      <c r="S474" s="960">
        <v>299.0</v>
      </c>
      <c r="T474" s="960">
        <v>328.0</v>
      </c>
      <c r="U474" s="960">
        <f t="array" ref="U474">HLOOKUP($J474,'Type Chart'!$C$2:$T$20,2,false)*HLOOKUP($K474,'Type Chart'!$C$2:$U$20,2,false)</f>
        <v>1</v>
      </c>
      <c r="V474" s="960">
        <f t="array" ref="V474">HLOOKUP($J474,'Type Chart'!$C$2:$T$20,3,false)*HLOOKUP($K474,'Type Chart'!$C$2:$U$20,3,false)</f>
        <v>0.5</v>
      </c>
      <c r="W474" s="960">
        <f t="array" ref="W474">HLOOKUP($J474,'Type Chart'!$C$2:$T$20,4,false)*HLOOKUP($K474,'Type Chart'!$C$2:$U$20,4,false)</f>
        <v>1</v>
      </c>
      <c r="X474" s="960">
        <f t="array" ref="X474">HLOOKUP($J474,'Type Chart'!$C$2:$T$20,5,false)*HLOOKUP($K474,'Type Chart'!$C$2:$U$20,5,false)</f>
        <v>1</v>
      </c>
      <c r="Y474" s="960">
        <f t="array" ref="Y474">HLOOKUP($J474,'Type Chart'!$C$2:$T$20,6,false)*HLOOKUP($K474,'Type Chart'!$C$2:$U$20,6,false)</f>
        <v>0</v>
      </c>
      <c r="Z474" s="960">
        <f t="array" ref="Z474">HLOOKUP($J474,'Type Chart'!$C$2:$T$20,7,false)*HLOOKUP($K474,'Type Chart'!$C$2:$U$20,7,false)</f>
        <v>2</v>
      </c>
      <c r="AA474" s="960">
        <f t="array" ref="AA474">HLOOKUP($J474,'Type Chart'!$C$2:$T$20,8,false)*HLOOKUP($K474,'Type Chart'!$C$2:$U$20,8,false)</f>
        <v>0.5</v>
      </c>
      <c r="AB474" s="960">
        <f t="array" ref="AB474">HLOOKUP($J474,'Type Chart'!$C$2:$T$20,9,false)*HLOOKUP($K474,'Type Chart'!$C$2:$U$20,9,false)</f>
        <v>1</v>
      </c>
      <c r="AC474" s="960">
        <f t="array" ref="AC474">HLOOKUP($J474,'Type Chart'!$C$2:$T$20,10,false)*HLOOKUP($K474,'Type Chart'!$C$2:$U$20,10,false)</f>
        <v>1</v>
      </c>
      <c r="AD474" s="960">
        <f t="array" ref="AD474">HLOOKUP($J474,'Type Chart'!$C$2:$T$20,11,false)*HLOOKUP($K474,'Type Chart'!$C$2:$U$20,11,false)</f>
        <v>0.5</v>
      </c>
      <c r="AE474" s="960">
        <f t="array" ref="AE474">HLOOKUP($J474,'Type Chart'!$C$2:$T$20,12,false)*HLOOKUP($K474,'Type Chart'!$C$2:$U$20,12,false)</f>
        <v>0.5</v>
      </c>
      <c r="AF474" s="960">
        <f t="array" ref="AF474">HLOOKUP($J474,'Type Chart'!$C$2:$T$20,13,false)*HLOOKUP($K474,'Type Chart'!$C$2:$U$20,13,false)</f>
        <v>0.25</v>
      </c>
      <c r="AG474" s="960">
        <f t="array" ref="AG474">HLOOKUP($J474,'Type Chart'!$C$2:$T$20,14,false)*HLOOKUP($K474,'Type Chart'!$C$2:$U$20,14,false)</f>
        <v>1</v>
      </c>
      <c r="AH474" s="960">
        <f t="array" ref="AH474">HLOOKUP($J474,'Type Chart'!$C$2:$T$20,15,false)*HLOOKUP($K474,'Type Chart'!$C$2:$U$20,15,false)</f>
        <v>1</v>
      </c>
      <c r="AI474" s="960">
        <f t="array" ref="AI474">HLOOKUP($J474,'Type Chart'!$C$2:$T$20,16,false)*HLOOKUP($K474,'Type Chart'!$C$2:$U$20,16,false)</f>
        <v>4</v>
      </c>
      <c r="AJ474" s="960">
        <f t="array" ref="AJ474">HLOOKUP($J474,'Type Chart'!$C$2:$T$20,17,false)*HLOOKUP($K474,'Type Chart'!$C$2:$U$20,17,false)</f>
        <v>2</v>
      </c>
      <c r="AK474" s="960">
        <f t="array" ref="AK474">HLOOKUP($J474,'Type Chart'!$C$2:$T$20,18,false)*HLOOKUP($K474,'Type Chart'!$C$2:$U$20,18,false)</f>
        <v>1</v>
      </c>
      <c r="AL474" s="960">
        <f t="array" ref="AL474">HLOOKUP($J474,'Type Chart'!$C$2:$T$20,19,false)*HLOOKUP($K474,'Type Chart'!$C$2:$U$20,19,false)</f>
        <v>2</v>
      </c>
      <c r="AM474" s="964" t="s">
        <v>1061</v>
      </c>
      <c r="AN474" s="965"/>
      <c r="AO474" s="966" t="s">
        <v>1577</v>
      </c>
      <c r="AP474" s="936"/>
      <c r="AQ474" s="967"/>
      <c r="AR474" s="968"/>
      <c r="AS474" s="936"/>
    </row>
    <row r="475" ht="15.75" customHeight="1">
      <c r="A475" s="936"/>
      <c r="B475" s="948" t="s">
        <v>2380</v>
      </c>
      <c r="C475" s="950" t="s">
        <v>2381</v>
      </c>
      <c r="D475" s="950" t="s">
        <v>2381</v>
      </c>
      <c r="E475" s="952" t="s">
        <v>2381</v>
      </c>
      <c r="F475" s="940"/>
      <c r="G475" s="953"/>
      <c r="H475" s="969"/>
      <c r="I475" s="956" t="s">
        <v>2382</v>
      </c>
      <c r="J475" s="1006" t="s">
        <v>346</v>
      </c>
      <c r="K475" s="1001" t="s">
        <v>128</v>
      </c>
      <c r="L475" s="959">
        <v>95.0</v>
      </c>
      <c r="M475" s="960">
        <v>145.0</v>
      </c>
      <c r="N475" s="960">
        <v>130.0</v>
      </c>
      <c r="O475" s="960">
        <v>120.0</v>
      </c>
      <c r="P475" s="960">
        <v>90.0</v>
      </c>
      <c r="Q475" s="960">
        <v>120.0</v>
      </c>
      <c r="R475" s="960">
        <v>276.0</v>
      </c>
      <c r="S475" s="960">
        <v>339.0</v>
      </c>
      <c r="T475" s="960">
        <v>372.0</v>
      </c>
      <c r="U475" s="960">
        <f t="array" ref="U475">HLOOKUP($J475,'Type Chart'!$C$2:$T$20,2,false)*HLOOKUP($K475,'Type Chart'!$C$2:$U$20,2,false)</f>
        <v>1</v>
      </c>
      <c r="V475" s="960">
        <f t="array" ref="V475">HLOOKUP($J475,'Type Chart'!$C$2:$T$20,3,false)*HLOOKUP($K475,'Type Chart'!$C$2:$U$20,3,false)</f>
        <v>0.5</v>
      </c>
      <c r="W475" s="960">
        <f t="array" ref="W475">HLOOKUP($J475,'Type Chart'!$C$2:$T$20,4,false)*HLOOKUP($K475,'Type Chart'!$C$2:$U$20,4,false)</f>
        <v>1</v>
      </c>
      <c r="X475" s="960">
        <f t="array" ref="X475">HLOOKUP($J475,'Type Chart'!$C$2:$T$20,5,false)*HLOOKUP($K475,'Type Chart'!$C$2:$U$20,5,false)</f>
        <v>1</v>
      </c>
      <c r="Y475" s="960">
        <f t="array" ref="Y475">HLOOKUP($J475,'Type Chart'!$C$2:$T$20,6,false)*HLOOKUP($K475,'Type Chart'!$C$2:$U$20,6,false)</f>
        <v>0</v>
      </c>
      <c r="Z475" s="960">
        <f t="array" ref="Z475">HLOOKUP($J475,'Type Chart'!$C$2:$T$20,7,false)*HLOOKUP($K475,'Type Chart'!$C$2:$U$20,7,false)</f>
        <v>2</v>
      </c>
      <c r="AA475" s="960">
        <f t="array" ref="AA475">HLOOKUP($J475,'Type Chart'!$C$2:$T$20,8,false)*HLOOKUP($K475,'Type Chart'!$C$2:$U$20,8,false)</f>
        <v>0.5</v>
      </c>
      <c r="AB475" s="960">
        <f t="array" ref="AB475">HLOOKUP($J475,'Type Chart'!$C$2:$T$20,9,false)*HLOOKUP($K475,'Type Chart'!$C$2:$U$20,9,false)</f>
        <v>1</v>
      </c>
      <c r="AC475" s="960">
        <f t="array" ref="AC475">HLOOKUP($J475,'Type Chart'!$C$2:$T$20,10,false)*HLOOKUP($K475,'Type Chart'!$C$2:$U$20,10,false)</f>
        <v>1</v>
      </c>
      <c r="AD475" s="960">
        <f t="array" ref="AD475">HLOOKUP($J475,'Type Chart'!$C$2:$T$20,11,false)*HLOOKUP($K475,'Type Chart'!$C$2:$U$20,11,false)</f>
        <v>0.5</v>
      </c>
      <c r="AE475" s="960">
        <f t="array" ref="AE475">HLOOKUP($J475,'Type Chart'!$C$2:$T$20,12,false)*HLOOKUP($K475,'Type Chart'!$C$2:$U$20,12,false)</f>
        <v>0.5</v>
      </c>
      <c r="AF475" s="960">
        <f t="array" ref="AF475">HLOOKUP($J475,'Type Chart'!$C$2:$T$20,13,false)*HLOOKUP($K475,'Type Chart'!$C$2:$U$20,13,false)</f>
        <v>0.25</v>
      </c>
      <c r="AG475" s="960">
        <f t="array" ref="AG475">HLOOKUP($J475,'Type Chart'!$C$2:$T$20,14,false)*HLOOKUP($K475,'Type Chart'!$C$2:$U$20,14,false)</f>
        <v>1</v>
      </c>
      <c r="AH475" s="960">
        <f t="array" ref="AH475">HLOOKUP($J475,'Type Chart'!$C$2:$T$20,15,false)*HLOOKUP($K475,'Type Chart'!$C$2:$U$20,15,false)</f>
        <v>1</v>
      </c>
      <c r="AI475" s="960">
        <f t="array" ref="AI475">HLOOKUP($J475,'Type Chart'!$C$2:$T$20,16,false)*HLOOKUP($K475,'Type Chart'!$C$2:$U$20,16,false)</f>
        <v>4</v>
      </c>
      <c r="AJ475" s="960">
        <f t="array" ref="AJ475">HLOOKUP($J475,'Type Chart'!$C$2:$T$20,17,false)*HLOOKUP($K475,'Type Chart'!$C$2:$U$20,17,false)</f>
        <v>2</v>
      </c>
      <c r="AK475" s="960">
        <f t="array" ref="AK475">HLOOKUP($J475,'Type Chart'!$C$2:$T$20,18,false)*HLOOKUP($K475,'Type Chart'!$C$2:$U$20,18,false)</f>
        <v>1</v>
      </c>
      <c r="AL475" s="960">
        <f t="array" ref="AL475">HLOOKUP($J475,'Type Chart'!$C$2:$T$20,19,false)*HLOOKUP($K475,'Type Chart'!$C$2:$U$20,19,false)</f>
        <v>2</v>
      </c>
      <c r="AM475" s="964" t="s">
        <v>1581</v>
      </c>
      <c r="AN475" s="965"/>
      <c r="AO475" s="966"/>
      <c r="AP475" s="936"/>
      <c r="AQ475" s="967"/>
      <c r="AR475" s="968"/>
      <c r="AS475" s="936"/>
    </row>
    <row r="476" ht="15.75" customHeight="1">
      <c r="A476" s="936"/>
      <c r="B476" s="948" t="s">
        <v>2383</v>
      </c>
      <c r="C476" s="950" t="s">
        <v>2384</v>
      </c>
      <c r="D476" s="950" t="s">
        <v>2384</v>
      </c>
      <c r="E476" s="952" t="s">
        <v>2384</v>
      </c>
      <c r="F476" s="940"/>
      <c r="G476" s="953"/>
      <c r="H476" s="969"/>
      <c r="I476" s="956" t="s">
        <v>2385</v>
      </c>
      <c r="J476" s="1206" t="s">
        <v>82</v>
      </c>
      <c r="K476" s="1203" t="s">
        <v>344</v>
      </c>
      <c r="L476" s="959">
        <v>40.0</v>
      </c>
      <c r="M476" s="960">
        <v>55.0</v>
      </c>
      <c r="N476" s="960">
        <v>80.0</v>
      </c>
      <c r="O476" s="960">
        <v>35.0</v>
      </c>
      <c r="P476" s="960">
        <v>60.0</v>
      </c>
      <c r="Q476" s="960">
        <v>30.0</v>
      </c>
      <c r="R476" s="960">
        <v>96.0</v>
      </c>
      <c r="S476" s="960">
        <v>159.0</v>
      </c>
      <c r="T476" s="960">
        <v>174.0</v>
      </c>
      <c r="U476" s="960">
        <f t="array" ref="U476">HLOOKUP($J476,'Type Chart'!$C$2:$T$20,2,false)*HLOOKUP($K476,'Type Chart'!$C$2:$U$20,2,false)</f>
        <v>0.5</v>
      </c>
      <c r="V476" s="960">
        <f t="array" ref="V476">HLOOKUP($J476,'Type Chart'!$C$2:$T$20,3,false)*HLOOKUP($K476,'Type Chart'!$C$2:$U$20,3,false)</f>
        <v>1</v>
      </c>
      <c r="W476" s="960">
        <f t="array" ref="W476">HLOOKUP($J476,'Type Chart'!$C$2:$T$20,4,false)*HLOOKUP($K476,'Type Chart'!$C$2:$U$20,4,false)</f>
        <v>0.5</v>
      </c>
      <c r="X476" s="960">
        <f t="array" ref="X476">HLOOKUP($J476,'Type Chart'!$C$2:$T$20,5,false)*HLOOKUP($K476,'Type Chart'!$C$2:$U$20,5,false)</f>
        <v>0</v>
      </c>
      <c r="Y476" s="960">
        <f t="array" ref="Y476">HLOOKUP($J476,'Type Chart'!$C$2:$T$20,6,false)*HLOOKUP($K476,'Type Chart'!$C$2:$U$20,6,false)</f>
        <v>2</v>
      </c>
      <c r="Z476" s="960">
        <f t="array" ref="Z476">HLOOKUP($J476,'Type Chart'!$C$2:$T$20,7,false)*HLOOKUP($K476,'Type Chart'!$C$2:$U$20,7,false)</f>
        <v>0.5</v>
      </c>
      <c r="AA476" s="960">
        <f t="array" ref="AA476">HLOOKUP($J476,'Type Chart'!$C$2:$T$20,8,false)*HLOOKUP($K476,'Type Chart'!$C$2:$U$20,8,false)</f>
        <v>1</v>
      </c>
      <c r="AB476" s="960">
        <f t="array" ref="AB476">HLOOKUP($J476,'Type Chart'!$C$2:$T$20,9,false)*HLOOKUP($K476,'Type Chart'!$C$2:$U$20,9,false)</f>
        <v>2</v>
      </c>
      <c r="AC476" s="960">
        <f t="array" ref="AC476">HLOOKUP($J476,'Type Chart'!$C$2:$T$20,10,false)*HLOOKUP($K476,'Type Chart'!$C$2:$U$20,10,false)</f>
        <v>0.5</v>
      </c>
      <c r="AD476" s="960">
        <f t="array" ref="AD476">HLOOKUP($J476,'Type Chart'!$C$2:$T$20,11,false)*HLOOKUP($K476,'Type Chart'!$C$2:$U$20,11,false)</f>
        <v>2</v>
      </c>
      <c r="AE476" s="960">
        <f t="array" ref="AE476">HLOOKUP($J476,'Type Chart'!$C$2:$T$20,12,false)*HLOOKUP($K476,'Type Chart'!$C$2:$U$20,12,false)</f>
        <v>1</v>
      </c>
      <c r="AF476" s="960">
        <f t="array" ref="AF476">HLOOKUP($J476,'Type Chart'!$C$2:$T$20,13,false)*HLOOKUP($K476,'Type Chart'!$C$2:$U$20,13,false)</f>
        <v>0.5</v>
      </c>
      <c r="AG476" s="960">
        <f t="array" ref="AG476">HLOOKUP($J476,'Type Chart'!$C$2:$T$20,14,false)*HLOOKUP($K476,'Type Chart'!$C$2:$U$20,14,false)</f>
        <v>1</v>
      </c>
      <c r="AH476" s="960">
        <f t="array" ref="AH476">HLOOKUP($J476,'Type Chart'!$C$2:$T$20,15,false)*HLOOKUP($K476,'Type Chart'!$C$2:$U$20,15,false)</f>
        <v>0.25</v>
      </c>
      <c r="AI476" s="960">
        <f t="array" ref="AI476">HLOOKUP($J476,'Type Chart'!$C$2:$T$20,16,false)*HLOOKUP($K476,'Type Chart'!$C$2:$U$20,16,false)</f>
        <v>0.5</v>
      </c>
      <c r="AJ476" s="960">
        <f t="array" ref="AJ476">HLOOKUP($J476,'Type Chart'!$C$2:$T$20,17,false)*HLOOKUP($K476,'Type Chart'!$C$2:$U$20,17,false)</f>
        <v>0.5</v>
      </c>
      <c r="AK476" s="960">
        <f t="array" ref="AK476">HLOOKUP($J476,'Type Chart'!$C$2:$T$20,18,false)*HLOOKUP($K476,'Type Chart'!$C$2:$U$20,18,false)</f>
        <v>2</v>
      </c>
      <c r="AL476" s="960">
        <f t="array" ref="AL476">HLOOKUP($J476,'Type Chart'!$C$2:$T$20,19,false)*HLOOKUP($K476,'Type Chart'!$C$2:$U$20,19,false)</f>
        <v>0.5</v>
      </c>
      <c r="AM476" s="964" t="s">
        <v>1324</v>
      </c>
      <c r="AN476" s="965"/>
      <c r="AO476" s="966" t="s">
        <v>1854</v>
      </c>
      <c r="AP476" s="936"/>
      <c r="AQ476" s="967"/>
      <c r="AR476" s="968"/>
      <c r="AS476" s="936"/>
    </row>
    <row r="477" ht="15.75" customHeight="1">
      <c r="A477" s="936"/>
      <c r="B477" s="948" t="s">
        <v>2386</v>
      </c>
      <c r="C477" s="950" t="s">
        <v>2387</v>
      </c>
      <c r="D477" s="950" t="s">
        <v>2387</v>
      </c>
      <c r="E477" s="952" t="s">
        <v>2387</v>
      </c>
      <c r="F477" s="940"/>
      <c r="G477" s="953"/>
      <c r="H477" s="969"/>
      <c r="I477" s="956" t="s">
        <v>897</v>
      </c>
      <c r="J477" s="1206" t="s">
        <v>82</v>
      </c>
      <c r="K477" s="1203" t="s">
        <v>344</v>
      </c>
      <c r="L477" s="959">
        <v>60.0</v>
      </c>
      <c r="M477" s="960">
        <v>75.0</v>
      </c>
      <c r="N477" s="960">
        <v>100.0</v>
      </c>
      <c r="O477" s="960">
        <v>55.0</v>
      </c>
      <c r="P477" s="960">
        <v>80.0</v>
      </c>
      <c r="Q477" s="960">
        <v>50.0</v>
      </c>
      <c r="R477" s="960">
        <v>136.0</v>
      </c>
      <c r="S477" s="960">
        <v>199.0</v>
      </c>
      <c r="T477" s="960">
        <v>218.0</v>
      </c>
      <c r="U477" s="960">
        <f t="array" ref="U477">HLOOKUP($J477,'Type Chart'!$C$2:$T$20,2,false)*HLOOKUP($K477,'Type Chart'!$C$2:$U$20,2,false)</f>
        <v>0.5</v>
      </c>
      <c r="V477" s="960">
        <f t="array" ref="V477">HLOOKUP($J477,'Type Chart'!$C$2:$T$20,3,false)*HLOOKUP($K477,'Type Chart'!$C$2:$U$20,3,false)</f>
        <v>1</v>
      </c>
      <c r="W477" s="960">
        <f t="array" ref="W477">HLOOKUP($J477,'Type Chart'!$C$2:$T$20,4,false)*HLOOKUP($K477,'Type Chart'!$C$2:$U$20,4,false)</f>
        <v>0.5</v>
      </c>
      <c r="X477" s="960">
        <f t="array" ref="X477">HLOOKUP($J477,'Type Chart'!$C$2:$T$20,5,false)*HLOOKUP($K477,'Type Chart'!$C$2:$U$20,5,false)</f>
        <v>0</v>
      </c>
      <c r="Y477" s="960">
        <f t="array" ref="Y477">HLOOKUP($J477,'Type Chart'!$C$2:$T$20,6,false)*HLOOKUP($K477,'Type Chart'!$C$2:$U$20,6,false)</f>
        <v>2</v>
      </c>
      <c r="Z477" s="960">
        <f t="array" ref="Z477">HLOOKUP($J477,'Type Chart'!$C$2:$T$20,7,false)*HLOOKUP($K477,'Type Chart'!$C$2:$U$20,7,false)</f>
        <v>0.5</v>
      </c>
      <c r="AA477" s="960">
        <f t="array" ref="AA477">HLOOKUP($J477,'Type Chart'!$C$2:$T$20,8,false)*HLOOKUP($K477,'Type Chart'!$C$2:$U$20,8,false)</f>
        <v>1</v>
      </c>
      <c r="AB477" s="960">
        <f t="array" ref="AB477">HLOOKUP($J477,'Type Chart'!$C$2:$T$20,9,false)*HLOOKUP($K477,'Type Chart'!$C$2:$U$20,9,false)</f>
        <v>2</v>
      </c>
      <c r="AC477" s="960">
        <f t="array" ref="AC477">HLOOKUP($J477,'Type Chart'!$C$2:$T$20,10,false)*HLOOKUP($K477,'Type Chart'!$C$2:$U$20,10,false)</f>
        <v>0.5</v>
      </c>
      <c r="AD477" s="960">
        <f t="array" ref="AD477">HLOOKUP($J477,'Type Chart'!$C$2:$T$20,11,false)*HLOOKUP($K477,'Type Chart'!$C$2:$U$20,11,false)</f>
        <v>2</v>
      </c>
      <c r="AE477" s="960">
        <f t="array" ref="AE477">HLOOKUP($J477,'Type Chart'!$C$2:$T$20,12,false)*HLOOKUP($K477,'Type Chart'!$C$2:$U$20,12,false)</f>
        <v>1</v>
      </c>
      <c r="AF477" s="960">
        <f t="array" ref="AF477">HLOOKUP($J477,'Type Chart'!$C$2:$T$20,13,false)*HLOOKUP($K477,'Type Chart'!$C$2:$U$20,13,false)</f>
        <v>0.5</v>
      </c>
      <c r="AG477" s="960">
        <f t="array" ref="AG477">HLOOKUP($J477,'Type Chart'!$C$2:$T$20,14,false)*HLOOKUP($K477,'Type Chart'!$C$2:$U$20,14,false)</f>
        <v>1</v>
      </c>
      <c r="AH477" s="960">
        <f t="array" ref="AH477">HLOOKUP($J477,'Type Chart'!$C$2:$T$20,15,false)*HLOOKUP($K477,'Type Chart'!$C$2:$U$20,15,false)</f>
        <v>0.25</v>
      </c>
      <c r="AI477" s="960">
        <f t="array" ref="AI477">HLOOKUP($J477,'Type Chart'!$C$2:$T$20,16,false)*HLOOKUP($K477,'Type Chart'!$C$2:$U$20,16,false)</f>
        <v>0.5</v>
      </c>
      <c r="AJ477" s="960">
        <f t="array" ref="AJ477">HLOOKUP($J477,'Type Chart'!$C$2:$T$20,17,false)*HLOOKUP($K477,'Type Chart'!$C$2:$U$20,17,false)</f>
        <v>0.5</v>
      </c>
      <c r="AK477" s="960">
        <f t="array" ref="AK477">HLOOKUP($J477,'Type Chart'!$C$2:$T$20,18,false)*HLOOKUP($K477,'Type Chart'!$C$2:$U$20,18,false)</f>
        <v>2</v>
      </c>
      <c r="AL477" s="960">
        <f t="array" ref="AL477">HLOOKUP($J477,'Type Chart'!$C$2:$T$20,19,false)*HLOOKUP($K477,'Type Chart'!$C$2:$U$20,19,false)</f>
        <v>0.5</v>
      </c>
      <c r="AM477" s="964" t="s">
        <v>1324</v>
      </c>
      <c r="AN477" s="965"/>
      <c r="AO477" s="966" t="s">
        <v>1854</v>
      </c>
      <c r="AP477" s="936"/>
      <c r="AQ477" s="967"/>
      <c r="AR477" s="968"/>
      <c r="AS477" s="936"/>
    </row>
    <row r="478" ht="15.75" customHeight="1">
      <c r="A478" s="936"/>
      <c r="B478" s="948" t="s">
        <v>2388</v>
      </c>
      <c r="C478" s="950" t="s">
        <v>2389</v>
      </c>
      <c r="D478" s="950" t="s">
        <v>2389</v>
      </c>
      <c r="E478" s="952" t="s">
        <v>2389</v>
      </c>
      <c r="F478" s="940"/>
      <c r="G478" s="953"/>
      <c r="H478" s="969"/>
      <c r="I478" s="956" t="s">
        <v>445</v>
      </c>
      <c r="J478" s="1206" t="s">
        <v>82</v>
      </c>
      <c r="K478" s="1203" t="s">
        <v>344</v>
      </c>
      <c r="L478" s="959">
        <v>80.0</v>
      </c>
      <c r="M478" s="960">
        <v>135.0</v>
      </c>
      <c r="N478" s="960">
        <v>130.0</v>
      </c>
      <c r="O478" s="960">
        <v>95.0</v>
      </c>
      <c r="P478" s="960">
        <v>90.0</v>
      </c>
      <c r="Q478" s="960">
        <v>70.0</v>
      </c>
      <c r="R478" s="960">
        <v>176.0</v>
      </c>
      <c r="S478" s="960">
        <v>239.0</v>
      </c>
      <c r="T478" s="960">
        <v>262.0</v>
      </c>
      <c r="U478" s="960">
        <f t="array" ref="U478">HLOOKUP($J478,'Type Chart'!$C$2:$T$20,2,false)*HLOOKUP($K478,'Type Chart'!$C$2:$U$20,2,false)</f>
        <v>0.5</v>
      </c>
      <c r="V478" s="960">
        <f t="array" ref="V478">HLOOKUP($J478,'Type Chart'!$C$2:$T$20,3,false)*HLOOKUP($K478,'Type Chart'!$C$2:$U$20,3,false)</f>
        <v>1</v>
      </c>
      <c r="W478" s="960">
        <f t="array" ref="W478">HLOOKUP($J478,'Type Chart'!$C$2:$T$20,4,false)*HLOOKUP($K478,'Type Chart'!$C$2:$U$20,4,false)</f>
        <v>0.5</v>
      </c>
      <c r="X478" s="960">
        <f t="array" ref="X478">HLOOKUP($J478,'Type Chart'!$C$2:$T$20,5,false)*HLOOKUP($K478,'Type Chart'!$C$2:$U$20,5,false)</f>
        <v>0</v>
      </c>
      <c r="Y478" s="960">
        <f t="array" ref="Y478">HLOOKUP($J478,'Type Chart'!$C$2:$T$20,6,false)*HLOOKUP($K478,'Type Chart'!$C$2:$U$20,6,false)</f>
        <v>2</v>
      </c>
      <c r="Z478" s="960">
        <f t="array" ref="Z478">HLOOKUP($J478,'Type Chart'!$C$2:$T$20,7,false)*HLOOKUP($K478,'Type Chart'!$C$2:$U$20,7,false)</f>
        <v>0.5</v>
      </c>
      <c r="AA478" s="960">
        <f t="array" ref="AA478">HLOOKUP($J478,'Type Chart'!$C$2:$T$20,8,false)*HLOOKUP($K478,'Type Chart'!$C$2:$U$20,8,false)</f>
        <v>1</v>
      </c>
      <c r="AB478" s="960">
        <f t="array" ref="AB478">HLOOKUP($J478,'Type Chart'!$C$2:$T$20,9,false)*HLOOKUP($K478,'Type Chart'!$C$2:$U$20,9,false)</f>
        <v>2</v>
      </c>
      <c r="AC478" s="960">
        <f t="array" ref="AC478">HLOOKUP($J478,'Type Chart'!$C$2:$T$20,10,false)*HLOOKUP($K478,'Type Chart'!$C$2:$U$20,10,false)</f>
        <v>0.5</v>
      </c>
      <c r="AD478" s="960">
        <f t="array" ref="AD478">HLOOKUP($J478,'Type Chart'!$C$2:$T$20,11,false)*HLOOKUP($K478,'Type Chart'!$C$2:$U$20,11,false)</f>
        <v>2</v>
      </c>
      <c r="AE478" s="960">
        <f t="array" ref="AE478">HLOOKUP($J478,'Type Chart'!$C$2:$T$20,12,false)*HLOOKUP($K478,'Type Chart'!$C$2:$U$20,12,false)</f>
        <v>1</v>
      </c>
      <c r="AF478" s="960">
        <f t="array" ref="AF478">HLOOKUP($J478,'Type Chart'!$C$2:$T$20,13,false)*HLOOKUP($K478,'Type Chart'!$C$2:$U$20,13,false)</f>
        <v>0.5</v>
      </c>
      <c r="AG478" s="960">
        <f t="array" ref="AG478">HLOOKUP($J478,'Type Chart'!$C$2:$T$20,14,false)*HLOOKUP($K478,'Type Chart'!$C$2:$U$20,14,false)</f>
        <v>1</v>
      </c>
      <c r="AH478" s="960">
        <f t="array" ref="AH478">HLOOKUP($J478,'Type Chart'!$C$2:$T$20,15,false)*HLOOKUP($K478,'Type Chart'!$C$2:$U$20,15,false)</f>
        <v>0.25</v>
      </c>
      <c r="AI478" s="960">
        <f t="array" ref="AI478">HLOOKUP($J478,'Type Chart'!$C$2:$T$20,16,false)*HLOOKUP($K478,'Type Chart'!$C$2:$U$20,16,false)</f>
        <v>0.5</v>
      </c>
      <c r="AJ478" s="960">
        <f t="array" ref="AJ478">HLOOKUP($J478,'Type Chart'!$C$2:$T$20,17,false)*HLOOKUP($K478,'Type Chart'!$C$2:$U$20,17,false)</f>
        <v>0.5</v>
      </c>
      <c r="AK478" s="960">
        <f t="array" ref="AK478">HLOOKUP($J478,'Type Chart'!$C$2:$T$20,18,false)*HLOOKUP($K478,'Type Chart'!$C$2:$U$20,18,false)</f>
        <v>2</v>
      </c>
      <c r="AL478" s="960">
        <f t="array" ref="AL478">HLOOKUP($J478,'Type Chart'!$C$2:$T$20,19,false)*HLOOKUP($K478,'Type Chart'!$C$2:$U$20,19,false)</f>
        <v>0.5</v>
      </c>
      <c r="AM478" s="964" t="s">
        <v>1324</v>
      </c>
      <c r="AN478" s="965"/>
      <c r="AO478" s="966" t="s">
        <v>1854</v>
      </c>
      <c r="AP478" s="936"/>
      <c r="AQ478" s="967"/>
      <c r="AR478" s="968"/>
      <c r="AS478" s="936"/>
    </row>
    <row r="479" ht="15.75" customHeight="1">
      <c r="A479" s="936"/>
      <c r="B479" s="948" t="s">
        <v>2390</v>
      </c>
      <c r="C479" s="950" t="s">
        <v>2391</v>
      </c>
      <c r="D479" s="950" t="s">
        <v>2391</v>
      </c>
      <c r="E479" s="952" t="s">
        <v>2391</v>
      </c>
      <c r="F479" s="940"/>
      <c r="G479" s="953"/>
      <c r="H479" s="969"/>
      <c r="I479" s="998" t="s">
        <v>2392</v>
      </c>
      <c r="J479" s="1233" t="s">
        <v>82</v>
      </c>
      <c r="K479" s="1215" t="s">
        <v>344</v>
      </c>
      <c r="L479" s="1200">
        <v>80.0</v>
      </c>
      <c r="M479" s="1201">
        <v>145.0</v>
      </c>
      <c r="N479" s="1201">
        <v>150.0</v>
      </c>
      <c r="O479" s="1201">
        <v>105.0</v>
      </c>
      <c r="P479" s="1201">
        <v>110.0</v>
      </c>
      <c r="Q479" s="1201">
        <v>110.0</v>
      </c>
      <c r="R479" s="960">
        <v>256.0</v>
      </c>
      <c r="S479" s="960">
        <v>319.0</v>
      </c>
      <c r="T479" s="960">
        <v>350.0</v>
      </c>
      <c r="U479" s="960">
        <f t="array" ref="U479">HLOOKUP($J479,'Type Chart'!$C$2:$T$20,2,false)*HLOOKUP($K479,'Type Chart'!$C$2:$U$20,2,false)</f>
        <v>0.5</v>
      </c>
      <c r="V479" s="960">
        <f t="array" ref="V479">HLOOKUP($J479,'Type Chart'!$C$2:$T$20,3,false)*HLOOKUP($K479,'Type Chart'!$C$2:$U$20,3,false)</f>
        <v>1</v>
      </c>
      <c r="W479" s="960">
        <f t="array" ref="W479">HLOOKUP($J479,'Type Chart'!$C$2:$T$20,4,false)*HLOOKUP($K479,'Type Chart'!$C$2:$U$20,4,false)</f>
        <v>0.5</v>
      </c>
      <c r="X479" s="960">
        <f t="array" ref="X479">HLOOKUP($J479,'Type Chart'!$C$2:$T$20,5,false)*HLOOKUP($K479,'Type Chart'!$C$2:$U$20,5,false)</f>
        <v>0</v>
      </c>
      <c r="Y479" s="960">
        <f t="array" ref="Y479">HLOOKUP($J479,'Type Chart'!$C$2:$T$20,6,false)*HLOOKUP($K479,'Type Chart'!$C$2:$U$20,6,false)</f>
        <v>2</v>
      </c>
      <c r="Z479" s="960">
        <f t="array" ref="Z479">HLOOKUP($J479,'Type Chart'!$C$2:$T$20,7,false)*HLOOKUP($K479,'Type Chart'!$C$2:$U$20,7,false)</f>
        <v>0.5</v>
      </c>
      <c r="AA479" s="960">
        <f t="array" ref="AA479">HLOOKUP($J479,'Type Chart'!$C$2:$T$20,8,false)*HLOOKUP($K479,'Type Chart'!$C$2:$U$20,8,false)</f>
        <v>1</v>
      </c>
      <c r="AB479" s="960">
        <f t="array" ref="AB479">HLOOKUP($J479,'Type Chart'!$C$2:$T$20,9,false)*HLOOKUP($K479,'Type Chart'!$C$2:$U$20,9,false)</f>
        <v>2</v>
      </c>
      <c r="AC479" s="960">
        <f t="array" ref="AC479">HLOOKUP($J479,'Type Chart'!$C$2:$T$20,10,false)*HLOOKUP($K479,'Type Chart'!$C$2:$U$20,10,false)</f>
        <v>0.5</v>
      </c>
      <c r="AD479" s="960">
        <f t="array" ref="AD479">HLOOKUP($J479,'Type Chart'!$C$2:$T$20,11,false)*HLOOKUP($K479,'Type Chart'!$C$2:$U$20,11,false)</f>
        <v>2</v>
      </c>
      <c r="AE479" s="960">
        <f t="array" ref="AE479">HLOOKUP($J479,'Type Chart'!$C$2:$T$20,12,false)*HLOOKUP($K479,'Type Chart'!$C$2:$U$20,12,false)</f>
        <v>1</v>
      </c>
      <c r="AF479" s="960">
        <f t="array" ref="AF479">HLOOKUP($J479,'Type Chart'!$C$2:$T$20,13,false)*HLOOKUP($K479,'Type Chart'!$C$2:$U$20,13,false)</f>
        <v>0.5</v>
      </c>
      <c r="AG479" s="960">
        <f t="array" ref="AG479">HLOOKUP($J479,'Type Chart'!$C$2:$T$20,14,false)*HLOOKUP($K479,'Type Chart'!$C$2:$U$20,14,false)</f>
        <v>1</v>
      </c>
      <c r="AH479" s="960">
        <f t="array" ref="AH479">HLOOKUP($J479,'Type Chart'!$C$2:$T$20,15,false)*HLOOKUP($K479,'Type Chart'!$C$2:$U$20,15,false)</f>
        <v>0.25</v>
      </c>
      <c r="AI479" s="960">
        <f t="array" ref="AI479">HLOOKUP($J479,'Type Chart'!$C$2:$T$20,16,false)*HLOOKUP($K479,'Type Chart'!$C$2:$U$20,16,false)</f>
        <v>0.5</v>
      </c>
      <c r="AJ479" s="960">
        <f t="array" ref="AJ479">HLOOKUP($J479,'Type Chart'!$C$2:$T$20,17,false)*HLOOKUP($K479,'Type Chart'!$C$2:$U$20,17,false)</f>
        <v>0.5</v>
      </c>
      <c r="AK479" s="960">
        <f t="array" ref="AK479">HLOOKUP($J479,'Type Chart'!$C$2:$T$20,18,false)*HLOOKUP($K479,'Type Chart'!$C$2:$U$20,18,false)</f>
        <v>2</v>
      </c>
      <c r="AL479" s="960">
        <f t="array" ref="AL479">HLOOKUP($J479,'Type Chart'!$C$2:$T$20,19,false)*HLOOKUP($K479,'Type Chart'!$C$2:$U$20,19,false)</f>
        <v>0.5</v>
      </c>
      <c r="AM479" s="964" t="s">
        <v>932</v>
      </c>
      <c r="AN479" s="965"/>
      <c r="AO479" s="1146"/>
      <c r="AP479" s="936"/>
      <c r="AQ479" s="967"/>
      <c r="AR479" s="968"/>
      <c r="AS479" s="936"/>
    </row>
    <row r="480" ht="15.75" customHeight="1">
      <c r="A480" s="936"/>
      <c r="B480" s="948" t="s">
        <v>2393</v>
      </c>
      <c r="C480" s="1197" t="s">
        <v>2394</v>
      </c>
      <c r="D480" s="1197" t="s">
        <v>2394</v>
      </c>
      <c r="E480" s="1147" t="s">
        <v>2394</v>
      </c>
      <c r="F480" s="940"/>
      <c r="G480" s="953"/>
      <c r="H480" s="969"/>
      <c r="I480" s="998" t="s">
        <v>701</v>
      </c>
      <c r="J480" s="1214" t="s">
        <v>342</v>
      </c>
      <c r="K480" s="984" t="s">
        <v>216</v>
      </c>
      <c r="L480" s="959">
        <v>80.0</v>
      </c>
      <c r="M480" s="960">
        <v>100.0</v>
      </c>
      <c r="N480" s="960">
        <v>200.0</v>
      </c>
      <c r="O480" s="960">
        <v>50.0</v>
      </c>
      <c r="P480" s="960">
        <v>100.0</v>
      </c>
      <c r="Q480" s="960">
        <v>50.0</v>
      </c>
      <c r="R480" s="960">
        <v>136.0</v>
      </c>
      <c r="S480" s="960">
        <v>199.0</v>
      </c>
      <c r="T480" s="960">
        <v>218.0</v>
      </c>
      <c r="U480" s="960">
        <f t="array" ref="U480">HLOOKUP($J480,'Type Chart'!$C$2:$T$20,2,false)*HLOOKUP($K480,'Type Chart'!$C$2:$U$20,2,false)</f>
        <v>0.5</v>
      </c>
      <c r="V480" s="960">
        <f t="array" ref="V480">HLOOKUP($J480,'Type Chart'!$C$2:$T$20,3,false)*HLOOKUP($K480,'Type Chart'!$C$2:$U$20,3,false)</f>
        <v>2</v>
      </c>
      <c r="W480" s="960">
        <f t="array" ref="W480">HLOOKUP($J480,'Type Chart'!$C$2:$T$20,4,false)*HLOOKUP($K480,'Type Chart'!$C$2:$U$20,4,false)</f>
        <v>0.5</v>
      </c>
      <c r="X480" s="960">
        <f t="array" ref="X480">HLOOKUP($J480,'Type Chart'!$C$2:$T$20,5,false)*HLOOKUP($K480,'Type Chart'!$C$2:$U$20,5,false)</f>
        <v>0.5</v>
      </c>
      <c r="Y480" s="960">
        <f t="array" ref="Y480">HLOOKUP($J480,'Type Chart'!$C$2:$T$20,6,false)*HLOOKUP($K480,'Type Chart'!$C$2:$U$20,6,false)</f>
        <v>2</v>
      </c>
      <c r="Z480" s="960">
        <f t="array" ref="Z480">HLOOKUP($J480,'Type Chart'!$C$2:$T$20,7,false)*HLOOKUP($K480,'Type Chart'!$C$2:$U$20,7,false)</f>
        <v>1</v>
      </c>
      <c r="AA480" s="960">
        <f t="array" ref="AA480">HLOOKUP($J480,'Type Chart'!$C$2:$T$20,8,false)*HLOOKUP($K480,'Type Chart'!$C$2:$U$20,8,false)</f>
        <v>1</v>
      </c>
      <c r="AB480" s="960">
        <f t="array" ref="AB480">HLOOKUP($J480,'Type Chart'!$C$2:$T$20,9,false)*HLOOKUP($K480,'Type Chart'!$C$2:$U$20,9,false)</f>
        <v>1</v>
      </c>
      <c r="AC480" s="960">
        <f t="array" ref="AC480">HLOOKUP($J480,'Type Chart'!$C$2:$T$20,10,false)*HLOOKUP($K480,'Type Chart'!$C$2:$U$20,10,false)</f>
        <v>2</v>
      </c>
      <c r="AD480" s="960">
        <f t="array" ref="AD480">HLOOKUP($J480,'Type Chart'!$C$2:$T$20,11,false)*HLOOKUP($K480,'Type Chart'!$C$2:$U$20,11,false)</f>
        <v>0.5</v>
      </c>
      <c r="AE480" s="960">
        <f t="array" ref="AE480">HLOOKUP($J480,'Type Chart'!$C$2:$T$20,12,false)*HLOOKUP($K480,'Type Chart'!$C$2:$U$20,12,false)</f>
        <v>2</v>
      </c>
      <c r="AF480" s="960">
        <f t="array" ref="AF480">HLOOKUP($J480,'Type Chart'!$C$2:$T$20,13,false)*HLOOKUP($K480,'Type Chart'!$C$2:$U$20,13,false)</f>
        <v>2</v>
      </c>
      <c r="AG480" s="960">
        <f t="array" ref="AG480">HLOOKUP($J480,'Type Chart'!$C$2:$T$20,14,false)*HLOOKUP($K480,'Type Chart'!$C$2:$U$20,14,false)</f>
        <v>1</v>
      </c>
      <c r="AH480" s="960">
        <f t="array" ref="AH480">HLOOKUP($J480,'Type Chart'!$C$2:$T$20,15,false)*HLOOKUP($K480,'Type Chart'!$C$2:$U$20,15,false)</f>
        <v>1</v>
      </c>
      <c r="AI480" s="960">
        <f t="array" ref="AI480">HLOOKUP($J480,'Type Chart'!$C$2:$T$20,16,false)*HLOOKUP($K480,'Type Chart'!$C$2:$U$20,16,false)</f>
        <v>1</v>
      </c>
      <c r="AJ480" s="960">
        <f t="array" ref="AJ480">HLOOKUP($J480,'Type Chart'!$C$2:$T$20,17,false)*HLOOKUP($K480,'Type Chart'!$C$2:$U$20,17,false)</f>
        <v>1</v>
      </c>
      <c r="AK480" s="960">
        <f t="array" ref="AK480">HLOOKUP($J480,'Type Chart'!$C$2:$T$20,18,false)*HLOOKUP($K480,'Type Chart'!$C$2:$U$20,18,false)</f>
        <v>1</v>
      </c>
      <c r="AL480" s="960">
        <f t="array" ref="AL480">HLOOKUP($J480,'Type Chart'!$C$2:$T$20,19,false)*HLOOKUP($K480,'Type Chart'!$C$2:$U$20,19,false)</f>
        <v>1</v>
      </c>
      <c r="AM480" s="964" t="s">
        <v>1324</v>
      </c>
      <c r="AN480" s="965"/>
      <c r="AO480" s="966" t="s">
        <v>1331</v>
      </c>
      <c r="AP480" s="936"/>
      <c r="AQ480" s="967"/>
      <c r="AR480" s="968"/>
      <c r="AS480" s="936"/>
    </row>
    <row r="481" ht="15.75" customHeight="1">
      <c r="A481" s="936"/>
      <c r="B481" s="948" t="s">
        <v>2395</v>
      </c>
      <c r="C481" s="950" t="s">
        <v>2396</v>
      </c>
      <c r="D481" s="950" t="s">
        <v>2396</v>
      </c>
      <c r="E481" s="952" t="s">
        <v>2396</v>
      </c>
      <c r="F481" s="940"/>
      <c r="G481" s="953"/>
      <c r="H481" s="969"/>
      <c r="I481" s="998" t="s">
        <v>800</v>
      </c>
      <c r="J481" s="1224" t="s">
        <v>345</v>
      </c>
      <c r="K481" s="984" t="s">
        <v>216</v>
      </c>
      <c r="L481" s="1200">
        <v>80.0</v>
      </c>
      <c r="M481" s="1201">
        <v>50.0</v>
      </c>
      <c r="N481" s="1201">
        <v>100.0</v>
      </c>
      <c r="O481" s="1201">
        <v>100.0</v>
      </c>
      <c r="P481" s="1201">
        <v>200.0</v>
      </c>
      <c r="Q481" s="1201">
        <v>50.0</v>
      </c>
      <c r="R481" s="960">
        <v>136.0</v>
      </c>
      <c r="S481" s="960">
        <v>199.0</v>
      </c>
      <c r="T481" s="960">
        <v>218.0</v>
      </c>
      <c r="U481" s="960">
        <f t="array" ref="U481">HLOOKUP($J481,'Type Chart'!$C$2:$T$20,2,false)*HLOOKUP($K481,'Type Chart'!$C$2:$U$20,2,false)</f>
        <v>1</v>
      </c>
      <c r="V481" s="960">
        <f t="array" ref="V481">HLOOKUP($J481,'Type Chart'!$C$2:$T$20,3,false)*HLOOKUP($K481,'Type Chart'!$C$2:$U$20,3,false)</f>
        <v>2</v>
      </c>
      <c r="W481" s="960">
        <f t="array" ref="W481">HLOOKUP($J481,'Type Chart'!$C$2:$T$20,4,false)*HLOOKUP($K481,'Type Chart'!$C$2:$U$20,4,false)</f>
        <v>1</v>
      </c>
      <c r="X481" s="960">
        <f t="array" ref="X481">HLOOKUP($J481,'Type Chart'!$C$2:$T$20,5,false)*HLOOKUP($K481,'Type Chart'!$C$2:$U$20,5,false)</f>
        <v>1</v>
      </c>
      <c r="Y481" s="960">
        <f t="array" ref="Y481">HLOOKUP($J481,'Type Chart'!$C$2:$T$20,6,false)*HLOOKUP($K481,'Type Chart'!$C$2:$U$20,6,false)</f>
        <v>1</v>
      </c>
      <c r="Z481" s="960">
        <f t="array" ref="Z481">HLOOKUP($J481,'Type Chart'!$C$2:$T$20,7,false)*HLOOKUP($K481,'Type Chart'!$C$2:$U$20,7,false)</f>
        <v>2</v>
      </c>
      <c r="AA481" s="960">
        <f t="array" ref="AA481">HLOOKUP($J481,'Type Chart'!$C$2:$T$20,8,false)*HLOOKUP($K481,'Type Chart'!$C$2:$U$20,8,false)</f>
        <v>1</v>
      </c>
      <c r="AB481" s="960">
        <f t="array" ref="AB481">HLOOKUP($J481,'Type Chart'!$C$2:$T$20,9,false)*HLOOKUP($K481,'Type Chart'!$C$2:$U$20,9,false)</f>
        <v>1</v>
      </c>
      <c r="AC481" s="960">
        <f t="array" ref="AC481">HLOOKUP($J481,'Type Chart'!$C$2:$T$20,10,false)*HLOOKUP($K481,'Type Chart'!$C$2:$U$20,10,false)</f>
        <v>2</v>
      </c>
      <c r="AD481" s="960">
        <f t="array" ref="AD481">HLOOKUP($J481,'Type Chart'!$C$2:$T$20,11,false)*HLOOKUP($K481,'Type Chart'!$C$2:$U$20,11,false)</f>
        <v>2</v>
      </c>
      <c r="AE481" s="960">
        <f t="array" ref="AE481">HLOOKUP($J481,'Type Chart'!$C$2:$T$20,12,false)*HLOOKUP($K481,'Type Chart'!$C$2:$U$20,12,false)</f>
        <v>1</v>
      </c>
      <c r="AF481" s="960">
        <f t="array" ref="AF481">HLOOKUP($J481,'Type Chart'!$C$2:$T$20,13,false)*HLOOKUP($K481,'Type Chart'!$C$2:$U$20,13,false)</f>
        <v>1</v>
      </c>
      <c r="AG481" s="960">
        <f t="array" ref="AG481">HLOOKUP($J481,'Type Chart'!$C$2:$T$20,14,false)*HLOOKUP($K481,'Type Chart'!$C$2:$U$20,14,false)</f>
        <v>1</v>
      </c>
      <c r="AH481" s="960">
        <f t="array" ref="AH481">HLOOKUP($J481,'Type Chart'!$C$2:$T$20,15,false)*HLOOKUP($K481,'Type Chart'!$C$2:$U$20,15,false)</f>
        <v>1</v>
      </c>
      <c r="AI481" s="960">
        <f t="array" ref="AI481">HLOOKUP($J481,'Type Chart'!$C$2:$T$20,16,false)*HLOOKUP($K481,'Type Chart'!$C$2:$U$20,16,false)</f>
        <v>0.5</v>
      </c>
      <c r="AJ481" s="960">
        <f t="array" ref="AJ481">HLOOKUP($J481,'Type Chart'!$C$2:$T$20,17,false)*HLOOKUP($K481,'Type Chart'!$C$2:$U$20,17,false)</f>
        <v>1</v>
      </c>
      <c r="AK481" s="960">
        <f t="array" ref="AK481">HLOOKUP($J481,'Type Chart'!$C$2:$T$20,18,false)*HLOOKUP($K481,'Type Chart'!$C$2:$U$20,18,false)</f>
        <v>1</v>
      </c>
      <c r="AL481" s="960">
        <f t="array" ref="AL481">HLOOKUP($J481,'Type Chart'!$C$2:$T$20,19,false)*HLOOKUP($K481,'Type Chart'!$C$2:$U$20,19,false)</f>
        <v>1</v>
      </c>
      <c r="AM481" s="964" t="s">
        <v>1324</v>
      </c>
      <c r="AN481" s="965"/>
      <c r="AO481" s="1146" t="s">
        <v>1410</v>
      </c>
      <c r="AP481" s="936"/>
      <c r="AQ481" s="967"/>
      <c r="AR481" s="968"/>
      <c r="AS481" s="936"/>
    </row>
    <row r="482" ht="15.75" customHeight="1">
      <c r="A482" s="936"/>
      <c r="B482" s="948" t="s">
        <v>2397</v>
      </c>
      <c r="C482" s="1197" t="s">
        <v>2398</v>
      </c>
      <c r="D482" s="1197" t="s">
        <v>2398</v>
      </c>
      <c r="E482" s="1147" t="s">
        <v>2398</v>
      </c>
      <c r="F482" s="940"/>
      <c r="G482" s="953"/>
      <c r="H482" s="969"/>
      <c r="I482" s="998" t="s">
        <v>577</v>
      </c>
      <c r="J482" s="1206" t="s">
        <v>82</v>
      </c>
      <c r="K482" s="984" t="s">
        <v>216</v>
      </c>
      <c r="L482" s="959">
        <v>80.0</v>
      </c>
      <c r="M482" s="960">
        <v>75.0</v>
      </c>
      <c r="N482" s="960">
        <v>150.0</v>
      </c>
      <c r="O482" s="960">
        <v>75.0</v>
      </c>
      <c r="P482" s="960">
        <v>150.0</v>
      </c>
      <c r="Q482" s="960">
        <v>50.0</v>
      </c>
      <c r="R482" s="960">
        <v>136.0</v>
      </c>
      <c r="S482" s="960">
        <v>199.0</v>
      </c>
      <c r="T482" s="960">
        <v>218.0</v>
      </c>
      <c r="U482" s="960">
        <f t="array" ref="U482">HLOOKUP($J482,'Type Chart'!$C$2:$T$20,2,false)*HLOOKUP($K482,'Type Chart'!$C$2:$U$20,2,false)</f>
        <v>0.5</v>
      </c>
      <c r="V482" s="960">
        <f t="array" ref="V482">HLOOKUP($J482,'Type Chart'!$C$2:$T$20,3,false)*HLOOKUP($K482,'Type Chart'!$C$2:$U$20,3,false)</f>
        <v>2</v>
      </c>
      <c r="W482" s="960">
        <f t="array" ref="W482">HLOOKUP($J482,'Type Chart'!$C$2:$T$20,4,false)*HLOOKUP($K482,'Type Chart'!$C$2:$U$20,4,false)</f>
        <v>0.5</v>
      </c>
      <c r="X482" s="960">
        <f t="array" ref="X482">HLOOKUP($J482,'Type Chart'!$C$2:$T$20,5,false)*HLOOKUP($K482,'Type Chart'!$C$2:$U$20,5,false)</f>
        <v>0</v>
      </c>
      <c r="Y482" s="960">
        <f t="array" ref="Y482">HLOOKUP($J482,'Type Chart'!$C$2:$T$20,6,false)*HLOOKUP($K482,'Type Chart'!$C$2:$U$20,6,false)</f>
        <v>2</v>
      </c>
      <c r="Z482" s="960">
        <f t="array" ref="Z482">HLOOKUP($J482,'Type Chart'!$C$2:$T$20,7,false)*HLOOKUP($K482,'Type Chart'!$C$2:$U$20,7,false)</f>
        <v>0.5</v>
      </c>
      <c r="AA482" s="960">
        <f t="array" ref="AA482">HLOOKUP($J482,'Type Chart'!$C$2:$T$20,8,false)*HLOOKUP($K482,'Type Chart'!$C$2:$U$20,8,false)</f>
        <v>0.5</v>
      </c>
      <c r="AB482" s="960">
        <f t="array" ref="AB482">HLOOKUP($J482,'Type Chart'!$C$2:$T$20,9,false)*HLOOKUP($K482,'Type Chart'!$C$2:$U$20,9,false)</f>
        <v>1</v>
      </c>
      <c r="AC482" s="960">
        <f t="array" ref="AC482">HLOOKUP($J482,'Type Chart'!$C$2:$T$20,10,false)*HLOOKUP($K482,'Type Chart'!$C$2:$U$20,10,false)</f>
        <v>0.5</v>
      </c>
      <c r="AD482" s="960">
        <f t="array" ref="AD482">HLOOKUP($J482,'Type Chart'!$C$2:$T$20,11,false)*HLOOKUP($K482,'Type Chart'!$C$2:$U$20,11,false)</f>
        <v>2</v>
      </c>
      <c r="AE482" s="960">
        <f t="array" ref="AE482">HLOOKUP($J482,'Type Chart'!$C$2:$T$20,12,false)*HLOOKUP($K482,'Type Chart'!$C$2:$U$20,12,false)</f>
        <v>1</v>
      </c>
      <c r="AF482" s="960">
        <f t="array" ref="AF482">HLOOKUP($J482,'Type Chart'!$C$2:$T$20,13,false)*HLOOKUP($K482,'Type Chart'!$C$2:$U$20,13,false)</f>
        <v>0.5</v>
      </c>
      <c r="AG482" s="960">
        <f t="array" ref="AG482">HLOOKUP($J482,'Type Chart'!$C$2:$T$20,14,false)*HLOOKUP($K482,'Type Chart'!$C$2:$U$20,14,false)</f>
        <v>1</v>
      </c>
      <c r="AH482" s="960">
        <f t="array" ref="AH482">HLOOKUP($J482,'Type Chart'!$C$2:$T$20,15,false)*HLOOKUP($K482,'Type Chart'!$C$2:$U$20,15,false)</f>
        <v>0.5</v>
      </c>
      <c r="AI482" s="960">
        <f t="array" ref="AI482">HLOOKUP($J482,'Type Chart'!$C$2:$T$20,16,false)*HLOOKUP($K482,'Type Chart'!$C$2:$U$20,16,false)</f>
        <v>0.5</v>
      </c>
      <c r="AJ482" s="960">
        <f t="array" ref="AJ482">HLOOKUP($J482,'Type Chart'!$C$2:$T$20,17,false)*HLOOKUP($K482,'Type Chart'!$C$2:$U$20,17,false)</f>
        <v>0.5</v>
      </c>
      <c r="AK482" s="960">
        <f t="array" ref="AK482">HLOOKUP($J482,'Type Chart'!$C$2:$T$20,18,false)*HLOOKUP($K482,'Type Chart'!$C$2:$U$20,18,false)</f>
        <v>1</v>
      </c>
      <c r="AL482" s="960">
        <f t="array" ref="AL482">HLOOKUP($J482,'Type Chart'!$C$2:$T$20,19,false)*HLOOKUP($K482,'Type Chart'!$C$2:$U$20,19,false)</f>
        <v>0.5</v>
      </c>
      <c r="AM482" s="964" t="s">
        <v>1324</v>
      </c>
      <c r="AN482" s="965"/>
      <c r="AO482" s="966" t="s">
        <v>1854</v>
      </c>
      <c r="AP482" s="936"/>
      <c r="AQ482" s="967"/>
      <c r="AR482" s="968"/>
      <c r="AS482" s="936"/>
    </row>
    <row r="483" ht="15.75" customHeight="1">
      <c r="A483" s="936"/>
      <c r="B483" s="948" t="s">
        <v>2399</v>
      </c>
      <c r="C483" s="950" t="s">
        <v>169</v>
      </c>
      <c r="D483" s="950" t="s">
        <v>169</v>
      </c>
      <c r="E483" s="952" t="s">
        <v>169</v>
      </c>
      <c r="F483" s="940"/>
      <c r="G483" s="953"/>
      <c r="H483" s="969"/>
      <c r="I483" s="998" t="s">
        <v>175</v>
      </c>
      <c r="J483" s="1231" t="s">
        <v>346</v>
      </c>
      <c r="K483" s="1203" t="s">
        <v>344</v>
      </c>
      <c r="L483" s="1200">
        <v>80.0</v>
      </c>
      <c r="M483" s="1201">
        <v>80.0</v>
      </c>
      <c r="N483" s="1201">
        <v>90.0</v>
      </c>
      <c r="O483" s="1201">
        <v>110.0</v>
      </c>
      <c r="P483" s="1201">
        <v>130.0</v>
      </c>
      <c r="Q483" s="1201">
        <v>110.0</v>
      </c>
      <c r="R483" s="960">
        <v>256.0</v>
      </c>
      <c r="S483" s="960">
        <v>319.0</v>
      </c>
      <c r="T483" s="960">
        <v>350.0</v>
      </c>
      <c r="U483" s="960">
        <f t="array" ref="U483">HLOOKUP($J483,'Type Chart'!$C$2:$T$20,2,false)*HLOOKUP($K483,'Type Chart'!$C$2:$U$20,2,false)</f>
        <v>1</v>
      </c>
      <c r="V483" s="960">
        <f t="array" ref="V483">HLOOKUP($J483,'Type Chart'!$C$2:$T$20,3,false)*HLOOKUP($K483,'Type Chart'!$C$2:$U$20,3,false)</f>
        <v>0.5</v>
      </c>
      <c r="W483" s="960">
        <f t="array" ref="W483">HLOOKUP($J483,'Type Chart'!$C$2:$T$20,4,false)*HLOOKUP($K483,'Type Chart'!$C$2:$U$20,4,false)</f>
        <v>1</v>
      </c>
      <c r="X483" s="960">
        <f t="array" ref="X483">HLOOKUP($J483,'Type Chart'!$C$2:$T$20,5,false)*HLOOKUP($K483,'Type Chart'!$C$2:$U$20,5,false)</f>
        <v>1</v>
      </c>
      <c r="Y483" s="960">
        <f t="array" ref="Y483">HLOOKUP($J483,'Type Chart'!$C$2:$T$20,6,false)*HLOOKUP($K483,'Type Chart'!$C$2:$U$20,6,false)</f>
        <v>1</v>
      </c>
      <c r="Z483" s="960">
        <f t="array" ref="Z483">HLOOKUP($J483,'Type Chart'!$C$2:$T$20,7,false)*HLOOKUP($K483,'Type Chart'!$C$2:$U$20,7,false)</f>
        <v>1</v>
      </c>
      <c r="AA483" s="960">
        <f t="array" ref="AA483">HLOOKUP($J483,'Type Chart'!$C$2:$T$20,8,false)*HLOOKUP($K483,'Type Chart'!$C$2:$U$20,8,false)</f>
        <v>2</v>
      </c>
      <c r="AB483" s="960">
        <f t="array" ref="AB483">HLOOKUP($J483,'Type Chart'!$C$2:$T$20,9,false)*HLOOKUP($K483,'Type Chart'!$C$2:$U$20,9,false)</f>
        <v>2</v>
      </c>
      <c r="AC483" s="960">
        <f t="array" ref="AC483">HLOOKUP($J483,'Type Chart'!$C$2:$T$20,10,false)*HLOOKUP($K483,'Type Chart'!$C$2:$U$20,10,false)</f>
        <v>1</v>
      </c>
      <c r="AD483" s="960">
        <f t="array" ref="AD483">HLOOKUP($J483,'Type Chart'!$C$2:$T$20,11,false)*HLOOKUP($K483,'Type Chart'!$C$2:$U$20,11,false)</f>
        <v>0.5</v>
      </c>
      <c r="AE483" s="960">
        <f t="array" ref="AE483">HLOOKUP($J483,'Type Chart'!$C$2:$T$20,12,false)*HLOOKUP($K483,'Type Chart'!$C$2:$U$20,12,false)</f>
        <v>0.5</v>
      </c>
      <c r="AF483" s="960">
        <f t="array" ref="AF483">HLOOKUP($J483,'Type Chart'!$C$2:$T$20,13,false)*HLOOKUP($K483,'Type Chart'!$C$2:$U$20,13,false)</f>
        <v>0.5</v>
      </c>
      <c r="AG483" s="960">
        <f t="array" ref="AG483">HLOOKUP($J483,'Type Chart'!$C$2:$T$20,14,false)*HLOOKUP($K483,'Type Chart'!$C$2:$U$20,14,false)</f>
        <v>0.5</v>
      </c>
      <c r="AH483" s="960">
        <f t="array" ref="AH483">HLOOKUP($J483,'Type Chart'!$C$2:$T$20,15,false)*HLOOKUP($K483,'Type Chart'!$C$2:$U$20,15,false)</f>
        <v>0.5</v>
      </c>
      <c r="AI483" s="960">
        <f t="array" ref="AI483">HLOOKUP($J483,'Type Chart'!$C$2:$T$20,16,false)*HLOOKUP($K483,'Type Chart'!$C$2:$U$20,16,false)</f>
        <v>2</v>
      </c>
      <c r="AJ483" s="960">
        <f t="array" ref="AJ483">HLOOKUP($J483,'Type Chart'!$C$2:$T$20,17,false)*HLOOKUP($K483,'Type Chart'!$C$2:$U$20,17,false)</f>
        <v>2</v>
      </c>
      <c r="AK483" s="960">
        <f t="array" ref="AK483">HLOOKUP($J483,'Type Chart'!$C$2:$T$20,18,false)*HLOOKUP($K483,'Type Chart'!$C$2:$U$20,18,false)</f>
        <v>2</v>
      </c>
      <c r="AL483" s="960">
        <f t="array" ref="AL483">HLOOKUP($J483,'Type Chart'!$C$2:$T$20,19,false)*HLOOKUP($K483,'Type Chart'!$C$2:$U$20,19,false)</f>
        <v>2</v>
      </c>
      <c r="AM483" s="964" t="s">
        <v>1437</v>
      </c>
      <c r="AN483" s="965"/>
      <c r="AO483" s="966"/>
      <c r="AP483" s="936"/>
      <c r="AQ483" s="967"/>
      <c r="AR483" s="968"/>
      <c r="AS483" s="936"/>
    </row>
    <row r="484" ht="15.75" customHeight="1">
      <c r="A484" s="936"/>
      <c r="B484" s="948" t="s">
        <v>2400</v>
      </c>
      <c r="C484" s="950" t="s">
        <v>2401</v>
      </c>
      <c r="D484" s="950" t="s">
        <v>2401</v>
      </c>
      <c r="E484" s="952" t="s">
        <v>2401</v>
      </c>
      <c r="F484" s="940"/>
      <c r="G484" s="953"/>
      <c r="H484" s="969"/>
      <c r="I484" s="998" t="s">
        <v>2402</v>
      </c>
      <c r="J484" s="1231" t="s">
        <v>346</v>
      </c>
      <c r="K484" s="1203" t="s">
        <v>344</v>
      </c>
      <c r="L484" s="1200">
        <v>80.0</v>
      </c>
      <c r="M484" s="1201">
        <v>100.0</v>
      </c>
      <c r="N484" s="1201">
        <v>120.0</v>
      </c>
      <c r="O484" s="1201">
        <v>140.0</v>
      </c>
      <c r="P484" s="1201">
        <v>150.0</v>
      </c>
      <c r="Q484" s="1201">
        <v>110.0</v>
      </c>
      <c r="R484" s="960">
        <v>256.0</v>
      </c>
      <c r="S484" s="960">
        <v>319.0</v>
      </c>
      <c r="T484" s="960">
        <v>350.0</v>
      </c>
      <c r="U484" s="960">
        <f t="array" ref="U484">HLOOKUP($J484,'Type Chart'!$C$2:$T$20,2,false)*HLOOKUP($K484,'Type Chart'!$C$2:$U$20,2,false)</f>
        <v>1</v>
      </c>
      <c r="V484" s="960">
        <f t="array" ref="V484">HLOOKUP($J484,'Type Chart'!$C$2:$T$20,3,false)*HLOOKUP($K484,'Type Chart'!$C$2:$U$20,3,false)</f>
        <v>0.5</v>
      </c>
      <c r="W484" s="960">
        <f t="array" ref="W484">HLOOKUP($J484,'Type Chart'!$C$2:$T$20,4,false)*HLOOKUP($K484,'Type Chart'!$C$2:$U$20,4,false)</f>
        <v>1</v>
      </c>
      <c r="X484" s="960">
        <f t="array" ref="X484">HLOOKUP($J484,'Type Chart'!$C$2:$T$20,5,false)*HLOOKUP($K484,'Type Chart'!$C$2:$U$20,5,false)</f>
        <v>1</v>
      </c>
      <c r="Y484" s="960">
        <f t="array" ref="Y484">HLOOKUP($J484,'Type Chart'!$C$2:$T$20,6,false)*HLOOKUP($K484,'Type Chart'!$C$2:$U$20,6,false)</f>
        <v>1</v>
      </c>
      <c r="Z484" s="960">
        <f t="array" ref="Z484">HLOOKUP($J484,'Type Chart'!$C$2:$T$20,7,false)*HLOOKUP($K484,'Type Chart'!$C$2:$U$20,7,false)</f>
        <v>1</v>
      </c>
      <c r="AA484" s="960">
        <f t="array" ref="AA484">HLOOKUP($J484,'Type Chart'!$C$2:$T$20,8,false)*HLOOKUP($K484,'Type Chart'!$C$2:$U$20,8,false)</f>
        <v>2</v>
      </c>
      <c r="AB484" s="960">
        <f t="array" ref="AB484">HLOOKUP($J484,'Type Chart'!$C$2:$T$20,9,false)*HLOOKUP($K484,'Type Chart'!$C$2:$U$20,9,false)</f>
        <v>2</v>
      </c>
      <c r="AC484" s="960">
        <f t="array" ref="AC484">HLOOKUP($J484,'Type Chart'!$C$2:$T$20,10,false)*HLOOKUP($K484,'Type Chart'!$C$2:$U$20,10,false)</f>
        <v>1</v>
      </c>
      <c r="AD484" s="960">
        <f t="array" ref="AD484">HLOOKUP($J484,'Type Chart'!$C$2:$T$20,11,false)*HLOOKUP($K484,'Type Chart'!$C$2:$U$20,11,false)</f>
        <v>0.5</v>
      </c>
      <c r="AE484" s="960">
        <f t="array" ref="AE484">HLOOKUP($J484,'Type Chart'!$C$2:$T$20,12,false)*HLOOKUP($K484,'Type Chart'!$C$2:$U$20,12,false)</f>
        <v>0.5</v>
      </c>
      <c r="AF484" s="960">
        <f t="array" ref="AF484">HLOOKUP($J484,'Type Chart'!$C$2:$T$20,13,false)*HLOOKUP($K484,'Type Chart'!$C$2:$U$20,13,false)</f>
        <v>0.5</v>
      </c>
      <c r="AG484" s="960">
        <f t="array" ref="AG484">HLOOKUP($J484,'Type Chart'!$C$2:$T$20,14,false)*HLOOKUP($K484,'Type Chart'!$C$2:$U$20,14,false)</f>
        <v>0.5</v>
      </c>
      <c r="AH484" s="960">
        <f t="array" ref="AH484">HLOOKUP($J484,'Type Chart'!$C$2:$T$20,15,false)*HLOOKUP($K484,'Type Chart'!$C$2:$U$20,15,false)</f>
        <v>0.5</v>
      </c>
      <c r="AI484" s="960">
        <f t="array" ref="AI484">HLOOKUP($J484,'Type Chart'!$C$2:$T$20,16,false)*HLOOKUP($K484,'Type Chart'!$C$2:$U$20,16,false)</f>
        <v>2</v>
      </c>
      <c r="AJ484" s="960">
        <f t="array" ref="AJ484">HLOOKUP($J484,'Type Chart'!$C$2:$T$20,17,false)*HLOOKUP($K484,'Type Chart'!$C$2:$U$20,17,false)</f>
        <v>2</v>
      </c>
      <c r="AK484" s="960">
        <f t="array" ref="AK484">HLOOKUP($J484,'Type Chart'!$C$2:$T$20,18,false)*HLOOKUP($K484,'Type Chart'!$C$2:$U$20,18,false)</f>
        <v>2</v>
      </c>
      <c r="AL484" s="960">
        <f t="array" ref="AL484">HLOOKUP($J484,'Type Chart'!$C$2:$T$20,19,false)*HLOOKUP($K484,'Type Chart'!$C$2:$U$20,19,false)</f>
        <v>2</v>
      </c>
      <c r="AM484" s="964" t="s">
        <v>1437</v>
      </c>
      <c r="AN484" s="1202"/>
      <c r="AO484" s="966"/>
      <c r="AP484" s="936"/>
      <c r="AQ484" s="967"/>
      <c r="AR484" s="968"/>
      <c r="AS484" s="936"/>
    </row>
    <row r="485" ht="15.75" customHeight="1">
      <c r="A485" s="936"/>
      <c r="B485" s="948" t="s">
        <v>2403</v>
      </c>
      <c r="C485" s="950" t="s">
        <v>2404</v>
      </c>
      <c r="D485" s="950" t="s">
        <v>2404</v>
      </c>
      <c r="E485" s="952" t="s">
        <v>2404</v>
      </c>
      <c r="F485" s="940"/>
      <c r="G485" s="953"/>
      <c r="H485" s="969"/>
      <c r="I485" s="998" t="s">
        <v>304</v>
      </c>
      <c r="J485" s="1231" t="s">
        <v>346</v>
      </c>
      <c r="K485" s="1215" t="s">
        <v>344</v>
      </c>
      <c r="L485" s="1200">
        <v>80.0</v>
      </c>
      <c r="M485" s="1201">
        <v>90.0</v>
      </c>
      <c r="N485" s="1201">
        <v>80.0</v>
      </c>
      <c r="O485" s="1201">
        <v>130.0</v>
      </c>
      <c r="P485" s="1201">
        <v>110.0</v>
      </c>
      <c r="Q485" s="1201">
        <v>110.0</v>
      </c>
      <c r="R485" s="960">
        <v>256.0</v>
      </c>
      <c r="S485" s="960">
        <v>319.0</v>
      </c>
      <c r="T485" s="960">
        <v>350.0</v>
      </c>
      <c r="U485" s="960">
        <f t="array" ref="U485">HLOOKUP($J485,'Type Chart'!$C$2:$T$20,2,false)*HLOOKUP($K485,'Type Chart'!$C$2:$U$20,2,false)</f>
        <v>1</v>
      </c>
      <c r="V485" s="960">
        <f t="array" ref="V485">HLOOKUP($J485,'Type Chart'!$C$2:$T$20,3,false)*HLOOKUP($K485,'Type Chart'!$C$2:$U$20,3,false)</f>
        <v>0.5</v>
      </c>
      <c r="W485" s="960">
        <f t="array" ref="W485">HLOOKUP($J485,'Type Chart'!$C$2:$T$20,4,false)*HLOOKUP($K485,'Type Chart'!$C$2:$U$20,4,false)</f>
        <v>1</v>
      </c>
      <c r="X485" s="960">
        <f t="array" ref="X485">HLOOKUP($J485,'Type Chart'!$C$2:$T$20,5,false)*HLOOKUP($K485,'Type Chart'!$C$2:$U$20,5,false)</f>
        <v>1</v>
      </c>
      <c r="Y485" s="960">
        <f t="array" ref="Y485">HLOOKUP($J485,'Type Chart'!$C$2:$T$20,6,false)*HLOOKUP($K485,'Type Chart'!$C$2:$U$20,6,false)</f>
        <v>1</v>
      </c>
      <c r="Z485" s="960">
        <f t="array" ref="Z485">HLOOKUP($J485,'Type Chart'!$C$2:$T$20,7,false)*HLOOKUP($K485,'Type Chart'!$C$2:$U$20,7,false)</f>
        <v>1</v>
      </c>
      <c r="AA485" s="960">
        <f t="array" ref="AA485">HLOOKUP($J485,'Type Chart'!$C$2:$T$20,8,false)*HLOOKUP($K485,'Type Chart'!$C$2:$U$20,8,false)</f>
        <v>2</v>
      </c>
      <c r="AB485" s="960">
        <f t="array" ref="AB485">HLOOKUP($J485,'Type Chart'!$C$2:$T$20,9,false)*HLOOKUP($K485,'Type Chart'!$C$2:$U$20,9,false)</f>
        <v>2</v>
      </c>
      <c r="AC485" s="960">
        <f t="array" ref="AC485">HLOOKUP($J485,'Type Chart'!$C$2:$T$20,10,false)*HLOOKUP($K485,'Type Chart'!$C$2:$U$20,10,false)</f>
        <v>1</v>
      </c>
      <c r="AD485" s="960">
        <f t="array" ref="AD485">HLOOKUP($J485,'Type Chart'!$C$2:$T$20,11,false)*HLOOKUP($K485,'Type Chart'!$C$2:$U$20,11,false)</f>
        <v>0.5</v>
      </c>
      <c r="AE485" s="960">
        <f t="array" ref="AE485">HLOOKUP($J485,'Type Chart'!$C$2:$T$20,12,false)*HLOOKUP($K485,'Type Chart'!$C$2:$U$20,12,false)</f>
        <v>0.5</v>
      </c>
      <c r="AF485" s="960">
        <f t="array" ref="AF485">HLOOKUP($J485,'Type Chart'!$C$2:$T$20,13,false)*HLOOKUP($K485,'Type Chart'!$C$2:$U$20,13,false)</f>
        <v>0.5</v>
      </c>
      <c r="AG485" s="960">
        <f t="array" ref="AG485">HLOOKUP($J485,'Type Chart'!$C$2:$T$20,14,false)*HLOOKUP($K485,'Type Chart'!$C$2:$U$20,14,false)</f>
        <v>0.5</v>
      </c>
      <c r="AH485" s="960">
        <f t="array" ref="AH485">HLOOKUP($J485,'Type Chart'!$C$2:$T$20,15,false)*HLOOKUP($K485,'Type Chart'!$C$2:$U$20,15,false)</f>
        <v>0.5</v>
      </c>
      <c r="AI485" s="960">
        <f t="array" ref="AI485">HLOOKUP($J485,'Type Chart'!$C$2:$T$20,16,false)*HLOOKUP($K485,'Type Chart'!$C$2:$U$20,16,false)</f>
        <v>2</v>
      </c>
      <c r="AJ485" s="960">
        <f t="array" ref="AJ485">HLOOKUP($J485,'Type Chart'!$C$2:$T$20,17,false)*HLOOKUP($K485,'Type Chart'!$C$2:$U$20,17,false)</f>
        <v>2</v>
      </c>
      <c r="AK485" s="960">
        <f t="array" ref="AK485">HLOOKUP($J485,'Type Chart'!$C$2:$T$20,18,false)*HLOOKUP($K485,'Type Chart'!$C$2:$U$20,18,false)</f>
        <v>2</v>
      </c>
      <c r="AL485" s="960">
        <f t="array" ref="AL485">HLOOKUP($J485,'Type Chart'!$C$2:$T$20,19,false)*HLOOKUP($K485,'Type Chart'!$C$2:$U$20,19,false)</f>
        <v>2</v>
      </c>
      <c r="AM485" s="1145" t="s">
        <v>1437</v>
      </c>
      <c r="AN485" s="1202"/>
      <c r="AO485" s="1146"/>
      <c r="AP485" s="936"/>
      <c r="AQ485" s="967"/>
      <c r="AR485" s="968"/>
      <c r="AS485" s="936"/>
    </row>
    <row r="486" ht="15.75" customHeight="1">
      <c r="A486" s="936"/>
      <c r="B486" s="948" t="s">
        <v>2405</v>
      </c>
      <c r="C486" s="1197" t="s">
        <v>2406</v>
      </c>
      <c r="D486" s="1197" t="s">
        <v>2406</v>
      </c>
      <c r="E486" s="1147" t="s">
        <v>2406</v>
      </c>
      <c r="F486" s="940"/>
      <c r="G486" s="953"/>
      <c r="H486" s="969"/>
      <c r="I486" s="998" t="s">
        <v>2407</v>
      </c>
      <c r="J486" s="1006" t="s">
        <v>346</v>
      </c>
      <c r="K486" s="1203" t="s">
        <v>344</v>
      </c>
      <c r="L486" s="959">
        <v>80.0</v>
      </c>
      <c r="M486" s="960">
        <v>130.0</v>
      </c>
      <c r="N486" s="960">
        <v>100.0</v>
      </c>
      <c r="O486" s="960">
        <v>160.0</v>
      </c>
      <c r="P486" s="960">
        <v>120.0</v>
      </c>
      <c r="Q486" s="960">
        <v>110.0</v>
      </c>
      <c r="R486" s="960">
        <v>256.0</v>
      </c>
      <c r="S486" s="960">
        <v>319.0</v>
      </c>
      <c r="T486" s="960">
        <v>350.0</v>
      </c>
      <c r="U486" s="960">
        <f t="array" ref="U486">HLOOKUP($J486,'Type Chart'!$C$2:$T$20,2,false)*HLOOKUP($K486,'Type Chart'!$C$2:$U$20,2,false)</f>
        <v>1</v>
      </c>
      <c r="V486" s="960">
        <f t="array" ref="V486">HLOOKUP($J486,'Type Chart'!$C$2:$T$20,3,false)*HLOOKUP($K486,'Type Chart'!$C$2:$U$20,3,false)</f>
        <v>0.5</v>
      </c>
      <c r="W486" s="960">
        <f t="array" ref="W486">HLOOKUP($J486,'Type Chart'!$C$2:$T$20,4,false)*HLOOKUP($K486,'Type Chart'!$C$2:$U$20,4,false)</f>
        <v>1</v>
      </c>
      <c r="X486" s="960">
        <f t="array" ref="X486">HLOOKUP($J486,'Type Chart'!$C$2:$T$20,5,false)*HLOOKUP($K486,'Type Chart'!$C$2:$U$20,5,false)</f>
        <v>1</v>
      </c>
      <c r="Y486" s="960">
        <f t="array" ref="Y486">HLOOKUP($J486,'Type Chart'!$C$2:$T$20,6,false)*HLOOKUP($K486,'Type Chart'!$C$2:$U$20,6,false)</f>
        <v>1</v>
      </c>
      <c r="Z486" s="960">
        <f t="array" ref="Z486">HLOOKUP($J486,'Type Chart'!$C$2:$T$20,7,false)*HLOOKUP($K486,'Type Chart'!$C$2:$U$20,7,false)</f>
        <v>1</v>
      </c>
      <c r="AA486" s="960">
        <f t="array" ref="AA486">HLOOKUP($J486,'Type Chart'!$C$2:$T$20,8,false)*HLOOKUP($K486,'Type Chart'!$C$2:$U$20,8,false)</f>
        <v>2</v>
      </c>
      <c r="AB486" s="960">
        <f t="array" ref="AB486">HLOOKUP($J486,'Type Chart'!$C$2:$T$20,9,false)*HLOOKUP($K486,'Type Chart'!$C$2:$U$20,9,false)</f>
        <v>2</v>
      </c>
      <c r="AC486" s="960">
        <f t="array" ref="AC486">HLOOKUP($J486,'Type Chart'!$C$2:$T$20,10,false)*HLOOKUP($K486,'Type Chart'!$C$2:$U$20,10,false)</f>
        <v>1</v>
      </c>
      <c r="AD486" s="960">
        <f t="array" ref="AD486">HLOOKUP($J486,'Type Chart'!$C$2:$T$20,11,false)*HLOOKUP($K486,'Type Chart'!$C$2:$U$20,11,false)</f>
        <v>0.5</v>
      </c>
      <c r="AE486" s="960">
        <f t="array" ref="AE486">HLOOKUP($J486,'Type Chart'!$C$2:$T$20,12,false)*HLOOKUP($K486,'Type Chart'!$C$2:$U$20,12,false)</f>
        <v>0.5</v>
      </c>
      <c r="AF486" s="960">
        <f t="array" ref="AF486">HLOOKUP($J486,'Type Chart'!$C$2:$T$20,13,false)*HLOOKUP($K486,'Type Chart'!$C$2:$U$20,13,false)</f>
        <v>0.5</v>
      </c>
      <c r="AG486" s="960">
        <f t="array" ref="AG486">HLOOKUP($J486,'Type Chart'!$C$2:$T$20,14,false)*HLOOKUP($K486,'Type Chart'!$C$2:$U$20,14,false)</f>
        <v>0.5</v>
      </c>
      <c r="AH486" s="960">
        <f t="array" ref="AH486">HLOOKUP($J486,'Type Chart'!$C$2:$T$20,15,false)*HLOOKUP($K486,'Type Chart'!$C$2:$U$20,15,false)</f>
        <v>0.5</v>
      </c>
      <c r="AI486" s="960">
        <f t="array" ref="AI486">HLOOKUP($J486,'Type Chart'!$C$2:$T$20,16,false)*HLOOKUP($K486,'Type Chart'!$C$2:$U$20,16,false)</f>
        <v>2</v>
      </c>
      <c r="AJ486" s="960">
        <f t="array" ref="AJ486">HLOOKUP($J486,'Type Chart'!$C$2:$T$20,17,false)*HLOOKUP($K486,'Type Chart'!$C$2:$U$20,17,false)</f>
        <v>2</v>
      </c>
      <c r="AK486" s="960">
        <f t="array" ref="AK486">HLOOKUP($J486,'Type Chart'!$C$2:$T$20,18,false)*HLOOKUP($K486,'Type Chart'!$C$2:$U$20,18,false)</f>
        <v>2</v>
      </c>
      <c r="AL486" s="960">
        <f t="array" ref="AL486">HLOOKUP($J486,'Type Chart'!$C$2:$T$20,19,false)*HLOOKUP($K486,'Type Chart'!$C$2:$U$20,19,false)</f>
        <v>2</v>
      </c>
      <c r="AM486" s="964" t="s">
        <v>1437</v>
      </c>
      <c r="AN486" s="965"/>
      <c r="AO486" s="966"/>
      <c r="AP486" s="936"/>
      <c r="AQ486" s="967"/>
      <c r="AR486" s="968"/>
      <c r="AS486" s="936"/>
    </row>
    <row r="487" ht="15.75" customHeight="1">
      <c r="A487" s="936"/>
      <c r="B487" s="948" t="s">
        <v>2408</v>
      </c>
      <c r="C487" s="950" t="s">
        <v>2409</v>
      </c>
      <c r="D487" s="950" t="s">
        <v>2409</v>
      </c>
      <c r="E487" s="952" t="s">
        <v>2409</v>
      </c>
      <c r="F487" s="940"/>
      <c r="G487" s="953"/>
      <c r="H487" s="969"/>
      <c r="I487" s="998" t="s">
        <v>254</v>
      </c>
      <c r="J487" s="1056" t="s">
        <v>81</v>
      </c>
      <c r="K487" s="984" t="s">
        <v>216</v>
      </c>
      <c r="L487" s="959">
        <v>100.0</v>
      </c>
      <c r="M487" s="960">
        <v>100.0</v>
      </c>
      <c r="N487" s="960">
        <v>90.0</v>
      </c>
      <c r="O487" s="960">
        <v>150.0</v>
      </c>
      <c r="P487" s="960">
        <v>140.0</v>
      </c>
      <c r="Q487" s="960">
        <v>90.0</v>
      </c>
      <c r="R487" s="960">
        <v>216.0</v>
      </c>
      <c r="S487" s="960">
        <v>279.0</v>
      </c>
      <c r="T487" s="960">
        <v>306.0</v>
      </c>
      <c r="U487" s="960">
        <f t="array" ref="U487">HLOOKUP($J487,'Type Chart'!$C$2:$T$20,2,false)*HLOOKUP($K487,'Type Chart'!$C$2:$U$20,2,false)</f>
        <v>1</v>
      </c>
      <c r="V487" s="960">
        <f t="array" ref="V487">HLOOKUP($J487,'Type Chart'!$C$2:$T$20,3,false)*HLOOKUP($K487,'Type Chart'!$C$2:$U$20,3,false)</f>
        <v>1</v>
      </c>
      <c r="W487" s="960">
        <f t="array" ref="W487">HLOOKUP($J487,'Type Chart'!$C$2:$T$20,4,false)*HLOOKUP($K487,'Type Chart'!$C$2:$U$20,4,false)</f>
        <v>1</v>
      </c>
      <c r="X487" s="960">
        <f t="array" ref="X487">HLOOKUP($J487,'Type Chart'!$C$2:$T$20,5,false)*HLOOKUP($K487,'Type Chart'!$C$2:$U$20,5,false)</f>
        <v>1</v>
      </c>
      <c r="Y487" s="960">
        <f t="array" ref="Y487">HLOOKUP($J487,'Type Chart'!$C$2:$T$20,6,false)*HLOOKUP($K487,'Type Chart'!$C$2:$U$20,6,false)</f>
        <v>1</v>
      </c>
      <c r="Z487" s="960">
        <f t="array" ref="Z487">HLOOKUP($J487,'Type Chart'!$C$2:$T$20,7,false)*HLOOKUP($K487,'Type Chart'!$C$2:$U$20,7,false)</f>
        <v>1</v>
      </c>
      <c r="AA487" s="960">
        <f t="array" ref="AA487">HLOOKUP($J487,'Type Chart'!$C$2:$T$20,8,false)*HLOOKUP($K487,'Type Chart'!$C$2:$U$20,8,false)</f>
        <v>1</v>
      </c>
      <c r="AB487" s="960">
        <f t="array" ref="AB487">HLOOKUP($J487,'Type Chart'!$C$2:$T$20,9,false)*HLOOKUP($K487,'Type Chart'!$C$2:$U$20,9,false)</f>
        <v>1</v>
      </c>
      <c r="AC487" s="960">
        <f t="array" ref="AC487">HLOOKUP($J487,'Type Chart'!$C$2:$T$20,10,false)*HLOOKUP($K487,'Type Chart'!$C$2:$U$20,10,false)</f>
        <v>0.5</v>
      </c>
      <c r="AD487" s="960">
        <f t="array" ref="AD487">HLOOKUP($J487,'Type Chart'!$C$2:$T$20,11,false)*HLOOKUP($K487,'Type Chart'!$C$2:$U$20,11,false)</f>
        <v>0.5</v>
      </c>
      <c r="AE487" s="960">
        <f t="array" ref="AE487">HLOOKUP($J487,'Type Chart'!$C$2:$T$20,12,false)*HLOOKUP($K487,'Type Chart'!$C$2:$U$20,12,false)</f>
        <v>0.5</v>
      </c>
      <c r="AF487" s="960">
        <f t="array" ref="AF487">HLOOKUP($J487,'Type Chart'!$C$2:$T$20,13,false)*HLOOKUP($K487,'Type Chart'!$C$2:$U$20,13,false)</f>
        <v>2</v>
      </c>
      <c r="AG487" s="960">
        <f t="array" ref="AG487">HLOOKUP($J487,'Type Chart'!$C$2:$T$20,14,false)*HLOOKUP($K487,'Type Chart'!$C$2:$U$20,14,false)</f>
        <v>2</v>
      </c>
      <c r="AH487" s="960">
        <f t="array" ref="AH487">HLOOKUP($J487,'Type Chart'!$C$2:$T$20,15,false)*HLOOKUP($K487,'Type Chart'!$C$2:$U$20,15,false)</f>
        <v>1</v>
      </c>
      <c r="AI487" s="960">
        <f t="array" ref="AI487">HLOOKUP($J487,'Type Chart'!$C$2:$T$20,16,false)*HLOOKUP($K487,'Type Chart'!$C$2:$U$20,16,false)</f>
        <v>0.5</v>
      </c>
      <c r="AJ487" s="960">
        <f t="array" ref="AJ487">HLOOKUP($J487,'Type Chart'!$C$2:$T$20,17,false)*HLOOKUP($K487,'Type Chart'!$C$2:$U$20,17,false)</f>
        <v>1</v>
      </c>
      <c r="AK487" s="960">
        <f t="array" ref="AK487">HLOOKUP($J487,'Type Chart'!$C$2:$T$20,18,false)*HLOOKUP($K487,'Type Chart'!$C$2:$U$20,18,false)</f>
        <v>1</v>
      </c>
      <c r="AL487" s="960">
        <f t="array" ref="AL487">HLOOKUP($J487,'Type Chart'!$C$2:$T$20,19,false)*HLOOKUP($K487,'Type Chart'!$C$2:$U$20,19,false)</f>
        <v>1</v>
      </c>
      <c r="AM487" s="964" t="s">
        <v>349</v>
      </c>
      <c r="AN487" s="965"/>
      <c r="AO487" s="966"/>
      <c r="AP487" s="936"/>
      <c r="AQ487" s="967"/>
      <c r="AR487" s="968"/>
      <c r="AS487" s="936"/>
    </row>
    <row r="488" ht="15.75" customHeight="1">
      <c r="A488" s="936"/>
      <c r="B488" s="948" t="s">
        <v>2410</v>
      </c>
      <c r="C488" s="950" t="s">
        <v>2411</v>
      </c>
      <c r="D488" s="950" t="s">
        <v>2411</v>
      </c>
      <c r="E488" s="952" t="s">
        <v>2411</v>
      </c>
      <c r="F488" s="940"/>
      <c r="G488" s="953"/>
      <c r="H488" s="969"/>
      <c r="I488" s="950" t="s">
        <v>2411</v>
      </c>
      <c r="J488" s="1211" t="s">
        <v>81</v>
      </c>
      <c r="K488" s="1199" t="s">
        <v>216</v>
      </c>
      <c r="L488" s="1200">
        <v>100.0</v>
      </c>
      <c r="M488" s="1201">
        <v>150.0</v>
      </c>
      <c r="N488" s="1201">
        <v>90.0</v>
      </c>
      <c r="O488" s="1201">
        <v>180.0</v>
      </c>
      <c r="P488" s="1201">
        <v>160.0</v>
      </c>
      <c r="Q488" s="1201">
        <v>90.0</v>
      </c>
      <c r="R488" s="960">
        <v>216.0</v>
      </c>
      <c r="S488" s="960">
        <v>279.0</v>
      </c>
      <c r="T488" s="960">
        <v>306.0</v>
      </c>
      <c r="U488" s="960">
        <f t="array" ref="U488">HLOOKUP($J488,'Type Chart'!$C$2:$T$20,2,false)*HLOOKUP($K488,'Type Chart'!$C$2:$U$20,2,false)</f>
        <v>1</v>
      </c>
      <c r="V488" s="960">
        <f t="array" ref="V488">HLOOKUP($J488,'Type Chart'!$C$2:$T$20,3,false)*HLOOKUP($K488,'Type Chart'!$C$2:$U$20,3,false)</f>
        <v>1</v>
      </c>
      <c r="W488" s="960">
        <f t="array" ref="W488">HLOOKUP($J488,'Type Chart'!$C$2:$T$20,4,false)*HLOOKUP($K488,'Type Chart'!$C$2:$U$20,4,false)</f>
        <v>1</v>
      </c>
      <c r="X488" s="960">
        <f t="array" ref="X488">HLOOKUP($J488,'Type Chart'!$C$2:$T$20,5,false)*HLOOKUP($K488,'Type Chart'!$C$2:$U$20,5,false)</f>
        <v>1</v>
      </c>
      <c r="Y488" s="960">
        <f t="array" ref="Y488">HLOOKUP($J488,'Type Chart'!$C$2:$T$20,6,false)*HLOOKUP($K488,'Type Chart'!$C$2:$U$20,6,false)</f>
        <v>1</v>
      </c>
      <c r="Z488" s="960">
        <f t="array" ref="Z488">HLOOKUP($J488,'Type Chart'!$C$2:$T$20,7,false)*HLOOKUP($K488,'Type Chart'!$C$2:$U$20,7,false)</f>
        <v>1</v>
      </c>
      <c r="AA488" s="960">
        <f t="array" ref="AA488">HLOOKUP($J488,'Type Chart'!$C$2:$T$20,8,false)*HLOOKUP($K488,'Type Chart'!$C$2:$U$20,8,false)</f>
        <v>1</v>
      </c>
      <c r="AB488" s="960">
        <f t="array" ref="AB488">HLOOKUP($J488,'Type Chart'!$C$2:$T$20,9,false)*HLOOKUP($K488,'Type Chart'!$C$2:$U$20,9,false)</f>
        <v>1</v>
      </c>
      <c r="AC488" s="960">
        <f t="array" ref="AC488">HLOOKUP($J488,'Type Chart'!$C$2:$T$20,10,false)*HLOOKUP($K488,'Type Chart'!$C$2:$U$20,10,false)</f>
        <v>0.5</v>
      </c>
      <c r="AD488" s="960">
        <f t="array" ref="AD488">HLOOKUP($J488,'Type Chart'!$C$2:$T$20,11,false)*HLOOKUP($K488,'Type Chart'!$C$2:$U$20,11,false)</f>
        <v>0.5</v>
      </c>
      <c r="AE488" s="960">
        <f t="array" ref="AE488">HLOOKUP($J488,'Type Chart'!$C$2:$T$20,12,false)*HLOOKUP($K488,'Type Chart'!$C$2:$U$20,12,false)</f>
        <v>0.5</v>
      </c>
      <c r="AF488" s="960">
        <f t="array" ref="AF488">HLOOKUP($J488,'Type Chart'!$C$2:$T$20,13,false)*HLOOKUP($K488,'Type Chart'!$C$2:$U$20,13,false)</f>
        <v>2</v>
      </c>
      <c r="AG488" s="960">
        <f t="array" ref="AG488">HLOOKUP($J488,'Type Chart'!$C$2:$T$20,14,false)*HLOOKUP($K488,'Type Chart'!$C$2:$U$20,14,false)</f>
        <v>2</v>
      </c>
      <c r="AH488" s="960">
        <f t="array" ref="AH488">HLOOKUP($J488,'Type Chart'!$C$2:$T$20,15,false)*HLOOKUP($K488,'Type Chart'!$C$2:$U$20,15,false)</f>
        <v>1</v>
      </c>
      <c r="AI488" s="960">
        <f t="array" ref="AI488">HLOOKUP($J488,'Type Chart'!$C$2:$T$20,16,false)*HLOOKUP($K488,'Type Chart'!$C$2:$U$20,16,false)</f>
        <v>0.5</v>
      </c>
      <c r="AJ488" s="960">
        <f t="array" ref="AJ488">HLOOKUP($J488,'Type Chart'!$C$2:$T$20,17,false)*HLOOKUP($K488,'Type Chart'!$C$2:$U$20,17,false)</f>
        <v>1</v>
      </c>
      <c r="AK488" s="960">
        <f t="array" ref="AK488">HLOOKUP($J488,'Type Chart'!$C$2:$T$20,18,false)*HLOOKUP($K488,'Type Chart'!$C$2:$U$20,18,false)</f>
        <v>1</v>
      </c>
      <c r="AL488" s="960">
        <f t="array" ref="AL488">HLOOKUP($J488,'Type Chart'!$C$2:$T$20,19,false)*HLOOKUP($K488,'Type Chart'!$C$2:$U$20,19,false)</f>
        <v>1</v>
      </c>
      <c r="AM488" s="1145" t="s">
        <v>2412</v>
      </c>
      <c r="AN488" s="965"/>
      <c r="AO488" s="1146"/>
      <c r="AP488" s="936"/>
      <c r="AQ488" s="967"/>
      <c r="AR488" s="968"/>
      <c r="AS488" s="936"/>
    </row>
    <row r="489" ht="15.75" customHeight="1">
      <c r="A489" s="936"/>
      <c r="B489" s="948" t="s">
        <v>2413</v>
      </c>
      <c r="C489" s="950" t="s">
        <v>2414</v>
      </c>
      <c r="D489" s="950" t="s">
        <v>2414</v>
      </c>
      <c r="E489" s="952" t="s">
        <v>2414</v>
      </c>
      <c r="F489" s="940"/>
      <c r="G489" s="953"/>
      <c r="H489" s="969"/>
      <c r="I489" s="998" t="s">
        <v>250</v>
      </c>
      <c r="J489" s="1223" t="s">
        <v>80</v>
      </c>
      <c r="K489" s="984" t="s">
        <v>216</v>
      </c>
      <c r="L489" s="1200">
        <v>100.0</v>
      </c>
      <c r="M489" s="1201">
        <v>150.0</v>
      </c>
      <c r="N489" s="1201">
        <v>140.0</v>
      </c>
      <c r="O489" s="1201">
        <v>100.0</v>
      </c>
      <c r="P489" s="1201">
        <v>90.0</v>
      </c>
      <c r="Q489" s="1201">
        <v>90.0</v>
      </c>
      <c r="R489" s="960">
        <v>216.0</v>
      </c>
      <c r="S489" s="960">
        <v>279.0</v>
      </c>
      <c r="T489" s="960">
        <v>306.0</v>
      </c>
      <c r="U489" s="960">
        <f t="array" ref="U489">HLOOKUP($J489,'Type Chart'!$C$2:$T$20,2,false)*HLOOKUP($K489,'Type Chart'!$C$2:$U$20,2,false)</f>
        <v>1</v>
      </c>
      <c r="V489" s="960">
        <f t="array" ref="V489">HLOOKUP($J489,'Type Chart'!$C$2:$T$20,3,false)*HLOOKUP($K489,'Type Chart'!$C$2:$U$20,3,false)</f>
        <v>1</v>
      </c>
      <c r="W489" s="960">
        <f t="array" ref="W489">HLOOKUP($J489,'Type Chart'!$C$2:$T$20,4,false)*HLOOKUP($K489,'Type Chart'!$C$2:$U$20,4,false)</f>
        <v>1</v>
      </c>
      <c r="X489" s="960">
        <f t="array" ref="X489">HLOOKUP($J489,'Type Chart'!$C$2:$T$20,5,false)*HLOOKUP($K489,'Type Chart'!$C$2:$U$20,5,false)</f>
        <v>0.5</v>
      </c>
      <c r="Y489" s="960">
        <f t="array" ref="Y489">HLOOKUP($J489,'Type Chart'!$C$2:$T$20,6,false)*HLOOKUP($K489,'Type Chart'!$C$2:$U$20,6,false)</f>
        <v>1</v>
      </c>
      <c r="Z489" s="960">
        <f t="array" ref="Z489">HLOOKUP($J489,'Type Chart'!$C$2:$T$20,7,false)*HLOOKUP($K489,'Type Chart'!$C$2:$U$20,7,false)</f>
        <v>0.5</v>
      </c>
      <c r="AA489" s="960">
        <f t="array" ref="AA489">HLOOKUP($J489,'Type Chart'!$C$2:$T$20,8,false)*HLOOKUP($K489,'Type Chart'!$C$2:$U$20,8,false)</f>
        <v>1</v>
      </c>
      <c r="AB489" s="960">
        <f t="array" ref="AB489">HLOOKUP($J489,'Type Chart'!$C$2:$T$20,9,false)*HLOOKUP($K489,'Type Chart'!$C$2:$U$20,9,false)</f>
        <v>1</v>
      </c>
      <c r="AC489" s="960">
        <f t="array" ref="AC489">HLOOKUP($J489,'Type Chart'!$C$2:$T$20,10,false)*HLOOKUP($K489,'Type Chart'!$C$2:$U$20,10,false)</f>
        <v>1</v>
      </c>
      <c r="AD489" s="960">
        <f t="array" ref="AD489">HLOOKUP($J489,'Type Chart'!$C$2:$T$20,11,false)*HLOOKUP($K489,'Type Chart'!$C$2:$U$20,11,false)</f>
        <v>1</v>
      </c>
      <c r="AE489" s="960">
        <f t="array" ref="AE489">HLOOKUP($J489,'Type Chart'!$C$2:$T$20,12,false)*HLOOKUP($K489,'Type Chart'!$C$2:$U$20,12,false)</f>
        <v>2</v>
      </c>
      <c r="AF489" s="960">
        <f t="array" ref="AF489">HLOOKUP($J489,'Type Chart'!$C$2:$T$20,13,false)*HLOOKUP($K489,'Type Chart'!$C$2:$U$20,13,false)</f>
        <v>2</v>
      </c>
      <c r="AG489" s="960">
        <f t="array" ref="AG489">HLOOKUP($J489,'Type Chart'!$C$2:$T$20,14,false)*HLOOKUP($K489,'Type Chart'!$C$2:$U$20,14,false)</f>
        <v>0</v>
      </c>
      <c r="AH489" s="960">
        <f t="array" ref="AH489">HLOOKUP($J489,'Type Chart'!$C$2:$T$20,15,false)*HLOOKUP($K489,'Type Chart'!$C$2:$U$20,15,false)</f>
        <v>1</v>
      </c>
      <c r="AI489" s="960">
        <f t="array" ref="AI489">HLOOKUP($J489,'Type Chart'!$C$2:$T$20,16,false)*HLOOKUP($K489,'Type Chart'!$C$2:$U$20,16,false)</f>
        <v>2</v>
      </c>
      <c r="AJ489" s="960">
        <f t="array" ref="AJ489">HLOOKUP($J489,'Type Chart'!$C$2:$T$20,17,false)*HLOOKUP($K489,'Type Chart'!$C$2:$U$20,17,false)</f>
        <v>1</v>
      </c>
      <c r="AK489" s="960">
        <f t="array" ref="AK489">HLOOKUP($J489,'Type Chart'!$C$2:$T$20,18,false)*HLOOKUP($K489,'Type Chart'!$C$2:$U$20,18,false)</f>
        <v>1</v>
      </c>
      <c r="AL489" s="960">
        <f t="array" ref="AL489">HLOOKUP($J489,'Type Chart'!$C$2:$T$20,19,false)*HLOOKUP($K489,'Type Chart'!$C$2:$U$20,19,false)</f>
        <v>1</v>
      </c>
      <c r="AM489" s="964" t="s">
        <v>952</v>
      </c>
      <c r="AN489" s="1202"/>
      <c r="AO489" s="966"/>
      <c r="AP489" s="936"/>
      <c r="AQ489" s="967"/>
      <c r="AR489" s="968"/>
      <c r="AS489" s="936"/>
    </row>
    <row r="490" ht="15.75" customHeight="1">
      <c r="A490" s="936"/>
      <c r="B490" s="948" t="s">
        <v>2415</v>
      </c>
      <c r="C490" s="950" t="s">
        <v>2416</v>
      </c>
      <c r="D490" s="950" t="s">
        <v>2416</v>
      </c>
      <c r="E490" s="952" t="s">
        <v>2416</v>
      </c>
      <c r="F490" s="940"/>
      <c r="G490" s="953"/>
      <c r="H490" s="969"/>
      <c r="I490" s="950" t="s">
        <v>2416</v>
      </c>
      <c r="J490" s="1204" t="s">
        <v>80</v>
      </c>
      <c r="K490" s="982" t="s">
        <v>150</v>
      </c>
      <c r="L490" s="959">
        <v>100.0</v>
      </c>
      <c r="M490" s="960">
        <v>180.0</v>
      </c>
      <c r="N490" s="960">
        <v>160.0</v>
      </c>
      <c r="O490" s="960">
        <v>150.0</v>
      </c>
      <c r="P490" s="960">
        <v>90.0</v>
      </c>
      <c r="Q490" s="960">
        <v>90.0</v>
      </c>
      <c r="R490" s="960">
        <v>216.0</v>
      </c>
      <c r="S490" s="960">
        <v>279.0</v>
      </c>
      <c r="T490" s="960">
        <v>306.0</v>
      </c>
      <c r="U490" s="960">
        <f t="array" ref="U490">HLOOKUP($J490,'Type Chart'!$C$2:$T$20,2,false)*HLOOKUP($K490,'Type Chart'!$C$2:$U$20,2,false)</f>
        <v>1</v>
      </c>
      <c r="V490" s="960">
        <f t="array" ref="V490">HLOOKUP($J490,'Type Chart'!$C$2:$T$20,3,false)*HLOOKUP($K490,'Type Chart'!$C$2:$U$20,3,false)</f>
        <v>1</v>
      </c>
      <c r="W490" s="960">
        <f t="array" ref="W490">HLOOKUP($J490,'Type Chart'!$C$2:$T$20,4,false)*HLOOKUP($K490,'Type Chart'!$C$2:$U$20,4,false)</f>
        <v>1</v>
      </c>
      <c r="X490" s="960">
        <f t="array" ref="X490">HLOOKUP($J490,'Type Chart'!$C$2:$T$20,5,false)*HLOOKUP($K490,'Type Chart'!$C$2:$U$20,5,false)</f>
        <v>0.5</v>
      </c>
      <c r="Y490" s="960">
        <f t="array" ref="Y490">HLOOKUP($J490,'Type Chart'!$C$2:$T$20,6,false)*HLOOKUP($K490,'Type Chart'!$C$2:$U$20,6,false)</f>
        <v>2</v>
      </c>
      <c r="Z490" s="960">
        <f t="array" ref="Z490">HLOOKUP($J490,'Type Chart'!$C$2:$T$20,7,false)*HLOOKUP($K490,'Type Chart'!$C$2:$U$20,7,false)</f>
        <v>1</v>
      </c>
      <c r="AA490" s="960">
        <f t="array" ref="AA490">HLOOKUP($J490,'Type Chart'!$C$2:$T$20,8,false)*HLOOKUP($K490,'Type Chart'!$C$2:$U$20,8,false)</f>
        <v>0.5</v>
      </c>
      <c r="AB490" s="960">
        <f t="array" ref="AB490">HLOOKUP($J490,'Type Chart'!$C$2:$T$20,9,false)*HLOOKUP($K490,'Type Chart'!$C$2:$U$20,9,false)</f>
        <v>1</v>
      </c>
      <c r="AC490" s="960">
        <f t="array" ref="AC490">HLOOKUP($J490,'Type Chart'!$C$2:$T$20,10,false)*HLOOKUP($K490,'Type Chart'!$C$2:$U$20,10,false)</f>
        <v>0.5</v>
      </c>
      <c r="AD490" s="960">
        <f t="array" ref="AD490">HLOOKUP($J490,'Type Chart'!$C$2:$T$20,11,false)*HLOOKUP($K490,'Type Chart'!$C$2:$U$20,11,false)</f>
        <v>0.5</v>
      </c>
      <c r="AE490" s="960">
        <f t="array" ref="AE490">HLOOKUP($J490,'Type Chart'!$C$2:$T$20,12,false)*HLOOKUP($K490,'Type Chart'!$C$2:$U$20,12,false)</f>
        <v>4</v>
      </c>
      <c r="AF490" s="960">
        <f t="array" ref="AF490">HLOOKUP($J490,'Type Chart'!$C$2:$T$20,13,false)*HLOOKUP($K490,'Type Chart'!$C$2:$U$20,13,false)</f>
        <v>1</v>
      </c>
      <c r="AG490" s="960">
        <f t="array" ref="AG490">HLOOKUP($J490,'Type Chart'!$C$2:$T$20,14,false)*HLOOKUP($K490,'Type Chart'!$C$2:$U$20,14,false)</f>
        <v>0</v>
      </c>
      <c r="AH490" s="960">
        <f t="array" ref="AH490">HLOOKUP($J490,'Type Chart'!$C$2:$T$20,15,false)*HLOOKUP($K490,'Type Chart'!$C$2:$U$20,15,false)</f>
        <v>1</v>
      </c>
      <c r="AI490" s="960">
        <f t="array" ref="AI490">HLOOKUP($J490,'Type Chart'!$C$2:$T$20,16,false)*HLOOKUP($K490,'Type Chart'!$C$2:$U$20,16,false)</f>
        <v>1</v>
      </c>
      <c r="AJ490" s="960">
        <f t="array" ref="AJ490">HLOOKUP($J490,'Type Chart'!$C$2:$T$20,17,false)*HLOOKUP($K490,'Type Chart'!$C$2:$U$20,17,false)</f>
        <v>1</v>
      </c>
      <c r="AK490" s="960">
        <f t="array" ref="AK490">HLOOKUP($J490,'Type Chart'!$C$2:$T$20,18,false)*HLOOKUP($K490,'Type Chart'!$C$2:$U$20,18,false)</f>
        <v>1</v>
      </c>
      <c r="AL490" s="960">
        <f t="array" ref="AL490">HLOOKUP($J490,'Type Chart'!$C$2:$T$20,19,false)*HLOOKUP($K490,'Type Chart'!$C$2:$U$20,19,false)</f>
        <v>0.5</v>
      </c>
      <c r="AM490" s="964" t="s">
        <v>2417</v>
      </c>
      <c r="AN490" s="965"/>
      <c r="AO490" s="966"/>
      <c r="AP490" s="936"/>
      <c r="AQ490" s="967"/>
      <c r="AR490" s="968"/>
      <c r="AS490" s="936"/>
    </row>
    <row r="491" ht="15.75" customHeight="1">
      <c r="A491" s="936"/>
      <c r="B491" s="948" t="s">
        <v>2418</v>
      </c>
      <c r="C491" s="950" t="s">
        <v>2419</v>
      </c>
      <c r="D491" s="950" t="s">
        <v>2419</v>
      </c>
      <c r="E491" s="952" t="s">
        <v>2419</v>
      </c>
      <c r="F491" s="940"/>
      <c r="G491" s="953"/>
      <c r="H491" s="969"/>
      <c r="I491" s="998" t="s">
        <v>272</v>
      </c>
      <c r="J491" s="1006" t="s">
        <v>346</v>
      </c>
      <c r="K491" s="1001" t="s">
        <v>128</v>
      </c>
      <c r="L491" s="1200">
        <v>105.0</v>
      </c>
      <c r="M491" s="960">
        <v>150.0</v>
      </c>
      <c r="N491" s="960">
        <v>90.0</v>
      </c>
      <c r="O491" s="1201">
        <v>150.0</v>
      </c>
      <c r="P491" s="960">
        <v>90.0</v>
      </c>
      <c r="Q491" s="1201">
        <v>95.0</v>
      </c>
      <c r="R491" s="960">
        <v>226.0</v>
      </c>
      <c r="S491" s="960">
        <v>289.0</v>
      </c>
      <c r="T491" s="960">
        <v>317.0</v>
      </c>
      <c r="U491" s="960">
        <f t="array" ref="U491">HLOOKUP($J491,'Type Chart'!$C$2:$T$20,2,false)*HLOOKUP($K491,'Type Chart'!$C$2:$U$20,2,false)</f>
        <v>1</v>
      </c>
      <c r="V491" s="960">
        <f t="array" ref="V491">HLOOKUP($J491,'Type Chart'!$C$2:$T$20,3,false)*HLOOKUP($K491,'Type Chart'!$C$2:$U$20,3,false)</f>
        <v>0.5</v>
      </c>
      <c r="W491" s="960">
        <f t="array" ref="W491">HLOOKUP($J491,'Type Chart'!$C$2:$T$20,4,false)*HLOOKUP($K491,'Type Chart'!$C$2:$U$20,4,false)</f>
        <v>1</v>
      </c>
      <c r="X491" s="960">
        <f t="array" ref="X491">HLOOKUP($J491,'Type Chart'!$C$2:$T$20,5,false)*HLOOKUP($K491,'Type Chart'!$C$2:$U$20,5,false)</f>
        <v>1</v>
      </c>
      <c r="Y491" s="960">
        <f t="array" ref="Y491">HLOOKUP($J491,'Type Chart'!$C$2:$T$20,6,false)*HLOOKUP($K491,'Type Chart'!$C$2:$U$20,6,false)</f>
        <v>0</v>
      </c>
      <c r="Z491" s="960">
        <f t="array" ref="Z491">HLOOKUP($J491,'Type Chart'!$C$2:$T$20,7,false)*HLOOKUP($K491,'Type Chart'!$C$2:$U$20,7,false)</f>
        <v>2</v>
      </c>
      <c r="AA491" s="960">
        <f t="array" ref="AA491">HLOOKUP($J491,'Type Chart'!$C$2:$T$20,8,false)*HLOOKUP($K491,'Type Chart'!$C$2:$U$20,8,false)</f>
        <v>0.5</v>
      </c>
      <c r="AB491" s="960">
        <f t="array" ref="AB491">HLOOKUP($J491,'Type Chart'!$C$2:$T$20,9,false)*HLOOKUP($K491,'Type Chart'!$C$2:$U$20,9,false)</f>
        <v>1</v>
      </c>
      <c r="AC491" s="960">
        <f t="array" ref="AC491">HLOOKUP($J491,'Type Chart'!$C$2:$T$20,10,false)*HLOOKUP($K491,'Type Chart'!$C$2:$U$20,10,false)</f>
        <v>1</v>
      </c>
      <c r="AD491" s="960">
        <f t="array" ref="AD491">HLOOKUP($J491,'Type Chart'!$C$2:$T$20,11,false)*HLOOKUP($K491,'Type Chart'!$C$2:$U$20,11,false)</f>
        <v>0.5</v>
      </c>
      <c r="AE491" s="960">
        <f t="array" ref="AE491">HLOOKUP($J491,'Type Chart'!$C$2:$T$20,12,false)*HLOOKUP($K491,'Type Chart'!$C$2:$U$20,12,false)</f>
        <v>0.5</v>
      </c>
      <c r="AF491" s="960">
        <f t="array" ref="AF491">HLOOKUP($J491,'Type Chart'!$C$2:$T$20,13,false)*HLOOKUP($K491,'Type Chart'!$C$2:$U$20,13,false)</f>
        <v>0.25</v>
      </c>
      <c r="AG491" s="960">
        <f t="array" ref="AG491">HLOOKUP($J491,'Type Chart'!$C$2:$T$20,14,false)*HLOOKUP($K491,'Type Chart'!$C$2:$U$20,14,false)</f>
        <v>1</v>
      </c>
      <c r="AH491" s="960">
        <f t="array" ref="AH491">HLOOKUP($J491,'Type Chart'!$C$2:$T$20,15,false)*HLOOKUP($K491,'Type Chart'!$C$2:$U$20,15,false)</f>
        <v>1</v>
      </c>
      <c r="AI491" s="960">
        <f t="array" ref="AI491">HLOOKUP($J491,'Type Chart'!$C$2:$T$20,16,false)*HLOOKUP($K491,'Type Chart'!$C$2:$U$20,16,false)</f>
        <v>4</v>
      </c>
      <c r="AJ491" s="960">
        <f t="array" ref="AJ491">HLOOKUP($J491,'Type Chart'!$C$2:$T$20,17,false)*HLOOKUP($K491,'Type Chart'!$C$2:$U$20,17,false)</f>
        <v>2</v>
      </c>
      <c r="AK491" s="960">
        <f t="array" ref="AK491">HLOOKUP($J491,'Type Chart'!$C$2:$T$20,18,false)*HLOOKUP($K491,'Type Chart'!$C$2:$U$20,18,false)</f>
        <v>1</v>
      </c>
      <c r="AL491" s="960">
        <f t="array" ref="AL491">HLOOKUP($J491,'Type Chart'!$C$2:$T$20,19,false)*HLOOKUP($K491,'Type Chart'!$C$2:$U$20,19,false)</f>
        <v>2</v>
      </c>
      <c r="AM491" s="964" t="s">
        <v>2420</v>
      </c>
      <c r="AN491" s="965"/>
      <c r="AO491" s="1146"/>
      <c r="AP491" s="936"/>
      <c r="AQ491" s="967"/>
      <c r="AR491" s="968"/>
      <c r="AS491" s="936"/>
    </row>
    <row r="492" ht="15.75" customHeight="1">
      <c r="A492" s="936"/>
      <c r="B492" s="948" t="s">
        <v>2421</v>
      </c>
      <c r="C492" s="950" t="s">
        <v>2422</v>
      </c>
      <c r="D492" s="950" t="s">
        <v>2422</v>
      </c>
      <c r="E492" s="952" t="s">
        <v>2422</v>
      </c>
      <c r="F492" s="940"/>
      <c r="G492" s="953"/>
      <c r="H492" s="969"/>
      <c r="I492" s="998" t="s">
        <v>2423</v>
      </c>
      <c r="J492" s="1231" t="s">
        <v>346</v>
      </c>
      <c r="K492" s="1210" t="s">
        <v>128</v>
      </c>
      <c r="L492" s="1200">
        <v>105.0</v>
      </c>
      <c r="M492" s="1201">
        <v>180.0</v>
      </c>
      <c r="N492" s="1201">
        <v>100.0</v>
      </c>
      <c r="O492" s="1201">
        <v>180.0</v>
      </c>
      <c r="P492" s="1201">
        <v>100.0</v>
      </c>
      <c r="Q492" s="1201">
        <v>115.0</v>
      </c>
      <c r="R492" s="960">
        <v>266.0</v>
      </c>
      <c r="S492" s="960">
        <v>329.0</v>
      </c>
      <c r="T492" s="960">
        <v>361.0</v>
      </c>
      <c r="U492" s="960">
        <f t="array" ref="U492">HLOOKUP($J492,'Type Chart'!$C$2:$T$20,2,false)*HLOOKUP($K492,'Type Chart'!$C$2:$U$20,2,false)</f>
        <v>1</v>
      </c>
      <c r="V492" s="960">
        <f t="array" ref="V492">HLOOKUP($J492,'Type Chart'!$C$2:$T$20,3,false)*HLOOKUP($K492,'Type Chart'!$C$2:$U$20,3,false)</f>
        <v>0.5</v>
      </c>
      <c r="W492" s="960">
        <f t="array" ref="W492">HLOOKUP($J492,'Type Chart'!$C$2:$T$20,4,false)*HLOOKUP($K492,'Type Chart'!$C$2:$U$20,4,false)</f>
        <v>1</v>
      </c>
      <c r="X492" s="960">
        <f t="array" ref="X492">HLOOKUP($J492,'Type Chart'!$C$2:$T$20,5,false)*HLOOKUP($K492,'Type Chart'!$C$2:$U$20,5,false)</f>
        <v>1</v>
      </c>
      <c r="Y492" s="960">
        <f t="array" ref="Y492">HLOOKUP($J492,'Type Chart'!$C$2:$T$20,6,false)*HLOOKUP($K492,'Type Chart'!$C$2:$U$20,6,false)</f>
        <v>0</v>
      </c>
      <c r="Z492" s="960">
        <f t="array" ref="Z492">HLOOKUP($J492,'Type Chart'!$C$2:$T$20,7,false)*HLOOKUP($K492,'Type Chart'!$C$2:$U$20,7,false)</f>
        <v>2</v>
      </c>
      <c r="AA492" s="960">
        <f t="array" ref="AA492">HLOOKUP($J492,'Type Chart'!$C$2:$T$20,8,false)*HLOOKUP($K492,'Type Chart'!$C$2:$U$20,8,false)</f>
        <v>0.5</v>
      </c>
      <c r="AB492" s="960">
        <f t="array" ref="AB492">HLOOKUP($J492,'Type Chart'!$C$2:$T$20,9,false)*HLOOKUP($K492,'Type Chart'!$C$2:$U$20,9,false)</f>
        <v>1</v>
      </c>
      <c r="AC492" s="960">
        <f t="array" ref="AC492">HLOOKUP($J492,'Type Chart'!$C$2:$T$20,10,false)*HLOOKUP($K492,'Type Chart'!$C$2:$U$20,10,false)</f>
        <v>1</v>
      </c>
      <c r="AD492" s="960">
        <f t="array" ref="AD492">HLOOKUP($J492,'Type Chart'!$C$2:$T$20,11,false)*HLOOKUP($K492,'Type Chart'!$C$2:$U$20,11,false)</f>
        <v>0.5</v>
      </c>
      <c r="AE492" s="960">
        <f t="array" ref="AE492">HLOOKUP($J492,'Type Chart'!$C$2:$T$20,12,false)*HLOOKUP($K492,'Type Chart'!$C$2:$U$20,12,false)</f>
        <v>0.5</v>
      </c>
      <c r="AF492" s="960">
        <f t="array" ref="AF492">HLOOKUP($J492,'Type Chart'!$C$2:$T$20,13,false)*HLOOKUP($K492,'Type Chart'!$C$2:$U$20,13,false)</f>
        <v>0.25</v>
      </c>
      <c r="AG492" s="960">
        <f t="array" ref="AG492">HLOOKUP($J492,'Type Chart'!$C$2:$T$20,14,false)*HLOOKUP($K492,'Type Chart'!$C$2:$U$20,14,false)</f>
        <v>1</v>
      </c>
      <c r="AH492" s="960">
        <f t="array" ref="AH492">HLOOKUP($J492,'Type Chart'!$C$2:$T$20,15,false)*HLOOKUP($K492,'Type Chart'!$C$2:$U$20,15,false)</f>
        <v>1</v>
      </c>
      <c r="AI492" s="960">
        <f t="array" ref="AI492">HLOOKUP($J492,'Type Chart'!$C$2:$T$20,16,false)*HLOOKUP($K492,'Type Chart'!$C$2:$U$20,16,false)</f>
        <v>4</v>
      </c>
      <c r="AJ492" s="960">
        <f t="array" ref="AJ492">HLOOKUP($J492,'Type Chart'!$C$2:$T$20,17,false)*HLOOKUP($K492,'Type Chart'!$C$2:$U$20,17,false)</f>
        <v>2</v>
      </c>
      <c r="AK492" s="960">
        <f t="array" ref="AK492">HLOOKUP($J492,'Type Chart'!$C$2:$T$20,18,false)*HLOOKUP($K492,'Type Chart'!$C$2:$U$20,18,false)</f>
        <v>1</v>
      </c>
      <c r="AL492" s="960">
        <f t="array" ref="AL492">HLOOKUP($J492,'Type Chart'!$C$2:$T$20,19,false)*HLOOKUP($K492,'Type Chart'!$C$2:$U$20,19,false)</f>
        <v>2</v>
      </c>
      <c r="AM492" s="964" t="s">
        <v>2424</v>
      </c>
      <c r="AN492" s="965"/>
      <c r="AO492" s="966"/>
      <c r="AP492" s="936"/>
      <c r="AQ492" s="967"/>
      <c r="AR492" s="968"/>
      <c r="AS492" s="936"/>
    </row>
    <row r="493" ht="15.75" customHeight="1">
      <c r="A493" s="936"/>
      <c r="B493" s="948" t="s">
        <v>2425</v>
      </c>
      <c r="C493" s="950" t="s">
        <v>108</v>
      </c>
      <c r="D493" s="950" t="s">
        <v>108</v>
      </c>
      <c r="E493" s="952" t="s">
        <v>108</v>
      </c>
      <c r="F493" s="940"/>
      <c r="G493" s="953"/>
      <c r="H493" s="969"/>
      <c r="I493" s="998" t="s">
        <v>156</v>
      </c>
      <c r="J493" s="1233" t="s">
        <v>82</v>
      </c>
      <c r="K493" s="1215" t="s">
        <v>344</v>
      </c>
      <c r="L493" s="959">
        <v>100.0</v>
      </c>
      <c r="M493" s="960">
        <v>100.0</v>
      </c>
      <c r="N493" s="960">
        <v>100.0</v>
      </c>
      <c r="O493" s="960">
        <v>100.0</v>
      </c>
      <c r="P493" s="960">
        <v>100.0</v>
      </c>
      <c r="Q493" s="960">
        <v>100.0</v>
      </c>
      <c r="R493" s="960">
        <v>236.0</v>
      </c>
      <c r="S493" s="960">
        <v>299.0</v>
      </c>
      <c r="T493" s="960">
        <v>328.0</v>
      </c>
      <c r="U493" s="960">
        <f t="array" ref="U493">HLOOKUP($J493,'Type Chart'!$C$2:$T$20,2,false)*HLOOKUP($K493,'Type Chart'!$C$2:$U$20,2,false)</f>
        <v>0.5</v>
      </c>
      <c r="V493" s="960">
        <f t="array" ref="V493">HLOOKUP($J493,'Type Chart'!$C$2:$T$20,3,false)*HLOOKUP($K493,'Type Chart'!$C$2:$U$20,3,false)</f>
        <v>1</v>
      </c>
      <c r="W493" s="960">
        <f t="array" ref="W493">HLOOKUP($J493,'Type Chart'!$C$2:$T$20,4,false)*HLOOKUP($K493,'Type Chart'!$C$2:$U$20,4,false)</f>
        <v>0.5</v>
      </c>
      <c r="X493" s="960">
        <f t="array" ref="X493">HLOOKUP($J493,'Type Chart'!$C$2:$T$20,5,false)*HLOOKUP($K493,'Type Chart'!$C$2:$U$20,5,false)</f>
        <v>0</v>
      </c>
      <c r="Y493" s="960">
        <f t="array" ref="Y493">HLOOKUP($J493,'Type Chart'!$C$2:$T$20,6,false)*HLOOKUP($K493,'Type Chart'!$C$2:$U$20,6,false)</f>
        <v>2</v>
      </c>
      <c r="Z493" s="960">
        <f t="array" ref="Z493">HLOOKUP($J493,'Type Chart'!$C$2:$T$20,7,false)*HLOOKUP($K493,'Type Chart'!$C$2:$U$20,7,false)</f>
        <v>0.5</v>
      </c>
      <c r="AA493" s="960">
        <f t="array" ref="AA493">HLOOKUP($J493,'Type Chart'!$C$2:$T$20,8,false)*HLOOKUP($K493,'Type Chart'!$C$2:$U$20,8,false)</f>
        <v>1</v>
      </c>
      <c r="AB493" s="960">
        <f t="array" ref="AB493">HLOOKUP($J493,'Type Chart'!$C$2:$T$20,9,false)*HLOOKUP($K493,'Type Chart'!$C$2:$U$20,9,false)</f>
        <v>2</v>
      </c>
      <c r="AC493" s="960">
        <f t="array" ref="AC493">HLOOKUP($J493,'Type Chart'!$C$2:$T$20,10,false)*HLOOKUP($K493,'Type Chart'!$C$2:$U$20,10,false)</f>
        <v>0.5</v>
      </c>
      <c r="AD493" s="960">
        <f t="array" ref="AD493">HLOOKUP($J493,'Type Chart'!$C$2:$T$20,11,false)*HLOOKUP($K493,'Type Chart'!$C$2:$U$20,11,false)</f>
        <v>2</v>
      </c>
      <c r="AE493" s="960">
        <f t="array" ref="AE493">HLOOKUP($J493,'Type Chart'!$C$2:$T$20,12,false)*HLOOKUP($K493,'Type Chart'!$C$2:$U$20,12,false)</f>
        <v>1</v>
      </c>
      <c r="AF493" s="960">
        <f t="array" ref="AF493">HLOOKUP($J493,'Type Chart'!$C$2:$T$20,13,false)*HLOOKUP($K493,'Type Chart'!$C$2:$U$20,13,false)</f>
        <v>0.5</v>
      </c>
      <c r="AG493" s="960">
        <f t="array" ref="AG493">HLOOKUP($J493,'Type Chart'!$C$2:$T$20,14,false)*HLOOKUP($K493,'Type Chart'!$C$2:$U$20,14,false)</f>
        <v>1</v>
      </c>
      <c r="AH493" s="960">
        <f t="array" ref="AH493">HLOOKUP($J493,'Type Chart'!$C$2:$T$20,15,false)*HLOOKUP($K493,'Type Chart'!$C$2:$U$20,15,false)</f>
        <v>0.25</v>
      </c>
      <c r="AI493" s="960">
        <f t="array" ref="AI493">HLOOKUP($J493,'Type Chart'!$C$2:$T$20,16,false)*HLOOKUP($K493,'Type Chart'!$C$2:$U$20,16,false)</f>
        <v>0.5</v>
      </c>
      <c r="AJ493" s="960">
        <f t="array" ref="AJ493">HLOOKUP($J493,'Type Chart'!$C$2:$T$20,17,false)*HLOOKUP($K493,'Type Chart'!$C$2:$U$20,17,false)</f>
        <v>0.5</v>
      </c>
      <c r="AK493" s="960">
        <f t="array" ref="AK493">HLOOKUP($J493,'Type Chart'!$C$2:$T$20,18,false)*HLOOKUP($K493,'Type Chart'!$C$2:$U$20,18,false)</f>
        <v>2</v>
      </c>
      <c r="AL493" s="960">
        <f t="array" ref="AL493">HLOOKUP($J493,'Type Chart'!$C$2:$T$20,19,false)*HLOOKUP($K493,'Type Chart'!$C$2:$U$20,19,false)</f>
        <v>0.5</v>
      </c>
      <c r="AM493" s="964" t="s">
        <v>1521</v>
      </c>
      <c r="AN493" s="965"/>
      <c r="AO493" s="966"/>
      <c r="AP493" s="936"/>
      <c r="AQ493" s="967"/>
      <c r="AR493" s="968"/>
      <c r="AS493" s="936"/>
    </row>
    <row r="494" ht="15.75" customHeight="1">
      <c r="A494" s="936"/>
      <c r="B494" s="948" t="s">
        <v>2426</v>
      </c>
      <c r="C494" s="950" t="s">
        <v>2427</v>
      </c>
      <c r="D494" s="950" t="s">
        <v>2427</v>
      </c>
      <c r="E494" s="952" t="s">
        <v>2427</v>
      </c>
      <c r="F494" s="940"/>
      <c r="G494" s="953"/>
      <c r="H494" s="969"/>
      <c r="I494" s="998" t="s">
        <v>2428</v>
      </c>
      <c r="J494" s="1215" t="s">
        <v>344</v>
      </c>
      <c r="K494" s="1199" t="s">
        <v>216</v>
      </c>
      <c r="L494" s="1200">
        <v>50.0</v>
      </c>
      <c r="M494" s="1201">
        <v>150.0</v>
      </c>
      <c r="N494" s="1201">
        <v>50.0</v>
      </c>
      <c r="O494" s="1201">
        <v>150.0</v>
      </c>
      <c r="P494" s="1201">
        <v>50.0</v>
      </c>
      <c r="Q494" s="1201">
        <v>150.0</v>
      </c>
      <c r="R494" s="960">
        <v>336.0</v>
      </c>
      <c r="S494" s="960">
        <v>399.0</v>
      </c>
      <c r="T494" s="960">
        <v>438.0</v>
      </c>
      <c r="U494" s="960">
        <f t="array" ref="U494">HLOOKUP($J494,'Type Chart'!$C$2:$T$20,2,false)*HLOOKUP($K494,'Type Chart'!$C$2:$U$20,2,false)</f>
        <v>1</v>
      </c>
      <c r="V494" s="960">
        <f t="array" ref="V494">HLOOKUP($J494,'Type Chart'!$C$2:$T$20,3,false)*HLOOKUP($K494,'Type Chart'!$C$2:$U$20,3,false)</f>
        <v>0.5</v>
      </c>
      <c r="W494" s="960">
        <f t="array" ref="W494">HLOOKUP($J494,'Type Chart'!$C$2:$T$20,4,false)*HLOOKUP($K494,'Type Chart'!$C$2:$U$20,4,false)</f>
        <v>1</v>
      </c>
      <c r="X494" s="960">
        <f t="array" ref="X494">HLOOKUP($J494,'Type Chart'!$C$2:$T$20,5,false)*HLOOKUP($K494,'Type Chart'!$C$2:$U$20,5,false)</f>
        <v>1</v>
      </c>
      <c r="Y494" s="960">
        <f t="array" ref="Y494">HLOOKUP($J494,'Type Chart'!$C$2:$T$20,6,false)*HLOOKUP($K494,'Type Chart'!$C$2:$U$20,6,false)</f>
        <v>1</v>
      </c>
      <c r="Z494" s="960">
        <f t="array" ref="Z494">HLOOKUP($J494,'Type Chart'!$C$2:$T$20,7,false)*HLOOKUP($K494,'Type Chart'!$C$2:$U$20,7,false)</f>
        <v>1</v>
      </c>
      <c r="AA494" s="960">
        <f t="array" ref="AA494">HLOOKUP($J494,'Type Chart'!$C$2:$T$20,8,false)*HLOOKUP($K494,'Type Chart'!$C$2:$U$20,8,false)</f>
        <v>2</v>
      </c>
      <c r="AB494" s="960">
        <f t="array" ref="AB494">HLOOKUP($J494,'Type Chart'!$C$2:$T$20,9,false)*HLOOKUP($K494,'Type Chart'!$C$2:$U$20,9,false)</f>
        <v>2</v>
      </c>
      <c r="AC494" s="960">
        <f t="array" ref="AC494">HLOOKUP($J494,'Type Chart'!$C$2:$T$20,10,false)*HLOOKUP($K494,'Type Chart'!$C$2:$U$20,10,false)</f>
        <v>1</v>
      </c>
      <c r="AD494" s="960">
        <f t="array" ref="AD494">HLOOKUP($J494,'Type Chart'!$C$2:$T$20,11,false)*HLOOKUP($K494,'Type Chart'!$C$2:$U$20,11,false)</f>
        <v>1</v>
      </c>
      <c r="AE494" s="960">
        <f t="array" ref="AE494">HLOOKUP($J494,'Type Chart'!$C$2:$T$20,12,false)*HLOOKUP($K494,'Type Chart'!$C$2:$U$20,12,false)</f>
        <v>1</v>
      </c>
      <c r="AF494" s="960">
        <f t="array" ref="AF494">HLOOKUP($J494,'Type Chart'!$C$2:$T$20,13,false)*HLOOKUP($K494,'Type Chart'!$C$2:$U$20,13,false)</f>
        <v>1</v>
      </c>
      <c r="AG494" s="960">
        <f t="array" ref="AG494">HLOOKUP($J494,'Type Chart'!$C$2:$T$20,14,false)*HLOOKUP($K494,'Type Chart'!$C$2:$U$20,14,false)</f>
        <v>1</v>
      </c>
      <c r="AH494" s="960">
        <f t="array" ref="AH494">HLOOKUP($J494,'Type Chart'!$C$2:$T$20,15,false)*HLOOKUP($K494,'Type Chart'!$C$2:$U$20,15,false)</f>
        <v>0.5</v>
      </c>
      <c r="AI494" s="960">
        <f t="array" ref="AI494">HLOOKUP($J494,'Type Chart'!$C$2:$T$20,16,false)*HLOOKUP($K494,'Type Chart'!$C$2:$U$20,16,false)</f>
        <v>1</v>
      </c>
      <c r="AJ494" s="960">
        <f t="array" ref="AJ494">HLOOKUP($J494,'Type Chart'!$C$2:$T$20,17,false)*HLOOKUP($K494,'Type Chart'!$C$2:$U$20,17,false)</f>
        <v>1</v>
      </c>
      <c r="AK494" s="960">
        <f t="array" ref="AK494">HLOOKUP($J494,'Type Chart'!$C$2:$T$20,18,false)*HLOOKUP($K494,'Type Chart'!$C$2:$U$20,18,false)</f>
        <v>2</v>
      </c>
      <c r="AL494" s="960">
        <f t="array" ref="AL494">HLOOKUP($J494,'Type Chart'!$C$2:$T$20,19,false)*HLOOKUP($K494,'Type Chart'!$C$2:$U$20,19,false)</f>
        <v>1</v>
      </c>
      <c r="AM494" s="964" t="s">
        <v>1636</v>
      </c>
      <c r="AN494" s="965"/>
      <c r="AO494" s="966"/>
      <c r="AP494" s="936"/>
      <c r="AQ494" s="967"/>
      <c r="AR494" s="968"/>
      <c r="AS494" s="936"/>
    </row>
    <row r="495" ht="15.75" customHeight="1">
      <c r="A495" s="936"/>
      <c r="B495" s="948" t="s">
        <v>2429</v>
      </c>
      <c r="C495" s="950" t="s">
        <v>2430</v>
      </c>
      <c r="D495" s="950" t="s">
        <v>2430</v>
      </c>
      <c r="E495" s="952" t="s">
        <v>2430</v>
      </c>
      <c r="F495" s="940"/>
      <c r="G495" s="953"/>
      <c r="H495" s="969"/>
      <c r="I495" s="956" t="s">
        <v>2431</v>
      </c>
      <c r="J495" s="1203" t="s">
        <v>344</v>
      </c>
      <c r="K495" s="984" t="s">
        <v>216</v>
      </c>
      <c r="L495" s="959">
        <v>50.0</v>
      </c>
      <c r="M495" s="960">
        <v>180.0</v>
      </c>
      <c r="N495" s="960">
        <v>20.0</v>
      </c>
      <c r="O495" s="960">
        <v>180.0</v>
      </c>
      <c r="P495" s="960">
        <v>20.0</v>
      </c>
      <c r="Q495" s="960">
        <v>150.0</v>
      </c>
      <c r="R495" s="960">
        <v>336.0</v>
      </c>
      <c r="S495" s="960">
        <v>399.0</v>
      </c>
      <c r="T495" s="960">
        <v>438.0</v>
      </c>
      <c r="U495" s="960">
        <f t="array" ref="U495">HLOOKUP($J495,'Type Chart'!$C$2:$T$20,2,false)*HLOOKUP($K495,'Type Chart'!$C$2:$U$20,2,false)</f>
        <v>1</v>
      </c>
      <c r="V495" s="960">
        <f t="array" ref="V495">HLOOKUP($J495,'Type Chart'!$C$2:$T$20,3,false)*HLOOKUP($K495,'Type Chart'!$C$2:$U$20,3,false)</f>
        <v>0.5</v>
      </c>
      <c r="W495" s="960">
        <f t="array" ref="W495">HLOOKUP($J495,'Type Chart'!$C$2:$T$20,4,false)*HLOOKUP($K495,'Type Chart'!$C$2:$U$20,4,false)</f>
        <v>1</v>
      </c>
      <c r="X495" s="960">
        <f t="array" ref="X495">HLOOKUP($J495,'Type Chart'!$C$2:$T$20,5,false)*HLOOKUP($K495,'Type Chart'!$C$2:$U$20,5,false)</f>
        <v>1</v>
      </c>
      <c r="Y495" s="960">
        <f t="array" ref="Y495">HLOOKUP($J495,'Type Chart'!$C$2:$T$20,6,false)*HLOOKUP($K495,'Type Chart'!$C$2:$U$20,6,false)</f>
        <v>1</v>
      </c>
      <c r="Z495" s="960">
        <f t="array" ref="Z495">HLOOKUP($J495,'Type Chart'!$C$2:$T$20,7,false)*HLOOKUP($K495,'Type Chart'!$C$2:$U$20,7,false)</f>
        <v>1</v>
      </c>
      <c r="AA495" s="960">
        <f t="array" ref="AA495">HLOOKUP($J495,'Type Chart'!$C$2:$T$20,8,false)*HLOOKUP($K495,'Type Chart'!$C$2:$U$20,8,false)</f>
        <v>2</v>
      </c>
      <c r="AB495" s="960">
        <f t="array" ref="AB495">HLOOKUP($J495,'Type Chart'!$C$2:$T$20,9,false)*HLOOKUP($K495,'Type Chart'!$C$2:$U$20,9,false)</f>
        <v>2</v>
      </c>
      <c r="AC495" s="960">
        <f t="array" ref="AC495">HLOOKUP($J495,'Type Chart'!$C$2:$T$20,10,false)*HLOOKUP($K495,'Type Chart'!$C$2:$U$20,10,false)</f>
        <v>1</v>
      </c>
      <c r="AD495" s="960">
        <f t="array" ref="AD495">HLOOKUP($J495,'Type Chart'!$C$2:$T$20,11,false)*HLOOKUP($K495,'Type Chart'!$C$2:$U$20,11,false)</f>
        <v>1</v>
      </c>
      <c r="AE495" s="960">
        <f t="array" ref="AE495">HLOOKUP($J495,'Type Chart'!$C$2:$T$20,12,false)*HLOOKUP($K495,'Type Chart'!$C$2:$U$20,12,false)</f>
        <v>1</v>
      </c>
      <c r="AF495" s="960">
        <f t="array" ref="AF495">HLOOKUP($J495,'Type Chart'!$C$2:$T$20,13,false)*HLOOKUP($K495,'Type Chart'!$C$2:$U$20,13,false)</f>
        <v>1</v>
      </c>
      <c r="AG495" s="960">
        <f t="array" ref="AG495">HLOOKUP($J495,'Type Chart'!$C$2:$T$20,14,false)*HLOOKUP($K495,'Type Chart'!$C$2:$U$20,14,false)</f>
        <v>1</v>
      </c>
      <c r="AH495" s="960">
        <f t="array" ref="AH495">HLOOKUP($J495,'Type Chart'!$C$2:$T$20,15,false)*HLOOKUP($K495,'Type Chart'!$C$2:$U$20,15,false)</f>
        <v>0.5</v>
      </c>
      <c r="AI495" s="960">
        <f t="array" ref="AI495">HLOOKUP($J495,'Type Chart'!$C$2:$T$20,16,false)*HLOOKUP($K495,'Type Chart'!$C$2:$U$20,16,false)</f>
        <v>1</v>
      </c>
      <c r="AJ495" s="960">
        <f t="array" ref="AJ495">HLOOKUP($J495,'Type Chart'!$C$2:$T$20,17,false)*HLOOKUP($K495,'Type Chart'!$C$2:$U$20,17,false)</f>
        <v>1</v>
      </c>
      <c r="AK495" s="960">
        <f t="array" ref="AK495">HLOOKUP($J495,'Type Chart'!$C$2:$T$20,18,false)*HLOOKUP($K495,'Type Chart'!$C$2:$U$20,18,false)</f>
        <v>2</v>
      </c>
      <c r="AL495" s="960">
        <f t="array" ref="AL495">HLOOKUP($J495,'Type Chart'!$C$2:$T$20,19,false)*HLOOKUP($K495,'Type Chart'!$C$2:$U$20,19,false)</f>
        <v>1</v>
      </c>
      <c r="AM495" s="964" t="s">
        <v>1636</v>
      </c>
      <c r="AN495" s="965"/>
      <c r="AO495" s="966"/>
      <c r="AP495" s="936"/>
      <c r="AQ495" s="967"/>
      <c r="AR495" s="968"/>
      <c r="AS495" s="936"/>
    </row>
    <row r="496" ht="15.75" customHeight="1">
      <c r="A496" s="936"/>
      <c r="B496" s="948" t="s">
        <v>2432</v>
      </c>
      <c r="C496" s="950" t="s">
        <v>2433</v>
      </c>
      <c r="D496" s="950" t="s">
        <v>2433</v>
      </c>
      <c r="E496" s="952" t="s">
        <v>2433</v>
      </c>
      <c r="F496" s="940"/>
      <c r="G496" s="953"/>
      <c r="H496" s="969"/>
      <c r="I496" s="956" t="s">
        <v>486</v>
      </c>
      <c r="J496" s="1203" t="s">
        <v>344</v>
      </c>
      <c r="K496" s="984" t="s">
        <v>216</v>
      </c>
      <c r="L496" s="959">
        <v>50.0</v>
      </c>
      <c r="M496" s="960">
        <v>70.0</v>
      </c>
      <c r="N496" s="960">
        <v>160.0</v>
      </c>
      <c r="O496" s="960">
        <v>70.0</v>
      </c>
      <c r="P496" s="960">
        <v>160.0</v>
      </c>
      <c r="Q496" s="960">
        <v>90.0</v>
      </c>
      <c r="R496" s="960">
        <v>216.0</v>
      </c>
      <c r="S496" s="960">
        <v>279.0</v>
      </c>
      <c r="T496" s="960">
        <v>306.0</v>
      </c>
      <c r="U496" s="960">
        <f t="array" ref="U496">HLOOKUP($J496,'Type Chart'!$C$2:$T$20,2,false)*HLOOKUP($K496,'Type Chart'!$C$2:$U$20,2,false)</f>
        <v>1</v>
      </c>
      <c r="V496" s="960">
        <f t="array" ref="V496">HLOOKUP($J496,'Type Chart'!$C$2:$T$20,3,false)*HLOOKUP($K496,'Type Chart'!$C$2:$U$20,3,false)</f>
        <v>0.5</v>
      </c>
      <c r="W496" s="960">
        <f t="array" ref="W496">HLOOKUP($J496,'Type Chart'!$C$2:$T$20,4,false)*HLOOKUP($K496,'Type Chart'!$C$2:$U$20,4,false)</f>
        <v>1</v>
      </c>
      <c r="X496" s="960">
        <f t="array" ref="X496">HLOOKUP($J496,'Type Chart'!$C$2:$T$20,5,false)*HLOOKUP($K496,'Type Chart'!$C$2:$U$20,5,false)</f>
        <v>1</v>
      </c>
      <c r="Y496" s="960">
        <f t="array" ref="Y496">HLOOKUP($J496,'Type Chart'!$C$2:$T$20,6,false)*HLOOKUP($K496,'Type Chart'!$C$2:$U$20,6,false)</f>
        <v>1</v>
      </c>
      <c r="Z496" s="960">
        <f t="array" ref="Z496">HLOOKUP($J496,'Type Chart'!$C$2:$T$20,7,false)*HLOOKUP($K496,'Type Chart'!$C$2:$U$20,7,false)</f>
        <v>1</v>
      </c>
      <c r="AA496" s="960">
        <f t="array" ref="AA496">HLOOKUP($J496,'Type Chart'!$C$2:$T$20,8,false)*HLOOKUP($K496,'Type Chart'!$C$2:$U$20,8,false)</f>
        <v>2</v>
      </c>
      <c r="AB496" s="960">
        <f t="array" ref="AB496">HLOOKUP($J496,'Type Chart'!$C$2:$T$20,9,false)*HLOOKUP($K496,'Type Chart'!$C$2:$U$20,9,false)</f>
        <v>2</v>
      </c>
      <c r="AC496" s="960">
        <f t="array" ref="AC496">HLOOKUP($J496,'Type Chart'!$C$2:$T$20,10,false)*HLOOKUP($K496,'Type Chart'!$C$2:$U$20,10,false)</f>
        <v>1</v>
      </c>
      <c r="AD496" s="960">
        <f t="array" ref="AD496">HLOOKUP($J496,'Type Chart'!$C$2:$T$20,11,false)*HLOOKUP($K496,'Type Chart'!$C$2:$U$20,11,false)</f>
        <v>1</v>
      </c>
      <c r="AE496" s="960">
        <f t="array" ref="AE496">HLOOKUP($J496,'Type Chart'!$C$2:$T$20,12,false)*HLOOKUP($K496,'Type Chart'!$C$2:$U$20,12,false)</f>
        <v>1</v>
      </c>
      <c r="AF496" s="960">
        <f t="array" ref="AF496">HLOOKUP($J496,'Type Chart'!$C$2:$T$20,13,false)*HLOOKUP($K496,'Type Chart'!$C$2:$U$20,13,false)</f>
        <v>1</v>
      </c>
      <c r="AG496" s="960">
        <f t="array" ref="AG496">HLOOKUP($J496,'Type Chart'!$C$2:$T$20,14,false)*HLOOKUP($K496,'Type Chart'!$C$2:$U$20,14,false)</f>
        <v>1</v>
      </c>
      <c r="AH496" s="960">
        <f t="array" ref="AH496">HLOOKUP($J496,'Type Chart'!$C$2:$T$20,15,false)*HLOOKUP($K496,'Type Chart'!$C$2:$U$20,15,false)</f>
        <v>0.5</v>
      </c>
      <c r="AI496" s="960">
        <f t="array" ref="AI496">HLOOKUP($J496,'Type Chart'!$C$2:$T$20,16,false)*HLOOKUP($K496,'Type Chart'!$C$2:$U$20,16,false)</f>
        <v>1</v>
      </c>
      <c r="AJ496" s="960">
        <f t="array" ref="AJ496">HLOOKUP($J496,'Type Chart'!$C$2:$T$20,17,false)*HLOOKUP($K496,'Type Chart'!$C$2:$U$20,17,false)</f>
        <v>1</v>
      </c>
      <c r="AK496" s="960">
        <f t="array" ref="AK496">HLOOKUP($J496,'Type Chart'!$C$2:$T$20,18,false)*HLOOKUP($K496,'Type Chart'!$C$2:$U$20,18,false)</f>
        <v>2</v>
      </c>
      <c r="AL496" s="960">
        <f t="array" ref="AL496">HLOOKUP($J496,'Type Chart'!$C$2:$T$20,19,false)*HLOOKUP($K496,'Type Chart'!$C$2:$U$20,19,false)</f>
        <v>1</v>
      </c>
      <c r="AM496" s="964" t="s">
        <v>1636</v>
      </c>
      <c r="AN496" s="965"/>
      <c r="AO496" s="966"/>
      <c r="AP496" s="936"/>
      <c r="AQ496" s="967"/>
      <c r="AR496" s="968"/>
      <c r="AS496" s="936"/>
    </row>
    <row r="497" ht="15.75" customHeight="1">
      <c r="A497" s="936"/>
      <c r="B497" s="948" t="s">
        <v>2434</v>
      </c>
      <c r="C497" s="950" t="s">
        <v>2435</v>
      </c>
      <c r="D497" s="950" t="s">
        <v>2435</v>
      </c>
      <c r="E497" s="952" t="s">
        <v>2435</v>
      </c>
      <c r="F497" s="940"/>
      <c r="G497" s="953"/>
      <c r="H497" s="969"/>
      <c r="I497" s="956" t="s">
        <v>243</v>
      </c>
      <c r="J497" s="1203" t="s">
        <v>344</v>
      </c>
      <c r="K497" s="984" t="s">
        <v>216</v>
      </c>
      <c r="L497" s="959">
        <v>50.0</v>
      </c>
      <c r="M497" s="960">
        <v>95.0</v>
      </c>
      <c r="N497" s="960">
        <v>90.0</v>
      </c>
      <c r="O497" s="960">
        <v>95.0</v>
      </c>
      <c r="P497" s="960">
        <v>90.0</v>
      </c>
      <c r="Q497" s="960">
        <v>180.0</v>
      </c>
      <c r="R497" s="960">
        <v>396.0</v>
      </c>
      <c r="S497" s="960">
        <v>459.0</v>
      </c>
      <c r="T497" s="960">
        <v>504.0</v>
      </c>
      <c r="U497" s="960">
        <f t="array" ref="U497">HLOOKUP($J497,'Type Chart'!$C$2:$T$20,2,false)*HLOOKUP($K497,'Type Chart'!$C$2:$U$20,2,false)</f>
        <v>1</v>
      </c>
      <c r="V497" s="960">
        <f t="array" ref="V497">HLOOKUP($J497,'Type Chart'!$C$2:$T$20,3,false)*HLOOKUP($K497,'Type Chart'!$C$2:$U$20,3,false)</f>
        <v>0.5</v>
      </c>
      <c r="W497" s="960">
        <f t="array" ref="W497">HLOOKUP($J497,'Type Chart'!$C$2:$T$20,4,false)*HLOOKUP($K497,'Type Chart'!$C$2:$U$20,4,false)</f>
        <v>1</v>
      </c>
      <c r="X497" s="960">
        <f t="array" ref="X497">HLOOKUP($J497,'Type Chart'!$C$2:$T$20,5,false)*HLOOKUP($K497,'Type Chart'!$C$2:$U$20,5,false)</f>
        <v>1</v>
      </c>
      <c r="Y497" s="960">
        <f t="array" ref="Y497">HLOOKUP($J497,'Type Chart'!$C$2:$T$20,6,false)*HLOOKUP($K497,'Type Chart'!$C$2:$U$20,6,false)</f>
        <v>1</v>
      </c>
      <c r="Z497" s="960">
        <f t="array" ref="Z497">HLOOKUP($J497,'Type Chart'!$C$2:$T$20,7,false)*HLOOKUP($K497,'Type Chart'!$C$2:$U$20,7,false)</f>
        <v>1</v>
      </c>
      <c r="AA497" s="960">
        <f t="array" ref="AA497">HLOOKUP($J497,'Type Chart'!$C$2:$T$20,8,false)*HLOOKUP($K497,'Type Chart'!$C$2:$U$20,8,false)</f>
        <v>2</v>
      </c>
      <c r="AB497" s="960">
        <f t="array" ref="AB497">HLOOKUP($J497,'Type Chart'!$C$2:$T$20,9,false)*HLOOKUP($K497,'Type Chart'!$C$2:$U$20,9,false)</f>
        <v>2</v>
      </c>
      <c r="AC497" s="960">
        <f t="array" ref="AC497">HLOOKUP($J497,'Type Chart'!$C$2:$T$20,10,false)*HLOOKUP($K497,'Type Chart'!$C$2:$U$20,10,false)</f>
        <v>1</v>
      </c>
      <c r="AD497" s="960">
        <f t="array" ref="AD497">HLOOKUP($J497,'Type Chart'!$C$2:$T$20,11,false)*HLOOKUP($K497,'Type Chart'!$C$2:$U$20,11,false)</f>
        <v>1</v>
      </c>
      <c r="AE497" s="960">
        <f t="array" ref="AE497">HLOOKUP($J497,'Type Chart'!$C$2:$T$20,12,false)*HLOOKUP($K497,'Type Chart'!$C$2:$U$20,12,false)</f>
        <v>1</v>
      </c>
      <c r="AF497" s="960">
        <f t="array" ref="AF497">HLOOKUP($J497,'Type Chart'!$C$2:$T$20,13,false)*HLOOKUP($K497,'Type Chart'!$C$2:$U$20,13,false)</f>
        <v>1</v>
      </c>
      <c r="AG497" s="960">
        <f t="array" ref="AG497">HLOOKUP($J497,'Type Chart'!$C$2:$T$20,14,false)*HLOOKUP($K497,'Type Chart'!$C$2:$U$20,14,false)</f>
        <v>1</v>
      </c>
      <c r="AH497" s="960">
        <f t="array" ref="AH497">HLOOKUP($J497,'Type Chart'!$C$2:$T$20,15,false)*HLOOKUP($K497,'Type Chart'!$C$2:$U$20,15,false)</f>
        <v>0.5</v>
      </c>
      <c r="AI497" s="960">
        <f t="array" ref="AI497">HLOOKUP($J497,'Type Chart'!$C$2:$T$20,16,false)*HLOOKUP($K497,'Type Chart'!$C$2:$U$20,16,false)</f>
        <v>1</v>
      </c>
      <c r="AJ497" s="960">
        <f t="array" ref="AJ497">HLOOKUP($J497,'Type Chart'!$C$2:$T$20,17,false)*HLOOKUP($K497,'Type Chart'!$C$2:$U$20,17,false)</f>
        <v>1</v>
      </c>
      <c r="AK497" s="960">
        <f t="array" ref="AK497">HLOOKUP($J497,'Type Chart'!$C$2:$T$20,18,false)*HLOOKUP($K497,'Type Chart'!$C$2:$U$20,18,false)</f>
        <v>2</v>
      </c>
      <c r="AL497" s="960">
        <f t="array" ref="AL497">HLOOKUP($J497,'Type Chart'!$C$2:$T$20,19,false)*HLOOKUP($K497,'Type Chart'!$C$2:$U$20,19,false)</f>
        <v>1</v>
      </c>
      <c r="AM497" s="964" t="s">
        <v>1636</v>
      </c>
      <c r="AN497" s="965"/>
      <c r="AO497" s="966"/>
      <c r="AP497" s="936"/>
      <c r="AQ497" s="967"/>
      <c r="AR497" s="968"/>
      <c r="AS497" s="936"/>
    </row>
    <row r="498" ht="15.75" customHeight="1">
      <c r="A498" s="936"/>
      <c r="B498" s="948" t="s">
        <v>2436</v>
      </c>
      <c r="C498" s="950" t="s">
        <v>2437</v>
      </c>
      <c r="D498" s="950" t="s">
        <v>2437</v>
      </c>
      <c r="E498" s="1147" t="s">
        <v>2437</v>
      </c>
      <c r="F498" s="940"/>
      <c r="G498" s="953"/>
      <c r="H498" s="969"/>
      <c r="I498" s="956" t="s">
        <v>2438</v>
      </c>
      <c r="J498" s="957" t="s">
        <v>209</v>
      </c>
      <c r="K498" s="984" t="s">
        <v>216</v>
      </c>
      <c r="L498" s="959">
        <v>55.0</v>
      </c>
      <c r="M498" s="960">
        <v>68.0</v>
      </c>
      <c r="N498" s="960">
        <v>64.0</v>
      </c>
      <c r="O498" s="960">
        <v>45.0</v>
      </c>
      <c r="P498" s="960">
        <v>55.0</v>
      </c>
      <c r="Q498" s="960">
        <v>31.0</v>
      </c>
      <c r="R498" s="960">
        <v>98.0</v>
      </c>
      <c r="S498" s="960">
        <v>161.0</v>
      </c>
      <c r="T498" s="960">
        <v>177.0</v>
      </c>
      <c r="U498" s="960">
        <f t="array" ref="U498">HLOOKUP($J498,'Type Chart'!$C$2:$T$20,2,false)*HLOOKUP($K498,'Type Chart'!$C$2:$U$20,2,false)</f>
        <v>1</v>
      </c>
      <c r="V498" s="960">
        <f t="array" ref="V498">HLOOKUP($J498,'Type Chart'!$C$2:$T$20,3,false)*HLOOKUP($K498,'Type Chart'!$C$2:$U$20,3,false)</f>
        <v>1</v>
      </c>
      <c r="W498" s="960">
        <f t="array" ref="W498">HLOOKUP($J498,'Type Chart'!$C$2:$T$20,4,false)*HLOOKUP($K498,'Type Chart'!$C$2:$U$20,4,false)</f>
        <v>2</v>
      </c>
      <c r="X498" s="960">
        <f t="array" ref="X498">HLOOKUP($J498,'Type Chart'!$C$2:$T$20,5,false)*HLOOKUP($K498,'Type Chart'!$C$2:$U$20,5,false)</f>
        <v>2</v>
      </c>
      <c r="Y498" s="960">
        <f t="array" ref="Y498">HLOOKUP($J498,'Type Chart'!$C$2:$T$20,6,false)*HLOOKUP($K498,'Type Chart'!$C$2:$U$20,6,false)</f>
        <v>0.5</v>
      </c>
      <c r="Z498" s="960">
        <f t="array" ref="Z498">HLOOKUP($J498,'Type Chart'!$C$2:$T$20,7,false)*HLOOKUP($K498,'Type Chart'!$C$2:$U$20,7,false)</f>
        <v>1</v>
      </c>
      <c r="AA498" s="960">
        <f t="array" ref="AA498">HLOOKUP($J498,'Type Chart'!$C$2:$T$20,8,false)*HLOOKUP($K498,'Type Chart'!$C$2:$U$20,8,false)</f>
        <v>2</v>
      </c>
      <c r="AB498" s="960">
        <f t="array" ref="AB498">HLOOKUP($J498,'Type Chart'!$C$2:$T$20,9,false)*HLOOKUP($K498,'Type Chart'!$C$2:$U$20,9,false)</f>
        <v>1</v>
      </c>
      <c r="AC498" s="960">
        <f t="array" ref="AC498">HLOOKUP($J498,'Type Chart'!$C$2:$T$20,10,false)*HLOOKUP($K498,'Type Chart'!$C$2:$U$20,10,false)</f>
        <v>1</v>
      </c>
      <c r="AD498" s="960">
        <f t="array" ref="AD498">HLOOKUP($J498,'Type Chart'!$C$2:$T$20,11,false)*HLOOKUP($K498,'Type Chart'!$C$2:$U$20,11,false)</f>
        <v>2</v>
      </c>
      <c r="AE498" s="960">
        <f t="array" ref="AE498">HLOOKUP($J498,'Type Chart'!$C$2:$T$20,12,false)*HLOOKUP($K498,'Type Chart'!$C$2:$U$20,12,false)</f>
        <v>0.5</v>
      </c>
      <c r="AF498" s="960">
        <f t="array" ref="AF498">HLOOKUP($J498,'Type Chart'!$C$2:$T$20,13,false)*HLOOKUP($K498,'Type Chart'!$C$2:$U$20,13,false)</f>
        <v>0.5</v>
      </c>
      <c r="AG498" s="960">
        <f t="array" ref="AG498">HLOOKUP($J498,'Type Chart'!$C$2:$T$20,14,false)*HLOOKUP($K498,'Type Chart'!$C$2:$U$20,14,false)</f>
        <v>0.5</v>
      </c>
      <c r="AH498" s="960">
        <f t="array" ref="AH498">HLOOKUP($J498,'Type Chart'!$C$2:$T$20,15,false)*HLOOKUP($K498,'Type Chart'!$C$2:$U$20,15,false)</f>
        <v>1</v>
      </c>
      <c r="AI498" s="960">
        <f t="array" ref="AI498">HLOOKUP($J498,'Type Chart'!$C$2:$T$20,16,false)*HLOOKUP($K498,'Type Chart'!$C$2:$U$20,16,false)</f>
        <v>2</v>
      </c>
      <c r="AJ498" s="960">
        <f t="array" ref="AJ498">HLOOKUP($J498,'Type Chart'!$C$2:$T$20,17,false)*HLOOKUP($K498,'Type Chart'!$C$2:$U$20,17,false)</f>
        <v>1</v>
      </c>
      <c r="AK498" s="960">
        <f t="array" ref="AK498">HLOOKUP($J498,'Type Chart'!$C$2:$T$20,18,false)*HLOOKUP($K498,'Type Chart'!$C$2:$U$20,18,false)</f>
        <v>1</v>
      </c>
      <c r="AL498" s="960">
        <f t="array" ref="AL498">HLOOKUP($J498,'Type Chart'!$C$2:$T$20,19,false)*HLOOKUP($K498,'Type Chart'!$C$2:$U$20,19,false)</f>
        <v>1</v>
      </c>
      <c r="AM498" s="964" t="s">
        <v>522</v>
      </c>
      <c r="AN498" s="965"/>
      <c r="AO498" s="966" t="s">
        <v>1385</v>
      </c>
      <c r="AP498" s="936"/>
      <c r="AQ498" s="967"/>
      <c r="AR498" s="968"/>
      <c r="AS498" s="936"/>
    </row>
    <row r="499" ht="15.75" customHeight="1">
      <c r="A499" s="936"/>
      <c r="B499" s="948" t="s">
        <v>2439</v>
      </c>
      <c r="C499" s="950" t="s">
        <v>2440</v>
      </c>
      <c r="D499" s="950" t="s">
        <v>2440</v>
      </c>
      <c r="E499" s="952" t="s">
        <v>2440</v>
      </c>
      <c r="F499" s="940"/>
      <c r="G499" s="953"/>
      <c r="H499" s="969"/>
      <c r="I499" s="956" t="s">
        <v>787</v>
      </c>
      <c r="J499" s="957" t="s">
        <v>209</v>
      </c>
      <c r="K499" s="984" t="s">
        <v>216</v>
      </c>
      <c r="L499" s="959">
        <v>75.0</v>
      </c>
      <c r="M499" s="960">
        <v>89.0</v>
      </c>
      <c r="N499" s="960">
        <v>85.0</v>
      </c>
      <c r="O499" s="960">
        <v>55.0</v>
      </c>
      <c r="P499" s="960">
        <v>65.0</v>
      </c>
      <c r="Q499" s="960">
        <v>36.0</v>
      </c>
      <c r="R499" s="960">
        <v>108.0</v>
      </c>
      <c r="S499" s="960">
        <v>171.0</v>
      </c>
      <c r="T499" s="960">
        <v>188.0</v>
      </c>
      <c r="U499" s="960">
        <f t="array" ref="U499">HLOOKUP($J499,'Type Chart'!$C$2:$T$20,2,false)*HLOOKUP($K499,'Type Chart'!$C$2:$U$20,2,false)</f>
        <v>1</v>
      </c>
      <c r="V499" s="960">
        <f t="array" ref="V499">HLOOKUP($J499,'Type Chart'!$C$2:$T$20,3,false)*HLOOKUP($K499,'Type Chart'!$C$2:$U$20,3,false)</f>
        <v>1</v>
      </c>
      <c r="W499" s="960">
        <f t="array" ref="W499">HLOOKUP($J499,'Type Chart'!$C$2:$T$20,4,false)*HLOOKUP($K499,'Type Chart'!$C$2:$U$20,4,false)</f>
        <v>2</v>
      </c>
      <c r="X499" s="960">
        <f t="array" ref="X499">HLOOKUP($J499,'Type Chart'!$C$2:$T$20,5,false)*HLOOKUP($K499,'Type Chart'!$C$2:$U$20,5,false)</f>
        <v>2</v>
      </c>
      <c r="Y499" s="960">
        <f t="array" ref="Y499">HLOOKUP($J499,'Type Chart'!$C$2:$T$20,6,false)*HLOOKUP($K499,'Type Chart'!$C$2:$U$20,6,false)</f>
        <v>0.5</v>
      </c>
      <c r="Z499" s="960">
        <f t="array" ref="Z499">HLOOKUP($J499,'Type Chart'!$C$2:$T$20,7,false)*HLOOKUP($K499,'Type Chart'!$C$2:$U$20,7,false)</f>
        <v>1</v>
      </c>
      <c r="AA499" s="960">
        <f t="array" ref="AA499">HLOOKUP($J499,'Type Chart'!$C$2:$T$20,8,false)*HLOOKUP($K499,'Type Chart'!$C$2:$U$20,8,false)</f>
        <v>2</v>
      </c>
      <c r="AB499" s="960">
        <f t="array" ref="AB499">HLOOKUP($J499,'Type Chart'!$C$2:$T$20,9,false)*HLOOKUP($K499,'Type Chart'!$C$2:$U$20,9,false)</f>
        <v>1</v>
      </c>
      <c r="AC499" s="960">
        <f t="array" ref="AC499">HLOOKUP($J499,'Type Chart'!$C$2:$T$20,10,false)*HLOOKUP($K499,'Type Chart'!$C$2:$U$20,10,false)</f>
        <v>1</v>
      </c>
      <c r="AD499" s="960">
        <f t="array" ref="AD499">HLOOKUP($J499,'Type Chart'!$C$2:$T$20,11,false)*HLOOKUP($K499,'Type Chart'!$C$2:$U$20,11,false)</f>
        <v>2</v>
      </c>
      <c r="AE499" s="960">
        <f t="array" ref="AE499">HLOOKUP($J499,'Type Chart'!$C$2:$T$20,12,false)*HLOOKUP($K499,'Type Chart'!$C$2:$U$20,12,false)</f>
        <v>0.5</v>
      </c>
      <c r="AF499" s="960">
        <f t="array" ref="AF499">HLOOKUP($J499,'Type Chart'!$C$2:$T$20,13,false)*HLOOKUP($K499,'Type Chart'!$C$2:$U$20,13,false)</f>
        <v>0.5</v>
      </c>
      <c r="AG499" s="960">
        <f t="array" ref="AG499">HLOOKUP($J499,'Type Chart'!$C$2:$T$20,14,false)*HLOOKUP($K499,'Type Chart'!$C$2:$U$20,14,false)</f>
        <v>0.5</v>
      </c>
      <c r="AH499" s="960">
        <f t="array" ref="AH499">HLOOKUP($J499,'Type Chart'!$C$2:$T$20,15,false)*HLOOKUP($K499,'Type Chart'!$C$2:$U$20,15,false)</f>
        <v>1</v>
      </c>
      <c r="AI499" s="960">
        <f t="array" ref="AI499">HLOOKUP($J499,'Type Chart'!$C$2:$T$20,16,false)*HLOOKUP($K499,'Type Chart'!$C$2:$U$20,16,false)</f>
        <v>2</v>
      </c>
      <c r="AJ499" s="960">
        <f t="array" ref="AJ499">HLOOKUP($J499,'Type Chart'!$C$2:$T$20,17,false)*HLOOKUP($K499,'Type Chart'!$C$2:$U$20,17,false)</f>
        <v>1</v>
      </c>
      <c r="AK499" s="960">
        <f t="array" ref="AK499">HLOOKUP($J499,'Type Chart'!$C$2:$T$20,18,false)*HLOOKUP($K499,'Type Chart'!$C$2:$U$20,18,false)</f>
        <v>1</v>
      </c>
      <c r="AL499" s="960">
        <f t="array" ref="AL499">HLOOKUP($J499,'Type Chart'!$C$2:$T$20,19,false)*HLOOKUP($K499,'Type Chart'!$C$2:$U$20,19,false)</f>
        <v>1</v>
      </c>
      <c r="AM499" s="964" t="s">
        <v>522</v>
      </c>
      <c r="AN499" s="965"/>
      <c r="AO499" s="966" t="s">
        <v>1385</v>
      </c>
      <c r="AP499" s="936"/>
      <c r="AQ499" s="967"/>
      <c r="AR499" s="968"/>
      <c r="AS499" s="936"/>
    </row>
    <row r="500" ht="15.75" customHeight="1">
      <c r="A500" s="936"/>
      <c r="B500" s="948" t="s">
        <v>2441</v>
      </c>
      <c r="C500" s="950" t="s">
        <v>2442</v>
      </c>
      <c r="D500" s="950" t="s">
        <v>2442</v>
      </c>
      <c r="E500" s="952" t="s">
        <v>2442</v>
      </c>
      <c r="F500" s="940"/>
      <c r="G500" s="953"/>
      <c r="H500" s="969"/>
      <c r="I500" s="956" t="s">
        <v>323</v>
      </c>
      <c r="J500" s="957" t="s">
        <v>209</v>
      </c>
      <c r="K500" s="1204" t="s">
        <v>80</v>
      </c>
      <c r="L500" s="959">
        <v>95.0</v>
      </c>
      <c r="M500" s="960">
        <v>109.0</v>
      </c>
      <c r="N500" s="960">
        <v>105.0</v>
      </c>
      <c r="O500" s="960">
        <v>75.0</v>
      </c>
      <c r="P500" s="960">
        <v>85.0</v>
      </c>
      <c r="Q500" s="960">
        <v>56.0</v>
      </c>
      <c r="R500" s="960">
        <v>148.0</v>
      </c>
      <c r="S500" s="960">
        <v>211.0</v>
      </c>
      <c r="T500" s="960">
        <v>232.0</v>
      </c>
      <c r="U500" s="960">
        <f t="array" ref="U500">HLOOKUP($J500,'Type Chart'!$C$2:$T$20,2,false)*HLOOKUP($K500,'Type Chart'!$C$2:$U$20,2,false)</f>
        <v>1</v>
      </c>
      <c r="V500" s="960">
        <f t="array" ref="V500">HLOOKUP($J500,'Type Chart'!$C$2:$T$20,3,false)*HLOOKUP($K500,'Type Chart'!$C$2:$U$20,3,false)</f>
        <v>1</v>
      </c>
      <c r="W500" s="960">
        <f t="array" ref="W500">HLOOKUP($J500,'Type Chart'!$C$2:$T$20,4,false)*HLOOKUP($K500,'Type Chart'!$C$2:$U$20,4,false)</f>
        <v>2</v>
      </c>
      <c r="X500" s="960">
        <f t="array" ref="X500">HLOOKUP($J500,'Type Chart'!$C$2:$T$20,5,false)*HLOOKUP($K500,'Type Chart'!$C$2:$U$20,5,false)</f>
        <v>1</v>
      </c>
      <c r="Y500" s="960">
        <f t="array" ref="Y500">HLOOKUP($J500,'Type Chart'!$C$2:$T$20,6,false)*HLOOKUP($K500,'Type Chart'!$C$2:$U$20,6,false)</f>
        <v>0.5</v>
      </c>
      <c r="Z500" s="960">
        <f t="array" ref="Z500">HLOOKUP($J500,'Type Chart'!$C$2:$T$20,7,false)*HLOOKUP($K500,'Type Chart'!$C$2:$U$20,7,false)</f>
        <v>0.5</v>
      </c>
      <c r="AA500" s="960">
        <f t="array" ref="AA500">HLOOKUP($J500,'Type Chart'!$C$2:$T$20,8,false)*HLOOKUP($K500,'Type Chart'!$C$2:$U$20,8,false)</f>
        <v>2</v>
      </c>
      <c r="AB500" s="960">
        <f t="array" ref="AB500">HLOOKUP($J500,'Type Chart'!$C$2:$T$20,9,false)*HLOOKUP($K500,'Type Chart'!$C$2:$U$20,9,false)</f>
        <v>1</v>
      </c>
      <c r="AC500" s="960">
        <f t="array" ref="AC500">HLOOKUP($J500,'Type Chart'!$C$2:$T$20,10,false)*HLOOKUP($K500,'Type Chart'!$C$2:$U$20,10,false)</f>
        <v>1</v>
      </c>
      <c r="AD500" s="960">
        <f t="array" ref="AD500">HLOOKUP($J500,'Type Chart'!$C$2:$T$20,11,false)*HLOOKUP($K500,'Type Chart'!$C$2:$U$20,11,false)</f>
        <v>2</v>
      </c>
      <c r="AE500" s="960">
        <f t="array" ref="AE500">HLOOKUP($J500,'Type Chart'!$C$2:$T$20,12,false)*HLOOKUP($K500,'Type Chart'!$C$2:$U$20,12,false)</f>
        <v>1</v>
      </c>
      <c r="AF500" s="960">
        <f t="array" ref="AF500">HLOOKUP($J500,'Type Chart'!$C$2:$T$20,13,false)*HLOOKUP($K500,'Type Chart'!$C$2:$U$20,13,false)</f>
        <v>1</v>
      </c>
      <c r="AG500" s="960">
        <f t="array" ref="AG500">HLOOKUP($J500,'Type Chart'!$C$2:$T$20,14,false)*HLOOKUP($K500,'Type Chart'!$C$2:$U$20,14,false)</f>
        <v>0</v>
      </c>
      <c r="AH500" s="960">
        <f t="array" ref="AH500">HLOOKUP($J500,'Type Chart'!$C$2:$T$20,15,false)*HLOOKUP($K500,'Type Chart'!$C$2:$U$20,15,false)</f>
        <v>1</v>
      </c>
      <c r="AI500" s="960">
        <f t="array" ref="AI500">HLOOKUP($J500,'Type Chart'!$C$2:$T$20,16,false)*HLOOKUP($K500,'Type Chart'!$C$2:$U$20,16,false)</f>
        <v>4</v>
      </c>
      <c r="AJ500" s="960">
        <f t="array" ref="AJ500">HLOOKUP($J500,'Type Chart'!$C$2:$T$20,17,false)*HLOOKUP($K500,'Type Chart'!$C$2:$U$20,17,false)</f>
        <v>1</v>
      </c>
      <c r="AK500" s="960">
        <f t="array" ref="AK500">HLOOKUP($J500,'Type Chart'!$C$2:$T$20,18,false)*HLOOKUP($K500,'Type Chart'!$C$2:$U$20,18,false)</f>
        <v>1</v>
      </c>
      <c r="AL500" s="960">
        <f t="array" ref="AL500">HLOOKUP($J500,'Type Chart'!$C$2:$T$20,19,false)*HLOOKUP($K500,'Type Chart'!$C$2:$U$20,19,false)</f>
        <v>1</v>
      </c>
      <c r="AM500" s="964" t="s">
        <v>522</v>
      </c>
      <c r="AN500" s="965"/>
      <c r="AO500" s="966" t="s">
        <v>1385</v>
      </c>
      <c r="AP500" s="936"/>
      <c r="AQ500" s="967"/>
      <c r="AR500" s="968"/>
      <c r="AS500" s="936"/>
    </row>
    <row r="501" ht="15.75" customHeight="1">
      <c r="A501" s="936"/>
      <c r="B501" s="948" t="s">
        <v>2443</v>
      </c>
      <c r="C501" s="950" t="s">
        <v>2444</v>
      </c>
      <c r="D501" s="950" t="s">
        <v>2444</v>
      </c>
      <c r="E501" s="952" t="s">
        <v>2444</v>
      </c>
      <c r="F501" s="940"/>
      <c r="G501" s="953"/>
      <c r="H501" s="969"/>
      <c r="I501" s="998" t="s">
        <v>2445</v>
      </c>
      <c r="J501" s="982" t="s">
        <v>150</v>
      </c>
      <c r="K501" s="984" t="s">
        <v>216</v>
      </c>
      <c r="L501" s="959">
        <v>44.0</v>
      </c>
      <c r="M501" s="960">
        <v>58.0</v>
      </c>
      <c r="N501" s="960">
        <v>44.0</v>
      </c>
      <c r="O501" s="960">
        <v>58.0</v>
      </c>
      <c r="P501" s="960">
        <v>44.0</v>
      </c>
      <c r="Q501" s="960">
        <v>61.0</v>
      </c>
      <c r="R501" s="960">
        <v>158.0</v>
      </c>
      <c r="S501" s="960">
        <v>221.0</v>
      </c>
      <c r="T501" s="960">
        <v>243.0</v>
      </c>
      <c r="U501" s="960">
        <f t="array" ref="U501">HLOOKUP($J501,'Type Chart'!$C$2:$T$20,2,false)*HLOOKUP($K501,'Type Chart'!$C$2:$U$20,2,false)</f>
        <v>1</v>
      </c>
      <c r="V501" s="960">
        <f t="array" ref="V501">HLOOKUP($J501,'Type Chart'!$C$2:$T$20,3,false)*HLOOKUP($K501,'Type Chart'!$C$2:$U$20,3,false)</f>
        <v>1</v>
      </c>
      <c r="W501" s="960">
        <f t="array" ref="W501">HLOOKUP($J501,'Type Chart'!$C$2:$T$20,4,false)*HLOOKUP($K501,'Type Chart'!$C$2:$U$20,4,false)</f>
        <v>1</v>
      </c>
      <c r="X501" s="960">
        <f t="array" ref="X501">HLOOKUP($J501,'Type Chart'!$C$2:$T$20,5,false)*HLOOKUP($K501,'Type Chart'!$C$2:$U$20,5,false)</f>
        <v>1</v>
      </c>
      <c r="Y501" s="960">
        <f t="array" ref="Y501">HLOOKUP($J501,'Type Chart'!$C$2:$T$20,6,false)*HLOOKUP($K501,'Type Chart'!$C$2:$U$20,6,false)</f>
        <v>2</v>
      </c>
      <c r="Z501" s="960">
        <f t="array" ref="Z501">HLOOKUP($J501,'Type Chart'!$C$2:$T$20,7,false)*HLOOKUP($K501,'Type Chart'!$C$2:$U$20,7,false)</f>
        <v>2</v>
      </c>
      <c r="AA501" s="960">
        <f t="array" ref="AA501">HLOOKUP($J501,'Type Chart'!$C$2:$T$20,8,false)*HLOOKUP($K501,'Type Chart'!$C$2:$U$20,8,false)</f>
        <v>0.5</v>
      </c>
      <c r="AB501" s="960">
        <f t="array" ref="AB501">HLOOKUP($J501,'Type Chart'!$C$2:$T$20,9,false)*HLOOKUP($K501,'Type Chart'!$C$2:$U$20,9,false)</f>
        <v>1</v>
      </c>
      <c r="AC501" s="960">
        <f t="array" ref="AC501">HLOOKUP($J501,'Type Chart'!$C$2:$T$20,10,false)*HLOOKUP($K501,'Type Chart'!$C$2:$U$20,10,false)</f>
        <v>0.5</v>
      </c>
      <c r="AD501" s="960">
        <f t="array" ref="AD501">HLOOKUP($J501,'Type Chart'!$C$2:$T$20,11,false)*HLOOKUP($K501,'Type Chart'!$C$2:$U$20,11,false)</f>
        <v>0.5</v>
      </c>
      <c r="AE501" s="960">
        <f t="array" ref="AE501">HLOOKUP($J501,'Type Chart'!$C$2:$T$20,12,false)*HLOOKUP($K501,'Type Chart'!$C$2:$U$20,12,false)</f>
        <v>2</v>
      </c>
      <c r="AF501" s="960">
        <f t="array" ref="AF501">HLOOKUP($J501,'Type Chart'!$C$2:$T$20,13,false)*HLOOKUP($K501,'Type Chart'!$C$2:$U$20,13,false)</f>
        <v>0.5</v>
      </c>
      <c r="AG501" s="960">
        <f t="array" ref="AG501">HLOOKUP($J501,'Type Chart'!$C$2:$T$20,14,false)*HLOOKUP($K501,'Type Chart'!$C$2:$U$20,14,false)</f>
        <v>1</v>
      </c>
      <c r="AH501" s="960">
        <f t="array" ref="AH501">HLOOKUP($J501,'Type Chart'!$C$2:$T$20,15,false)*HLOOKUP($K501,'Type Chart'!$C$2:$U$20,15,false)</f>
        <v>1</v>
      </c>
      <c r="AI501" s="960">
        <f t="array" ref="AI501">HLOOKUP($J501,'Type Chart'!$C$2:$T$20,16,false)*HLOOKUP($K501,'Type Chart'!$C$2:$U$20,16,false)</f>
        <v>0.5</v>
      </c>
      <c r="AJ501" s="960">
        <f t="array" ref="AJ501">HLOOKUP($J501,'Type Chart'!$C$2:$T$20,17,false)*HLOOKUP($K501,'Type Chart'!$C$2:$U$20,17,false)</f>
        <v>1</v>
      </c>
      <c r="AK501" s="960">
        <f t="array" ref="AK501">HLOOKUP($J501,'Type Chart'!$C$2:$T$20,18,false)*HLOOKUP($K501,'Type Chart'!$C$2:$U$20,18,false)</f>
        <v>1</v>
      </c>
      <c r="AL501" s="960">
        <f t="array" ref="AL501">HLOOKUP($J501,'Type Chart'!$C$2:$T$20,19,false)*HLOOKUP($K501,'Type Chart'!$C$2:$U$20,19,false)</f>
        <v>0.5</v>
      </c>
      <c r="AM501" s="964" t="s">
        <v>830</v>
      </c>
      <c r="AN501" s="965"/>
      <c r="AO501" s="966" t="s">
        <v>1501</v>
      </c>
      <c r="AP501" s="936"/>
      <c r="AQ501" s="967"/>
      <c r="AR501" s="968"/>
      <c r="AS501" s="936"/>
    </row>
    <row r="502" ht="15.75" customHeight="1">
      <c r="A502" s="936"/>
      <c r="B502" s="948" t="s">
        <v>2446</v>
      </c>
      <c r="C502" s="950" t="s">
        <v>2447</v>
      </c>
      <c r="D502" s="950" t="s">
        <v>2447</v>
      </c>
      <c r="E502" s="952" t="s">
        <v>2447</v>
      </c>
      <c r="F502" s="940"/>
      <c r="G502" s="953"/>
      <c r="H502" s="969"/>
      <c r="I502" s="956" t="s">
        <v>788</v>
      </c>
      <c r="J502" s="982" t="s">
        <v>150</v>
      </c>
      <c r="K502" s="1213" t="s">
        <v>341</v>
      </c>
      <c r="L502" s="959">
        <v>64.0</v>
      </c>
      <c r="M502" s="960">
        <v>78.0</v>
      </c>
      <c r="N502" s="960">
        <v>52.0</v>
      </c>
      <c r="O502" s="960">
        <v>78.0</v>
      </c>
      <c r="P502" s="960">
        <v>52.0</v>
      </c>
      <c r="Q502" s="960">
        <v>81.0</v>
      </c>
      <c r="R502" s="960">
        <v>198.0</v>
      </c>
      <c r="S502" s="960">
        <v>261.0</v>
      </c>
      <c r="T502" s="960">
        <v>287.0</v>
      </c>
      <c r="U502" s="960">
        <f t="array" ref="U502">HLOOKUP($J502,'Type Chart'!$C$2:$T$20,2,false)*HLOOKUP($K502,'Type Chart'!$C$2:$U$20,2,false)</f>
        <v>1</v>
      </c>
      <c r="V502" s="960">
        <f t="array" ref="V502">HLOOKUP($J502,'Type Chart'!$C$2:$T$20,3,false)*HLOOKUP($K502,'Type Chart'!$C$2:$U$20,3,false)</f>
        <v>1</v>
      </c>
      <c r="W502" s="960">
        <f t="array" ref="W502">HLOOKUP($J502,'Type Chart'!$C$2:$T$20,4,false)*HLOOKUP($K502,'Type Chart'!$C$2:$U$20,4,false)</f>
        <v>2</v>
      </c>
      <c r="X502" s="960">
        <f t="array" ref="X502">HLOOKUP($J502,'Type Chart'!$C$2:$T$20,5,false)*HLOOKUP($K502,'Type Chart'!$C$2:$U$20,5,false)</f>
        <v>1</v>
      </c>
      <c r="Y502" s="960">
        <f t="array" ref="Y502">HLOOKUP($J502,'Type Chart'!$C$2:$T$20,6,false)*HLOOKUP($K502,'Type Chart'!$C$2:$U$20,6,false)</f>
        <v>2</v>
      </c>
      <c r="Z502" s="960">
        <f t="array" ref="Z502">HLOOKUP($J502,'Type Chart'!$C$2:$T$20,7,false)*HLOOKUP($K502,'Type Chart'!$C$2:$U$20,7,false)</f>
        <v>1</v>
      </c>
      <c r="AA502" s="960">
        <f t="array" ref="AA502">HLOOKUP($J502,'Type Chart'!$C$2:$T$20,8,false)*HLOOKUP($K502,'Type Chart'!$C$2:$U$20,8,false)</f>
        <v>0.25</v>
      </c>
      <c r="AB502" s="960">
        <f t="array" ref="AB502">HLOOKUP($J502,'Type Chart'!$C$2:$T$20,9,false)*HLOOKUP($K502,'Type Chart'!$C$2:$U$20,9,false)</f>
        <v>1</v>
      </c>
      <c r="AC502" s="960">
        <f t="array" ref="AC502">HLOOKUP($J502,'Type Chart'!$C$2:$T$20,10,false)*HLOOKUP($K502,'Type Chart'!$C$2:$U$20,10,false)</f>
        <v>0.5</v>
      </c>
      <c r="AD502" s="960">
        <f t="array" ref="AD502">HLOOKUP($J502,'Type Chart'!$C$2:$T$20,11,false)*HLOOKUP($K502,'Type Chart'!$C$2:$U$20,11,false)</f>
        <v>0.5</v>
      </c>
      <c r="AE502" s="960">
        <f t="array" ref="AE502">HLOOKUP($J502,'Type Chart'!$C$2:$T$20,12,false)*HLOOKUP($K502,'Type Chart'!$C$2:$U$20,12,false)</f>
        <v>2</v>
      </c>
      <c r="AF502" s="960">
        <f t="array" ref="AF502">HLOOKUP($J502,'Type Chart'!$C$2:$T$20,13,false)*HLOOKUP($K502,'Type Chart'!$C$2:$U$20,13,false)</f>
        <v>0.5</v>
      </c>
      <c r="AG502" s="960">
        <f t="array" ref="AG502">HLOOKUP($J502,'Type Chart'!$C$2:$T$20,14,false)*HLOOKUP($K502,'Type Chart'!$C$2:$U$20,14,false)</f>
        <v>1</v>
      </c>
      <c r="AH502" s="960">
        <f t="array" ref="AH502">HLOOKUP($J502,'Type Chart'!$C$2:$T$20,15,false)*HLOOKUP($K502,'Type Chart'!$C$2:$U$20,15,false)</f>
        <v>2</v>
      </c>
      <c r="AI502" s="960">
        <f t="array" ref="AI502">HLOOKUP($J502,'Type Chart'!$C$2:$T$20,16,false)*HLOOKUP($K502,'Type Chart'!$C$2:$U$20,16,false)</f>
        <v>0.5</v>
      </c>
      <c r="AJ502" s="960">
        <f t="array" ref="AJ502">HLOOKUP($J502,'Type Chart'!$C$2:$T$20,17,false)*HLOOKUP($K502,'Type Chart'!$C$2:$U$20,17,false)</f>
        <v>1</v>
      </c>
      <c r="AK502" s="960">
        <f t="array" ref="AK502">HLOOKUP($J502,'Type Chart'!$C$2:$T$20,18,false)*HLOOKUP($K502,'Type Chart'!$C$2:$U$20,18,false)</f>
        <v>0.5</v>
      </c>
      <c r="AL502" s="960">
        <f t="array" ref="AL502">HLOOKUP($J502,'Type Chart'!$C$2:$T$20,19,false)*HLOOKUP($K502,'Type Chart'!$C$2:$U$20,19,false)</f>
        <v>1</v>
      </c>
      <c r="AM502" s="964" t="s">
        <v>830</v>
      </c>
      <c r="AN502" s="965"/>
      <c r="AO502" s="966" t="s">
        <v>1501</v>
      </c>
      <c r="AP502" s="936"/>
      <c r="AQ502" s="967"/>
      <c r="AR502" s="968"/>
      <c r="AS502" s="936"/>
    </row>
    <row r="503" ht="15.75" customHeight="1">
      <c r="A503" s="936"/>
      <c r="B503" s="948" t="s">
        <v>2448</v>
      </c>
      <c r="C503" s="950" t="s">
        <v>2449</v>
      </c>
      <c r="D503" s="950" t="s">
        <v>2449</v>
      </c>
      <c r="E503" s="952" t="s">
        <v>2449</v>
      </c>
      <c r="F503" s="940"/>
      <c r="G503" s="953"/>
      <c r="H503" s="969"/>
      <c r="I503" s="956" t="s">
        <v>439</v>
      </c>
      <c r="J503" s="982" t="s">
        <v>150</v>
      </c>
      <c r="K503" s="1213" t="s">
        <v>341</v>
      </c>
      <c r="L503" s="959">
        <v>76.0</v>
      </c>
      <c r="M503" s="960">
        <v>104.0</v>
      </c>
      <c r="N503" s="960">
        <v>71.0</v>
      </c>
      <c r="O503" s="960">
        <v>104.0</v>
      </c>
      <c r="P503" s="960">
        <v>71.0</v>
      </c>
      <c r="Q503" s="960">
        <v>108.0</v>
      </c>
      <c r="R503" s="960">
        <v>252.0</v>
      </c>
      <c r="S503" s="960">
        <v>315.0</v>
      </c>
      <c r="T503" s="960">
        <v>346.0</v>
      </c>
      <c r="U503" s="960">
        <f t="array" ref="U503">HLOOKUP($J503,'Type Chart'!$C$2:$T$20,2,false)*HLOOKUP($K503,'Type Chart'!$C$2:$U$20,2,false)</f>
        <v>1</v>
      </c>
      <c r="V503" s="960">
        <f t="array" ref="V503">HLOOKUP($J503,'Type Chart'!$C$2:$T$20,3,false)*HLOOKUP($K503,'Type Chart'!$C$2:$U$20,3,false)</f>
        <v>1</v>
      </c>
      <c r="W503" s="960">
        <f t="array" ref="W503">HLOOKUP($J503,'Type Chart'!$C$2:$T$20,4,false)*HLOOKUP($K503,'Type Chart'!$C$2:$U$20,4,false)</f>
        <v>2</v>
      </c>
      <c r="X503" s="960">
        <f t="array" ref="X503">HLOOKUP($J503,'Type Chart'!$C$2:$T$20,5,false)*HLOOKUP($K503,'Type Chart'!$C$2:$U$20,5,false)</f>
        <v>1</v>
      </c>
      <c r="Y503" s="960">
        <f t="array" ref="Y503">HLOOKUP($J503,'Type Chart'!$C$2:$T$20,6,false)*HLOOKUP($K503,'Type Chart'!$C$2:$U$20,6,false)</f>
        <v>2</v>
      </c>
      <c r="Z503" s="960">
        <f t="array" ref="Z503">HLOOKUP($J503,'Type Chart'!$C$2:$T$20,7,false)*HLOOKUP($K503,'Type Chart'!$C$2:$U$20,7,false)</f>
        <v>1</v>
      </c>
      <c r="AA503" s="960">
        <f t="array" ref="AA503">HLOOKUP($J503,'Type Chart'!$C$2:$T$20,8,false)*HLOOKUP($K503,'Type Chart'!$C$2:$U$20,8,false)</f>
        <v>0.25</v>
      </c>
      <c r="AB503" s="960">
        <f t="array" ref="AB503">HLOOKUP($J503,'Type Chart'!$C$2:$T$20,9,false)*HLOOKUP($K503,'Type Chart'!$C$2:$U$20,9,false)</f>
        <v>1</v>
      </c>
      <c r="AC503" s="960">
        <f t="array" ref="AC503">HLOOKUP($J503,'Type Chart'!$C$2:$T$20,10,false)*HLOOKUP($K503,'Type Chart'!$C$2:$U$20,10,false)</f>
        <v>0.5</v>
      </c>
      <c r="AD503" s="960">
        <f t="array" ref="AD503">HLOOKUP($J503,'Type Chart'!$C$2:$T$20,11,false)*HLOOKUP($K503,'Type Chart'!$C$2:$U$20,11,false)</f>
        <v>0.5</v>
      </c>
      <c r="AE503" s="960">
        <f t="array" ref="AE503">HLOOKUP($J503,'Type Chart'!$C$2:$T$20,12,false)*HLOOKUP($K503,'Type Chart'!$C$2:$U$20,12,false)</f>
        <v>2</v>
      </c>
      <c r="AF503" s="960">
        <f t="array" ref="AF503">HLOOKUP($J503,'Type Chart'!$C$2:$T$20,13,false)*HLOOKUP($K503,'Type Chart'!$C$2:$U$20,13,false)</f>
        <v>0.5</v>
      </c>
      <c r="AG503" s="960">
        <f t="array" ref="AG503">HLOOKUP($J503,'Type Chart'!$C$2:$T$20,14,false)*HLOOKUP($K503,'Type Chart'!$C$2:$U$20,14,false)</f>
        <v>1</v>
      </c>
      <c r="AH503" s="960">
        <f t="array" ref="AH503">HLOOKUP($J503,'Type Chart'!$C$2:$T$20,15,false)*HLOOKUP($K503,'Type Chart'!$C$2:$U$20,15,false)</f>
        <v>2</v>
      </c>
      <c r="AI503" s="960">
        <f t="array" ref="AI503">HLOOKUP($J503,'Type Chart'!$C$2:$T$20,16,false)*HLOOKUP($K503,'Type Chart'!$C$2:$U$20,16,false)</f>
        <v>0.5</v>
      </c>
      <c r="AJ503" s="960">
        <f t="array" ref="AJ503">HLOOKUP($J503,'Type Chart'!$C$2:$T$20,17,false)*HLOOKUP($K503,'Type Chart'!$C$2:$U$20,17,false)</f>
        <v>1</v>
      </c>
      <c r="AK503" s="960">
        <f t="array" ref="AK503">HLOOKUP($J503,'Type Chart'!$C$2:$T$20,18,false)*HLOOKUP($K503,'Type Chart'!$C$2:$U$20,18,false)</f>
        <v>0.5</v>
      </c>
      <c r="AL503" s="960">
        <f t="array" ref="AL503">HLOOKUP($J503,'Type Chart'!$C$2:$T$20,19,false)*HLOOKUP($K503,'Type Chart'!$C$2:$U$20,19,false)</f>
        <v>1</v>
      </c>
      <c r="AM503" s="964" t="s">
        <v>830</v>
      </c>
      <c r="AN503" s="965"/>
      <c r="AO503" s="966" t="s">
        <v>1501</v>
      </c>
      <c r="AP503" s="936"/>
      <c r="AQ503" s="967"/>
      <c r="AR503" s="968"/>
      <c r="AS503" s="936"/>
    </row>
    <row r="504" ht="15.75" customHeight="1">
      <c r="A504" s="936"/>
      <c r="B504" s="948" t="s">
        <v>2450</v>
      </c>
      <c r="C504" s="950" t="s">
        <v>2451</v>
      </c>
      <c r="D504" s="950" t="s">
        <v>2451</v>
      </c>
      <c r="E504" s="952" t="s">
        <v>2451</v>
      </c>
      <c r="F504" s="940"/>
      <c r="G504" s="953"/>
      <c r="H504" s="969"/>
      <c r="I504" s="956" t="s">
        <v>2452</v>
      </c>
      <c r="J504" s="1056" t="s">
        <v>81</v>
      </c>
      <c r="K504" s="984" t="s">
        <v>216</v>
      </c>
      <c r="L504" s="959">
        <v>53.0</v>
      </c>
      <c r="M504" s="960">
        <v>51.0</v>
      </c>
      <c r="N504" s="960">
        <v>53.0</v>
      </c>
      <c r="O504" s="960">
        <v>61.0</v>
      </c>
      <c r="P504" s="960">
        <v>56.0</v>
      </c>
      <c r="Q504" s="960">
        <v>40.0</v>
      </c>
      <c r="R504" s="960">
        <v>116.0</v>
      </c>
      <c r="S504" s="960">
        <v>179.0</v>
      </c>
      <c r="T504" s="960">
        <v>196.0</v>
      </c>
      <c r="U504" s="960">
        <f t="array" ref="U504">HLOOKUP($J504,'Type Chart'!$C$2:$T$20,2,false)*HLOOKUP($K504,'Type Chart'!$C$2:$U$20,2,false)</f>
        <v>1</v>
      </c>
      <c r="V504" s="960">
        <f t="array" ref="V504">HLOOKUP($J504,'Type Chart'!$C$2:$T$20,3,false)*HLOOKUP($K504,'Type Chart'!$C$2:$U$20,3,false)</f>
        <v>1</v>
      </c>
      <c r="W504" s="960">
        <f t="array" ref="W504">HLOOKUP($J504,'Type Chart'!$C$2:$T$20,4,false)*HLOOKUP($K504,'Type Chart'!$C$2:$U$20,4,false)</f>
        <v>1</v>
      </c>
      <c r="X504" s="960">
        <f t="array" ref="X504">HLOOKUP($J504,'Type Chart'!$C$2:$T$20,5,false)*HLOOKUP($K504,'Type Chart'!$C$2:$U$20,5,false)</f>
        <v>1</v>
      </c>
      <c r="Y504" s="960">
        <f t="array" ref="Y504">HLOOKUP($J504,'Type Chart'!$C$2:$T$20,6,false)*HLOOKUP($K504,'Type Chart'!$C$2:$U$20,6,false)</f>
        <v>1</v>
      </c>
      <c r="Z504" s="960">
        <f t="array" ref="Z504">HLOOKUP($J504,'Type Chart'!$C$2:$T$20,7,false)*HLOOKUP($K504,'Type Chart'!$C$2:$U$20,7,false)</f>
        <v>1</v>
      </c>
      <c r="AA504" s="960">
        <f t="array" ref="AA504">HLOOKUP($J504,'Type Chart'!$C$2:$T$20,8,false)*HLOOKUP($K504,'Type Chart'!$C$2:$U$20,8,false)</f>
        <v>1</v>
      </c>
      <c r="AB504" s="960">
        <f t="array" ref="AB504">HLOOKUP($J504,'Type Chart'!$C$2:$T$20,9,false)*HLOOKUP($K504,'Type Chart'!$C$2:$U$20,9,false)</f>
        <v>1</v>
      </c>
      <c r="AC504" s="960">
        <f t="array" ref="AC504">HLOOKUP($J504,'Type Chart'!$C$2:$T$20,10,false)*HLOOKUP($K504,'Type Chart'!$C$2:$U$20,10,false)</f>
        <v>0.5</v>
      </c>
      <c r="AD504" s="960">
        <f t="array" ref="AD504">HLOOKUP($J504,'Type Chart'!$C$2:$T$20,11,false)*HLOOKUP($K504,'Type Chart'!$C$2:$U$20,11,false)</f>
        <v>0.5</v>
      </c>
      <c r="AE504" s="960">
        <f t="array" ref="AE504">HLOOKUP($J504,'Type Chart'!$C$2:$T$20,12,false)*HLOOKUP($K504,'Type Chart'!$C$2:$U$20,12,false)</f>
        <v>0.5</v>
      </c>
      <c r="AF504" s="960">
        <f t="array" ref="AF504">HLOOKUP($J504,'Type Chart'!$C$2:$T$20,13,false)*HLOOKUP($K504,'Type Chart'!$C$2:$U$20,13,false)</f>
        <v>2</v>
      </c>
      <c r="AG504" s="960">
        <f t="array" ref="AG504">HLOOKUP($J504,'Type Chart'!$C$2:$T$20,14,false)*HLOOKUP($K504,'Type Chart'!$C$2:$U$20,14,false)</f>
        <v>2</v>
      </c>
      <c r="AH504" s="960">
        <f t="array" ref="AH504">HLOOKUP($J504,'Type Chart'!$C$2:$T$20,15,false)*HLOOKUP($K504,'Type Chart'!$C$2:$U$20,15,false)</f>
        <v>1</v>
      </c>
      <c r="AI504" s="960">
        <f t="array" ref="AI504">HLOOKUP($J504,'Type Chart'!$C$2:$T$20,16,false)*HLOOKUP($K504,'Type Chart'!$C$2:$U$20,16,false)</f>
        <v>0.5</v>
      </c>
      <c r="AJ504" s="960">
        <f t="array" ref="AJ504">HLOOKUP($J504,'Type Chart'!$C$2:$T$20,17,false)*HLOOKUP($K504,'Type Chart'!$C$2:$U$20,17,false)</f>
        <v>1</v>
      </c>
      <c r="AK504" s="960">
        <f t="array" ref="AK504">HLOOKUP($J504,'Type Chart'!$C$2:$T$20,18,false)*HLOOKUP($K504,'Type Chart'!$C$2:$U$20,18,false)</f>
        <v>1</v>
      </c>
      <c r="AL504" s="960">
        <f t="array" ref="AL504">HLOOKUP($J504,'Type Chart'!$C$2:$T$20,19,false)*HLOOKUP($K504,'Type Chart'!$C$2:$U$20,19,false)</f>
        <v>1</v>
      </c>
      <c r="AM504" s="964" t="s">
        <v>959</v>
      </c>
      <c r="AN504" s="965"/>
      <c r="AO504" s="966" t="s">
        <v>1267</v>
      </c>
      <c r="AP504" s="936"/>
      <c r="AQ504" s="967"/>
      <c r="AR504" s="968"/>
      <c r="AS504" s="936"/>
    </row>
    <row r="505" ht="15.75" customHeight="1">
      <c r="A505" s="936"/>
      <c r="B505" s="948" t="s">
        <v>2453</v>
      </c>
      <c r="C505" s="950" t="s">
        <v>2454</v>
      </c>
      <c r="D505" s="950" t="s">
        <v>2454</v>
      </c>
      <c r="E505" s="952" t="s">
        <v>2454</v>
      </c>
      <c r="F505" s="940"/>
      <c r="G505" s="953"/>
      <c r="H505" s="969"/>
      <c r="I505" s="956" t="s">
        <v>789</v>
      </c>
      <c r="J505" s="1056" t="s">
        <v>81</v>
      </c>
      <c r="K505" s="984" t="s">
        <v>216</v>
      </c>
      <c r="L505" s="959">
        <v>64.0</v>
      </c>
      <c r="M505" s="960">
        <v>66.0</v>
      </c>
      <c r="N505" s="960">
        <v>68.0</v>
      </c>
      <c r="O505" s="960">
        <v>81.0</v>
      </c>
      <c r="P505" s="960">
        <v>76.0</v>
      </c>
      <c r="Q505" s="960">
        <v>50.0</v>
      </c>
      <c r="R505" s="960">
        <v>136.0</v>
      </c>
      <c r="S505" s="960">
        <v>199.0</v>
      </c>
      <c r="T505" s="960">
        <v>218.0</v>
      </c>
      <c r="U505" s="960">
        <f t="array" ref="U505">HLOOKUP($J505,'Type Chart'!$C$2:$T$20,2,false)*HLOOKUP($K505,'Type Chart'!$C$2:$U$20,2,false)</f>
        <v>1</v>
      </c>
      <c r="V505" s="960">
        <f t="array" ref="V505">HLOOKUP($J505,'Type Chart'!$C$2:$T$20,3,false)*HLOOKUP($K505,'Type Chart'!$C$2:$U$20,3,false)</f>
        <v>1</v>
      </c>
      <c r="W505" s="960">
        <f t="array" ref="W505">HLOOKUP($J505,'Type Chart'!$C$2:$T$20,4,false)*HLOOKUP($K505,'Type Chart'!$C$2:$U$20,4,false)</f>
        <v>1</v>
      </c>
      <c r="X505" s="960">
        <f t="array" ref="X505">HLOOKUP($J505,'Type Chart'!$C$2:$T$20,5,false)*HLOOKUP($K505,'Type Chart'!$C$2:$U$20,5,false)</f>
        <v>1</v>
      </c>
      <c r="Y505" s="960">
        <f t="array" ref="Y505">HLOOKUP($J505,'Type Chart'!$C$2:$T$20,6,false)*HLOOKUP($K505,'Type Chart'!$C$2:$U$20,6,false)</f>
        <v>1</v>
      </c>
      <c r="Z505" s="960">
        <f t="array" ref="Z505">HLOOKUP($J505,'Type Chart'!$C$2:$T$20,7,false)*HLOOKUP($K505,'Type Chart'!$C$2:$U$20,7,false)</f>
        <v>1</v>
      </c>
      <c r="AA505" s="960">
        <f t="array" ref="AA505">HLOOKUP($J505,'Type Chart'!$C$2:$T$20,8,false)*HLOOKUP($K505,'Type Chart'!$C$2:$U$20,8,false)</f>
        <v>1</v>
      </c>
      <c r="AB505" s="960">
        <f t="array" ref="AB505">HLOOKUP($J505,'Type Chart'!$C$2:$T$20,9,false)*HLOOKUP($K505,'Type Chart'!$C$2:$U$20,9,false)</f>
        <v>1</v>
      </c>
      <c r="AC505" s="960">
        <f t="array" ref="AC505">HLOOKUP($J505,'Type Chart'!$C$2:$T$20,10,false)*HLOOKUP($K505,'Type Chart'!$C$2:$U$20,10,false)</f>
        <v>0.5</v>
      </c>
      <c r="AD505" s="960">
        <f t="array" ref="AD505">HLOOKUP($J505,'Type Chart'!$C$2:$T$20,11,false)*HLOOKUP($K505,'Type Chart'!$C$2:$U$20,11,false)</f>
        <v>0.5</v>
      </c>
      <c r="AE505" s="960">
        <f t="array" ref="AE505">HLOOKUP($J505,'Type Chart'!$C$2:$T$20,12,false)*HLOOKUP($K505,'Type Chart'!$C$2:$U$20,12,false)</f>
        <v>0.5</v>
      </c>
      <c r="AF505" s="960">
        <f t="array" ref="AF505">HLOOKUP($J505,'Type Chart'!$C$2:$T$20,13,false)*HLOOKUP($K505,'Type Chart'!$C$2:$U$20,13,false)</f>
        <v>2</v>
      </c>
      <c r="AG505" s="960">
        <f t="array" ref="AG505">HLOOKUP($J505,'Type Chart'!$C$2:$T$20,14,false)*HLOOKUP($K505,'Type Chart'!$C$2:$U$20,14,false)</f>
        <v>2</v>
      </c>
      <c r="AH505" s="960">
        <f t="array" ref="AH505">HLOOKUP($J505,'Type Chart'!$C$2:$T$20,15,false)*HLOOKUP($K505,'Type Chart'!$C$2:$U$20,15,false)</f>
        <v>1</v>
      </c>
      <c r="AI505" s="960">
        <f t="array" ref="AI505">HLOOKUP($J505,'Type Chart'!$C$2:$T$20,16,false)*HLOOKUP($K505,'Type Chart'!$C$2:$U$20,16,false)</f>
        <v>0.5</v>
      </c>
      <c r="AJ505" s="960">
        <f t="array" ref="AJ505">HLOOKUP($J505,'Type Chart'!$C$2:$T$20,17,false)*HLOOKUP($K505,'Type Chart'!$C$2:$U$20,17,false)</f>
        <v>1</v>
      </c>
      <c r="AK505" s="960">
        <f t="array" ref="AK505">HLOOKUP($J505,'Type Chart'!$C$2:$T$20,18,false)*HLOOKUP($K505,'Type Chart'!$C$2:$U$20,18,false)</f>
        <v>1</v>
      </c>
      <c r="AL505" s="960">
        <f t="array" ref="AL505">HLOOKUP($J505,'Type Chart'!$C$2:$T$20,19,false)*HLOOKUP($K505,'Type Chart'!$C$2:$U$20,19,false)</f>
        <v>1</v>
      </c>
      <c r="AM505" s="964" t="s">
        <v>959</v>
      </c>
      <c r="AN505" s="965"/>
      <c r="AO505" s="966" t="s">
        <v>1267</v>
      </c>
      <c r="AP505" s="936"/>
      <c r="AQ505" s="967"/>
      <c r="AR505" s="968"/>
      <c r="AS505" s="936"/>
    </row>
    <row r="506" ht="15.75" customHeight="1">
      <c r="A506" s="936"/>
      <c r="B506" s="948" t="s">
        <v>2455</v>
      </c>
      <c r="C506" s="950" t="s">
        <v>2456</v>
      </c>
      <c r="D506" s="950" t="s">
        <v>2456</v>
      </c>
      <c r="E506" s="952" t="s">
        <v>2456</v>
      </c>
      <c r="F506" s="940"/>
      <c r="G506" s="953"/>
      <c r="H506" s="969"/>
      <c r="I506" s="956" t="s">
        <v>518</v>
      </c>
      <c r="J506" s="1056" t="s">
        <v>81</v>
      </c>
      <c r="K506" s="1206" t="s">
        <v>82</v>
      </c>
      <c r="L506" s="959">
        <v>84.0</v>
      </c>
      <c r="M506" s="960">
        <v>86.0</v>
      </c>
      <c r="N506" s="960">
        <v>88.0</v>
      </c>
      <c r="O506" s="960">
        <v>111.0</v>
      </c>
      <c r="P506" s="960">
        <v>101.0</v>
      </c>
      <c r="Q506" s="960">
        <v>60.0</v>
      </c>
      <c r="R506" s="960">
        <v>156.0</v>
      </c>
      <c r="S506" s="960">
        <v>219.0</v>
      </c>
      <c r="T506" s="960">
        <v>240.0</v>
      </c>
      <c r="U506" s="960">
        <f t="array" ref="U506">HLOOKUP($J506,'Type Chart'!$C$2:$T$20,2,false)*HLOOKUP($K506,'Type Chart'!$C$2:$U$20,2,false)</f>
        <v>0.5</v>
      </c>
      <c r="V506" s="960">
        <f t="array" ref="V506">HLOOKUP($J506,'Type Chart'!$C$2:$T$20,3,false)*HLOOKUP($K506,'Type Chart'!$C$2:$U$20,3,false)</f>
        <v>2</v>
      </c>
      <c r="W506" s="960">
        <f t="array" ref="W506">HLOOKUP($J506,'Type Chart'!$C$2:$T$20,4,false)*HLOOKUP($K506,'Type Chart'!$C$2:$U$20,4,false)</f>
        <v>0.5</v>
      </c>
      <c r="X506" s="960">
        <f t="array" ref="X506">HLOOKUP($J506,'Type Chart'!$C$2:$T$20,5,false)*HLOOKUP($K506,'Type Chart'!$C$2:$U$20,5,false)</f>
        <v>0</v>
      </c>
      <c r="Y506" s="960">
        <f t="array" ref="Y506">HLOOKUP($J506,'Type Chart'!$C$2:$T$20,6,false)*HLOOKUP($K506,'Type Chart'!$C$2:$U$20,6,false)</f>
        <v>2</v>
      </c>
      <c r="Z506" s="960">
        <f t="array" ref="Z506">HLOOKUP($J506,'Type Chart'!$C$2:$T$20,7,false)*HLOOKUP($K506,'Type Chart'!$C$2:$U$20,7,false)</f>
        <v>0.5</v>
      </c>
      <c r="AA506" s="960">
        <f t="array" ref="AA506">HLOOKUP($J506,'Type Chart'!$C$2:$T$20,8,false)*HLOOKUP($K506,'Type Chart'!$C$2:$U$20,8,false)</f>
        <v>0.5</v>
      </c>
      <c r="AB506" s="960">
        <f t="array" ref="AB506">HLOOKUP($J506,'Type Chart'!$C$2:$T$20,9,false)*HLOOKUP($K506,'Type Chart'!$C$2:$U$20,9,false)</f>
        <v>1</v>
      </c>
      <c r="AC506" s="960">
        <f t="array" ref="AC506">HLOOKUP($J506,'Type Chart'!$C$2:$T$20,10,false)*HLOOKUP($K506,'Type Chart'!$C$2:$U$20,10,false)</f>
        <v>0.25</v>
      </c>
      <c r="AD506" s="960">
        <f t="array" ref="AD506">HLOOKUP($J506,'Type Chart'!$C$2:$T$20,11,false)*HLOOKUP($K506,'Type Chart'!$C$2:$U$20,11,false)</f>
        <v>1</v>
      </c>
      <c r="AE506" s="960">
        <f t="array" ref="AE506">HLOOKUP($J506,'Type Chart'!$C$2:$T$20,12,false)*HLOOKUP($K506,'Type Chart'!$C$2:$U$20,12,false)</f>
        <v>0.5</v>
      </c>
      <c r="AF506" s="960">
        <f t="array" ref="AF506">HLOOKUP($J506,'Type Chart'!$C$2:$T$20,13,false)*HLOOKUP($K506,'Type Chart'!$C$2:$U$20,13,false)</f>
        <v>1</v>
      </c>
      <c r="AG506" s="960">
        <f t="array" ref="AG506">HLOOKUP($J506,'Type Chart'!$C$2:$T$20,14,false)*HLOOKUP($K506,'Type Chart'!$C$2:$U$20,14,false)</f>
        <v>2</v>
      </c>
      <c r="AH506" s="960">
        <f t="array" ref="AH506">HLOOKUP($J506,'Type Chart'!$C$2:$T$20,15,false)*HLOOKUP($K506,'Type Chart'!$C$2:$U$20,15,false)</f>
        <v>0.5</v>
      </c>
      <c r="AI506" s="960">
        <f t="array" ref="AI506">HLOOKUP($J506,'Type Chart'!$C$2:$T$20,16,false)*HLOOKUP($K506,'Type Chart'!$C$2:$U$20,16,false)</f>
        <v>0.25</v>
      </c>
      <c r="AJ506" s="960">
        <f t="array" ref="AJ506">HLOOKUP($J506,'Type Chart'!$C$2:$T$20,17,false)*HLOOKUP($K506,'Type Chart'!$C$2:$U$20,17,false)</f>
        <v>0.5</v>
      </c>
      <c r="AK506" s="960">
        <f t="array" ref="AK506">HLOOKUP($J506,'Type Chart'!$C$2:$T$20,18,false)*HLOOKUP($K506,'Type Chart'!$C$2:$U$20,18,false)</f>
        <v>1</v>
      </c>
      <c r="AL506" s="960">
        <f t="array" ref="AL506">HLOOKUP($J506,'Type Chart'!$C$2:$T$20,19,false)*HLOOKUP($K506,'Type Chart'!$C$2:$U$20,19,false)</f>
        <v>0.5</v>
      </c>
      <c r="AM506" s="964" t="s">
        <v>959</v>
      </c>
      <c r="AN506" s="965"/>
      <c r="AO506" s="966" t="s">
        <v>1267</v>
      </c>
      <c r="AP506" s="936"/>
      <c r="AQ506" s="967"/>
      <c r="AR506" s="968"/>
      <c r="AS506" s="936"/>
    </row>
    <row r="507" ht="15.75" customHeight="1">
      <c r="A507" s="936"/>
      <c r="B507" s="948" t="s">
        <v>2457</v>
      </c>
      <c r="C507" s="950" t="s">
        <v>2458</v>
      </c>
      <c r="D507" s="950" t="s">
        <v>2458</v>
      </c>
      <c r="E507" s="952" t="s">
        <v>2458</v>
      </c>
      <c r="F507" s="940"/>
      <c r="G507" s="953"/>
      <c r="H507" s="969"/>
      <c r="I507" s="956" t="s">
        <v>2459</v>
      </c>
      <c r="J507" s="1194" t="s">
        <v>136</v>
      </c>
      <c r="K507" s="1001" t="s">
        <v>128</v>
      </c>
      <c r="L507" s="959">
        <v>40.0</v>
      </c>
      <c r="M507" s="960">
        <v>55.0</v>
      </c>
      <c r="N507" s="960">
        <v>30.0</v>
      </c>
      <c r="O507" s="960">
        <v>30.0</v>
      </c>
      <c r="P507" s="960">
        <v>30.0</v>
      </c>
      <c r="Q507" s="960">
        <v>60.0</v>
      </c>
      <c r="R507" s="960">
        <v>156.0</v>
      </c>
      <c r="S507" s="960">
        <v>219.0</v>
      </c>
      <c r="T507" s="960">
        <v>240.0</v>
      </c>
      <c r="U507" s="960">
        <f t="array" ref="U507">HLOOKUP($J507,'Type Chart'!$C$2:$T$20,2,false)*HLOOKUP($K507,'Type Chart'!$C$2:$U$20,2,false)</f>
        <v>1</v>
      </c>
      <c r="V507" s="960">
        <f t="array" ref="V507">HLOOKUP($J507,'Type Chart'!$C$2:$T$20,3,false)*HLOOKUP($K507,'Type Chart'!$C$2:$U$20,3,false)</f>
        <v>1</v>
      </c>
      <c r="W507" s="960">
        <f t="array" ref="W507">HLOOKUP($J507,'Type Chart'!$C$2:$T$20,4,false)*HLOOKUP($K507,'Type Chart'!$C$2:$U$20,4,false)</f>
        <v>1</v>
      </c>
      <c r="X507" s="960">
        <f t="array" ref="X507">HLOOKUP($J507,'Type Chart'!$C$2:$T$20,5,false)*HLOOKUP($K507,'Type Chart'!$C$2:$U$20,5,false)</f>
        <v>1</v>
      </c>
      <c r="Y507" s="960">
        <f t="array" ref="Y507">HLOOKUP($J507,'Type Chart'!$C$2:$T$20,6,false)*HLOOKUP($K507,'Type Chart'!$C$2:$U$20,6,false)</f>
        <v>0</v>
      </c>
      <c r="Z507" s="960">
        <f t="array" ref="Z507">HLOOKUP($J507,'Type Chart'!$C$2:$T$20,7,false)*HLOOKUP($K507,'Type Chart'!$C$2:$U$20,7,false)</f>
        <v>2</v>
      </c>
      <c r="AA507" s="960">
        <f t="array" ref="AA507">HLOOKUP($J507,'Type Chart'!$C$2:$T$20,8,false)*HLOOKUP($K507,'Type Chart'!$C$2:$U$20,8,false)</f>
        <v>0.5</v>
      </c>
      <c r="AB507" s="960">
        <f t="array" ref="AB507">HLOOKUP($J507,'Type Chart'!$C$2:$T$20,9,false)*HLOOKUP($K507,'Type Chart'!$C$2:$U$20,9,false)</f>
        <v>0</v>
      </c>
      <c r="AC507" s="960">
        <f t="array" ref="AC507">HLOOKUP($J507,'Type Chart'!$C$2:$T$20,10,false)*HLOOKUP($K507,'Type Chart'!$C$2:$U$20,10,false)</f>
        <v>1</v>
      </c>
      <c r="AD507" s="960">
        <f t="array" ref="AD507">HLOOKUP($J507,'Type Chart'!$C$2:$T$20,11,false)*HLOOKUP($K507,'Type Chart'!$C$2:$U$20,11,false)</f>
        <v>1</v>
      </c>
      <c r="AE507" s="960">
        <f t="array" ref="AE507">HLOOKUP($J507,'Type Chart'!$C$2:$T$20,12,false)*HLOOKUP($K507,'Type Chart'!$C$2:$U$20,12,false)</f>
        <v>1</v>
      </c>
      <c r="AF507" s="960">
        <f t="array" ref="AF507">HLOOKUP($J507,'Type Chart'!$C$2:$T$20,13,false)*HLOOKUP($K507,'Type Chart'!$C$2:$U$20,13,false)</f>
        <v>0.5</v>
      </c>
      <c r="AG507" s="960">
        <f t="array" ref="AG507">HLOOKUP($J507,'Type Chart'!$C$2:$T$20,14,false)*HLOOKUP($K507,'Type Chart'!$C$2:$U$20,14,false)</f>
        <v>2</v>
      </c>
      <c r="AH507" s="960">
        <f t="array" ref="AH507">HLOOKUP($J507,'Type Chart'!$C$2:$T$20,15,false)*HLOOKUP($K507,'Type Chart'!$C$2:$U$20,15,false)</f>
        <v>1</v>
      </c>
      <c r="AI507" s="960">
        <f t="array" ref="AI507">HLOOKUP($J507,'Type Chart'!$C$2:$T$20,16,false)*HLOOKUP($K507,'Type Chart'!$C$2:$U$20,16,false)</f>
        <v>2</v>
      </c>
      <c r="AJ507" s="960">
        <f t="array" ref="AJ507">HLOOKUP($J507,'Type Chart'!$C$2:$T$20,17,false)*HLOOKUP($K507,'Type Chart'!$C$2:$U$20,17,false)</f>
        <v>1</v>
      </c>
      <c r="AK507" s="960">
        <f t="array" ref="AK507">HLOOKUP($J507,'Type Chart'!$C$2:$T$20,18,false)*HLOOKUP($K507,'Type Chart'!$C$2:$U$20,18,false)</f>
        <v>1</v>
      </c>
      <c r="AL507" s="960">
        <f t="array" ref="AL507">HLOOKUP($J507,'Type Chart'!$C$2:$T$20,19,false)*HLOOKUP($K507,'Type Chart'!$C$2:$U$20,19,false)</f>
        <v>1</v>
      </c>
      <c r="AM507" s="964" t="s">
        <v>1022</v>
      </c>
      <c r="AN507" s="965"/>
      <c r="AO507" s="966" t="s">
        <v>1497</v>
      </c>
      <c r="AP507" s="936"/>
      <c r="AQ507" s="967"/>
      <c r="AR507" s="968"/>
      <c r="AS507" s="936"/>
    </row>
    <row r="508" ht="15.75" customHeight="1">
      <c r="A508" s="1099"/>
      <c r="B508" s="948" t="s">
        <v>2460</v>
      </c>
      <c r="C508" s="1197" t="s">
        <v>2461</v>
      </c>
      <c r="D508" s="1197" t="s">
        <v>2461</v>
      </c>
      <c r="E508" s="1147" t="s">
        <v>2461</v>
      </c>
      <c r="F508" s="940"/>
      <c r="G508" s="953"/>
      <c r="H508" s="969"/>
      <c r="I508" s="998" t="s">
        <v>867</v>
      </c>
      <c r="J508" s="1216" t="s">
        <v>136</v>
      </c>
      <c r="K508" s="1210" t="s">
        <v>128</v>
      </c>
      <c r="L508" s="1200">
        <v>55.0</v>
      </c>
      <c r="M508" s="1201">
        <v>75.0</v>
      </c>
      <c r="N508" s="1201">
        <v>50.0</v>
      </c>
      <c r="O508" s="1201">
        <v>40.0</v>
      </c>
      <c r="P508" s="1201">
        <v>40.0</v>
      </c>
      <c r="Q508" s="1201">
        <v>80.0</v>
      </c>
      <c r="R508" s="960">
        <v>196.0</v>
      </c>
      <c r="S508" s="960">
        <v>259.0</v>
      </c>
      <c r="T508" s="960">
        <v>284.0</v>
      </c>
      <c r="U508" s="960">
        <f t="array" ref="U508">HLOOKUP($J508,'Type Chart'!$C$2:$T$20,2,false)*HLOOKUP($K508,'Type Chart'!$C$2:$U$20,2,false)</f>
        <v>1</v>
      </c>
      <c r="V508" s="960">
        <f t="array" ref="V508">HLOOKUP($J508,'Type Chart'!$C$2:$T$20,3,false)*HLOOKUP($K508,'Type Chart'!$C$2:$U$20,3,false)</f>
        <v>1</v>
      </c>
      <c r="W508" s="960">
        <f t="array" ref="W508">HLOOKUP($J508,'Type Chart'!$C$2:$T$20,4,false)*HLOOKUP($K508,'Type Chart'!$C$2:$U$20,4,false)</f>
        <v>1</v>
      </c>
      <c r="X508" s="960">
        <f t="array" ref="X508">HLOOKUP($J508,'Type Chart'!$C$2:$T$20,5,false)*HLOOKUP($K508,'Type Chart'!$C$2:$U$20,5,false)</f>
        <v>1</v>
      </c>
      <c r="Y508" s="960">
        <f t="array" ref="Y508">HLOOKUP($J508,'Type Chart'!$C$2:$T$20,6,false)*HLOOKUP($K508,'Type Chart'!$C$2:$U$20,6,false)</f>
        <v>0</v>
      </c>
      <c r="Z508" s="960">
        <f t="array" ref="Z508">HLOOKUP($J508,'Type Chart'!$C$2:$T$20,7,false)*HLOOKUP($K508,'Type Chart'!$C$2:$U$20,7,false)</f>
        <v>2</v>
      </c>
      <c r="AA508" s="960">
        <f t="array" ref="AA508">HLOOKUP($J508,'Type Chart'!$C$2:$T$20,8,false)*HLOOKUP($K508,'Type Chart'!$C$2:$U$20,8,false)</f>
        <v>0.5</v>
      </c>
      <c r="AB508" s="960">
        <f t="array" ref="AB508">HLOOKUP($J508,'Type Chart'!$C$2:$T$20,9,false)*HLOOKUP($K508,'Type Chart'!$C$2:$U$20,9,false)</f>
        <v>0</v>
      </c>
      <c r="AC508" s="960">
        <f t="array" ref="AC508">HLOOKUP($J508,'Type Chart'!$C$2:$T$20,10,false)*HLOOKUP($K508,'Type Chart'!$C$2:$U$20,10,false)</f>
        <v>1</v>
      </c>
      <c r="AD508" s="960">
        <f t="array" ref="AD508">HLOOKUP($J508,'Type Chart'!$C$2:$T$20,11,false)*HLOOKUP($K508,'Type Chart'!$C$2:$U$20,11,false)</f>
        <v>1</v>
      </c>
      <c r="AE508" s="960">
        <f t="array" ref="AE508">HLOOKUP($J508,'Type Chart'!$C$2:$T$20,12,false)*HLOOKUP($K508,'Type Chart'!$C$2:$U$20,12,false)</f>
        <v>1</v>
      </c>
      <c r="AF508" s="960">
        <f t="array" ref="AF508">HLOOKUP($J508,'Type Chart'!$C$2:$T$20,13,false)*HLOOKUP($K508,'Type Chart'!$C$2:$U$20,13,false)</f>
        <v>0.5</v>
      </c>
      <c r="AG508" s="960">
        <f t="array" ref="AG508">HLOOKUP($J508,'Type Chart'!$C$2:$T$20,14,false)*HLOOKUP($K508,'Type Chart'!$C$2:$U$20,14,false)</f>
        <v>2</v>
      </c>
      <c r="AH508" s="960">
        <f t="array" ref="AH508">HLOOKUP($J508,'Type Chart'!$C$2:$T$20,15,false)*HLOOKUP($K508,'Type Chart'!$C$2:$U$20,15,false)</f>
        <v>1</v>
      </c>
      <c r="AI508" s="960">
        <f t="array" ref="AI508">HLOOKUP($J508,'Type Chart'!$C$2:$T$20,16,false)*HLOOKUP($K508,'Type Chart'!$C$2:$U$20,16,false)</f>
        <v>2</v>
      </c>
      <c r="AJ508" s="960">
        <f t="array" ref="AJ508">HLOOKUP($J508,'Type Chart'!$C$2:$T$20,17,false)*HLOOKUP($K508,'Type Chart'!$C$2:$U$20,17,false)</f>
        <v>1</v>
      </c>
      <c r="AK508" s="960">
        <f t="array" ref="AK508">HLOOKUP($J508,'Type Chart'!$C$2:$T$20,18,false)*HLOOKUP($K508,'Type Chart'!$C$2:$U$20,18,false)</f>
        <v>1</v>
      </c>
      <c r="AL508" s="960">
        <f t="array" ref="AL508">HLOOKUP($J508,'Type Chart'!$C$2:$T$20,19,false)*HLOOKUP($K508,'Type Chart'!$C$2:$U$20,19,false)</f>
        <v>1</v>
      </c>
      <c r="AM508" s="1145" t="s">
        <v>1061</v>
      </c>
      <c r="AN508" s="965"/>
      <c r="AO508" s="1146" t="s">
        <v>1497</v>
      </c>
      <c r="AP508" s="936"/>
      <c r="AQ508" s="967"/>
      <c r="AR508" s="968"/>
      <c r="AS508" s="936"/>
    </row>
    <row r="509" ht="15.75" customHeight="1">
      <c r="A509" s="936"/>
      <c r="B509" s="948" t="s">
        <v>2462</v>
      </c>
      <c r="C509" s="950" t="s">
        <v>2463</v>
      </c>
      <c r="D509" s="950" t="s">
        <v>2463</v>
      </c>
      <c r="E509" s="952" t="s">
        <v>2463</v>
      </c>
      <c r="F509" s="940"/>
      <c r="G509" s="953"/>
      <c r="H509" s="969"/>
      <c r="I509" s="956" t="s">
        <v>631</v>
      </c>
      <c r="J509" s="1194" t="s">
        <v>136</v>
      </c>
      <c r="K509" s="1001" t="s">
        <v>128</v>
      </c>
      <c r="L509" s="959">
        <v>85.0</v>
      </c>
      <c r="M509" s="960">
        <v>120.0</v>
      </c>
      <c r="N509" s="960">
        <v>70.0</v>
      </c>
      <c r="O509" s="960">
        <v>50.0</v>
      </c>
      <c r="P509" s="960">
        <v>60.0</v>
      </c>
      <c r="Q509" s="960">
        <v>100.0</v>
      </c>
      <c r="R509" s="960">
        <v>236.0</v>
      </c>
      <c r="S509" s="960">
        <v>299.0</v>
      </c>
      <c r="T509" s="960">
        <v>328.0</v>
      </c>
      <c r="U509" s="960">
        <f t="array" ref="U509">HLOOKUP($J509,'Type Chart'!$C$2:$T$20,2,false)*HLOOKUP($K509,'Type Chart'!$C$2:$U$20,2,false)</f>
        <v>1</v>
      </c>
      <c r="V509" s="960">
        <f t="array" ref="V509">HLOOKUP($J509,'Type Chart'!$C$2:$T$20,3,false)*HLOOKUP($K509,'Type Chart'!$C$2:$U$20,3,false)</f>
        <v>1</v>
      </c>
      <c r="W509" s="960">
        <f t="array" ref="W509">HLOOKUP($J509,'Type Chart'!$C$2:$T$20,4,false)*HLOOKUP($K509,'Type Chart'!$C$2:$U$20,4,false)</f>
        <v>1</v>
      </c>
      <c r="X509" s="960">
        <f t="array" ref="X509">HLOOKUP($J509,'Type Chart'!$C$2:$T$20,5,false)*HLOOKUP($K509,'Type Chart'!$C$2:$U$20,5,false)</f>
        <v>1</v>
      </c>
      <c r="Y509" s="960">
        <f t="array" ref="Y509">HLOOKUP($J509,'Type Chart'!$C$2:$T$20,6,false)*HLOOKUP($K509,'Type Chart'!$C$2:$U$20,6,false)</f>
        <v>0</v>
      </c>
      <c r="Z509" s="960">
        <f t="array" ref="Z509">HLOOKUP($J509,'Type Chart'!$C$2:$T$20,7,false)*HLOOKUP($K509,'Type Chart'!$C$2:$U$20,7,false)</f>
        <v>2</v>
      </c>
      <c r="AA509" s="960">
        <f t="array" ref="AA509">HLOOKUP($J509,'Type Chart'!$C$2:$T$20,8,false)*HLOOKUP($K509,'Type Chart'!$C$2:$U$20,8,false)</f>
        <v>0.5</v>
      </c>
      <c r="AB509" s="960">
        <f t="array" ref="AB509">HLOOKUP($J509,'Type Chart'!$C$2:$T$20,9,false)*HLOOKUP($K509,'Type Chart'!$C$2:$U$20,9,false)</f>
        <v>0</v>
      </c>
      <c r="AC509" s="960">
        <f t="array" ref="AC509">HLOOKUP($J509,'Type Chart'!$C$2:$T$20,10,false)*HLOOKUP($K509,'Type Chart'!$C$2:$U$20,10,false)</f>
        <v>1</v>
      </c>
      <c r="AD509" s="960">
        <f t="array" ref="AD509">HLOOKUP($J509,'Type Chart'!$C$2:$T$20,11,false)*HLOOKUP($K509,'Type Chart'!$C$2:$U$20,11,false)</f>
        <v>1</v>
      </c>
      <c r="AE509" s="960">
        <f t="array" ref="AE509">HLOOKUP($J509,'Type Chart'!$C$2:$T$20,12,false)*HLOOKUP($K509,'Type Chart'!$C$2:$U$20,12,false)</f>
        <v>1</v>
      </c>
      <c r="AF509" s="960">
        <f t="array" ref="AF509">HLOOKUP($J509,'Type Chart'!$C$2:$T$20,13,false)*HLOOKUP($K509,'Type Chart'!$C$2:$U$20,13,false)</f>
        <v>0.5</v>
      </c>
      <c r="AG509" s="960">
        <f t="array" ref="AG509">HLOOKUP($J509,'Type Chart'!$C$2:$T$20,14,false)*HLOOKUP($K509,'Type Chart'!$C$2:$U$20,14,false)</f>
        <v>2</v>
      </c>
      <c r="AH509" s="960">
        <f t="array" ref="AH509">HLOOKUP($J509,'Type Chart'!$C$2:$T$20,15,false)*HLOOKUP($K509,'Type Chart'!$C$2:$U$20,15,false)</f>
        <v>1</v>
      </c>
      <c r="AI509" s="960">
        <f t="array" ref="AI509">HLOOKUP($J509,'Type Chart'!$C$2:$T$20,16,false)*HLOOKUP($K509,'Type Chart'!$C$2:$U$20,16,false)</f>
        <v>2</v>
      </c>
      <c r="AJ509" s="960">
        <f t="array" ref="AJ509">HLOOKUP($J509,'Type Chart'!$C$2:$T$20,17,false)*HLOOKUP($K509,'Type Chart'!$C$2:$U$20,17,false)</f>
        <v>1</v>
      </c>
      <c r="AK509" s="960">
        <f t="array" ref="AK509">HLOOKUP($J509,'Type Chart'!$C$2:$T$20,18,false)*HLOOKUP($K509,'Type Chart'!$C$2:$U$20,18,false)</f>
        <v>1</v>
      </c>
      <c r="AL509" s="960">
        <f t="array" ref="AL509">HLOOKUP($J509,'Type Chart'!$C$2:$T$20,19,false)*HLOOKUP($K509,'Type Chart'!$C$2:$U$20,19,false)</f>
        <v>1</v>
      </c>
      <c r="AM509" s="964" t="s">
        <v>1061</v>
      </c>
      <c r="AN509" s="965"/>
      <c r="AO509" s="966" t="s">
        <v>1497</v>
      </c>
      <c r="AP509" s="936"/>
      <c r="AQ509" s="967"/>
      <c r="AR509" s="968"/>
      <c r="AS509" s="936"/>
    </row>
    <row r="510" ht="15.75" customHeight="1">
      <c r="A510" s="936"/>
      <c r="B510" s="948" t="s">
        <v>2464</v>
      </c>
      <c r="C510" s="950" t="s">
        <v>2465</v>
      </c>
      <c r="D510" s="950" t="s">
        <v>2465</v>
      </c>
      <c r="E510" s="952" t="s">
        <v>2465</v>
      </c>
      <c r="F510" s="940"/>
      <c r="G510" s="953"/>
      <c r="H510" s="969"/>
      <c r="I510" s="956" t="s">
        <v>2466</v>
      </c>
      <c r="J510" s="1194" t="s">
        <v>136</v>
      </c>
      <c r="K510" s="984" t="s">
        <v>216</v>
      </c>
      <c r="L510" s="959">
        <v>59.0</v>
      </c>
      <c r="M510" s="960">
        <v>45.0</v>
      </c>
      <c r="N510" s="960">
        <v>40.0</v>
      </c>
      <c r="O510" s="960">
        <v>35.0</v>
      </c>
      <c r="P510" s="960">
        <v>40.0</v>
      </c>
      <c r="Q510" s="960">
        <v>31.0</v>
      </c>
      <c r="R510" s="960">
        <v>98.0</v>
      </c>
      <c r="S510" s="960">
        <v>161.0</v>
      </c>
      <c r="T510" s="960">
        <v>177.0</v>
      </c>
      <c r="U510" s="960">
        <f t="array" ref="U510">HLOOKUP($J510,'Type Chart'!$C$2:$T$20,2,false)*HLOOKUP($K510,'Type Chart'!$C$2:$U$20,2,false)</f>
        <v>1</v>
      </c>
      <c r="V510" s="960">
        <f t="array" ref="V510">HLOOKUP($J510,'Type Chart'!$C$2:$T$20,3,false)*HLOOKUP($K510,'Type Chart'!$C$2:$U$20,3,false)</f>
        <v>2</v>
      </c>
      <c r="W510" s="960">
        <f t="array" ref="W510">HLOOKUP($J510,'Type Chart'!$C$2:$T$20,4,false)*HLOOKUP($K510,'Type Chart'!$C$2:$U$20,4,false)</f>
        <v>1</v>
      </c>
      <c r="X510" s="960">
        <f t="array" ref="X510">HLOOKUP($J510,'Type Chart'!$C$2:$T$20,5,false)*HLOOKUP($K510,'Type Chart'!$C$2:$U$20,5,false)</f>
        <v>1</v>
      </c>
      <c r="Y510" s="960">
        <f t="array" ref="Y510">HLOOKUP($J510,'Type Chart'!$C$2:$T$20,6,false)*HLOOKUP($K510,'Type Chart'!$C$2:$U$20,6,false)</f>
        <v>1</v>
      </c>
      <c r="Z510" s="960">
        <f t="array" ref="Z510">HLOOKUP($J510,'Type Chart'!$C$2:$T$20,7,false)*HLOOKUP($K510,'Type Chart'!$C$2:$U$20,7,false)</f>
        <v>1</v>
      </c>
      <c r="AA510" s="960">
        <f t="array" ref="AA510">HLOOKUP($J510,'Type Chart'!$C$2:$T$20,8,false)*HLOOKUP($K510,'Type Chart'!$C$2:$U$20,8,false)</f>
        <v>1</v>
      </c>
      <c r="AB510" s="960">
        <f t="array" ref="AB510">HLOOKUP($J510,'Type Chart'!$C$2:$T$20,9,false)*HLOOKUP($K510,'Type Chart'!$C$2:$U$20,9,false)</f>
        <v>0</v>
      </c>
      <c r="AC510" s="960">
        <f t="array" ref="AC510">HLOOKUP($J510,'Type Chart'!$C$2:$T$20,10,false)*HLOOKUP($K510,'Type Chart'!$C$2:$U$20,10,false)</f>
        <v>1</v>
      </c>
      <c r="AD510" s="960">
        <f t="array" ref="AD510">HLOOKUP($J510,'Type Chart'!$C$2:$T$20,11,false)*HLOOKUP($K510,'Type Chart'!$C$2:$U$20,11,false)</f>
        <v>1</v>
      </c>
      <c r="AE510" s="960">
        <f t="array" ref="AE510">HLOOKUP($J510,'Type Chart'!$C$2:$T$20,12,false)*HLOOKUP($K510,'Type Chart'!$C$2:$U$20,12,false)</f>
        <v>1</v>
      </c>
      <c r="AF510" s="960">
        <f t="array" ref="AF510">HLOOKUP($J510,'Type Chart'!$C$2:$T$20,13,false)*HLOOKUP($K510,'Type Chart'!$C$2:$U$20,13,false)</f>
        <v>1</v>
      </c>
      <c r="AG510" s="960">
        <f t="array" ref="AG510">HLOOKUP($J510,'Type Chart'!$C$2:$T$20,14,false)*HLOOKUP($K510,'Type Chart'!$C$2:$U$20,14,false)</f>
        <v>1</v>
      </c>
      <c r="AH510" s="960">
        <f t="array" ref="AH510">HLOOKUP($J510,'Type Chart'!$C$2:$T$20,15,false)*HLOOKUP($K510,'Type Chart'!$C$2:$U$20,15,false)</f>
        <v>1</v>
      </c>
      <c r="AI510" s="960">
        <f t="array" ref="AI510">HLOOKUP($J510,'Type Chart'!$C$2:$T$20,16,false)*HLOOKUP($K510,'Type Chart'!$C$2:$U$20,16,false)</f>
        <v>1</v>
      </c>
      <c r="AJ510" s="960">
        <f t="array" ref="AJ510">HLOOKUP($J510,'Type Chart'!$C$2:$T$20,17,false)*HLOOKUP($K510,'Type Chart'!$C$2:$U$20,17,false)</f>
        <v>1</v>
      </c>
      <c r="AK510" s="960">
        <f t="array" ref="AK510">HLOOKUP($J510,'Type Chart'!$C$2:$T$20,18,false)*HLOOKUP($K510,'Type Chart'!$C$2:$U$20,18,false)</f>
        <v>1</v>
      </c>
      <c r="AL510" s="960">
        <f t="array" ref="AL510">HLOOKUP($J510,'Type Chart'!$C$2:$T$20,19,false)*HLOOKUP($K510,'Type Chart'!$C$2:$U$20,19,false)</f>
        <v>1</v>
      </c>
      <c r="AM510" s="964" t="s">
        <v>2215</v>
      </c>
      <c r="AN510" s="965" t="s">
        <v>1169</v>
      </c>
      <c r="AO510" s="966" t="s">
        <v>1898</v>
      </c>
      <c r="AP510" s="936"/>
      <c r="AQ510" s="967"/>
      <c r="AR510" s="968"/>
      <c r="AS510" s="936"/>
    </row>
    <row r="511" ht="15.75" customHeight="1">
      <c r="A511" s="936"/>
      <c r="B511" s="948" t="s">
        <v>2467</v>
      </c>
      <c r="C511" s="950" t="s">
        <v>2468</v>
      </c>
      <c r="D511" s="950" t="s">
        <v>2468</v>
      </c>
      <c r="E511" s="952" t="s">
        <v>2468</v>
      </c>
      <c r="F511" s="940"/>
      <c r="G511" s="953"/>
      <c r="H511" s="969"/>
      <c r="I511" s="998" t="s">
        <v>2469</v>
      </c>
      <c r="J511" s="1194" t="s">
        <v>136</v>
      </c>
      <c r="K511" s="1056" t="s">
        <v>81</v>
      </c>
      <c r="L511" s="959">
        <v>79.0</v>
      </c>
      <c r="M511" s="960">
        <v>85.0</v>
      </c>
      <c r="N511" s="960">
        <v>60.0</v>
      </c>
      <c r="O511" s="960">
        <v>55.0</v>
      </c>
      <c r="P511" s="960">
        <v>60.0</v>
      </c>
      <c r="Q511" s="960">
        <v>71.0</v>
      </c>
      <c r="R511" s="960">
        <v>178.0</v>
      </c>
      <c r="S511" s="960">
        <v>241.0</v>
      </c>
      <c r="T511" s="960">
        <v>265.0</v>
      </c>
      <c r="U511" s="960">
        <f t="array" ref="U511">HLOOKUP($J511,'Type Chart'!$C$2:$T$20,2,false)*HLOOKUP($K511,'Type Chart'!$C$2:$U$20,2,false)</f>
        <v>1</v>
      </c>
      <c r="V511" s="960">
        <f t="array" ref="V511">HLOOKUP($J511,'Type Chart'!$C$2:$T$20,3,false)*HLOOKUP($K511,'Type Chart'!$C$2:$U$20,3,false)</f>
        <v>2</v>
      </c>
      <c r="W511" s="960">
        <f t="array" ref="W511">HLOOKUP($J511,'Type Chart'!$C$2:$T$20,4,false)*HLOOKUP($K511,'Type Chart'!$C$2:$U$20,4,false)</f>
        <v>1</v>
      </c>
      <c r="X511" s="960">
        <f t="array" ref="X511">HLOOKUP($J511,'Type Chart'!$C$2:$T$20,5,false)*HLOOKUP($K511,'Type Chart'!$C$2:$U$20,5,false)</f>
        <v>1</v>
      </c>
      <c r="Y511" s="960">
        <f t="array" ref="Y511">HLOOKUP($J511,'Type Chart'!$C$2:$T$20,6,false)*HLOOKUP($K511,'Type Chart'!$C$2:$U$20,6,false)</f>
        <v>1</v>
      </c>
      <c r="Z511" s="960">
        <f t="array" ref="Z511">HLOOKUP($J511,'Type Chart'!$C$2:$T$20,7,false)*HLOOKUP($K511,'Type Chart'!$C$2:$U$20,7,false)</f>
        <v>1</v>
      </c>
      <c r="AA511" s="960">
        <f t="array" ref="AA511">HLOOKUP($J511,'Type Chart'!$C$2:$T$20,8,false)*HLOOKUP($K511,'Type Chart'!$C$2:$U$20,8,false)</f>
        <v>1</v>
      </c>
      <c r="AB511" s="960">
        <f t="array" ref="AB511">HLOOKUP($J511,'Type Chart'!$C$2:$T$20,9,false)*HLOOKUP($K511,'Type Chart'!$C$2:$U$20,9,false)</f>
        <v>0</v>
      </c>
      <c r="AC511" s="960">
        <f t="array" ref="AC511">HLOOKUP($J511,'Type Chart'!$C$2:$T$20,10,false)*HLOOKUP($K511,'Type Chart'!$C$2:$U$20,10,false)</f>
        <v>0.5</v>
      </c>
      <c r="AD511" s="960">
        <f t="array" ref="AD511">HLOOKUP($J511,'Type Chart'!$C$2:$T$20,11,false)*HLOOKUP($K511,'Type Chart'!$C$2:$U$20,11,false)</f>
        <v>0.5</v>
      </c>
      <c r="AE511" s="960">
        <f t="array" ref="AE511">HLOOKUP($J511,'Type Chart'!$C$2:$T$20,12,false)*HLOOKUP($K511,'Type Chart'!$C$2:$U$20,12,false)</f>
        <v>0.5</v>
      </c>
      <c r="AF511" s="960">
        <f t="array" ref="AF511">HLOOKUP($J511,'Type Chart'!$C$2:$T$20,13,false)*HLOOKUP($K511,'Type Chart'!$C$2:$U$20,13,false)</f>
        <v>2</v>
      </c>
      <c r="AG511" s="960">
        <f t="array" ref="AG511">HLOOKUP($J511,'Type Chart'!$C$2:$T$20,14,false)*HLOOKUP($K511,'Type Chart'!$C$2:$U$20,14,false)</f>
        <v>2</v>
      </c>
      <c r="AH511" s="960">
        <f t="array" ref="AH511">HLOOKUP($J511,'Type Chart'!$C$2:$T$20,15,false)*HLOOKUP($K511,'Type Chart'!$C$2:$U$20,15,false)</f>
        <v>1</v>
      </c>
      <c r="AI511" s="960">
        <f t="array" ref="AI511">HLOOKUP($J511,'Type Chart'!$C$2:$T$20,16,false)*HLOOKUP($K511,'Type Chart'!$C$2:$U$20,16,false)</f>
        <v>0.5</v>
      </c>
      <c r="AJ511" s="960">
        <f t="array" ref="AJ511">HLOOKUP($J511,'Type Chart'!$C$2:$T$20,17,false)*HLOOKUP($K511,'Type Chart'!$C$2:$U$20,17,false)</f>
        <v>1</v>
      </c>
      <c r="AK511" s="960">
        <f t="array" ref="AK511">HLOOKUP($J511,'Type Chart'!$C$2:$T$20,18,false)*HLOOKUP($K511,'Type Chart'!$C$2:$U$20,18,false)</f>
        <v>1</v>
      </c>
      <c r="AL511" s="960">
        <f t="array" ref="AL511">HLOOKUP($J511,'Type Chart'!$C$2:$T$20,19,false)*HLOOKUP($K511,'Type Chart'!$C$2:$U$20,19,false)</f>
        <v>1</v>
      </c>
      <c r="AM511" s="964" t="s">
        <v>2215</v>
      </c>
      <c r="AN511" s="965" t="s">
        <v>1169</v>
      </c>
      <c r="AO511" s="966" t="s">
        <v>1898</v>
      </c>
      <c r="AP511" s="936"/>
      <c r="AQ511" s="967"/>
      <c r="AR511" s="968"/>
      <c r="AS511" s="936"/>
    </row>
    <row r="512" ht="15.75" customHeight="1">
      <c r="A512" s="936"/>
      <c r="B512" s="948" t="s">
        <v>2470</v>
      </c>
      <c r="C512" s="950" t="s">
        <v>2471</v>
      </c>
      <c r="D512" s="950" t="s">
        <v>2471</v>
      </c>
      <c r="E512" s="952" t="s">
        <v>2471</v>
      </c>
      <c r="F512" s="940"/>
      <c r="G512" s="953"/>
      <c r="H512" s="969"/>
      <c r="I512" s="956" t="s">
        <v>2472</v>
      </c>
      <c r="J512" s="1180" t="s">
        <v>343</v>
      </c>
      <c r="K512" s="984" t="s">
        <v>216</v>
      </c>
      <c r="L512" s="959">
        <v>37.0</v>
      </c>
      <c r="M512" s="960">
        <v>25.0</v>
      </c>
      <c r="N512" s="960">
        <v>41.0</v>
      </c>
      <c r="O512" s="960">
        <v>25.0</v>
      </c>
      <c r="P512" s="960">
        <v>41.0</v>
      </c>
      <c r="Q512" s="960">
        <v>25.0</v>
      </c>
      <c r="R512" s="960">
        <v>86.0</v>
      </c>
      <c r="S512" s="960">
        <v>149.0</v>
      </c>
      <c r="T512" s="960">
        <v>163.0</v>
      </c>
      <c r="U512" s="960">
        <f t="array" ref="U512">HLOOKUP($J512,'Type Chart'!$C$2:$T$20,2,false)*HLOOKUP($K512,'Type Chart'!$C$2:$U$20,2,false)</f>
        <v>1</v>
      </c>
      <c r="V512" s="960">
        <f t="array" ref="V512">HLOOKUP($J512,'Type Chart'!$C$2:$T$20,3,false)*HLOOKUP($K512,'Type Chart'!$C$2:$U$20,3,false)</f>
        <v>0.5</v>
      </c>
      <c r="W512" s="960">
        <f t="array" ref="W512">HLOOKUP($J512,'Type Chart'!$C$2:$T$20,4,false)*HLOOKUP($K512,'Type Chart'!$C$2:$U$20,4,false)</f>
        <v>2</v>
      </c>
      <c r="X512" s="960">
        <f t="array" ref="X512">HLOOKUP($J512,'Type Chart'!$C$2:$T$20,5,false)*HLOOKUP($K512,'Type Chart'!$C$2:$U$20,5,false)</f>
        <v>1</v>
      </c>
      <c r="Y512" s="960">
        <f t="array" ref="Y512">HLOOKUP($J512,'Type Chart'!$C$2:$T$20,6,false)*HLOOKUP($K512,'Type Chart'!$C$2:$U$20,6,false)</f>
        <v>0.5</v>
      </c>
      <c r="Z512" s="960">
        <f t="array" ref="Z512">HLOOKUP($J512,'Type Chart'!$C$2:$T$20,7,false)*HLOOKUP($K512,'Type Chart'!$C$2:$U$20,7,false)</f>
        <v>2</v>
      </c>
      <c r="AA512" s="960">
        <f t="array" ref="AA512">HLOOKUP($J512,'Type Chart'!$C$2:$T$20,8,false)*HLOOKUP($K512,'Type Chart'!$C$2:$U$20,8,false)</f>
        <v>1</v>
      </c>
      <c r="AB512" s="960">
        <f t="array" ref="AB512">HLOOKUP($J512,'Type Chart'!$C$2:$T$20,9,false)*HLOOKUP($K512,'Type Chart'!$C$2:$U$20,9,false)</f>
        <v>1</v>
      </c>
      <c r="AC512" s="960">
        <f t="array" ref="AC512">HLOOKUP($J512,'Type Chart'!$C$2:$T$20,10,false)*HLOOKUP($K512,'Type Chart'!$C$2:$U$20,10,false)</f>
        <v>1</v>
      </c>
      <c r="AD512" s="960">
        <f t="array" ref="AD512">HLOOKUP($J512,'Type Chart'!$C$2:$T$20,11,false)*HLOOKUP($K512,'Type Chart'!$C$2:$U$20,11,false)</f>
        <v>2</v>
      </c>
      <c r="AE512" s="960">
        <f t="array" ref="AE512">HLOOKUP($J512,'Type Chart'!$C$2:$T$20,12,false)*HLOOKUP($K512,'Type Chart'!$C$2:$U$20,12,false)</f>
        <v>1</v>
      </c>
      <c r="AF512" s="960">
        <f t="array" ref="AF512">HLOOKUP($J512,'Type Chart'!$C$2:$T$20,13,false)*HLOOKUP($K512,'Type Chart'!$C$2:$U$20,13,false)</f>
        <v>0.5</v>
      </c>
      <c r="AG512" s="960">
        <f t="array" ref="AG512">HLOOKUP($J512,'Type Chart'!$C$2:$T$20,14,false)*HLOOKUP($K512,'Type Chart'!$C$2:$U$20,14,false)</f>
        <v>1</v>
      </c>
      <c r="AH512" s="960">
        <f t="array" ref="AH512">HLOOKUP($J512,'Type Chart'!$C$2:$T$20,15,false)*HLOOKUP($K512,'Type Chart'!$C$2:$U$20,15,false)</f>
        <v>1</v>
      </c>
      <c r="AI512" s="960">
        <f t="array" ref="AI512">HLOOKUP($J512,'Type Chart'!$C$2:$T$20,16,false)*HLOOKUP($K512,'Type Chart'!$C$2:$U$20,16,false)</f>
        <v>1</v>
      </c>
      <c r="AJ512" s="960">
        <f t="array" ref="AJ512">HLOOKUP($J512,'Type Chart'!$C$2:$T$20,17,false)*HLOOKUP($K512,'Type Chart'!$C$2:$U$20,17,false)</f>
        <v>1</v>
      </c>
      <c r="AK512" s="960">
        <f t="array" ref="AK512">HLOOKUP($J512,'Type Chart'!$C$2:$T$20,18,false)*HLOOKUP($K512,'Type Chart'!$C$2:$U$20,18,false)</f>
        <v>1</v>
      </c>
      <c r="AL512" s="960">
        <f t="array" ref="AL512">HLOOKUP($J512,'Type Chart'!$C$2:$T$20,19,false)*HLOOKUP($K512,'Type Chart'!$C$2:$U$20,19,false)</f>
        <v>1</v>
      </c>
      <c r="AM512" s="964" t="s">
        <v>998</v>
      </c>
      <c r="AN512" s="965"/>
      <c r="AO512" s="966" t="s">
        <v>988</v>
      </c>
      <c r="AP512" s="936"/>
      <c r="AQ512" s="967"/>
      <c r="AR512" s="968"/>
      <c r="AS512" s="936"/>
    </row>
    <row r="513" ht="15.75" customHeight="1">
      <c r="A513" s="936"/>
      <c r="B513" s="948" t="s">
        <v>2473</v>
      </c>
      <c r="C513" s="950" t="s">
        <v>2474</v>
      </c>
      <c r="D513" s="950" t="s">
        <v>2474</v>
      </c>
      <c r="E513" s="952" t="s">
        <v>2474</v>
      </c>
      <c r="F513" s="940"/>
      <c r="G513" s="953"/>
      <c r="H513" s="969"/>
      <c r="I513" s="956" t="s">
        <v>843</v>
      </c>
      <c r="J513" s="1180" t="s">
        <v>343</v>
      </c>
      <c r="K513" s="984" t="s">
        <v>216</v>
      </c>
      <c r="L513" s="959">
        <v>77.0</v>
      </c>
      <c r="M513" s="960">
        <v>85.0</v>
      </c>
      <c r="N513" s="960">
        <v>51.0</v>
      </c>
      <c r="O513" s="960">
        <v>55.0</v>
      </c>
      <c r="P513" s="960">
        <v>51.0</v>
      </c>
      <c r="Q513" s="960">
        <v>65.0</v>
      </c>
      <c r="R513" s="960">
        <v>166.0</v>
      </c>
      <c r="S513" s="960">
        <v>229.0</v>
      </c>
      <c r="T513" s="960">
        <v>251.0</v>
      </c>
      <c r="U513" s="960">
        <f t="array" ref="U513">HLOOKUP($J513,'Type Chart'!$C$2:$T$20,2,false)*HLOOKUP($K513,'Type Chart'!$C$2:$U$20,2,false)</f>
        <v>1</v>
      </c>
      <c r="V513" s="960">
        <f t="array" ref="V513">HLOOKUP($J513,'Type Chart'!$C$2:$T$20,3,false)*HLOOKUP($K513,'Type Chart'!$C$2:$U$20,3,false)</f>
        <v>0.5</v>
      </c>
      <c r="W513" s="960">
        <f t="array" ref="W513">HLOOKUP($J513,'Type Chart'!$C$2:$T$20,4,false)*HLOOKUP($K513,'Type Chart'!$C$2:$U$20,4,false)</f>
        <v>2</v>
      </c>
      <c r="X513" s="960">
        <f t="array" ref="X513">HLOOKUP($J513,'Type Chart'!$C$2:$T$20,5,false)*HLOOKUP($K513,'Type Chart'!$C$2:$U$20,5,false)</f>
        <v>1</v>
      </c>
      <c r="Y513" s="960">
        <f t="array" ref="Y513">HLOOKUP($J513,'Type Chart'!$C$2:$T$20,6,false)*HLOOKUP($K513,'Type Chart'!$C$2:$U$20,6,false)</f>
        <v>0.5</v>
      </c>
      <c r="Z513" s="960">
        <f t="array" ref="Z513">HLOOKUP($J513,'Type Chart'!$C$2:$T$20,7,false)*HLOOKUP($K513,'Type Chart'!$C$2:$U$20,7,false)</f>
        <v>2</v>
      </c>
      <c r="AA513" s="960">
        <f t="array" ref="AA513">HLOOKUP($J513,'Type Chart'!$C$2:$T$20,8,false)*HLOOKUP($K513,'Type Chart'!$C$2:$U$20,8,false)</f>
        <v>1</v>
      </c>
      <c r="AB513" s="960">
        <f t="array" ref="AB513">HLOOKUP($J513,'Type Chart'!$C$2:$T$20,9,false)*HLOOKUP($K513,'Type Chart'!$C$2:$U$20,9,false)</f>
        <v>1</v>
      </c>
      <c r="AC513" s="960">
        <f t="array" ref="AC513">HLOOKUP($J513,'Type Chart'!$C$2:$T$20,10,false)*HLOOKUP($K513,'Type Chart'!$C$2:$U$20,10,false)</f>
        <v>1</v>
      </c>
      <c r="AD513" s="960">
        <f t="array" ref="AD513">HLOOKUP($J513,'Type Chart'!$C$2:$T$20,11,false)*HLOOKUP($K513,'Type Chart'!$C$2:$U$20,11,false)</f>
        <v>2</v>
      </c>
      <c r="AE513" s="960">
        <f t="array" ref="AE513">HLOOKUP($J513,'Type Chart'!$C$2:$T$20,12,false)*HLOOKUP($K513,'Type Chart'!$C$2:$U$20,12,false)</f>
        <v>1</v>
      </c>
      <c r="AF513" s="960">
        <f t="array" ref="AF513">HLOOKUP($J513,'Type Chart'!$C$2:$T$20,13,false)*HLOOKUP($K513,'Type Chart'!$C$2:$U$20,13,false)</f>
        <v>0.5</v>
      </c>
      <c r="AG513" s="960">
        <f t="array" ref="AG513">HLOOKUP($J513,'Type Chart'!$C$2:$T$20,14,false)*HLOOKUP($K513,'Type Chart'!$C$2:$U$20,14,false)</f>
        <v>1</v>
      </c>
      <c r="AH513" s="960">
        <f t="array" ref="AH513">HLOOKUP($J513,'Type Chart'!$C$2:$T$20,15,false)*HLOOKUP($K513,'Type Chart'!$C$2:$U$20,15,false)</f>
        <v>1</v>
      </c>
      <c r="AI513" s="960">
        <f t="array" ref="AI513">HLOOKUP($J513,'Type Chart'!$C$2:$T$20,16,false)*HLOOKUP($K513,'Type Chart'!$C$2:$U$20,16,false)</f>
        <v>1</v>
      </c>
      <c r="AJ513" s="960">
        <f t="array" ref="AJ513">HLOOKUP($J513,'Type Chart'!$C$2:$T$20,17,false)*HLOOKUP($K513,'Type Chart'!$C$2:$U$20,17,false)</f>
        <v>1</v>
      </c>
      <c r="AK513" s="960">
        <f t="array" ref="AK513">HLOOKUP($J513,'Type Chart'!$C$2:$T$20,18,false)*HLOOKUP($K513,'Type Chart'!$C$2:$U$20,18,false)</f>
        <v>1</v>
      </c>
      <c r="AL513" s="960">
        <f t="array" ref="AL513">HLOOKUP($J513,'Type Chart'!$C$2:$T$20,19,false)*HLOOKUP($K513,'Type Chart'!$C$2:$U$20,19,false)</f>
        <v>1</v>
      </c>
      <c r="AM513" s="964" t="s">
        <v>1013</v>
      </c>
      <c r="AN513" s="965"/>
      <c r="AO513" s="966" t="s">
        <v>1239</v>
      </c>
      <c r="AP513" s="936"/>
      <c r="AQ513" s="967"/>
      <c r="AR513" s="968"/>
      <c r="AS513" s="936"/>
    </row>
    <row r="514" ht="15.75" customHeight="1">
      <c r="A514" s="1099"/>
      <c r="B514" s="948" t="s">
        <v>2475</v>
      </c>
      <c r="C514" s="950" t="s">
        <v>2476</v>
      </c>
      <c r="D514" s="950" t="s">
        <v>2476</v>
      </c>
      <c r="E514" s="952" t="s">
        <v>2476</v>
      </c>
      <c r="F514" s="940"/>
      <c r="G514" s="953"/>
      <c r="H514" s="969"/>
      <c r="I514" s="956" t="s">
        <v>2477</v>
      </c>
      <c r="J514" s="1196" t="s">
        <v>203</v>
      </c>
      <c r="K514" s="984" t="s">
        <v>216</v>
      </c>
      <c r="L514" s="959">
        <v>45.0</v>
      </c>
      <c r="M514" s="960">
        <v>65.0</v>
      </c>
      <c r="N514" s="960">
        <v>34.0</v>
      </c>
      <c r="O514" s="960">
        <v>40.0</v>
      </c>
      <c r="P514" s="960">
        <v>34.0</v>
      </c>
      <c r="Q514" s="960">
        <v>45.0</v>
      </c>
      <c r="R514" s="960">
        <v>126.0</v>
      </c>
      <c r="S514" s="960">
        <v>189.0</v>
      </c>
      <c r="T514" s="960">
        <v>207.0</v>
      </c>
      <c r="U514" s="960">
        <f t="array" ref="U514">HLOOKUP($J514,'Type Chart'!$C$2:$T$20,2,false)*HLOOKUP($K514,'Type Chart'!$C$2:$U$20,2,false)</f>
        <v>1</v>
      </c>
      <c r="V514" s="960">
        <f t="array" ref="V514">HLOOKUP($J514,'Type Chart'!$C$2:$T$20,3,false)*HLOOKUP($K514,'Type Chart'!$C$2:$U$20,3,false)</f>
        <v>1</v>
      </c>
      <c r="W514" s="960">
        <f t="array" ref="W514">HLOOKUP($J514,'Type Chart'!$C$2:$T$20,4,false)*HLOOKUP($K514,'Type Chart'!$C$2:$U$20,4,false)</f>
        <v>0.5</v>
      </c>
      <c r="X514" s="960">
        <f t="array" ref="X514">HLOOKUP($J514,'Type Chart'!$C$2:$T$20,5,false)*HLOOKUP($K514,'Type Chart'!$C$2:$U$20,5,false)</f>
        <v>1</v>
      </c>
      <c r="Y514" s="960">
        <f t="array" ref="Y514">HLOOKUP($J514,'Type Chart'!$C$2:$T$20,6,false)*HLOOKUP($K514,'Type Chart'!$C$2:$U$20,6,false)</f>
        <v>2</v>
      </c>
      <c r="Z514" s="960">
        <f t="array" ref="Z514">HLOOKUP($J514,'Type Chart'!$C$2:$T$20,7,false)*HLOOKUP($K514,'Type Chart'!$C$2:$U$20,7,false)</f>
        <v>1</v>
      </c>
      <c r="AA514" s="960">
        <f t="array" ref="AA514">HLOOKUP($J514,'Type Chart'!$C$2:$T$20,8,false)*HLOOKUP($K514,'Type Chart'!$C$2:$U$20,8,false)</f>
        <v>1</v>
      </c>
      <c r="AB514" s="960">
        <f t="array" ref="AB514">HLOOKUP($J514,'Type Chart'!$C$2:$T$20,9,false)*HLOOKUP($K514,'Type Chart'!$C$2:$U$20,9,false)</f>
        <v>1</v>
      </c>
      <c r="AC514" s="960">
        <f t="array" ref="AC514">HLOOKUP($J514,'Type Chart'!$C$2:$T$20,10,false)*HLOOKUP($K514,'Type Chart'!$C$2:$U$20,10,false)</f>
        <v>0.5</v>
      </c>
      <c r="AD514" s="960">
        <f t="array" ref="AD514">HLOOKUP($J514,'Type Chart'!$C$2:$T$20,11,false)*HLOOKUP($K514,'Type Chart'!$C$2:$U$20,11,false)</f>
        <v>1</v>
      </c>
      <c r="AE514" s="960">
        <f t="array" ref="AE514">HLOOKUP($J514,'Type Chart'!$C$2:$T$20,12,false)*HLOOKUP($K514,'Type Chart'!$C$2:$U$20,12,false)</f>
        <v>1</v>
      </c>
      <c r="AF514" s="960">
        <f t="array" ref="AF514">HLOOKUP($J514,'Type Chart'!$C$2:$T$20,13,false)*HLOOKUP($K514,'Type Chart'!$C$2:$U$20,13,false)</f>
        <v>1</v>
      </c>
      <c r="AG514" s="960">
        <f t="array" ref="AG514">HLOOKUP($J514,'Type Chart'!$C$2:$T$20,14,false)*HLOOKUP($K514,'Type Chart'!$C$2:$U$20,14,false)</f>
        <v>0.5</v>
      </c>
      <c r="AH514" s="960">
        <f t="array" ref="AH514">HLOOKUP($J514,'Type Chart'!$C$2:$T$20,15,false)*HLOOKUP($K514,'Type Chart'!$C$2:$U$20,15,false)</f>
        <v>1</v>
      </c>
      <c r="AI514" s="960">
        <f t="array" ref="AI514">HLOOKUP($J514,'Type Chart'!$C$2:$T$20,16,false)*HLOOKUP($K514,'Type Chart'!$C$2:$U$20,16,false)</f>
        <v>1</v>
      </c>
      <c r="AJ514" s="960">
        <f t="array" ref="AJ514">HLOOKUP($J514,'Type Chart'!$C$2:$T$20,17,false)*HLOOKUP($K514,'Type Chart'!$C$2:$U$20,17,false)</f>
        <v>1</v>
      </c>
      <c r="AK514" s="960">
        <f t="array" ref="AK514">HLOOKUP($J514,'Type Chart'!$C$2:$T$20,18,false)*HLOOKUP($K514,'Type Chart'!$C$2:$U$20,18,false)</f>
        <v>1</v>
      </c>
      <c r="AL514" s="960">
        <f t="array" ref="AL514">HLOOKUP($J514,'Type Chart'!$C$2:$T$20,19,false)*HLOOKUP($K514,'Type Chart'!$C$2:$U$20,19,false)</f>
        <v>1</v>
      </c>
      <c r="AM514" s="1145" t="s">
        <v>1147</v>
      </c>
      <c r="AN514" s="1202" t="s">
        <v>1061</v>
      </c>
      <c r="AO514" s="1146" t="s">
        <v>1038</v>
      </c>
      <c r="AP514" s="936"/>
      <c r="AQ514" s="967"/>
      <c r="AR514" s="968"/>
      <c r="AS514" s="936"/>
    </row>
    <row r="515" ht="15.75" customHeight="1">
      <c r="A515" s="936"/>
      <c r="B515" s="948" t="s">
        <v>2478</v>
      </c>
      <c r="C515" s="950" t="s">
        <v>2479</v>
      </c>
      <c r="D515" s="950" t="s">
        <v>2479</v>
      </c>
      <c r="E515" s="952" t="s">
        <v>2479</v>
      </c>
      <c r="F515" s="940"/>
      <c r="G515" s="953"/>
      <c r="H515" s="969"/>
      <c r="I515" s="956" t="s">
        <v>2480</v>
      </c>
      <c r="J515" s="1196" t="s">
        <v>203</v>
      </c>
      <c r="K515" s="984" t="s">
        <v>216</v>
      </c>
      <c r="L515" s="959">
        <v>60.0</v>
      </c>
      <c r="M515" s="960">
        <v>85.0</v>
      </c>
      <c r="N515" s="960">
        <v>49.0</v>
      </c>
      <c r="O515" s="960">
        <v>60.0</v>
      </c>
      <c r="P515" s="960">
        <v>49.0</v>
      </c>
      <c r="Q515" s="960">
        <v>60.0</v>
      </c>
      <c r="R515" s="960">
        <v>156.0</v>
      </c>
      <c r="S515" s="960">
        <v>219.0</v>
      </c>
      <c r="T515" s="960">
        <v>240.0</v>
      </c>
      <c r="U515" s="960">
        <f t="array" ref="U515">HLOOKUP($J515,'Type Chart'!$C$2:$T$20,2,false)*HLOOKUP($K515,'Type Chart'!$C$2:$U$20,2,false)</f>
        <v>1</v>
      </c>
      <c r="V515" s="960">
        <f t="array" ref="V515">HLOOKUP($J515,'Type Chart'!$C$2:$T$20,3,false)*HLOOKUP($K515,'Type Chart'!$C$2:$U$20,3,false)</f>
        <v>1</v>
      </c>
      <c r="W515" s="960">
        <f t="array" ref="W515">HLOOKUP($J515,'Type Chart'!$C$2:$T$20,4,false)*HLOOKUP($K515,'Type Chart'!$C$2:$U$20,4,false)</f>
        <v>0.5</v>
      </c>
      <c r="X515" s="960">
        <f t="array" ref="X515">HLOOKUP($J515,'Type Chart'!$C$2:$T$20,5,false)*HLOOKUP($K515,'Type Chart'!$C$2:$U$20,5,false)</f>
        <v>1</v>
      </c>
      <c r="Y515" s="960">
        <f t="array" ref="Y515">HLOOKUP($J515,'Type Chart'!$C$2:$T$20,6,false)*HLOOKUP($K515,'Type Chart'!$C$2:$U$20,6,false)</f>
        <v>2</v>
      </c>
      <c r="Z515" s="960">
        <f t="array" ref="Z515">HLOOKUP($J515,'Type Chart'!$C$2:$T$20,7,false)*HLOOKUP($K515,'Type Chart'!$C$2:$U$20,7,false)</f>
        <v>1</v>
      </c>
      <c r="AA515" s="960">
        <f t="array" ref="AA515">HLOOKUP($J515,'Type Chart'!$C$2:$T$20,8,false)*HLOOKUP($K515,'Type Chart'!$C$2:$U$20,8,false)</f>
        <v>1</v>
      </c>
      <c r="AB515" s="960">
        <f t="array" ref="AB515">HLOOKUP($J515,'Type Chart'!$C$2:$T$20,9,false)*HLOOKUP($K515,'Type Chart'!$C$2:$U$20,9,false)</f>
        <v>1</v>
      </c>
      <c r="AC515" s="960">
        <f t="array" ref="AC515">HLOOKUP($J515,'Type Chart'!$C$2:$T$20,10,false)*HLOOKUP($K515,'Type Chart'!$C$2:$U$20,10,false)</f>
        <v>0.5</v>
      </c>
      <c r="AD515" s="960">
        <f t="array" ref="AD515">HLOOKUP($J515,'Type Chart'!$C$2:$T$20,11,false)*HLOOKUP($K515,'Type Chart'!$C$2:$U$20,11,false)</f>
        <v>1</v>
      </c>
      <c r="AE515" s="960">
        <f t="array" ref="AE515">HLOOKUP($J515,'Type Chart'!$C$2:$T$20,12,false)*HLOOKUP($K515,'Type Chart'!$C$2:$U$20,12,false)</f>
        <v>1</v>
      </c>
      <c r="AF515" s="960">
        <f t="array" ref="AF515">HLOOKUP($J515,'Type Chart'!$C$2:$T$20,13,false)*HLOOKUP($K515,'Type Chart'!$C$2:$U$20,13,false)</f>
        <v>1</v>
      </c>
      <c r="AG515" s="960">
        <f t="array" ref="AG515">HLOOKUP($J515,'Type Chart'!$C$2:$T$20,14,false)*HLOOKUP($K515,'Type Chart'!$C$2:$U$20,14,false)</f>
        <v>0.5</v>
      </c>
      <c r="AH515" s="960">
        <f t="array" ref="AH515">HLOOKUP($J515,'Type Chart'!$C$2:$T$20,15,false)*HLOOKUP($K515,'Type Chart'!$C$2:$U$20,15,false)</f>
        <v>1</v>
      </c>
      <c r="AI515" s="960">
        <f t="array" ref="AI515">HLOOKUP($J515,'Type Chart'!$C$2:$T$20,16,false)*HLOOKUP($K515,'Type Chart'!$C$2:$U$20,16,false)</f>
        <v>1</v>
      </c>
      <c r="AJ515" s="960">
        <f t="array" ref="AJ515">HLOOKUP($J515,'Type Chart'!$C$2:$T$20,17,false)*HLOOKUP($K515,'Type Chart'!$C$2:$U$20,17,false)</f>
        <v>1</v>
      </c>
      <c r="AK515" s="960">
        <f t="array" ref="AK515">HLOOKUP($J515,'Type Chart'!$C$2:$T$20,18,false)*HLOOKUP($K515,'Type Chart'!$C$2:$U$20,18,false)</f>
        <v>1</v>
      </c>
      <c r="AL515" s="960">
        <f t="array" ref="AL515">HLOOKUP($J515,'Type Chart'!$C$2:$T$20,19,false)*HLOOKUP($K515,'Type Chart'!$C$2:$U$20,19,false)</f>
        <v>1</v>
      </c>
      <c r="AM515" s="964" t="s">
        <v>1147</v>
      </c>
      <c r="AN515" s="965" t="s">
        <v>1061</v>
      </c>
      <c r="AO515" s="966" t="s">
        <v>1038</v>
      </c>
      <c r="AP515" s="936"/>
      <c r="AQ515" s="967"/>
      <c r="AR515" s="968"/>
      <c r="AS515" s="936"/>
    </row>
    <row r="516" ht="15.75" customHeight="1">
      <c r="A516" s="1099"/>
      <c r="B516" s="948" t="s">
        <v>2481</v>
      </c>
      <c r="C516" s="950" t="s">
        <v>2482</v>
      </c>
      <c r="D516" s="950" t="s">
        <v>2482</v>
      </c>
      <c r="E516" s="1147" t="s">
        <v>2482</v>
      </c>
      <c r="F516" s="940"/>
      <c r="G516" s="953"/>
      <c r="H516" s="969"/>
      <c r="I516" s="956" t="s">
        <v>761</v>
      </c>
      <c r="J516" s="1196" t="s">
        <v>203</v>
      </c>
      <c r="K516" s="984" t="s">
        <v>216</v>
      </c>
      <c r="L516" s="959">
        <v>80.0</v>
      </c>
      <c r="M516" s="960">
        <v>120.0</v>
      </c>
      <c r="N516" s="960">
        <v>79.0</v>
      </c>
      <c r="O516" s="960">
        <v>95.0</v>
      </c>
      <c r="P516" s="960">
        <v>79.0</v>
      </c>
      <c r="Q516" s="960">
        <v>70.0</v>
      </c>
      <c r="R516" s="960">
        <v>176.0</v>
      </c>
      <c r="S516" s="960">
        <v>239.0</v>
      </c>
      <c r="T516" s="960">
        <v>262.0</v>
      </c>
      <c r="U516" s="960">
        <f t="array" ref="U516">HLOOKUP($J516,'Type Chart'!$C$2:$T$20,2,false)*HLOOKUP($K516,'Type Chart'!$C$2:$U$20,2,false)</f>
        <v>1</v>
      </c>
      <c r="V516" s="960">
        <f t="array" ref="V516">HLOOKUP($J516,'Type Chart'!$C$2:$T$20,3,false)*HLOOKUP($K516,'Type Chart'!$C$2:$U$20,3,false)</f>
        <v>1</v>
      </c>
      <c r="W516" s="960">
        <f t="array" ref="W516">HLOOKUP($J516,'Type Chart'!$C$2:$T$20,4,false)*HLOOKUP($K516,'Type Chart'!$C$2:$U$20,4,false)</f>
        <v>0.5</v>
      </c>
      <c r="X516" s="960">
        <f t="array" ref="X516">HLOOKUP($J516,'Type Chart'!$C$2:$T$20,5,false)*HLOOKUP($K516,'Type Chart'!$C$2:$U$20,5,false)</f>
        <v>1</v>
      </c>
      <c r="Y516" s="960">
        <f t="array" ref="Y516">HLOOKUP($J516,'Type Chart'!$C$2:$T$20,6,false)*HLOOKUP($K516,'Type Chart'!$C$2:$U$20,6,false)</f>
        <v>2</v>
      </c>
      <c r="Z516" s="960">
        <f t="array" ref="Z516">HLOOKUP($J516,'Type Chart'!$C$2:$T$20,7,false)*HLOOKUP($K516,'Type Chart'!$C$2:$U$20,7,false)</f>
        <v>1</v>
      </c>
      <c r="AA516" s="960">
        <f t="array" ref="AA516">HLOOKUP($J516,'Type Chart'!$C$2:$T$20,8,false)*HLOOKUP($K516,'Type Chart'!$C$2:$U$20,8,false)</f>
        <v>1</v>
      </c>
      <c r="AB516" s="960">
        <f t="array" ref="AB516">HLOOKUP($J516,'Type Chart'!$C$2:$T$20,9,false)*HLOOKUP($K516,'Type Chart'!$C$2:$U$20,9,false)</f>
        <v>1</v>
      </c>
      <c r="AC516" s="960">
        <f t="array" ref="AC516">HLOOKUP($J516,'Type Chart'!$C$2:$T$20,10,false)*HLOOKUP($K516,'Type Chart'!$C$2:$U$20,10,false)</f>
        <v>0.5</v>
      </c>
      <c r="AD516" s="960">
        <f t="array" ref="AD516">HLOOKUP($J516,'Type Chart'!$C$2:$T$20,11,false)*HLOOKUP($K516,'Type Chart'!$C$2:$U$20,11,false)</f>
        <v>1</v>
      </c>
      <c r="AE516" s="960">
        <f t="array" ref="AE516">HLOOKUP($J516,'Type Chart'!$C$2:$T$20,12,false)*HLOOKUP($K516,'Type Chart'!$C$2:$U$20,12,false)</f>
        <v>1</v>
      </c>
      <c r="AF516" s="960">
        <f t="array" ref="AF516">HLOOKUP($J516,'Type Chart'!$C$2:$T$20,13,false)*HLOOKUP($K516,'Type Chart'!$C$2:$U$20,13,false)</f>
        <v>1</v>
      </c>
      <c r="AG516" s="960">
        <f t="array" ref="AG516">HLOOKUP($J516,'Type Chart'!$C$2:$T$20,14,false)*HLOOKUP($K516,'Type Chart'!$C$2:$U$20,14,false)</f>
        <v>0.5</v>
      </c>
      <c r="AH516" s="960">
        <f t="array" ref="AH516">HLOOKUP($J516,'Type Chart'!$C$2:$T$20,15,false)*HLOOKUP($K516,'Type Chart'!$C$2:$U$20,15,false)</f>
        <v>1</v>
      </c>
      <c r="AI516" s="960">
        <f t="array" ref="AI516">HLOOKUP($J516,'Type Chart'!$C$2:$T$20,16,false)*HLOOKUP($K516,'Type Chart'!$C$2:$U$20,16,false)</f>
        <v>1</v>
      </c>
      <c r="AJ516" s="960">
        <f t="array" ref="AJ516">HLOOKUP($J516,'Type Chart'!$C$2:$T$20,17,false)*HLOOKUP($K516,'Type Chart'!$C$2:$U$20,17,false)</f>
        <v>1</v>
      </c>
      <c r="AK516" s="960">
        <f t="array" ref="AK516">HLOOKUP($J516,'Type Chart'!$C$2:$T$20,18,false)*HLOOKUP($K516,'Type Chart'!$C$2:$U$20,18,false)</f>
        <v>1</v>
      </c>
      <c r="AL516" s="960">
        <f t="array" ref="AL516">HLOOKUP($J516,'Type Chart'!$C$2:$T$20,19,false)*HLOOKUP($K516,'Type Chart'!$C$2:$U$20,19,false)</f>
        <v>1</v>
      </c>
      <c r="AM516" s="1145" t="s">
        <v>1147</v>
      </c>
      <c r="AN516" s="1202" t="s">
        <v>1061</v>
      </c>
      <c r="AO516" s="1146" t="s">
        <v>1038</v>
      </c>
      <c r="AP516" s="936"/>
      <c r="AQ516" s="967"/>
      <c r="AR516" s="968"/>
      <c r="AS516" s="936"/>
    </row>
    <row r="517" ht="15.75" customHeight="1">
      <c r="A517" s="1099"/>
      <c r="B517" s="948" t="s">
        <v>2483</v>
      </c>
      <c r="C517" s="950" t="s">
        <v>2484</v>
      </c>
      <c r="D517" s="950" t="s">
        <v>2484</v>
      </c>
      <c r="E517" s="1147" t="s">
        <v>2484</v>
      </c>
      <c r="F517" s="940"/>
      <c r="G517" s="953"/>
      <c r="H517" s="969"/>
      <c r="I517" s="956" t="s">
        <v>2485</v>
      </c>
      <c r="J517" s="957" t="s">
        <v>209</v>
      </c>
      <c r="K517" s="958" t="s">
        <v>178</v>
      </c>
      <c r="L517" s="959">
        <v>40.0</v>
      </c>
      <c r="M517" s="960">
        <v>30.0</v>
      </c>
      <c r="N517" s="960">
        <v>35.0</v>
      </c>
      <c r="O517" s="960">
        <v>50.0</v>
      </c>
      <c r="P517" s="960">
        <v>70.0</v>
      </c>
      <c r="Q517" s="960">
        <v>55.0</v>
      </c>
      <c r="R517" s="960">
        <v>146.0</v>
      </c>
      <c r="S517" s="960">
        <v>209.0</v>
      </c>
      <c r="T517" s="960">
        <v>229.0</v>
      </c>
      <c r="U517" s="960">
        <f t="array" ref="U517">HLOOKUP($J517,'Type Chart'!$C$2:$T$20,2,false)*HLOOKUP($K517,'Type Chart'!$C$2:$U$20,2,false)</f>
        <v>1</v>
      </c>
      <c r="V517" s="960">
        <f t="array" ref="V517">HLOOKUP($J517,'Type Chart'!$C$2:$T$20,3,false)*HLOOKUP($K517,'Type Chart'!$C$2:$U$20,3,false)</f>
        <v>0.5</v>
      </c>
      <c r="W517" s="960">
        <f t="array" ref="W517">HLOOKUP($J517,'Type Chart'!$C$2:$T$20,4,false)*HLOOKUP($K517,'Type Chart'!$C$2:$U$20,4,false)</f>
        <v>2</v>
      </c>
      <c r="X517" s="960">
        <f t="array" ref="X517">HLOOKUP($J517,'Type Chart'!$C$2:$T$20,5,false)*HLOOKUP($K517,'Type Chart'!$C$2:$U$20,5,false)</f>
        <v>1</v>
      </c>
      <c r="Y517" s="960">
        <f t="array" ref="Y517">HLOOKUP($J517,'Type Chart'!$C$2:$T$20,6,false)*HLOOKUP($K517,'Type Chart'!$C$2:$U$20,6,false)</f>
        <v>1</v>
      </c>
      <c r="Z517" s="960">
        <f t="array" ref="Z517">HLOOKUP($J517,'Type Chart'!$C$2:$T$20,7,false)*HLOOKUP($K517,'Type Chart'!$C$2:$U$20,7,false)</f>
        <v>1</v>
      </c>
      <c r="AA517" s="960">
        <f t="array" ref="AA517">HLOOKUP($J517,'Type Chart'!$C$2:$T$20,8,false)*HLOOKUP($K517,'Type Chart'!$C$2:$U$20,8,false)</f>
        <v>1</v>
      </c>
      <c r="AB517" s="960">
        <f t="array" ref="AB517">HLOOKUP($J517,'Type Chart'!$C$2:$T$20,9,false)*HLOOKUP($K517,'Type Chart'!$C$2:$U$20,9,false)</f>
        <v>1</v>
      </c>
      <c r="AC517" s="960">
        <f t="array" ref="AC517">HLOOKUP($J517,'Type Chart'!$C$2:$T$20,10,false)*HLOOKUP($K517,'Type Chart'!$C$2:$U$20,10,false)</f>
        <v>1</v>
      </c>
      <c r="AD517" s="960">
        <f t="array" ref="AD517">HLOOKUP($J517,'Type Chart'!$C$2:$T$20,11,false)*HLOOKUP($K517,'Type Chart'!$C$2:$U$20,11,false)</f>
        <v>2</v>
      </c>
      <c r="AE517" s="960">
        <f t="array" ref="AE517">HLOOKUP($J517,'Type Chart'!$C$2:$T$20,12,false)*HLOOKUP($K517,'Type Chart'!$C$2:$U$20,12,false)</f>
        <v>0.5</v>
      </c>
      <c r="AF517" s="960">
        <f t="array" ref="AF517">HLOOKUP($J517,'Type Chart'!$C$2:$T$20,13,false)*HLOOKUP($K517,'Type Chart'!$C$2:$U$20,13,false)</f>
        <v>0.25</v>
      </c>
      <c r="AG517" s="960">
        <f t="array" ref="AG517">HLOOKUP($J517,'Type Chart'!$C$2:$T$20,14,false)*HLOOKUP($K517,'Type Chart'!$C$2:$U$20,14,false)</f>
        <v>0.5</v>
      </c>
      <c r="AH517" s="960">
        <f t="array" ref="AH517">HLOOKUP($J517,'Type Chart'!$C$2:$T$20,15,false)*HLOOKUP($K517,'Type Chart'!$C$2:$U$20,15,false)</f>
        <v>2</v>
      </c>
      <c r="AI517" s="960">
        <f t="array" ref="AI517">HLOOKUP($J517,'Type Chart'!$C$2:$T$20,16,false)*HLOOKUP($K517,'Type Chart'!$C$2:$U$20,16,false)</f>
        <v>2</v>
      </c>
      <c r="AJ517" s="960">
        <f t="array" ref="AJ517">HLOOKUP($J517,'Type Chart'!$C$2:$T$20,17,false)*HLOOKUP($K517,'Type Chart'!$C$2:$U$20,17,false)</f>
        <v>1</v>
      </c>
      <c r="AK517" s="960">
        <f t="array" ref="AK517">HLOOKUP($J517,'Type Chart'!$C$2:$T$20,18,false)*HLOOKUP($K517,'Type Chart'!$C$2:$U$20,18,false)</f>
        <v>1</v>
      </c>
      <c r="AL517" s="960">
        <f t="array" ref="AL517">HLOOKUP($J517,'Type Chart'!$C$2:$T$20,19,false)*HLOOKUP($K517,'Type Chart'!$C$2:$U$20,19,false)</f>
        <v>0.5</v>
      </c>
      <c r="AM517" s="1145" t="s">
        <v>1520</v>
      </c>
      <c r="AN517" s="1202" t="s">
        <v>1146</v>
      </c>
      <c r="AO517" s="1146" t="s">
        <v>1526</v>
      </c>
      <c r="AP517" s="936"/>
      <c r="AQ517" s="967"/>
      <c r="AR517" s="968"/>
      <c r="AS517" s="936"/>
    </row>
    <row r="518" ht="15.75" customHeight="1">
      <c r="A518" s="936"/>
      <c r="B518" s="948" t="s">
        <v>2486</v>
      </c>
      <c r="C518" s="950" t="s">
        <v>2487</v>
      </c>
      <c r="D518" s="950" t="s">
        <v>2487</v>
      </c>
      <c r="E518" s="952" t="s">
        <v>2487</v>
      </c>
      <c r="F518" s="940"/>
      <c r="G518" s="953"/>
      <c r="H518" s="969"/>
      <c r="I518" s="956" t="s">
        <v>2488</v>
      </c>
      <c r="J518" s="957" t="s">
        <v>209</v>
      </c>
      <c r="K518" s="958" t="s">
        <v>178</v>
      </c>
      <c r="L518" s="959">
        <v>60.0</v>
      </c>
      <c r="M518" s="960">
        <v>70.0</v>
      </c>
      <c r="N518" s="960">
        <v>65.0</v>
      </c>
      <c r="O518" s="960">
        <v>125.0</v>
      </c>
      <c r="P518" s="960">
        <v>105.0</v>
      </c>
      <c r="Q518" s="960">
        <v>90.0</v>
      </c>
      <c r="R518" s="960">
        <v>216.0</v>
      </c>
      <c r="S518" s="960">
        <v>279.0</v>
      </c>
      <c r="T518" s="960">
        <v>306.0</v>
      </c>
      <c r="U518" s="960">
        <f t="array" ref="U518">HLOOKUP($J518,'Type Chart'!$C$2:$T$20,2,false)*HLOOKUP($K518,'Type Chart'!$C$2:$U$20,2,false)</f>
        <v>1</v>
      </c>
      <c r="V518" s="960">
        <f t="array" ref="V518">HLOOKUP($J518,'Type Chart'!$C$2:$T$20,3,false)*HLOOKUP($K518,'Type Chart'!$C$2:$U$20,3,false)</f>
        <v>0.5</v>
      </c>
      <c r="W518" s="960">
        <f t="array" ref="W518">HLOOKUP($J518,'Type Chart'!$C$2:$T$20,4,false)*HLOOKUP($K518,'Type Chart'!$C$2:$U$20,4,false)</f>
        <v>2</v>
      </c>
      <c r="X518" s="960">
        <f t="array" ref="X518">HLOOKUP($J518,'Type Chart'!$C$2:$T$20,5,false)*HLOOKUP($K518,'Type Chart'!$C$2:$U$20,5,false)</f>
        <v>1</v>
      </c>
      <c r="Y518" s="960">
        <f t="array" ref="Y518">HLOOKUP($J518,'Type Chart'!$C$2:$T$20,6,false)*HLOOKUP($K518,'Type Chart'!$C$2:$U$20,6,false)</f>
        <v>1</v>
      </c>
      <c r="Z518" s="960">
        <f t="array" ref="Z518">HLOOKUP($J518,'Type Chart'!$C$2:$T$20,7,false)*HLOOKUP($K518,'Type Chart'!$C$2:$U$20,7,false)</f>
        <v>1</v>
      </c>
      <c r="AA518" s="960">
        <f t="array" ref="AA518">HLOOKUP($J518,'Type Chart'!$C$2:$T$20,8,false)*HLOOKUP($K518,'Type Chart'!$C$2:$U$20,8,false)</f>
        <v>1</v>
      </c>
      <c r="AB518" s="960">
        <f t="array" ref="AB518">HLOOKUP($J518,'Type Chart'!$C$2:$T$20,9,false)*HLOOKUP($K518,'Type Chart'!$C$2:$U$20,9,false)</f>
        <v>1</v>
      </c>
      <c r="AC518" s="960">
        <f t="array" ref="AC518">HLOOKUP($J518,'Type Chart'!$C$2:$T$20,10,false)*HLOOKUP($K518,'Type Chart'!$C$2:$U$20,10,false)</f>
        <v>1</v>
      </c>
      <c r="AD518" s="960">
        <f t="array" ref="AD518">HLOOKUP($J518,'Type Chart'!$C$2:$T$20,11,false)*HLOOKUP($K518,'Type Chart'!$C$2:$U$20,11,false)</f>
        <v>2</v>
      </c>
      <c r="AE518" s="960">
        <f t="array" ref="AE518">HLOOKUP($J518,'Type Chart'!$C$2:$T$20,12,false)*HLOOKUP($K518,'Type Chart'!$C$2:$U$20,12,false)</f>
        <v>0.5</v>
      </c>
      <c r="AF518" s="960">
        <f t="array" ref="AF518">HLOOKUP($J518,'Type Chart'!$C$2:$T$20,13,false)*HLOOKUP($K518,'Type Chart'!$C$2:$U$20,13,false)</f>
        <v>0.25</v>
      </c>
      <c r="AG518" s="960">
        <f t="array" ref="AG518">HLOOKUP($J518,'Type Chart'!$C$2:$T$20,14,false)*HLOOKUP($K518,'Type Chart'!$C$2:$U$20,14,false)</f>
        <v>0.5</v>
      </c>
      <c r="AH518" s="960">
        <f t="array" ref="AH518">HLOOKUP($J518,'Type Chart'!$C$2:$T$20,15,false)*HLOOKUP($K518,'Type Chart'!$C$2:$U$20,15,false)</f>
        <v>2</v>
      </c>
      <c r="AI518" s="960">
        <f t="array" ref="AI518">HLOOKUP($J518,'Type Chart'!$C$2:$T$20,16,false)*HLOOKUP($K518,'Type Chart'!$C$2:$U$20,16,false)</f>
        <v>2</v>
      </c>
      <c r="AJ518" s="960">
        <f t="array" ref="AJ518">HLOOKUP($J518,'Type Chart'!$C$2:$T$20,17,false)*HLOOKUP($K518,'Type Chart'!$C$2:$U$20,17,false)</f>
        <v>1</v>
      </c>
      <c r="AK518" s="960">
        <f t="array" ref="AK518">HLOOKUP($J518,'Type Chart'!$C$2:$T$20,18,false)*HLOOKUP($K518,'Type Chart'!$C$2:$U$20,18,false)</f>
        <v>1</v>
      </c>
      <c r="AL518" s="960">
        <f t="array" ref="AL518">HLOOKUP($J518,'Type Chart'!$C$2:$T$20,19,false)*HLOOKUP($K518,'Type Chart'!$C$2:$U$20,19,false)</f>
        <v>0.5</v>
      </c>
      <c r="AM518" s="964" t="s">
        <v>1520</v>
      </c>
      <c r="AN518" s="965" t="s">
        <v>1146</v>
      </c>
      <c r="AO518" s="966" t="s">
        <v>1239</v>
      </c>
      <c r="AP518" s="936"/>
      <c r="AQ518" s="967"/>
      <c r="AR518" s="968"/>
      <c r="AS518" s="936"/>
    </row>
    <row r="519" ht="15.75" customHeight="1">
      <c r="A519" s="936"/>
      <c r="B519" s="948" t="s">
        <v>2489</v>
      </c>
      <c r="C519" s="950" t="s">
        <v>2490</v>
      </c>
      <c r="D519" s="950" t="s">
        <v>2490</v>
      </c>
      <c r="E519" s="952" t="s">
        <v>2490</v>
      </c>
      <c r="F519" s="940"/>
      <c r="G519" s="953"/>
      <c r="H519" s="969"/>
      <c r="I519" s="956" t="s">
        <v>2491</v>
      </c>
      <c r="J519" s="1214" t="s">
        <v>342</v>
      </c>
      <c r="K519" s="984" t="s">
        <v>216</v>
      </c>
      <c r="L519" s="959">
        <v>67.0</v>
      </c>
      <c r="M519" s="960">
        <v>125.0</v>
      </c>
      <c r="N519" s="960">
        <v>40.0</v>
      </c>
      <c r="O519" s="960">
        <v>30.0</v>
      </c>
      <c r="P519" s="960">
        <v>30.0</v>
      </c>
      <c r="Q519" s="960">
        <v>58.0</v>
      </c>
      <c r="R519" s="960">
        <v>152.0</v>
      </c>
      <c r="S519" s="960">
        <v>215.0</v>
      </c>
      <c r="T519" s="960">
        <v>236.0</v>
      </c>
      <c r="U519" s="960">
        <f t="array" ref="U519">HLOOKUP($J519,'Type Chart'!$C$2:$T$20,2,false)*HLOOKUP($K519,'Type Chart'!$C$2:$U$20,2,false)</f>
        <v>0.5</v>
      </c>
      <c r="V519" s="960">
        <f t="array" ref="V519">HLOOKUP($J519,'Type Chart'!$C$2:$T$20,3,false)*HLOOKUP($K519,'Type Chart'!$C$2:$U$20,3,false)</f>
        <v>2</v>
      </c>
      <c r="W519" s="960">
        <f t="array" ref="W519">HLOOKUP($J519,'Type Chart'!$C$2:$T$20,4,false)*HLOOKUP($K519,'Type Chart'!$C$2:$U$20,4,false)</f>
        <v>0.5</v>
      </c>
      <c r="X519" s="960">
        <f t="array" ref="X519">HLOOKUP($J519,'Type Chart'!$C$2:$T$20,5,false)*HLOOKUP($K519,'Type Chart'!$C$2:$U$20,5,false)</f>
        <v>0.5</v>
      </c>
      <c r="Y519" s="960">
        <f t="array" ref="Y519">HLOOKUP($J519,'Type Chart'!$C$2:$T$20,6,false)*HLOOKUP($K519,'Type Chart'!$C$2:$U$20,6,false)</f>
        <v>2</v>
      </c>
      <c r="Z519" s="960">
        <f t="array" ref="Z519">HLOOKUP($J519,'Type Chart'!$C$2:$T$20,7,false)*HLOOKUP($K519,'Type Chart'!$C$2:$U$20,7,false)</f>
        <v>1</v>
      </c>
      <c r="AA519" s="960">
        <f t="array" ref="AA519">HLOOKUP($J519,'Type Chart'!$C$2:$T$20,8,false)*HLOOKUP($K519,'Type Chart'!$C$2:$U$20,8,false)</f>
        <v>1</v>
      </c>
      <c r="AB519" s="960">
        <f t="array" ref="AB519">HLOOKUP($J519,'Type Chart'!$C$2:$T$20,9,false)*HLOOKUP($K519,'Type Chart'!$C$2:$U$20,9,false)</f>
        <v>1</v>
      </c>
      <c r="AC519" s="960">
        <f t="array" ref="AC519">HLOOKUP($J519,'Type Chart'!$C$2:$T$20,10,false)*HLOOKUP($K519,'Type Chart'!$C$2:$U$20,10,false)</f>
        <v>2</v>
      </c>
      <c r="AD519" s="960">
        <f t="array" ref="AD519">HLOOKUP($J519,'Type Chart'!$C$2:$T$20,11,false)*HLOOKUP($K519,'Type Chart'!$C$2:$U$20,11,false)</f>
        <v>0.5</v>
      </c>
      <c r="AE519" s="960">
        <f t="array" ref="AE519">HLOOKUP($J519,'Type Chart'!$C$2:$T$20,12,false)*HLOOKUP($K519,'Type Chart'!$C$2:$U$20,12,false)</f>
        <v>2</v>
      </c>
      <c r="AF519" s="960">
        <f t="array" ref="AF519">HLOOKUP($J519,'Type Chart'!$C$2:$T$20,13,false)*HLOOKUP($K519,'Type Chart'!$C$2:$U$20,13,false)</f>
        <v>2</v>
      </c>
      <c r="AG519" s="960">
        <f t="array" ref="AG519">HLOOKUP($J519,'Type Chart'!$C$2:$T$20,14,false)*HLOOKUP($K519,'Type Chart'!$C$2:$U$20,14,false)</f>
        <v>1</v>
      </c>
      <c r="AH519" s="960">
        <f t="array" ref="AH519">HLOOKUP($J519,'Type Chart'!$C$2:$T$20,15,false)*HLOOKUP($K519,'Type Chart'!$C$2:$U$20,15,false)</f>
        <v>1</v>
      </c>
      <c r="AI519" s="960">
        <f t="array" ref="AI519">HLOOKUP($J519,'Type Chart'!$C$2:$T$20,16,false)*HLOOKUP($K519,'Type Chart'!$C$2:$U$20,16,false)</f>
        <v>1</v>
      </c>
      <c r="AJ519" s="960">
        <f t="array" ref="AJ519">HLOOKUP($J519,'Type Chart'!$C$2:$T$20,17,false)*HLOOKUP($K519,'Type Chart'!$C$2:$U$20,17,false)</f>
        <v>1</v>
      </c>
      <c r="AK519" s="960">
        <f t="array" ref="AK519">HLOOKUP($J519,'Type Chart'!$C$2:$T$20,18,false)*HLOOKUP($K519,'Type Chart'!$C$2:$U$20,18,false)</f>
        <v>1</v>
      </c>
      <c r="AL519" s="960">
        <f t="array" ref="AL519">HLOOKUP($J519,'Type Chart'!$C$2:$T$20,19,false)*HLOOKUP($K519,'Type Chart'!$C$2:$U$20,19,false)</f>
        <v>1</v>
      </c>
      <c r="AM519" s="964" t="s">
        <v>1576</v>
      </c>
      <c r="AN519" s="965"/>
      <c r="AO519" s="966" t="s">
        <v>1153</v>
      </c>
      <c r="AP519" s="936"/>
      <c r="AQ519" s="967"/>
      <c r="AR519" s="968"/>
      <c r="AS519" s="936"/>
    </row>
    <row r="520" ht="15.75" customHeight="1">
      <c r="A520" s="1099"/>
      <c r="B520" s="948" t="s">
        <v>2492</v>
      </c>
      <c r="C520" s="950" t="s">
        <v>2493</v>
      </c>
      <c r="D520" s="950" t="s">
        <v>2493</v>
      </c>
      <c r="E520" s="952" t="s">
        <v>2493</v>
      </c>
      <c r="F520" s="940"/>
      <c r="G520" s="953"/>
      <c r="H520" s="969"/>
      <c r="I520" s="956" t="s">
        <v>801</v>
      </c>
      <c r="J520" s="1214" t="s">
        <v>342</v>
      </c>
      <c r="K520" s="984" t="s">
        <v>216</v>
      </c>
      <c r="L520" s="959">
        <v>97.0</v>
      </c>
      <c r="M520" s="960">
        <v>165.0</v>
      </c>
      <c r="N520" s="960">
        <v>60.0</v>
      </c>
      <c r="O520" s="960">
        <v>65.0</v>
      </c>
      <c r="P520" s="960">
        <v>50.0</v>
      </c>
      <c r="Q520" s="960">
        <v>58.0</v>
      </c>
      <c r="R520" s="960">
        <v>152.0</v>
      </c>
      <c r="S520" s="960">
        <v>215.0</v>
      </c>
      <c r="T520" s="960">
        <v>236.0</v>
      </c>
      <c r="U520" s="960">
        <f t="array" ref="U520">HLOOKUP($J520,'Type Chart'!$C$2:$T$20,2,false)*HLOOKUP($K520,'Type Chart'!$C$2:$U$20,2,false)</f>
        <v>0.5</v>
      </c>
      <c r="V520" s="960">
        <f t="array" ref="V520">HLOOKUP($J520,'Type Chart'!$C$2:$T$20,3,false)*HLOOKUP($K520,'Type Chart'!$C$2:$U$20,3,false)</f>
        <v>2</v>
      </c>
      <c r="W520" s="960">
        <f t="array" ref="W520">HLOOKUP($J520,'Type Chart'!$C$2:$T$20,4,false)*HLOOKUP($K520,'Type Chart'!$C$2:$U$20,4,false)</f>
        <v>0.5</v>
      </c>
      <c r="X520" s="960">
        <f t="array" ref="X520">HLOOKUP($J520,'Type Chart'!$C$2:$T$20,5,false)*HLOOKUP($K520,'Type Chart'!$C$2:$U$20,5,false)</f>
        <v>0.5</v>
      </c>
      <c r="Y520" s="960">
        <f t="array" ref="Y520">HLOOKUP($J520,'Type Chart'!$C$2:$T$20,6,false)*HLOOKUP($K520,'Type Chart'!$C$2:$U$20,6,false)</f>
        <v>2</v>
      </c>
      <c r="Z520" s="960">
        <f t="array" ref="Z520">HLOOKUP($J520,'Type Chart'!$C$2:$T$20,7,false)*HLOOKUP($K520,'Type Chart'!$C$2:$U$20,7,false)</f>
        <v>1</v>
      </c>
      <c r="AA520" s="960">
        <f t="array" ref="AA520">HLOOKUP($J520,'Type Chart'!$C$2:$T$20,8,false)*HLOOKUP($K520,'Type Chart'!$C$2:$U$20,8,false)</f>
        <v>1</v>
      </c>
      <c r="AB520" s="960">
        <f t="array" ref="AB520">HLOOKUP($J520,'Type Chart'!$C$2:$T$20,9,false)*HLOOKUP($K520,'Type Chart'!$C$2:$U$20,9,false)</f>
        <v>1</v>
      </c>
      <c r="AC520" s="960">
        <f t="array" ref="AC520">HLOOKUP($J520,'Type Chart'!$C$2:$T$20,10,false)*HLOOKUP($K520,'Type Chart'!$C$2:$U$20,10,false)</f>
        <v>2</v>
      </c>
      <c r="AD520" s="960">
        <f t="array" ref="AD520">HLOOKUP($J520,'Type Chart'!$C$2:$T$20,11,false)*HLOOKUP($K520,'Type Chart'!$C$2:$U$20,11,false)</f>
        <v>0.5</v>
      </c>
      <c r="AE520" s="960">
        <f t="array" ref="AE520">HLOOKUP($J520,'Type Chart'!$C$2:$T$20,12,false)*HLOOKUP($K520,'Type Chart'!$C$2:$U$20,12,false)</f>
        <v>2</v>
      </c>
      <c r="AF520" s="960">
        <f t="array" ref="AF520">HLOOKUP($J520,'Type Chart'!$C$2:$T$20,13,false)*HLOOKUP($K520,'Type Chart'!$C$2:$U$20,13,false)</f>
        <v>2</v>
      </c>
      <c r="AG520" s="960">
        <f t="array" ref="AG520">HLOOKUP($J520,'Type Chart'!$C$2:$T$20,14,false)*HLOOKUP($K520,'Type Chart'!$C$2:$U$20,14,false)</f>
        <v>1</v>
      </c>
      <c r="AH520" s="960">
        <f t="array" ref="AH520">HLOOKUP($J520,'Type Chart'!$C$2:$T$20,15,false)*HLOOKUP($K520,'Type Chart'!$C$2:$U$20,15,false)</f>
        <v>1</v>
      </c>
      <c r="AI520" s="960">
        <f t="array" ref="AI520">HLOOKUP($J520,'Type Chart'!$C$2:$T$20,16,false)*HLOOKUP($K520,'Type Chart'!$C$2:$U$20,16,false)</f>
        <v>1</v>
      </c>
      <c r="AJ520" s="960">
        <f t="array" ref="AJ520">HLOOKUP($J520,'Type Chart'!$C$2:$T$20,17,false)*HLOOKUP($K520,'Type Chart'!$C$2:$U$20,17,false)</f>
        <v>1</v>
      </c>
      <c r="AK520" s="960">
        <f t="array" ref="AK520">HLOOKUP($J520,'Type Chart'!$C$2:$T$20,18,false)*HLOOKUP($K520,'Type Chart'!$C$2:$U$20,18,false)</f>
        <v>1</v>
      </c>
      <c r="AL520" s="960">
        <f t="array" ref="AL520">HLOOKUP($J520,'Type Chart'!$C$2:$T$20,19,false)*HLOOKUP($K520,'Type Chart'!$C$2:$U$20,19,false)</f>
        <v>1</v>
      </c>
      <c r="AM520" s="1145" t="s">
        <v>1576</v>
      </c>
      <c r="AN520" s="965"/>
      <c r="AO520" s="1146" t="s">
        <v>1153</v>
      </c>
      <c r="AP520" s="936"/>
      <c r="AQ520" s="967"/>
      <c r="AR520" s="968"/>
      <c r="AS520" s="936"/>
    </row>
    <row r="521" ht="15.75" customHeight="1">
      <c r="A521" s="1099"/>
      <c r="B521" s="948" t="s">
        <v>2494</v>
      </c>
      <c r="C521" s="1197" t="s">
        <v>2495</v>
      </c>
      <c r="D521" s="1197" t="s">
        <v>2495</v>
      </c>
      <c r="E521" s="1147" t="s">
        <v>2495</v>
      </c>
      <c r="F521" s="940"/>
      <c r="G521" s="953"/>
      <c r="H521" s="969"/>
      <c r="I521" s="998" t="s">
        <v>2496</v>
      </c>
      <c r="J521" s="1222" t="s">
        <v>342</v>
      </c>
      <c r="K521" s="1233" t="s">
        <v>82</v>
      </c>
      <c r="L521" s="1200">
        <v>30.0</v>
      </c>
      <c r="M521" s="1201">
        <v>42.0</v>
      </c>
      <c r="N521" s="1201">
        <v>118.0</v>
      </c>
      <c r="O521" s="1201">
        <v>42.0</v>
      </c>
      <c r="P521" s="1201">
        <v>88.0</v>
      </c>
      <c r="Q521" s="1201">
        <v>30.0</v>
      </c>
      <c r="R521" s="960">
        <v>96.0</v>
      </c>
      <c r="S521" s="960">
        <v>159.0</v>
      </c>
      <c r="T521" s="960">
        <v>174.0</v>
      </c>
      <c r="U521" s="960">
        <f t="array" ref="U521">HLOOKUP($J521,'Type Chart'!$C$2:$T$20,2,false)*HLOOKUP($K521,'Type Chart'!$C$2:$U$20,2,false)</f>
        <v>0.25</v>
      </c>
      <c r="V521" s="960">
        <f t="array" ref="V521">HLOOKUP($J521,'Type Chart'!$C$2:$T$20,3,false)*HLOOKUP($K521,'Type Chart'!$C$2:$U$20,3,false)</f>
        <v>4</v>
      </c>
      <c r="W521" s="960">
        <f t="array" ref="W521">HLOOKUP($J521,'Type Chart'!$C$2:$T$20,4,false)*HLOOKUP($K521,'Type Chart'!$C$2:$U$20,4,false)</f>
        <v>0.25</v>
      </c>
      <c r="X521" s="960">
        <f t="array" ref="X521">HLOOKUP($J521,'Type Chart'!$C$2:$T$20,5,false)*HLOOKUP($K521,'Type Chart'!$C$2:$U$20,5,false)</f>
        <v>0</v>
      </c>
      <c r="Y521" s="960">
        <f t="array" ref="Y521">HLOOKUP($J521,'Type Chart'!$C$2:$T$20,6,false)*HLOOKUP($K521,'Type Chart'!$C$2:$U$20,6,false)</f>
        <v>4</v>
      </c>
      <c r="Z521" s="960">
        <f t="array" ref="Z521">HLOOKUP($J521,'Type Chart'!$C$2:$T$20,7,false)*HLOOKUP($K521,'Type Chart'!$C$2:$U$20,7,false)</f>
        <v>0.5</v>
      </c>
      <c r="AA521" s="960">
        <f t="array" ref="AA521">HLOOKUP($J521,'Type Chart'!$C$2:$T$20,8,false)*HLOOKUP($K521,'Type Chart'!$C$2:$U$20,8,false)</f>
        <v>0.5</v>
      </c>
      <c r="AB521" s="960">
        <f t="array" ref="AB521">HLOOKUP($J521,'Type Chart'!$C$2:$T$20,9,false)*HLOOKUP($K521,'Type Chart'!$C$2:$U$20,9,false)</f>
        <v>1</v>
      </c>
      <c r="AC521" s="960">
        <f t="array" ref="AC521">HLOOKUP($J521,'Type Chart'!$C$2:$T$20,10,false)*HLOOKUP($K521,'Type Chart'!$C$2:$U$20,10,false)</f>
        <v>1</v>
      </c>
      <c r="AD521" s="960">
        <f t="array" ref="AD521">HLOOKUP($J521,'Type Chart'!$C$2:$T$20,11,false)*HLOOKUP($K521,'Type Chart'!$C$2:$U$20,11,false)</f>
        <v>1</v>
      </c>
      <c r="AE521" s="960">
        <f t="array" ref="AE521">HLOOKUP($J521,'Type Chart'!$C$2:$T$20,12,false)*HLOOKUP($K521,'Type Chart'!$C$2:$U$20,12,false)</f>
        <v>2</v>
      </c>
      <c r="AF521" s="960">
        <f t="array" ref="AF521">HLOOKUP($J521,'Type Chart'!$C$2:$T$20,13,false)*HLOOKUP($K521,'Type Chart'!$C$2:$U$20,13,false)</f>
        <v>1</v>
      </c>
      <c r="AG521" s="960">
        <f t="array" ref="AG521">HLOOKUP($J521,'Type Chart'!$C$2:$T$20,14,false)*HLOOKUP($K521,'Type Chart'!$C$2:$U$20,14,false)</f>
        <v>1</v>
      </c>
      <c r="AH521" s="960">
        <f t="array" ref="AH521">HLOOKUP($J521,'Type Chart'!$C$2:$T$20,15,false)*HLOOKUP($K521,'Type Chart'!$C$2:$U$20,15,false)</f>
        <v>0.5</v>
      </c>
      <c r="AI521" s="960">
        <f t="array" ref="AI521">HLOOKUP($J521,'Type Chart'!$C$2:$T$20,16,false)*HLOOKUP($K521,'Type Chart'!$C$2:$U$20,16,false)</f>
        <v>0.5</v>
      </c>
      <c r="AJ521" s="960">
        <f t="array" ref="AJ521">HLOOKUP($J521,'Type Chart'!$C$2:$T$20,17,false)*HLOOKUP($K521,'Type Chart'!$C$2:$U$20,17,false)</f>
        <v>0.5</v>
      </c>
      <c r="AK521" s="960">
        <f t="array" ref="AK521">HLOOKUP($J521,'Type Chart'!$C$2:$T$20,18,false)*HLOOKUP($K521,'Type Chart'!$C$2:$U$20,18,false)</f>
        <v>1</v>
      </c>
      <c r="AL521" s="960">
        <f t="array" ref="AL521">HLOOKUP($J521,'Type Chart'!$C$2:$T$20,19,false)*HLOOKUP($K521,'Type Chart'!$C$2:$U$20,19,false)</f>
        <v>0.5</v>
      </c>
      <c r="AM521" s="1145" t="s">
        <v>1331</v>
      </c>
      <c r="AN521" s="965"/>
      <c r="AO521" s="966" t="s">
        <v>1468</v>
      </c>
      <c r="AP521" s="936"/>
      <c r="AQ521" s="967"/>
      <c r="AR521" s="968"/>
      <c r="AS521" s="936"/>
    </row>
    <row r="522" ht="15.75" customHeight="1">
      <c r="A522" s="1099"/>
      <c r="B522" s="948" t="s">
        <v>2497</v>
      </c>
      <c r="C522" s="1197" t="s">
        <v>2498</v>
      </c>
      <c r="D522" s="1197" t="s">
        <v>2498</v>
      </c>
      <c r="E522" s="1147" t="s">
        <v>2498</v>
      </c>
      <c r="F522" s="940"/>
      <c r="G522" s="953"/>
      <c r="H522" s="969"/>
      <c r="I522" s="998" t="s">
        <v>898</v>
      </c>
      <c r="J522" s="1222" t="s">
        <v>342</v>
      </c>
      <c r="K522" s="1233" t="s">
        <v>82</v>
      </c>
      <c r="L522" s="1200">
        <v>60.0</v>
      </c>
      <c r="M522" s="1201">
        <v>52.0</v>
      </c>
      <c r="N522" s="1201">
        <v>168.0</v>
      </c>
      <c r="O522" s="1201">
        <v>47.0</v>
      </c>
      <c r="P522" s="1201">
        <v>138.0</v>
      </c>
      <c r="Q522" s="1201">
        <v>30.0</v>
      </c>
      <c r="R522" s="960">
        <v>96.0</v>
      </c>
      <c r="S522" s="960">
        <v>159.0</v>
      </c>
      <c r="T522" s="960">
        <v>174.0</v>
      </c>
      <c r="U522" s="960">
        <f t="array" ref="U522">HLOOKUP($J522,'Type Chart'!$C$2:$T$20,2,false)*HLOOKUP($K522,'Type Chart'!$C$2:$U$20,2,false)</f>
        <v>0.25</v>
      </c>
      <c r="V522" s="960">
        <f t="array" ref="V522">HLOOKUP($J522,'Type Chart'!$C$2:$T$20,3,false)*HLOOKUP($K522,'Type Chart'!$C$2:$U$20,3,false)</f>
        <v>4</v>
      </c>
      <c r="W522" s="960">
        <f t="array" ref="W522">HLOOKUP($J522,'Type Chart'!$C$2:$T$20,4,false)*HLOOKUP($K522,'Type Chart'!$C$2:$U$20,4,false)</f>
        <v>0.25</v>
      </c>
      <c r="X522" s="960">
        <f t="array" ref="X522">HLOOKUP($J522,'Type Chart'!$C$2:$T$20,5,false)*HLOOKUP($K522,'Type Chart'!$C$2:$U$20,5,false)</f>
        <v>0</v>
      </c>
      <c r="Y522" s="960">
        <f t="array" ref="Y522">HLOOKUP($J522,'Type Chart'!$C$2:$T$20,6,false)*HLOOKUP($K522,'Type Chart'!$C$2:$U$20,6,false)</f>
        <v>4</v>
      </c>
      <c r="Z522" s="960">
        <f t="array" ref="Z522">HLOOKUP($J522,'Type Chart'!$C$2:$T$20,7,false)*HLOOKUP($K522,'Type Chart'!$C$2:$U$20,7,false)</f>
        <v>0.5</v>
      </c>
      <c r="AA522" s="960">
        <f t="array" ref="AA522">HLOOKUP($J522,'Type Chart'!$C$2:$T$20,8,false)*HLOOKUP($K522,'Type Chart'!$C$2:$U$20,8,false)</f>
        <v>0.5</v>
      </c>
      <c r="AB522" s="960">
        <f t="array" ref="AB522">HLOOKUP($J522,'Type Chart'!$C$2:$T$20,9,false)*HLOOKUP($K522,'Type Chart'!$C$2:$U$20,9,false)</f>
        <v>1</v>
      </c>
      <c r="AC522" s="960">
        <f t="array" ref="AC522">HLOOKUP($J522,'Type Chart'!$C$2:$T$20,10,false)*HLOOKUP($K522,'Type Chart'!$C$2:$U$20,10,false)</f>
        <v>1</v>
      </c>
      <c r="AD522" s="960">
        <f t="array" ref="AD522">HLOOKUP($J522,'Type Chart'!$C$2:$T$20,11,false)*HLOOKUP($K522,'Type Chart'!$C$2:$U$20,11,false)</f>
        <v>1</v>
      </c>
      <c r="AE522" s="960">
        <f t="array" ref="AE522">HLOOKUP($J522,'Type Chart'!$C$2:$T$20,12,false)*HLOOKUP($K522,'Type Chart'!$C$2:$U$20,12,false)</f>
        <v>2</v>
      </c>
      <c r="AF522" s="960">
        <f t="array" ref="AF522">HLOOKUP($J522,'Type Chart'!$C$2:$T$20,13,false)*HLOOKUP($K522,'Type Chart'!$C$2:$U$20,13,false)</f>
        <v>1</v>
      </c>
      <c r="AG522" s="960">
        <f t="array" ref="AG522">HLOOKUP($J522,'Type Chart'!$C$2:$T$20,14,false)*HLOOKUP($K522,'Type Chart'!$C$2:$U$20,14,false)</f>
        <v>1</v>
      </c>
      <c r="AH522" s="960">
        <f t="array" ref="AH522">HLOOKUP($J522,'Type Chart'!$C$2:$T$20,15,false)*HLOOKUP($K522,'Type Chart'!$C$2:$U$20,15,false)</f>
        <v>0.5</v>
      </c>
      <c r="AI522" s="960">
        <f t="array" ref="AI522">HLOOKUP($J522,'Type Chart'!$C$2:$T$20,16,false)*HLOOKUP($K522,'Type Chart'!$C$2:$U$20,16,false)</f>
        <v>0.5</v>
      </c>
      <c r="AJ522" s="960">
        <f t="array" ref="AJ522">HLOOKUP($J522,'Type Chart'!$C$2:$T$20,17,false)*HLOOKUP($K522,'Type Chart'!$C$2:$U$20,17,false)</f>
        <v>0.5</v>
      </c>
      <c r="AK522" s="960">
        <f t="array" ref="AK522">HLOOKUP($J522,'Type Chart'!$C$2:$T$20,18,false)*HLOOKUP($K522,'Type Chart'!$C$2:$U$20,18,false)</f>
        <v>1</v>
      </c>
      <c r="AL522" s="960">
        <f t="array" ref="AL522">HLOOKUP($J522,'Type Chart'!$C$2:$T$20,19,false)*HLOOKUP($K522,'Type Chart'!$C$2:$U$20,19,false)</f>
        <v>0.5</v>
      </c>
      <c r="AM522" s="1145" t="s">
        <v>1331</v>
      </c>
      <c r="AN522" s="965"/>
      <c r="AO522" s="966" t="s">
        <v>1468</v>
      </c>
      <c r="AP522" s="936"/>
      <c r="AQ522" s="967"/>
      <c r="AR522" s="968"/>
      <c r="AS522" s="936"/>
    </row>
    <row r="523" ht="15.75" customHeight="1">
      <c r="A523" s="1099"/>
      <c r="B523" s="948" t="s">
        <v>2499</v>
      </c>
      <c r="C523" s="1197" t="s">
        <v>2500</v>
      </c>
      <c r="D523" s="1197" t="s">
        <v>2500</v>
      </c>
      <c r="E523" s="1147" t="s">
        <v>2500</v>
      </c>
      <c r="F523" s="940"/>
      <c r="G523" s="953"/>
      <c r="H523" s="969"/>
      <c r="I523" s="998" t="s">
        <v>2501</v>
      </c>
      <c r="J523" s="1225" t="s">
        <v>343</v>
      </c>
      <c r="K523" s="1199" t="s">
        <v>216</v>
      </c>
      <c r="L523" s="1200">
        <v>40.0</v>
      </c>
      <c r="M523" s="1201">
        <v>29.0</v>
      </c>
      <c r="N523" s="1201">
        <v>45.0</v>
      </c>
      <c r="O523" s="1201">
        <v>29.0</v>
      </c>
      <c r="P523" s="1201">
        <v>45.0</v>
      </c>
      <c r="Q523" s="1201">
        <v>36.0</v>
      </c>
      <c r="R523" s="960">
        <v>108.0</v>
      </c>
      <c r="S523" s="960">
        <v>171.0</v>
      </c>
      <c r="T523" s="960">
        <v>188.0</v>
      </c>
      <c r="U523" s="960">
        <f t="array" ref="U523">HLOOKUP($J523,'Type Chart'!$C$2:$T$20,2,false)*HLOOKUP($K523,'Type Chart'!$C$2:$U$20,2,false)</f>
        <v>1</v>
      </c>
      <c r="V523" s="960">
        <f t="array" ref="V523">HLOOKUP($J523,'Type Chart'!$C$2:$T$20,3,false)*HLOOKUP($K523,'Type Chart'!$C$2:$U$20,3,false)</f>
        <v>0.5</v>
      </c>
      <c r="W523" s="960">
        <f t="array" ref="W523">HLOOKUP($J523,'Type Chart'!$C$2:$T$20,4,false)*HLOOKUP($K523,'Type Chart'!$C$2:$U$20,4,false)</f>
        <v>2</v>
      </c>
      <c r="X523" s="960">
        <f t="array" ref="X523">HLOOKUP($J523,'Type Chart'!$C$2:$T$20,5,false)*HLOOKUP($K523,'Type Chart'!$C$2:$U$20,5,false)</f>
        <v>1</v>
      </c>
      <c r="Y523" s="960">
        <f t="array" ref="Y523">HLOOKUP($J523,'Type Chart'!$C$2:$T$20,6,false)*HLOOKUP($K523,'Type Chart'!$C$2:$U$20,6,false)</f>
        <v>0.5</v>
      </c>
      <c r="Z523" s="960">
        <f t="array" ref="Z523">HLOOKUP($J523,'Type Chart'!$C$2:$T$20,7,false)*HLOOKUP($K523,'Type Chart'!$C$2:$U$20,7,false)</f>
        <v>2</v>
      </c>
      <c r="AA523" s="960">
        <f t="array" ref="AA523">HLOOKUP($J523,'Type Chart'!$C$2:$T$20,8,false)*HLOOKUP($K523,'Type Chart'!$C$2:$U$20,8,false)</f>
        <v>1</v>
      </c>
      <c r="AB523" s="960">
        <f t="array" ref="AB523">HLOOKUP($J523,'Type Chart'!$C$2:$T$20,9,false)*HLOOKUP($K523,'Type Chart'!$C$2:$U$20,9,false)</f>
        <v>1</v>
      </c>
      <c r="AC523" s="960">
        <f t="array" ref="AC523">HLOOKUP($J523,'Type Chart'!$C$2:$T$20,10,false)*HLOOKUP($K523,'Type Chart'!$C$2:$U$20,10,false)</f>
        <v>1</v>
      </c>
      <c r="AD523" s="960">
        <f t="array" ref="AD523">HLOOKUP($J523,'Type Chart'!$C$2:$T$20,11,false)*HLOOKUP($K523,'Type Chart'!$C$2:$U$20,11,false)</f>
        <v>2</v>
      </c>
      <c r="AE523" s="960">
        <f t="array" ref="AE523">HLOOKUP($J523,'Type Chart'!$C$2:$T$20,12,false)*HLOOKUP($K523,'Type Chart'!$C$2:$U$20,12,false)</f>
        <v>1</v>
      </c>
      <c r="AF523" s="960">
        <f t="array" ref="AF523">HLOOKUP($J523,'Type Chart'!$C$2:$T$20,13,false)*HLOOKUP($K523,'Type Chart'!$C$2:$U$20,13,false)</f>
        <v>0.5</v>
      </c>
      <c r="AG523" s="960">
        <f t="array" ref="AG523">HLOOKUP($J523,'Type Chart'!$C$2:$T$20,14,false)*HLOOKUP($K523,'Type Chart'!$C$2:$U$20,14,false)</f>
        <v>1</v>
      </c>
      <c r="AH523" s="960">
        <f t="array" ref="AH523">HLOOKUP($J523,'Type Chart'!$C$2:$T$20,15,false)*HLOOKUP($K523,'Type Chart'!$C$2:$U$20,15,false)</f>
        <v>1</v>
      </c>
      <c r="AI523" s="960">
        <f t="array" ref="AI523">HLOOKUP($J523,'Type Chart'!$C$2:$T$20,16,false)*HLOOKUP($K523,'Type Chart'!$C$2:$U$20,16,false)</f>
        <v>1</v>
      </c>
      <c r="AJ523" s="960">
        <f t="array" ref="AJ523">HLOOKUP($J523,'Type Chart'!$C$2:$T$20,17,false)*HLOOKUP($K523,'Type Chart'!$C$2:$U$20,17,false)</f>
        <v>1</v>
      </c>
      <c r="AK523" s="960">
        <f t="array" ref="AK523">HLOOKUP($J523,'Type Chart'!$C$2:$T$20,18,false)*HLOOKUP($K523,'Type Chart'!$C$2:$U$20,18,false)</f>
        <v>1</v>
      </c>
      <c r="AL523" s="960">
        <f t="array" ref="AL523">HLOOKUP($J523,'Type Chart'!$C$2:$T$20,19,false)*HLOOKUP($K523,'Type Chart'!$C$2:$U$20,19,false)</f>
        <v>1</v>
      </c>
      <c r="AM523" s="1145" t="s">
        <v>998</v>
      </c>
      <c r="AN523" s="965"/>
      <c r="AO523" s="966" t="s">
        <v>1431</v>
      </c>
      <c r="AP523" s="936"/>
      <c r="AQ523" s="967"/>
      <c r="AR523" s="968"/>
      <c r="AS523" s="936"/>
    </row>
    <row r="524" ht="15.75" customHeight="1">
      <c r="A524" s="1099"/>
      <c r="B524" s="948" t="s">
        <v>2502</v>
      </c>
      <c r="C524" s="1197" t="s">
        <v>2503</v>
      </c>
      <c r="D524" s="1197" t="s">
        <v>2503</v>
      </c>
      <c r="E524" s="1147" t="s">
        <v>2503</v>
      </c>
      <c r="F524" s="940"/>
      <c r="G524" s="953"/>
      <c r="H524" s="969"/>
      <c r="I524" s="998" t="s">
        <v>2504</v>
      </c>
      <c r="J524" s="1225" t="s">
        <v>343</v>
      </c>
      <c r="K524" s="1228" t="s">
        <v>209</v>
      </c>
      <c r="L524" s="1200">
        <v>60.0</v>
      </c>
      <c r="M524" s="1201">
        <v>59.0</v>
      </c>
      <c r="N524" s="1201">
        <v>85.0</v>
      </c>
      <c r="O524" s="1201">
        <v>79.0</v>
      </c>
      <c r="P524" s="1201">
        <v>105.0</v>
      </c>
      <c r="Q524" s="1201">
        <v>36.0</v>
      </c>
      <c r="R524" s="960">
        <v>108.0</v>
      </c>
      <c r="S524" s="960">
        <v>171.0</v>
      </c>
      <c r="T524" s="960">
        <v>188.0</v>
      </c>
      <c r="U524" s="960">
        <f t="array" ref="U524">HLOOKUP($J524,'Type Chart'!$C$2:$T$20,2,false)*HLOOKUP($K524,'Type Chart'!$C$2:$U$20,2,false)</f>
        <v>1</v>
      </c>
      <c r="V524" s="960">
        <f t="array" ref="V524">HLOOKUP($J524,'Type Chart'!$C$2:$T$20,3,false)*HLOOKUP($K524,'Type Chart'!$C$2:$U$20,3,false)</f>
        <v>0.5</v>
      </c>
      <c r="W524" s="960">
        <f t="array" ref="W524">HLOOKUP($J524,'Type Chart'!$C$2:$T$20,4,false)*HLOOKUP($K524,'Type Chart'!$C$2:$U$20,4,false)</f>
        <v>4</v>
      </c>
      <c r="X524" s="960">
        <f t="array" ref="X524">HLOOKUP($J524,'Type Chart'!$C$2:$T$20,5,false)*HLOOKUP($K524,'Type Chart'!$C$2:$U$20,5,false)</f>
        <v>2</v>
      </c>
      <c r="Y524" s="960">
        <f t="array" ref="Y524">HLOOKUP($J524,'Type Chart'!$C$2:$T$20,6,false)*HLOOKUP($K524,'Type Chart'!$C$2:$U$20,6,false)</f>
        <v>0.25</v>
      </c>
      <c r="Z524" s="960">
        <f t="array" ref="Z524">HLOOKUP($J524,'Type Chart'!$C$2:$T$20,7,false)*HLOOKUP($K524,'Type Chart'!$C$2:$U$20,7,false)</f>
        <v>2</v>
      </c>
      <c r="AA524" s="960">
        <f t="array" ref="AA524">HLOOKUP($J524,'Type Chart'!$C$2:$T$20,8,false)*HLOOKUP($K524,'Type Chart'!$C$2:$U$20,8,false)</f>
        <v>2</v>
      </c>
      <c r="AB524" s="960">
        <f t="array" ref="AB524">HLOOKUP($J524,'Type Chart'!$C$2:$T$20,9,false)*HLOOKUP($K524,'Type Chart'!$C$2:$U$20,9,false)</f>
        <v>1</v>
      </c>
      <c r="AC524" s="960">
        <f t="array" ref="AC524">HLOOKUP($J524,'Type Chart'!$C$2:$T$20,10,false)*HLOOKUP($K524,'Type Chart'!$C$2:$U$20,10,false)</f>
        <v>1</v>
      </c>
      <c r="AD524" s="960">
        <f t="array" ref="AD524">HLOOKUP($J524,'Type Chart'!$C$2:$T$20,11,false)*HLOOKUP($K524,'Type Chart'!$C$2:$U$20,11,false)</f>
        <v>4</v>
      </c>
      <c r="AE524" s="960">
        <f t="array" ref="AE524">HLOOKUP($J524,'Type Chart'!$C$2:$T$20,12,false)*HLOOKUP($K524,'Type Chart'!$C$2:$U$20,12,false)</f>
        <v>0.5</v>
      </c>
      <c r="AF524" s="960">
        <f t="array" ref="AF524">HLOOKUP($J524,'Type Chart'!$C$2:$T$20,13,false)*HLOOKUP($K524,'Type Chart'!$C$2:$U$20,13,false)</f>
        <v>0.25</v>
      </c>
      <c r="AG524" s="960">
        <f t="array" ref="AG524">HLOOKUP($J524,'Type Chart'!$C$2:$T$20,14,false)*HLOOKUP($K524,'Type Chart'!$C$2:$U$20,14,false)</f>
        <v>0.5</v>
      </c>
      <c r="AH524" s="960">
        <f t="array" ref="AH524">HLOOKUP($J524,'Type Chart'!$C$2:$T$20,15,false)*HLOOKUP($K524,'Type Chart'!$C$2:$U$20,15,false)</f>
        <v>1</v>
      </c>
      <c r="AI524" s="960">
        <f t="array" ref="AI524">HLOOKUP($J524,'Type Chart'!$C$2:$T$20,16,false)*HLOOKUP($K524,'Type Chart'!$C$2:$U$20,16,false)</f>
        <v>2</v>
      </c>
      <c r="AJ524" s="960">
        <f t="array" ref="AJ524">HLOOKUP($J524,'Type Chart'!$C$2:$T$20,17,false)*HLOOKUP($K524,'Type Chart'!$C$2:$U$20,17,false)</f>
        <v>1</v>
      </c>
      <c r="AK524" s="960">
        <f t="array" ref="AK524">HLOOKUP($J524,'Type Chart'!$C$2:$T$20,18,false)*HLOOKUP($K524,'Type Chart'!$C$2:$U$20,18,false)</f>
        <v>1</v>
      </c>
      <c r="AL524" s="960">
        <f t="array" ref="AL524">HLOOKUP($J524,'Type Chart'!$C$2:$T$20,19,false)*HLOOKUP($K524,'Type Chart'!$C$2:$U$20,19,false)</f>
        <v>1</v>
      </c>
      <c r="AM524" s="1145" t="s">
        <v>998</v>
      </c>
      <c r="AN524" s="965"/>
      <c r="AO524" s="966" t="s">
        <v>1431</v>
      </c>
      <c r="AP524" s="936"/>
      <c r="AQ524" s="967"/>
      <c r="AR524" s="968"/>
      <c r="AS524" s="936"/>
    </row>
    <row r="525" ht="15.75" customHeight="1">
      <c r="A525" s="1099"/>
      <c r="B525" s="948" t="s">
        <v>2505</v>
      </c>
      <c r="C525" s="1197" t="s">
        <v>2506</v>
      </c>
      <c r="D525" s="1197" t="s">
        <v>2506</v>
      </c>
      <c r="E525" s="1147" t="s">
        <v>2506</v>
      </c>
      <c r="F525" s="940"/>
      <c r="G525" s="953"/>
      <c r="H525" s="969"/>
      <c r="I525" s="998" t="s">
        <v>2507</v>
      </c>
      <c r="J525" s="1225" t="s">
        <v>343</v>
      </c>
      <c r="K525" s="1223" t="s">
        <v>80</v>
      </c>
      <c r="L525" s="1200">
        <v>60.0</v>
      </c>
      <c r="M525" s="1201">
        <v>79.0</v>
      </c>
      <c r="N525" s="1201">
        <v>105.0</v>
      </c>
      <c r="O525" s="1201">
        <v>59.0</v>
      </c>
      <c r="P525" s="1201">
        <v>85.0</v>
      </c>
      <c r="Q525" s="1201">
        <v>36.0</v>
      </c>
      <c r="R525" s="960">
        <v>108.0</v>
      </c>
      <c r="S525" s="960">
        <v>171.0</v>
      </c>
      <c r="T525" s="960">
        <v>188.0</v>
      </c>
      <c r="U525" s="960">
        <f t="array" ref="U525">HLOOKUP($J525,'Type Chart'!$C$2:$T$20,2,false)*HLOOKUP($K525,'Type Chart'!$C$2:$U$20,2,false)</f>
        <v>1</v>
      </c>
      <c r="V525" s="960">
        <f t="array" ref="V525">HLOOKUP($J525,'Type Chart'!$C$2:$T$20,3,false)*HLOOKUP($K525,'Type Chart'!$C$2:$U$20,3,false)</f>
        <v>0.5</v>
      </c>
      <c r="W525" s="960">
        <f t="array" ref="W525">HLOOKUP($J525,'Type Chart'!$C$2:$T$20,4,false)*HLOOKUP($K525,'Type Chart'!$C$2:$U$20,4,false)</f>
        <v>2</v>
      </c>
      <c r="X525" s="960">
        <f t="array" ref="X525">HLOOKUP($J525,'Type Chart'!$C$2:$T$20,5,false)*HLOOKUP($K525,'Type Chart'!$C$2:$U$20,5,false)</f>
        <v>0.5</v>
      </c>
      <c r="Y525" s="960">
        <f t="array" ref="Y525">HLOOKUP($J525,'Type Chart'!$C$2:$T$20,6,false)*HLOOKUP($K525,'Type Chart'!$C$2:$U$20,6,false)</f>
        <v>0.5</v>
      </c>
      <c r="Z525" s="960">
        <f t="array" ref="Z525">HLOOKUP($J525,'Type Chart'!$C$2:$T$20,7,false)*HLOOKUP($K525,'Type Chart'!$C$2:$U$20,7,false)</f>
        <v>1</v>
      </c>
      <c r="AA525" s="960">
        <f t="array" ref="AA525">HLOOKUP($J525,'Type Chart'!$C$2:$T$20,8,false)*HLOOKUP($K525,'Type Chart'!$C$2:$U$20,8,false)</f>
        <v>1</v>
      </c>
      <c r="AB525" s="960">
        <f t="array" ref="AB525">HLOOKUP($J525,'Type Chart'!$C$2:$T$20,9,false)*HLOOKUP($K525,'Type Chart'!$C$2:$U$20,9,false)</f>
        <v>1</v>
      </c>
      <c r="AC525" s="960">
        <f t="array" ref="AC525">HLOOKUP($J525,'Type Chart'!$C$2:$T$20,10,false)*HLOOKUP($K525,'Type Chart'!$C$2:$U$20,10,false)</f>
        <v>1</v>
      </c>
      <c r="AD525" s="960">
        <f t="array" ref="AD525">HLOOKUP($J525,'Type Chart'!$C$2:$T$20,11,false)*HLOOKUP($K525,'Type Chart'!$C$2:$U$20,11,false)</f>
        <v>2</v>
      </c>
      <c r="AE525" s="960">
        <f t="array" ref="AE525">HLOOKUP($J525,'Type Chart'!$C$2:$T$20,12,false)*HLOOKUP($K525,'Type Chart'!$C$2:$U$20,12,false)</f>
        <v>2</v>
      </c>
      <c r="AF525" s="960">
        <f t="array" ref="AF525">HLOOKUP($J525,'Type Chart'!$C$2:$T$20,13,false)*HLOOKUP($K525,'Type Chart'!$C$2:$U$20,13,false)</f>
        <v>1</v>
      </c>
      <c r="AG525" s="960">
        <f t="array" ref="AG525">HLOOKUP($J525,'Type Chart'!$C$2:$T$20,14,false)*HLOOKUP($K525,'Type Chart'!$C$2:$U$20,14,false)</f>
        <v>0</v>
      </c>
      <c r="AH525" s="960">
        <f t="array" ref="AH525">HLOOKUP($J525,'Type Chart'!$C$2:$T$20,15,false)*HLOOKUP($K525,'Type Chart'!$C$2:$U$20,15,false)</f>
        <v>1</v>
      </c>
      <c r="AI525" s="960">
        <f t="array" ref="AI525">HLOOKUP($J525,'Type Chart'!$C$2:$T$20,16,false)*HLOOKUP($K525,'Type Chart'!$C$2:$U$20,16,false)</f>
        <v>2</v>
      </c>
      <c r="AJ525" s="960">
        <f t="array" ref="AJ525">HLOOKUP($J525,'Type Chart'!$C$2:$T$20,17,false)*HLOOKUP($K525,'Type Chart'!$C$2:$U$20,17,false)</f>
        <v>1</v>
      </c>
      <c r="AK525" s="960">
        <f t="array" ref="AK525">HLOOKUP($J525,'Type Chart'!$C$2:$T$20,18,false)*HLOOKUP($K525,'Type Chart'!$C$2:$U$20,18,false)</f>
        <v>1</v>
      </c>
      <c r="AL525" s="960">
        <f t="array" ref="AL525">HLOOKUP($J525,'Type Chart'!$C$2:$T$20,19,false)*HLOOKUP($K525,'Type Chart'!$C$2:$U$20,19,false)</f>
        <v>1</v>
      </c>
      <c r="AM525" s="1145" t="s">
        <v>998</v>
      </c>
      <c r="AN525" s="965"/>
      <c r="AO525" s="966" t="s">
        <v>1431</v>
      </c>
      <c r="AP525" s="936"/>
      <c r="AQ525" s="967"/>
      <c r="AR525" s="968"/>
      <c r="AS525" s="936"/>
    </row>
    <row r="526" ht="15.75" customHeight="1">
      <c r="A526" s="1099"/>
      <c r="B526" s="948" t="s">
        <v>2508</v>
      </c>
      <c r="C526" s="1197" t="s">
        <v>2509</v>
      </c>
      <c r="D526" s="1197" t="s">
        <v>2509</v>
      </c>
      <c r="E526" s="1147" t="s">
        <v>2509</v>
      </c>
      <c r="F526" s="940"/>
      <c r="G526" s="953"/>
      <c r="H526" s="969"/>
      <c r="I526" s="998" t="s">
        <v>2510</v>
      </c>
      <c r="J526" s="1225" t="s">
        <v>343</v>
      </c>
      <c r="K526" s="1233" t="s">
        <v>82</v>
      </c>
      <c r="L526" s="1200">
        <v>60.0</v>
      </c>
      <c r="M526" s="1201">
        <v>69.0</v>
      </c>
      <c r="N526" s="1201">
        <v>95.0</v>
      </c>
      <c r="O526" s="1201">
        <v>69.0</v>
      </c>
      <c r="P526" s="1201">
        <v>95.0</v>
      </c>
      <c r="Q526" s="1201">
        <v>36.0</v>
      </c>
      <c r="R526" s="960">
        <v>108.0</v>
      </c>
      <c r="S526" s="960">
        <v>171.0</v>
      </c>
      <c r="T526" s="960">
        <v>188.0</v>
      </c>
      <c r="U526" s="960">
        <f t="array" ref="U526">HLOOKUP($J526,'Type Chart'!$C$2:$T$20,2,false)*HLOOKUP($K526,'Type Chart'!$C$2:$U$20,2,false)</f>
        <v>0.5</v>
      </c>
      <c r="V526" s="960">
        <f t="array" ref="V526">HLOOKUP($J526,'Type Chart'!$C$2:$T$20,3,false)*HLOOKUP($K526,'Type Chart'!$C$2:$U$20,3,false)</f>
        <v>1</v>
      </c>
      <c r="W526" s="960">
        <f t="array" ref="W526">HLOOKUP($J526,'Type Chart'!$C$2:$T$20,4,false)*HLOOKUP($K526,'Type Chart'!$C$2:$U$20,4,false)</f>
        <v>1</v>
      </c>
      <c r="X526" s="960">
        <f t="array" ref="X526">HLOOKUP($J526,'Type Chart'!$C$2:$T$20,5,false)*HLOOKUP($K526,'Type Chart'!$C$2:$U$20,5,false)</f>
        <v>0</v>
      </c>
      <c r="Y526" s="960">
        <f t="array" ref="Y526">HLOOKUP($J526,'Type Chart'!$C$2:$T$20,6,false)*HLOOKUP($K526,'Type Chart'!$C$2:$U$20,6,false)</f>
        <v>1</v>
      </c>
      <c r="Z526" s="960">
        <f t="array" ref="Z526">HLOOKUP($J526,'Type Chart'!$C$2:$T$20,7,false)*HLOOKUP($K526,'Type Chart'!$C$2:$U$20,7,false)</f>
        <v>1</v>
      </c>
      <c r="AA526" s="960">
        <f t="array" ref="AA526">HLOOKUP($J526,'Type Chart'!$C$2:$T$20,8,false)*HLOOKUP($K526,'Type Chart'!$C$2:$U$20,8,false)</f>
        <v>0.5</v>
      </c>
      <c r="AB526" s="960">
        <f t="array" ref="AB526">HLOOKUP($J526,'Type Chart'!$C$2:$T$20,9,false)*HLOOKUP($K526,'Type Chart'!$C$2:$U$20,9,false)</f>
        <v>1</v>
      </c>
      <c r="AC526" s="960">
        <f t="array" ref="AC526">HLOOKUP($J526,'Type Chart'!$C$2:$T$20,10,false)*HLOOKUP($K526,'Type Chart'!$C$2:$U$20,10,false)</f>
        <v>0.5</v>
      </c>
      <c r="AD526" s="960">
        <f t="array" ref="AD526">HLOOKUP($J526,'Type Chart'!$C$2:$T$20,11,false)*HLOOKUP($K526,'Type Chart'!$C$2:$U$20,11,false)</f>
        <v>4</v>
      </c>
      <c r="AE526" s="960">
        <f t="array" ref="AE526">HLOOKUP($J526,'Type Chart'!$C$2:$T$20,12,false)*HLOOKUP($K526,'Type Chart'!$C$2:$U$20,12,false)</f>
        <v>1</v>
      </c>
      <c r="AF526" s="960">
        <f t="array" ref="AF526">HLOOKUP($J526,'Type Chart'!$C$2:$T$20,13,false)*HLOOKUP($K526,'Type Chart'!$C$2:$U$20,13,false)</f>
        <v>0.25</v>
      </c>
      <c r="AG526" s="960">
        <f t="array" ref="AG526">HLOOKUP($J526,'Type Chart'!$C$2:$T$20,14,false)*HLOOKUP($K526,'Type Chart'!$C$2:$U$20,14,false)</f>
        <v>1</v>
      </c>
      <c r="AH526" s="960">
        <f t="array" ref="AH526">HLOOKUP($J526,'Type Chart'!$C$2:$T$20,15,false)*HLOOKUP($K526,'Type Chart'!$C$2:$U$20,15,false)</f>
        <v>0.5</v>
      </c>
      <c r="AI526" s="960">
        <f t="array" ref="AI526">HLOOKUP($J526,'Type Chart'!$C$2:$T$20,16,false)*HLOOKUP($K526,'Type Chart'!$C$2:$U$20,16,false)</f>
        <v>0.5</v>
      </c>
      <c r="AJ526" s="960">
        <f t="array" ref="AJ526">HLOOKUP($J526,'Type Chart'!$C$2:$T$20,17,false)*HLOOKUP($K526,'Type Chart'!$C$2:$U$20,17,false)</f>
        <v>0.5</v>
      </c>
      <c r="AK526" s="960">
        <f t="array" ref="AK526">HLOOKUP($J526,'Type Chart'!$C$2:$T$20,18,false)*HLOOKUP($K526,'Type Chart'!$C$2:$U$20,18,false)</f>
        <v>1</v>
      </c>
      <c r="AL526" s="960">
        <f t="array" ref="AL526">HLOOKUP($J526,'Type Chart'!$C$2:$T$20,19,false)*HLOOKUP($K526,'Type Chart'!$C$2:$U$20,19,false)</f>
        <v>0.5</v>
      </c>
      <c r="AM526" s="1145" t="s">
        <v>998</v>
      </c>
      <c r="AN526" s="965"/>
      <c r="AO526" s="966" t="s">
        <v>1431</v>
      </c>
      <c r="AP526" s="936"/>
      <c r="AQ526" s="967"/>
      <c r="AR526" s="968"/>
      <c r="AS526" s="936"/>
    </row>
    <row r="527" ht="15.75" customHeight="1">
      <c r="A527" s="1099"/>
      <c r="B527" s="948" t="s">
        <v>2511</v>
      </c>
      <c r="C527" s="1197" t="s">
        <v>2512</v>
      </c>
      <c r="D527" s="1197" t="s">
        <v>2512</v>
      </c>
      <c r="E527" s="1147" t="s">
        <v>2512</v>
      </c>
      <c r="F527" s="940"/>
      <c r="G527" s="953"/>
      <c r="H527" s="969"/>
      <c r="I527" s="998" t="s">
        <v>2513</v>
      </c>
      <c r="J527" s="1225" t="s">
        <v>343</v>
      </c>
      <c r="K527" s="1210" t="s">
        <v>128</v>
      </c>
      <c r="L527" s="1200">
        <v>70.0</v>
      </c>
      <c r="M527" s="1201">
        <v>94.0</v>
      </c>
      <c r="N527" s="1201">
        <v>50.0</v>
      </c>
      <c r="O527" s="1201">
        <v>94.0</v>
      </c>
      <c r="P527" s="1201">
        <v>50.0</v>
      </c>
      <c r="Q527" s="1201">
        <v>66.0</v>
      </c>
      <c r="R527" s="960">
        <v>168.0</v>
      </c>
      <c r="S527" s="960">
        <v>231.0</v>
      </c>
      <c r="T527" s="960">
        <v>254.0</v>
      </c>
      <c r="U527" s="960">
        <f t="array" ref="U527">HLOOKUP($J527,'Type Chart'!$C$2:$T$20,2,false)*HLOOKUP($K527,'Type Chart'!$C$2:$U$20,2,false)</f>
        <v>1</v>
      </c>
      <c r="V527" s="960">
        <f t="array" ref="V527">HLOOKUP($J527,'Type Chart'!$C$2:$T$20,3,false)*HLOOKUP($K527,'Type Chart'!$C$2:$U$20,3,false)</f>
        <v>0.25</v>
      </c>
      <c r="W527" s="960">
        <f t="array" ref="W527">HLOOKUP($J527,'Type Chart'!$C$2:$T$20,4,false)*HLOOKUP($K527,'Type Chart'!$C$2:$U$20,4,false)</f>
        <v>2</v>
      </c>
      <c r="X527" s="960">
        <f t="array" ref="X527">HLOOKUP($J527,'Type Chart'!$C$2:$T$20,5,false)*HLOOKUP($K527,'Type Chart'!$C$2:$U$20,5,false)</f>
        <v>1</v>
      </c>
      <c r="Y527" s="960">
        <f t="array" ref="Y527">HLOOKUP($J527,'Type Chart'!$C$2:$T$20,6,false)*HLOOKUP($K527,'Type Chart'!$C$2:$U$20,6,false)</f>
        <v>0</v>
      </c>
      <c r="Z527" s="960">
        <f t="array" ref="Z527">HLOOKUP($J527,'Type Chart'!$C$2:$T$20,7,false)*HLOOKUP($K527,'Type Chart'!$C$2:$U$20,7,false)</f>
        <v>4</v>
      </c>
      <c r="AA527" s="960">
        <f t="array" ref="AA527">HLOOKUP($J527,'Type Chart'!$C$2:$T$20,8,false)*HLOOKUP($K527,'Type Chart'!$C$2:$U$20,8,false)</f>
        <v>0.5</v>
      </c>
      <c r="AB527" s="960">
        <f t="array" ref="AB527">HLOOKUP($J527,'Type Chart'!$C$2:$T$20,9,false)*HLOOKUP($K527,'Type Chart'!$C$2:$U$20,9,false)</f>
        <v>1</v>
      </c>
      <c r="AC527" s="960">
        <f t="array" ref="AC527">HLOOKUP($J527,'Type Chart'!$C$2:$T$20,10,false)*HLOOKUP($K527,'Type Chart'!$C$2:$U$20,10,false)</f>
        <v>1</v>
      </c>
      <c r="AD527" s="960">
        <f t="array" ref="AD527">HLOOKUP($J527,'Type Chart'!$C$2:$T$20,11,false)*HLOOKUP($K527,'Type Chart'!$C$2:$U$20,11,false)</f>
        <v>2</v>
      </c>
      <c r="AE527" s="960">
        <f t="array" ref="AE527">HLOOKUP($J527,'Type Chart'!$C$2:$T$20,12,false)*HLOOKUP($K527,'Type Chart'!$C$2:$U$20,12,false)</f>
        <v>1</v>
      </c>
      <c r="AF527" s="960">
        <f t="array" ref="AF527">HLOOKUP($J527,'Type Chart'!$C$2:$T$20,13,false)*HLOOKUP($K527,'Type Chart'!$C$2:$U$20,13,false)</f>
        <v>0.25</v>
      </c>
      <c r="AG527" s="960">
        <f t="array" ref="AG527">HLOOKUP($J527,'Type Chart'!$C$2:$T$20,14,false)*HLOOKUP($K527,'Type Chart'!$C$2:$U$20,14,false)</f>
        <v>2</v>
      </c>
      <c r="AH527" s="960">
        <f t="array" ref="AH527">HLOOKUP($J527,'Type Chart'!$C$2:$T$20,15,false)*HLOOKUP($K527,'Type Chart'!$C$2:$U$20,15,false)</f>
        <v>1</v>
      </c>
      <c r="AI527" s="960">
        <f t="array" ref="AI527">HLOOKUP($J527,'Type Chart'!$C$2:$T$20,16,false)*HLOOKUP($K527,'Type Chart'!$C$2:$U$20,16,false)</f>
        <v>2</v>
      </c>
      <c r="AJ527" s="960">
        <f t="array" ref="AJ527">HLOOKUP($J527,'Type Chart'!$C$2:$T$20,17,false)*HLOOKUP($K527,'Type Chart'!$C$2:$U$20,17,false)</f>
        <v>1</v>
      </c>
      <c r="AK527" s="960">
        <f t="array" ref="AK527">HLOOKUP($J527,'Type Chart'!$C$2:$T$20,18,false)*HLOOKUP($K527,'Type Chart'!$C$2:$U$20,18,false)</f>
        <v>1</v>
      </c>
      <c r="AL527" s="960">
        <f t="array" ref="AL527">HLOOKUP($J527,'Type Chart'!$C$2:$T$20,19,false)*HLOOKUP($K527,'Type Chart'!$C$2:$U$20,19,false)</f>
        <v>1</v>
      </c>
      <c r="AM527" s="1145" t="s">
        <v>1013</v>
      </c>
      <c r="AN527" s="965"/>
      <c r="AO527" s="966" t="s">
        <v>1003</v>
      </c>
      <c r="AP527" s="936"/>
      <c r="AQ527" s="967"/>
      <c r="AR527" s="968"/>
      <c r="AS527" s="936"/>
    </row>
    <row r="528" ht="15.75" customHeight="1">
      <c r="A528" s="936"/>
      <c r="B528" s="948" t="s">
        <v>2514</v>
      </c>
      <c r="C528" s="950" t="s">
        <v>2515</v>
      </c>
      <c r="D528" s="950" t="s">
        <v>2515</v>
      </c>
      <c r="E528" s="952" t="s">
        <v>2515</v>
      </c>
      <c r="F528" s="940"/>
      <c r="G528" s="953"/>
      <c r="H528" s="969"/>
      <c r="I528" s="956" t="s">
        <v>2516</v>
      </c>
      <c r="J528" s="1180" t="s">
        <v>343</v>
      </c>
      <c r="K528" s="1001" t="s">
        <v>128</v>
      </c>
      <c r="L528" s="959">
        <v>30.0</v>
      </c>
      <c r="M528" s="960">
        <v>30.0</v>
      </c>
      <c r="N528" s="960">
        <v>42.0</v>
      </c>
      <c r="O528" s="960">
        <v>30.0</v>
      </c>
      <c r="P528" s="960">
        <v>42.0</v>
      </c>
      <c r="Q528" s="960">
        <v>70.0</v>
      </c>
      <c r="R528" s="960">
        <v>176.0</v>
      </c>
      <c r="S528" s="960">
        <v>239.0</v>
      </c>
      <c r="T528" s="960">
        <v>262.0</v>
      </c>
      <c r="U528" s="960">
        <f t="array" ref="U528">HLOOKUP($J528,'Type Chart'!$C$2:$T$20,2,false)*HLOOKUP($K528,'Type Chart'!$C$2:$U$20,2,false)</f>
        <v>1</v>
      </c>
      <c r="V528" s="960">
        <f t="array" ref="V528">HLOOKUP($J528,'Type Chart'!$C$2:$T$20,3,false)*HLOOKUP($K528,'Type Chart'!$C$2:$U$20,3,false)</f>
        <v>0.25</v>
      </c>
      <c r="W528" s="960">
        <f t="array" ref="W528">HLOOKUP($J528,'Type Chart'!$C$2:$T$20,4,false)*HLOOKUP($K528,'Type Chart'!$C$2:$U$20,4,false)</f>
        <v>2</v>
      </c>
      <c r="X528" s="960">
        <f t="array" ref="X528">HLOOKUP($J528,'Type Chart'!$C$2:$T$20,5,false)*HLOOKUP($K528,'Type Chart'!$C$2:$U$20,5,false)</f>
        <v>1</v>
      </c>
      <c r="Y528" s="960">
        <f t="array" ref="Y528">HLOOKUP($J528,'Type Chart'!$C$2:$T$20,6,false)*HLOOKUP($K528,'Type Chart'!$C$2:$U$20,6,false)</f>
        <v>0</v>
      </c>
      <c r="Z528" s="960">
        <f t="array" ref="Z528">HLOOKUP($J528,'Type Chart'!$C$2:$T$20,7,false)*HLOOKUP($K528,'Type Chart'!$C$2:$U$20,7,false)</f>
        <v>4</v>
      </c>
      <c r="AA528" s="960">
        <f t="array" ref="AA528">HLOOKUP($J528,'Type Chart'!$C$2:$T$20,8,false)*HLOOKUP($K528,'Type Chart'!$C$2:$U$20,8,false)</f>
        <v>0.5</v>
      </c>
      <c r="AB528" s="960">
        <f t="array" ref="AB528">HLOOKUP($J528,'Type Chart'!$C$2:$T$20,9,false)*HLOOKUP($K528,'Type Chart'!$C$2:$U$20,9,false)</f>
        <v>1</v>
      </c>
      <c r="AC528" s="960">
        <f t="array" ref="AC528">HLOOKUP($J528,'Type Chart'!$C$2:$T$20,10,false)*HLOOKUP($K528,'Type Chart'!$C$2:$U$20,10,false)</f>
        <v>1</v>
      </c>
      <c r="AD528" s="960">
        <f t="array" ref="AD528">HLOOKUP($J528,'Type Chart'!$C$2:$T$20,11,false)*HLOOKUP($K528,'Type Chart'!$C$2:$U$20,11,false)</f>
        <v>2</v>
      </c>
      <c r="AE528" s="960">
        <f t="array" ref="AE528">HLOOKUP($J528,'Type Chart'!$C$2:$T$20,12,false)*HLOOKUP($K528,'Type Chart'!$C$2:$U$20,12,false)</f>
        <v>1</v>
      </c>
      <c r="AF528" s="960">
        <f t="array" ref="AF528">HLOOKUP($J528,'Type Chart'!$C$2:$T$20,13,false)*HLOOKUP($K528,'Type Chart'!$C$2:$U$20,13,false)</f>
        <v>0.25</v>
      </c>
      <c r="AG528" s="960">
        <f t="array" ref="AG528">HLOOKUP($J528,'Type Chart'!$C$2:$T$20,14,false)*HLOOKUP($K528,'Type Chart'!$C$2:$U$20,14,false)</f>
        <v>2</v>
      </c>
      <c r="AH528" s="960">
        <f t="array" ref="AH528">HLOOKUP($J528,'Type Chart'!$C$2:$T$20,15,false)*HLOOKUP($K528,'Type Chart'!$C$2:$U$20,15,false)</f>
        <v>1</v>
      </c>
      <c r="AI528" s="960">
        <f t="array" ref="AI528">HLOOKUP($J528,'Type Chart'!$C$2:$T$20,16,false)*HLOOKUP($K528,'Type Chart'!$C$2:$U$20,16,false)</f>
        <v>2</v>
      </c>
      <c r="AJ528" s="960">
        <f t="array" ref="AJ528">HLOOKUP($J528,'Type Chart'!$C$2:$T$20,17,false)*HLOOKUP($K528,'Type Chart'!$C$2:$U$20,17,false)</f>
        <v>1</v>
      </c>
      <c r="AK528" s="960">
        <f t="array" ref="AK528">HLOOKUP($J528,'Type Chart'!$C$2:$T$20,18,false)*HLOOKUP($K528,'Type Chart'!$C$2:$U$20,18,false)</f>
        <v>1</v>
      </c>
      <c r="AL528" s="960">
        <f t="array" ref="AL528">HLOOKUP($J528,'Type Chart'!$C$2:$T$20,19,false)*HLOOKUP($K528,'Type Chart'!$C$2:$U$20,19,false)</f>
        <v>1</v>
      </c>
      <c r="AM528" s="964" t="s">
        <v>1874</v>
      </c>
      <c r="AN528" s="965"/>
      <c r="AO528" s="966" t="s">
        <v>1039</v>
      </c>
      <c r="AP528" s="936"/>
      <c r="AQ528" s="967"/>
      <c r="AR528" s="968"/>
      <c r="AS528" s="936"/>
    </row>
    <row r="529" ht="15.75" customHeight="1">
      <c r="A529" s="936"/>
      <c r="B529" s="948" t="s">
        <v>2517</v>
      </c>
      <c r="C529" s="950" t="s">
        <v>2518</v>
      </c>
      <c r="D529" s="950" t="s">
        <v>2518</v>
      </c>
      <c r="E529" s="952" t="s">
        <v>2518</v>
      </c>
      <c r="F529" s="940"/>
      <c r="G529" s="953"/>
      <c r="H529" s="969"/>
      <c r="I529" s="956" t="s">
        <v>872</v>
      </c>
      <c r="J529" s="1180" t="s">
        <v>343</v>
      </c>
      <c r="K529" s="1001" t="s">
        <v>128</v>
      </c>
      <c r="L529" s="959">
        <v>70.0</v>
      </c>
      <c r="M529" s="960">
        <v>80.0</v>
      </c>
      <c r="N529" s="960">
        <v>102.0</v>
      </c>
      <c r="O529" s="960">
        <v>80.0</v>
      </c>
      <c r="P529" s="960">
        <v>102.0</v>
      </c>
      <c r="Q529" s="960">
        <v>40.0</v>
      </c>
      <c r="R529" s="960">
        <v>116.0</v>
      </c>
      <c r="S529" s="960">
        <v>179.0</v>
      </c>
      <c r="T529" s="960">
        <v>196.0</v>
      </c>
      <c r="U529" s="960">
        <f t="array" ref="U529">HLOOKUP($J529,'Type Chart'!$C$2:$T$20,2,false)*HLOOKUP($K529,'Type Chart'!$C$2:$U$20,2,false)</f>
        <v>1</v>
      </c>
      <c r="V529" s="960">
        <f t="array" ref="V529">HLOOKUP($J529,'Type Chart'!$C$2:$T$20,3,false)*HLOOKUP($K529,'Type Chart'!$C$2:$U$20,3,false)</f>
        <v>0.25</v>
      </c>
      <c r="W529" s="960">
        <f t="array" ref="W529">HLOOKUP($J529,'Type Chart'!$C$2:$T$20,4,false)*HLOOKUP($K529,'Type Chart'!$C$2:$U$20,4,false)</f>
        <v>2</v>
      </c>
      <c r="X529" s="960">
        <f t="array" ref="X529">HLOOKUP($J529,'Type Chart'!$C$2:$T$20,5,false)*HLOOKUP($K529,'Type Chart'!$C$2:$U$20,5,false)</f>
        <v>1</v>
      </c>
      <c r="Y529" s="960">
        <f t="array" ref="Y529">HLOOKUP($J529,'Type Chart'!$C$2:$T$20,6,false)*HLOOKUP($K529,'Type Chart'!$C$2:$U$20,6,false)</f>
        <v>0</v>
      </c>
      <c r="Z529" s="960">
        <f t="array" ref="Z529">HLOOKUP($J529,'Type Chart'!$C$2:$T$20,7,false)*HLOOKUP($K529,'Type Chart'!$C$2:$U$20,7,false)</f>
        <v>4</v>
      </c>
      <c r="AA529" s="960">
        <f t="array" ref="AA529">HLOOKUP($J529,'Type Chart'!$C$2:$T$20,8,false)*HLOOKUP($K529,'Type Chart'!$C$2:$U$20,8,false)</f>
        <v>0.5</v>
      </c>
      <c r="AB529" s="960">
        <f t="array" ref="AB529">HLOOKUP($J529,'Type Chart'!$C$2:$T$20,9,false)*HLOOKUP($K529,'Type Chart'!$C$2:$U$20,9,false)</f>
        <v>1</v>
      </c>
      <c r="AC529" s="960">
        <f t="array" ref="AC529">HLOOKUP($J529,'Type Chart'!$C$2:$T$20,10,false)*HLOOKUP($K529,'Type Chart'!$C$2:$U$20,10,false)</f>
        <v>1</v>
      </c>
      <c r="AD529" s="960">
        <f t="array" ref="AD529">HLOOKUP($J529,'Type Chart'!$C$2:$T$20,11,false)*HLOOKUP($K529,'Type Chart'!$C$2:$U$20,11,false)</f>
        <v>2</v>
      </c>
      <c r="AE529" s="960">
        <f t="array" ref="AE529">HLOOKUP($J529,'Type Chart'!$C$2:$T$20,12,false)*HLOOKUP($K529,'Type Chart'!$C$2:$U$20,12,false)</f>
        <v>1</v>
      </c>
      <c r="AF529" s="960">
        <f t="array" ref="AF529">HLOOKUP($J529,'Type Chart'!$C$2:$T$20,13,false)*HLOOKUP($K529,'Type Chart'!$C$2:$U$20,13,false)</f>
        <v>0.25</v>
      </c>
      <c r="AG529" s="960">
        <f t="array" ref="AG529">HLOOKUP($J529,'Type Chart'!$C$2:$T$20,14,false)*HLOOKUP($K529,'Type Chart'!$C$2:$U$20,14,false)</f>
        <v>2</v>
      </c>
      <c r="AH529" s="960">
        <f t="array" ref="AH529">HLOOKUP($J529,'Type Chart'!$C$2:$T$20,15,false)*HLOOKUP($K529,'Type Chart'!$C$2:$U$20,15,false)</f>
        <v>1</v>
      </c>
      <c r="AI529" s="960">
        <f t="array" ref="AI529">HLOOKUP($J529,'Type Chart'!$C$2:$T$20,16,false)*HLOOKUP($K529,'Type Chart'!$C$2:$U$20,16,false)</f>
        <v>2</v>
      </c>
      <c r="AJ529" s="960">
        <f t="array" ref="AJ529">HLOOKUP($J529,'Type Chart'!$C$2:$T$20,17,false)*HLOOKUP($K529,'Type Chart'!$C$2:$U$20,17,false)</f>
        <v>1</v>
      </c>
      <c r="AK529" s="960">
        <f t="array" ref="AK529">HLOOKUP($J529,'Type Chart'!$C$2:$T$20,18,false)*HLOOKUP($K529,'Type Chart'!$C$2:$U$20,18,false)</f>
        <v>1</v>
      </c>
      <c r="AL529" s="960">
        <f t="array" ref="AL529">HLOOKUP($J529,'Type Chart'!$C$2:$T$20,19,false)*HLOOKUP($K529,'Type Chart'!$C$2:$U$20,19,false)</f>
        <v>1</v>
      </c>
      <c r="AM529" s="964" t="s">
        <v>1636</v>
      </c>
      <c r="AN529" s="965"/>
      <c r="AO529" s="966" t="s">
        <v>1062</v>
      </c>
      <c r="AP529" s="936"/>
      <c r="AQ529" s="967"/>
      <c r="AR529" s="968"/>
      <c r="AS529" s="936"/>
    </row>
    <row r="530" ht="15.75" customHeight="1">
      <c r="A530" s="936"/>
      <c r="B530" s="948" t="s">
        <v>2519</v>
      </c>
      <c r="C530" s="950" t="s">
        <v>2520</v>
      </c>
      <c r="D530" s="950" t="s">
        <v>2520</v>
      </c>
      <c r="E530" s="952" t="s">
        <v>2520</v>
      </c>
      <c r="F530" s="940"/>
      <c r="G530" s="953"/>
      <c r="H530" s="969"/>
      <c r="I530" s="956" t="s">
        <v>851</v>
      </c>
      <c r="J530" s="1196" t="s">
        <v>203</v>
      </c>
      <c r="K530" s="984" t="s">
        <v>216</v>
      </c>
      <c r="L530" s="959">
        <v>60.0</v>
      </c>
      <c r="M530" s="960">
        <v>45.0</v>
      </c>
      <c r="N530" s="960">
        <v>70.0</v>
      </c>
      <c r="O530" s="960">
        <v>45.0</v>
      </c>
      <c r="P530" s="960">
        <v>90.0</v>
      </c>
      <c r="Q530" s="960">
        <v>95.0</v>
      </c>
      <c r="R530" s="960">
        <v>226.0</v>
      </c>
      <c r="S530" s="960">
        <v>289.0</v>
      </c>
      <c r="T530" s="960">
        <v>317.0</v>
      </c>
      <c r="U530" s="960">
        <f t="array" ref="U530">HLOOKUP($J530,'Type Chart'!$C$2:$T$20,2,false)*HLOOKUP($K530,'Type Chart'!$C$2:$U$20,2,false)</f>
        <v>1</v>
      </c>
      <c r="V530" s="960">
        <f t="array" ref="V530">HLOOKUP($J530,'Type Chart'!$C$2:$T$20,3,false)*HLOOKUP($K530,'Type Chart'!$C$2:$U$20,3,false)</f>
        <v>1</v>
      </c>
      <c r="W530" s="960">
        <f t="array" ref="W530">HLOOKUP($J530,'Type Chart'!$C$2:$T$20,4,false)*HLOOKUP($K530,'Type Chart'!$C$2:$U$20,4,false)</f>
        <v>0.5</v>
      </c>
      <c r="X530" s="960">
        <f t="array" ref="X530">HLOOKUP($J530,'Type Chart'!$C$2:$T$20,5,false)*HLOOKUP($K530,'Type Chart'!$C$2:$U$20,5,false)</f>
        <v>1</v>
      </c>
      <c r="Y530" s="960">
        <f t="array" ref="Y530">HLOOKUP($J530,'Type Chart'!$C$2:$T$20,6,false)*HLOOKUP($K530,'Type Chart'!$C$2:$U$20,6,false)</f>
        <v>2</v>
      </c>
      <c r="Z530" s="960">
        <f t="array" ref="Z530">HLOOKUP($J530,'Type Chart'!$C$2:$T$20,7,false)*HLOOKUP($K530,'Type Chart'!$C$2:$U$20,7,false)</f>
        <v>1</v>
      </c>
      <c r="AA530" s="960">
        <f t="array" ref="AA530">HLOOKUP($J530,'Type Chart'!$C$2:$T$20,8,false)*HLOOKUP($K530,'Type Chart'!$C$2:$U$20,8,false)</f>
        <v>1</v>
      </c>
      <c r="AB530" s="960">
        <f t="array" ref="AB530">HLOOKUP($J530,'Type Chart'!$C$2:$T$20,9,false)*HLOOKUP($K530,'Type Chart'!$C$2:$U$20,9,false)</f>
        <v>1</v>
      </c>
      <c r="AC530" s="960">
        <f t="array" ref="AC530">HLOOKUP($J530,'Type Chart'!$C$2:$T$20,10,false)*HLOOKUP($K530,'Type Chart'!$C$2:$U$20,10,false)</f>
        <v>0.5</v>
      </c>
      <c r="AD530" s="960">
        <f t="array" ref="AD530">HLOOKUP($J530,'Type Chart'!$C$2:$T$20,11,false)*HLOOKUP($K530,'Type Chart'!$C$2:$U$20,11,false)</f>
        <v>1</v>
      </c>
      <c r="AE530" s="960">
        <f t="array" ref="AE530">HLOOKUP($J530,'Type Chart'!$C$2:$T$20,12,false)*HLOOKUP($K530,'Type Chart'!$C$2:$U$20,12,false)</f>
        <v>1</v>
      </c>
      <c r="AF530" s="960">
        <f t="array" ref="AF530">HLOOKUP($J530,'Type Chart'!$C$2:$T$20,13,false)*HLOOKUP($K530,'Type Chart'!$C$2:$U$20,13,false)</f>
        <v>1</v>
      </c>
      <c r="AG530" s="960">
        <f t="array" ref="AG530">HLOOKUP($J530,'Type Chart'!$C$2:$T$20,14,false)*HLOOKUP($K530,'Type Chart'!$C$2:$U$20,14,false)</f>
        <v>0.5</v>
      </c>
      <c r="AH530" s="960">
        <f t="array" ref="AH530">HLOOKUP($J530,'Type Chart'!$C$2:$T$20,15,false)*HLOOKUP($K530,'Type Chart'!$C$2:$U$20,15,false)</f>
        <v>1</v>
      </c>
      <c r="AI530" s="960">
        <f t="array" ref="AI530">HLOOKUP($J530,'Type Chart'!$C$2:$T$20,16,false)*HLOOKUP($K530,'Type Chart'!$C$2:$U$20,16,false)</f>
        <v>1</v>
      </c>
      <c r="AJ530" s="960">
        <f t="array" ref="AJ530">HLOOKUP($J530,'Type Chart'!$C$2:$T$20,17,false)*HLOOKUP($K530,'Type Chart'!$C$2:$U$20,17,false)</f>
        <v>1</v>
      </c>
      <c r="AK530" s="960">
        <f t="array" ref="AK530">HLOOKUP($J530,'Type Chart'!$C$2:$T$20,18,false)*HLOOKUP($K530,'Type Chart'!$C$2:$U$20,18,false)</f>
        <v>1</v>
      </c>
      <c r="AL530" s="960">
        <f t="array" ref="AL530">HLOOKUP($J530,'Type Chart'!$C$2:$T$20,19,false)*HLOOKUP($K530,'Type Chart'!$C$2:$U$20,19,false)</f>
        <v>1</v>
      </c>
      <c r="AM530" s="964" t="s">
        <v>988</v>
      </c>
      <c r="AN530" s="965" t="s">
        <v>1238</v>
      </c>
      <c r="AO530" s="966" t="s">
        <v>1614</v>
      </c>
      <c r="AP530" s="936"/>
      <c r="AQ530" s="967"/>
      <c r="AR530" s="968"/>
      <c r="AS530" s="936"/>
    </row>
    <row r="531" ht="15.75" customHeight="1">
      <c r="A531" s="936"/>
      <c r="B531" s="948" t="s">
        <v>2521</v>
      </c>
      <c r="C531" s="950" t="s">
        <v>2522</v>
      </c>
      <c r="D531" s="950" t="s">
        <v>2522</v>
      </c>
      <c r="E531" s="952" t="s">
        <v>2522</v>
      </c>
      <c r="F531" s="940"/>
      <c r="G531" s="953"/>
      <c r="H531" s="969"/>
      <c r="I531" s="956" t="s">
        <v>2523</v>
      </c>
      <c r="J531" s="1056" t="s">
        <v>81</v>
      </c>
      <c r="K531" s="984" t="s">
        <v>216</v>
      </c>
      <c r="L531" s="959">
        <v>55.0</v>
      </c>
      <c r="M531" s="960">
        <v>65.0</v>
      </c>
      <c r="N531" s="960">
        <v>35.0</v>
      </c>
      <c r="O531" s="960">
        <v>60.0</v>
      </c>
      <c r="P531" s="960">
        <v>30.0</v>
      </c>
      <c r="Q531" s="960">
        <v>85.0</v>
      </c>
      <c r="R531" s="960">
        <v>206.0</v>
      </c>
      <c r="S531" s="960">
        <v>269.0</v>
      </c>
      <c r="T531" s="960">
        <v>295.0</v>
      </c>
      <c r="U531" s="960">
        <f t="array" ref="U531">HLOOKUP($J531,'Type Chart'!$C$2:$T$20,2,false)*HLOOKUP($K531,'Type Chart'!$C$2:$U$20,2,false)</f>
        <v>1</v>
      </c>
      <c r="V531" s="960">
        <f t="array" ref="V531">HLOOKUP($J531,'Type Chart'!$C$2:$T$20,3,false)*HLOOKUP($K531,'Type Chart'!$C$2:$U$20,3,false)</f>
        <v>1</v>
      </c>
      <c r="W531" s="960">
        <f t="array" ref="W531">HLOOKUP($J531,'Type Chart'!$C$2:$T$20,4,false)*HLOOKUP($K531,'Type Chart'!$C$2:$U$20,4,false)</f>
        <v>1</v>
      </c>
      <c r="X531" s="960">
        <f t="array" ref="X531">HLOOKUP($J531,'Type Chart'!$C$2:$T$20,5,false)*HLOOKUP($K531,'Type Chart'!$C$2:$U$20,5,false)</f>
        <v>1</v>
      </c>
      <c r="Y531" s="960">
        <f t="array" ref="Y531">HLOOKUP($J531,'Type Chart'!$C$2:$T$20,6,false)*HLOOKUP($K531,'Type Chart'!$C$2:$U$20,6,false)</f>
        <v>1</v>
      </c>
      <c r="Z531" s="960">
        <f t="array" ref="Z531">HLOOKUP($J531,'Type Chart'!$C$2:$T$20,7,false)*HLOOKUP($K531,'Type Chart'!$C$2:$U$20,7,false)</f>
        <v>1</v>
      </c>
      <c r="AA531" s="960">
        <f t="array" ref="AA531">HLOOKUP($J531,'Type Chart'!$C$2:$T$20,8,false)*HLOOKUP($K531,'Type Chart'!$C$2:$U$20,8,false)</f>
        <v>1</v>
      </c>
      <c r="AB531" s="960">
        <f t="array" ref="AB531">HLOOKUP($J531,'Type Chart'!$C$2:$T$20,9,false)*HLOOKUP($K531,'Type Chart'!$C$2:$U$20,9,false)</f>
        <v>1</v>
      </c>
      <c r="AC531" s="960">
        <f t="array" ref="AC531">HLOOKUP($J531,'Type Chart'!$C$2:$T$20,10,false)*HLOOKUP($K531,'Type Chart'!$C$2:$U$20,10,false)</f>
        <v>0.5</v>
      </c>
      <c r="AD531" s="960">
        <f t="array" ref="AD531">HLOOKUP($J531,'Type Chart'!$C$2:$T$20,11,false)*HLOOKUP($K531,'Type Chart'!$C$2:$U$20,11,false)</f>
        <v>0.5</v>
      </c>
      <c r="AE531" s="960">
        <f t="array" ref="AE531">HLOOKUP($J531,'Type Chart'!$C$2:$T$20,12,false)*HLOOKUP($K531,'Type Chart'!$C$2:$U$20,12,false)</f>
        <v>0.5</v>
      </c>
      <c r="AF531" s="960">
        <f t="array" ref="AF531">HLOOKUP($J531,'Type Chart'!$C$2:$T$20,13,false)*HLOOKUP($K531,'Type Chart'!$C$2:$U$20,13,false)</f>
        <v>2</v>
      </c>
      <c r="AG531" s="960">
        <f t="array" ref="AG531">HLOOKUP($J531,'Type Chart'!$C$2:$T$20,14,false)*HLOOKUP($K531,'Type Chart'!$C$2:$U$20,14,false)</f>
        <v>2</v>
      </c>
      <c r="AH531" s="960">
        <f t="array" ref="AH531">HLOOKUP($J531,'Type Chart'!$C$2:$T$20,15,false)*HLOOKUP($K531,'Type Chart'!$C$2:$U$20,15,false)</f>
        <v>1</v>
      </c>
      <c r="AI531" s="960">
        <f t="array" ref="AI531">HLOOKUP($J531,'Type Chart'!$C$2:$T$20,16,false)*HLOOKUP($K531,'Type Chart'!$C$2:$U$20,16,false)</f>
        <v>0.5</v>
      </c>
      <c r="AJ531" s="960">
        <f t="array" ref="AJ531">HLOOKUP($J531,'Type Chart'!$C$2:$T$20,17,false)*HLOOKUP($K531,'Type Chart'!$C$2:$U$20,17,false)</f>
        <v>1</v>
      </c>
      <c r="AK531" s="960">
        <f t="array" ref="AK531">HLOOKUP($J531,'Type Chart'!$C$2:$T$20,18,false)*HLOOKUP($K531,'Type Chart'!$C$2:$U$20,18,false)</f>
        <v>1</v>
      </c>
      <c r="AL531" s="960">
        <f t="array" ref="AL531">HLOOKUP($J531,'Type Chart'!$C$2:$T$20,19,false)*HLOOKUP($K531,'Type Chart'!$C$2:$U$20,19,false)</f>
        <v>1</v>
      </c>
      <c r="AM531" s="964" t="s">
        <v>1259</v>
      </c>
      <c r="AN531" s="965"/>
      <c r="AO531" s="966" t="s">
        <v>1542</v>
      </c>
      <c r="AP531" s="936"/>
      <c r="AQ531" s="967"/>
      <c r="AR531" s="968"/>
      <c r="AS531" s="936"/>
    </row>
    <row r="532" ht="15.75" customHeight="1">
      <c r="A532" s="936"/>
      <c r="B532" s="948" t="s">
        <v>2524</v>
      </c>
      <c r="C532" s="950" t="s">
        <v>2525</v>
      </c>
      <c r="D532" s="950" t="s">
        <v>2525</v>
      </c>
      <c r="E532" s="952" t="s">
        <v>2525</v>
      </c>
      <c r="F532" s="940"/>
      <c r="G532" s="953"/>
      <c r="H532" s="969"/>
      <c r="I532" s="956" t="s">
        <v>623</v>
      </c>
      <c r="J532" s="1056" t="s">
        <v>81</v>
      </c>
      <c r="K532" s="984" t="s">
        <v>216</v>
      </c>
      <c r="L532" s="959">
        <v>85.0</v>
      </c>
      <c r="M532" s="960">
        <v>105.0</v>
      </c>
      <c r="N532" s="960">
        <v>55.0</v>
      </c>
      <c r="O532" s="960">
        <v>85.0</v>
      </c>
      <c r="P532" s="960">
        <v>50.0</v>
      </c>
      <c r="Q532" s="960">
        <v>115.0</v>
      </c>
      <c r="R532" s="960">
        <v>266.0</v>
      </c>
      <c r="S532" s="960">
        <v>329.0</v>
      </c>
      <c r="T532" s="960">
        <v>361.0</v>
      </c>
      <c r="U532" s="960">
        <f t="array" ref="U532">HLOOKUP($J532,'Type Chart'!$C$2:$T$20,2,false)*HLOOKUP($K532,'Type Chart'!$C$2:$U$20,2,false)</f>
        <v>1</v>
      </c>
      <c r="V532" s="960">
        <f t="array" ref="V532">HLOOKUP($J532,'Type Chart'!$C$2:$T$20,3,false)*HLOOKUP($K532,'Type Chart'!$C$2:$U$20,3,false)</f>
        <v>1</v>
      </c>
      <c r="W532" s="960">
        <f t="array" ref="W532">HLOOKUP($J532,'Type Chart'!$C$2:$T$20,4,false)*HLOOKUP($K532,'Type Chart'!$C$2:$U$20,4,false)</f>
        <v>1</v>
      </c>
      <c r="X532" s="960">
        <f t="array" ref="X532">HLOOKUP($J532,'Type Chart'!$C$2:$T$20,5,false)*HLOOKUP($K532,'Type Chart'!$C$2:$U$20,5,false)</f>
        <v>1</v>
      </c>
      <c r="Y532" s="960">
        <f t="array" ref="Y532">HLOOKUP($J532,'Type Chart'!$C$2:$T$20,6,false)*HLOOKUP($K532,'Type Chart'!$C$2:$U$20,6,false)</f>
        <v>1</v>
      </c>
      <c r="Z532" s="960">
        <f t="array" ref="Z532">HLOOKUP($J532,'Type Chart'!$C$2:$T$20,7,false)*HLOOKUP($K532,'Type Chart'!$C$2:$U$20,7,false)</f>
        <v>1</v>
      </c>
      <c r="AA532" s="960">
        <f t="array" ref="AA532">HLOOKUP($J532,'Type Chart'!$C$2:$T$20,8,false)*HLOOKUP($K532,'Type Chart'!$C$2:$U$20,8,false)</f>
        <v>1</v>
      </c>
      <c r="AB532" s="960">
        <f t="array" ref="AB532">HLOOKUP($J532,'Type Chart'!$C$2:$T$20,9,false)*HLOOKUP($K532,'Type Chart'!$C$2:$U$20,9,false)</f>
        <v>1</v>
      </c>
      <c r="AC532" s="960">
        <f t="array" ref="AC532">HLOOKUP($J532,'Type Chart'!$C$2:$T$20,10,false)*HLOOKUP($K532,'Type Chart'!$C$2:$U$20,10,false)</f>
        <v>0.5</v>
      </c>
      <c r="AD532" s="960">
        <f t="array" ref="AD532">HLOOKUP($J532,'Type Chart'!$C$2:$T$20,11,false)*HLOOKUP($K532,'Type Chart'!$C$2:$U$20,11,false)</f>
        <v>0.5</v>
      </c>
      <c r="AE532" s="960">
        <f t="array" ref="AE532">HLOOKUP($J532,'Type Chart'!$C$2:$T$20,12,false)*HLOOKUP($K532,'Type Chart'!$C$2:$U$20,12,false)</f>
        <v>0.5</v>
      </c>
      <c r="AF532" s="960">
        <f t="array" ref="AF532">HLOOKUP($J532,'Type Chart'!$C$2:$T$20,13,false)*HLOOKUP($K532,'Type Chart'!$C$2:$U$20,13,false)</f>
        <v>2</v>
      </c>
      <c r="AG532" s="960">
        <f t="array" ref="AG532">HLOOKUP($J532,'Type Chart'!$C$2:$T$20,14,false)*HLOOKUP($K532,'Type Chart'!$C$2:$U$20,14,false)</f>
        <v>2</v>
      </c>
      <c r="AH532" s="960">
        <f t="array" ref="AH532">HLOOKUP($J532,'Type Chart'!$C$2:$T$20,15,false)*HLOOKUP($K532,'Type Chart'!$C$2:$U$20,15,false)</f>
        <v>1</v>
      </c>
      <c r="AI532" s="960">
        <f t="array" ref="AI532">HLOOKUP($J532,'Type Chart'!$C$2:$T$20,16,false)*HLOOKUP($K532,'Type Chart'!$C$2:$U$20,16,false)</f>
        <v>0.5</v>
      </c>
      <c r="AJ532" s="960">
        <f t="array" ref="AJ532">HLOOKUP($J532,'Type Chart'!$C$2:$T$20,17,false)*HLOOKUP($K532,'Type Chart'!$C$2:$U$20,17,false)</f>
        <v>1</v>
      </c>
      <c r="AK532" s="960">
        <f t="array" ref="AK532">HLOOKUP($J532,'Type Chart'!$C$2:$T$20,18,false)*HLOOKUP($K532,'Type Chart'!$C$2:$U$20,18,false)</f>
        <v>1</v>
      </c>
      <c r="AL532" s="960">
        <f t="array" ref="AL532">HLOOKUP($J532,'Type Chart'!$C$2:$T$20,19,false)*HLOOKUP($K532,'Type Chart'!$C$2:$U$20,19,false)</f>
        <v>1</v>
      </c>
      <c r="AM532" s="964" t="s">
        <v>1259</v>
      </c>
      <c r="AN532" s="965"/>
      <c r="AO532" s="966" t="s">
        <v>1542</v>
      </c>
      <c r="AP532" s="936"/>
      <c r="AQ532" s="967"/>
      <c r="AR532" s="968"/>
      <c r="AS532" s="936"/>
    </row>
    <row r="533" ht="15.75" customHeight="1">
      <c r="A533" s="936"/>
      <c r="B533" s="948" t="s">
        <v>2526</v>
      </c>
      <c r="C533" s="950" t="s">
        <v>2527</v>
      </c>
      <c r="D533" s="950" t="s">
        <v>2527</v>
      </c>
      <c r="E533" s="952" t="s">
        <v>2527</v>
      </c>
      <c r="F533" s="940"/>
      <c r="G533" s="953"/>
      <c r="H533" s="969"/>
      <c r="I533" s="956" t="s">
        <v>2528</v>
      </c>
      <c r="J533" s="957" t="s">
        <v>209</v>
      </c>
      <c r="K533" s="984" t="s">
        <v>216</v>
      </c>
      <c r="L533" s="959">
        <v>45.0</v>
      </c>
      <c r="M533" s="960">
        <v>35.0</v>
      </c>
      <c r="N533" s="960">
        <v>45.0</v>
      </c>
      <c r="O533" s="960">
        <v>62.0</v>
      </c>
      <c r="P533" s="960">
        <v>53.0</v>
      </c>
      <c r="Q533" s="960">
        <v>35.0</v>
      </c>
      <c r="R533" s="960">
        <v>106.0</v>
      </c>
      <c r="S533" s="960">
        <v>169.0</v>
      </c>
      <c r="T533" s="960">
        <v>185.0</v>
      </c>
      <c r="U533" s="960">
        <f t="array" ref="U533">HLOOKUP($J533,'Type Chart'!$C$2:$T$20,2,false)*HLOOKUP($K533,'Type Chart'!$C$2:$U$20,2,false)</f>
        <v>1</v>
      </c>
      <c r="V533" s="960">
        <f t="array" ref="V533">HLOOKUP($J533,'Type Chart'!$C$2:$T$20,3,false)*HLOOKUP($K533,'Type Chart'!$C$2:$U$20,3,false)</f>
        <v>1</v>
      </c>
      <c r="W533" s="960">
        <f t="array" ref="W533">HLOOKUP($J533,'Type Chart'!$C$2:$T$20,4,false)*HLOOKUP($K533,'Type Chart'!$C$2:$U$20,4,false)</f>
        <v>2</v>
      </c>
      <c r="X533" s="960">
        <f t="array" ref="X533">HLOOKUP($J533,'Type Chart'!$C$2:$T$20,5,false)*HLOOKUP($K533,'Type Chart'!$C$2:$U$20,5,false)</f>
        <v>2</v>
      </c>
      <c r="Y533" s="960">
        <f t="array" ref="Y533">HLOOKUP($J533,'Type Chart'!$C$2:$T$20,6,false)*HLOOKUP($K533,'Type Chart'!$C$2:$U$20,6,false)</f>
        <v>0.5</v>
      </c>
      <c r="Z533" s="960">
        <f t="array" ref="Z533">HLOOKUP($J533,'Type Chart'!$C$2:$T$20,7,false)*HLOOKUP($K533,'Type Chart'!$C$2:$U$20,7,false)</f>
        <v>1</v>
      </c>
      <c r="AA533" s="960">
        <f t="array" ref="AA533">HLOOKUP($J533,'Type Chart'!$C$2:$T$20,8,false)*HLOOKUP($K533,'Type Chart'!$C$2:$U$20,8,false)</f>
        <v>2</v>
      </c>
      <c r="AB533" s="960">
        <f t="array" ref="AB533">HLOOKUP($J533,'Type Chart'!$C$2:$T$20,9,false)*HLOOKUP($K533,'Type Chart'!$C$2:$U$20,9,false)</f>
        <v>1</v>
      </c>
      <c r="AC533" s="960">
        <f t="array" ref="AC533">HLOOKUP($J533,'Type Chart'!$C$2:$T$20,10,false)*HLOOKUP($K533,'Type Chart'!$C$2:$U$20,10,false)</f>
        <v>1</v>
      </c>
      <c r="AD533" s="960">
        <f t="array" ref="AD533">HLOOKUP($J533,'Type Chart'!$C$2:$T$20,11,false)*HLOOKUP($K533,'Type Chart'!$C$2:$U$20,11,false)</f>
        <v>2</v>
      </c>
      <c r="AE533" s="960">
        <f t="array" ref="AE533">HLOOKUP($J533,'Type Chart'!$C$2:$T$20,12,false)*HLOOKUP($K533,'Type Chart'!$C$2:$U$20,12,false)</f>
        <v>0.5</v>
      </c>
      <c r="AF533" s="960">
        <f t="array" ref="AF533">HLOOKUP($J533,'Type Chart'!$C$2:$T$20,13,false)*HLOOKUP($K533,'Type Chart'!$C$2:$U$20,13,false)</f>
        <v>0.5</v>
      </c>
      <c r="AG533" s="960">
        <f t="array" ref="AG533">HLOOKUP($J533,'Type Chart'!$C$2:$T$20,14,false)*HLOOKUP($K533,'Type Chart'!$C$2:$U$20,14,false)</f>
        <v>0.5</v>
      </c>
      <c r="AH533" s="960">
        <f t="array" ref="AH533">HLOOKUP($J533,'Type Chart'!$C$2:$T$20,15,false)*HLOOKUP($K533,'Type Chart'!$C$2:$U$20,15,false)</f>
        <v>1</v>
      </c>
      <c r="AI533" s="960">
        <f t="array" ref="AI533">HLOOKUP($J533,'Type Chart'!$C$2:$T$20,16,false)*HLOOKUP($K533,'Type Chart'!$C$2:$U$20,16,false)</f>
        <v>2</v>
      </c>
      <c r="AJ533" s="960">
        <f t="array" ref="AJ533">HLOOKUP($J533,'Type Chart'!$C$2:$T$20,17,false)*HLOOKUP($K533,'Type Chart'!$C$2:$U$20,17,false)</f>
        <v>1</v>
      </c>
      <c r="AK533" s="960">
        <f t="array" ref="AK533">HLOOKUP($J533,'Type Chart'!$C$2:$T$20,18,false)*HLOOKUP($K533,'Type Chart'!$C$2:$U$20,18,false)</f>
        <v>1</v>
      </c>
      <c r="AL533" s="960">
        <f t="array" ref="AL533">HLOOKUP($J533,'Type Chart'!$C$2:$T$20,19,false)*HLOOKUP($K533,'Type Chart'!$C$2:$U$20,19,false)</f>
        <v>1</v>
      </c>
      <c r="AM533" s="964" t="s">
        <v>524</v>
      </c>
      <c r="AN533" s="965"/>
      <c r="AO533" s="966"/>
      <c r="AP533" s="936"/>
      <c r="AQ533" s="967"/>
      <c r="AR533" s="968"/>
      <c r="AS533" s="936"/>
    </row>
    <row r="534" ht="15.75" customHeight="1">
      <c r="A534" s="936"/>
      <c r="B534" s="948" t="s">
        <v>2529</v>
      </c>
      <c r="C534" s="950" t="s">
        <v>2530</v>
      </c>
      <c r="D534" s="950" t="s">
        <v>2530</v>
      </c>
      <c r="E534" s="952" t="s">
        <v>2530</v>
      </c>
      <c r="F534" s="940"/>
      <c r="G534" s="953"/>
      <c r="H534" s="969"/>
      <c r="I534" s="956" t="s">
        <v>2531</v>
      </c>
      <c r="J534" s="957" t="s">
        <v>209</v>
      </c>
      <c r="K534" s="984" t="s">
        <v>216</v>
      </c>
      <c r="L534" s="959">
        <v>70.0</v>
      </c>
      <c r="M534" s="960">
        <v>60.0</v>
      </c>
      <c r="N534" s="960">
        <v>70.0</v>
      </c>
      <c r="O534" s="960">
        <v>87.0</v>
      </c>
      <c r="P534" s="960">
        <v>78.0</v>
      </c>
      <c r="Q534" s="960">
        <v>85.0</v>
      </c>
      <c r="R534" s="960">
        <v>206.0</v>
      </c>
      <c r="S534" s="960">
        <v>269.0</v>
      </c>
      <c r="T534" s="960">
        <v>295.0</v>
      </c>
      <c r="U534" s="960">
        <f t="array" ref="U534">HLOOKUP($J534,'Type Chart'!$C$2:$T$20,2,false)*HLOOKUP($K534,'Type Chart'!$C$2:$U$20,2,false)</f>
        <v>1</v>
      </c>
      <c r="V534" s="960">
        <f t="array" ref="V534">HLOOKUP($J534,'Type Chart'!$C$2:$T$20,3,false)*HLOOKUP($K534,'Type Chart'!$C$2:$U$20,3,false)</f>
        <v>1</v>
      </c>
      <c r="W534" s="960">
        <f t="array" ref="W534">HLOOKUP($J534,'Type Chart'!$C$2:$T$20,4,false)*HLOOKUP($K534,'Type Chart'!$C$2:$U$20,4,false)</f>
        <v>2</v>
      </c>
      <c r="X534" s="960">
        <f t="array" ref="X534">HLOOKUP($J534,'Type Chart'!$C$2:$T$20,5,false)*HLOOKUP($K534,'Type Chart'!$C$2:$U$20,5,false)</f>
        <v>2</v>
      </c>
      <c r="Y534" s="960">
        <f t="array" ref="Y534">HLOOKUP($J534,'Type Chart'!$C$2:$T$20,6,false)*HLOOKUP($K534,'Type Chart'!$C$2:$U$20,6,false)</f>
        <v>0.5</v>
      </c>
      <c r="Z534" s="960">
        <f t="array" ref="Z534">HLOOKUP($J534,'Type Chart'!$C$2:$T$20,7,false)*HLOOKUP($K534,'Type Chart'!$C$2:$U$20,7,false)</f>
        <v>1</v>
      </c>
      <c r="AA534" s="960">
        <f t="array" ref="AA534">HLOOKUP($J534,'Type Chart'!$C$2:$T$20,8,false)*HLOOKUP($K534,'Type Chart'!$C$2:$U$20,8,false)</f>
        <v>2</v>
      </c>
      <c r="AB534" s="960">
        <f t="array" ref="AB534">HLOOKUP($J534,'Type Chart'!$C$2:$T$20,9,false)*HLOOKUP($K534,'Type Chart'!$C$2:$U$20,9,false)</f>
        <v>1</v>
      </c>
      <c r="AC534" s="960">
        <f t="array" ref="AC534">HLOOKUP($J534,'Type Chart'!$C$2:$T$20,10,false)*HLOOKUP($K534,'Type Chart'!$C$2:$U$20,10,false)</f>
        <v>1</v>
      </c>
      <c r="AD534" s="960">
        <f t="array" ref="AD534">HLOOKUP($J534,'Type Chart'!$C$2:$T$20,11,false)*HLOOKUP($K534,'Type Chart'!$C$2:$U$20,11,false)</f>
        <v>2</v>
      </c>
      <c r="AE534" s="960">
        <f t="array" ref="AE534">HLOOKUP($J534,'Type Chart'!$C$2:$T$20,12,false)*HLOOKUP($K534,'Type Chart'!$C$2:$U$20,12,false)</f>
        <v>0.5</v>
      </c>
      <c r="AF534" s="960">
        <f t="array" ref="AF534">HLOOKUP($J534,'Type Chart'!$C$2:$T$20,13,false)*HLOOKUP($K534,'Type Chart'!$C$2:$U$20,13,false)</f>
        <v>0.5</v>
      </c>
      <c r="AG534" s="960">
        <f t="array" ref="AG534">HLOOKUP($J534,'Type Chart'!$C$2:$T$20,14,false)*HLOOKUP($K534,'Type Chart'!$C$2:$U$20,14,false)</f>
        <v>0.5</v>
      </c>
      <c r="AH534" s="960">
        <f t="array" ref="AH534">HLOOKUP($J534,'Type Chart'!$C$2:$T$20,15,false)*HLOOKUP($K534,'Type Chart'!$C$2:$U$20,15,false)</f>
        <v>1</v>
      </c>
      <c r="AI534" s="960">
        <f t="array" ref="AI534">HLOOKUP($J534,'Type Chart'!$C$2:$T$20,16,false)*HLOOKUP($K534,'Type Chart'!$C$2:$U$20,16,false)</f>
        <v>2</v>
      </c>
      <c r="AJ534" s="960">
        <f t="array" ref="AJ534">HLOOKUP($J534,'Type Chart'!$C$2:$T$20,17,false)*HLOOKUP($K534,'Type Chart'!$C$2:$U$20,17,false)</f>
        <v>1</v>
      </c>
      <c r="AK534" s="960">
        <f t="array" ref="AK534">HLOOKUP($J534,'Type Chart'!$C$2:$T$20,18,false)*HLOOKUP($K534,'Type Chart'!$C$2:$U$20,18,false)</f>
        <v>1</v>
      </c>
      <c r="AL534" s="960">
        <f t="array" ref="AL534">HLOOKUP($J534,'Type Chart'!$C$2:$T$20,19,false)*HLOOKUP($K534,'Type Chart'!$C$2:$U$20,19,false)</f>
        <v>1</v>
      </c>
      <c r="AM534" s="964" t="s">
        <v>2532</v>
      </c>
      <c r="AN534" s="965"/>
      <c r="AO534" s="966"/>
      <c r="AP534" s="936"/>
      <c r="AQ534" s="967"/>
      <c r="AR534" s="968"/>
      <c r="AS534" s="936"/>
    </row>
    <row r="535" ht="15.75" customHeight="1">
      <c r="A535" s="936"/>
      <c r="B535" s="948" t="s">
        <v>2533</v>
      </c>
      <c r="C535" s="950" t="s">
        <v>2534</v>
      </c>
      <c r="D535" s="950" t="s">
        <v>2534</v>
      </c>
      <c r="E535" s="952" t="s">
        <v>2534</v>
      </c>
      <c r="F535" s="940"/>
      <c r="G535" s="953"/>
      <c r="H535" s="969"/>
      <c r="I535" s="956" t="s">
        <v>2535</v>
      </c>
      <c r="J535" s="957" t="s">
        <v>209</v>
      </c>
      <c r="K535" s="984" t="s">
        <v>216</v>
      </c>
      <c r="L535" s="959">
        <v>70.0</v>
      </c>
      <c r="M535" s="960">
        <v>60.0</v>
      </c>
      <c r="N535" s="960">
        <v>70.0</v>
      </c>
      <c r="O535" s="960">
        <v>87.0</v>
      </c>
      <c r="P535" s="960">
        <v>78.0</v>
      </c>
      <c r="Q535" s="960">
        <v>85.0</v>
      </c>
      <c r="R535" s="960">
        <v>206.0</v>
      </c>
      <c r="S535" s="960">
        <v>269.0</v>
      </c>
      <c r="T535" s="960">
        <v>295.0</v>
      </c>
      <c r="U535" s="960">
        <f t="array" ref="U535">HLOOKUP($J535,'Type Chart'!$C$2:$T$20,2,false)*HLOOKUP($K535,'Type Chart'!$C$2:$U$20,2,false)</f>
        <v>1</v>
      </c>
      <c r="V535" s="960">
        <f t="array" ref="V535">HLOOKUP($J535,'Type Chart'!$C$2:$T$20,3,false)*HLOOKUP($K535,'Type Chart'!$C$2:$U$20,3,false)</f>
        <v>1</v>
      </c>
      <c r="W535" s="960">
        <f t="array" ref="W535">HLOOKUP($J535,'Type Chart'!$C$2:$T$20,4,false)*HLOOKUP($K535,'Type Chart'!$C$2:$U$20,4,false)</f>
        <v>2</v>
      </c>
      <c r="X535" s="960">
        <f t="array" ref="X535">HLOOKUP($J535,'Type Chart'!$C$2:$T$20,5,false)*HLOOKUP($K535,'Type Chart'!$C$2:$U$20,5,false)</f>
        <v>2</v>
      </c>
      <c r="Y535" s="960">
        <f t="array" ref="Y535">HLOOKUP($J535,'Type Chart'!$C$2:$T$20,6,false)*HLOOKUP($K535,'Type Chart'!$C$2:$U$20,6,false)</f>
        <v>0.5</v>
      </c>
      <c r="Z535" s="960">
        <f t="array" ref="Z535">HLOOKUP($J535,'Type Chart'!$C$2:$T$20,7,false)*HLOOKUP($K535,'Type Chart'!$C$2:$U$20,7,false)</f>
        <v>1</v>
      </c>
      <c r="AA535" s="960">
        <f t="array" ref="AA535">HLOOKUP($J535,'Type Chart'!$C$2:$T$20,8,false)*HLOOKUP($K535,'Type Chart'!$C$2:$U$20,8,false)</f>
        <v>2</v>
      </c>
      <c r="AB535" s="960">
        <f t="array" ref="AB535">HLOOKUP($J535,'Type Chart'!$C$2:$T$20,9,false)*HLOOKUP($K535,'Type Chart'!$C$2:$U$20,9,false)</f>
        <v>1</v>
      </c>
      <c r="AC535" s="960">
        <f t="array" ref="AC535">HLOOKUP($J535,'Type Chart'!$C$2:$T$20,10,false)*HLOOKUP($K535,'Type Chart'!$C$2:$U$20,10,false)</f>
        <v>1</v>
      </c>
      <c r="AD535" s="960">
        <f t="array" ref="AD535">HLOOKUP($J535,'Type Chart'!$C$2:$T$20,11,false)*HLOOKUP($K535,'Type Chart'!$C$2:$U$20,11,false)</f>
        <v>2</v>
      </c>
      <c r="AE535" s="960">
        <f t="array" ref="AE535">HLOOKUP($J535,'Type Chart'!$C$2:$T$20,12,false)*HLOOKUP($K535,'Type Chart'!$C$2:$U$20,12,false)</f>
        <v>0.5</v>
      </c>
      <c r="AF535" s="960">
        <f t="array" ref="AF535">HLOOKUP($J535,'Type Chart'!$C$2:$T$20,13,false)*HLOOKUP($K535,'Type Chart'!$C$2:$U$20,13,false)</f>
        <v>0.5</v>
      </c>
      <c r="AG535" s="960">
        <f t="array" ref="AG535">HLOOKUP($J535,'Type Chart'!$C$2:$T$20,14,false)*HLOOKUP($K535,'Type Chart'!$C$2:$U$20,14,false)</f>
        <v>0.5</v>
      </c>
      <c r="AH535" s="960">
        <f t="array" ref="AH535">HLOOKUP($J535,'Type Chart'!$C$2:$T$20,15,false)*HLOOKUP($K535,'Type Chart'!$C$2:$U$20,15,false)</f>
        <v>1</v>
      </c>
      <c r="AI535" s="960">
        <f t="array" ref="AI535">HLOOKUP($J535,'Type Chart'!$C$2:$T$20,16,false)*HLOOKUP($K535,'Type Chart'!$C$2:$U$20,16,false)</f>
        <v>2</v>
      </c>
      <c r="AJ535" s="960">
        <f t="array" ref="AJ535">HLOOKUP($J535,'Type Chart'!$C$2:$T$20,17,false)*HLOOKUP($K535,'Type Chart'!$C$2:$U$20,17,false)</f>
        <v>1</v>
      </c>
      <c r="AK535" s="960">
        <f t="array" ref="AK535">HLOOKUP($J535,'Type Chart'!$C$2:$T$20,18,false)*HLOOKUP($K535,'Type Chart'!$C$2:$U$20,18,false)</f>
        <v>1</v>
      </c>
      <c r="AL535" s="960">
        <f t="array" ref="AL535">HLOOKUP($J535,'Type Chart'!$C$2:$T$20,19,false)*HLOOKUP($K535,'Type Chart'!$C$2:$U$20,19,false)</f>
        <v>1</v>
      </c>
      <c r="AM535" s="964" t="s">
        <v>2532</v>
      </c>
      <c r="AN535" s="965"/>
      <c r="AO535" s="966"/>
      <c r="AP535" s="936"/>
      <c r="AQ535" s="967"/>
      <c r="AR535" s="968"/>
      <c r="AS535" s="936"/>
    </row>
    <row r="536" ht="15.75" customHeight="1">
      <c r="A536" s="936"/>
      <c r="B536" s="948" t="s">
        <v>2536</v>
      </c>
      <c r="C536" s="950" t="s">
        <v>2537</v>
      </c>
      <c r="D536" s="950" t="s">
        <v>2537</v>
      </c>
      <c r="E536" s="952" t="s">
        <v>2537</v>
      </c>
      <c r="F536" s="940"/>
      <c r="G536" s="953"/>
      <c r="H536" s="969"/>
      <c r="I536" s="956" t="s">
        <v>2538</v>
      </c>
      <c r="J536" s="1056" t="s">
        <v>81</v>
      </c>
      <c r="K536" s="984" t="s">
        <v>216</v>
      </c>
      <c r="L536" s="959">
        <v>76.0</v>
      </c>
      <c r="M536" s="960">
        <v>48.0</v>
      </c>
      <c r="N536" s="960">
        <v>48.0</v>
      </c>
      <c r="O536" s="960">
        <v>57.0</v>
      </c>
      <c r="P536" s="960">
        <v>62.0</v>
      </c>
      <c r="Q536" s="960">
        <v>34.0</v>
      </c>
      <c r="R536" s="960">
        <v>104.0</v>
      </c>
      <c r="S536" s="960">
        <v>167.0</v>
      </c>
      <c r="T536" s="960">
        <v>183.0</v>
      </c>
      <c r="U536" s="960">
        <f t="array" ref="U536">HLOOKUP($J536,'Type Chart'!$C$2:$T$20,2,false)*HLOOKUP($K536,'Type Chart'!$C$2:$U$20,2,false)</f>
        <v>1</v>
      </c>
      <c r="V536" s="960">
        <f t="array" ref="V536">HLOOKUP($J536,'Type Chart'!$C$2:$T$20,3,false)*HLOOKUP($K536,'Type Chart'!$C$2:$U$20,3,false)</f>
        <v>1</v>
      </c>
      <c r="W536" s="960">
        <f t="array" ref="W536">HLOOKUP($J536,'Type Chart'!$C$2:$T$20,4,false)*HLOOKUP($K536,'Type Chart'!$C$2:$U$20,4,false)</f>
        <v>1</v>
      </c>
      <c r="X536" s="960">
        <f t="array" ref="X536">HLOOKUP($J536,'Type Chart'!$C$2:$T$20,5,false)*HLOOKUP($K536,'Type Chart'!$C$2:$U$20,5,false)</f>
        <v>1</v>
      </c>
      <c r="Y536" s="960">
        <f t="array" ref="Y536">HLOOKUP($J536,'Type Chart'!$C$2:$T$20,6,false)*HLOOKUP($K536,'Type Chart'!$C$2:$U$20,6,false)</f>
        <v>1</v>
      </c>
      <c r="Z536" s="960">
        <f t="array" ref="Z536">HLOOKUP($J536,'Type Chart'!$C$2:$T$20,7,false)*HLOOKUP($K536,'Type Chart'!$C$2:$U$20,7,false)</f>
        <v>1</v>
      </c>
      <c r="AA536" s="960">
        <f t="array" ref="AA536">HLOOKUP($J536,'Type Chart'!$C$2:$T$20,8,false)*HLOOKUP($K536,'Type Chart'!$C$2:$U$20,8,false)</f>
        <v>1</v>
      </c>
      <c r="AB536" s="960">
        <f t="array" ref="AB536">HLOOKUP($J536,'Type Chart'!$C$2:$T$20,9,false)*HLOOKUP($K536,'Type Chart'!$C$2:$U$20,9,false)</f>
        <v>1</v>
      </c>
      <c r="AC536" s="960">
        <f t="array" ref="AC536">HLOOKUP($J536,'Type Chart'!$C$2:$T$20,10,false)*HLOOKUP($K536,'Type Chart'!$C$2:$U$20,10,false)</f>
        <v>0.5</v>
      </c>
      <c r="AD536" s="960">
        <f t="array" ref="AD536">HLOOKUP($J536,'Type Chart'!$C$2:$T$20,11,false)*HLOOKUP($K536,'Type Chart'!$C$2:$U$20,11,false)</f>
        <v>0.5</v>
      </c>
      <c r="AE536" s="960">
        <f t="array" ref="AE536">HLOOKUP($J536,'Type Chart'!$C$2:$T$20,12,false)*HLOOKUP($K536,'Type Chart'!$C$2:$U$20,12,false)</f>
        <v>0.5</v>
      </c>
      <c r="AF536" s="960">
        <f t="array" ref="AF536">HLOOKUP($J536,'Type Chart'!$C$2:$T$20,13,false)*HLOOKUP($K536,'Type Chart'!$C$2:$U$20,13,false)</f>
        <v>2</v>
      </c>
      <c r="AG536" s="960">
        <f t="array" ref="AG536">HLOOKUP($J536,'Type Chart'!$C$2:$T$20,14,false)*HLOOKUP($K536,'Type Chart'!$C$2:$U$20,14,false)</f>
        <v>2</v>
      </c>
      <c r="AH536" s="960">
        <f t="array" ref="AH536">HLOOKUP($J536,'Type Chart'!$C$2:$T$20,15,false)*HLOOKUP($K536,'Type Chart'!$C$2:$U$20,15,false)</f>
        <v>1</v>
      </c>
      <c r="AI536" s="960">
        <f t="array" ref="AI536">HLOOKUP($J536,'Type Chart'!$C$2:$T$20,16,false)*HLOOKUP($K536,'Type Chart'!$C$2:$U$20,16,false)</f>
        <v>0.5</v>
      </c>
      <c r="AJ536" s="960">
        <f t="array" ref="AJ536">HLOOKUP($J536,'Type Chart'!$C$2:$T$20,17,false)*HLOOKUP($K536,'Type Chart'!$C$2:$U$20,17,false)</f>
        <v>1</v>
      </c>
      <c r="AK536" s="960">
        <f t="array" ref="AK536">HLOOKUP($J536,'Type Chart'!$C$2:$T$20,18,false)*HLOOKUP($K536,'Type Chart'!$C$2:$U$20,18,false)</f>
        <v>1</v>
      </c>
      <c r="AL536" s="960">
        <f t="array" ref="AL536">HLOOKUP($J536,'Type Chart'!$C$2:$T$20,19,false)*HLOOKUP($K536,'Type Chart'!$C$2:$U$20,19,false)</f>
        <v>1</v>
      </c>
      <c r="AM536" s="964" t="s">
        <v>1416</v>
      </c>
      <c r="AN536" s="965" t="s">
        <v>2282</v>
      </c>
      <c r="AO536" s="966" t="s">
        <v>1224</v>
      </c>
      <c r="AP536" s="936"/>
      <c r="AQ536" s="967"/>
      <c r="AR536" s="968"/>
      <c r="AS536" s="936"/>
    </row>
    <row r="537" ht="15.75" customHeight="1">
      <c r="A537" s="936"/>
      <c r="B537" s="948" t="s">
        <v>2539</v>
      </c>
      <c r="C537" s="950" t="s">
        <v>2540</v>
      </c>
      <c r="D537" s="950" t="s">
        <v>2540</v>
      </c>
      <c r="E537" s="952" t="s">
        <v>2540</v>
      </c>
      <c r="F537" s="940"/>
      <c r="G537" s="953"/>
      <c r="H537" s="969"/>
      <c r="I537" s="956" t="s">
        <v>586</v>
      </c>
      <c r="J537" s="1056" t="s">
        <v>81</v>
      </c>
      <c r="K537" s="1204" t="s">
        <v>80</v>
      </c>
      <c r="L537" s="959">
        <v>111.0</v>
      </c>
      <c r="M537" s="960">
        <v>83.0</v>
      </c>
      <c r="N537" s="960">
        <v>68.0</v>
      </c>
      <c r="O537" s="960">
        <v>92.0</v>
      </c>
      <c r="P537" s="960">
        <v>82.0</v>
      </c>
      <c r="Q537" s="960">
        <v>39.0</v>
      </c>
      <c r="R537" s="960">
        <v>114.0</v>
      </c>
      <c r="S537" s="960">
        <v>177.0</v>
      </c>
      <c r="T537" s="960">
        <v>194.0</v>
      </c>
      <c r="U537" s="960">
        <f t="array" ref="U537">HLOOKUP($J537,'Type Chart'!$C$2:$T$20,2,false)*HLOOKUP($K537,'Type Chart'!$C$2:$U$20,2,false)</f>
        <v>1</v>
      </c>
      <c r="V537" s="960">
        <f t="array" ref="V537">HLOOKUP($J537,'Type Chart'!$C$2:$T$20,3,false)*HLOOKUP($K537,'Type Chart'!$C$2:$U$20,3,false)</f>
        <v>1</v>
      </c>
      <c r="W537" s="960">
        <f t="array" ref="W537">HLOOKUP($J537,'Type Chart'!$C$2:$T$20,4,false)*HLOOKUP($K537,'Type Chart'!$C$2:$U$20,4,false)</f>
        <v>1</v>
      </c>
      <c r="X537" s="960">
        <f t="array" ref="X537">HLOOKUP($J537,'Type Chart'!$C$2:$T$20,5,false)*HLOOKUP($K537,'Type Chart'!$C$2:$U$20,5,false)</f>
        <v>0.5</v>
      </c>
      <c r="Y537" s="960">
        <f t="array" ref="Y537">HLOOKUP($J537,'Type Chart'!$C$2:$T$20,6,false)*HLOOKUP($K537,'Type Chart'!$C$2:$U$20,6,false)</f>
        <v>1</v>
      </c>
      <c r="Z537" s="960">
        <f t="array" ref="Z537">HLOOKUP($J537,'Type Chart'!$C$2:$T$20,7,false)*HLOOKUP($K537,'Type Chart'!$C$2:$U$20,7,false)</f>
        <v>0.5</v>
      </c>
      <c r="AA537" s="960">
        <f t="array" ref="AA537">HLOOKUP($J537,'Type Chart'!$C$2:$T$20,8,false)*HLOOKUP($K537,'Type Chart'!$C$2:$U$20,8,false)</f>
        <v>1</v>
      </c>
      <c r="AB537" s="960">
        <f t="array" ref="AB537">HLOOKUP($J537,'Type Chart'!$C$2:$T$20,9,false)*HLOOKUP($K537,'Type Chart'!$C$2:$U$20,9,false)</f>
        <v>1</v>
      </c>
      <c r="AC537" s="960">
        <f t="array" ref="AC537">HLOOKUP($J537,'Type Chart'!$C$2:$T$20,10,false)*HLOOKUP($K537,'Type Chart'!$C$2:$U$20,10,false)</f>
        <v>0.5</v>
      </c>
      <c r="AD537" s="960">
        <f t="array" ref="AD537">HLOOKUP($J537,'Type Chart'!$C$2:$T$20,11,false)*HLOOKUP($K537,'Type Chart'!$C$2:$U$20,11,false)</f>
        <v>0.5</v>
      </c>
      <c r="AE537" s="960">
        <f t="array" ref="AE537">HLOOKUP($J537,'Type Chart'!$C$2:$T$20,12,false)*HLOOKUP($K537,'Type Chart'!$C$2:$U$20,12,false)</f>
        <v>1</v>
      </c>
      <c r="AF537" s="960">
        <f t="array" ref="AF537">HLOOKUP($J537,'Type Chart'!$C$2:$T$20,13,false)*HLOOKUP($K537,'Type Chart'!$C$2:$U$20,13,false)</f>
        <v>4</v>
      </c>
      <c r="AG537" s="960">
        <f t="array" ref="AG537">HLOOKUP($J537,'Type Chart'!$C$2:$T$20,14,false)*HLOOKUP($K537,'Type Chart'!$C$2:$U$20,14,false)</f>
        <v>0</v>
      </c>
      <c r="AH537" s="960">
        <f t="array" ref="AH537">HLOOKUP($J537,'Type Chart'!$C$2:$T$20,15,false)*HLOOKUP($K537,'Type Chart'!$C$2:$U$20,15,false)</f>
        <v>1</v>
      </c>
      <c r="AI537" s="960">
        <f t="array" ref="AI537">HLOOKUP($J537,'Type Chart'!$C$2:$T$20,16,false)*HLOOKUP($K537,'Type Chart'!$C$2:$U$20,16,false)</f>
        <v>1</v>
      </c>
      <c r="AJ537" s="960">
        <f t="array" ref="AJ537">HLOOKUP($J537,'Type Chart'!$C$2:$T$20,17,false)*HLOOKUP($K537,'Type Chart'!$C$2:$U$20,17,false)</f>
        <v>1</v>
      </c>
      <c r="AK537" s="960">
        <f t="array" ref="AK537">HLOOKUP($J537,'Type Chart'!$C$2:$T$20,18,false)*HLOOKUP($K537,'Type Chart'!$C$2:$U$20,18,false)</f>
        <v>1</v>
      </c>
      <c r="AL537" s="960">
        <f t="array" ref="AL537">HLOOKUP($J537,'Type Chart'!$C$2:$T$20,19,false)*HLOOKUP($K537,'Type Chart'!$C$2:$U$20,19,false)</f>
        <v>1</v>
      </c>
      <c r="AM537" s="964" t="s">
        <v>1416</v>
      </c>
      <c r="AN537" s="965" t="s">
        <v>2282</v>
      </c>
      <c r="AO537" s="966" t="s">
        <v>1224</v>
      </c>
      <c r="AP537" s="936"/>
      <c r="AQ537" s="967"/>
      <c r="AR537" s="968"/>
      <c r="AS537" s="936"/>
    </row>
    <row r="538" ht="15.75" customHeight="1">
      <c r="A538" s="936"/>
      <c r="B538" s="948" t="s">
        <v>2541</v>
      </c>
      <c r="C538" s="950" t="s">
        <v>2542</v>
      </c>
      <c r="D538" s="950" t="s">
        <v>2542</v>
      </c>
      <c r="E538" s="952" t="s">
        <v>2542</v>
      </c>
      <c r="F538" s="940"/>
      <c r="G538" s="953"/>
      <c r="H538" s="969"/>
      <c r="I538" s="956" t="s">
        <v>790</v>
      </c>
      <c r="J538" s="1194" t="s">
        <v>136</v>
      </c>
      <c r="K538" s="984" t="s">
        <v>216</v>
      </c>
      <c r="L538" s="959">
        <v>75.0</v>
      </c>
      <c r="M538" s="960">
        <v>100.0</v>
      </c>
      <c r="N538" s="960">
        <v>66.0</v>
      </c>
      <c r="O538" s="960">
        <v>60.0</v>
      </c>
      <c r="P538" s="960">
        <v>66.0</v>
      </c>
      <c r="Q538" s="960">
        <v>115.0</v>
      </c>
      <c r="R538" s="960">
        <v>266.0</v>
      </c>
      <c r="S538" s="960">
        <v>329.0</v>
      </c>
      <c r="T538" s="960">
        <v>361.0</v>
      </c>
      <c r="U538" s="960">
        <f t="array" ref="U538">HLOOKUP($J538,'Type Chart'!$C$2:$T$20,2,false)*HLOOKUP($K538,'Type Chart'!$C$2:$U$20,2,false)</f>
        <v>1</v>
      </c>
      <c r="V538" s="960">
        <f t="array" ref="V538">HLOOKUP($J538,'Type Chart'!$C$2:$T$20,3,false)*HLOOKUP($K538,'Type Chart'!$C$2:$U$20,3,false)</f>
        <v>2</v>
      </c>
      <c r="W538" s="960">
        <f t="array" ref="W538">HLOOKUP($J538,'Type Chart'!$C$2:$T$20,4,false)*HLOOKUP($K538,'Type Chart'!$C$2:$U$20,4,false)</f>
        <v>1</v>
      </c>
      <c r="X538" s="960">
        <f t="array" ref="X538">HLOOKUP($J538,'Type Chart'!$C$2:$T$20,5,false)*HLOOKUP($K538,'Type Chart'!$C$2:$U$20,5,false)</f>
        <v>1</v>
      </c>
      <c r="Y538" s="960">
        <f t="array" ref="Y538">HLOOKUP($J538,'Type Chart'!$C$2:$T$20,6,false)*HLOOKUP($K538,'Type Chart'!$C$2:$U$20,6,false)</f>
        <v>1</v>
      </c>
      <c r="Z538" s="960">
        <f t="array" ref="Z538">HLOOKUP($J538,'Type Chart'!$C$2:$T$20,7,false)*HLOOKUP($K538,'Type Chart'!$C$2:$U$20,7,false)</f>
        <v>1</v>
      </c>
      <c r="AA538" s="960">
        <f t="array" ref="AA538">HLOOKUP($J538,'Type Chart'!$C$2:$T$20,8,false)*HLOOKUP($K538,'Type Chart'!$C$2:$U$20,8,false)</f>
        <v>1</v>
      </c>
      <c r="AB538" s="960">
        <f t="array" ref="AB538">HLOOKUP($J538,'Type Chart'!$C$2:$T$20,9,false)*HLOOKUP($K538,'Type Chart'!$C$2:$U$20,9,false)</f>
        <v>0</v>
      </c>
      <c r="AC538" s="960">
        <f t="array" ref="AC538">HLOOKUP($J538,'Type Chart'!$C$2:$T$20,10,false)*HLOOKUP($K538,'Type Chart'!$C$2:$U$20,10,false)</f>
        <v>1</v>
      </c>
      <c r="AD538" s="960">
        <f t="array" ref="AD538">HLOOKUP($J538,'Type Chart'!$C$2:$T$20,11,false)*HLOOKUP($K538,'Type Chart'!$C$2:$U$20,11,false)</f>
        <v>1</v>
      </c>
      <c r="AE538" s="960">
        <f t="array" ref="AE538">HLOOKUP($J538,'Type Chart'!$C$2:$T$20,12,false)*HLOOKUP($K538,'Type Chart'!$C$2:$U$20,12,false)</f>
        <v>1</v>
      </c>
      <c r="AF538" s="960">
        <f t="array" ref="AF538">HLOOKUP($J538,'Type Chart'!$C$2:$T$20,13,false)*HLOOKUP($K538,'Type Chart'!$C$2:$U$20,13,false)</f>
        <v>1</v>
      </c>
      <c r="AG538" s="960">
        <f t="array" ref="AG538">HLOOKUP($J538,'Type Chart'!$C$2:$T$20,14,false)*HLOOKUP($K538,'Type Chart'!$C$2:$U$20,14,false)</f>
        <v>1</v>
      </c>
      <c r="AH538" s="960">
        <f t="array" ref="AH538">HLOOKUP($J538,'Type Chart'!$C$2:$T$20,15,false)*HLOOKUP($K538,'Type Chart'!$C$2:$U$20,15,false)</f>
        <v>1</v>
      </c>
      <c r="AI538" s="960">
        <f t="array" ref="AI538">HLOOKUP($J538,'Type Chart'!$C$2:$T$20,16,false)*HLOOKUP($K538,'Type Chart'!$C$2:$U$20,16,false)</f>
        <v>1</v>
      </c>
      <c r="AJ538" s="960">
        <f t="array" ref="AJ538">HLOOKUP($J538,'Type Chart'!$C$2:$T$20,17,false)*HLOOKUP($K538,'Type Chart'!$C$2:$U$20,17,false)</f>
        <v>1</v>
      </c>
      <c r="AK538" s="960">
        <f t="array" ref="AK538">HLOOKUP($J538,'Type Chart'!$C$2:$T$20,18,false)*HLOOKUP($K538,'Type Chart'!$C$2:$U$20,18,false)</f>
        <v>1</v>
      </c>
      <c r="AL538" s="960">
        <f t="array" ref="AL538">HLOOKUP($J538,'Type Chart'!$C$2:$T$20,19,false)*HLOOKUP($K538,'Type Chart'!$C$2:$U$20,19,false)</f>
        <v>1</v>
      </c>
      <c r="AM538" s="964" t="s">
        <v>1239</v>
      </c>
      <c r="AN538" s="965" t="s">
        <v>1238</v>
      </c>
      <c r="AO538" s="966" t="s">
        <v>1430</v>
      </c>
      <c r="AP538" s="936"/>
      <c r="AQ538" s="967"/>
      <c r="AR538" s="968"/>
      <c r="AS538" s="936"/>
    </row>
    <row r="539" ht="15.75" customHeight="1">
      <c r="A539" s="936"/>
      <c r="B539" s="948" t="s">
        <v>2543</v>
      </c>
      <c r="C539" s="950" t="s">
        <v>2544</v>
      </c>
      <c r="D539" s="950" t="s">
        <v>2544</v>
      </c>
      <c r="E539" s="952" t="s">
        <v>2544</v>
      </c>
      <c r="F539" s="940"/>
      <c r="G539" s="953"/>
      <c r="H539" s="969"/>
      <c r="I539" s="956" t="s">
        <v>2545</v>
      </c>
      <c r="J539" s="1220" t="s">
        <v>215</v>
      </c>
      <c r="K539" s="1001" t="s">
        <v>128</v>
      </c>
      <c r="L539" s="959">
        <v>90.0</v>
      </c>
      <c r="M539" s="960">
        <v>50.0</v>
      </c>
      <c r="N539" s="960">
        <v>34.0</v>
      </c>
      <c r="O539" s="960">
        <v>60.0</v>
      </c>
      <c r="P539" s="960">
        <v>44.0</v>
      </c>
      <c r="Q539" s="960">
        <v>70.0</v>
      </c>
      <c r="R539" s="960">
        <v>176.0</v>
      </c>
      <c r="S539" s="960">
        <v>239.0</v>
      </c>
      <c r="T539" s="960">
        <v>262.0</v>
      </c>
      <c r="U539" s="960">
        <f t="array" ref="U539">HLOOKUP($J539,'Type Chart'!$C$2:$T$20,2,false)*HLOOKUP($K539,'Type Chart'!$C$2:$U$20,2,false)</f>
        <v>0</v>
      </c>
      <c r="V539" s="960">
        <f t="array" ref="V539">HLOOKUP($J539,'Type Chart'!$C$2:$T$20,3,false)*HLOOKUP($K539,'Type Chart'!$C$2:$U$20,3,false)</f>
        <v>0</v>
      </c>
      <c r="W539" s="960">
        <f t="array" ref="W539">HLOOKUP($J539,'Type Chart'!$C$2:$T$20,4,false)*HLOOKUP($K539,'Type Chart'!$C$2:$U$20,4,false)</f>
        <v>1</v>
      </c>
      <c r="X539" s="960">
        <f t="array" ref="X539">HLOOKUP($J539,'Type Chart'!$C$2:$T$20,5,false)*HLOOKUP($K539,'Type Chart'!$C$2:$U$20,5,false)</f>
        <v>0.5</v>
      </c>
      <c r="Y539" s="960">
        <f t="array" ref="Y539">HLOOKUP($J539,'Type Chart'!$C$2:$T$20,6,false)*HLOOKUP($K539,'Type Chart'!$C$2:$U$20,6,false)</f>
        <v>0</v>
      </c>
      <c r="Z539" s="960">
        <f t="array" ref="Z539">HLOOKUP($J539,'Type Chart'!$C$2:$T$20,7,false)*HLOOKUP($K539,'Type Chart'!$C$2:$U$20,7,false)</f>
        <v>2</v>
      </c>
      <c r="AA539" s="960">
        <f t="array" ref="AA539">HLOOKUP($J539,'Type Chart'!$C$2:$T$20,8,false)*HLOOKUP($K539,'Type Chart'!$C$2:$U$20,8,false)</f>
        <v>0.25</v>
      </c>
      <c r="AB539" s="960">
        <f t="array" ref="AB539">HLOOKUP($J539,'Type Chart'!$C$2:$T$20,9,false)*HLOOKUP($K539,'Type Chart'!$C$2:$U$20,9,false)</f>
        <v>2</v>
      </c>
      <c r="AC539" s="960">
        <f t="array" ref="AC539">HLOOKUP($J539,'Type Chart'!$C$2:$T$20,10,false)*HLOOKUP($K539,'Type Chart'!$C$2:$U$20,10,false)</f>
        <v>1</v>
      </c>
      <c r="AD539" s="960">
        <f t="array" ref="AD539">HLOOKUP($J539,'Type Chart'!$C$2:$T$20,11,false)*HLOOKUP($K539,'Type Chart'!$C$2:$U$20,11,false)</f>
        <v>1</v>
      </c>
      <c r="AE539" s="960">
        <f t="array" ref="AE539">HLOOKUP($J539,'Type Chart'!$C$2:$T$20,12,false)*HLOOKUP($K539,'Type Chart'!$C$2:$U$20,12,false)</f>
        <v>1</v>
      </c>
      <c r="AF539" s="960">
        <f t="array" ref="AF539">HLOOKUP($J539,'Type Chart'!$C$2:$T$20,13,false)*HLOOKUP($K539,'Type Chart'!$C$2:$U$20,13,false)</f>
        <v>0.5</v>
      </c>
      <c r="AG539" s="960">
        <f t="array" ref="AG539">HLOOKUP($J539,'Type Chart'!$C$2:$T$20,14,false)*HLOOKUP($K539,'Type Chart'!$C$2:$U$20,14,false)</f>
        <v>2</v>
      </c>
      <c r="AH539" s="960">
        <f t="array" ref="AH539">HLOOKUP($J539,'Type Chart'!$C$2:$T$20,15,false)*HLOOKUP($K539,'Type Chart'!$C$2:$U$20,15,false)</f>
        <v>1</v>
      </c>
      <c r="AI539" s="960">
        <f t="array" ref="AI539">HLOOKUP($J539,'Type Chart'!$C$2:$T$20,16,false)*HLOOKUP($K539,'Type Chart'!$C$2:$U$20,16,false)</f>
        <v>2</v>
      </c>
      <c r="AJ539" s="960">
        <f t="array" ref="AJ539">HLOOKUP($J539,'Type Chart'!$C$2:$T$20,17,false)*HLOOKUP($K539,'Type Chart'!$C$2:$U$20,17,false)</f>
        <v>1</v>
      </c>
      <c r="AK539" s="960">
        <f t="array" ref="AK539">HLOOKUP($J539,'Type Chart'!$C$2:$T$20,18,false)*HLOOKUP($K539,'Type Chart'!$C$2:$U$20,18,false)</f>
        <v>2</v>
      </c>
      <c r="AL539" s="960">
        <f t="array" ref="AL539">HLOOKUP($J539,'Type Chart'!$C$2:$T$20,19,false)*HLOOKUP($K539,'Type Chart'!$C$2:$U$20,19,false)</f>
        <v>1</v>
      </c>
      <c r="AM539" s="964" t="s">
        <v>1469</v>
      </c>
      <c r="AN539" s="965" t="s">
        <v>1498</v>
      </c>
      <c r="AO539" s="966" t="s">
        <v>2546</v>
      </c>
      <c r="AP539" s="936"/>
      <c r="AQ539" s="967"/>
      <c r="AR539" s="968"/>
      <c r="AS539" s="936"/>
    </row>
    <row r="540" ht="15.75" customHeight="1">
      <c r="A540" s="936"/>
      <c r="B540" s="948" t="s">
        <v>2547</v>
      </c>
      <c r="C540" s="950" t="s">
        <v>2548</v>
      </c>
      <c r="D540" s="950" t="s">
        <v>2548</v>
      </c>
      <c r="E540" s="952" t="s">
        <v>2548</v>
      </c>
      <c r="F540" s="940"/>
      <c r="G540" s="953"/>
      <c r="H540" s="969"/>
      <c r="I540" s="956" t="s">
        <v>620</v>
      </c>
      <c r="J540" s="1220" t="s">
        <v>215</v>
      </c>
      <c r="K540" s="1001" t="s">
        <v>128</v>
      </c>
      <c r="L540" s="959">
        <v>150.0</v>
      </c>
      <c r="M540" s="960">
        <v>80.0</v>
      </c>
      <c r="N540" s="960">
        <v>44.0</v>
      </c>
      <c r="O540" s="960">
        <v>90.0</v>
      </c>
      <c r="P540" s="960">
        <v>54.0</v>
      </c>
      <c r="Q540" s="960">
        <v>80.0</v>
      </c>
      <c r="R540" s="960">
        <v>196.0</v>
      </c>
      <c r="S540" s="960">
        <v>259.0</v>
      </c>
      <c r="T540" s="960">
        <v>284.0</v>
      </c>
      <c r="U540" s="960">
        <f t="array" ref="U540">HLOOKUP($J540,'Type Chart'!$C$2:$T$20,2,false)*HLOOKUP($K540,'Type Chart'!$C$2:$U$20,2,false)</f>
        <v>0</v>
      </c>
      <c r="V540" s="960">
        <f t="array" ref="V540">HLOOKUP($J540,'Type Chart'!$C$2:$T$20,3,false)*HLOOKUP($K540,'Type Chart'!$C$2:$U$20,3,false)</f>
        <v>0</v>
      </c>
      <c r="W540" s="960">
        <f t="array" ref="W540">HLOOKUP($J540,'Type Chart'!$C$2:$T$20,4,false)*HLOOKUP($K540,'Type Chart'!$C$2:$U$20,4,false)</f>
        <v>1</v>
      </c>
      <c r="X540" s="960">
        <f t="array" ref="X540">HLOOKUP($J540,'Type Chart'!$C$2:$T$20,5,false)*HLOOKUP($K540,'Type Chart'!$C$2:$U$20,5,false)</f>
        <v>0.5</v>
      </c>
      <c r="Y540" s="960">
        <f t="array" ref="Y540">HLOOKUP($J540,'Type Chart'!$C$2:$T$20,6,false)*HLOOKUP($K540,'Type Chart'!$C$2:$U$20,6,false)</f>
        <v>0</v>
      </c>
      <c r="Z540" s="960">
        <f t="array" ref="Z540">HLOOKUP($J540,'Type Chart'!$C$2:$T$20,7,false)*HLOOKUP($K540,'Type Chart'!$C$2:$U$20,7,false)</f>
        <v>2</v>
      </c>
      <c r="AA540" s="960">
        <f t="array" ref="AA540">HLOOKUP($J540,'Type Chart'!$C$2:$T$20,8,false)*HLOOKUP($K540,'Type Chart'!$C$2:$U$20,8,false)</f>
        <v>0.25</v>
      </c>
      <c r="AB540" s="960">
        <f t="array" ref="AB540">HLOOKUP($J540,'Type Chart'!$C$2:$T$20,9,false)*HLOOKUP($K540,'Type Chart'!$C$2:$U$20,9,false)</f>
        <v>2</v>
      </c>
      <c r="AC540" s="960">
        <f t="array" ref="AC540">HLOOKUP($J540,'Type Chart'!$C$2:$T$20,10,false)*HLOOKUP($K540,'Type Chart'!$C$2:$U$20,10,false)</f>
        <v>1</v>
      </c>
      <c r="AD540" s="960">
        <f t="array" ref="AD540">HLOOKUP($J540,'Type Chart'!$C$2:$T$20,11,false)*HLOOKUP($K540,'Type Chart'!$C$2:$U$20,11,false)</f>
        <v>1</v>
      </c>
      <c r="AE540" s="960">
        <f t="array" ref="AE540">HLOOKUP($J540,'Type Chart'!$C$2:$T$20,12,false)*HLOOKUP($K540,'Type Chart'!$C$2:$U$20,12,false)</f>
        <v>1</v>
      </c>
      <c r="AF540" s="960">
        <f t="array" ref="AF540">HLOOKUP($J540,'Type Chart'!$C$2:$T$20,13,false)*HLOOKUP($K540,'Type Chart'!$C$2:$U$20,13,false)</f>
        <v>0.5</v>
      </c>
      <c r="AG540" s="960">
        <f t="array" ref="AG540">HLOOKUP($J540,'Type Chart'!$C$2:$T$20,14,false)*HLOOKUP($K540,'Type Chart'!$C$2:$U$20,14,false)</f>
        <v>2</v>
      </c>
      <c r="AH540" s="960">
        <f t="array" ref="AH540">HLOOKUP($J540,'Type Chart'!$C$2:$T$20,15,false)*HLOOKUP($K540,'Type Chart'!$C$2:$U$20,15,false)</f>
        <v>1</v>
      </c>
      <c r="AI540" s="960">
        <f t="array" ref="AI540">HLOOKUP($J540,'Type Chart'!$C$2:$T$20,16,false)*HLOOKUP($K540,'Type Chart'!$C$2:$U$20,16,false)</f>
        <v>2</v>
      </c>
      <c r="AJ540" s="960">
        <f t="array" ref="AJ540">HLOOKUP($J540,'Type Chart'!$C$2:$T$20,17,false)*HLOOKUP($K540,'Type Chart'!$C$2:$U$20,17,false)</f>
        <v>1</v>
      </c>
      <c r="AK540" s="960">
        <f t="array" ref="AK540">HLOOKUP($J540,'Type Chart'!$C$2:$T$20,18,false)*HLOOKUP($K540,'Type Chart'!$C$2:$U$20,18,false)</f>
        <v>2</v>
      </c>
      <c r="AL540" s="960">
        <f t="array" ref="AL540">HLOOKUP($J540,'Type Chart'!$C$2:$T$20,19,false)*HLOOKUP($K540,'Type Chart'!$C$2:$U$20,19,false)</f>
        <v>1</v>
      </c>
      <c r="AM540" s="964" t="s">
        <v>1469</v>
      </c>
      <c r="AN540" s="965" t="s">
        <v>1498</v>
      </c>
      <c r="AO540" s="966" t="s">
        <v>2546</v>
      </c>
      <c r="AP540" s="936"/>
      <c r="AQ540" s="967"/>
      <c r="AR540" s="968"/>
      <c r="AS540" s="936"/>
    </row>
    <row r="541" ht="15.75" customHeight="1">
      <c r="A541" s="936"/>
      <c r="B541" s="948" t="s">
        <v>2549</v>
      </c>
      <c r="C541" s="950" t="s">
        <v>2550</v>
      </c>
      <c r="D541" s="950" t="s">
        <v>2550</v>
      </c>
      <c r="E541" s="952" t="s">
        <v>2550</v>
      </c>
      <c r="F541" s="940"/>
      <c r="G541" s="953"/>
      <c r="H541" s="969"/>
      <c r="I541" s="956" t="s">
        <v>2551</v>
      </c>
      <c r="J541" s="1194" t="s">
        <v>136</v>
      </c>
      <c r="K541" s="984" t="s">
        <v>216</v>
      </c>
      <c r="L541" s="959">
        <v>55.0</v>
      </c>
      <c r="M541" s="960">
        <v>66.0</v>
      </c>
      <c r="N541" s="960">
        <v>44.0</v>
      </c>
      <c r="O541" s="960">
        <v>44.0</v>
      </c>
      <c r="P541" s="960">
        <v>56.0</v>
      </c>
      <c r="Q541" s="960">
        <v>85.0</v>
      </c>
      <c r="R541" s="960">
        <v>206.0</v>
      </c>
      <c r="S541" s="960">
        <v>269.0</v>
      </c>
      <c r="T541" s="960">
        <v>295.0</v>
      </c>
      <c r="U541" s="960">
        <f t="array" ref="U541">HLOOKUP($J541,'Type Chart'!$C$2:$T$20,2,false)*HLOOKUP($K541,'Type Chart'!$C$2:$U$20,2,false)</f>
        <v>1</v>
      </c>
      <c r="V541" s="960">
        <f t="array" ref="V541">HLOOKUP($J541,'Type Chart'!$C$2:$T$20,3,false)*HLOOKUP($K541,'Type Chart'!$C$2:$U$20,3,false)</f>
        <v>2</v>
      </c>
      <c r="W541" s="960">
        <f t="array" ref="W541">HLOOKUP($J541,'Type Chart'!$C$2:$T$20,4,false)*HLOOKUP($K541,'Type Chart'!$C$2:$U$20,4,false)</f>
        <v>1</v>
      </c>
      <c r="X541" s="960">
        <f t="array" ref="X541">HLOOKUP($J541,'Type Chart'!$C$2:$T$20,5,false)*HLOOKUP($K541,'Type Chart'!$C$2:$U$20,5,false)</f>
        <v>1</v>
      </c>
      <c r="Y541" s="960">
        <f t="array" ref="Y541">HLOOKUP($J541,'Type Chart'!$C$2:$T$20,6,false)*HLOOKUP($K541,'Type Chart'!$C$2:$U$20,6,false)</f>
        <v>1</v>
      </c>
      <c r="Z541" s="960">
        <f t="array" ref="Z541">HLOOKUP($J541,'Type Chart'!$C$2:$T$20,7,false)*HLOOKUP($K541,'Type Chart'!$C$2:$U$20,7,false)</f>
        <v>1</v>
      </c>
      <c r="AA541" s="960">
        <f t="array" ref="AA541">HLOOKUP($J541,'Type Chart'!$C$2:$T$20,8,false)*HLOOKUP($K541,'Type Chart'!$C$2:$U$20,8,false)</f>
        <v>1</v>
      </c>
      <c r="AB541" s="960">
        <f t="array" ref="AB541">HLOOKUP($J541,'Type Chart'!$C$2:$T$20,9,false)*HLOOKUP($K541,'Type Chart'!$C$2:$U$20,9,false)</f>
        <v>0</v>
      </c>
      <c r="AC541" s="960">
        <f t="array" ref="AC541">HLOOKUP($J541,'Type Chart'!$C$2:$T$20,10,false)*HLOOKUP($K541,'Type Chart'!$C$2:$U$20,10,false)</f>
        <v>1</v>
      </c>
      <c r="AD541" s="960">
        <f t="array" ref="AD541">HLOOKUP($J541,'Type Chart'!$C$2:$T$20,11,false)*HLOOKUP($K541,'Type Chart'!$C$2:$U$20,11,false)</f>
        <v>1</v>
      </c>
      <c r="AE541" s="960">
        <f t="array" ref="AE541">HLOOKUP($J541,'Type Chart'!$C$2:$T$20,12,false)*HLOOKUP($K541,'Type Chart'!$C$2:$U$20,12,false)</f>
        <v>1</v>
      </c>
      <c r="AF541" s="960">
        <f t="array" ref="AF541">HLOOKUP($J541,'Type Chart'!$C$2:$T$20,13,false)*HLOOKUP($K541,'Type Chart'!$C$2:$U$20,13,false)</f>
        <v>1</v>
      </c>
      <c r="AG541" s="960">
        <f t="array" ref="AG541">HLOOKUP($J541,'Type Chart'!$C$2:$T$20,14,false)*HLOOKUP($K541,'Type Chart'!$C$2:$U$20,14,false)</f>
        <v>1</v>
      </c>
      <c r="AH541" s="960">
        <f t="array" ref="AH541">HLOOKUP($J541,'Type Chart'!$C$2:$T$20,15,false)*HLOOKUP($K541,'Type Chart'!$C$2:$U$20,15,false)</f>
        <v>1</v>
      </c>
      <c r="AI541" s="960">
        <f t="array" ref="AI541">HLOOKUP($J541,'Type Chart'!$C$2:$T$20,16,false)*HLOOKUP($K541,'Type Chart'!$C$2:$U$20,16,false)</f>
        <v>1</v>
      </c>
      <c r="AJ541" s="960">
        <f t="array" ref="AJ541">HLOOKUP($J541,'Type Chart'!$C$2:$T$20,17,false)*HLOOKUP($K541,'Type Chart'!$C$2:$U$20,17,false)</f>
        <v>1</v>
      </c>
      <c r="AK541" s="960">
        <f t="array" ref="AK541">HLOOKUP($J541,'Type Chart'!$C$2:$T$20,18,false)*HLOOKUP($K541,'Type Chart'!$C$2:$U$20,18,false)</f>
        <v>1</v>
      </c>
      <c r="AL541" s="960">
        <f t="array" ref="AL541">HLOOKUP($J541,'Type Chart'!$C$2:$T$20,19,false)*HLOOKUP($K541,'Type Chart'!$C$2:$U$20,19,false)</f>
        <v>1</v>
      </c>
      <c r="AM541" s="964" t="s">
        <v>988</v>
      </c>
      <c r="AN541" s="965" t="s">
        <v>2552</v>
      </c>
      <c r="AO541" s="966" t="s">
        <v>1250</v>
      </c>
      <c r="AP541" s="936"/>
      <c r="AQ541" s="967"/>
      <c r="AR541" s="968"/>
      <c r="AS541" s="936"/>
    </row>
    <row r="542" ht="15.75" customHeight="1">
      <c r="A542" s="936"/>
      <c r="B542" s="948" t="s">
        <v>2553</v>
      </c>
      <c r="C542" s="950" t="s">
        <v>2554</v>
      </c>
      <c r="D542" s="950" t="s">
        <v>2554</v>
      </c>
      <c r="E542" s="952" t="s">
        <v>2554</v>
      </c>
      <c r="F542" s="940"/>
      <c r="G542" s="953"/>
      <c r="H542" s="969"/>
      <c r="I542" s="956" t="s">
        <v>2555</v>
      </c>
      <c r="J542" s="1194" t="s">
        <v>136</v>
      </c>
      <c r="K542" s="984" t="s">
        <v>216</v>
      </c>
      <c r="L542" s="959">
        <v>65.0</v>
      </c>
      <c r="M542" s="960">
        <v>76.0</v>
      </c>
      <c r="N542" s="960">
        <v>84.0</v>
      </c>
      <c r="O542" s="960">
        <v>54.0</v>
      </c>
      <c r="P542" s="960">
        <v>96.0</v>
      </c>
      <c r="Q542" s="960">
        <v>105.0</v>
      </c>
      <c r="R542" s="960">
        <v>246.0</v>
      </c>
      <c r="S542" s="960">
        <v>309.0</v>
      </c>
      <c r="T542" s="960">
        <v>339.0</v>
      </c>
      <c r="U542" s="960">
        <f t="array" ref="U542">HLOOKUP($J542,'Type Chart'!$C$2:$T$20,2,false)*HLOOKUP($K542,'Type Chart'!$C$2:$U$20,2,false)</f>
        <v>1</v>
      </c>
      <c r="V542" s="960">
        <f t="array" ref="V542">HLOOKUP($J542,'Type Chart'!$C$2:$T$20,3,false)*HLOOKUP($K542,'Type Chart'!$C$2:$U$20,3,false)</f>
        <v>2</v>
      </c>
      <c r="W542" s="960">
        <f t="array" ref="W542">HLOOKUP($J542,'Type Chart'!$C$2:$T$20,4,false)*HLOOKUP($K542,'Type Chart'!$C$2:$U$20,4,false)</f>
        <v>1</v>
      </c>
      <c r="X542" s="960">
        <f t="array" ref="X542">HLOOKUP($J542,'Type Chart'!$C$2:$T$20,5,false)*HLOOKUP($K542,'Type Chart'!$C$2:$U$20,5,false)</f>
        <v>1</v>
      </c>
      <c r="Y542" s="960">
        <f t="array" ref="Y542">HLOOKUP($J542,'Type Chart'!$C$2:$T$20,6,false)*HLOOKUP($K542,'Type Chart'!$C$2:$U$20,6,false)</f>
        <v>1</v>
      </c>
      <c r="Z542" s="960">
        <f t="array" ref="Z542">HLOOKUP($J542,'Type Chart'!$C$2:$T$20,7,false)*HLOOKUP($K542,'Type Chart'!$C$2:$U$20,7,false)</f>
        <v>1</v>
      </c>
      <c r="AA542" s="960">
        <f t="array" ref="AA542">HLOOKUP($J542,'Type Chart'!$C$2:$T$20,8,false)*HLOOKUP($K542,'Type Chart'!$C$2:$U$20,8,false)</f>
        <v>1</v>
      </c>
      <c r="AB542" s="960">
        <f t="array" ref="AB542">HLOOKUP($J542,'Type Chart'!$C$2:$T$20,9,false)*HLOOKUP($K542,'Type Chart'!$C$2:$U$20,9,false)</f>
        <v>0</v>
      </c>
      <c r="AC542" s="960">
        <f t="array" ref="AC542">HLOOKUP($J542,'Type Chart'!$C$2:$T$20,10,false)*HLOOKUP($K542,'Type Chart'!$C$2:$U$20,10,false)</f>
        <v>1</v>
      </c>
      <c r="AD542" s="960">
        <f t="array" ref="AD542">HLOOKUP($J542,'Type Chart'!$C$2:$T$20,11,false)*HLOOKUP($K542,'Type Chart'!$C$2:$U$20,11,false)</f>
        <v>1</v>
      </c>
      <c r="AE542" s="960">
        <f t="array" ref="AE542">HLOOKUP($J542,'Type Chart'!$C$2:$T$20,12,false)*HLOOKUP($K542,'Type Chart'!$C$2:$U$20,12,false)</f>
        <v>1</v>
      </c>
      <c r="AF542" s="960">
        <f t="array" ref="AF542">HLOOKUP($J542,'Type Chart'!$C$2:$T$20,13,false)*HLOOKUP($K542,'Type Chart'!$C$2:$U$20,13,false)</f>
        <v>1</v>
      </c>
      <c r="AG542" s="960">
        <f t="array" ref="AG542">HLOOKUP($J542,'Type Chart'!$C$2:$T$20,14,false)*HLOOKUP($K542,'Type Chart'!$C$2:$U$20,14,false)</f>
        <v>1</v>
      </c>
      <c r="AH542" s="960">
        <f t="array" ref="AH542">HLOOKUP($J542,'Type Chart'!$C$2:$T$20,15,false)*HLOOKUP($K542,'Type Chart'!$C$2:$U$20,15,false)</f>
        <v>1</v>
      </c>
      <c r="AI542" s="960">
        <f t="array" ref="AI542">HLOOKUP($J542,'Type Chart'!$C$2:$T$20,16,false)*HLOOKUP($K542,'Type Chart'!$C$2:$U$20,16,false)</f>
        <v>1</v>
      </c>
      <c r="AJ542" s="960">
        <f t="array" ref="AJ542">HLOOKUP($J542,'Type Chart'!$C$2:$T$20,17,false)*HLOOKUP($K542,'Type Chart'!$C$2:$U$20,17,false)</f>
        <v>1</v>
      </c>
      <c r="AK542" s="960">
        <f t="array" ref="AK542">HLOOKUP($J542,'Type Chart'!$C$2:$T$20,18,false)*HLOOKUP($K542,'Type Chart'!$C$2:$U$20,18,false)</f>
        <v>1</v>
      </c>
      <c r="AL542" s="960">
        <f t="array" ref="AL542">HLOOKUP($J542,'Type Chart'!$C$2:$T$20,19,false)*HLOOKUP($K542,'Type Chart'!$C$2:$U$20,19,false)</f>
        <v>1</v>
      </c>
      <c r="AM542" s="964" t="s">
        <v>1165</v>
      </c>
      <c r="AN542" s="965" t="s">
        <v>2552</v>
      </c>
      <c r="AO542" s="966" t="s">
        <v>1250</v>
      </c>
      <c r="AP542" s="936"/>
      <c r="AQ542" s="967"/>
      <c r="AR542" s="968"/>
      <c r="AS542" s="936"/>
    </row>
    <row r="543" ht="15.75" customHeight="1">
      <c r="A543" s="936"/>
      <c r="B543" s="948" t="s">
        <v>2556</v>
      </c>
      <c r="C543" s="950" t="s">
        <v>2557</v>
      </c>
      <c r="D543" s="950" t="s">
        <v>2557</v>
      </c>
      <c r="E543" s="952" t="s">
        <v>2557</v>
      </c>
      <c r="F543" s="940"/>
      <c r="G543" s="953"/>
      <c r="H543" s="969"/>
      <c r="I543" s="956" t="s">
        <v>2558</v>
      </c>
      <c r="J543" s="1194" t="s">
        <v>136</v>
      </c>
      <c r="K543" s="1213" t="s">
        <v>341</v>
      </c>
      <c r="L543" s="959">
        <v>65.0</v>
      </c>
      <c r="M543" s="960">
        <v>136.0</v>
      </c>
      <c r="N543" s="960">
        <v>94.0</v>
      </c>
      <c r="O543" s="960">
        <v>54.0</v>
      </c>
      <c r="P543" s="960">
        <v>96.0</v>
      </c>
      <c r="Q543" s="960">
        <v>135.0</v>
      </c>
      <c r="R543" s="960">
        <v>306.0</v>
      </c>
      <c r="S543" s="960">
        <v>369.0</v>
      </c>
      <c r="T543" s="960">
        <v>405.0</v>
      </c>
      <c r="U543" s="960">
        <f t="array" ref="U543">HLOOKUP($J543,'Type Chart'!$C$2:$T$20,2,false)*HLOOKUP($K543,'Type Chart'!$C$2:$U$20,2,false)</f>
        <v>1</v>
      </c>
      <c r="V543" s="960">
        <f t="array" ref="V543">HLOOKUP($J543,'Type Chart'!$C$2:$T$20,3,false)*HLOOKUP($K543,'Type Chart'!$C$2:$U$20,3,false)</f>
        <v>2</v>
      </c>
      <c r="W543" s="960">
        <f t="array" ref="W543">HLOOKUP($J543,'Type Chart'!$C$2:$T$20,4,false)*HLOOKUP($K543,'Type Chart'!$C$2:$U$20,4,false)</f>
        <v>2</v>
      </c>
      <c r="X543" s="960">
        <f t="array" ref="X543">HLOOKUP($J543,'Type Chart'!$C$2:$T$20,5,false)*HLOOKUP($K543,'Type Chart'!$C$2:$U$20,5,false)</f>
        <v>1</v>
      </c>
      <c r="Y543" s="960">
        <f t="array" ref="Y543">HLOOKUP($J543,'Type Chart'!$C$2:$T$20,6,false)*HLOOKUP($K543,'Type Chart'!$C$2:$U$20,6,false)</f>
        <v>1</v>
      </c>
      <c r="Z543" s="960">
        <f t="array" ref="Z543">HLOOKUP($J543,'Type Chart'!$C$2:$T$20,7,false)*HLOOKUP($K543,'Type Chart'!$C$2:$U$20,7,false)</f>
        <v>0.5</v>
      </c>
      <c r="AA543" s="960">
        <f t="array" ref="AA543">HLOOKUP($J543,'Type Chart'!$C$2:$T$20,8,false)*HLOOKUP($K543,'Type Chart'!$C$2:$U$20,8,false)</f>
        <v>0.5</v>
      </c>
      <c r="AB543" s="960">
        <f t="array" ref="AB543">HLOOKUP($J543,'Type Chart'!$C$2:$T$20,9,false)*HLOOKUP($K543,'Type Chart'!$C$2:$U$20,9,false)</f>
        <v>0</v>
      </c>
      <c r="AC543" s="960">
        <f t="array" ref="AC543">HLOOKUP($J543,'Type Chart'!$C$2:$T$20,10,false)*HLOOKUP($K543,'Type Chart'!$C$2:$U$20,10,false)</f>
        <v>1</v>
      </c>
      <c r="AD543" s="960">
        <f t="array" ref="AD543">HLOOKUP($J543,'Type Chart'!$C$2:$T$20,11,false)*HLOOKUP($K543,'Type Chart'!$C$2:$U$20,11,false)</f>
        <v>1</v>
      </c>
      <c r="AE543" s="960">
        <f t="array" ref="AE543">HLOOKUP($J543,'Type Chart'!$C$2:$T$20,12,false)*HLOOKUP($K543,'Type Chart'!$C$2:$U$20,12,false)</f>
        <v>1</v>
      </c>
      <c r="AF543" s="960">
        <f t="array" ref="AF543">HLOOKUP($J543,'Type Chart'!$C$2:$T$20,13,false)*HLOOKUP($K543,'Type Chart'!$C$2:$U$20,13,false)</f>
        <v>1</v>
      </c>
      <c r="AG543" s="960">
        <f t="array" ref="AG543">HLOOKUP($J543,'Type Chart'!$C$2:$T$20,14,false)*HLOOKUP($K543,'Type Chart'!$C$2:$U$20,14,false)</f>
        <v>1</v>
      </c>
      <c r="AH543" s="960">
        <f t="array" ref="AH543">HLOOKUP($J543,'Type Chart'!$C$2:$T$20,15,false)*HLOOKUP($K543,'Type Chart'!$C$2:$U$20,15,false)</f>
        <v>2</v>
      </c>
      <c r="AI543" s="960">
        <f t="array" ref="AI543">HLOOKUP($J543,'Type Chart'!$C$2:$T$20,16,false)*HLOOKUP($K543,'Type Chart'!$C$2:$U$20,16,false)</f>
        <v>1</v>
      </c>
      <c r="AJ543" s="960">
        <f t="array" ref="AJ543">HLOOKUP($J543,'Type Chart'!$C$2:$T$20,17,false)*HLOOKUP($K543,'Type Chart'!$C$2:$U$20,17,false)</f>
        <v>1</v>
      </c>
      <c r="AK543" s="960">
        <f t="array" ref="AK543">HLOOKUP($J543,'Type Chart'!$C$2:$T$20,18,false)*HLOOKUP($K543,'Type Chart'!$C$2:$U$20,18,false)</f>
        <v>0.5</v>
      </c>
      <c r="AL543" s="960">
        <f t="array" ref="AL543">HLOOKUP($J543,'Type Chart'!$C$2:$T$20,19,false)*HLOOKUP($K543,'Type Chart'!$C$2:$U$20,19,false)</f>
        <v>2</v>
      </c>
      <c r="AM543" s="964" t="s">
        <v>1399</v>
      </c>
      <c r="AN543" s="965"/>
      <c r="AO543" s="966"/>
      <c r="AP543" s="936"/>
      <c r="AQ543" s="967"/>
      <c r="AR543" s="968"/>
      <c r="AS543" s="936"/>
    </row>
    <row r="544" ht="15.75" customHeight="1">
      <c r="A544" s="936"/>
      <c r="B544" s="948" t="s">
        <v>2559</v>
      </c>
      <c r="C544" s="950" t="s">
        <v>2560</v>
      </c>
      <c r="D544" s="950" t="s">
        <v>2560</v>
      </c>
      <c r="E544" s="952" t="s">
        <v>2560</v>
      </c>
      <c r="F544" s="940"/>
      <c r="G544" s="953"/>
      <c r="H544" s="969"/>
      <c r="I544" s="956" t="s">
        <v>592</v>
      </c>
      <c r="J544" s="1220" t="s">
        <v>215</v>
      </c>
      <c r="K544" s="984" t="s">
        <v>216</v>
      </c>
      <c r="L544" s="959">
        <v>60.0</v>
      </c>
      <c r="M544" s="960">
        <v>60.0</v>
      </c>
      <c r="N544" s="960">
        <v>60.0</v>
      </c>
      <c r="O544" s="960">
        <v>105.0</v>
      </c>
      <c r="P544" s="960">
        <v>105.0</v>
      </c>
      <c r="Q544" s="960">
        <v>105.0</v>
      </c>
      <c r="R544" s="960">
        <v>246.0</v>
      </c>
      <c r="S544" s="960">
        <v>309.0</v>
      </c>
      <c r="T544" s="960">
        <v>339.0</v>
      </c>
      <c r="U544" s="960">
        <f t="array" ref="U544">HLOOKUP($J544,'Type Chart'!$C$2:$T$20,2,false)*HLOOKUP($K544,'Type Chart'!$C$2:$U$20,2,false)</f>
        <v>0</v>
      </c>
      <c r="V544" s="960">
        <f t="array" ref="V544">HLOOKUP($J544,'Type Chart'!$C$2:$T$20,3,false)*HLOOKUP($K544,'Type Chart'!$C$2:$U$20,3,false)</f>
        <v>0</v>
      </c>
      <c r="W544" s="960">
        <f t="array" ref="W544">HLOOKUP($J544,'Type Chart'!$C$2:$T$20,4,false)*HLOOKUP($K544,'Type Chart'!$C$2:$U$20,4,false)</f>
        <v>1</v>
      </c>
      <c r="X544" s="960">
        <f t="array" ref="X544">HLOOKUP($J544,'Type Chart'!$C$2:$T$20,5,false)*HLOOKUP($K544,'Type Chart'!$C$2:$U$20,5,false)</f>
        <v>0.5</v>
      </c>
      <c r="Y544" s="960">
        <f t="array" ref="Y544">HLOOKUP($J544,'Type Chart'!$C$2:$T$20,6,false)*HLOOKUP($K544,'Type Chart'!$C$2:$U$20,6,false)</f>
        <v>1</v>
      </c>
      <c r="Z544" s="960">
        <f t="array" ref="Z544">HLOOKUP($J544,'Type Chart'!$C$2:$T$20,7,false)*HLOOKUP($K544,'Type Chart'!$C$2:$U$20,7,false)</f>
        <v>1</v>
      </c>
      <c r="AA544" s="960">
        <f t="array" ref="AA544">HLOOKUP($J544,'Type Chart'!$C$2:$T$20,8,false)*HLOOKUP($K544,'Type Chart'!$C$2:$U$20,8,false)</f>
        <v>0.5</v>
      </c>
      <c r="AB544" s="960">
        <f t="array" ref="AB544">HLOOKUP($J544,'Type Chart'!$C$2:$T$20,9,false)*HLOOKUP($K544,'Type Chart'!$C$2:$U$20,9,false)</f>
        <v>2</v>
      </c>
      <c r="AC544" s="960">
        <f t="array" ref="AC544">HLOOKUP($J544,'Type Chart'!$C$2:$T$20,10,false)*HLOOKUP($K544,'Type Chart'!$C$2:$U$20,10,false)</f>
        <v>1</v>
      </c>
      <c r="AD544" s="960">
        <f t="array" ref="AD544">HLOOKUP($J544,'Type Chart'!$C$2:$T$20,11,false)*HLOOKUP($K544,'Type Chart'!$C$2:$U$20,11,false)</f>
        <v>1</v>
      </c>
      <c r="AE544" s="960">
        <f t="array" ref="AE544">HLOOKUP($J544,'Type Chart'!$C$2:$T$20,12,false)*HLOOKUP($K544,'Type Chart'!$C$2:$U$20,12,false)</f>
        <v>1</v>
      </c>
      <c r="AF544" s="960">
        <f t="array" ref="AF544">HLOOKUP($J544,'Type Chart'!$C$2:$T$20,13,false)*HLOOKUP($K544,'Type Chart'!$C$2:$U$20,13,false)</f>
        <v>1</v>
      </c>
      <c r="AG544" s="960">
        <f t="array" ref="AG544">HLOOKUP($J544,'Type Chart'!$C$2:$T$20,14,false)*HLOOKUP($K544,'Type Chart'!$C$2:$U$20,14,false)</f>
        <v>1</v>
      </c>
      <c r="AH544" s="960">
        <f t="array" ref="AH544">HLOOKUP($J544,'Type Chart'!$C$2:$T$20,15,false)*HLOOKUP($K544,'Type Chart'!$C$2:$U$20,15,false)</f>
        <v>1</v>
      </c>
      <c r="AI544" s="960">
        <f t="array" ref="AI544">HLOOKUP($J544,'Type Chart'!$C$2:$T$20,16,false)*HLOOKUP($K544,'Type Chart'!$C$2:$U$20,16,false)</f>
        <v>1</v>
      </c>
      <c r="AJ544" s="960">
        <f t="array" ref="AJ544">HLOOKUP($J544,'Type Chart'!$C$2:$T$20,17,false)*HLOOKUP($K544,'Type Chart'!$C$2:$U$20,17,false)</f>
        <v>1</v>
      </c>
      <c r="AK544" s="960">
        <f t="array" ref="AK544">HLOOKUP($J544,'Type Chart'!$C$2:$T$20,18,false)*HLOOKUP($K544,'Type Chart'!$C$2:$U$20,18,false)</f>
        <v>2</v>
      </c>
      <c r="AL544" s="960">
        <f t="array" ref="AL544">HLOOKUP($J544,'Type Chart'!$C$2:$T$20,19,false)*HLOOKUP($K544,'Type Chart'!$C$2:$U$20,19,false)</f>
        <v>1</v>
      </c>
      <c r="AM544" s="964" t="s">
        <v>1437</v>
      </c>
      <c r="AN544" s="965"/>
      <c r="AO544" s="966"/>
      <c r="AP544" s="936"/>
      <c r="AQ544" s="967"/>
      <c r="AR544" s="968"/>
      <c r="AS544" s="936"/>
    </row>
    <row r="545" ht="15.75" customHeight="1">
      <c r="A545" s="936"/>
      <c r="B545" s="948" t="s">
        <v>2561</v>
      </c>
      <c r="C545" s="950" t="s">
        <v>2562</v>
      </c>
      <c r="D545" s="950" t="s">
        <v>2562</v>
      </c>
      <c r="E545" s="952" t="s">
        <v>2562</v>
      </c>
      <c r="F545" s="940"/>
      <c r="G545" s="953"/>
      <c r="H545" s="969"/>
      <c r="I545" s="998" t="s">
        <v>714</v>
      </c>
      <c r="J545" s="1195" t="s">
        <v>193</v>
      </c>
      <c r="K545" s="1001" t="s">
        <v>128</v>
      </c>
      <c r="L545" s="959">
        <v>100.0</v>
      </c>
      <c r="M545" s="960">
        <v>125.0</v>
      </c>
      <c r="N545" s="960">
        <v>52.0</v>
      </c>
      <c r="O545" s="960">
        <v>105.0</v>
      </c>
      <c r="P545" s="960">
        <v>52.0</v>
      </c>
      <c r="Q545" s="960">
        <v>71.0</v>
      </c>
      <c r="R545" s="960">
        <v>178.0</v>
      </c>
      <c r="S545" s="960">
        <v>241.0</v>
      </c>
      <c r="T545" s="960">
        <v>265.0</v>
      </c>
      <c r="U545" s="960">
        <f t="array" ref="U545">HLOOKUP($J545,'Type Chart'!$C$2:$T$20,2,false)*HLOOKUP($K545,'Type Chart'!$C$2:$U$20,2,false)</f>
        <v>1</v>
      </c>
      <c r="V545" s="960">
        <f t="array" ref="V545">HLOOKUP($J545,'Type Chart'!$C$2:$T$20,3,false)*HLOOKUP($K545,'Type Chart'!$C$2:$U$20,3,false)</f>
        <v>1</v>
      </c>
      <c r="W545" s="960">
        <f t="array" ref="W545">HLOOKUP($J545,'Type Chart'!$C$2:$T$20,4,false)*HLOOKUP($K545,'Type Chart'!$C$2:$U$20,4,false)</f>
        <v>1</v>
      </c>
      <c r="X545" s="960">
        <f t="array" ref="X545">HLOOKUP($J545,'Type Chart'!$C$2:$T$20,5,false)*HLOOKUP($K545,'Type Chart'!$C$2:$U$20,5,false)</f>
        <v>1</v>
      </c>
      <c r="Y545" s="960">
        <f t="array" ref="Y545">HLOOKUP($J545,'Type Chart'!$C$2:$T$20,6,false)*HLOOKUP($K545,'Type Chart'!$C$2:$U$20,6,false)</f>
        <v>0</v>
      </c>
      <c r="Z545" s="960">
        <f t="array" ref="Z545">HLOOKUP($J545,'Type Chart'!$C$2:$T$20,7,false)*HLOOKUP($K545,'Type Chart'!$C$2:$U$20,7,false)</f>
        <v>2</v>
      </c>
      <c r="AA545" s="960">
        <f t="array" ref="AA545">HLOOKUP($J545,'Type Chart'!$C$2:$T$20,8,false)*HLOOKUP($K545,'Type Chart'!$C$2:$U$20,8,false)</f>
        <v>1</v>
      </c>
      <c r="AB545" s="960">
        <f t="array" ref="AB545">HLOOKUP($J545,'Type Chart'!$C$2:$T$20,9,false)*HLOOKUP($K545,'Type Chart'!$C$2:$U$20,9,false)</f>
        <v>0.5</v>
      </c>
      <c r="AC545" s="960">
        <f t="array" ref="AC545">HLOOKUP($J545,'Type Chart'!$C$2:$T$20,10,false)*HLOOKUP($K545,'Type Chart'!$C$2:$U$20,10,false)</f>
        <v>1</v>
      </c>
      <c r="AD545" s="960">
        <f t="array" ref="AD545">HLOOKUP($J545,'Type Chart'!$C$2:$T$20,11,false)*HLOOKUP($K545,'Type Chart'!$C$2:$U$20,11,false)</f>
        <v>1</v>
      </c>
      <c r="AE545" s="960">
        <f t="array" ref="AE545">HLOOKUP($J545,'Type Chart'!$C$2:$T$20,12,false)*HLOOKUP($K545,'Type Chart'!$C$2:$U$20,12,false)</f>
        <v>1</v>
      </c>
      <c r="AF545" s="960">
        <f t="array" ref="AF545">HLOOKUP($J545,'Type Chart'!$C$2:$T$20,13,false)*HLOOKUP($K545,'Type Chart'!$C$2:$U$20,13,false)</f>
        <v>0.5</v>
      </c>
      <c r="AG545" s="960">
        <f t="array" ref="AG545">HLOOKUP($J545,'Type Chart'!$C$2:$T$20,14,false)*HLOOKUP($K545,'Type Chart'!$C$2:$U$20,14,false)</f>
        <v>2</v>
      </c>
      <c r="AH545" s="960">
        <f t="array" ref="AH545">HLOOKUP($J545,'Type Chart'!$C$2:$T$20,15,false)*HLOOKUP($K545,'Type Chart'!$C$2:$U$20,15,false)</f>
        <v>0</v>
      </c>
      <c r="AI545" s="960">
        <f t="array" ref="AI545">HLOOKUP($J545,'Type Chart'!$C$2:$T$20,16,false)*HLOOKUP($K545,'Type Chart'!$C$2:$U$20,16,false)</f>
        <v>2</v>
      </c>
      <c r="AJ545" s="960">
        <f t="array" ref="AJ545">HLOOKUP($J545,'Type Chart'!$C$2:$T$20,17,false)*HLOOKUP($K545,'Type Chart'!$C$2:$U$20,17,false)</f>
        <v>1</v>
      </c>
      <c r="AK545" s="960">
        <f t="array" ref="AK545">HLOOKUP($J545,'Type Chart'!$C$2:$T$20,18,false)*HLOOKUP($K545,'Type Chart'!$C$2:$U$20,18,false)</f>
        <v>0.5</v>
      </c>
      <c r="AL545" s="960">
        <f t="array" ref="AL545">HLOOKUP($J545,'Type Chart'!$C$2:$T$20,19,false)*HLOOKUP($K545,'Type Chart'!$C$2:$U$20,19,false)</f>
        <v>2</v>
      </c>
      <c r="AM545" s="1145" t="s">
        <v>1454</v>
      </c>
      <c r="AN545" s="965" t="s">
        <v>1745</v>
      </c>
      <c r="AO545" s="966" t="s">
        <v>1577</v>
      </c>
      <c r="AP545" s="936"/>
      <c r="AQ545" s="967"/>
      <c r="AR545" s="968"/>
      <c r="AS545" s="936"/>
    </row>
    <row r="546" ht="15.75" customHeight="1">
      <c r="A546" s="936"/>
      <c r="B546" s="948" t="s">
        <v>2563</v>
      </c>
      <c r="C546" s="950" t="s">
        <v>2564</v>
      </c>
      <c r="D546" s="950" t="s">
        <v>2564</v>
      </c>
      <c r="E546" s="952" t="s">
        <v>2564</v>
      </c>
      <c r="F546" s="940"/>
      <c r="G546" s="953"/>
      <c r="H546" s="969"/>
      <c r="I546" s="998" t="s">
        <v>2565</v>
      </c>
      <c r="J546" s="1194" t="s">
        <v>136</v>
      </c>
      <c r="K546" s="984" t="s">
        <v>216</v>
      </c>
      <c r="L546" s="959">
        <v>49.0</v>
      </c>
      <c r="M546" s="960">
        <v>55.0</v>
      </c>
      <c r="N546" s="960">
        <v>42.0</v>
      </c>
      <c r="O546" s="960">
        <v>42.0</v>
      </c>
      <c r="P546" s="960">
        <v>37.0</v>
      </c>
      <c r="Q546" s="960">
        <v>85.0</v>
      </c>
      <c r="R546" s="960">
        <v>206.0</v>
      </c>
      <c r="S546" s="960">
        <v>269.0</v>
      </c>
      <c r="T546" s="960">
        <v>295.0</v>
      </c>
      <c r="U546" s="960">
        <f t="array" ref="U546">HLOOKUP($J546,'Type Chart'!$C$2:$T$20,2,false)*HLOOKUP($K546,'Type Chart'!$C$2:$U$20,2,false)</f>
        <v>1</v>
      </c>
      <c r="V546" s="960">
        <f t="array" ref="V546">HLOOKUP($J546,'Type Chart'!$C$2:$T$20,3,false)*HLOOKUP($K546,'Type Chart'!$C$2:$U$20,3,false)</f>
        <v>2</v>
      </c>
      <c r="W546" s="960">
        <f t="array" ref="W546">HLOOKUP($J546,'Type Chart'!$C$2:$T$20,4,false)*HLOOKUP($K546,'Type Chart'!$C$2:$U$20,4,false)</f>
        <v>1</v>
      </c>
      <c r="X546" s="960">
        <f t="array" ref="X546">HLOOKUP($J546,'Type Chart'!$C$2:$T$20,5,false)*HLOOKUP($K546,'Type Chart'!$C$2:$U$20,5,false)</f>
        <v>1</v>
      </c>
      <c r="Y546" s="960">
        <f t="array" ref="Y546">HLOOKUP($J546,'Type Chart'!$C$2:$T$20,6,false)*HLOOKUP($K546,'Type Chart'!$C$2:$U$20,6,false)</f>
        <v>1</v>
      </c>
      <c r="Z546" s="960">
        <f t="array" ref="Z546">HLOOKUP($J546,'Type Chart'!$C$2:$T$20,7,false)*HLOOKUP($K546,'Type Chart'!$C$2:$U$20,7,false)</f>
        <v>1</v>
      </c>
      <c r="AA546" s="960">
        <f t="array" ref="AA546">HLOOKUP($J546,'Type Chart'!$C$2:$T$20,8,false)*HLOOKUP($K546,'Type Chart'!$C$2:$U$20,8,false)</f>
        <v>1</v>
      </c>
      <c r="AB546" s="960">
        <f t="array" ref="AB546">HLOOKUP($J546,'Type Chart'!$C$2:$T$20,9,false)*HLOOKUP($K546,'Type Chart'!$C$2:$U$20,9,false)</f>
        <v>0</v>
      </c>
      <c r="AC546" s="960">
        <f t="array" ref="AC546">HLOOKUP($J546,'Type Chart'!$C$2:$T$20,10,false)*HLOOKUP($K546,'Type Chart'!$C$2:$U$20,10,false)</f>
        <v>1</v>
      </c>
      <c r="AD546" s="960">
        <f t="array" ref="AD546">HLOOKUP($J546,'Type Chart'!$C$2:$T$20,11,false)*HLOOKUP($K546,'Type Chart'!$C$2:$U$20,11,false)</f>
        <v>1</v>
      </c>
      <c r="AE546" s="960">
        <f t="array" ref="AE546">HLOOKUP($J546,'Type Chart'!$C$2:$T$20,12,false)*HLOOKUP($K546,'Type Chart'!$C$2:$U$20,12,false)</f>
        <v>1</v>
      </c>
      <c r="AF546" s="960">
        <f t="array" ref="AF546">HLOOKUP($J546,'Type Chart'!$C$2:$T$20,13,false)*HLOOKUP($K546,'Type Chart'!$C$2:$U$20,13,false)</f>
        <v>1</v>
      </c>
      <c r="AG546" s="960">
        <f t="array" ref="AG546">HLOOKUP($J546,'Type Chart'!$C$2:$T$20,14,false)*HLOOKUP($K546,'Type Chart'!$C$2:$U$20,14,false)</f>
        <v>1</v>
      </c>
      <c r="AH546" s="960">
        <f t="array" ref="AH546">HLOOKUP($J546,'Type Chart'!$C$2:$T$20,15,false)*HLOOKUP($K546,'Type Chart'!$C$2:$U$20,15,false)</f>
        <v>1</v>
      </c>
      <c r="AI546" s="960">
        <f t="array" ref="AI546">HLOOKUP($J546,'Type Chart'!$C$2:$T$20,16,false)*HLOOKUP($K546,'Type Chart'!$C$2:$U$20,16,false)</f>
        <v>1</v>
      </c>
      <c r="AJ546" s="960">
        <f t="array" ref="AJ546">HLOOKUP($J546,'Type Chart'!$C$2:$T$20,17,false)*HLOOKUP($K546,'Type Chart'!$C$2:$U$20,17,false)</f>
        <v>1</v>
      </c>
      <c r="AK546" s="960">
        <f t="array" ref="AK546">HLOOKUP($J546,'Type Chart'!$C$2:$T$20,18,false)*HLOOKUP($K546,'Type Chart'!$C$2:$U$20,18,false)</f>
        <v>1</v>
      </c>
      <c r="AL546" s="960">
        <f t="array" ref="AL546">HLOOKUP($J546,'Type Chart'!$C$2:$T$20,19,false)*HLOOKUP($K546,'Type Chart'!$C$2:$U$20,19,false)</f>
        <v>1</v>
      </c>
      <c r="AM546" s="1145" t="s">
        <v>1250</v>
      </c>
      <c r="AN546" s="965" t="s">
        <v>1370</v>
      </c>
      <c r="AO546" s="966" t="s">
        <v>1022</v>
      </c>
      <c r="AP546" s="936"/>
      <c r="AQ546" s="967"/>
      <c r="AR546" s="968"/>
      <c r="AS546" s="936"/>
    </row>
    <row r="547" ht="15.75" customHeight="1">
      <c r="A547" s="1099"/>
      <c r="B547" s="948" t="s">
        <v>2566</v>
      </c>
      <c r="C547" s="1197" t="s">
        <v>2567</v>
      </c>
      <c r="D547" s="1197" t="s">
        <v>2567</v>
      </c>
      <c r="E547" s="1147" t="s">
        <v>2567</v>
      </c>
      <c r="F547" s="940"/>
      <c r="G547" s="953"/>
      <c r="H547" s="969"/>
      <c r="I547" s="998" t="s">
        <v>2568</v>
      </c>
      <c r="J547" s="1216" t="s">
        <v>136</v>
      </c>
      <c r="K547" s="1199" t="s">
        <v>216</v>
      </c>
      <c r="L547" s="1200">
        <v>71.0</v>
      </c>
      <c r="M547" s="1201">
        <v>82.0</v>
      </c>
      <c r="N547" s="1201">
        <v>64.0</v>
      </c>
      <c r="O547" s="1201">
        <v>64.0</v>
      </c>
      <c r="P547" s="1201">
        <v>59.0</v>
      </c>
      <c r="Q547" s="1201">
        <v>112.0</v>
      </c>
      <c r="R547" s="960">
        <v>260.0</v>
      </c>
      <c r="S547" s="960">
        <v>323.0</v>
      </c>
      <c r="T547" s="960">
        <v>355.0</v>
      </c>
      <c r="U547" s="960">
        <f t="array" ref="U547">HLOOKUP($J547,'Type Chart'!$C$2:$T$20,2,false)*HLOOKUP($K547,'Type Chart'!$C$2:$U$20,2,false)</f>
        <v>1</v>
      </c>
      <c r="V547" s="960">
        <f t="array" ref="V547">HLOOKUP($J547,'Type Chart'!$C$2:$T$20,3,false)*HLOOKUP($K547,'Type Chart'!$C$2:$U$20,3,false)</f>
        <v>2</v>
      </c>
      <c r="W547" s="960">
        <f t="array" ref="W547">HLOOKUP($J547,'Type Chart'!$C$2:$T$20,4,false)*HLOOKUP($K547,'Type Chart'!$C$2:$U$20,4,false)</f>
        <v>1</v>
      </c>
      <c r="X547" s="960">
        <f t="array" ref="X547">HLOOKUP($J547,'Type Chart'!$C$2:$T$20,5,false)*HLOOKUP($K547,'Type Chart'!$C$2:$U$20,5,false)</f>
        <v>1</v>
      </c>
      <c r="Y547" s="960">
        <f t="array" ref="Y547">HLOOKUP($J547,'Type Chart'!$C$2:$T$20,6,false)*HLOOKUP($K547,'Type Chart'!$C$2:$U$20,6,false)</f>
        <v>1</v>
      </c>
      <c r="Z547" s="960">
        <f t="array" ref="Z547">HLOOKUP($J547,'Type Chart'!$C$2:$T$20,7,false)*HLOOKUP($K547,'Type Chart'!$C$2:$U$20,7,false)</f>
        <v>1</v>
      </c>
      <c r="AA547" s="960">
        <f t="array" ref="AA547">HLOOKUP($J547,'Type Chart'!$C$2:$T$20,8,false)*HLOOKUP($K547,'Type Chart'!$C$2:$U$20,8,false)</f>
        <v>1</v>
      </c>
      <c r="AB547" s="960">
        <f t="array" ref="AB547">HLOOKUP($J547,'Type Chart'!$C$2:$T$20,9,false)*HLOOKUP($K547,'Type Chart'!$C$2:$U$20,9,false)</f>
        <v>0</v>
      </c>
      <c r="AC547" s="960">
        <f t="array" ref="AC547">HLOOKUP($J547,'Type Chart'!$C$2:$T$20,10,false)*HLOOKUP($K547,'Type Chart'!$C$2:$U$20,10,false)</f>
        <v>1</v>
      </c>
      <c r="AD547" s="960">
        <f t="array" ref="AD547">HLOOKUP($J547,'Type Chart'!$C$2:$T$20,11,false)*HLOOKUP($K547,'Type Chart'!$C$2:$U$20,11,false)</f>
        <v>1</v>
      </c>
      <c r="AE547" s="960">
        <f t="array" ref="AE547">HLOOKUP($J547,'Type Chart'!$C$2:$T$20,12,false)*HLOOKUP($K547,'Type Chart'!$C$2:$U$20,12,false)</f>
        <v>1</v>
      </c>
      <c r="AF547" s="960">
        <f t="array" ref="AF547">HLOOKUP($J547,'Type Chart'!$C$2:$T$20,13,false)*HLOOKUP($K547,'Type Chart'!$C$2:$U$20,13,false)</f>
        <v>1</v>
      </c>
      <c r="AG547" s="960">
        <f t="array" ref="AG547">HLOOKUP($J547,'Type Chart'!$C$2:$T$20,14,false)*HLOOKUP($K547,'Type Chart'!$C$2:$U$20,14,false)</f>
        <v>1</v>
      </c>
      <c r="AH547" s="960">
        <f t="array" ref="AH547">HLOOKUP($J547,'Type Chart'!$C$2:$T$20,15,false)*HLOOKUP($K547,'Type Chart'!$C$2:$U$20,15,false)</f>
        <v>1</v>
      </c>
      <c r="AI547" s="960">
        <f t="array" ref="AI547">HLOOKUP($J547,'Type Chart'!$C$2:$T$20,16,false)*HLOOKUP($K547,'Type Chart'!$C$2:$U$20,16,false)</f>
        <v>1</v>
      </c>
      <c r="AJ547" s="960">
        <f t="array" ref="AJ547">HLOOKUP($J547,'Type Chart'!$C$2:$T$20,17,false)*HLOOKUP($K547,'Type Chart'!$C$2:$U$20,17,false)</f>
        <v>1</v>
      </c>
      <c r="AK547" s="960">
        <f t="array" ref="AK547">HLOOKUP($J547,'Type Chart'!$C$2:$T$20,18,false)*HLOOKUP($K547,'Type Chart'!$C$2:$U$20,18,false)</f>
        <v>1</v>
      </c>
      <c r="AL547" s="960">
        <f t="array" ref="AL547">HLOOKUP($J547,'Type Chart'!$C$2:$T$20,19,false)*HLOOKUP($K547,'Type Chart'!$C$2:$U$20,19,false)</f>
        <v>1</v>
      </c>
      <c r="AM547" s="1145" t="s">
        <v>760</v>
      </c>
      <c r="AN547" s="1202" t="s">
        <v>1370</v>
      </c>
      <c r="AO547" s="1146" t="s">
        <v>1267</v>
      </c>
      <c r="AP547" s="936"/>
      <c r="AQ547" s="967"/>
      <c r="AR547" s="968"/>
      <c r="AS547" s="936"/>
    </row>
    <row r="548" ht="15.75" customHeight="1">
      <c r="A548" s="1099"/>
      <c r="B548" s="948" t="s">
        <v>2569</v>
      </c>
      <c r="C548" s="1197" t="s">
        <v>2570</v>
      </c>
      <c r="D548" s="1197" t="s">
        <v>2570</v>
      </c>
      <c r="E548" s="1147" t="s">
        <v>2570</v>
      </c>
      <c r="F548" s="940"/>
      <c r="G548" s="953"/>
      <c r="H548" s="969"/>
      <c r="I548" s="998" t="s">
        <v>2571</v>
      </c>
      <c r="J548" s="1215" t="s">
        <v>344</v>
      </c>
      <c r="K548" s="1199" t="s">
        <v>216</v>
      </c>
      <c r="L548" s="1200">
        <v>45.0</v>
      </c>
      <c r="M548" s="1201">
        <v>30.0</v>
      </c>
      <c r="N548" s="1201">
        <v>50.0</v>
      </c>
      <c r="O548" s="1201">
        <v>65.0</v>
      </c>
      <c r="P548" s="1201">
        <v>50.0</v>
      </c>
      <c r="Q548" s="1201">
        <v>45.0</v>
      </c>
      <c r="R548" s="960">
        <v>126.0</v>
      </c>
      <c r="S548" s="960">
        <v>189.0</v>
      </c>
      <c r="T548" s="960">
        <v>207.0</v>
      </c>
      <c r="U548" s="960">
        <f t="array" ref="U548">HLOOKUP($J548,'Type Chart'!$C$2:$T$20,2,false)*HLOOKUP($K548,'Type Chart'!$C$2:$U$20,2,false)</f>
        <v>1</v>
      </c>
      <c r="V548" s="960">
        <f t="array" ref="V548">HLOOKUP($J548,'Type Chart'!$C$2:$T$20,3,false)*HLOOKUP($K548,'Type Chart'!$C$2:$U$20,3,false)</f>
        <v>0.5</v>
      </c>
      <c r="W548" s="960">
        <f t="array" ref="W548">HLOOKUP($J548,'Type Chart'!$C$2:$T$20,4,false)*HLOOKUP($K548,'Type Chart'!$C$2:$U$20,4,false)</f>
        <v>1</v>
      </c>
      <c r="X548" s="960">
        <f t="array" ref="X548">HLOOKUP($J548,'Type Chart'!$C$2:$T$20,5,false)*HLOOKUP($K548,'Type Chart'!$C$2:$U$20,5,false)</f>
        <v>1</v>
      </c>
      <c r="Y548" s="960">
        <f t="array" ref="Y548">HLOOKUP($J548,'Type Chart'!$C$2:$T$20,6,false)*HLOOKUP($K548,'Type Chart'!$C$2:$U$20,6,false)</f>
        <v>1</v>
      </c>
      <c r="Z548" s="960">
        <f t="array" ref="Z548">HLOOKUP($J548,'Type Chart'!$C$2:$T$20,7,false)*HLOOKUP($K548,'Type Chart'!$C$2:$U$20,7,false)</f>
        <v>1</v>
      </c>
      <c r="AA548" s="960">
        <f t="array" ref="AA548">HLOOKUP($J548,'Type Chart'!$C$2:$T$20,8,false)*HLOOKUP($K548,'Type Chart'!$C$2:$U$20,8,false)</f>
        <v>2</v>
      </c>
      <c r="AB548" s="960">
        <f t="array" ref="AB548">HLOOKUP($J548,'Type Chart'!$C$2:$T$20,9,false)*HLOOKUP($K548,'Type Chart'!$C$2:$U$20,9,false)</f>
        <v>2</v>
      </c>
      <c r="AC548" s="960">
        <f t="array" ref="AC548">HLOOKUP($J548,'Type Chart'!$C$2:$T$20,10,false)*HLOOKUP($K548,'Type Chart'!$C$2:$U$20,10,false)</f>
        <v>1</v>
      </c>
      <c r="AD548" s="960">
        <f t="array" ref="AD548">HLOOKUP($J548,'Type Chart'!$C$2:$T$20,11,false)*HLOOKUP($K548,'Type Chart'!$C$2:$U$20,11,false)</f>
        <v>1</v>
      </c>
      <c r="AE548" s="960">
        <f t="array" ref="AE548">HLOOKUP($J548,'Type Chart'!$C$2:$T$20,12,false)*HLOOKUP($K548,'Type Chart'!$C$2:$U$20,12,false)</f>
        <v>1</v>
      </c>
      <c r="AF548" s="960">
        <f t="array" ref="AF548">HLOOKUP($J548,'Type Chart'!$C$2:$T$20,13,false)*HLOOKUP($K548,'Type Chart'!$C$2:$U$20,13,false)</f>
        <v>1</v>
      </c>
      <c r="AG548" s="960">
        <f t="array" ref="AG548">HLOOKUP($J548,'Type Chart'!$C$2:$T$20,14,false)*HLOOKUP($K548,'Type Chart'!$C$2:$U$20,14,false)</f>
        <v>1</v>
      </c>
      <c r="AH548" s="960">
        <f t="array" ref="AH548">HLOOKUP($J548,'Type Chart'!$C$2:$T$20,15,false)*HLOOKUP($K548,'Type Chart'!$C$2:$U$20,15,false)</f>
        <v>0.5</v>
      </c>
      <c r="AI548" s="960">
        <f t="array" ref="AI548">HLOOKUP($J548,'Type Chart'!$C$2:$T$20,16,false)*HLOOKUP($K548,'Type Chart'!$C$2:$U$20,16,false)</f>
        <v>1</v>
      </c>
      <c r="AJ548" s="960">
        <f t="array" ref="AJ548">HLOOKUP($J548,'Type Chart'!$C$2:$T$20,17,false)*HLOOKUP($K548,'Type Chart'!$C$2:$U$20,17,false)</f>
        <v>1</v>
      </c>
      <c r="AK548" s="960">
        <f t="array" ref="AK548">HLOOKUP($J548,'Type Chart'!$C$2:$T$20,18,false)*HLOOKUP($K548,'Type Chart'!$C$2:$U$20,18,false)</f>
        <v>2</v>
      </c>
      <c r="AL548" s="960">
        <f t="array" ref="AL548">HLOOKUP($J548,'Type Chart'!$C$2:$T$20,19,false)*HLOOKUP($K548,'Type Chart'!$C$2:$U$20,19,false)</f>
        <v>1</v>
      </c>
      <c r="AM548" s="1145" t="s">
        <v>1437</v>
      </c>
      <c r="AN548" s="1202"/>
      <c r="AO548" s="1146"/>
      <c r="AP548" s="936"/>
      <c r="AQ548" s="967"/>
      <c r="AR548" s="968"/>
      <c r="AS548" s="936"/>
    </row>
    <row r="549" ht="15.75" customHeight="1">
      <c r="A549" s="936"/>
      <c r="B549" s="948" t="s">
        <v>2572</v>
      </c>
      <c r="C549" s="950" t="s">
        <v>2573</v>
      </c>
      <c r="D549" s="950" t="s">
        <v>2573</v>
      </c>
      <c r="E549" s="952" t="s">
        <v>2573</v>
      </c>
      <c r="F549" s="940"/>
      <c r="G549" s="953"/>
      <c r="H549" s="969"/>
      <c r="I549" s="956" t="s">
        <v>2574</v>
      </c>
      <c r="J549" s="958" t="s">
        <v>178</v>
      </c>
      <c r="K549" s="1195" t="s">
        <v>193</v>
      </c>
      <c r="L549" s="959">
        <v>63.0</v>
      </c>
      <c r="M549" s="960">
        <v>63.0</v>
      </c>
      <c r="N549" s="960">
        <v>47.0</v>
      </c>
      <c r="O549" s="960">
        <v>41.0</v>
      </c>
      <c r="P549" s="960">
        <v>41.0</v>
      </c>
      <c r="Q549" s="960">
        <v>74.0</v>
      </c>
      <c r="R549" s="960">
        <v>184.0</v>
      </c>
      <c r="S549" s="960">
        <v>247.0</v>
      </c>
      <c r="T549" s="960">
        <v>271.0</v>
      </c>
      <c r="U549" s="960">
        <f t="array" ref="U549">HLOOKUP($J549,'Type Chart'!$C$2:$T$20,2,false)*HLOOKUP($K549,'Type Chart'!$C$2:$U$20,2,false)</f>
        <v>1</v>
      </c>
      <c r="V549" s="960">
        <f t="array" ref="V549">HLOOKUP($J549,'Type Chart'!$C$2:$T$20,3,false)*HLOOKUP($K549,'Type Chart'!$C$2:$U$20,3,false)</f>
        <v>1</v>
      </c>
      <c r="W549" s="960">
        <f t="array" ref="W549">HLOOKUP($J549,'Type Chart'!$C$2:$T$20,4,false)*HLOOKUP($K549,'Type Chart'!$C$2:$U$20,4,false)</f>
        <v>1</v>
      </c>
      <c r="X549" s="960">
        <f t="array" ref="X549">HLOOKUP($J549,'Type Chart'!$C$2:$T$20,5,false)*HLOOKUP($K549,'Type Chart'!$C$2:$U$20,5,false)</f>
        <v>0.5</v>
      </c>
      <c r="Y549" s="960">
        <f t="array" ref="Y549">HLOOKUP($J549,'Type Chart'!$C$2:$T$20,6,false)*HLOOKUP($K549,'Type Chart'!$C$2:$U$20,6,false)</f>
        <v>2</v>
      </c>
      <c r="Z549" s="960">
        <f t="array" ref="Z549">HLOOKUP($J549,'Type Chart'!$C$2:$T$20,7,false)*HLOOKUP($K549,'Type Chart'!$C$2:$U$20,7,false)</f>
        <v>1</v>
      </c>
      <c r="AA549" s="960">
        <f t="array" ref="AA549">HLOOKUP($J549,'Type Chart'!$C$2:$T$20,8,false)*HLOOKUP($K549,'Type Chart'!$C$2:$U$20,8,false)</f>
        <v>1</v>
      </c>
      <c r="AB549" s="960">
        <f t="array" ref="AB549">HLOOKUP($J549,'Type Chart'!$C$2:$T$20,9,false)*HLOOKUP($K549,'Type Chart'!$C$2:$U$20,9,false)</f>
        <v>0.5</v>
      </c>
      <c r="AC549" s="960">
        <f t="array" ref="AC549">HLOOKUP($J549,'Type Chart'!$C$2:$T$20,10,false)*HLOOKUP($K549,'Type Chart'!$C$2:$U$20,10,false)</f>
        <v>1</v>
      </c>
      <c r="AD549" s="960">
        <f t="array" ref="AD549">HLOOKUP($J549,'Type Chart'!$C$2:$T$20,11,false)*HLOOKUP($K549,'Type Chart'!$C$2:$U$20,11,false)</f>
        <v>1</v>
      </c>
      <c r="AE549" s="960">
        <f t="array" ref="AE549">HLOOKUP($J549,'Type Chart'!$C$2:$T$20,12,false)*HLOOKUP($K549,'Type Chart'!$C$2:$U$20,12,false)</f>
        <v>1</v>
      </c>
      <c r="AF549" s="960">
        <f t="array" ref="AF549">HLOOKUP($J549,'Type Chart'!$C$2:$T$20,13,false)*HLOOKUP($K549,'Type Chart'!$C$2:$U$20,13,false)</f>
        <v>0.5</v>
      </c>
      <c r="AG549" s="960">
        <f t="array" ref="AG549">HLOOKUP($J549,'Type Chart'!$C$2:$T$20,14,false)*HLOOKUP($K549,'Type Chart'!$C$2:$U$20,14,false)</f>
        <v>1</v>
      </c>
      <c r="AH549" s="960">
        <f t="array" ref="AH549">HLOOKUP($J549,'Type Chart'!$C$2:$T$20,15,false)*HLOOKUP($K549,'Type Chart'!$C$2:$U$20,15,false)</f>
        <v>0</v>
      </c>
      <c r="AI549" s="960">
        <f t="array" ref="AI549">HLOOKUP($J549,'Type Chart'!$C$2:$T$20,16,false)*HLOOKUP($K549,'Type Chart'!$C$2:$U$20,16,false)</f>
        <v>1</v>
      </c>
      <c r="AJ549" s="960">
        <f t="array" ref="AJ549">HLOOKUP($J549,'Type Chart'!$C$2:$T$20,17,false)*HLOOKUP($K549,'Type Chart'!$C$2:$U$20,17,false)</f>
        <v>1</v>
      </c>
      <c r="AK549" s="960">
        <f t="array" ref="AK549">HLOOKUP($J549,'Type Chart'!$C$2:$T$20,18,false)*HLOOKUP($K549,'Type Chart'!$C$2:$U$20,18,false)</f>
        <v>0.5</v>
      </c>
      <c r="AL549" s="960">
        <f t="array" ref="AL549">HLOOKUP($J549,'Type Chart'!$C$2:$T$20,19,false)*HLOOKUP($K549,'Type Chart'!$C$2:$U$20,19,false)</f>
        <v>1</v>
      </c>
      <c r="AM549" s="964" t="s">
        <v>1203</v>
      </c>
      <c r="AN549" s="965" t="s">
        <v>1469</v>
      </c>
      <c r="AO549" s="966" t="s">
        <v>1022</v>
      </c>
      <c r="AP549" s="936"/>
      <c r="AQ549" s="967"/>
      <c r="AR549" s="968"/>
      <c r="AS549" s="936"/>
    </row>
    <row r="550" ht="15.75" customHeight="1">
      <c r="A550" s="936"/>
      <c r="B550" s="948" t="s">
        <v>2575</v>
      </c>
      <c r="C550" s="950" t="s">
        <v>2576</v>
      </c>
      <c r="D550" s="950" t="s">
        <v>2576</v>
      </c>
      <c r="E550" s="952" t="s">
        <v>2576</v>
      </c>
      <c r="F550" s="940"/>
      <c r="G550" s="953"/>
      <c r="H550" s="969"/>
      <c r="I550" s="956" t="s">
        <v>682</v>
      </c>
      <c r="J550" s="958" t="s">
        <v>178</v>
      </c>
      <c r="K550" s="1195" t="s">
        <v>193</v>
      </c>
      <c r="L550" s="959">
        <v>103.0</v>
      </c>
      <c r="M550" s="960">
        <v>93.0</v>
      </c>
      <c r="N550" s="960">
        <v>67.0</v>
      </c>
      <c r="O550" s="960">
        <v>71.0</v>
      </c>
      <c r="P550" s="960">
        <v>61.0</v>
      </c>
      <c r="Q550" s="960">
        <v>84.0</v>
      </c>
      <c r="R550" s="960">
        <v>204.0</v>
      </c>
      <c r="S550" s="960">
        <v>267.0</v>
      </c>
      <c r="T550" s="960">
        <v>293.0</v>
      </c>
      <c r="U550" s="960">
        <f t="array" ref="U550">HLOOKUP($J550,'Type Chart'!$C$2:$T$20,2,false)*HLOOKUP($K550,'Type Chart'!$C$2:$U$20,2,false)</f>
        <v>1</v>
      </c>
      <c r="V550" s="960">
        <f t="array" ref="V550">HLOOKUP($J550,'Type Chart'!$C$2:$T$20,3,false)*HLOOKUP($K550,'Type Chart'!$C$2:$U$20,3,false)</f>
        <v>1</v>
      </c>
      <c r="W550" s="960">
        <f t="array" ref="W550">HLOOKUP($J550,'Type Chart'!$C$2:$T$20,4,false)*HLOOKUP($K550,'Type Chart'!$C$2:$U$20,4,false)</f>
        <v>1</v>
      </c>
      <c r="X550" s="960">
        <f t="array" ref="X550">HLOOKUP($J550,'Type Chart'!$C$2:$T$20,5,false)*HLOOKUP($K550,'Type Chart'!$C$2:$U$20,5,false)</f>
        <v>0.5</v>
      </c>
      <c r="Y550" s="960">
        <f t="array" ref="Y550">HLOOKUP($J550,'Type Chart'!$C$2:$T$20,6,false)*HLOOKUP($K550,'Type Chart'!$C$2:$U$20,6,false)</f>
        <v>2</v>
      </c>
      <c r="Z550" s="960">
        <f t="array" ref="Z550">HLOOKUP($J550,'Type Chart'!$C$2:$T$20,7,false)*HLOOKUP($K550,'Type Chart'!$C$2:$U$20,7,false)</f>
        <v>1</v>
      </c>
      <c r="AA550" s="960">
        <f t="array" ref="AA550">HLOOKUP($J550,'Type Chart'!$C$2:$T$20,8,false)*HLOOKUP($K550,'Type Chart'!$C$2:$U$20,8,false)</f>
        <v>1</v>
      </c>
      <c r="AB550" s="960">
        <f t="array" ref="AB550">HLOOKUP($J550,'Type Chart'!$C$2:$T$20,9,false)*HLOOKUP($K550,'Type Chart'!$C$2:$U$20,9,false)</f>
        <v>0.5</v>
      </c>
      <c r="AC550" s="960">
        <f t="array" ref="AC550">HLOOKUP($J550,'Type Chart'!$C$2:$T$20,10,false)*HLOOKUP($K550,'Type Chart'!$C$2:$U$20,10,false)</f>
        <v>1</v>
      </c>
      <c r="AD550" s="960">
        <f t="array" ref="AD550">HLOOKUP($J550,'Type Chart'!$C$2:$T$20,11,false)*HLOOKUP($K550,'Type Chart'!$C$2:$U$20,11,false)</f>
        <v>1</v>
      </c>
      <c r="AE550" s="960">
        <f t="array" ref="AE550">HLOOKUP($J550,'Type Chart'!$C$2:$T$20,12,false)*HLOOKUP($K550,'Type Chart'!$C$2:$U$20,12,false)</f>
        <v>1</v>
      </c>
      <c r="AF550" s="960">
        <f t="array" ref="AF550">HLOOKUP($J550,'Type Chart'!$C$2:$T$20,13,false)*HLOOKUP($K550,'Type Chart'!$C$2:$U$20,13,false)</f>
        <v>0.5</v>
      </c>
      <c r="AG550" s="960">
        <f t="array" ref="AG550">HLOOKUP($J550,'Type Chart'!$C$2:$T$20,14,false)*HLOOKUP($K550,'Type Chart'!$C$2:$U$20,14,false)</f>
        <v>1</v>
      </c>
      <c r="AH550" s="960">
        <f t="array" ref="AH550">HLOOKUP($J550,'Type Chart'!$C$2:$T$20,15,false)*HLOOKUP($K550,'Type Chart'!$C$2:$U$20,15,false)</f>
        <v>0</v>
      </c>
      <c r="AI550" s="960">
        <f t="array" ref="AI550">HLOOKUP($J550,'Type Chart'!$C$2:$T$20,16,false)*HLOOKUP($K550,'Type Chart'!$C$2:$U$20,16,false)</f>
        <v>1</v>
      </c>
      <c r="AJ550" s="960">
        <f t="array" ref="AJ550">HLOOKUP($J550,'Type Chart'!$C$2:$T$20,17,false)*HLOOKUP($K550,'Type Chart'!$C$2:$U$20,17,false)</f>
        <v>1</v>
      </c>
      <c r="AK550" s="960">
        <f t="array" ref="AK550">HLOOKUP($J550,'Type Chart'!$C$2:$T$20,18,false)*HLOOKUP($K550,'Type Chart'!$C$2:$U$20,18,false)</f>
        <v>0.5</v>
      </c>
      <c r="AL550" s="960">
        <f t="array" ref="AL550">HLOOKUP($J550,'Type Chart'!$C$2:$T$20,19,false)*HLOOKUP($K550,'Type Chart'!$C$2:$U$20,19,false)</f>
        <v>1</v>
      </c>
      <c r="AM550" s="964" t="s">
        <v>1203</v>
      </c>
      <c r="AN550" s="965" t="s">
        <v>1469</v>
      </c>
      <c r="AO550" s="966" t="s">
        <v>1022</v>
      </c>
      <c r="AP550" s="936"/>
      <c r="AQ550" s="967"/>
      <c r="AR550" s="968"/>
      <c r="AS550" s="936"/>
    </row>
    <row r="551" ht="15.75" customHeight="1">
      <c r="A551" s="936"/>
      <c r="B551" s="948" t="s">
        <v>2577</v>
      </c>
      <c r="C551" s="950" t="s">
        <v>2578</v>
      </c>
      <c r="D551" s="950" t="s">
        <v>2578</v>
      </c>
      <c r="E551" s="952" t="s">
        <v>2578</v>
      </c>
      <c r="F551" s="940"/>
      <c r="G551" s="953"/>
      <c r="H551" s="969"/>
      <c r="I551" s="956" t="s">
        <v>2579</v>
      </c>
      <c r="J551" s="1206" t="s">
        <v>82</v>
      </c>
      <c r="K551" s="1203" t="s">
        <v>344</v>
      </c>
      <c r="L551" s="959">
        <v>57.0</v>
      </c>
      <c r="M551" s="960">
        <v>24.0</v>
      </c>
      <c r="N551" s="960">
        <v>86.0</v>
      </c>
      <c r="O551" s="960">
        <v>24.0</v>
      </c>
      <c r="P551" s="960">
        <v>86.0</v>
      </c>
      <c r="Q551" s="960">
        <v>23.0</v>
      </c>
      <c r="R551" s="960">
        <v>82.0</v>
      </c>
      <c r="S551" s="960">
        <v>145.0</v>
      </c>
      <c r="T551" s="960">
        <v>159.0</v>
      </c>
      <c r="U551" s="960">
        <f t="array" ref="U551">HLOOKUP($J551,'Type Chart'!$C$2:$T$20,2,false)*HLOOKUP($K551,'Type Chart'!$C$2:$U$20,2,false)</f>
        <v>0.5</v>
      </c>
      <c r="V551" s="960">
        <f t="array" ref="V551">HLOOKUP($J551,'Type Chart'!$C$2:$T$20,3,false)*HLOOKUP($K551,'Type Chart'!$C$2:$U$20,3,false)</f>
        <v>1</v>
      </c>
      <c r="W551" s="960">
        <f t="array" ref="W551">HLOOKUP($J551,'Type Chart'!$C$2:$T$20,4,false)*HLOOKUP($K551,'Type Chart'!$C$2:$U$20,4,false)</f>
        <v>0.5</v>
      </c>
      <c r="X551" s="960">
        <f t="array" ref="X551">HLOOKUP($J551,'Type Chart'!$C$2:$T$20,5,false)*HLOOKUP($K551,'Type Chart'!$C$2:$U$20,5,false)</f>
        <v>0</v>
      </c>
      <c r="Y551" s="960">
        <f t="array" ref="Y551">HLOOKUP($J551,'Type Chart'!$C$2:$T$20,6,false)*HLOOKUP($K551,'Type Chart'!$C$2:$U$20,6,false)</f>
        <v>2</v>
      </c>
      <c r="Z551" s="960">
        <f t="array" ref="Z551">HLOOKUP($J551,'Type Chart'!$C$2:$T$20,7,false)*HLOOKUP($K551,'Type Chart'!$C$2:$U$20,7,false)</f>
        <v>0.5</v>
      </c>
      <c r="AA551" s="960">
        <f t="array" ref="AA551">HLOOKUP($J551,'Type Chart'!$C$2:$T$20,8,false)*HLOOKUP($K551,'Type Chart'!$C$2:$U$20,8,false)</f>
        <v>1</v>
      </c>
      <c r="AB551" s="960">
        <f t="array" ref="AB551">HLOOKUP($J551,'Type Chart'!$C$2:$T$20,9,false)*HLOOKUP($K551,'Type Chart'!$C$2:$U$20,9,false)</f>
        <v>2</v>
      </c>
      <c r="AC551" s="960">
        <f t="array" ref="AC551">HLOOKUP($J551,'Type Chart'!$C$2:$T$20,10,false)*HLOOKUP($K551,'Type Chart'!$C$2:$U$20,10,false)</f>
        <v>0.5</v>
      </c>
      <c r="AD551" s="960">
        <f t="array" ref="AD551">HLOOKUP($J551,'Type Chart'!$C$2:$T$20,11,false)*HLOOKUP($K551,'Type Chart'!$C$2:$U$20,11,false)</f>
        <v>2</v>
      </c>
      <c r="AE551" s="960">
        <f t="array" ref="AE551">HLOOKUP($J551,'Type Chart'!$C$2:$T$20,12,false)*HLOOKUP($K551,'Type Chart'!$C$2:$U$20,12,false)</f>
        <v>1</v>
      </c>
      <c r="AF551" s="960">
        <f t="array" ref="AF551">HLOOKUP($J551,'Type Chart'!$C$2:$T$20,13,false)*HLOOKUP($K551,'Type Chart'!$C$2:$U$20,13,false)</f>
        <v>0.5</v>
      </c>
      <c r="AG551" s="960">
        <f t="array" ref="AG551">HLOOKUP($J551,'Type Chart'!$C$2:$T$20,14,false)*HLOOKUP($K551,'Type Chart'!$C$2:$U$20,14,false)</f>
        <v>1</v>
      </c>
      <c r="AH551" s="960">
        <f t="array" ref="AH551">HLOOKUP($J551,'Type Chart'!$C$2:$T$20,15,false)*HLOOKUP($K551,'Type Chart'!$C$2:$U$20,15,false)</f>
        <v>0.25</v>
      </c>
      <c r="AI551" s="960">
        <f t="array" ref="AI551">HLOOKUP($J551,'Type Chart'!$C$2:$T$20,16,false)*HLOOKUP($K551,'Type Chart'!$C$2:$U$20,16,false)</f>
        <v>0.5</v>
      </c>
      <c r="AJ551" s="960">
        <f t="array" ref="AJ551">HLOOKUP($J551,'Type Chart'!$C$2:$T$20,17,false)*HLOOKUP($K551,'Type Chart'!$C$2:$U$20,17,false)</f>
        <v>0.5</v>
      </c>
      <c r="AK551" s="960">
        <f t="array" ref="AK551">HLOOKUP($J551,'Type Chart'!$C$2:$T$20,18,false)*HLOOKUP($K551,'Type Chart'!$C$2:$U$20,18,false)</f>
        <v>2</v>
      </c>
      <c r="AL551" s="960">
        <f t="array" ref="AL551">HLOOKUP($J551,'Type Chart'!$C$2:$T$20,19,false)*HLOOKUP($K551,'Type Chart'!$C$2:$U$20,19,false)</f>
        <v>0.5</v>
      </c>
      <c r="AM551" s="964" t="s">
        <v>1437</v>
      </c>
      <c r="AN551" s="965" t="s">
        <v>2580</v>
      </c>
      <c r="AO551" s="966" t="s">
        <v>2151</v>
      </c>
      <c r="AP551" s="936"/>
      <c r="AQ551" s="967"/>
      <c r="AR551" s="968"/>
      <c r="AS551" s="936"/>
    </row>
    <row r="552" ht="15.75" customHeight="1">
      <c r="A552" s="936"/>
      <c r="B552" s="948" t="s">
        <v>2581</v>
      </c>
      <c r="C552" s="950" t="s">
        <v>2582</v>
      </c>
      <c r="D552" s="950" t="s">
        <v>2582</v>
      </c>
      <c r="E552" s="952" t="s">
        <v>2582</v>
      </c>
      <c r="F552" s="940"/>
      <c r="G552" s="953"/>
      <c r="H552" s="969"/>
      <c r="I552" s="956" t="s">
        <v>529</v>
      </c>
      <c r="J552" s="1206" t="s">
        <v>82</v>
      </c>
      <c r="K552" s="1203" t="s">
        <v>344</v>
      </c>
      <c r="L552" s="959">
        <v>67.0</v>
      </c>
      <c r="M552" s="960">
        <v>89.0</v>
      </c>
      <c r="N552" s="960">
        <v>116.0</v>
      </c>
      <c r="O552" s="960">
        <v>79.0</v>
      </c>
      <c r="P552" s="960">
        <v>116.0</v>
      </c>
      <c r="Q552" s="960">
        <v>33.0</v>
      </c>
      <c r="R552" s="960">
        <v>102.0</v>
      </c>
      <c r="S552" s="960">
        <v>165.0</v>
      </c>
      <c r="T552" s="960">
        <v>181.0</v>
      </c>
      <c r="U552" s="960">
        <f t="array" ref="U552">HLOOKUP($J552,'Type Chart'!$C$2:$T$20,2,false)*HLOOKUP($K552,'Type Chart'!$C$2:$U$20,2,false)</f>
        <v>0.5</v>
      </c>
      <c r="V552" s="960">
        <f t="array" ref="V552">HLOOKUP($J552,'Type Chart'!$C$2:$T$20,3,false)*HLOOKUP($K552,'Type Chart'!$C$2:$U$20,3,false)</f>
        <v>1</v>
      </c>
      <c r="W552" s="960">
        <f t="array" ref="W552">HLOOKUP($J552,'Type Chart'!$C$2:$T$20,4,false)*HLOOKUP($K552,'Type Chart'!$C$2:$U$20,4,false)</f>
        <v>0.5</v>
      </c>
      <c r="X552" s="960">
        <f t="array" ref="X552">HLOOKUP($J552,'Type Chart'!$C$2:$T$20,5,false)*HLOOKUP($K552,'Type Chart'!$C$2:$U$20,5,false)</f>
        <v>0</v>
      </c>
      <c r="Y552" s="960">
        <f t="array" ref="Y552">HLOOKUP($J552,'Type Chart'!$C$2:$T$20,6,false)*HLOOKUP($K552,'Type Chart'!$C$2:$U$20,6,false)</f>
        <v>2</v>
      </c>
      <c r="Z552" s="960">
        <f t="array" ref="Z552">HLOOKUP($J552,'Type Chart'!$C$2:$T$20,7,false)*HLOOKUP($K552,'Type Chart'!$C$2:$U$20,7,false)</f>
        <v>0.5</v>
      </c>
      <c r="AA552" s="960">
        <f t="array" ref="AA552">HLOOKUP($J552,'Type Chart'!$C$2:$T$20,8,false)*HLOOKUP($K552,'Type Chart'!$C$2:$U$20,8,false)</f>
        <v>1</v>
      </c>
      <c r="AB552" s="960">
        <f t="array" ref="AB552">HLOOKUP($J552,'Type Chart'!$C$2:$T$20,9,false)*HLOOKUP($K552,'Type Chart'!$C$2:$U$20,9,false)</f>
        <v>2</v>
      </c>
      <c r="AC552" s="960">
        <f t="array" ref="AC552">HLOOKUP($J552,'Type Chart'!$C$2:$T$20,10,false)*HLOOKUP($K552,'Type Chart'!$C$2:$U$20,10,false)</f>
        <v>0.5</v>
      </c>
      <c r="AD552" s="960">
        <f t="array" ref="AD552">HLOOKUP($J552,'Type Chart'!$C$2:$T$20,11,false)*HLOOKUP($K552,'Type Chart'!$C$2:$U$20,11,false)</f>
        <v>2</v>
      </c>
      <c r="AE552" s="960">
        <f t="array" ref="AE552">HLOOKUP($J552,'Type Chart'!$C$2:$T$20,12,false)*HLOOKUP($K552,'Type Chart'!$C$2:$U$20,12,false)</f>
        <v>1</v>
      </c>
      <c r="AF552" s="960">
        <f t="array" ref="AF552">HLOOKUP($J552,'Type Chart'!$C$2:$T$20,13,false)*HLOOKUP($K552,'Type Chart'!$C$2:$U$20,13,false)</f>
        <v>0.5</v>
      </c>
      <c r="AG552" s="960">
        <f t="array" ref="AG552">HLOOKUP($J552,'Type Chart'!$C$2:$T$20,14,false)*HLOOKUP($K552,'Type Chart'!$C$2:$U$20,14,false)</f>
        <v>1</v>
      </c>
      <c r="AH552" s="960">
        <f t="array" ref="AH552">HLOOKUP($J552,'Type Chart'!$C$2:$T$20,15,false)*HLOOKUP($K552,'Type Chart'!$C$2:$U$20,15,false)</f>
        <v>0.25</v>
      </c>
      <c r="AI552" s="960">
        <f t="array" ref="AI552">HLOOKUP($J552,'Type Chart'!$C$2:$T$20,16,false)*HLOOKUP($K552,'Type Chart'!$C$2:$U$20,16,false)</f>
        <v>0.5</v>
      </c>
      <c r="AJ552" s="960">
        <f t="array" ref="AJ552">HLOOKUP($J552,'Type Chart'!$C$2:$T$20,17,false)*HLOOKUP($K552,'Type Chart'!$C$2:$U$20,17,false)</f>
        <v>0.5</v>
      </c>
      <c r="AK552" s="960">
        <f t="array" ref="AK552">HLOOKUP($J552,'Type Chart'!$C$2:$T$20,18,false)*HLOOKUP($K552,'Type Chart'!$C$2:$U$20,18,false)</f>
        <v>2</v>
      </c>
      <c r="AL552" s="960">
        <f t="array" ref="AL552">HLOOKUP($J552,'Type Chart'!$C$2:$T$20,19,false)*HLOOKUP($K552,'Type Chart'!$C$2:$U$20,19,false)</f>
        <v>0.5</v>
      </c>
      <c r="AM552" s="964" t="s">
        <v>1437</v>
      </c>
      <c r="AN552" s="965" t="s">
        <v>2580</v>
      </c>
      <c r="AO552" s="966" t="s">
        <v>2151</v>
      </c>
      <c r="AP552" s="936"/>
      <c r="AQ552" s="967"/>
      <c r="AR552" s="968"/>
      <c r="AS552" s="936"/>
    </row>
    <row r="553" ht="15.75" customHeight="1">
      <c r="A553" s="1099"/>
      <c r="B553" s="948" t="s">
        <v>2583</v>
      </c>
      <c r="C553" s="1197" t="s">
        <v>2584</v>
      </c>
      <c r="D553" s="1197" t="s">
        <v>2584</v>
      </c>
      <c r="E553" s="1147" t="s">
        <v>2584</v>
      </c>
      <c r="F553" s="940"/>
      <c r="G553" s="953"/>
      <c r="H553" s="969"/>
      <c r="I553" s="998" t="s">
        <v>2585</v>
      </c>
      <c r="J553" s="1222" t="s">
        <v>342</v>
      </c>
      <c r="K553" s="1199" t="s">
        <v>216</v>
      </c>
      <c r="L553" s="1200">
        <v>50.0</v>
      </c>
      <c r="M553" s="1201">
        <v>80.0</v>
      </c>
      <c r="N553" s="1201">
        <v>95.0</v>
      </c>
      <c r="O553" s="1201">
        <v>10.0</v>
      </c>
      <c r="P553" s="1201">
        <v>45.0</v>
      </c>
      <c r="Q553" s="1201">
        <v>10.0</v>
      </c>
      <c r="R553" s="960">
        <v>56.0</v>
      </c>
      <c r="S553" s="960">
        <v>119.0</v>
      </c>
      <c r="T553" s="960">
        <v>130.0</v>
      </c>
      <c r="U553" s="960">
        <f t="array" ref="U553">HLOOKUP($J553,'Type Chart'!$C$2:$T$20,2,false)*HLOOKUP($K553,'Type Chart'!$C$2:$U$20,2,false)</f>
        <v>0.5</v>
      </c>
      <c r="V553" s="960">
        <f t="array" ref="V553">HLOOKUP($J553,'Type Chart'!$C$2:$T$20,3,false)*HLOOKUP($K553,'Type Chart'!$C$2:$U$20,3,false)</f>
        <v>2</v>
      </c>
      <c r="W553" s="960">
        <f t="array" ref="W553">HLOOKUP($J553,'Type Chart'!$C$2:$T$20,4,false)*HLOOKUP($K553,'Type Chart'!$C$2:$U$20,4,false)</f>
        <v>0.5</v>
      </c>
      <c r="X553" s="960">
        <f t="array" ref="X553">HLOOKUP($J553,'Type Chart'!$C$2:$T$20,5,false)*HLOOKUP($K553,'Type Chart'!$C$2:$U$20,5,false)</f>
        <v>0.5</v>
      </c>
      <c r="Y553" s="960">
        <f t="array" ref="Y553">HLOOKUP($J553,'Type Chart'!$C$2:$T$20,6,false)*HLOOKUP($K553,'Type Chart'!$C$2:$U$20,6,false)</f>
        <v>2</v>
      </c>
      <c r="Z553" s="960">
        <f t="array" ref="Z553">HLOOKUP($J553,'Type Chart'!$C$2:$T$20,7,false)*HLOOKUP($K553,'Type Chart'!$C$2:$U$20,7,false)</f>
        <v>1</v>
      </c>
      <c r="AA553" s="960">
        <f t="array" ref="AA553">HLOOKUP($J553,'Type Chart'!$C$2:$T$20,8,false)*HLOOKUP($K553,'Type Chart'!$C$2:$U$20,8,false)</f>
        <v>1</v>
      </c>
      <c r="AB553" s="960">
        <f t="array" ref="AB553">HLOOKUP($J553,'Type Chart'!$C$2:$T$20,9,false)*HLOOKUP($K553,'Type Chart'!$C$2:$U$20,9,false)</f>
        <v>1</v>
      </c>
      <c r="AC553" s="960">
        <f t="array" ref="AC553">HLOOKUP($J553,'Type Chart'!$C$2:$T$20,10,false)*HLOOKUP($K553,'Type Chart'!$C$2:$U$20,10,false)</f>
        <v>2</v>
      </c>
      <c r="AD553" s="960">
        <f t="array" ref="AD553">HLOOKUP($J553,'Type Chart'!$C$2:$T$20,11,false)*HLOOKUP($K553,'Type Chart'!$C$2:$U$20,11,false)</f>
        <v>0.5</v>
      </c>
      <c r="AE553" s="960">
        <f t="array" ref="AE553">HLOOKUP($J553,'Type Chart'!$C$2:$T$20,12,false)*HLOOKUP($K553,'Type Chart'!$C$2:$U$20,12,false)</f>
        <v>2</v>
      </c>
      <c r="AF553" s="960">
        <f t="array" ref="AF553">HLOOKUP($J553,'Type Chart'!$C$2:$T$20,13,false)*HLOOKUP($K553,'Type Chart'!$C$2:$U$20,13,false)</f>
        <v>2</v>
      </c>
      <c r="AG553" s="960">
        <f t="array" ref="AG553">HLOOKUP($J553,'Type Chart'!$C$2:$T$20,14,false)*HLOOKUP($K553,'Type Chart'!$C$2:$U$20,14,false)</f>
        <v>1</v>
      </c>
      <c r="AH553" s="960">
        <f t="array" ref="AH553">HLOOKUP($J553,'Type Chart'!$C$2:$T$20,15,false)*HLOOKUP($K553,'Type Chart'!$C$2:$U$20,15,false)</f>
        <v>1</v>
      </c>
      <c r="AI553" s="960">
        <f t="array" ref="AI553">HLOOKUP($J553,'Type Chart'!$C$2:$T$20,16,false)*HLOOKUP($K553,'Type Chart'!$C$2:$U$20,16,false)</f>
        <v>1</v>
      </c>
      <c r="AJ553" s="960">
        <f t="array" ref="AJ553">HLOOKUP($J553,'Type Chart'!$C$2:$T$20,17,false)*HLOOKUP($K553,'Type Chart'!$C$2:$U$20,17,false)</f>
        <v>1</v>
      </c>
      <c r="AK553" s="960">
        <f t="array" ref="AK553">HLOOKUP($J553,'Type Chart'!$C$2:$T$20,18,false)*HLOOKUP($K553,'Type Chart'!$C$2:$U$20,18,false)</f>
        <v>1</v>
      </c>
      <c r="AL553" s="960">
        <f t="array" ref="AL553">HLOOKUP($J553,'Type Chart'!$C$2:$T$20,19,false)*HLOOKUP($K553,'Type Chart'!$C$2:$U$20,19,false)</f>
        <v>1</v>
      </c>
      <c r="AM553" s="1145" t="s">
        <v>1331</v>
      </c>
      <c r="AN553" s="1202" t="s">
        <v>1276</v>
      </c>
      <c r="AO553" s="1146" t="s">
        <v>1243</v>
      </c>
      <c r="AP553" s="936"/>
      <c r="AQ553" s="967"/>
      <c r="AR553" s="968"/>
      <c r="AS553" s="936"/>
    </row>
    <row r="554" ht="15.75" customHeight="1">
      <c r="A554" s="1099"/>
      <c r="B554" s="948" t="s">
        <v>2586</v>
      </c>
      <c r="C554" s="1197" t="s">
        <v>2587</v>
      </c>
      <c r="D554" s="1197" t="s">
        <v>2588</v>
      </c>
      <c r="E554" s="1147" t="s">
        <v>2587</v>
      </c>
      <c r="F554" s="940"/>
      <c r="G554" s="953"/>
      <c r="H554" s="969"/>
      <c r="I554" s="998" t="s">
        <v>2589</v>
      </c>
      <c r="J554" s="1215" t="s">
        <v>344</v>
      </c>
      <c r="K554" s="1234" t="s">
        <v>127</v>
      </c>
      <c r="L554" s="1200">
        <v>20.0</v>
      </c>
      <c r="M554" s="1201">
        <v>25.0</v>
      </c>
      <c r="N554" s="1201">
        <v>45.0</v>
      </c>
      <c r="O554" s="1201">
        <v>70.0</v>
      </c>
      <c r="P554" s="1201">
        <v>90.0</v>
      </c>
      <c r="Q554" s="1201">
        <v>60.0</v>
      </c>
      <c r="R554" s="960">
        <v>156.0</v>
      </c>
      <c r="S554" s="960">
        <v>219.0</v>
      </c>
      <c r="T554" s="960">
        <v>240.0</v>
      </c>
      <c r="U554" s="960">
        <f t="array" ref="U554">HLOOKUP($J554,'Type Chart'!$C$2:$T$20,2,false)*HLOOKUP($K554,'Type Chart'!$C$2:$U$20,2,false)</f>
        <v>1</v>
      </c>
      <c r="V554" s="960">
        <f t="array" ref="V554">HLOOKUP($J554,'Type Chart'!$C$2:$T$20,3,false)*HLOOKUP($K554,'Type Chart'!$C$2:$U$20,3,false)</f>
        <v>0.25</v>
      </c>
      <c r="W554" s="960">
        <f t="array" ref="W554">HLOOKUP($J554,'Type Chart'!$C$2:$T$20,4,false)*HLOOKUP($K554,'Type Chart'!$C$2:$U$20,4,false)</f>
        <v>1</v>
      </c>
      <c r="X554" s="960">
        <f t="array" ref="X554">HLOOKUP($J554,'Type Chart'!$C$2:$T$20,5,false)*HLOOKUP($K554,'Type Chart'!$C$2:$U$20,5,false)</f>
        <v>2</v>
      </c>
      <c r="Y554" s="960">
        <f t="array" ref="Y554">HLOOKUP($J554,'Type Chart'!$C$2:$T$20,6,false)*HLOOKUP($K554,'Type Chart'!$C$2:$U$20,6,false)</f>
        <v>1</v>
      </c>
      <c r="Z554" s="960">
        <f t="array" ref="Z554">HLOOKUP($J554,'Type Chart'!$C$2:$T$20,7,false)*HLOOKUP($K554,'Type Chart'!$C$2:$U$20,7,false)</f>
        <v>1</v>
      </c>
      <c r="AA554" s="960">
        <f t="array" ref="AA554">HLOOKUP($J554,'Type Chart'!$C$2:$T$20,8,false)*HLOOKUP($K554,'Type Chart'!$C$2:$U$20,8,false)</f>
        <v>1</v>
      </c>
      <c r="AB554" s="960">
        <f t="array" ref="AB554">HLOOKUP($J554,'Type Chart'!$C$2:$T$20,9,false)*HLOOKUP($K554,'Type Chart'!$C$2:$U$20,9,false)</f>
        <v>2</v>
      </c>
      <c r="AC554" s="960">
        <f t="array" ref="AC554">HLOOKUP($J554,'Type Chart'!$C$2:$T$20,10,false)*HLOOKUP($K554,'Type Chart'!$C$2:$U$20,10,false)</f>
        <v>2</v>
      </c>
      <c r="AD554" s="960">
        <f t="array" ref="AD554">HLOOKUP($J554,'Type Chart'!$C$2:$T$20,11,false)*HLOOKUP($K554,'Type Chart'!$C$2:$U$20,11,false)</f>
        <v>1</v>
      </c>
      <c r="AE554" s="960">
        <f t="array" ref="AE554">HLOOKUP($J554,'Type Chart'!$C$2:$T$20,12,false)*HLOOKUP($K554,'Type Chart'!$C$2:$U$20,12,false)</f>
        <v>1</v>
      </c>
      <c r="AF554" s="960">
        <f t="array" ref="AF554">HLOOKUP($J554,'Type Chart'!$C$2:$T$20,13,false)*HLOOKUP($K554,'Type Chart'!$C$2:$U$20,13,false)</f>
        <v>1</v>
      </c>
      <c r="AG554" s="960">
        <f t="array" ref="AG554">HLOOKUP($J554,'Type Chart'!$C$2:$T$20,14,false)*HLOOKUP($K554,'Type Chart'!$C$2:$U$20,14,false)</f>
        <v>1</v>
      </c>
      <c r="AH554" s="960">
        <f t="array" ref="AH554">HLOOKUP($J554,'Type Chart'!$C$2:$T$20,15,false)*HLOOKUP($K554,'Type Chart'!$C$2:$U$20,15,false)</f>
        <v>0.5</v>
      </c>
      <c r="AI554" s="960">
        <f t="array" ref="AI554">HLOOKUP($J554,'Type Chart'!$C$2:$T$20,16,false)*HLOOKUP($K554,'Type Chart'!$C$2:$U$20,16,false)</f>
        <v>1</v>
      </c>
      <c r="AJ554" s="960">
        <f t="array" ref="AJ554">HLOOKUP($J554,'Type Chart'!$C$2:$T$20,17,false)*HLOOKUP($K554,'Type Chart'!$C$2:$U$20,17,false)</f>
        <v>0</v>
      </c>
      <c r="AK554" s="960">
        <f t="array" ref="AK554">HLOOKUP($J554,'Type Chart'!$C$2:$T$20,18,false)*HLOOKUP($K554,'Type Chart'!$C$2:$U$20,18,false)</f>
        <v>1</v>
      </c>
      <c r="AL554" s="960">
        <f t="array" ref="AL554">HLOOKUP($J554,'Type Chart'!$C$2:$T$20,19,false)*HLOOKUP($K554,'Type Chart'!$C$2:$U$20,19,false)</f>
        <v>1</v>
      </c>
      <c r="AM554" s="1145" t="s">
        <v>1468</v>
      </c>
      <c r="AN554" s="1202" t="s">
        <v>1557</v>
      </c>
      <c r="AO554" s="1146" t="s">
        <v>1239</v>
      </c>
      <c r="AP554" s="936"/>
      <c r="AQ554" s="967"/>
      <c r="AR554" s="968"/>
      <c r="AS554" s="936"/>
    </row>
    <row r="555" ht="15.75" customHeight="1">
      <c r="A555" s="936"/>
      <c r="B555" s="948" t="s">
        <v>2590</v>
      </c>
      <c r="C555" s="950" t="s">
        <v>2591</v>
      </c>
      <c r="D555" s="950" t="s">
        <v>2591</v>
      </c>
      <c r="E555" s="952" t="s">
        <v>2591</v>
      </c>
      <c r="F555" s="940"/>
      <c r="G555" s="953"/>
      <c r="H555" s="969"/>
      <c r="I555" s="956" t="s">
        <v>2592</v>
      </c>
      <c r="J555" s="1194" t="s">
        <v>136</v>
      </c>
      <c r="K555" s="984" t="s">
        <v>216</v>
      </c>
      <c r="L555" s="959">
        <v>100.0</v>
      </c>
      <c r="M555" s="960">
        <v>5.0</v>
      </c>
      <c r="N555" s="960">
        <v>5.0</v>
      </c>
      <c r="O555" s="960">
        <v>15.0</v>
      </c>
      <c r="P555" s="960">
        <v>65.0</v>
      </c>
      <c r="Q555" s="960">
        <v>30.0</v>
      </c>
      <c r="R555" s="960">
        <v>96.0</v>
      </c>
      <c r="S555" s="960">
        <v>159.0</v>
      </c>
      <c r="T555" s="960">
        <v>174.0</v>
      </c>
      <c r="U555" s="960">
        <f t="array" ref="U555">HLOOKUP($J555,'Type Chart'!$C$2:$T$20,2,false)*HLOOKUP($K555,'Type Chart'!$C$2:$U$20,2,false)</f>
        <v>1</v>
      </c>
      <c r="V555" s="960">
        <f t="array" ref="V555">HLOOKUP($J555,'Type Chart'!$C$2:$T$20,3,false)*HLOOKUP($K555,'Type Chart'!$C$2:$U$20,3,false)</f>
        <v>2</v>
      </c>
      <c r="W555" s="960">
        <f t="array" ref="W555">HLOOKUP($J555,'Type Chart'!$C$2:$T$20,4,false)*HLOOKUP($K555,'Type Chart'!$C$2:$U$20,4,false)</f>
        <v>1</v>
      </c>
      <c r="X555" s="960">
        <f t="array" ref="X555">HLOOKUP($J555,'Type Chart'!$C$2:$T$20,5,false)*HLOOKUP($K555,'Type Chart'!$C$2:$U$20,5,false)</f>
        <v>1</v>
      </c>
      <c r="Y555" s="960">
        <f t="array" ref="Y555">HLOOKUP($J555,'Type Chart'!$C$2:$T$20,6,false)*HLOOKUP($K555,'Type Chart'!$C$2:$U$20,6,false)</f>
        <v>1</v>
      </c>
      <c r="Z555" s="960">
        <f t="array" ref="Z555">HLOOKUP($J555,'Type Chart'!$C$2:$T$20,7,false)*HLOOKUP($K555,'Type Chart'!$C$2:$U$20,7,false)</f>
        <v>1</v>
      </c>
      <c r="AA555" s="960">
        <f t="array" ref="AA555">HLOOKUP($J555,'Type Chart'!$C$2:$T$20,8,false)*HLOOKUP($K555,'Type Chart'!$C$2:$U$20,8,false)</f>
        <v>1</v>
      </c>
      <c r="AB555" s="960">
        <f t="array" ref="AB555">HLOOKUP($J555,'Type Chart'!$C$2:$T$20,9,false)*HLOOKUP($K555,'Type Chart'!$C$2:$U$20,9,false)</f>
        <v>0</v>
      </c>
      <c r="AC555" s="960">
        <f t="array" ref="AC555">HLOOKUP($J555,'Type Chart'!$C$2:$T$20,10,false)*HLOOKUP($K555,'Type Chart'!$C$2:$U$20,10,false)</f>
        <v>1</v>
      </c>
      <c r="AD555" s="960">
        <f t="array" ref="AD555">HLOOKUP($J555,'Type Chart'!$C$2:$T$20,11,false)*HLOOKUP($K555,'Type Chart'!$C$2:$U$20,11,false)</f>
        <v>1</v>
      </c>
      <c r="AE555" s="960">
        <f t="array" ref="AE555">HLOOKUP($J555,'Type Chart'!$C$2:$T$20,12,false)*HLOOKUP($K555,'Type Chart'!$C$2:$U$20,12,false)</f>
        <v>1</v>
      </c>
      <c r="AF555" s="960">
        <f t="array" ref="AF555">HLOOKUP($J555,'Type Chart'!$C$2:$T$20,13,false)*HLOOKUP($K555,'Type Chart'!$C$2:$U$20,13,false)</f>
        <v>1</v>
      </c>
      <c r="AG555" s="960">
        <f t="array" ref="AG555">HLOOKUP($J555,'Type Chart'!$C$2:$T$20,14,false)*HLOOKUP($K555,'Type Chart'!$C$2:$U$20,14,false)</f>
        <v>1</v>
      </c>
      <c r="AH555" s="960">
        <f t="array" ref="AH555">HLOOKUP($J555,'Type Chart'!$C$2:$T$20,15,false)*HLOOKUP($K555,'Type Chart'!$C$2:$U$20,15,false)</f>
        <v>1</v>
      </c>
      <c r="AI555" s="960">
        <f t="array" ref="AI555">HLOOKUP($J555,'Type Chart'!$C$2:$T$20,16,false)*HLOOKUP($K555,'Type Chart'!$C$2:$U$20,16,false)</f>
        <v>1</v>
      </c>
      <c r="AJ555" s="960">
        <f t="array" ref="AJ555">HLOOKUP($J555,'Type Chart'!$C$2:$T$20,17,false)*HLOOKUP($K555,'Type Chart'!$C$2:$U$20,17,false)</f>
        <v>1</v>
      </c>
      <c r="AK555" s="960">
        <f t="array" ref="AK555">HLOOKUP($J555,'Type Chart'!$C$2:$T$20,18,false)*HLOOKUP($K555,'Type Chart'!$C$2:$U$20,18,false)</f>
        <v>1</v>
      </c>
      <c r="AL555" s="960">
        <f t="array" ref="AL555">HLOOKUP($J555,'Type Chart'!$C$2:$T$20,19,false)*HLOOKUP($K555,'Type Chart'!$C$2:$U$20,19,false)</f>
        <v>1</v>
      </c>
      <c r="AM555" s="964" t="s">
        <v>1520</v>
      </c>
      <c r="AN555" s="965" t="s">
        <v>1521</v>
      </c>
      <c r="AO555" s="966" t="s">
        <v>1167</v>
      </c>
      <c r="AP555" s="936"/>
      <c r="AQ555" s="967"/>
      <c r="AR555" s="968"/>
      <c r="AS555" s="936"/>
    </row>
    <row r="556" ht="15.75" customHeight="1">
      <c r="A556" s="936"/>
      <c r="B556" s="948" t="s">
        <v>2593</v>
      </c>
      <c r="C556" s="950" t="s">
        <v>2594</v>
      </c>
      <c r="D556" s="950" t="s">
        <v>2594</v>
      </c>
      <c r="E556" s="952" t="s">
        <v>2594</v>
      </c>
      <c r="F556" s="940"/>
      <c r="G556" s="953"/>
      <c r="H556" s="969"/>
      <c r="I556" s="956" t="s">
        <v>2595</v>
      </c>
      <c r="J556" s="1194" t="s">
        <v>136</v>
      </c>
      <c r="K556" s="1001" t="s">
        <v>128</v>
      </c>
      <c r="L556" s="959">
        <v>76.0</v>
      </c>
      <c r="M556" s="960">
        <v>65.0</v>
      </c>
      <c r="N556" s="960">
        <v>45.0</v>
      </c>
      <c r="O556" s="960">
        <v>92.0</v>
      </c>
      <c r="P556" s="960">
        <v>42.0</v>
      </c>
      <c r="Q556" s="960">
        <v>91.0</v>
      </c>
      <c r="R556" s="960">
        <v>218.0</v>
      </c>
      <c r="S556" s="960">
        <v>281.0</v>
      </c>
      <c r="T556" s="960">
        <v>309.0</v>
      </c>
      <c r="U556" s="960">
        <f t="array" ref="U556">HLOOKUP($J556,'Type Chart'!$C$2:$T$20,2,false)*HLOOKUP($K556,'Type Chart'!$C$2:$U$20,2,false)</f>
        <v>1</v>
      </c>
      <c r="V556" s="960">
        <f t="array" ref="V556">HLOOKUP($J556,'Type Chart'!$C$2:$T$20,3,false)*HLOOKUP($K556,'Type Chart'!$C$2:$U$20,3,false)</f>
        <v>1</v>
      </c>
      <c r="W556" s="960">
        <f t="array" ref="W556">HLOOKUP($J556,'Type Chart'!$C$2:$T$20,4,false)*HLOOKUP($K556,'Type Chart'!$C$2:$U$20,4,false)</f>
        <v>1</v>
      </c>
      <c r="X556" s="960">
        <f t="array" ref="X556">HLOOKUP($J556,'Type Chart'!$C$2:$T$20,5,false)*HLOOKUP($K556,'Type Chart'!$C$2:$U$20,5,false)</f>
        <v>1</v>
      </c>
      <c r="Y556" s="960">
        <f t="array" ref="Y556">HLOOKUP($J556,'Type Chart'!$C$2:$T$20,6,false)*HLOOKUP($K556,'Type Chart'!$C$2:$U$20,6,false)</f>
        <v>0</v>
      </c>
      <c r="Z556" s="960">
        <f t="array" ref="Z556">HLOOKUP($J556,'Type Chart'!$C$2:$T$20,7,false)*HLOOKUP($K556,'Type Chart'!$C$2:$U$20,7,false)</f>
        <v>2</v>
      </c>
      <c r="AA556" s="960">
        <f t="array" ref="AA556">HLOOKUP($J556,'Type Chart'!$C$2:$T$20,8,false)*HLOOKUP($K556,'Type Chart'!$C$2:$U$20,8,false)</f>
        <v>0.5</v>
      </c>
      <c r="AB556" s="960">
        <f t="array" ref="AB556">HLOOKUP($J556,'Type Chart'!$C$2:$T$20,9,false)*HLOOKUP($K556,'Type Chart'!$C$2:$U$20,9,false)</f>
        <v>0</v>
      </c>
      <c r="AC556" s="960">
        <f t="array" ref="AC556">HLOOKUP($J556,'Type Chart'!$C$2:$T$20,10,false)*HLOOKUP($K556,'Type Chart'!$C$2:$U$20,10,false)</f>
        <v>1</v>
      </c>
      <c r="AD556" s="960">
        <f t="array" ref="AD556">HLOOKUP($J556,'Type Chart'!$C$2:$T$20,11,false)*HLOOKUP($K556,'Type Chart'!$C$2:$U$20,11,false)</f>
        <v>1</v>
      </c>
      <c r="AE556" s="960">
        <f t="array" ref="AE556">HLOOKUP($J556,'Type Chart'!$C$2:$T$20,12,false)*HLOOKUP($K556,'Type Chart'!$C$2:$U$20,12,false)</f>
        <v>1</v>
      </c>
      <c r="AF556" s="960">
        <f t="array" ref="AF556">HLOOKUP($J556,'Type Chart'!$C$2:$T$20,13,false)*HLOOKUP($K556,'Type Chart'!$C$2:$U$20,13,false)</f>
        <v>0.5</v>
      </c>
      <c r="AG556" s="960">
        <f t="array" ref="AG556">HLOOKUP($J556,'Type Chart'!$C$2:$T$20,14,false)*HLOOKUP($K556,'Type Chart'!$C$2:$U$20,14,false)</f>
        <v>2</v>
      </c>
      <c r="AH556" s="960">
        <f t="array" ref="AH556">HLOOKUP($J556,'Type Chart'!$C$2:$T$20,15,false)*HLOOKUP($K556,'Type Chart'!$C$2:$U$20,15,false)</f>
        <v>1</v>
      </c>
      <c r="AI556" s="960">
        <f t="array" ref="AI556">HLOOKUP($J556,'Type Chart'!$C$2:$T$20,16,false)*HLOOKUP($K556,'Type Chart'!$C$2:$U$20,16,false)</f>
        <v>2</v>
      </c>
      <c r="AJ556" s="960">
        <f t="array" ref="AJ556">HLOOKUP($J556,'Type Chart'!$C$2:$T$20,17,false)*HLOOKUP($K556,'Type Chart'!$C$2:$U$20,17,false)</f>
        <v>1</v>
      </c>
      <c r="AK556" s="960">
        <f t="array" ref="AK556">HLOOKUP($J556,'Type Chart'!$C$2:$T$20,18,false)*HLOOKUP($K556,'Type Chart'!$C$2:$U$20,18,false)</f>
        <v>1</v>
      </c>
      <c r="AL556" s="960">
        <f t="array" ref="AL556">HLOOKUP($J556,'Type Chart'!$C$2:$T$20,19,false)*HLOOKUP($K556,'Type Chart'!$C$2:$U$20,19,false)</f>
        <v>1</v>
      </c>
      <c r="AM556" s="964" t="s">
        <v>1022</v>
      </c>
      <c r="AN556" s="965" t="s">
        <v>1023</v>
      </c>
      <c r="AO556" s="966" t="s">
        <v>1024</v>
      </c>
      <c r="AP556" s="936"/>
      <c r="AQ556" s="967"/>
      <c r="AR556" s="968"/>
      <c r="AS556" s="936"/>
    </row>
    <row r="557" ht="15.75" customHeight="1">
      <c r="A557" s="936"/>
      <c r="B557" s="948" t="s">
        <v>2596</v>
      </c>
      <c r="C557" s="950" t="s">
        <v>2597</v>
      </c>
      <c r="D557" s="950" t="s">
        <v>2597</v>
      </c>
      <c r="E557" s="952" t="s">
        <v>2597</v>
      </c>
      <c r="F557" s="940"/>
      <c r="G557" s="953"/>
      <c r="H557" s="969"/>
      <c r="I557" s="956" t="s">
        <v>687</v>
      </c>
      <c r="J557" s="1220" t="s">
        <v>215</v>
      </c>
      <c r="K557" s="1195" t="s">
        <v>193</v>
      </c>
      <c r="L557" s="959">
        <v>50.0</v>
      </c>
      <c r="M557" s="960">
        <v>92.0</v>
      </c>
      <c r="N557" s="960">
        <v>108.0</v>
      </c>
      <c r="O557" s="960">
        <v>92.0</v>
      </c>
      <c r="P557" s="960">
        <v>108.0</v>
      </c>
      <c r="Q557" s="960">
        <v>35.0</v>
      </c>
      <c r="R557" s="960">
        <v>106.0</v>
      </c>
      <c r="S557" s="960">
        <v>169.0</v>
      </c>
      <c r="T557" s="960">
        <v>185.0</v>
      </c>
      <c r="U557" s="960">
        <f t="array" ref="U557">HLOOKUP($J557,'Type Chart'!$C$2:$T$20,2,false)*HLOOKUP($K557,'Type Chart'!$C$2:$U$20,2,false)</f>
        <v>0</v>
      </c>
      <c r="V557" s="960">
        <f t="array" ref="V557">HLOOKUP($J557,'Type Chart'!$C$2:$T$20,3,false)*HLOOKUP($K557,'Type Chart'!$C$2:$U$20,3,false)</f>
        <v>0</v>
      </c>
      <c r="W557" s="960">
        <f t="array" ref="W557">HLOOKUP($J557,'Type Chart'!$C$2:$T$20,4,false)*HLOOKUP($K557,'Type Chart'!$C$2:$U$20,4,false)</f>
        <v>1</v>
      </c>
      <c r="X557" s="960">
        <f t="array" ref="X557">HLOOKUP($J557,'Type Chart'!$C$2:$T$20,5,false)*HLOOKUP($K557,'Type Chart'!$C$2:$U$20,5,false)</f>
        <v>0.5</v>
      </c>
      <c r="Y557" s="960">
        <f t="array" ref="Y557">HLOOKUP($J557,'Type Chart'!$C$2:$T$20,6,false)*HLOOKUP($K557,'Type Chart'!$C$2:$U$20,6,false)</f>
        <v>1</v>
      </c>
      <c r="Z557" s="960">
        <f t="array" ref="Z557">HLOOKUP($J557,'Type Chart'!$C$2:$T$20,7,false)*HLOOKUP($K557,'Type Chart'!$C$2:$U$20,7,false)</f>
        <v>1</v>
      </c>
      <c r="AA557" s="960">
        <f t="array" ref="AA557">HLOOKUP($J557,'Type Chart'!$C$2:$T$20,8,false)*HLOOKUP($K557,'Type Chart'!$C$2:$U$20,8,false)</f>
        <v>1</v>
      </c>
      <c r="AB557" s="960">
        <f t="array" ref="AB557">HLOOKUP($J557,'Type Chart'!$C$2:$T$20,9,false)*HLOOKUP($K557,'Type Chart'!$C$2:$U$20,9,false)</f>
        <v>1</v>
      </c>
      <c r="AC557" s="960">
        <f t="array" ref="AC557">HLOOKUP($J557,'Type Chart'!$C$2:$T$20,10,false)*HLOOKUP($K557,'Type Chart'!$C$2:$U$20,10,false)</f>
        <v>1</v>
      </c>
      <c r="AD557" s="960">
        <f t="array" ref="AD557">HLOOKUP($J557,'Type Chart'!$C$2:$T$20,11,false)*HLOOKUP($K557,'Type Chart'!$C$2:$U$20,11,false)</f>
        <v>1</v>
      </c>
      <c r="AE557" s="960">
        <f t="array" ref="AE557">HLOOKUP($J557,'Type Chart'!$C$2:$T$20,12,false)*HLOOKUP($K557,'Type Chart'!$C$2:$U$20,12,false)</f>
        <v>1</v>
      </c>
      <c r="AF557" s="960">
        <f t="array" ref="AF557">HLOOKUP($J557,'Type Chart'!$C$2:$T$20,13,false)*HLOOKUP($K557,'Type Chart'!$C$2:$U$20,13,false)</f>
        <v>1</v>
      </c>
      <c r="AG557" s="960">
        <f t="array" ref="AG557">HLOOKUP($J557,'Type Chart'!$C$2:$T$20,14,false)*HLOOKUP($K557,'Type Chart'!$C$2:$U$20,14,false)</f>
        <v>1</v>
      </c>
      <c r="AH557" s="960">
        <f t="array" ref="AH557">HLOOKUP($J557,'Type Chart'!$C$2:$T$20,15,false)*HLOOKUP($K557,'Type Chart'!$C$2:$U$20,15,false)</f>
        <v>0</v>
      </c>
      <c r="AI557" s="960">
        <f t="array" ref="AI557">HLOOKUP($J557,'Type Chart'!$C$2:$T$20,16,false)*HLOOKUP($K557,'Type Chart'!$C$2:$U$20,16,false)</f>
        <v>1</v>
      </c>
      <c r="AJ557" s="960">
        <f t="array" ref="AJ557">HLOOKUP($J557,'Type Chart'!$C$2:$T$20,17,false)*HLOOKUP($K557,'Type Chart'!$C$2:$U$20,17,false)</f>
        <v>1</v>
      </c>
      <c r="AK557" s="960">
        <f t="array" ref="AK557">HLOOKUP($J557,'Type Chart'!$C$2:$T$20,18,false)*HLOOKUP($K557,'Type Chart'!$C$2:$U$20,18,false)</f>
        <v>1</v>
      </c>
      <c r="AL557" s="960">
        <f t="array" ref="AL557">HLOOKUP($J557,'Type Chart'!$C$2:$T$20,19,false)*HLOOKUP($K557,'Type Chart'!$C$2:$U$20,19,false)</f>
        <v>2</v>
      </c>
      <c r="AM557" s="964" t="s">
        <v>1636</v>
      </c>
      <c r="AN557" s="965"/>
      <c r="AO557" s="966" t="s">
        <v>1193</v>
      </c>
      <c r="AP557" s="936"/>
      <c r="AQ557" s="967"/>
      <c r="AR557" s="968"/>
      <c r="AS557" s="936"/>
    </row>
    <row r="558" ht="15.75" customHeight="1">
      <c r="A558" s="936"/>
      <c r="B558" s="948" t="s">
        <v>2598</v>
      </c>
      <c r="C558" s="950" t="s">
        <v>2599</v>
      </c>
      <c r="D558" s="950" t="s">
        <v>2599</v>
      </c>
      <c r="E558" s="952" t="s">
        <v>2599</v>
      </c>
      <c r="F558" s="940"/>
      <c r="G558" s="953"/>
      <c r="H558" s="969"/>
      <c r="I558" s="956" t="s">
        <v>2600</v>
      </c>
      <c r="J558" s="1006" t="s">
        <v>346</v>
      </c>
      <c r="K558" s="1204" t="s">
        <v>80</v>
      </c>
      <c r="L558" s="959">
        <v>58.0</v>
      </c>
      <c r="M558" s="960">
        <v>70.0</v>
      </c>
      <c r="N558" s="960">
        <v>45.0</v>
      </c>
      <c r="O558" s="960">
        <v>40.0</v>
      </c>
      <c r="P558" s="960">
        <v>45.0</v>
      </c>
      <c r="Q558" s="960">
        <v>42.0</v>
      </c>
      <c r="R558" s="960">
        <v>120.0</v>
      </c>
      <c r="S558" s="960">
        <v>183.0</v>
      </c>
      <c r="T558" s="960">
        <v>201.0</v>
      </c>
      <c r="U558" s="960">
        <f t="array" ref="U558">HLOOKUP($J558,'Type Chart'!$C$2:$T$20,2,false)*HLOOKUP($K558,'Type Chart'!$C$2:$U$20,2,false)</f>
        <v>1</v>
      </c>
      <c r="V558" s="960">
        <f t="array" ref="V558">HLOOKUP($J558,'Type Chart'!$C$2:$T$20,3,false)*HLOOKUP($K558,'Type Chart'!$C$2:$U$20,3,false)</f>
        <v>1</v>
      </c>
      <c r="W558" s="960">
        <f t="array" ref="W558">HLOOKUP($J558,'Type Chart'!$C$2:$T$20,4,false)*HLOOKUP($K558,'Type Chart'!$C$2:$U$20,4,false)</f>
        <v>1</v>
      </c>
      <c r="X558" s="960">
        <f t="array" ref="X558">HLOOKUP($J558,'Type Chart'!$C$2:$T$20,5,false)*HLOOKUP($K558,'Type Chart'!$C$2:$U$20,5,false)</f>
        <v>0.5</v>
      </c>
      <c r="Y558" s="960">
        <f t="array" ref="Y558">HLOOKUP($J558,'Type Chart'!$C$2:$T$20,6,false)*HLOOKUP($K558,'Type Chart'!$C$2:$U$20,6,false)</f>
        <v>1</v>
      </c>
      <c r="Z558" s="960">
        <f t="array" ref="Z558">HLOOKUP($J558,'Type Chart'!$C$2:$T$20,7,false)*HLOOKUP($K558,'Type Chart'!$C$2:$U$20,7,false)</f>
        <v>0.5</v>
      </c>
      <c r="AA558" s="960">
        <f t="array" ref="AA558">HLOOKUP($J558,'Type Chart'!$C$2:$T$20,8,false)*HLOOKUP($K558,'Type Chart'!$C$2:$U$20,8,false)</f>
        <v>1</v>
      </c>
      <c r="AB558" s="960">
        <f t="array" ref="AB558">HLOOKUP($J558,'Type Chart'!$C$2:$T$20,9,false)*HLOOKUP($K558,'Type Chart'!$C$2:$U$20,9,false)</f>
        <v>1</v>
      </c>
      <c r="AC558" s="960">
        <f t="array" ref="AC558">HLOOKUP($J558,'Type Chart'!$C$2:$T$20,10,false)*HLOOKUP($K558,'Type Chart'!$C$2:$U$20,10,false)</f>
        <v>1</v>
      </c>
      <c r="AD558" s="960">
        <f t="array" ref="AD558">HLOOKUP($J558,'Type Chart'!$C$2:$T$20,11,false)*HLOOKUP($K558,'Type Chart'!$C$2:$U$20,11,false)</f>
        <v>0.5</v>
      </c>
      <c r="AE558" s="960">
        <f t="array" ref="AE558">HLOOKUP($J558,'Type Chart'!$C$2:$T$20,12,false)*HLOOKUP($K558,'Type Chart'!$C$2:$U$20,12,false)</f>
        <v>1</v>
      </c>
      <c r="AF558" s="960">
        <f t="array" ref="AF558">HLOOKUP($J558,'Type Chart'!$C$2:$T$20,13,false)*HLOOKUP($K558,'Type Chart'!$C$2:$U$20,13,false)</f>
        <v>1</v>
      </c>
      <c r="AG558" s="960">
        <f t="array" ref="AG558">HLOOKUP($J558,'Type Chart'!$C$2:$T$20,14,false)*HLOOKUP($K558,'Type Chart'!$C$2:$U$20,14,false)</f>
        <v>0</v>
      </c>
      <c r="AH558" s="960">
        <f t="array" ref="AH558">HLOOKUP($J558,'Type Chart'!$C$2:$T$20,15,false)*HLOOKUP($K558,'Type Chart'!$C$2:$U$20,15,false)</f>
        <v>1</v>
      </c>
      <c r="AI558" s="960">
        <f t="array" ref="AI558">HLOOKUP($J558,'Type Chart'!$C$2:$T$20,16,false)*HLOOKUP($K558,'Type Chart'!$C$2:$U$20,16,false)</f>
        <v>4</v>
      </c>
      <c r="AJ558" s="960">
        <f t="array" ref="AJ558">HLOOKUP($J558,'Type Chart'!$C$2:$T$20,17,false)*HLOOKUP($K558,'Type Chart'!$C$2:$U$20,17,false)</f>
        <v>2</v>
      </c>
      <c r="AK558" s="960">
        <f t="array" ref="AK558">HLOOKUP($J558,'Type Chart'!$C$2:$T$20,18,false)*HLOOKUP($K558,'Type Chart'!$C$2:$U$20,18,false)</f>
        <v>1</v>
      </c>
      <c r="AL558" s="960">
        <f t="array" ref="AL558">HLOOKUP($J558,'Type Chart'!$C$2:$T$20,19,false)*HLOOKUP($K558,'Type Chart'!$C$2:$U$20,19,false)</f>
        <v>2</v>
      </c>
      <c r="AM558" s="964" t="s">
        <v>1129</v>
      </c>
      <c r="AN558" s="1202"/>
      <c r="AO558" s="1146" t="s">
        <v>2198</v>
      </c>
      <c r="AP558" s="936"/>
      <c r="AQ558" s="967"/>
      <c r="AR558" s="968"/>
      <c r="AS558" s="936"/>
    </row>
    <row r="559" ht="15.75" customHeight="1">
      <c r="A559" s="936"/>
      <c r="B559" s="948" t="s">
        <v>2601</v>
      </c>
      <c r="C559" s="950" t="s">
        <v>2602</v>
      </c>
      <c r="D559" s="950" t="s">
        <v>2602</v>
      </c>
      <c r="E559" s="952" t="s">
        <v>2602</v>
      </c>
      <c r="F559" s="940"/>
      <c r="G559" s="953"/>
      <c r="H559" s="969"/>
      <c r="I559" s="956" t="s">
        <v>827</v>
      </c>
      <c r="J559" s="1006" t="s">
        <v>346</v>
      </c>
      <c r="K559" s="1204" t="s">
        <v>80</v>
      </c>
      <c r="L559" s="959">
        <v>68.0</v>
      </c>
      <c r="M559" s="960">
        <v>90.0</v>
      </c>
      <c r="N559" s="960">
        <v>65.0</v>
      </c>
      <c r="O559" s="960">
        <v>50.0</v>
      </c>
      <c r="P559" s="960">
        <v>55.0</v>
      </c>
      <c r="Q559" s="960">
        <v>82.0</v>
      </c>
      <c r="R559" s="960">
        <v>200.0</v>
      </c>
      <c r="S559" s="960">
        <v>263.0</v>
      </c>
      <c r="T559" s="960">
        <v>289.0</v>
      </c>
      <c r="U559" s="960">
        <f t="array" ref="U559">HLOOKUP($J559,'Type Chart'!$C$2:$T$20,2,false)*HLOOKUP($K559,'Type Chart'!$C$2:$U$20,2,false)</f>
        <v>1</v>
      </c>
      <c r="V559" s="960">
        <f t="array" ref="V559">HLOOKUP($J559,'Type Chart'!$C$2:$T$20,3,false)*HLOOKUP($K559,'Type Chart'!$C$2:$U$20,3,false)</f>
        <v>1</v>
      </c>
      <c r="W559" s="960">
        <f t="array" ref="W559">HLOOKUP($J559,'Type Chart'!$C$2:$T$20,4,false)*HLOOKUP($K559,'Type Chart'!$C$2:$U$20,4,false)</f>
        <v>1</v>
      </c>
      <c r="X559" s="960">
        <f t="array" ref="X559">HLOOKUP($J559,'Type Chart'!$C$2:$T$20,5,false)*HLOOKUP($K559,'Type Chart'!$C$2:$U$20,5,false)</f>
        <v>0.5</v>
      </c>
      <c r="Y559" s="960">
        <f t="array" ref="Y559">HLOOKUP($J559,'Type Chart'!$C$2:$T$20,6,false)*HLOOKUP($K559,'Type Chart'!$C$2:$U$20,6,false)</f>
        <v>1</v>
      </c>
      <c r="Z559" s="960">
        <f t="array" ref="Z559">HLOOKUP($J559,'Type Chart'!$C$2:$T$20,7,false)*HLOOKUP($K559,'Type Chart'!$C$2:$U$20,7,false)</f>
        <v>0.5</v>
      </c>
      <c r="AA559" s="960">
        <f t="array" ref="AA559">HLOOKUP($J559,'Type Chart'!$C$2:$T$20,8,false)*HLOOKUP($K559,'Type Chart'!$C$2:$U$20,8,false)</f>
        <v>1</v>
      </c>
      <c r="AB559" s="960">
        <f t="array" ref="AB559">HLOOKUP($J559,'Type Chart'!$C$2:$T$20,9,false)*HLOOKUP($K559,'Type Chart'!$C$2:$U$20,9,false)</f>
        <v>1</v>
      </c>
      <c r="AC559" s="960">
        <f t="array" ref="AC559">HLOOKUP($J559,'Type Chart'!$C$2:$T$20,10,false)*HLOOKUP($K559,'Type Chart'!$C$2:$U$20,10,false)</f>
        <v>1</v>
      </c>
      <c r="AD559" s="960">
        <f t="array" ref="AD559">HLOOKUP($J559,'Type Chart'!$C$2:$T$20,11,false)*HLOOKUP($K559,'Type Chart'!$C$2:$U$20,11,false)</f>
        <v>0.5</v>
      </c>
      <c r="AE559" s="960">
        <f t="array" ref="AE559">HLOOKUP($J559,'Type Chart'!$C$2:$T$20,12,false)*HLOOKUP($K559,'Type Chart'!$C$2:$U$20,12,false)</f>
        <v>1</v>
      </c>
      <c r="AF559" s="960">
        <f t="array" ref="AF559">HLOOKUP($J559,'Type Chart'!$C$2:$T$20,13,false)*HLOOKUP($K559,'Type Chart'!$C$2:$U$20,13,false)</f>
        <v>1</v>
      </c>
      <c r="AG559" s="960">
        <f t="array" ref="AG559">HLOOKUP($J559,'Type Chart'!$C$2:$T$20,14,false)*HLOOKUP($K559,'Type Chart'!$C$2:$U$20,14,false)</f>
        <v>0</v>
      </c>
      <c r="AH559" s="960">
        <f t="array" ref="AH559">HLOOKUP($J559,'Type Chart'!$C$2:$T$20,15,false)*HLOOKUP($K559,'Type Chart'!$C$2:$U$20,15,false)</f>
        <v>1</v>
      </c>
      <c r="AI559" s="960">
        <f t="array" ref="AI559">HLOOKUP($J559,'Type Chart'!$C$2:$T$20,16,false)*HLOOKUP($K559,'Type Chart'!$C$2:$U$20,16,false)</f>
        <v>4</v>
      </c>
      <c r="AJ559" s="960">
        <f t="array" ref="AJ559">HLOOKUP($J559,'Type Chart'!$C$2:$T$20,17,false)*HLOOKUP($K559,'Type Chart'!$C$2:$U$20,17,false)</f>
        <v>2</v>
      </c>
      <c r="AK559" s="960">
        <f t="array" ref="AK559">HLOOKUP($J559,'Type Chart'!$C$2:$T$20,18,false)*HLOOKUP($K559,'Type Chart'!$C$2:$U$20,18,false)</f>
        <v>1</v>
      </c>
      <c r="AL559" s="960">
        <f t="array" ref="AL559">HLOOKUP($J559,'Type Chart'!$C$2:$T$20,19,false)*HLOOKUP($K559,'Type Chart'!$C$2:$U$20,19,false)</f>
        <v>2</v>
      </c>
      <c r="AM559" s="964" t="s">
        <v>1129</v>
      </c>
      <c r="AN559" s="965"/>
      <c r="AO559" s="966" t="s">
        <v>2198</v>
      </c>
      <c r="AP559" s="936"/>
      <c r="AQ559" s="967"/>
      <c r="AR559" s="968"/>
      <c r="AS559" s="936"/>
    </row>
    <row r="560" ht="15.75" customHeight="1">
      <c r="A560" s="936"/>
      <c r="B560" s="948" t="s">
        <v>2603</v>
      </c>
      <c r="C560" s="950" t="s">
        <v>2604</v>
      </c>
      <c r="D560" s="950" t="s">
        <v>2604</v>
      </c>
      <c r="E560" s="1147" t="s">
        <v>2604</v>
      </c>
      <c r="F560" s="940"/>
      <c r="G560" s="953"/>
      <c r="H560" s="969"/>
      <c r="I560" s="956" t="s">
        <v>246</v>
      </c>
      <c r="J560" s="1006" t="s">
        <v>346</v>
      </c>
      <c r="K560" s="1204" t="s">
        <v>80</v>
      </c>
      <c r="L560" s="959">
        <v>108.0</v>
      </c>
      <c r="M560" s="960">
        <v>130.0</v>
      </c>
      <c r="N560" s="960">
        <v>95.0</v>
      </c>
      <c r="O560" s="960">
        <v>80.0</v>
      </c>
      <c r="P560" s="960">
        <v>85.0</v>
      </c>
      <c r="Q560" s="960">
        <v>102.0</v>
      </c>
      <c r="R560" s="960">
        <v>240.0</v>
      </c>
      <c r="S560" s="960">
        <v>303.0</v>
      </c>
      <c r="T560" s="960">
        <v>333.0</v>
      </c>
      <c r="U560" s="960">
        <f t="array" ref="U560">HLOOKUP($J560,'Type Chart'!$C$2:$T$20,2,false)*HLOOKUP($K560,'Type Chart'!$C$2:$U$20,2,false)</f>
        <v>1</v>
      </c>
      <c r="V560" s="960">
        <f t="array" ref="V560">HLOOKUP($J560,'Type Chart'!$C$2:$T$20,3,false)*HLOOKUP($K560,'Type Chart'!$C$2:$U$20,3,false)</f>
        <v>1</v>
      </c>
      <c r="W560" s="960">
        <f t="array" ref="W560">HLOOKUP($J560,'Type Chart'!$C$2:$T$20,4,false)*HLOOKUP($K560,'Type Chart'!$C$2:$U$20,4,false)</f>
        <v>1</v>
      </c>
      <c r="X560" s="960">
        <f t="array" ref="X560">HLOOKUP($J560,'Type Chart'!$C$2:$T$20,5,false)*HLOOKUP($K560,'Type Chart'!$C$2:$U$20,5,false)</f>
        <v>0.5</v>
      </c>
      <c r="Y560" s="960">
        <f t="array" ref="Y560">HLOOKUP($J560,'Type Chart'!$C$2:$T$20,6,false)*HLOOKUP($K560,'Type Chart'!$C$2:$U$20,6,false)</f>
        <v>1</v>
      </c>
      <c r="Z560" s="960">
        <f t="array" ref="Z560">HLOOKUP($J560,'Type Chart'!$C$2:$T$20,7,false)*HLOOKUP($K560,'Type Chart'!$C$2:$U$20,7,false)</f>
        <v>0.5</v>
      </c>
      <c r="AA560" s="960">
        <f t="array" ref="AA560">HLOOKUP($J560,'Type Chart'!$C$2:$T$20,8,false)*HLOOKUP($K560,'Type Chart'!$C$2:$U$20,8,false)</f>
        <v>1</v>
      </c>
      <c r="AB560" s="960">
        <f t="array" ref="AB560">HLOOKUP($J560,'Type Chart'!$C$2:$T$20,9,false)*HLOOKUP($K560,'Type Chart'!$C$2:$U$20,9,false)</f>
        <v>1</v>
      </c>
      <c r="AC560" s="960">
        <f t="array" ref="AC560">HLOOKUP($J560,'Type Chart'!$C$2:$T$20,10,false)*HLOOKUP($K560,'Type Chart'!$C$2:$U$20,10,false)</f>
        <v>1</v>
      </c>
      <c r="AD560" s="960">
        <f t="array" ref="AD560">HLOOKUP($J560,'Type Chart'!$C$2:$T$20,11,false)*HLOOKUP($K560,'Type Chart'!$C$2:$U$20,11,false)</f>
        <v>0.5</v>
      </c>
      <c r="AE560" s="960">
        <f t="array" ref="AE560">HLOOKUP($J560,'Type Chart'!$C$2:$T$20,12,false)*HLOOKUP($K560,'Type Chart'!$C$2:$U$20,12,false)</f>
        <v>1</v>
      </c>
      <c r="AF560" s="960">
        <f t="array" ref="AF560">HLOOKUP($J560,'Type Chart'!$C$2:$T$20,13,false)*HLOOKUP($K560,'Type Chart'!$C$2:$U$20,13,false)</f>
        <v>1</v>
      </c>
      <c r="AG560" s="960">
        <f t="array" ref="AG560">HLOOKUP($J560,'Type Chart'!$C$2:$T$20,14,false)*HLOOKUP($K560,'Type Chart'!$C$2:$U$20,14,false)</f>
        <v>0</v>
      </c>
      <c r="AH560" s="960">
        <f t="array" ref="AH560">HLOOKUP($J560,'Type Chart'!$C$2:$T$20,15,false)*HLOOKUP($K560,'Type Chart'!$C$2:$U$20,15,false)</f>
        <v>1</v>
      </c>
      <c r="AI560" s="960">
        <f t="array" ref="AI560">HLOOKUP($J560,'Type Chart'!$C$2:$T$20,16,false)*HLOOKUP($K560,'Type Chart'!$C$2:$U$20,16,false)</f>
        <v>4</v>
      </c>
      <c r="AJ560" s="960">
        <f t="array" ref="AJ560">HLOOKUP($J560,'Type Chart'!$C$2:$T$20,17,false)*HLOOKUP($K560,'Type Chart'!$C$2:$U$20,17,false)</f>
        <v>2</v>
      </c>
      <c r="AK560" s="960">
        <f t="array" ref="AK560">HLOOKUP($J560,'Type Chart'!$C$2:$T$20,18,false)*HLOOKUP($K560,'Type Chart'!$C$2:$U$20,18,false)</f>
        <v>1</v>
      </c>
      <c r="AL560" s="960">
        <f t="array" ref="AL560">HLOOKUP($J560,'Type Chart'!$C$2:$T$20,19,false)*HLOOKUP($K560,'Type Chart'!$C$2:$U$20,19,false)</f>
        <v>2</v>
      </c>
      <c r="AM560" s="964" t="s">
        <v>1129</v>
      </c>
      <c r="AN560" s="965"/>
      <c r="AO560" s="966" t="s">
        <v>2198</v>
      </c>
      <c r="AP560" s="936"/>
      <c r="AQ560" s="967"/>
      <c r="AR560" s="968"/>
      <c r="AS560" s="936"/>
    </row>
    <row r="561" ht="15.75" customHeight="1">
      <c r="A561" s="1099"/>
      <c r="B561" s="948" t="s">
        <v>2605</v>
      </c>
      <c r="C561" s="1197" t="s">
        <v>2606</v>
      </c>
      <c r="D561" s="1197" t="s">
        <v>2606</v>
      </c>
      <c r="E561" s="1147" t="s">
        <v>2606</v>
      </c>
      <c r="F561" s="940"/>
      <c r="G561" s="953"/>
      <c r="H561" s="969"/>
      <c r="I561" s="998" t="s">
        <v>2607</v>
      </c>
      <c r="J561" s="1231" t="s">
        <v>346</v>
      </c>
      <c r="K561" s="1223" t="s">
        <v>80</v>
      </c>
      <c r="L561" s="1200">
        <v>108.0</v>
      </c>
      <c r="M561" s="1201">
        <v>170.0</v>
      </c>
      <c r="N561" s="1201">
        <v>115.0</v>
      </c>
      <c r="O561" s="1201">
        <v>120.0</v>
      </c>
      <c r="P561" s="1201">
        <v>95.0</v>
      </c>
      <c r="Q561" s="1201">
        <v>92.0</v>
      </c>
      <c r="R561" s="960">
        <v>220.0</v>
      </c>
      <c r="S561" s="960">
        <v>283.0</v>
      </c>
      <c r="T561" s="960">
        <v>311.0</v>
      </c>
      <c r="U561" s="960">
        <f t="array" ref="U561">HLOOKUP($J561,'Type Chart'!$C$2:$T$20,2,false)*HLOOKUP($K561,'Type Chart'!$C$2:$U$20,2,false)</f>
        <v>1</v>
      </c>
      <c r="V561" s="960">
        <f t="array" ref="V561">HLOOKUP($J561,'Type Chart'!$C$2:$T$20,3,false)*HLOOKUP($K561,'Type Chart'!$C$2:$U$20,3,false)</f>
        <v>1</v>
      </c>
      <c r="W561" s="960">
        <f t="array" ref="W561">HLOOKUP($J561,'Type Chart'!$C$2:$T$20,4,false)*HLOOKUP($K561,'Type Chart'!$C$2:$U$20,4,false)</f>
        <v>1</v>
      </c>
      <c r="X561" s="960">
        <f t="array" ref="X561">HLOOKUP($J561,'Type Chart'!$C$2:$T$20,5,false)*HLOOKUP($K561,'Type Chart'!$C$2:$U$20,5,false)</f>
        <v>0.5</v>
      </c>
      <c r="Y561" s="960">
        <f t="array" ref="Y561">HLOOKUP($J561,'Type Chart'!$C$2:$T$20,6,false)*HLOOKUP($K561,'Type Chart'!$C$2:$U$20,6,false)</f>
        <v>1</v>
      </c>
      <c r="Z561" s="960">
        <f t="array" ref="Z561">HLOOKUP($J561,'Type Chart'!$C$2:$T$20,7,false)*HLOOKUP($K561,'Type Chart'!$C$2:$U$20,7,false)</f>
        <v>0.5</v>
      </c>
      <c r="AA561" s="960">
        <f t="array" ref="AA561">HLOOKUP($J561,'Type Chart'!$C$2:$T$20,8,false)*HLOOKUP($K561,'Type Chart'!$C$2:$U$20,8,false)</f>
        <v>1</v>
      </c>
      <c r="AB561" s="960">
        <f t="array" ref="AB561">HLOOKUP($J561,'Type Chart'!$C$2:$T$20,9,false)*HLOOKUP($K561,'Type Chart'!$C$2:$U$20,9,false)</f>
        <v>1</v>
      </c>
      <c r="AC561" s="960">
        <f t="array" ref="AC561">HLOOKUP($J561,'Type Chart'!$C$2:$T$20,10,false)*HLOOKUP($K561,'Type Chart'!$C$2:$U$20,10,false)</f>
        <v>1</v>
      </c>
      <c r="AD561" s="960">
        <f t="array" ref="AD561">HLOOKUP($J561,'Type Chart'!$C$2:$T$20,11,false)*HLOOKUP($K561,'Type Chart'!$C$2:$U$20,11,false)</f>
        <v>0.5</v>
      </c>
      <c r="AE561" s="960">
        <f t="array" ref="AE561">HLOOKUP($J561,'Type Chart'!$C$2:$T$20,12,false)*HLOOKUP($K561,'Type Chart'!$C$2:$U$20,12,false)</f>
        <v>1</v>
      </c>
      <c r="AF561" s="960">
        <f t="array" ref="AF561">HLOOKUP($J561,'Type Chart'!$C$2:$T$20,13,false)*HLOOKUP($K561,'Type Chart'!$C$2:$U$20,13,false)</f>
        <v>1</v>
      </c>
      <c r="AG561" s="960">
        <f t="array" ref="AG561">HLOOKUP($J561,'Type Chart'!$C$2:$T$20,14,false)*HLOOKUP($K561,'Type Chart'!$C$2:$U$20,14,false)</f>
        <v>0</v>
      </c>
      <c r="AH561" s="960">
        <f t="array" ref="AH561">HLOOKUP($J561,'Type Chart'!$C$2:$T$20,15,false)*HLOOKUP($K561,'Type Chart'!$C$2:$U$20,15,false)</f>
        <v>1</v>
      </c>
      <c r="AI561" s="960">
        <f t="array" ref="AI561">HLOOKUP($J561,'Type Chart'!$C$2:$T$20,16,false)*HLOOKUP($K561,'Type Chart'!$C$2:$U$20,16,false)</f>
        <v>4</v>
      </c>
      <c r="AJ561" s="960">
        <f t="array" ref="AJ561">HLOOKUP($J561,'Type Chart'!$C$2:$T$20,17,false)*HLOOKUP($K561,'Type Chart'!$C$2:$U$20,17,false)</f>
        <v>2</v>
      </c>
      <c r="AK561" s="960">
        <f t="array" ref="AK561">HLOOKUP($J561,'Type Chart'!$C$2:$T$20,18,false)*HLOOKUP($K561,'Type Chart'!$C$2:$U$20,18,false)</f>
        <v>1</v>
      </c>
      <c r="AL561" s="960">
        <f t="array" ref="AL561">HLOOKUP($J561,'Type Chart'!$C$2:$T$20,19,false)*HLOOKUP($K561,'Type Chart'!$C$2:$U$20,19,false)</f>
        <v>2</v>
      </c>
      <c r="AM561" s="1145" t="s">
        <v>1224</v>
      </c>
      <c r="AN561" s="1202"/>
      <c r="AO561" s="1146"/>
      <c r="AP561" s="936"/>
      <c r="AQ561" s="967"/>
      <c r="AR561" s="968"/>
      <c r="AS561" s="936"/>
    </row>
    <row r="562" ht="15.75" customHeight="1">
      <c r="A562" s="936"/>
      <c r="B562" s="948" t="s">
        <v>2608</v>
      </c>
      <c r="C562" s="950" t="s">
        <v>2609</v>
      </c>
      <c r="D562" s="950" t="s">
        <v>2609</v>
      </c>
      <c r="E562" s="952" t="s">
        <v>2609</v>
      </c>
      <c r="F562" s="940"/>
      <c r="G562" s="953"/>
      <c r="H562" s="969"/>
      <c r="I562" s="956" t="s">
        <v>791</v>
      </c>
      <c r="J562" s="1194" t="s">
        <v>136</v>
      </c>
      <c r="K562" s="984" t="s">
        <v>216</v>
      </c>
      <c r="L562" s="959">
        <v>135.0</v>
      </c>
      <c r="M562" s="960">
        <v>85.0</v>
      </c>
      <c r="N562" s="960">
        <v>40.0</v>
      </c>
      <c r="O562" s="960">
        <v>40.0</v>
      </c>
      <c r="P562" s="960">
        <v>85.0</v>
      </c>
      <c r="Q562" s="960">
        <v>5.0</v>
      </c>
      <c r="R562" s="960">
        <v>46.0</v>
      </c>
      <c r="S562" s="960">
        <v>109.0</v>
      </c>
      <c r="T562" s="960">
        <v>119.0</v>
      </c>
      <c r="U562" s="960">
        <f t="array" ref="U562">HLOOKUP($J562,'Type Chart'!$C$2:$T$20,2,false)*HLOOKUP($K562,'Type Chart'!$C$2:$U$20,2,false)</f>
        <v>1</v>
      </c>
      <c r="V562" s="960">
        <f t="array" ref="V562">HLOOKUP($J562,'Type Chart'!$C$2:$T$20,3,false)*HLOOKUP($K562,'Type Chart'!$C$2:$U$20,3,false)</f>
        <v>2</v>
      </c>
      <c r="W562" s="960">
        <f t="array" ref="W562">HLOOKUP($J562,'Type Chart'!$C$2:$T$20,4,false)*HLOOKUP($K562,'Type Chart'!$C$2:$U$20,4,false)</f>
        <v>1</v>
      </c>
      <c r="X562" s="960">
        <f t="array" ref="X562">HLOOKUP($J562,'Type Chart'!$C$2:$T$20,5,false)*HLOOKUP($K562,'Type Chart'!$C$2:$U$20,5,false)</f>
        <v>1</v>
      </c>
      <c r="Y562" s="960">
        <f t="array" ref="Y562">HLOOKUP($J562,'Type Chart'!$C$2:$T$20,6,false)*HLOOKUP($K562,'Type Chart'!$C$2:$U$20,6,false)</f>
        <v>1</v>
      </c>
      <c r="Z562" s="960">
        <f t="array" ref="Z562">HLOOKUP($J562,'Type Chart'!$C$2:$T$20,7,false)*HLOOKUP($K562,'Type Chart'!$C$2:$U$20,7,false)</f>
        <v>1</v>
      </c>
      <c r="AA562" s="960">
        <f t="array" ref="AA562">HLOOKUP($J562,'Type Chart'!$C$2:$T$20,8,false)*HLOOKUP($K562,'Type Chart'!$C$2:$U$20,8,false)</f>
        <v>1</v>
      </c>
      <c r="AB562" s="960">
        <f t="array" ref="AB562">HLOOKUP($J562,'Type Chart'!$C$2:$T$20,9,false)*HLOOKUP($K562,'Type Chart'!$C$2:$U$20,9,false)</f>
        <v>0</v>
      </c>
      <c r="AC562" s="960">
        <f t="array" ref="AC562">HLOOKUP($J562,'Type Chart'!$C$2:$T$20,10,false)*HLOOKUP($K562,'Type Chart'!$C$2:$U$20,10,false)</f>
        <v>1</v>
      </c>
      <c r="AD562" s="960">
        <f t="array" ref="AD562">HLOOKUP($J562,'Type Chart'!$C$2:$T$20,11,false)*HLOOKUP($K562,'Type Chart'!$C$2:$U$20,11,false)</f>
        <v>1</v>
      </c>
      <c r="AE562" s="960">
        <f t="array" ref="AE562">HLOOKUP($J562,'Type Chart'!$C$2:$T$20,12,false)*HLOOKUP($K562,'Type Chart'!$C$2:$U$20,12,false)</f>
        <v>1</v>
      </c>
      <c r="AF562" s="960">
        <f t="array" ref="AF562">HLOOKUP($J562,'Type Chart'!$C$2:$T$20,13,false)*HLOOKUP($K562,'Type Chart'!$C$2:$U$20,13,false)</f>
        <v>1</v>
      </c>
      <c r="AG562" s="960">
        <f t="array" ref="AG562">HLOOKUP($J562,'Type Chart'!$C$2:$T$20,14,false)*HLOOKUP($K562,'Type Chart'!$C$2:$U$20,14,false)</f>
        <v>1</v>
      </c>
      <c r="AH562" s="960">
        <f t="array" ref="AH562">HLOOKUP($J562,'Type Chart'!$C$2:$T$20,15,false)*HLOOKUP($K562,'Type Chart'!$C$2:$U$20,15,false)</f>
        <v>1</v>
      </c>
      <c r="AI562" s="960">
        <f t="array" ref="AI562">HLOOKUP($J562,'Type Chart'!$C$2:$T$20,16,false)*HLOOKUP($K562,'Type Chart'!$C$2:$U$20,16,false)</f>
        <v>1</v>
      </c>
      <c r="AJ562" s="960">
        <f t="array" ref="AJ562">HLOOKUP($J562,'Type Chart'!$C$2:$T$20,17,false)*HLOOKUP($K562,'Type Chart'!$C$2:$U$20,17,false)</f>
        <v>1</v>
      </c>
      <c r="AK562" s="960">
        <f t="array" ref="AK562">HLOOKUP($J562,'Type Chart'!$C$2:$T$20,18,false)*HLOOKUP($K562,'Type Chart'!$C$2:$U$20,18,false)</f>
        <v>1</v>
      </c>
      <c r="AL562" s="960">
        <f t="array" ref="AL562">HLOOKUP($J562,'Type Chart'!$C$2:$T$20,19,false)*HLOOKUP($K562,'Type Chart'!$C$2:$U$20,19,false)</f>
        <v>1</v>
      </c>
      <c r="AM562" s="964" t="s">
        <v>1238</v>
      </c>
      <c r="AN562" s="965" t="s">
        <v>760</v>
      </c>
      <c r="AO562" s="966" t="s">
        <v>1044</v>
      </c>
      <c r="AP562" s="936"/>
      <c r="AQ562" s="967"/>
      <c r="AR562" s="968"/>
      <c r="AS562" s="936"/>
    </row>
    <row r="563" ht="15.75" customHeight="1">
      <c r="A563" s="936"/>
      <c r="B563" s="948" t="s">
        <v>2610</v>
      </c>
      <c r="C563" s="950" t="s">
        <v>2611</v>
      </c>
      <c r="D563" s="950" t="s">
        <v>2611</v>
      </c>
      <c r="E563" s="952" t="s">
        <v>2611</v>
      </c>
      <c r="F563" s="940"/>
      <c r="G563" s="953"/>
      <c r="H563" s="969"/>
      <c r="I563" s="956" t="s">
        <v>857</v>
      </c>
      <c r="J563" s="1213" t="s">
        <v>341</v>
      </c>
      <c r="K563" s="984" t="s">
        <v>216</v>
      </c>
      <c r="L563" s="959">
        <v>40.0</v>
      </c>
      <c r="M563" s="960">
        <v>70.0</v>
      </c>
      <c r="N563" s="960">
        <v>40.0</v>
      </c>
      <c r="O563" s="960">
        <v>35.0</v>
      </c>
      <c r="P563" s="960">
        <v>40.0</v>
      </c>
      <c r="Q563" s="960">
        <v>60.0</v>
      </c>
      <c r="R563" s="960">
        <v>156.0</v>
      </c>
      <c r="S563" s="960">
        <v>219.0</v>
      </c>
      <c r="T563" s="960">
        <v>240.0</v>
      </c>
      <c r="U563" s="960">
        <f t="array" ref="U563">HLOOKUP($J563,'Type Chart'!$C$2:$T$20,2,false)*HLOOKUP($K563,'Type Chart'!$C$2:$U$20,2,false)</f>
        <v>1</v>
      </c>
      <c r="V563" s="960">
        <f t="array" ref="V563">HLOOKUP($J563,'Type Chart'!$C$2:$T$20,3,false)*HLOOKUP($K563,'Type Chart'!$C$2:$U$20,3,false)</f>
        <v>1</v>
      </c>
      <c r="W563" s="960">
        <f t="array" ref="W563">HLOOKUP($J563,'Type Chart'!$C$2:$T$20,4,false)*HLOOKUP($K563,'Type Chart'!$C$2:$U$20,4,false)</f>
        <v>2</v>
      </c>
      <c r="X563" s="960">
        <f t="array" ref="X563">HLOOKUP($J563,'Type Chart'!$C$2:$T$20,5,false)*HLOOKUP($K563,'Type Chart'!$C$2:$U$20,5,false)</f>
        <v>1</v>
      </c>
      <c r="Y563" s="960">
        <f t="array" ref="Y563">HLOOKUP($J563,'Type Chart'!$C$2:$T$20,6,false)*HLOOKUP($K563,'Type Chart'!$C$2:$U$20,6,false)</f>
        <v>1</v>
      </c>
      <c r="Z563" s="960">
        <f t="array" ref="Z563">HLOOKUP($J563,'Type Chart'!$C$2:$T$20,7,false)*HLOOKUP($K563,'Type Chart'!$C$2:$U$20,7,false)</f>
        <v>0.5</v>
      </c>
      <c r="AA563" s="960">
        <f t="array" ref="AA563">HLOOKUP($J563,'Type Chart'!$C$2:$T$20,8,false)*HLOOKUP($K563,'Type Chart'!$C$2:$U$20,8,false)</f>
        <v>0.5</v>
      </c>
      <c r="AB563" s="960">
        <f t="array" ref="AB563">HLOOKUP($J563,'Type Chart'!$C$2:$T$20,9,false)*HLOOKUP($K563,'Type Chart'!$C$2:$U$20,9,false)</f>
        <v>1</v>
      </c>
      <c r="AC563" s="960">
        <f t="array" ref="AC563">HLOOKUP($J563,'Type Chart'!$C$2:$T$20,10,false)*HLOOKUP($K563,'Type Chart'!$C$2:$U$20,10,false)</f>
        <v>1</v>
      </c>
      <c r="AD563" s="960">
        <f t="array" ref="AD563">HLOOKUP($J563,'Type Chart'!$C$2:$T$20,11,false)*HLOOKUP($K563,'Type Chart'!$C$2:$U$20,11,false)</f>
        <v>1</v>
      </c>
      <c r="AE563" s="960">
        <f t="array" ref="AE563">HLOOKUP($J563,'Type Chart'!$C$2:$T$20,12,false)*HLOOKUP($K563,'Type Chart'!$C$2:$U$20,12,false)</f>
        <v>1</v>
      </c>
      <c r="AF563" s="960">
        <f t="array" ref="AF563">HLOOKUP($J563,'Type Chart'!$C$2:$T$20,13,false)*HLOOKUP($K563,'Type Chart'!$C$2:$U$20,13,false)</f>
        <v>1</v>
      </c>
      <c r="AG563" s="960">
        <f t="array" ref="AG563">HLOOKUP($J563,'Type Chart'!$C$2:$T$20,14,false)*HLOOKUP($K563,'Type Chart'!$C$2:$U$20,14,false)</f>
        <v>1</v>
      </c>
      <c r="AH563" s="960">
        <f t="array" ref="AH563">HLOOKUP($J563,'Type Chart'!$C$2:$T$20,15,false)*HLOOKUP($K563,'Type Chart'!$C$2:$U$20,15,false)</f>
        <v>2</v>
      </c>
      <c r="AI563" s="960">
        <f t="array" ref="AI563">HLOOKUP($J563,'Type Chart'!$C$2:$T$20,16,false)*HLOOKUP($K563,'Type Chart'!$C$2:$U$20,16,false)</f>
        <v>1</v>
      </c>
      <c r="AJ563" s="960">
        <f t="array" ref="AJ563">HLOOKUP($J563,'Type Chart'!$C$2:$T$20,17,false)*HLOOKUP($K563,'Type Chart'!$C$2:$U$20,17,false)</f>
        <v>1</v>
      </c>
      <c r="AK563" s="960">
        <f t="array" ref="AK563">HLOOKUP($J563,'Type Chart'!$C$2:$T$20,18,false)*HLOOKUP($K563,'Type Chart'!$C$2:$U$20,18,false)</f>
        <v>0.5</v>
      </c>
      <c r="AL563" s="960">
        <f t="array" ref="AL563">HLOOKUP($J563,'Type Chart'!$C$2:$T$20,19,false)*HLOOKUP($K563,'Type Chart'!$C$2:$U$20,19,false)</f>
        <v>2</v>
      </c>
      <c r="AM563" s="964" t="s">
        <v>1306</v>
      </c>
      <c r="AN563" s="965" t="s">
        <v>1192</v>
      </c>
      <c r="AO563" s="966" t="s">
        <v>1813</v>
      </c>
      <c r="AP563" s="936"/>
      <c r="AQ563" s="967"/>
      <c r="AR563" s="968"/>
      <c r="AS563" s="936"/>
    </row>
    <row r="564" ht="15.75" customHeight="1">
      <c r="A564" s="936"/>
      <c r="B564" s="948" t="s">
        <v>2612</v>
      </c>
      <c r="C564" s="950" t="s">
        <v>2613</v>
      </c>
      <c r="D564" s="950" t="s">
        <v>2613</v>
      </c>
      <c r="E564" s="952" t="s">
        <v>2613</v>
      </c>
      <c r="F564" s="940"/>
      <c r="G564" s="953"/>
      <c r="H564" s="969"/>
      <c r="I564" s="998" t="s">
        <v>590</v>
      </c>
      <c r="J564" s="1213" t="s">
        <v>341</v>
      </c>
      <c r="K564" s="1206" t="s">
        <v>82</v>
      </c>
      <c r="L564" s="959">
        <v>70.0</v>
      </c>
      <c r="M564" s="960">
        <v>110.0</v>
      </c>
      <c r="N564" s="960">
        <v>70.0</v>
      </c>
      <c r="O564" s="960">
        <v>115.0</v>
      </c>
      <c r="P564" s="960">
        <v>70.0</v>
      </c>
      <c r="Q564" s="960">
        <v>90.0</v>
      </c>
      <c r="R564" s="960">
        <v>216.0</v>
      </c>
      <c r="S564" s="960">
        <v>279.0</v>
      </c>
      <c r="T564" s="960">
        <v>306.0</v>
      </c>
      <c r="U564" s="960">
        <f t="array" ref="U564">HLOOKUP($J564,'Type Chart'!$C$2:$T$20,2,false)*HLOOKUP($K564,'Type Chart'!$C$2:$U$20,2,false)</f>
        <v>0.5</v>
      </c>
      <c r="V564" s="960">
        <f t="array" ref="V564">HLOOKUP($J564,'Type Chart'!$C$2:$T$20,3,false)*HLOOKUP($K564,'Type Chart'!$C$2:$U$20,3,false)</f>
        <v>2</v>
      </c>
      <c r="W564" s="960">
        <f t="array" ref="W564">HLOOKUP($J564,'Type Chart'!$C$2:$T$20,4,false)*HLOOKUP($K564,'Type Chart'!$C$2:$U$20,4,false)</f>
        <v>1</v>
      </c>
      <c r="X564" s="960">
        <f t="array" ref="X564">HLOOKUP($J564,'Type Chart'!$C$2:$T$20,5,false)*HLOOKUP($K564,'Type Chart'!$C$2:$U$20,5,false)</f>
        <v>0</v>
      </c>
      <c r="Y564" s="960">
        <f t="array" ref="Y564">HLOOKUP($J564,'Type Chart'!$C$2:$T$20,6,false)*HLOOKUP($K564,'Type Chart'!$C$2:$U$20,6,false)</f>
        <v>2</v>
      </c>
      <c r="Z564" s="960">
        <f t="array" ref="Z564">HLOOKUP($J564,'Type Chart'!$C$2:$T$20,7,false)*HLOOKUP($K564,'Type Chart'!$C$2:$U$20,7,false)</f>
        <v>0.25</v>
      </c>
      <c r="AA564" s="960">
        <f t="array" ref="AA564">HLOOKUP($J564,'Type Chart'!$C$2:$T$20,8,false)*HLOOKUP($K564,'Type Chart'!$C$2:$U$20,8,false)</f>
        <v>0.25</v>
      </c>
      <c r="AB564" s="960">
        <f t="array" ref="AB564">HLOOKUP($J564,'Type Chart'!$C$2:$T$20,9,false)*HLOOKUP($K564,'Type Chart'!$C$2:$U$20,9,false)</f>
        <v>1</v>
      </c>
      <c r="AC564" s="960">
        <f t="array" ref="AC564">HLOOKUP($J564,'Type Chart'!$C$2:$T$20,10,false)*HLOOKUP($K564,'Type Chart'!$C$2:$U$20,10,false)</f>
        <v>0.5</v>
      </c>
      <c r="AD564" s="960">
        <f t="array" ref="AD564">HLOOKUP($J564,'Type Chart'!$C$2:$T$20,11,false)*HLOOKUP($K564,'Type Chart'!$C$2:$U$20,11,false)</f>
        <v>2</v>
      </c>
      <c r="AE564" s="960">
        <f t="array" ref="AE564">HLOOKUP($J564,'Type Chart'!$C$2:$T$20,12,false)*HLOOKUP($K564,'Type Chart'!$C$2:$U$20,12,false)</f>
        <v>1</v>
      </c>
      <c r="AF564" s="960">
        <f t="array" ref="AF564">HLOOKUP($J564,'Type Chart'!$C$2:$T$20,13,false)*HLOOKUP($K564,'Type Chart'!$C$2:$U$20,13,false)</f>
        <v>0.5</v>
      </c>
      <c r="AG564" s="960">
        <f t="array" ref="AG564">HLOOKUP($J564,'Type Chart'!$C$2:$T$20,14,false)*HLOOKUP($K564,'Type Chart'!$C$2:$U$20,14,false)</f>
        <v>1</v>
      </c>
      <c r="AH564" s="960">
        <f t="array" ref="AH564">HLOOKUP($J564,'Type Chart'!$C$2:$T$20,15,false)*HLOOKUP($K564,'Type Chart'!$C$2:$U$20,15,false)</f>
        <v>1</v>
      </c>
      <c r="AI564" s="960">
        <f t="array" ref="AI564">HLOOKUP($J564,'Type Chart'!$C$2:$T$20,16,false)*HLOOKUP($K564,'Type Chart'!$C$2:$U$20,16,false)</f>
        <v>0.5</v>
      </c>
      <c r="AJ564" s="960">
        <f t="array" ref="AJ564">HLOOKUP($J564,'Type Chart'!$C$2:$T$20,17,false)*HLOOKUP($K564,'Type Chart'!$C$2:$U$20,17,false)</f>
        <v>0.5</v>
      </c>
      <c r="AK564" s="960">
        <f t="array" ref="AK564">HLOOKUP($J564,'Type Chart'!$C$2:$T$20,18,false)*HLOOKUP($K564,'Type Chart'!$C$2:$U$20,18,false)</f>
        <v>0.5</v>
      </c>
      <c r="AL564" s="960">
        <f t="array" ref="AL564">HLOOKUP($J564,'Type Chart'!$C$2:$T$20,19,false)*HLOOKUP($K564,'Type Chart'!$C$2:$U$20,19,false)</f>
        <v>1</v>
      </c>
      <c r="AM564" s="964" t="s">
        <v>1306</v>
      </c>
      <c r="AN564" s="965" t="s">
        <v>1192</v>
      </c>
      <c r="AO564" s="966" t="s">
        <v>1273</v>
      </c>
      <c r="AP564" s="936"/>
      <c r="AQ564" s="967"/>
      <c r="AR564" s="968"/>
      <c r="AS564" s="936"/>
    </row>
    <row r="565" ht="15.75" customHeight="1">
      <c r="A565" s="936"/>
      <c r="B565" s="948" t="s">
        <v>2614</v>
      </c>
      <c r="C565" s="950" t="s">
        <v>2615</v>
      </c>
      <c r="D565" s="950" t="s">
        <v>2615</v>
      </c>
      <c r="E565" s="952" t="s">
        <v>2615</v>
      </c>
      <c r="F565" s="940"/>
      <c r="G565" s="953"/>
      <c r="H565" s="969"/>
      <c r="I565" s="956" t="s">
        <v>2616</v>
      </c>
      <c r="J565" s="1213" t="s">
        <v>341</v>
      </c>
      <c r="K565" s="1206" t="s">
        <v>82</v>
      </c>
      <c r="L565" s="959">
        <v>70.0</v>
      </c>
      <c r="M565" s="960">
        <v>145.0</v>
      </c>
      <c r="N565" s="960">
        <v>88.0</v>
      </c>
      <c r="O565" s="960">
        <v>140.0</v>
      </c>
      <c r="P565" s="960">
        <v>70.0</v>
      </c>
      <c r="Q565" s="960">
        <v>112.0</v>
      </c>
      <c r="R565" s="960">
        <v>260.0</v>
      </c>
      <c r="S565" s="960">
        <v>323.0</v>
      </c>
      <c r="T565" s="960">
        <v>355.0</v>
      </c>
      <c r="U565" s="960">
        <f t="array" ref="U565">HLOOKUP($J565,'Type Chart'!$C$2:$T$20,2,false)*HLOOKUP($K565,'Type Chart'!$C$2:$U$20,2,false)</f>
        <v>0.5</v>
      </c>
      <c r="V565" s="960">
        <f t="array" ref="V565">HLOOKUP($J565,'Type Chart'!$C$2:$T$20,3,false)*HLOOKUP($K565,'Type Chart'!$C$2:$U$20,3,false)</f>
        <v>2</v>
      </c>
      <c r="W565" s="960">
        <f t="array" ref="W565">HLOOKUP($J565,'Type Chart'!$C$2:$T$20,4,false)*HLOOKUP($K565,'Type Chart'!$C$2:$U$20,4,false)</f>
        <v>1</v>
      </c>
      <c r="X565" s="960">
        <f t="array" ref="X565">HLOOKUP($J565,'Type Chart'!$C$2:$T$20,5,false)*HLOOKUP($K565,'Type Chart'!$C$2:$U$20,5,false)</f>
        <v>0</v>
      </c>
      <c r="Y565" s="960">
        <f t="array" ref="Y565">HLOOKUP($J565,'Type Chart'!$C$2:$T$20,6,false)*HLOOKUP($K565,'Type Chart'!$C$2:$U$20,6,false)</f>
        <v>2</v>
      </c>
      <c r="Z565" s="960">
        <f t="array" ref="Z565">HLOOKUP($J565,'Type Chart'!$C$2:$T$20,7,false)*HLOOKUP($K565,'Type Chart'!$C$2:$U$20,7,false)</f>
        <v>0.25</v>
      </c>
      <c r="AA565" s="960">
        <f t="array" ref="AA565">HLOOKUP($J565,'Type Chart'!$C$2:$T$20,8,false)*HLOOKUP($K565,'Type Chart'!$C$2:$U$20,8,false)</f>
        <v>0.25</v>
      </c>
      <c r="AB565" s="960">
        <f t="array" ref="AB565">HLOOKUP($J565,'Type Chart'!$C$2:$T$20,9,false)*HLOOKUP($K565,'Type Chart'!$C$2:$U$20,9,false)</f>
        <v>1</v>
      </c>
      <c r="AC565" s="960">
        <f t="array" ref="AC565">HLOOKUP($J565,'Type Chart'!$C$2:$T$20,10,false)*HLOOKUP($K565,'Type Chart'!$C$2:$U$20,10,false)</f>
        <v>0.5</v>
      </c>
      <c r="AD565" s="960">
        <f t="array" ref="AD565">HLOOKUP($J565,'Type Chart'!$C$2:$T$20,11,false)*HLOOKUP($K565,'Type Chart'!$C$2:$U$20,11,false)</f>
        <v>2</v>
      </c>
      <c r="AE565" s="960">
        <f t="array" ref="AE565">HLOOKUP($J565,'Type Chart'!$C$2:$T$20,12,false)*HLOOKUP($K565,'Type Chart'!$C$2:$U$20,12,false)</f>
        <v>1</v>
      </c>
      <c r="AF565" s="960">
        <f t="array" ref="AF565">HLOOKUP($J565,'Type Chart'!$C$2:$T$20,13,false)*HLOOKUP($K565,'Type Chart'!$C$2:$U$20,13,false)</f>
        <v>0.5</v>
      </c>
      <c r="AG565" s="960">
        <f t="array" ref="AG565">HLOOKUP($J565,'Type Chart'!$C$2:$T$20,14,false)*HLOOKUP($K565,'Type Chart'!$C$2:$U$20,14,false)</f>
        <v>1</v>
      </c>
      <c r="AH565" s="960">
        <f t="array" ref="AH565">HLOOKUP($J565,'Type Chart'!$C$2:$T$20,15,false)*HLOOKUP($K565,'Type Chart'!$C$2:$U$20,15,false)</f>
        <v>1</v>
      </c>
      <c r="AI565" s="960">
        <f t="array" ref="AI565">HLOOKUP($J565,'Type Chart'!$C$2:$T$20,16,false)*HLOOKUP($K565,'Type Chart'!$C$2:$U$20,16,false)</f>
        <v>0.5</v>
      </c>
      <c r="AJ565" s="960">
        <f t="array" ref="AJ565">HLOOKUP($J565,'Type Chart'!$C$2:$T$20,17,false)*HLOOKUP($K565,'Type Chart'!$C$2:$U$20,17,false)</f>
        <v>0.5</v>
      </c>
      <c r="AK565" s="960">
        <f t="array" ref="AK565">HLOOKUP($J565,'Type Chart'!$C$2:$T$20,18,false)*HLOOKUP($K565,'Type Chart'!$C$2:$U$20,18,false)</f>
        <v>0.5</v>
      </c>
      <c r="AL565" s="960">
        <f t="array" ref="AL565">HLOOKUP($J565,'Type Chart'!$C$2:$T$20,19,false)*HLOOKUP($K565,'Type Chart'!$C$2:$U$20,19,false)</f>
        <v>1</v>
      </c>
      <c r="AM565" s="964" t="s">
        <v>1018</v>
      </c>
      <c r="AN565" s="965"/>
      <c r="AO565" s="966"/>
      <c r="AP565" s="936"/>
      <c r="AQ565" s="967"/>
      <c r="AR565" s="968"/>
      <c r="AS565" s="936"/>
    </row>
    <row r="566" ht="15.75" customHeight="1">
      <c r="A566" s="936"/>
      <c r="B566" s="948" t="s">
        <v>2617</v>
      </c>
      <c r="C566" s="950" t="s">
        <v>2618</v>
      </c>
      <c r="D566" s="950" t="s">
        <v>2618</v>
      </c>
      <c r="E566" s="952" t="s">
        <v>2618</v>
      </c>
      <c r="F566" s="940"/>
      <c r="G566" s="953"/>
      <c r="H566" s="969"/>
      <c r="I566" s="956" t="s">
        <v>839</v>
      </c>
      <c r="J566" s="1204" t="s">
        <v>80</v>
      </c>
      <c r="K566" s="984" t="s">
        <v>216</v>
      </c>
      <c r="L566" s="959">
        <v>68.0</v>
      </c>
      <c r="M566" s="960">
        <v>72.0</v>
      </c>
      <c r="N566" s="960">
        <v>78.0</v>
      </c>
      <c r="O566" s="960">
        <v>38.0</v>
      </c>
      <c r="P566" s="960">
        <v>42.0</v>
      </c>
      <c r="Q566" s="960">
        <v>32.0</v>
      </c>
      <c r="R566" s="960">
        <v>100.0</v>
      </c>
      <c r="S566" s="960">
        <v>163.0</v>
      </c>
      <c r="T566" s="960">
        <v>179.0</v>
      </c>
      <c r="U566" s="960">
        <f t="array" ref="U566">HLOOKUP($J566,'Type Chart'!$C$2:$T$20,2,false)*HLOOKUP($K566,'Type Chart'!$C$2:$U$20,2,false)</f>
        <v>1</v>
      </c>
      <c r="V566" s="960">
        <f t="array" ref="V566">HLOOKUP($J566,'Type Chart'!$C$2:$T$20,3,false)*HLOOKUP($K566,'Type Chart'!$C$2:$U$20,3,false)</f>
        <v>1</v>
      </c>
      <c r="W566" s="960">
        <f t="array" ref="W566">HLOOKUP($J566,'Type Chart'!$C$2:$T$20,4,false)*HLOOKUP($K566,'Type Chart'!$C$2:$U$20,4,false)</f>
        <v>1</v>
      </c>
      <c r="X566" s="960">
        <f t="array" ref="X566">HLOOKUP($J566,'Type Chart'!$C$2:$T$20,5,false)*HLOOKUP($K566,'Type Chart'!$C$2:$U$20,5,false)</f>
        <v>0.5</v>
      </c>
      <c r="Y566" s="960">
        <f t="array" ref="Y566">HLOOKUP($J566,'Type Chart'!$C$2:$T$20,6,false)*HLOOKUP($K566,'Type Chart'!$C$2:$U$20,6,false)</f>
        <v>1</v>
      </c>
      <c r="Z566" s="960">
        <f t="array" ref="Z566">HLOOKUP($J566,'Type Chart'!$C$2:$T$20,7,false)*HLOOKUP($K566,'Type Chart'!$C$2:$U$20,7,false)</f>
        <v>0.5</v>
      </c>
      <c r="AA566" s="960">
        <f t="array" ref="AA566">HLOOKUP($J566,'Type Chart'!$C$2:$T$20,8,false)*HLOOKUP($K566,'Type Chart'!$C$2:$U$20,8,false)</f>
        <v>1</v>
      </c>
      <c r="AB566" s="960">
        <f t="array" ref="AB566">HLOOKUP($J566,'Type Chart'!$C$2:$T$20,9,false)*HLOOKUP($K566,'Type Chart'!$C$2:$U$20,9,false)</f>
        <v>1</v>
      </c>
      <c r="AC566" s="960">
        <f t="array" ref="AC566">HLOOKUP($J566,'Type Chart'!$C$2:$T$20,10,false)*HLOOKUP($K566,'Type Chart'!$C$2:$U$20,10,false)</f>
        <v>1</v>
      </c>
      <c r="AD566" s="960">
        <f t="array" ref="AD566">HLOOKUP($J566,'Type Chart'!$C$2:$T$20,11,false)*HLOOKUP($K566,'Type Chart'!$C$2:$U$20,11,false)</f>
        <v>1</v>
      </c>
      <c r="AE566" s="960">
        <f t="array" ref="AE566">HLOOKUP($J566,'Type Chart'!$C$2:$T$20,12,false)*HLOOKUP($K566,'Type Chart'!$C$2:$U$20,12,false)</f>
        <v>2</v>
      </c>
      <c r="AF566" s="960">
        <f t="array" ref="AF566">HLOOKUP($J566,'Type Chart'!$C$2:$T$20,13,false)*HLOOKUP($K566,'Type Chart'!$C$2:$U$20,13,false)</f>
        <v>2</v>
      </c>
      <c r="AG566" s="960">
        <f t="array" ref="AG566">HLOOKUP($J566,'Type Chart'!$C$2:$T$20,14,false)*HLOOKUP($K566,'Type Chart'!$C$2:$U$20,14,false)</f>
        <v>0</v>
      </c>
      <c r="AH566" s="960">
        <f t="array" ref="AH566">HLOOKUP($J566,'Type Chart'!$C$2:$T$20,15,false)*HLOOKUP($K566,'Type Chart'!$C$2:$U$20,15,false)</f>
        <v>1</v>
      </c>
      <c r="AI566" s="960">
        <f t="array" ref="AI566">HLOOKUP($J566,'Type Chart'!$C$2:$T$20,16,false)*HLOOKUP($K566,'Type Chart'!$C$2:$U$20,16,false)</f>
        <v>2</v>
      </c>
      <c r="AJ566" s="960">
        <f t="array" ref="AJ566">HLOOKUP($J566,'Type Chart'!$C$2:$T$20,17,false)*HLOOKUP($K566,'Type Chart'!$C$2:$U$20,17,false)</f>
        <v>1</v>
      </c>
      <c r="AK566" s="960">
        <f t="array" ref="AK566">HLOOKUP($J566,'Type Chart'!$C$2:$T$20,18,false)*HLOOKUP($K566,'Type Chart'!$C$2:$U$20,18,false)</f>
        <v>1</v>
      </c>
      <c r="AL566" s="960">
        <f t="array" ref="AL566">HLOOKUP($J566,'Type Chart'!$C$2:$T$20,19,false)*HLOOKUP($K566,'Type Chart'!$C$2:$U$20,19,false)</f>
        <v>1</v>
      </c>
      <c r="AM566" s="964" t="s">
        <v>1964</v>
      </c>
      <c r="AN566" s="965"/>
      <c r="AO566" s="966" t="s">
        <v>1224</v>
      </c>
      <c r="AP566" s="936"/>
      <c r="AQ566" s="967"/>
      <c r="AR566" s="968"/>
      <c r="AS566" s="936"/>
    </row>
    <row r="567" ht="15.75" customHeight="1">
      <c r="A567" s="1099"/>
      <c r="B567" s="948" t="s">
        <v>2619</v>
      </c>
      <c r="C567" s="1197" t="s">
        <v>2620</v>
      </c>
      <c r="D567" s="1197" t="s">
        <v>2620</v>
      </c>
      <c r="E567" s="952" t="s">
        <v>2620</v>
      </c>
      <c r="F567" s="940"/>
      <c r="G567" s="953"/>
      <c r="H567" s="969"/>
      <c r="I567" s="998" t="s">
        <v>508</v>
      </c>
      <c r="J567" s="1223" t="s">
        <v>80</v>
      </c>
      <c r="K567" s="1199" t="s">
        <v>216</v>
      </c>
      <c r="L567" s="1200">
        <v>108.0</v>
      </c>
      <c r="M567" s="1201">
        <v>112.0</v>
      </c>
      <c r="N567" s="1201">
        <v>118.0</v>
      </c>
      <c r="O567" s="1201">
        <v>68.0</v>
      </c>
      <c r="P567" s="1201">
        <v>72.0</v>
      </c>
      <c r="Q567" s="1201">
        <v>47.0</v>
      </c>
      <c r="R567" s="960">
        <v>130.0</v>
      </c>
      <c r="S567" s="960">
        <v>193.0</v>
      </c>
      <c r="T567" s="960">
        <v>212.0</v>
      </c>
      <c r="U567" s="960">
        <f t="array" ref="U567">HLOOKUP($J567,'Type Chart'!$C$2:$T$20,2,false)*HLOOKUP($K567,'Type Chart'!$C$2:$U$20,2,false)</f>
        <v>1</v>
      </c>
      <c r="V567" s="960">
        <f t="array" ref="V567">HLOOKUP($J567,'Type Chart'!$C$2:$T$20,3,false)*HLOOKUP($K567,'Type Chart'!$C$2:$U$20,3,false)</f>
        <v>1</v>
      </c>
      <c r="W567" s="960">
        <f t="array" ref="W567">HLOOKUP($J567,'Type Chart'!$C$2:$T$20,4,false)*HLOOKUP($K567,'Type Chart'!$C$2:$U$20,4,false)</f>
        <v>1</v>
      </c>
      <c r="X567" s="960">
        <f t="array" ref="X567">HLOOKUP($J567,'Type Chart'!$C$2:$T$20,5,false)*HLOOKUP($K567,'Type Chart'!$C$2:$U$20,5,false)</f>
        <v>0.5</v>
      </c>
      <c r="Y567" s="960">
        <f t="array" ref="Y567">HLOOKUP($J567,'Type Chart'!$C$2:$T$20,6,false)*HLOOKUP($K567,'Type Chart'!$C$2:$U$20,6,false)</f>
        <v>1</v>
      </c>
      <c r="Z567" s="960">
        <f t="array" ref="Z567">HLOOKUP($J567,'Type Chart'!$C$2:$T$20,7,false)*HLOOKUP($K567,'Type Chart'!$C$2:$U$20,7,false)</f>
        <v>0.5</v>
      </c>
      <c r="AA567" s="960">
        <f t="array" ref="AA567">HLOOKUP($J567,'Type Chart'!$C$2:$T$20,8,false)*HLOOKUP($K567,'Type Chart'!$C$2:$U$20,8,false)</f>
        <v>1</v>
      </c>
      <c r="AB567" s="960">
        <f t="array" ref="AB567">HLOOKUP($J567,'Type Chart'!$C$2:$T$20,9,false)*HLOOKUP($K567,'Type Chart'!$C$2:$U$20,9,false)</f>
        <v>1</v>
      </c>
      <c r="AC567" s="960">
        <f t="array" ref="AC567">HLOOKUP($J567,'Type Chart'!$C$2:$T$20,10,false)*HLOOKUP($K567,'Type Chart'!$C$2:$U$20,10,false)</f>
        <v>1</v>
      </c>
      <c r="AD567" s="960">
        <f t="array" ref="AD567">HLOOKUP($J567,'Type Chart'!$C$2:$T$20,11,false)*HLOOKUP($K567,'Type Chart'!$C$2:$U$20,11,false)</f>
        <v>1</v>
      </c>
      <c r="AE567" s="960">
        <f t="array" ref="AE567">HLOOKUP($J567,'Type Chart'!$C$2:$T$20,12,false)*HLOOKUP($K567,'Type Chart'!$C$2:$U$20,12,false)</f>
        <v>2</v>
      </c>
      <c r="AF567" s="960">
        <f t="array" ref="AF567">HLOOKUP($J567,'Type Chart'!$C$2:$T$20,13,false)*HLOOKUP($K567,'Type Chart'!$C$2:$U$20,13,false)</f>
        <v>2</v>
      </c>
      <c r="AG567" s="960">
        <f t="array" ref="AG567">HLOOKUP($J567,'Type Chart'!$C$2:$T$20,14,false)*HLOOKUP($K567,'Type Chart'!$C$2:$U$20,14,false)</f>
        <v>0</v>
      </c>
      <c r="AH567" s="960">
        <f t="array" ref="AH567">HLOOKUP($J567,'Type Chart'!$C$2:$T$20,15,false)*HLOOKUP($K567,'Type Chart'!$C$2:$U$20,15,false)</f>
        <v>1</v>
      </c>
      <c r="AI567" s="960">
        <f t="array" ref="AI567">HLOOKUP($J567,'Type Chart'!$C$2:$T$20,16,false)*HLOOKUP($K567,'Type Chart'!$C$2:$U$20,16,false)</f>
        <v>2</v>
      </c>
      <c r="AJ567" s="960">
        <f t="array" ref="AJ567">HLOOKUP($J567,'Type Chart'!$C$2:$T$20,17,false)*HLOOKUP($K567,'Type Chart'!$C$2:$U$20,17,false)</f>
        <v>1</v>
      </c>
      <c r="AK567" s="960">
        <f t="array" ref="AK567">HLOOKUP($J567,'Type Chart'!$C$2:$T$20,18,false)*HLOOKUP($K567,'Type Chart'!$C$2:$U$20,18,false)</f>
        <v>1</v>
      </c>
      <c r="AL567" s="960">
        <f t="array" ref="AL567">HLOOKUP($J567,'Type Chart'!$C$2:$T$20,19,false)*HLOOKUP($K567,'Type Chart'!$C$2:$U$20,19,false)</f>
        <v>1</v>
      </c>
      <c r="AM567" s="1145" t="s">
        <v>1964</v>
      </c>
      <c r="AN567" s="965"/>
      <c r="AO567" s="966" t="s">
        <v>1224</v>
      </c>
      <c r="AP567" s="936"/>
      <c r="AQ567" s="967"/>
      <c r="AR567" s="968"/>
      <c r="AS567" s="936"/>
    </row>
    <row r="568" ht="15.75" customHeight="1">
      <c r="A568" s="936"/>
      <c r="B568" s="948" t="s">
        <v>2621</v>
      </c>
      <c r="C568" s="950" t="s">
        <v>2622</v>
      </c>
      <c r="D568" s="950" t="s">
        <v>2622</v>
      </c>
      <c r="E568" s="952" t="s">
        <v>2622</v>
      </c>
      <c r="F568" s="940"/>
      <c r="G568" s="953"/>
      <c r="H568" s="969"/>
      <c r="I568" s="956" t="s">
        <v>2623</v>
      </c>
      <c r="J568" s="958" t="s">
        <v>178</v>
      </c>
      <c r="K568" s="1180" t="s">
        <v>343</v>
      </c>
      <c r="L568" s="959">
        <v>40.0</v>
      </c>
      <c r="M568" s="960">
        <v>50.0</v>
      </c>
      <c r="N568" s="960">
        <v>90.0</v>
      </c>
      <c r="O568" s="960">
        <v>30.0</v>
      </c>
      <c r="P568" s="960">
        <v>55.0</v>
      </c>
      <c r="Q568" s="960">
        <v>65.0</v>
      </c>
      <c r="R568" s="960">
        <v>166.0</v>
      </c>
      <c r="S568" s="960">
        <v>229.0</v>
      </c>
      <c r="T568" s="960">
        <v>251.0</v>
      </c>
      <c r="U568" s="960">
        <f t="array" ref="U568">HLOOKUP($J568,'Type Chart'!$C$2:$T$20,2,false)*HLOOKUP($K568,'Type Chart'!$C$2:$U$20,2,false)</f>
        <v>1</v>
      </c>
      <c r="V568" s="960">
        <f t="array" ref="V568">HLOOKUP($J568,'Type Chart'!$C$2:$T$20,3,false)*HLOOKUP($K568,'Type Chart'!$C$2:$U$20,3,false)</f>
        <v>0.25</v>
      </c>
      <c r="W568" s="960">
        <f t="array" ref="W568">HLOOKUP($J568,'Type Chart'!$C$2:$T$20,4,false)*HLOOKUP($K568,'Type Chart'!$C$2:$U$20,4,false)</f>
        <v>2</v>
      </c>
      <c r="X568" s="960">
        <f t="array" ref="X568">HLOOKUP($J568,'Type Chart'!$C$2:$T$20,5,false)*HLOOKUP($K568,'Type Chart'!$C$2:$U$20,5,false)</f>
        <v>0.5</v>
      </c>
      <c r="Y568" s="960">
        <f t="array" ref="Y568">HLOOKUP($J568,'Type Chart'!$C$2:$T$20,6,false)*HLOOKUP($K568,'Type Chart'!$C$2:$U$20,6,false)</f>
        <v>1</v>
      </c>
      <c r="Z568" s="960">
        <f t="array" ref="Z568">HLOOKUP($J568,'Type Chart'!$C$2:$T$20,7,false)*HLOOKUP($K568,'Type Chart'!$C$2:$U$20,7,false)</f>
        <v>2</v>
      </c>
      <c r="AA568" s="960">
        <f t="array" ref="AA568">HLOOKUP($J568,'Type Chart'!$C$2:$T$20,8,false)*HLOOKUP($K568,'Type Chart'!$C$2:$U$20,8,false)</f>
        <v>0.5</v>
      </c>
      <c r="AB568" s="960">
        <f t="array" ref="AB568">HLOOKUP($J568,'Type Chart'!$C$2:$T$20,9,false)*HLOOKUP($K568,'Type Chart'!$C$2:$U$20,9,false)</f>
        <v>1</v>
      </c>
      <c r="AC568" s="960">
        <f t="array" ref="AC568">HLOOKUP($J568,'Type Chart'!$C$2:$T$20,10,false)*HLOOKUP($K568,'Type Chart'!$C$2:$U$20,10,false)</f>
        <v>1</v>
      </c>
      <c r="AD568" s="960">
        <f t="array" ref="AD568">HLOOKUP($J568,'Type Chart'!$C$2:$T$20,11,false)*HLOOKUP($K568,'Type Chart'!$C$2:$U$20,11,false)</f>
        <v>2</v>
      </c>
      <c r="AE568" s="960">
        <f t="array" ref="AE568">HLOOKUP($J568,'Type Chart'!$C$2:$T$20,12,false)*HLOOKUP($K568,'Type Chart'!$C$2:$U$20,12,false)</f>
        <v>1</v>
      </c>
      <c r="AF568" s="960">
        <f t="array" ref="AF568">HLOOKUP($J568,'Type Chart'!$C$2:$T$20,13,false)*HLOOKUP($K568,'Type Chart'!$C$2:$U$20,13,false)</f>
        <v>0.25</v>
      </c>
      <c r="AG568" s="960">
        <f t="array" ref="AG568">HLOOKUP($J568,'Type Chart'!$C$2:$T$20,14,false)*HLOOKUP($K568,'Type Chart'!$C$2:$U$20,14,false)</f>
        <v>1</v>
      </c>
      <c r="AH568" s="960">
        <f t="array" ref="AH568">HLOOKUP($J568,'Type Chart'!$C$2:$T$20,15,false)*HLOOKUP($K568,'Type Chart'!$C$2:$U$20,15,false)</f>
        <v>2</v>
      </c>
      <c r="AI568" s="960">
        <f t="array" ref="AI568">HLOOKUP($J568,'Type Chart'!$C$2:$T$20,16,false)*HLOOKUP($K568,'Type Chart'!$C$2:$U$20,16,false)</f>
        <v>1</v>
      </c>
      <c r="AJ568" s="960">
        <f t="array" ref="AJ568">HLOOKUP($J568,'Type Chart'!$C$2:$T$20,17,false)*HLOOKUP($K568,'Type Chart'!$C$2:$U$20,17,false)</f>
        <v>1</v>
      </c>
      <c r="AK568" s="960">
        <f t="array" ref="AK568">HLOOKUP($J568,'Type Chart'!$C$2:$T$20,18,false)*HLOOKUP($K568,'Type Chart'!$C$2:$U$20,18,false)</f>
        <v>1</v>
      </c>
      <c r="AL568" s="960">
        <f t="array" ref="AL568">HLOOKUP($J568,'Type Chart'!$C$2:$T$20,19,false)*HLOOKUP($K568,'Type Chart'!$C$2:$U$20,19,false)</f>
        <v>0.5</v>
      </c>
      <c r="AM568" s="964" t="s">
        <v>1487</v>
      </c>
      <c r="AN568" s="965" t="s">
        <v>1014</v>
      </c>
      <c r="AO568" s="966" t="s">
        <v>1022</v>
      </c>
      <c r="AP568" s="936"/>
      <c r="AQ568" s="967"/>
      <c r="AR568" s="968"/>
      <c r="AS568" s="936"/>
    </row>
    <row r="569" ht="15.75" customHeight="1">
      <c r="A569" s="936"/>
      <c r="B569" s="948" t="s">
        <v>2624</v>
      </c>
      <c r="C569" s="950" t="s">
        <v>2625</v>
      </c>
      <c r="D569" s="950" t="s">
        <v>2625</v>
      </c>
      <c r="E569" s="952" t="s">
        <v>2625</v>
      </c>
      <c r="F569" s="940"/>
      <c r="G569" s="953"/>
      <c r="H569" s="969"/>
      <c r="I569" s="998" t="s">
        <v>2626</v>
      </c>
      <c r="J569" s="958" t="s">
        <v>178</v>
      </c>
      <c r="K569" s="1195" t="s">
        <v>193</v>
      </c>
      <c r="L569" s="959">
        <v>70.0</v>
      </c>
      <c r="M569" s="960">
        <v>90.0</v>
      </c>
      <c r="N569" s="960">
        <v>110.0</v>
      </c>
      <c r="O569" s="960">
        <v>60.0</v>
      </c>
      <c r="P569" s="960">
        <v>75.0</v>
      </c>
      <c r="Q569" s="960">
        <v>95.0</v>
      </c>
      <c r="R569" s="960">
        <v>226.0</v>
      </c>
      <c r="S569" s="960">
        <v>289.0</v>
      </c>
      <c r="T569" s="960">
        <v>317.0</v>
      </c>
      <c r="U569" s="960">
        <f t="array" ref="U569">HLOOKUP($J569,'Type Chart'!$C$2:$T$20,2,false)*HLOOKUP($K569,'Type Chart'!$C$2:$U$20,2,false)</f>
        <v>1</v>
      </c>
      <c r="V569" s="960">
        <f t="array" ref="V569">HLOOKUP($J569,'Type Chart'!$C$2:$T$20,3,false)*HLOOKUP($K569,'Type Chart'!$C$2:$U$20,3,false)</f>
        <v>1</v>
      </c>
      <c r="W569" s="960">
        <f t="array" ref="W569">HLOOKUP($J569,'Type Chart'!$C$2:$T$20,4,false)*HLOOKUP($K569,'Type Chart'!$C$2:$U$20,4,false)</f>
        <v>1</v>
      </c>
      <c r="X569" s="960">
        <f t="array" ref="X569">HLOOKUP($J569,'Type Chart'!$C$2:$T$20,5,false)*HLOOKUP($K569,'Type Chart'!$C$2:$U$20,5,false)</f>
        <v>0.5</v>
      </c>
      <c r="Y569" s="960">
        <f t="array" ref="Y569">HLOOKUP($J569,'Type Chart'!$C$2:$T$20,6,false)*HLOOKUP($K569,'Type Chart'!$C$2:$U$20,6,false)</f>
        <v>2</v>
      </c>
      <c r="Z569" s="960">
        <f t="array" ref="Z569">HLOOKUP($J569,'Type Chart'!$C$2:$T$20,7,false)*HLOOKUP($K569,'Type Chart'!$C$2:$U$20,7,false)</f>
        <v>1</v>
      </c>
      <c r="AA569" s="960">
        <f t="array" ref="AA569">HLOOKUP($J569,'Type Chart'!$C$2:$T$20,8,false)*HLOOKUP($K569,'Type Chart'!$C$2:$U$20,8,false)</f>
        <v>1</v>
      </c>
      <c r="AB569" s="960">
        <f t="array" ref="AB569">HLOOKUP($J569,'Type Chart'!$C$2:$T$20,9,false)*HLOOKUP($K569,'Type Chart'!$C$2:$U$20,9,false)</f>
        <v>0.5</v>
      </c>
      <c r="AC569" s="960">
        <f t="array" ref="AC569">HLOOKUP($J569,'Type Chart'!$C$2:$T$20,10,false)*HLOOKUP($K569,'Type Chart'!$C$2:$U$20,10,false)</f>
        <v>1</v>
      </c>
      <c r="AD569" s="960">
        <f t="array" ref="AD569">HLOOKUP($J569,'Type Chart'!$C$2:$T$20,11,false)*HLOOKUP($K569,'Type Chart'!$C$2:$U$20,11,false)</f>
        <v>1</v>
      </c>
      <c r="AE569" s="960">
        <f t="array" ref="AE569">HLOOKUP($J569,'Type Chart'!$C$2:$T$20,12,false)*HLOOKUP($K569,'Type Chart'!$C$2:$U$20,12,false)</f>
        <v>1</v>
      </c>
      <c r="AF569" s="960">
        <f t="array" ref="AF569">HLOOKUP($J569,'Type Chart'!$C$2:$T$20,13,false)*HLOOKUP($K569,'Type Chart'!$C$2:$U$20,13,false)</f>
        <v>0.5</v>
      </c>
      <c r="AG569" s="960">
        <f t="array" ref="AG569">HLOOKUP($J569,'Type Chart'!$C$2:$T$20,14,false)*HLOOKUP($K569,'Type Chart'!$C$2:$U$20,14,false)</f>
        <v>1</v>
      </c>
      <c r="AH569" s="960">
        <f t="array" ref="AH569">HLOOKUP($J569,'Type Chart'!$C$2:$T$20,15,false)*HLOOKUP($K569,'Type Chart'!$C$2:$U$20,15,false)</f>
        <v>0</v>
      </c>
      <c r="AI569" s="960">
        <f t="array" ref="AI569">HLOOKUP($J569,'Type Chart'!$C$2:$T$20,16,false)*HLOOKUP($K569,'Type Chart'!$C$2:$U$20,16,false)</f>
        <v>1</v>
      </c>
      <c r="AJ569" s="960">
        <f t="array" ref="AJ569">HLOOKUP($J569,'Type Chart'!$C$2:$T$20,17,false)*HLOOKUP($K569,'Type Chart'!$C$2:$U$20,17,false)</f>
        <v>1</v>
      </c>
      <c r="AK569" s="960">
        <f t="array" ref="AK569">HLOOKUP($J569,'Type Chart'!$C$2:$T$20,18,false)*HLOOKUP($K569,'Type Chart'!$C$2:$U$20,18,false)</f>
        <v>0.5</v>
      </c>
      <c r="AL569" s="960">
        <f t="array" ref="AL569">HLOOKUP($J569,'Type Chart'!$C$2:$T$20,19,false)*HLOOKUP($K569,'Type Chart'!$C$2:$U$20,19,false)</f>
        <v>1</v>
      </c>
      <c r="AM569" s="1145" t="s">
        <v>1487</v>
      </c>
      <c r="AN569" s="965" t="s">
        <v>1014</v>
      </c>
      <c r="AO569" s="966" t="s">
        <v>1022</v>
      </c>
      <c r="AP569" s="936"/>
      <c r="AQ569" s="967"/>
      <c r="AR569" s="968"/>
      <c r="AS569" s="936"/>
    </row>
    <row r="570" ht="15.75" customHeight="1">
      <c r="A570" s="936"/>
      <c r="B570" s="948" t="s">
        <v>2627</v>
      </c>
      <c r="C570" s="950" t="s">
        <v>2628</v>
      </c>
      <c r="D570" s="950" t="s">
        <v>2628</v>
      </c>
      <c r="E570" s="952" t="s">
        <v>2628</v>
      </c>
      <c r="F570" s="940"/>
      <c r="G570" s="953"/>
      <c r="H570" s="969"/>
      <c r="I570" s="956" t="s">
        <v>2629</v>
      </c>
      <c r="J570" s="958" t="s">
        <v>178</v>
      </c>
      <c r="K570" s="1213" t="s">
        <v>341</v>
      </c>
      <c r="L570" s="959">
        <v>48.0</v>
      </c>
      <c r="M570" s="960">
        <v>61.0</v>
      </c>
      <c r="N570" s="960">
        <v>40.0</v>
      </c>
      <c r="O570" s="960">
        <v>61.0</v>
      </c>
      <c r="P570" s="960">
        <v>40.0</v>
      </c>
      <c r="Q570" s="960">
        <v>50.0</v>
      </c>
      <c r="R570" s="960">
        <v>136.0</v>
      </c>
      <c r="S570" s="960">
        <v>199.0</v>
      </c>
      <c r="T570" s="960">
        <v>218.0</v>
      </c>
      <c r="U570" s="960">
        <f t="array" ref="U570">HLOOKUP($J570,'Type Chart'!$C$2:$T$20,2,false)*HLOOKUP($K570,'Type Chart'!$C$2:$U$20,2,false)</f>
        <v>1</v>
      </c>
      <c r="V570" s="960">
        <f t="array" ref="V570">HLOOKUP($J570,'Type Chart'!$C$2:$T$20,3,false)*HLOOKUP($K570,'Type Chart'!$C$2:$U$20,3,false)</f>
        <v>0.5</v>
      </c>
      <c r="W570" s="960">
        <f t="array" ref="W570">HLOOKUP($J570,'Type Chart'!$C$2:$T$20,4,false)*HLOOKUP($K570,'Type Chart'!$C$2:$U$20,4,false)</f>
        <v>2</v>
      </c>
      <c r="X570" s="960">
        <f t="array" ref="X570">HLOOKUP($J570,'Type Chart'!$C$2:$T$20,5,false)*HLOOKUP($K570,'Type Chart'!$C$2:$U$20,5,false)</f>
        <v>0.5</v>
      </c>
      <c r="Y570" s="960">
        <f t="array" ref="Y570">HLOOKUP($J570,'Type Chart'!$C$2:$T$20,6,false)*HLOOKUP($K570,'Type Chart'!$C$2:$U$20,6,false)</f>
        <v>2</v>
      </c>
      <c r="Z570" s="960">
        <f t="array" ref="Z570">HLOOKUP($J570,'Type Chart'!$C$2:$T$20,7,false)*HLOOKUP($K570,'Type Chart'!$C$2:$U$20,7,false)</f>
        <v>0.5</v>
      </c>
      <c r="AA570" s="960">
        <f t="array" ref="AA570">HLOOKUP($J570,'Type Chart'!$C$2:$T$20,8,false)*HLOOKUP($K570,'Type Chart'!$C$2:$U$20,8,false)</f>
        <v>0.25</v>
      </c>
      <c r="AB570" s="960">
        <f t="array" ref="AB570">HLOOKUP($J570,'Type Chart'!$C$2:$T$20,9,false)*HLOOKUP($K570,'Type Chart'!$C$2:$U$20,9,false)</f>
        <v>1</v>
      </c>
      <c r="AC570" s="960">
        <f t="array" ref="AC570">HLOOKUP($J570,'Type Chart'!$C$2:$T$20,10,false)*HLOOKUP($K570,'Type Chart'!$C$2:$U$20,10,false)</f>
        <v>1</v>
      </c>
      <c r="AD570" s="960">
        <f t="array" ref="AD570">HLOOKUP($J570,'Type Chart'!$C$2:$T$20,11,false)*HLOOKUP($K570,'Type Chart'!$C$2:$U$20,11,false)</f>
        <v>1</v>
      </c>
      <c r="AE570" s="960">
        <f t="array" ref="AE570">HLOOKUP($J570,'Type Chart'!$C$2:$T$20,12,false)*HLOOKUP($K570,'Type Chart'!$C$2:$U$20,12,false)</f>
        <v>1</v>
      </c>
      <c r="AF570" s="960">
        <f t="array" ref="AF570">HLOOKUP($J570,'Type Chart'!$C$2:$T$20,13,false)*HLOOKUP($K570,'Type Chart'!$C$2:$U$20,13,false)</f>
        <v>0.5</v>
      </c>
      <c r="AG570" s="960">
        <f t="array" ref="AG570">HLOOKUP($J570,'Type Chart'!$C$2:$T$20,14,false)*HLOOKUP($K570,'Type Chart'!$C$2:$U$20,14,false)</f>
        <v>1</v>
      </c>
      <c r="AH570" s="960">
        <f t="array" ref="AH570">HLOOKUP($J570,'Type Chart'!$C$2:$T$20,15,false)*HLOOKUP($K570,'Type Chart'!$C$2:$U$20,15,false)</f>
        <v>4</v>
      </c>
      <c r="AI570" s="960">
        <f t="array" ref="AI570">HLOOKUP($J570,'Type Chart'!$C$2:$T$20,16,false)*HLOOKUP($K570,'Type Chart'!$C$2:$U$20,16,false)</f>
        <v>1</v>
      </c>
      <c r="AJ570" s="960">
        <f t="array" ref="AJ570">HLOOKUP($J570,'Type Chart'!$C$2:$T$20,17,false)*HLOOKUP($K570,'Type Chart'!$C$2:$U$20,17,false)</f>
        <v>1</v>
      </c>
      <c r="AK570" s="960">
        <f t="array" ref="AK570">HLOOKUP($J570,'Type Chart'!$C$2:$T$20,18,false)*HLOOKUP($K570,'Type Chart'!$C$2:$U$20,18,false)</f>
        <v>0.5</v>
      </c>
      <c r="AL570" s="960">
        <f t="array" ref="AL570">HLOOKUP($J570,'Type Chart'!$C$2:$T$20,19,false)*HLOOKUP($K570,'Type Chart'!$C$2:$U$20,19,false)</f>
        <v>1</v>
      </c>
      <c r="AM570" s="964" t="s">
        <v>1359</v>
      </c>
      <c r="AN570" s="965" t="s">
        <v>1210</v>
      </c>
      <c r="AO570" s="966" t="s">
        <v>1417</v>
      </c>
      <c r="AP570" s="936"/>
      <c r="AQ570" s="967"/>
      <c r="AR570" s="968"/>
      <c r="AS570" s="936"/>
    </row>
    <row r="571" ht="15.75" customHeight="1">
      <c r="A571" s="936"/>
      <c r="B571" s="948" t="s">
        <v>2630</v>
      </c>
      <c r="C571" s="950" t="s">
        <v>2631</v>
      </c>
      <c r="D571" s="950" t="s">
        <v>2631</v>
      </c>
      <c r="E571" s="952" t="s">
        <v>2631</v>
      </c>
      <c r="F571" s="940"/>
      <c r="G571" s="953"/>
      <c r="H571" s="969"/>
      <c r="I571" s="956" t="s">
        <v>689</v>
      </c>
      <c r="J571" s="958" t="s">
        <v>178</v>
      </c>
      <c r="K571" s="1213" t="s">
        <v>341</v>
      </c>
      <c r="L571" s="959">
        <v>83.0</v>
      </c>
      <c r="M571" s="960">
        <v>106.0</v>
      </c>
      <c r="N571" s="960">
        <v>65.0</v>
      </c>
      <c r="O571" s="960">
        <v>86.0</v>
      </c>
      <c r="P571" s="960">
        <v>65.0</v>
      </c>
      <c r="Q571" s="960">
        <v>85.0</v>
      </c>
      <c r="R571" s="960">
        <v>206.0</v>
      </c>
      <c r="S571" s="960">
        <v>269.0</v>
      </c>
      <c r="T571" s="960">
        <v>295.0</v>
      </c>
      <c r="U571" s="960">
        <f t="array" ref="U571">HLOOKUP($J571,'Type Chart'!$C$2:$T$20,2,false)*HLOOKUP($K571,'Type Chart'!$C$2:$U$20,2,false)</f>
        <v>1</v>
      </c>
      <c r="V571" s="960">
        <f t="array" ref="V571">HLOOKUP($J571,'Type Chart'!$C$2:$T$20,3,false)*HLOOKUP($K571,'Type Chart'!$C$2:$U$20,3,false)</f>
        <v>0.5</v>
      </c>
      <c r="W571" s="960">
        <f t="array" ref="W571">HLOOKUP($J571,'Type Chart'!$C$2:$T$20,4,false)*HLOOKUP($K571,'Type Chart'!$C$2:$U$20,4,false)</f>
        <v>2</v>
      </c>
      <c r="X571" s="960">
        <f t="array" ref="X571">HLOOKUP($J571,'Type Chart'!$C$2:$T$20,5,false)*HLOOKUP($K571,'Type Chart'!$C$2:$U$20,5,false)</f>
        <v>0.5</v>
      </c>
      <c r="Y571" s="960">
        <f t="array" ref="Y571">HLOOKUP($J571,'Type Chart'!$C$2:$T$20,6,false)*HLOOKUP($K571,'Type Chart'!$C$2:$U$20,6,false)</f>
        <v>2</v>
      </c>
      <c r="Z571" s="960">
        <f t="array" ref="Z571">HLOOKUP($J571,'Type Chart'!$C$2:$T$20,7,false)*HLOOKUP($K571,'Type Chart'!$C$2:$U$20,7,false)</f>
        <v>0.5</v>
      </c>
      <c r="AA571" s="960">
        <f t="array" ref="AA571">HLOOKUP($J571,'Type Chart'!$C$2:$T$20,8,false)*HLOOKUP($K571,'Type Chart'!$C$2:$U$20,8,false)</f>
        <v>0.25</v>
      </c>
      <c r="AB571" s="960">
        <f t="array" ref="AB571">HLOOKUP($J571,'Type Chart'!$C$2:$T$20,9,false)*HLOOKUP($K571,'Type Chart'!$C$2:$U$20,9,false)</f>
        <v>1</v>
      </c>
      <c r="AC571" s="960">
        <f t="array" ref="AC571">HLOOKUP($J571,'Type Chart'!$C$2:$T$20,10,false)*HLOOKUP($K571,'Type Chart'!$C$2:$U$20,10,false)</f>
        <v>1</v>
      </c>
      <c r="AD571" s="960">
        <f t="array" ref="AD571">HLOOKUP($J571,'Type Chart'!$C$2:$T$20,11,false)*HLOOKUP($K571,'Type Chart'!$C$2:$U$20,11,false)</f>
        <v>1</v>
      </c>
      <c r="AE571" s="960">
        <f t="array" ref="AE571">HLOOKUP($J571,'Type Chart'!$C$2:$T$20,12,false)*HLOOKUP($K571,'Type Chart'!$C$2:$U$20,12,false)</f>
        <v>1</v>
      </c>
      <c r="AF571" s="960">
        <f t="array" ref="AF571">HLOOKUP($J571,'Type Chart'!$C$2:$T$20,13,false)*HLOOKUP($K571,'Type Chart'!$C$2:$U$20,13,false)</f>
        <v>0.5</v>
      </c>
      <c r="AG571" s="960">
        <f t="array" ref="AG571">HLOOKUP($J571,'Type Chart'!$C$2:$T$20,14,false)*HLOOKUP($K571,'Type Chart'!$C$2:$U$20,14,false)</f>
        <v>1</v>
      </c>
      <c r="AH571" s="960">
        <f t="array" ref="AH571">HLOOKUP($J571,'Type Chart'!$C$2:$T$20,15,false)*HLOOKUP($K571,'Type Chart'!$C$2:$U$20,15,false)</f>
        <v>4</v>
      </c>
      <c r="AI571" s="960">
        <f t="array" ref="AI571">HLOOKUP($J571,'Type Chart'!$C$2:$T$20,16,false)*HLOOKUP($K571,'Type Chart'!$C$2:$U$20,16,false)</f>
        <v>1</v>
      </c>
      <c r="AJ571" s="960">
        <f t="array" ref="AJ571">HLOOKUP($J571,'Type Chart'!$C$2:$T$20,17,false)*HLOOKUP($K571,'Type Chart'!$C$2:$U$20,17,false)</f>
        <v>1</v>
      </c>
      <c r="AK571" s="960">
        <f t="array" ref="AK571">HLOOKUP($J571,'Type Chart'!$C$2:$T$20,18,false)*HLOOKUP($K571,'Type Chart'!$C$2:$U$20,18,false)</f>
        <v>0.5</v>
      </c>
      <c r="AL571" s="960">
        <f t="array" ref="AL571">HLOOKUP($J571,'Type Chart'!$C$2:$T$20,19,false)*HLOOKUP($K571,'Type Chart'!$C$2:$U$20,19,false)</f>
        <v>1</v>
      </c>
      <c r="AM571" s="964" t="s">
        <v>1359</v>
      </c>
      <c r="AN571" s="965" t="s">
        <v>1210</v>
      </c>
      <c r="AO571" s="966" t="s">
        <v>1417</v>
      </c>
      <c r="AP571" s="936"/>
      <c r="AQ571" s="967"/>
      <c r="AR571" s="968"/>
      <c r="AS571" s="936"/>
    </row>
    <row r="572" ht="15.75" customHeight="1">
      <c r="A572" s="936"/>
      <c r="B572" s="948" t="s">
        <v>2632</v>
      </c>
      <c r="C572" s="950" t="s">
        <v>2633</v>
      </c>
      <c r="D572" s="950" t="s">
        <v>2633</v>
      </c>
      <c r="E572" s="952" t="s">
        <v>2633</v>
      </c>
      <c r="F572" s="940"/>
      <c r="G572" s="953"/>
      <c r="H572" s="969"/>
      <c r="I572" s="956" t="s">
        <v>2634</v>
      </c>
      <c r="J572" s="957" t="s">
        <v>209</v>
      </c>
      <c r="K572" s="984" t="s">
        <v>216</v>
      </c>
      <c r="L572" s="959">
        <v>74.0</v>
      </c>
      <c r="M572" s="960">
        <v>100.0</v>
      </c>
      <c r="N572" s="960">
        <v>72.0</v>
      </c>
      <c r="O572" s="960">
        <v>90.0</v>
      </c>
      <c r="P572" s="960">
        <v>72.0</v>
      </c>
      <c r="Q572" s="960">
        <v>46.0</v>
      </c>
      <c r="R572" s="960">
        <v>128.0</v>
      </c>
      <c r="S572" s="960">
        <v>191.0</v>
      </c>
      <c r="T572" s="960">
        <v>210.0</v>
      </c>
      <c r="U572" s="960">
        <f t="array" ref="U572">HLOOKUP($J572,'Type Chart'!$C$2:$T$20,2,false)*HLOOKUP($K572,'Type Chart'!$C$2:$U$20,2,false)</f>
        <v>1</v>
      </c>
      <c r="V572" s="960">
        <f t="array" ref="V572">HLOOKUP($J572,'Type Chart'!$C$2:$T$20,3,false)*HLOOKUP($K572,'Type Chart'!$C$2:$U$20,3,false)</f>
        <v>1</v>
      </c>
      <c r="W572" s="960">
        <f t="array" ref="W572">HLOOKUP($J572,'Type Chart'!$C$2:$T$20,4,false)*HLOOKUP($K572,'Type Chart'!$C$2:$U$20,4,false)</f>
        <v>2</v>
      </c>
      <c r="X572" s="960">
        <f t="array" ref="X572">HLOOKUP($J572,'Type Chart'!$C$2:$T$20,5,false)*HLOOKUP($K572,'Type Chart'!$C$2:$U$20,5,false)</f>
        <v>2</v>
      </c>
      <c r="Y572" s="960">
        <f t="array" ref="Y572">HLOOKUP($J572,'Type Chart'!$C$2:$T$20,6,false)*HLOOKUP($K572,'Type Chart'!$C$2:$U$20,6,false)</f>
        <v>0.5</v>
      </c>
      <c r="Z572" s="960">
        <f t="array" ref="Z572">HLOOKUP($J572,'Type Chart'!$C$2:$T$20,7,false)*HLOOKUP($K572,'Type Chart'!$C$2:$U$20,7,false)</f>
        <v>1</v>
      </c>
      <c r="AA572" s="960">
        <f t="array" ref="AA572">HLOOKUP($J572,'Type Chart'!$C$2:$T$20,8,false)*HLOOKUP($K572,'Type Chart'!$C$2:$U$20,8,false)</f>
        <v>2</v>
      </c>
      <c r="AB572" s="960">
        <f t="array" ref="AB572">HLOOKUP($J572,'Type Chart'!$C$2:$T$20,9,false)*HLOOKUP($K572,'Type Chart'!$C$2:$U$20,9,false)</f>
        <v>1</v>
      </c>
      <c r="AC572" s="960">
        <f t="array" ref="AC572">HLOOKUP($J572,'Type Chart'!$C$2:$T$20,10,false)*HLOOKUP($K572,'Type Chart'!$C$2:$U$20,10,false)</f>
        <v>1</v>
      </c>
      <c r="AD572" s="960">
        <f t="array" ref="AD572">HLOOKUP($J572,'Type Chart'!$C$2:$T$20,11,false)*HLOOKUP($K572,'Type Chart'!$C$2:$U$20,11,false)</f>
        <v>2</v>
      </c>
      <c r="AE572" s="960">
        <f t="array" ref="AE572">HLOOKUP($J572,'Type Chart'!$C$2:$T$20,12,false)*HLOOKUP($K572,'Type Chart'!$C$2:$U$20,12,false)</f>
        <v>0.5</v>
      </c>
      <c r="AF572" s="960">
        <f t="array" ref="AF572">HLOOKUP($J572,'Type Chart'!$C$2:$T$20,13,false)*HLOOKUP($K572,'Type Chart'!$C$2:$U$20,13,false)</f>
        <v>0.5</v>
      </c>
      <c r="AG572" s="960">
        <f t="array" ref="AG572">HLOOKUP($J572,'Type Chart'!$C$2:$T$20,14,false)*HLOOKUP($K572,'Type Chart'!$C$2:$U$20,14,false)</f>
        <v>0.5</v>
      </c>
      <c r="AH572" s="960">
        <f t="array" ref="AH572">HLOOKUP($J572,'Type Chart'!$C$2:$T$20,15,false)*HLOOKUP($K572,'Type Chart'!$C$2:$U$20,15,false)</f>
        <v>1</v>
      </c>
      <c r="AI572" s="960">
        <f t="array" ref="AI572">HLOOKUP($J572,'Type Chart'!$C$2:$T$20,16,false)*HLOOKUP($K572,'Type Chart'!$C$2:$U$20,16,false)</f>
        <v>2</v>
      </c>
      <c r="AJ572" s="960">
        <f t="array" ref="AJ572">HLOOKUP($J572,'Type Chart'!$C$2:$T$20,17,false)*HLOOKUP($K572,'Type Chart'!$C$2:$U$20,17,false)</f>
        <v>1</v>
      </c>
      <c r="AK572" s="960">
        <f t="array" ref="AK572">HLOOKUP($J572,'Type Chart'!$C$2:$T$20,18,false)*HLOOKUP($K572,'Type Chart'!$C$2:$U$20,18,false)</f>
        <v>1</v>
      </c>
      <c r="AL572" s="960">
        <f t="array" ref="AL572">HLOOKUP($J572,'Type Chart'!$C$2:$T$20,19,false)*HLOOKUP($K572,'Type Chart'!$C$2:$U$20,19,false)</f>
        <v>1</v>
      </c>
      <c r="AM572" s="964" t="s">
        <v>1437</v>
      </c>
      <c r="AN572" s="965"/>
      <c r="AO572" s="966"/>
      <c r="AP572" s="936"/>
      <c r="AQ572" s="967"/>
      <c r="AR572" s="968"/>
      <c r="AS572" s="936"/>
    </row>
    <row r="573" ht="15.75" customHeight="1">
      <c r="A573" s="936"/>
      <c r="B573" s="948" t="s">
        <v>2635</v>
      </c>
      <c r="C573" s="950" t="s">
        <v>2636</v>
      </c>
      <c r="D573" s="950" t="s">
        <v>2636</v>
      </c>
      <c r="E573" s="952" t="s">
        <v>2636</v>
      </c>
      <c r="F573" s="940"/>
      <c r="G573" s="953"/>
      <c r="H573" s="969"/>
      <c r="I573" s="956" t="s">
        <v>823</v>
      </c>
      <c r="J573" s="1056" t="s">
        <v>81</v>
      </c>
      <c r="K573" s="984" t="s">
        <v>216</v>
      </c>
      <c r="L573" s="959">
        <v>49.0</v>
      </c>
      <c r="M573" s="960">
        <v>49.0</v>
      </c>
      <c r="N573" s="960">
        <v>56.0</v>
      </c>
      <c r="O573" s="960">
        <v>49.0</v>
      </c>
      <c r="P573" s="960">
        <v>61.0</v>
      </c>
      <c r="Q573" s="960">
        <v>66.0</v>
      </c>
      <c r="R573" s="960">
        <v>168.0</v>
      </c>
      <c r="S573" s="960">
        <v>231.0</v>
      </c>
      <c r="T573" s="960">
        <v>254.0</v>
      </c>
      <c r="U573" s="960">
        <f t="array" ref="U573">HLOOKUP($J573,'Type Chart'!$C$2:$T$20,2,false)*HLOOKUP($K573,'Type Chart'!$C$2:$U$20,2,false)</f>
        <v>1</v>
      </c>
      <c r="V573" s="960">
        <f t="array" ref="V573">HLOOKUP($J573,'Type Chart'!$C$2:$T$20,3,false)*HLOOKUP($K573,'Type Chart'!$C$2:$U$20,3,false)</f>
        <v>1</v>
      </c>
      <c r="W573" s="960">
        <f t="array" ref="W573">HLOOKUP($J573,'Type Chart'!$C$2:$T$20,4,false)*HLOOKUP($K573,'Type Chart'!$C$2:$U$20,4,false)</f>
        <v>1</v>
      </c>
      <c r="X573" s="960">
        <f t="array" ref="X573">HLOOKUP($J573,'Type Chart'!$C$2:$T$20,5,false)*HLOOKUP($K573,'Type Chart'!$C$2:$U$20,5,false)</f>
        <v>1</v>
      </c>
      <c r="Y573" s="960">
        <f t="array" ref="Y573">HLOOKUP($J573,'Type Chart'!$C$2:$T$20,6,false)*HLOOKUP($K573,'Type Chart'!$C$2:$U$20,6,false)</f>
        <v>1</v>
      </c>
      <c r="Z573" s="960">
        <f t="array" ref="Z573">HLOOKUP($J573,'Type Chart'!$C$2:$T$20,7,false)*HLOOKUP($K573,'Type Chart'!$C$2:$U$20,7,false)</f>
        <v>1</v>
      </c>
      <c r="AA573" s="960">
        <f t="array" ref="AA573">HLOOKUP($J573,'Type Chart'!$C$2:$T$20,8,false)*HLOOKUP($K573,'Type Chart'!$C$2:$U$20,8,false)</f>
        <v>1</v>
      </c>
      <c r="AB573" s="960">
        <f t="array" ref="AB573">HLOOKUP($J573,'Type Chart'!$C$2:$T$20,9,false)*HLOOKUP($K573,'Type Chart'!$C$2:$U$20,9,false)</f>
        <v>1</v>
      </c>
      <c r="AC573" s="960">
        <f t="array" ref="AC573">HLOOKUP($J573,'Type Chart'!$C$2:$T$20,10,false)*HLOOKUP($K573,'Type Chart'!$C$2:$U$20,10,false)</f>
        <v>0.5</v>
      </c>
      <c r="AD573" s="960">
        <f t="array" ref="AD573">HLOOKUP($J573,'Type Chart'!$C$2:$T$20,11,false)*HLOOKUP($K573,'Type Chart'!$C$2:$U$20,11,false)</f>
        <v>0.5</v>
      </c>
      <c r="AE573" s="960">
        <f t="array" ref="AE573">HLOOKUP($J573,'Type Chart'!$C$2:$T$20,12,false)*HLOOKUP($K573,'Type Chart'!$C$2:$U$20,12,false)</f>
        <v>0.5</v>
      </c>
      <c r="AF573" s="960">
        <f t="array" ref="AF573">HLOOKUP($J573,'Type Chart'!$C$2:$T$20,13,false)*HLOOKUP($K573,'Type Chart'!$C$2:$U$20,13,false)</f>
        <v>2</v>
      </c>
      <c r="AG573" s="960">
        <f t="array" ref="AG573">HLOOKUP($J573,'Type Chart'!$C$2:$T$20,14,false)*HLOOKUP($K573,'Type Chart'!$C$2:$U$20,14,false)</f>
        <v>2</v>
      </c>
      <c r="AH573" s="960">
        <f t="array" ref="AH573">HLOOKUP($J573,'Type Chart'!$C$2:$T$20,15,false)*HLOOKUP($K573,'Type Chart'!$C$2:$U$20,15,false)</f>
        <v>1</v>
      </c>
      <c r="AI573" s="960">
        <f t="array" ref="AI573">HLOOKUP($J573,'Type Chart'!$C$2:$T$20,16,false)*HLOOKUP($K573,'Type Chart'!$C$2:$U$20,16,false)</f>
        <v>0.5</v>
      </c>
      <c r="AJ573" s="960">
        <f t="array" ref="AJ573">HLOOKUP($J573,'Type Chart'!$C$2:$T$20,17,false)*HLOOKUP($K573,'Type Chart'!$C$2:$U$20,17,false)</f>
        <v>1</v>
      </c>
      <c r="AK573" s="960">
        <f t="array" ref="AK573">HLOOKUP($J573,'Type Chart'!$C$2:$T$20,18,false)*HLOOKUP($K573,'Type Chart'!$C$2:$U$20,18,false)</f>
        <v>1</v>
      </c>
      <c r="AL573" s="960">
        <f t="array" ref="AL573">HLOOKUP($J573,'Type Chart'!$C$2:$T$20,19,false)*HLOOKUP($K573,'Type Chart'!$C$2:$U$20,19,false)</f>
        <v>1</v>
      </c>
      <c r="AM573" s="964" t="s">
        <v>1259</v>
      </c>
      <c r="AN573" s="965" t="s">
        <v>2282</v>
      </c>
      <c r="AO573" s="966" t="s">
        <v>1542</v>
      </c>
      <c r="AP573" s="936"/>
      <c r="AQ573" s="967"/>
      <c r="AR573" s="968"/>
      <c r="AS573" s="936"/>
    </row>
    <row r="574" ht="15.75" customHeight="1">
      <c r="A574" s="936"/>
      <c r="B574" s="948" t="s">
        <v>2637</v>
      </c>
      <c r="C574" s="950" t="s">
        <v>2638</v>
      </c>
      <c r="D574" s="950" t="s">
        <v>2638</v>
      </c>
      <c r="E574" s="952" t="s">
        <v>2638</v>
      </c>
      <c r="F574" s="940"/>
      <c r="G574" s="953"/>
      <c r="H574" s="969"/>
      <c r="I574" s="998" t="s">
        <v>845</v>
      </c>
      <c r="J574" s="1056" t="s">
        <v>81</v>
      </c>
      <c r="K574" s="984" t="s">
        <v>216</v>
      </c>
      <c r="L574" s="959">
        <v>69.0</v>
      </c>
      <c r="M574" s="960">
        <v>69.0</v>
      </c>
      <c r="N574" s="960">
        <v>76.0</v>
      </c>
      <c r="O574" s="960">
        <v>69.0</v>
      </c>
      <c r="P574" s="960">
        <v>86.0</v>
      </c>
      <c r="Q574" s="960">
        <v>91.0</v>
      </c>
      <c r="R574" s="960">
        <v>218.0</v>
      </c>
      <c r="S574" s="960">
        <v>281.0</v>
      </c>
      <c r="T574" s="960">
        <v>309.0</v>
      </c>
      <c r="U574" s="960">
        <f t="array" ref="U574">HLOOKUP($J574,'Type Chart'!$C$2:$T$20,2,false)*HLOOKUP($K574,'Type Chart'!$C$2:$U$20,2,false)</f>
        <v>1</v>
      </c>
      <c r="V574" s="960">
        <f t="array" ref="V574">HLOOKUP($J574,'Type Chart'!$C$2:$T$20,3,false)*HLOOKUP($K574,'Type Chart'!$C$2:$U$20,3,false)</f>
        <v>1</v>
      </c>
      <c r="W574" s="960">
        <f t="array" ref="W574">HLOOKUP($J574,'Type Chart'!$C$2:$T$20,4,false)*HLOOKUP($K574,'Type Chart'!$C$2:$U$20,4,false)</f>
        <v>1</v>
      </c>
      <c r="X574" s="960">
        <f t="array" ref="X574">HLOOKUP($J574,'Type Chart'!$C$2:$T$20,5,false)*HLOOKUP($K574,'Type Chart'!$C$2:$U$20,5,false)</f>
        <v>1</v>
      </c>
      <c r="Y574" s="960">
        <f t="array" ref="Y574">HLOOKUP($J574,'Type Chart'!$C$2:$T$20,6,false)*HLOOKUP($K574,'Type Chart'!$C$2:$U$20,6,false)</f>
        <v>1</v>
      </c>
      <c r="Z574" s="960">
        <f t="array" ref="Z574">HLOOKUP($J574,'Type Chart'!$C$2:$T$20,7,false)*HLOOKUP($K574,'Type Chart'!$C$2:$U$20,7,false)</f>
        <v>1</v>
      </c>
      <c r="AA574" s="960">
        <f t="array" ref="AA574">HLOOKUP($J574,'Type Chart'!$C$2:$T$20,8,false)*HLOOKUP($K574,'Type Chart'!$C$2:$U$20,8,false)</f>
        <v>1</v>
      </c>
      <c r="AB574" s="960">
        <f t="array" ref="AB574">HLOOKUP($J574,'Type Chart'!$C$2:$T$20,9,false)*HLOOKUP($K574,'Type Chart'!$C$2:$U$20,9,false)</f>
        <v>1</v>
      </c>
      <c r="AC574" s="960">
        <f t="array" ref="AC574">HLOOKUP($J574,'Type Chart'!$C$2:$T$20,10,false)*HLOOKUP($K574,'Type Chart'!$C$2:$U$20,10,false)</f>
        <v>0.5</v>
      </c>
      <c r="AD574" s="960">
        <f t="array" ref="AD574">HLOOKUP($J574,'Type Chart'!$C$2:$T$20,11,false)*HLOOKUP($K574,'Type Chart'!$C$2:$U$20,11,false)</f>
        <v>0.5</v>
      </c>
      <c r="AE574" s="960">
        <f t="array" ref="AE574">HLOOKUP($J574,'Type Chart'!$C$2:$T$20,12,false)*HLOOKUP($K574,'Type Chart'!$C$2:$U$20,12,false)</f>
        <v>0.5</v>
      </c>
      <c r="AF574" s="960">
        <f t="array" ref="AF574">HLOOKUP($J574,'Type Chart'!$C$2:$T$20,13,false)*HLOOKUP($K574,'Type Chart'!$C$2:$U$20,13,false)</f>
        <v>2</v>
      </c>
      <c r="AG574" s="960">
        <f t="array" ref="AG574">HLOOKUP($J574,'Type Chart'!$C$2:$T$20,14,false)*HLOOKUP($K574,'Type Chart'!$C$2:$U$20,14,false)</f>
        <v>2</v>
      </c>
      <c r="AH574" s="960">
        <f t="array" ref="AH574">HLOOKUP($J574,'Type Chart'!$C$2:$T$20,15,false)*HLOOKUP($K574,'Type Chart'!$C$2:$U$20,15,false)</f>
        <v>1</v>
      </c>
      <c r="AI574" s="960">
        <f t="array" ref="AI574">HLOOKUP($J574,'Type Chart'!$C$2:$T$20,16,false)*HLOOKUP($K574,'Type Chart'!$C$2:$U$20,16,false)</f>
        <v>0.5</v>
      </c>
      <c r="AJ574" s="960">
        <f t="array" ref="AJ574">HLOOKUP($J574,'Type Chart'!$C$2:$T$20,17,false)*HLOOKUP($K574,'Type Chart'!$C$2:$U$20,17,false)</f>
        <v>1</v>
      </c>
      <c r="AK574" s="960">
        <f t="array" ref="AK574">HLOOKUP($J574,'Type Chart'!$C$2:$T$20,18,false)*HLOOKUP($K574,'Type Chart'!$C$2:$U$20,18,false)</f>
        <v>1</v>
      </c>
      <c r="AL574" s="960">
        <f t="array" ref="AL574">HLOOKUP($J574,'Type Chart'!$C$2:$T$20,19,false)*HLOOKUP($K574,'Type Chart'!$C$2:$U$20,19,false)</f>
        <v>1</v>
      </c>
      <c r="AM574" s="1145" t="s">
        <v>1259</v>
      </c>
      <c r="AN574" s="965" t="s">
        <v>2282</v>
      </c>
      <c r="AO574" s="1146" t="s">
        <v>1542</v>
      </c>
      <c r="AP574" s="936"/>
      <c r="AQ574" s="967"/>
      <c r="AR574" s="968"/>
      <c r="AS574" s="936"/>
    </row>
    <row r="575" ht="15.75" customHeight="1">
      <c r="A575" s="936"/>
      <c r="B575" s="948" t="s">
        <v>2639</v>
      </c>
      <c r="C575" s="950" t="s">
        <v>2640</v>
      </c>
      <c r="D575" s="950" t="s">
        <v>2640</v>
      </c>
      <c r="E575" s="952" t="s">
        <v>2640</v>
      </c>
      <c r="F575" s="940"/>
      <c r="G575" s="953"/>
      <c r="H575" s="969"/>
      <c r="I575" s="956" t="s">
        <v>2641</v>
      </c>
      <c r="J575" s="1056" t="s">
        <v>81</v>
      </c>
      <c r="K575" s="1001" t="s">
        <v>128</v>
      </c>
      <c r="L575" s="959">
        <v>45.0</v>
      </c>
      <c r="M575" s="960">
        <v>20.0</v>
      </c>
      <c r="N575" s="960">
        <v>50.0</v>
      </c>
      <c r="O575" s="960">
        <v>60.0</v>
      </c>
      <c r="P575" s="960">
        <v>120.0</v>
      </c>
      <c r="Q575" s="960">
        <v>50.0</v>
      </c>
      <c r="R575" s="960">
        <v>136.0</v>
      </c>
      <c r="S575" s="960">
        <v>199.0</v>
      </c>
      <c r="T575" s="960">
        <v>218.0</v>
      </c>
      <c r="U575" s="960">
        <f t="array" ref="U575">HLOOKUP($J575,'Type Chart'!$C$2:$T$20,2,false)*HLOOKUP($K575,'Type Chart'!$C$2:$U$20,2,false)</f>
        <v>1</v>
      </c>
      <c r="V575" s="960">
        <f t="array" ref="V575">HLOOKUP($J575,'Type Chart'!$C$2:$T$20,3,false)*HLOOKUP($K575,'Type Chart'!$C$2:$U$20,3,false)</f>
        <v>0.5</v>
      </c>
      <c r="W575" s="960">
        <f t="array" ref="W575">HLOOKUP($J575,'Type Chart'!$C$2:$T$20,4,false)*HLOOKUP($K575,'Type Chart'!$C$2:$U$20,4,false)</f>
        <v>1</v>
      </c>
      <c r="X575" s="960">
        <f t="array" ref="X575">HLOOKUP($J575,'Type Chart'!$C$2:$T$20,5,false)*HLOOKUP($K575,'Type Chart'!$C$2:$U$20,5,false)</f>
        <v>1</v>
      </c>
      <c r="Y575" s="960">
        <f t="array" ref="Y575">HLOOKUP($J575,'Type Chart'!$C$2:$T$20,6,false)*HLOOKUP($K575,'Type Chart'!$C$2:$U$20,6,false)</f>
        <v>0</v>
      </c>
      <c r="Z575" s="960">
        <f t="array" ref="Z575">HLOOKUP($J575,'Type Chart'!$C$2:$T$20,7,false)*HLOOKUP($K575,'Type Chart'!$C$2:$U$20,7,false)</f>
        <v>2</v>
      </c>
      <c r="AA575" s="960">
        <f t="array" ref="AA575">HLOOKUP($J575,'Type Chart'!$C$2:$T$20,8,false)*HLOOKUP($K575,'Type Chart'!$C$2:$U$20,8,false)</f>
        <v>0.5</v>
      </c>
      <c r="AB575" s="960">
        <f t="array" ref="AB575">HLOOKUP($J575,'Type Chart'!$C$2:$T$20,9,false)*HLOOKUP($K575,'Type Chart'!$C$2:$U$20,9,false)</f>
        <v>1</v>
      </c>
      <c r="AC575" s="960">
        <f t="array" ref="AC575">HLOOKUP($J575,'Type Chart'!$C$2:$T$20,10,false)*HLOOKUP($K575,'Type Chart'!$C$2:$U$20,10,false)</f>
        <v>0.5</v>
      </c>
      <c r="AD575" s="960">
        <f t="array" ref="AD575">HLOOKUP($J575,'Type Chart'!$C$2:$T$20,11,false)*HLOOKUP($K575,'Type Chart'!$C$2:$U$20,11,false)</f>
        <v>0.5</v>
      </c>
      <c r="AE575" s="960">
        <f t="array" ref="AE575">HLOOKUP($J575,'Type Chart'!$C$2:$T$20,12,false)*HLOOKUP($K575,'Type Chart'!$C$2:$U$20,12,false)</f>
        <v>0.5</v>
      </c>
      <c r="AF575" s="960">
        <f t="array" ref="AF575">HLOOKUP($J575,'Type Chart'!$C$2:$T$20,13,false)*HLOOKUP($K575,'Type Chart'!$C$2:$U$20,13,false)</f>
        <v>1</v>
      </c>
      <c r="AG575" s="960">
        <f t="array" ref="AG575">HLOOKUP($J575,'Type Chart'!$C$2:$T$20,14,false)*HLOOKUP($K575,'Type Chart'!$C$2:$U$20,14,false)</f>
        <v>4</v>
      </c>
      <c r="AH575" s="960">
        <f t="array" ref="AH575">HLOOKUP($J575,'Type Chart'!$C$2:$T$20,15,false)*HLOOKUP($K575,'Type Chart'!$C$2:$U$20,15,false)</f>
        <v>1</v>
      </c>
      <c r="AI575" s="960">
        <f t="array" ref="AI575">HLOOKUP($J575,'Type Chart'!$C$2:$T$20,16,false)*HLOOKUP($K575,'Type Chart'!$C$2:$U$20,16,false)</f>
        <v>1</v>
      </c>
      <c r="AJ575" s="960">
        <f t="array" ref="AJ575">HLOOKUP($J575,'Type Chart'!$C$2:$T$20,17,false)*HLOOKUP($K575,'Type Chart'!$C$2:$U$20,17,false)</f>
        <v>1</v>
      </c>
      <c r="AK575" s="960">
        <f t="array" ref="AK575">HLOOKUP($J575,'Type Chart'!$C$2:$T$20,18,false)*HLOOKUP($K575,'Type Chart'!$C$2:$U$20,18,false)</f>
        <v>1</v>
      </c>
      <c r="AL575" s="960">
        <f t="array" ref="AL575">HLOOKUP($J575,'Type Chart'!$C$2:$T$20,19,false)*HLOOKUP($K575,'Type Chart'!$C$2:$U$20,19,false)</f>
        <v>1</v>
      </c>
      <c r="AM575" s="964" t="s">
        <v>1259</v>
      </c>
      <c r="AN575" s="965" t="s">
        <v>1283</v>
      </c>
      <c r="AO575" s="966" t="s">
        <v>1542</v>
      </c>
      <c r="AP575" s="936"/>
      <c r="AQ575" s="967"/>
      <c r="AR575" s="968"/>
      <c r="AS575" s="936"/>
    </row>
    <row r="576" ht="15.75" customHeight="1">
      <c r="A576" s="936"/>
      <c r="B576" s="948" t="s">
        <v>2642</v>
      </c>
      <c r="C576" s="950" t="s">
        <v>2643</v>
      </c>
      <c r="D576" s="950" t="s">
        <v>2643</v>
      </c>
      <c r="E576" s="952" t="s">
        <v>2643</v>
      </c>
      <c r="F576" s="940"/>
      <c r="G576" s="953"/>
      <c r="H576" s="969"/>
      <c r="I576" s="956" t="s">
        <v>865</v>
      </c>
      <c r="J576" s="957" t="s">
        <v>209</v>
      </c>
      <c r="K576" s="1205" t="s">
        <v>345</v>
      </c>
      <c r="L576" s="959">
        <v>60.0</v>
      </c>
      <c r="M576" s="960">
        <v>62.0</v>
      </c>
      <c r="N576" s="960">
        <v>50.0</v>
      </c>
      <c r="O576" s="960">
        <v>62.0</v>
      </c>
      <c r="P576" s="960">
        <v>60.0</v>
      </c>
      <c r="Q576" s="960">
        <v>40.0</v>
      </c>
      <c r="R576" s="960">
        <v>116.0</v>
      </c>
      <c r="S576" s="960">
        <v>179.0</v>
      </c>
      <c r="T576" s="960">
        <v>196.0</v>
      </c>
      <c r="U576" s="960">
        <f t="array" ref="U576">HLOOKUP($J576,'Type Chart'!$C$2:$T$20,2,false)*HLOOKUP($K576,'Type Chart'!$C$2:$U$20,2,false)</f>
        <v>1</v>
      </c>
      <c r="V576" s="960">
        <f t="array" ref="V576">HLOOKUP($J576,'Type Chart'!$C$2:$T$20,3,false)*HLOOKUP($K576,'Type Chart'!$C$2:$U$20,3,false)</f>
        <v>2</v>
      </c>
      <c r="W576" s="960">
        <f t="array" ref="W576">HLOOKUP($J576,'Type Chart'!$C$2:$T$20,4,false)*HLOOKUP($K576,'Type Chart'!$C$2:$U$20,4,false)</f>
        <v>2</v>
      </c>
      <c r="X576" s="960">
        <f t="array" ref="X576">HLOOKUP($J576,'Type Chart'!$C$2:$T$20,5,false)*HLOOKUP($K576,'Type Chart'!$C$2:$U$20,5,false)</f>
        <v>2</v>
      </c>
      <c r="Y576" s="960">
        <f t="array" ref="Y576">HLOOKUP($J576,'Type Chart'!$C$2:$T$20,6,false)*HLOOKUP($K576,'Type Chart'!$C$2:$U$20,6,false)</f>
        <v>0.5</v>
      </c>
      <c r="Z576" s="960">
        <f t="array" ref="Z576">HLOOKUP($J576,'Type Chart'!$C$2:$T$20,7,false)*HLOOKUP($K576,'Type Chart'!$C$2:$U$20,7,false)</f>
        <v>2</v>
      </c>
      <c r="AA576" s="960">
        <f t="array" ref="AA576">HLOOKUP($J576,'Type Chart'!$C$2:$T$20,8,false)*HLOOKUP($K576,'Type Chart'!$C$2:$U$20,8,false)</f>
        <v>2</v>
      </c>
      <c r="AB576" s="960">
        <f t="array" ref="AB576">HLOOKUP($J576,'Type Chart'!$C$2:$T$20,9,false)*HLOOKUP($K576,'Type Chart'!$C$2:$U$20,9,false)</f>
        <v>1</v>
      </c>
      <c r="AC576" s="960">
        <f t="array" ref="AC576">HLOOKUP($J576,'Type Chart'!$C$2:$T$20,10,false)*HLOOKUP($K576,'Type Chart'!$C$2:$U$20,10,false)</f>
        <v>2</v>
      </c>
      <c r="AD576" s="960">
        <f t="array" ref="AD576">HLOOKUP($J576,'Type Chart'!$C$2:$T$20,11,false)*HLOOKUP($K576,'Type Chart'!$C$2:$U$20,11,false)</f>
        <v>4</v>
      </c>
      <c r="AE576" s="960">
        <f t="array" ref="AE576">HLOOKUP($J576,'Type Chart'!$C$2:$T$20,12,false)*HLOOKUP($K576,'Type Chart'!$C$2:$U$20,12,false)</f>
        <v>0.5</v>
      </c>
      <c r="AF576" s="960">
        <f t="array" ref="AF576">HLOOKUP($J576,'Type Chart'!$C$2:$T$20,13,false)*HLOOKUP($K576,'Type Chart'!$C$2:$U$20,13,false)</f>
        <v>0.5</v>
      </c>
      <c r="AG576" s="960">
        <f t="array" ref="AG576">HLOOKUP($J576,'Type Chart'!$C$2:$T$20,14,false)*HLOOKUP($K576,'Type Chart'!$C$2:$U$20,14,false)</f>
        <v>0.5</v>
      </c>
      <c r="AH576" s="960">
        <f t="array" ref="AH576">HLOOKUP($J576,'Type Chart'!$C$2:$T$20,15,false)*HLOOKUP($K576,'Type Chart'!$C$2:$U$20,15,false)</f>
        <v>1</v>
      </c>
      <c r="AI576" s="960">
        <f t="array" ref="AI576">HLOOKUP($J576,'Type Chart'!$C$2:$T$20,16,false)*HLOOKUP($K576,'Type Chart'!$C$2:$U$20,16,false)</f>
        <v>1</v>
      </c>
      <c r="AJ576" s="960">
        <f t="array" ref="AJ576">HLOOKUP($J576,'Type Chart'!$C$2:$T$20,17,false)*HLOOKUP($K576,'Type Chart'!$C$2:$U$20,17,false)</f>
        <v>1</v>
      </c>
      <c r="AK576" s="960">
        <f t="array" ref="AK576">HLOOKUP($J576,'Type Chart'!$C$2:$T$20,18,false)*HLOOKUP($K576,'Type Chart'!$C$2:$U$20,18,false)</f>
        <v>1</v>
      </c>
      <c r="AL576" s="960">
        <f t="array" ref="AL576">HLOOKUP($J576,'Type Chart'!$C$2:$T$20,19,false)*HLOOKUP($K576,'Type Chart'!$C$2:$U$20,19,false)</f>
        <v>1</v>
      </c>
      <c r="AM576" s="964" t="s">
        <v>1176</v>
      </c>
      <c r="AN576" s="965"/>
      <c r="AO576" s="966" t="s">
        <v>1468</v>
      </c>
      <c r="AP576" s="936"/>
      <c r="AQ576" s="967"/>
      <c r="AR576" s="968"/>
      <c r="AS576" s="936"/>
    </row>
    <row r="577" ht="15.75" customHeight="1">
      <c r="A577" s="936"/>
      <c r="B577" s="948" t="s">
        <v>2644</v>
      </c>
      <c r="C577" s="950" t="s">
        <v>2645</v>
      </c>
      <c r="D577" s="950" t="s">
        <v>2645</v>
      </c>
      <c r="E577" s="952" t="s">
        <v>2645</v>
      </c>
      <c r="F577" s="940"/>
      <c r="G577" s="953"/>
      <c r="H577" s="969"/>
      <c r="I577" s="956" t="s">
        <v>580</v>
      </c>
      <c r="J577" s="957" t="s">
        <v>209</v>
      </c>
      <c r="K577" s="1205" t="s">
        <v>345</v>
      </c>
      <c r="L577" s="959">
        <v>90.0</v>
      </c>
      <c r="M577" s="960">
        <v>92.0</v>
      </c>
      <c r="N577" s="960">
        <v>75.0</v>
      </c>
      <c r="O577" s="960">
        <v>92.0</v>
      </c>
      <c r="P577" s="960">
        <v>85.0</v>
      </c>
      <c r="Q577" s="960">
        <v>60.0</v>
      </c>
      <c r="R577" s="960">
        <v>156.0</v>
      </c>
      <c r="S577" s="960">
        <v>219.0</v>
      </c>
      <c r="T577" s="960">
        <v>240.0</v>
      </c>
      <c r="U577" s="960">
        <f t="array" ref="U577">HLOOKUP($J577,'Type Chart'!$C$2:$T$20,2,false)*HLOOKUP($K577,'Type Chart'!$C$2:$U$20,2,false)</f>
        <v>1</v>
      </c>
      <c r="V577" s="960">
        <f t="array" ref="V577">HLOOKUP($J577,'Type Chart'!$C$2:$T$20,3,false)*HLOOKUP($K577,'Type Chart'!$C$2:$U$20,3,false)</f>
        <v>2</v>
      </c>
      <c r="W577" s="960">
        <f t="array" ref="W577">HLOOKUP($J577,'Type Chart'!$C$2:$T$20,4,false)*HLOOKUP($K577,'Type Chart'!$C$2:$U$20,4,false)</f>
        <v>2</v>
      </c>
      <c r="X577" s="960">
        <f t="array" ref="X577">HLOOKUP($J577,'Type Chart'!$C$2:$T$20,5,false)*HLOOKUP($K577,'Type Chart'!$C$2:$U$20,5,false)</f>
        <v>2</v>
      </c>
      <c r="Y577" s="960">
        <f t="array" ref="Y577">HLOOKUP($J577,'Type Chart'!$C$2:$T$20,6,false)*HLOOKUP($K577,'Type Chart'!$C$2:$U$20,6,false)</f>
        <v>0.5</v>
      </c>
      <c r="Z577" s="960">
        <f t="array" ref="Z577">HLOOKUP($J577,'Type Chart'!$C$2:$T$20,7,false)*HLOOKUP($K577,'Type Chart'!$C$2:$U$20,7,false)</f>
        <v>2</v>
      </c>
      <c r="AA577" s="960">
        <f t="array" ref="AA577">HLOOKUP($J577,'Type Chart'!$C$2:$T$20,8,false)*HLOOKUP($K577,'Type Chart'!$C$2:$U$20,8,false)</f>
        <v>2</v>
      </c>
      <c r="AB577" s="960">
        <f t="array" ref="AB577">HLOOKUP($J577,'Type Chart'!$C$2:$T$20,9,false)*HLOOKUP($K577,'Type Chart'!$C$2:$U$20,9,false)</f>
        <v>1</v>
      </c>
      <c r="AC577" s="960">
        <f t="array" ref="AC577">HLOOKUP($J577,'Type Chart'!$C$2:$T$20,10,false)*HLOOKUP($K577,'Type Chart'!$C$2:$U$20,10,false)</f>
        <v>2</v>
      </c>
      <c r="AD577" s="960">
        <f t="array" ref="AD577">HLOOKUP($J577,'Type Chart'!$C$2:$T$20,11,false)*HLOOKUP($K577,'Type Chart'!$C$2:$U$20,11,false)</f>
        <v>4</v>
      </c>
      <c r="AE577" s="960">
        <f t="array" ref="AE577">HLOOKUP($J577,'Type Chart'!$C$2:$T$20,12,false)*HLOOKUP($K577,'Type Chart'!$C$2:$U$20,12,false)</f>
        <v>0.5</v>
      </c>
      <c r="AF577" s="960">
        <f t="array" ref="AF577">HLOOKUP($J577,'Type Chart'!$C$2:$T$20,13,false)*HLOOKUP($K577,'Type Chart'!$C$2:$U$20,13,false)</f>
        <v>0.5</v>
      </c>
      <c r="AG577" s="960">
        <f t="array" ref="AG577">HLOOKUP($J577,'Type Chart'!$C$2:$T$20,14,false)*HLOOKUP($K577,'Type Chart'!$C$2:$U$20,14,false)</f>
        <v>0.5</v>
      </c>
      <c r="AH577" s="960">
        <f t="array" ref="AH577">HLOOKUP($J577,'Type Chart'!$C$2:$T$20,15,false)*HLOOKUP($K577,'Type Chart'!$C$2:$U$20,15,false)</f>
        <v>1</v>
      </c>
      <c r="AI577" s="960">
        <f t="array" ref="AI577">HLOOKUP($J577,'Type Chart'!$C$2:$T$20,16,false)*HLOOKUP($K577,'Type Chart'!$C$2:$U$20,16,false)</f>
        <v>1</v>
      </c>
      <c r="AJ577" s="960">
        <f t="array" ref="AJ577">HLOOKUP($J577,'Type Chart'!$C$2:$T$20,17,false)*HLOOKUP($K577,'Type Chart'!$C$2:$U$20,17,false)</f>
        <v>1</v>
      </c>
      <c r="AK577" s="960">
        <f t="array" ref="AK577">HLOOKUP($J577,'Type Chart'!$C$2:$T$20,18,false)*HLOOKUP($K577,'Type Chart'!$C$2:$U$20,18,false)</f>
        <v>1</v>
      </c>
      <c r="AL577" s="960">
        <f t="array" ref="AL577">HLOOKUP($J577,'Type Chart'!$C$2:$T$20,19,false)*HLOOKUP($K577,'Type Chart'!$C$2:$U$20,19,false)</f>
        <v>1</v>
      </c>
      <c r="AM577" s="964" t="s">
        <v>1176</v>
      </c>
      <c r="AN577" s="965"/>
      <c r="AO577" s="966" t="s">
        <v>1468</v>
      </c>
      <c r="AP577" s="936"/>
      <c r="AQ577" s="967"/>
      <c r="AR577" s="968"/>
      <c r="AS577" s="936"/>
    </row>
    <row r="578" ht="15.75" customHeight="1">
      <c r="A578" s="936"/>
      <c r="B578" s="948" t="s">
        <v>2646</v>
      </c>
      <c r="C578" s="950" t="s">
        <v>2647</v>
      </c>
      <c r="D578" s="950" t="s">
        <v>2647</v>
      </c>
      <c r="E578" s="952" t="s">
        <v>2647</v>
      </c>
      <c r="F578" s="940"/>
      <c r="G578" s="953"/>
      <c r="H578" s="969"/>
      <c r="I578" s="956" t="s">
        <v>2648</v>
      </c>
      <c r="J578" s="957" t="s">
        <v>209</v>
      </c>
      <c r="K578" s="1205" t="s">
        <v>345</v>
      </c>
      <c r="L578" s="959">
        <v>90.0</v>
      </c>
      <c r="M578" s="960">
        <v>132.0</v>
      </c>
      <c r="N578" s="960">
        <v>105.0</v>
      </c>
      <c r="O578" s="960">
        <v>132.0</v>
      </c>
      <c r="P578" s="960">
        <v>105.0</v>
      </c>
      <c r="Q578" s="960">
        <v>30.0</v>
      </c>
      <c r="R578" s="960">
        <v>96.0</v>
      </c>
      <c r="S578" s="960">
        <v>159.0</v>
      </c>
      <c r="T578" s="960">
        <v>174.0</v>
      </c>
      <c r="U578" s="960">
        <f t="array" ref="U578">HLOOKUP($J578,'Type Chart'!$C$2:$T$20,2,false)*HLOOKUP($K578,'Type Chart'!$C$2:$U$20,2,false)</f>
        <v>1</v>
      </c>
      <c r="V578" s="960">
        <f t="array" ref="V578">HLOOKUP($J578,'Type Chart'!$C$2:$T$20,3,false)*HLOOKUP($K578,'Type Chart'!$C$2:$U$20,3,false)</f>
        <v>2</v>
      </c>
      <c r="W578" s="960">
        <f t="array" ref="W578">HLOOKUP($J578,'Type Chart'!$C$2:$T$20,4,false)*HLOOKUP($K578,'Type Chart'!$C$2:$U$20,4,false)</f>
        <v>2</v>
      </c>
      <c r="X578" s="960">
        <f t="array" ref="X578">HLOOKUP($J578,'Type Chart'!$C$2:$T$20,5,false)*HLOOKUP($K578,'Type Chart'!$C$2:$U$20,5,false)</f>
        <v>2</v>
      </c>
      <c r="Y578" s="960">
        <f t="array" ref="Y578">HLOOKUP($J578,'Type Chart'!$C$2:$T$20,6,false)*HLOOKUP($K578,'Type Chart'!$C$2:$U$20,6,false)</f>
        <v>0.5</v>
      </c>
      <c r="Z578" s="960">
        <f t="array" ref="Z578">HLOOKUP($J578,'Type Chart'!$C$2:$T$20,7,false)*HLOOKUP($K578,'Type Chart'!$C$2:$U$20,7,false)</f>
        <v>2</v>
      </c>
      <c r="AA578" s="960">
        <f t="array" ref="AA578">HLOOKUP($J578,'Type Chart'!$C$2:$T$20,8,false)*HLOOKUP($K578,'Type Chart'!$C$2:$U$20,8,false)</f>
        <v>2</v>
      </c>
      <c r="AB578" s="960">
        <f t="array" ref="AB578">HLOOKUP($J578,'Type Chart'!$C$2:$T$20,9,false)*HLOOKUP($K578,'Type Chart'!$C$2:$U$20,9,false)</f>
        <v>1</v>
      </c>
      <c r="AC578" s="960">
        <f t="array" ref="AC578">HLOOKUP($J578,'Type Chart'!$C$2:$T$20,10,false)*HLOOKUP($K578,'Type Chart'!$C$2:$U$20,10,false)</f>
        <v>2</v>
      </c>
      <c r="AD578" s="960">
        <f t="array" ref="AD578">HLOOKUP($J578,'Type Chart'!$C$2:$T$20,11,false)*HLOOKUP($K578,'Type Chart'!$C$2:$U$20,11,false)</f>
        <v>4</v>
      </c>
      <c r="AE578" s="960">
        <f t="array" ref="AE578">HLOOKUP($J578,'Type Chart'!$C$2:$T$20,12,false)*HLOOKUP($K578,'Type Chart'!$C$2:$U$20,12,false)</f>
        <v>0.5</v>
      </c>
      <c r="AF578" s="960">
        <f t="array" ref="AF578">HLOOKUP($J578,'Type Chart'!$C$2:$T$20,13,false)*HLOOKUP($K578,'Type Chart'!$C$2:$U$20,13,false)</f>
        <v>0.5</v>
      </c>
      <c r="AG578" s="960">
        <f t="array" ref="AG578">HLOOKUP($J578,'Type Chart'!$C$2:$T$20,14,false)*HLOOKUP($K578,'Type Chart'!$C$2:$U$20,14,false)</f>
        <v>0.5</v>
      </c>
      <c r="AH578" s="960">
        <f t="array" ref="AH578">HLOOKUP($J578,'Type Chart'!$C$2:$T$20,15,false)*HLOOKUP($K578,'Type Chart'!$C$2:$U$20,15,false)</f>
        <v>1</v>
      </c>
      <c r="AI578" s="960">
        <f t="array" ref="AI578">HLOOKUP($J578,'Type Chart'!$C$2:$T$20,16,false)*HLOOKUP($K578,'Type Chart'!$C$2:$U$20,16,false)</f>
        <v>1</v>
      </c>
      <c r="AJ578" s="960">
        <f t="array" ref="AJ578">HLOOKUP($J578,'Type Chart'!$C$2:$T$20,17,false)*HLOOKUP($K578,'Type Chart'!$C$2:$U$20,17,false)</f>
        <v>1</v>
      </c>
      <c r="AK578" s="960">
        <f t="array" ref="AK578">HLOOKUP($J578,'Type Chart'!$C$2:$T$20,18,false)*HLOOKUP($K578,'Type Chart'!$C$2:$U$20,18,false)</f>
        <v>1</v>
      </c>
      <c r="AL578" s="960">
        <f t="array" ref="AL578">HLOOKUP($J578,'Type Chart'!$C$2:$T$20,19,false)*HLOOKUP($K578,'Type Chart'!$C$2:$U$20,19,false)</f>
        <v>1</v>
      </c>
      <c r="AM578" s="964" t="s">
        <v>1176</v>
      </c>
      <c r="AN578" s="965"/>
      <c r="AO578" s="966"/>
      <c r="AP578" s="936"/>
      <c r="AQ578" s="967"/>
      <c r="AR578" s="968"/>
      <c r="AS578" s="936"/>
    </row>
    <row r="579" ht="15.75" customHeight="1">
      <c r="A579" s="936"/>
      <c r="B579" s="948" t="s">
        <v>2649</v>
      </c>
      <c r="C579" s="950" t="s">
        <v>2650</v>
      </c>
      <c r="D579" s="950" t="s">
        <v>2650</v>
      </c>
      <c r="E579" s="952" t="s">
        <v>2650</v>
      </c>
      <c r="F579" s="940"/>
      <c r="G579" s="953"/>
      <c r="H579" s="969"/>
      <c r="I579" s="956" t="s">
        <v>408</v>
      </c>
      <c r="J579" s="1195" t="s">
        <v>193</v>
      </c>
      <c r="K579" s="1205" t="s">
        <v>345</v>
      </c>
      <c r="L579" s="959">
        <v>70.0</v>
      </c>
      <c r="M579" s="960">
        <v>120.0</v>
      </c>
      <c r="N579" s="960">
        <v>65.0</v>
      </c>
      <c r="O579" s="960">
        <v>45.0</v>
      </c>
      <c r="P579" s="960">
        <v>85.0</v>
      </c>
      <c r="Q579" s="960">
        <v>125.0</v>
      </c>
      <c r="R579" s="960">
        <v>286.0</v>
      </c>
      <c r="S579" s="960">
        <v>349.0</v>
      </c>
      <c r="T579" s="960">
        <v>383.0</v>
      </c>
      <c r="U579" s="960">
        <f t="array" ref="U579">HLOOKUP($J579,'Type Chart'!$C$2:$T$20,2,false)*HLOOKUP($K579,'Type Chart'!$C$2:$U$20,2,false)</f>
        <v>1</v>
      </c>
      <c r="V579" s="960">
        <f t="array" ref="V579">HLOOKUP($J579,'Type Chart'!$C$2:$T$20,3,false)*HLOOKUP($K579,'Type Chart'!$C$2:$U$20,3,false)</f>
        <v>4</v>
      </c>
      <c r="W579" s="960">
        <f t="array" ref="W579">HLOOKUP($J579,'Type Chart'!$C$2:$T$20,4,false)*HLOOKUP($K579,'Type Chart'!$C$2:$U$20,4,false)</f>
        <v>1</v>
      </c>
      <c r="X579" s="960">
        <f t="array" ref="X579">HLOOKUP($J579,'Type Chart'!$C$2:$T$20,5,false)*HLOOKUP($K579,'Type Chart'!$C$2:$U$20,5,false)</f>
        <v>1</v>
      </c>
      <c r="Y579" s="960">
        <f t="array" ref="Y579">HLOOKUP($J579,'Type Chart'!$C$2:$T$20,6,false)*HLOOKUP($K579,'Type Chart'!$C$2:$U$20,6,false)</f>
        <v>1</v>
      </c>
      <c r="Z579" s="960">
        <f t="array" ref="Z579">HLOOKUP($J579,'Type Chart'!$C$2:$T$20,7,false)*HLOOKUP($K579,'Type Chart'!$C$2:$U$20,7,false)</f>
        <v>2</v>
      </c>
      <c r="AA579" s="960">
        <f t="array" ref="AA579">HLOOKUP($J579,'Type Chart'!$C$2:$T$20,8,false)*HLOOKUP($K579,'Type Chart'!$C$2:$U$20,8,false)</f>
        <v>2</v>
      </c>
      <c r="AB579" s="960">
        <f t="array" ref="AB579">HLOOKUP($J579,'Type Chart'!$C$2:$T$20,9,false)*HLOOKUP($K579,'Type Chart'!$C$2:$U$20,9,false)</f>
        <v>0.5</v>
      </c>
      <c r="AC579" s="960">
        <f t="array" ref="AC579">HLOOKUP($J579,'Type Chart'!$C$2:$T$20,10,false)*HLOOKUP($K579,'Type Chart'!$C$2:$U$20,10,false)</f>
        <v>2</v>
      </c>
      <c r="AD579" s="960">
        <f t="array" ref="AD579">HLOOKUP($J579,'Type Chart'!$C$2:$T$20,11,false)*HLOOKUP($K579,'Type Chart'!$C$2:$U$20,11,false)</f>
        <v>2</v>
      </c>
      <c r="AE579" s="960">
        <f t="array" ref="AE579">HLOOKUP($J579,'Type Chart'!$C$2:$T$20,12,false)*HLOOKUP($K579,'Type Chart'!$C$2:$U$20,12,false)</f>
        <v>1</v>
      </c>
      <c r="AF579" s="960">
        <f t="array" ref="AF579">HLOOKUP($J579,'Type Chart'!$C$2:$T$20,13,false)*HLOOKUP($K579,'Type Chart'!$C$2:$U$20,13,false)</f>
        <v>1</v>
      </c>
      <c r="AG579" s="960">
        <f t="array" ref="AG579">HLOOKUP($J579,'Type Chart'!$C$2:$T$20,14,false)*HLOOKUP($K579,'Type Chart'!$C$2:$U$20,14,false)</f>
        <v>1</v>
      </c>
      <c r="AH579" s="960">
        <f t="array" ref="AH579">HLOOKUP($J579,'Type Chart'!$C$2:$T$20,15,false)*HLOOKUP($K579,'Type Chart'!$C$2:$U$20,15,false)</f>
        <v>0</v>
      </c>
      <c r="AI579" s="960">
        <f t="array" ref="AI579">HLOOKUP($J579,'Type Chart'!$C$2:$T$20,16,false)*HLOOKUP($K579,'Type Chart'!$C$2:$U$20,16,false)</f>
        <v>0.5</v>
      </c>
      <c r="AJ579" s="960">
        <f t="array" ref="AJ579">HLOOKUP($J579,'Type Chart'!$C$2:$T$20,17,false)*HLOOKUP($K579,'Type Chart'!$C$2:$U$20,17,false)</f>
        <v>1</v>
      </c>
      <c r="AK579" s="960">
        <f t="array" ref="AK579">HLOOKUP($J579,'Type Chart'!$C$2:$T$20,18,false)*HLOOKUP($K579,'Type Chart'!$C$2:$U$20,18,false)</f>
        <v>0.5</v>
      </c>
      <c r="AL579" s="960">
        <f t="array" ref="AL579">HLOOKUP($J579,'Type Chart'!$C$2:$T$20,19,false)*HLOOKUP($K579,'Type Chart'!$C$2:$U$20,19,false)</f>
        <v>2</v>
      </c>
      <c r="AM579" s="964" t="s">
        <v>1636</v>
      </c>
      <c r="AN579" s="965"/>
      <c r="AO579" s="966" t="s">
        <v>1869</v>
      </c>
      <c r="AP579" s="936"/>
      <c r="AQ579" s="967"/>
      <c r="AR579" s="968"/>
      <c r="AS579" s="936"/>
    </row>
    <row r="580" ht="15.75" customHeight="1">
      <c r="A580" s="936"/>
      <c r="B580" s="948" t="s">
        <v>2651</v>
      </c>
      <c r="C580" s="950" t="s">
        <v>2652</v>
      </c>
      <c r="D580" s="950" t="s">
        <v>2652</v>
      </c>
      <c r="E580" s="952" t="s">
        <v>2652</v>
      </c>
      <c r="F580" s="940"/>
      <c r="G580" s="953"/>
      <c r="H580" s="969"/>
      <c r="I580" s="956" t="s">
        <v>591</v>
      </c>
      <c r="J580" s="1196" t="s">
        <v>203</v>
      </c>
      <c r="K580" s="1206" t="s">
        <v>82</v>
      </c>
      <c r="L580" s="959">
        <v>70.0</v>
      </c>
      <c r="M580" s="960">
        <v>70.0</v>
      </c>
      <c r="N580" s="960">
        <v>115.0</v>
      </c>
      <c r="O580" s="960">
        <v>130.0</v>
      </c>
      <c r="P580" s="960">
        <v>90.0</v>
      </c>
      <c r="Q580" s="960">
        <v>60.0</v>
      </c>
      <c r="R580" s="960">
        <v>156.0</v>
      </c>
      <c r="S580" s="960">
        <v>219.0</v>
      </c>
      <c r="T580" s="960">
        <v>240.0</v>
      </c>
      <c r="U580" s="960">
        <f t="array" ref="U580">HLOOKUP($J580,'Type Chart'!$C$2:$T$20,2,false)*HLOOKUP($K580,'Type Chart'!$C$2:$U$20,2,false)</f>
        <v>0.5</v>
      </c>
      <c r="V580" s="960">
        <f t="array" ref="V580">HLOOKUP($J580,'Type Chart'!$C$2:$T$20,3,false)*HLOOKUP($K580,'Type Chart'!$C$2:$U$20,3,false)</f>
        <v>2</v>
      </c>
      <c r="W580" s="960">
        <f t="array" ref="W580">HLOOKUP($J580,'Type Chart'!$C$2:$T$20,4,false)*HLOOKUP($K580,'Type Chart'!$C$2:$U$20,4,false)</f>
        <v>0.25</v>
      </c>
      <c r="X580" s="960">
        <f t="array" ref="X580">HLOOKUP($J580,'Type Chart'!$C$2:$T$20,5,false)*HLOOKUP($K580,'Type Chart'!$C$2:$U$20,5,false)</f>
        <v>0</v>
      </c>
      <c r="Y580" s="960">
        <f t="array" ref="Y580">HLOOKUP($J580,'Type Chart'!$C$2:$T$20,6,false)*HLOOKUP($K580,'Type Chart'!$C$2:$U$20,6,false)</f>
        <v>4</v>
      </c>
      <c r="Z580" s="960">
        <f t="array" ref="Z580">HLOOKUP($J580,'Type Chart'!$C$2:$T$20,7,false)*HLOOKUP($K580,'Type Chart'!$C$2:$U$20,7,false)</f>
        <v>0.5</v>
      </c>
      <c r="AA580" s="960">
        <f t="array" ref="AA580">HLOOKUP($J580,'Type Chart'!$C$2:$T$20,8,false)*HLOOKUP($K580,'Type Chart'!$C$2:$U$20,8,false)</f>
        <v>0.5</v>
      </c>
      <c r="AB580" s="960">
        <f t="array" ref="AB580">HLOOKUP($J580,'Type Chart'!$C$2:$T$20,9,false)*HLOOKUP($K580,'Type Chart'!$C$2:$U$20,9,false)</f>
        <v>1</v>
      </c>
      <c r="AC580" s="960">
        <f t="array" ref="AC580">HLOOKUP($J580,'Type Chart'!$C$2:$T$20,10,false)*HLOOKUP($K580,'Type Chart'!$C$2:$U$20,10,false)</f>
        <v>0.25</v>
      </c>
      <c r="AD580" s="960">
        <f t="array" ref="AD580">HLOOKUP($J580,'Type Chart'!$C$2:$T$20,11,false)*HLOOKUP($K580,'Type Chart'!$C$2:$U$20,11,false)</f>
        <v>2</v>
      </c>
      <c r="AE580" s="960">
        <f t="array" ref="AE580">HLOOKUP($J580,'Type Chart'!$C$2:$T$20,12,false)*HLOOKUP($K580,'Type Chart'!$C$2:$U$20,12,false)</f>
        <v>1</v>
      </c>
      <c r="AF580" s="960">
        <f t="array" ref="AF580">HLOOKUP($J580,'Type Chart'!$C$2:$T$20,13,false)*HLOOKUP($K580,'Type Chart'!$C$2:$U$20,13,false)</f>
        <v>0.5</v>
      </c>
      <c r="AG580" s="960">
        <f t="array" ref="AG580">HLOOKUP($J580,'Type Chart'!$C$2:$T$20,14,false)*HLOOKUP($K580,'Type Chart'!$C$2:$U$20,14,false)</f>
        <v>0.5</v>
      </c>
      <c r="AH580" s="960">
        <f t="array" ref="AH580">HLOOKUP($J580,'Type Chart'!$C$2:$T$20,15,false)*HLOOKUP($K580,'Type Chart'!$C$2:$U$20,15,false)</f>
        <v>0.5</v>
      </c>
      <c r="AI580" s="960">
        <f t="array" ref="AI580">HLOOKUP($J580,'Type Chart'!$C$2:$T$20,16,false)*HLOOKUP($K580,'Type Chart'!$C$2:$U$20,16,false)</f>
        <v>0.5</v>
      </c>
      <c r="AJ580" s="960">
        <f t="array" ref="AJ580">HLOOKUP($J580,'Type Chart'!$C$2:$T$20,17,false)*HLOOKUP($K580,'Type Chart'!$C$2:$U$20,17,false)</f>
        <v>0.5</v>
      </c>
      <c r="AK580" s="960">
        <f t="array" ref="AK580">HLOOKUP($J580,'Type Chart'!$C$2:$T$20,18,false)*HLOOKUP($K580,'Type Chart'!$C$2:$U$20,18,false)</f>
        <v>1</v>
      </c>
      <c r="AL580" s="960">
        <f t="array" ref="AL580">HLOOKUP($J580,'Type Chart'!$C$2:$T$20,19,false)*HLOOKUP($K580,'Type Chart'!$C$2:$U$20,19,false)</f>
        <v>0.5</v>
      </c>
      <c r="AM580" s="964" t="s">
        <v>1336</v>
      </c>
      <c r="AN580" s="965" t="s">
        <v>1331</v>
      </c>
      <c r="AO580" s="966" t="s">
        <v>1389</v>
      </c>
      <c r="AP580" s="936"/>
      <c r="AQ580" s="967"/>
      <c r="AR580" s="968"/>
      <c r="AS580" s="936"/>
    </row>
    <row r="581" ht="15.75" customHeight="1">
      <c r="A581" s="936"/>
      <c r="B581" s="948" t="s">
        <v>2653</v>
      </c>
      <c r="C581" s="950" t="s">
        <v>2654</v>
      </c>
      <c r="D581" s="950" t="s">
        <v>2654</v>
      </c>
      <c r="E581" s="952" t="s">
        <v>2654</v>
      </c>
      <c r="F581" s="940"/>
      <c r="G581" s="953"/>
      <c r="H581" s="969"/>
      <c r="I581" s="956" t="s">
        <v>2655</v>
      </c>
      <c r="J581" s="1194" t="s">
        <v>136</v>
      </c>
      <c r="K581" s="984" t="s">
        <v>216</v>
      </c>
      <c r="L581" s="959">
        <v>110.0</v>
      </c>
      <c r="M581" s="960">
        <v>85.0</v>
      </c>
      <c r="N581" s="960">
        <v>95.0</v>
      </c>
      <c r="O581" s="960">
        <v>80.0</v>
      </c>
      <c r="P581" s="960">
        <v>95.0</v>
      </c>
      <c r="Q581" s="960">
        <v>50.0</v>
      </c>
      <c r="R581" s="960">
        <v>136.0</v>
      </c>
      <c r="S581" s="960">
        <v>199.0</v>
      </c>
      <c r="T581" s="960">
        <v>218.0</v>
      </c>
      <c r="U581" s="960">
        <f t="array" ref="U581">HLOOKUP($J581,'Type Chart'!$C$2:$T$20,2,false)*HLOOKUP($K581,'Type Chart'!$C$2:$U$20,2,false)</f>
        <v>1</v>
      </c>
      <c r="V581" s="960">
        <f t="array" ref="V581">HLOOKUP($J581,'Type Chart'!$C$2:$T$20,3,false)*HLOOKUP($K581,'Type Chart'!$C$2:$U$20,3,false)</f>
        <v>2</v>
      </c>
      <c r="W581" s="960">
        <f t="array" ref="W581">HLOOKUP($J581,'Type Chart'!$C$2:$T$20,4,false)*HLOOKUP($K581,'Type Chart'!$C$2:$U$20,4,false)</f>
        <v>1</v>
      </c>
      <c r="X581" s="960">
        <f t="array" ref="X581">HLOOKUP($J581,'Type Chart'!$C$2:$T$20,5,false)*HLOOKUP($K581,'Type Chart'!$C$2:$U$20,5,false)</f>
        <v>1</v>
      </c>
      <c r="Y581" s="960">
        <f t="array" ref="Y581">HLOOKUP($J581,'Type Chart'!$C$2:$T$20,6,false)*HLOOKUP($K581,'Type Chart'!$C$2:$U$20,6,false)</f>
        <v>1</v>
      </c>
      <c r="Z581" s="960">
        <f t="array" ref="Z581">HLOOKUP($J581,'Type Chart'!$C$2:$T$20,7,false)*HLOOKUP($K581,'Type Chart'!$C$2:$U$20,7,false)</f>
        <v>1</v>
      </c>
      <c r="AA581" s="960">
        <f t="array" ref="AA581">HLOOKUP($J581,'Type Chart'!$C$2:$T$20,8,false)*HLOOKUP($K581,'Type Chart'!$C$2:$U$20,8,false)</f>
        <v>1</v>
      </c>
      <c r="AB581" s="960">
        <f t="array" ref="AB581">HLOOKUP($J581,'Type Chart'!$C$2:$T$20,9,false)*HLOOKUP($K581,'Type Chart'!$C$2:$U$20,9,false)</f>
        <v>0</v>
      </c>
      <c r="AC581" s="960">
        <f t="array" ref="AC581">HLOOKUP($J581,'Type Chart'!$C$2:$T$20,10,false)*HLOOKUP($K581,'Type Chart'!$C$2:$U$20,10,false)</f>
        <v>1</v>
      </c>
      <c r="AD581" s="960">
        <f t="array" ref="AD581">HLOOKUP($J581,'Type Chart'!$C$2:$T$20,11,false)*HLOOKUP($K581,'Type Chart'!$C$2:$U$20,11,false)</f>
        <v>1</v>
      </c>
      <c r="AE581" s="960">
        <f t="array" ref="AE581">HLOOKUP($J581,'Type Chart'!$C$2:$T$20,12,false)*HLOOKUP($K581,'Type Chart'!$C$2:$U$20,12,false)</f>
        <v>1</v>
      </c>
      <c r="AF581" s="960">
        <f t="array" ref="AF581">HLOOKUP($J581,'Type Chart'!$C$2:$T$20,13,false)*HLOOKUP($K581,'Type Chart'!$C$2:$U$20,13,false)</f>
        <v>1</v>
      </c>
      <c r="AG581" s="960">
        <f t="array" ref="AG581">HLOOKUP($J581,'Type Chart'!$C$2:$T$20,14,false)*HLOOKUP($K581,'Type Chart'!$C$2:$U$20,14,false)</f>
        <v>1</v>
      </c>
      <c r="AH581" s="960">
        <f t="array" ref="AH581">HLOOKUP($J581,'Type Chart'!$C$2:$T$20,15,false)*HLOOKUP($K581,'Type Chart'!$C$2:$U$20,15,false)</f>
        <v>1</v>
      </c>
      <c r="AI581" s="960">
        <f t="array" ref="AI581">HLOOKUP($J581,'Type Chart'!$C$2:$T$20,16,false)*HLOOKUP($K581,'Type Chart'!$C$2:$U$20,16,false)</f>
        <v>1</v>
      </c>
      <c r="AJ581" s="960">
        <f t="array" ref="AJ581">HLOOKUP($J581,'Type Chart'!$C$2:$T$20,17,false)*HLOOKUP($K581,'Type Chart'!$C$2:$U$20,17,false)</f>
        <v>1</v>
      </c>
      <c r="AK581" s="960">
        <f t="array" ref="AK581">HLOOKUP($J581,'Type Chart'!$C$2:$T$20,18,false)*HLOOKUP($K581,'Type Chart'!$C$2:$U$20,18,false)</f>
        <v>1</v>
      </c>
      <c r="AL581" s="960">
        <f t="array" ref="AL581">HLOOKUP($J581,'Type Chart'!$C$2:$T$20,19,false)*HLOOKUP($K581,'Type Chart'!$C$2:$U$20,19,false)</f>
        <v>1</v>
      </c>
      <c r="AM581" s="964" t="s">
        <v>1370</v>
      </c>
      <c r="AN581" s="965" t="s">
        <v>1369</v>
      </c>
      <c r="AO581" s="966" t="s">
        <v>1258</v>
      </c>
      <c r="AP581" s="936"/>
      <c r="AQ581" s="967"/>
      <c r="AR581" s="968"/>
      <c r="AS581" s="936"/>
    </row>
    <row r="582" ht="15.75" customHeight="1">
      <c r="A582" s="936"/>
      <c r="B582" s="948" t="s">
        <v>2656</v>
      </c>
      <c r="C582" s="950" t="s">
        <v>2657</v>
      </c>
      <c r="D582" s="950" t="s">
        <v>2657</v>
      </c>
      <c r="E582" s="952" t="s">
        <v>2657</v>
      </c>
      <c r="F582" s="940"/>
      <c r="G582" s="953"/>
      <c r="H582" s="969"/>
      <c r="I582" s="956" t="s">
        <v>641</v>
      </c>
      <c r="J582" s="1204" t="s">
        <v>80</v>
      </c>
      <c r="K582" s="1214" t="s">
        <v>342</v>
      </c>
      <c r="L582" s="959">
        <v>115.0</v>
      </c>
      <c r="M582" s="960">
        <v>140.0</v>
      </c>
      <c r="N582" s="960">
        <v>130.0</v>
      </c>
      <c r="O582" s="960">
        <v>55.0</v>
      </c>
      <c r="P582" s="960">
        <v>55.0</v>
      </c>
      <c r="Q582" s="960">
        <v>40.0</v>
      </c>
      <c r="R582" s="960">
        <v>116.0</v>
      </c>
      <c r="S582" s="960">
        <v>179.0</v>
      </c>
      <c r="T582" s="960">
        <v>196.0</v>
      </c>
      <c r="U582" s="960">
        <f t="array" ref="U582">HLOOKUP($J582,'Type Chart'!$C$2:$T$20,2,false)*HLOOKUP($K582,'Type Chart'!$C$2:$U$20,2,false)</f>
        <v>0.5</v>
      </c>
      <c r="V582" s="960">
        <f t="array" ref="V582">HLOOKUP($J582,'Type Chart'!$C$2:$T$20,3,false)*HLOOKUP($K582,'Type Chart'!$C$2:$U$20,3,false)</f>
        <v>2</v>
      </c>
      <c r="W582" s="960">
        <f t="array" ref="W582">HLOOKUP($J582,'Type Chart'!$C$2:$T$20,4,false)*HLOOKUP($K582,'Type Chart'!$C$2:$U$20,4,false)</f>
        <v>0.5</v>
      </c>
      <c r="X582" s="960">
        <f t="array" ref="X582">HLOOKUP($J582,'Type Chart'!$C$2:$T$20,5,false)*HLOOKUP($K582,'Type Chart'!$C$2:$U$20,5,false)</f>
        <v>0.25</v>
      </c>
      <c r="Y582" s="960">
        <f t="array" ref="Y582">HLOOKUP($J582,'Type Chart'!$C$2:$T$20,6,false)*HLOOKUP($K582,'Type Chart'!$C$2:$U$20,6,false)</f>
        <v>2</v>
      </c>
      <c r="Z582" s="960">
        <f t="array" ref="Z582">HLOOKUP($J582,'Type Chart'!$C$2:$T$20,7,false)*HLOOKUP($K582,'Type Chart'!$C$2:$U$20,7,false)</f>
        <v>0.5</v>
      </c>
      <c r="AA582" s="960">
        <f t="array" ref="AA582">HLOOKUP($J582,'Type Chart'!$C$2:$T$20,8,false)*HLOOKUP($K582,'Type Chart'!$C$2:$U$20,8,false)</f>
        <v>1</v>
      </c>
      <c r="AB582" s="960">
        <f t="array" ref="AB582">HLOOKUP($J582,'Type Chart'!$C$2:$T$20,9,false)*HLOOKUP($K582,'Type Chart'!$C$2:$U$20,9,false)</f>
        <v>1</v>
      </c>
      <c r="AC582" s="960">
        <f t="array" ref="AC582">HLOOKUP($J582,'Type Chart'!$C$2:$T$20,10,false)*HLOOKUP($K582,'Type Chart'!$C$2:$U$20,10,false)</f>
        <v>2</v>
      </c>
      <c r="AD582" s="960">
        <f t="array" ref="AD582">HLOOKUP($J582,'Type Chart'!$C$2:$T$20,11,false)*HLOOKUP($K582,'Type Chart'!$C$2:$U$20,11,false)</f>
        <v>0.5</v>
      </c>
      <c r="AE582" s="960">
        <f t="array" ref="AE582">HLOOKUP($J582,'Type Chart'!$C$2:$T$20,12,false)*HLOOKUP($K582,'Type Chart'!$C$2:$U$20,12,false)</f>
        <v>4</v>
      </c>
      <c r="AF582" s="960">
        <f t="array" ref="AF582">HLOOKUP($J582,'Type Chart'!$C$2:$T$20,13,false)*HLOOKUP($K582,'Type Chart'!$C$2:$U$20,13,false)</f>
        <v>4</v>
      </c>
      <c r="AG582" s="960">
        <f t="array" ref="AG582">HLOOKUP($J582,'Type Chart'!$C$2:$T$20,14,false)*HLOOKUP($K582,'Type Chart'!$C$2:$U$20,14,false)</f>
        <v>0</v>
      </c>
      <c r="AH582" s="960">
        <f t="array" ref="AH582">HLOOKUP($J582,'Type Chart'!$C$2:$T$20,15,false)*HLOOKUP($K582,'Type Chart'!$C$2:$U$20,15,false)</f>
        <v>1</v>
      </c>
      <c r="AI582" s="960">
        <f t="array" ref="AI582">HLOOKUP($J582,'Type Chart'!$C$2:$T$20,16,false)*HLOOKUP($K582,'Type Chart'!$C$2:$U$20,16,false)</f>
        <v>2</v>
      </c>
      <c r="AJ582" s="960">
        <f t="array" ref="AJ582">HLOOKUP($J582,'Type Chart'!$C$2:$T$20,17,false)*HLOOKUP($K582,'Type Chart'!$C$2:$U$20,17,false)</f>
        <v>1</v>
      </c>
      <c r="AK582" s="960">
        <f t="array" ref="AK582">HLOOKUP($J582,'Type Chart'!$C$2:$T$20,18,false)*HLOOKUP($K582,'Type Chart'!$C$2:$U$20,18,false)</f>
        <v>1</v>
      </c>
      <c r="AL582" s="960">
        <f t="array" ref="AL582">HLOOKUP($J582,'Type Chart'!$C$2:$T$20,19,false)*HLOOKUP($K582,'Type Chart'!$C$2:$U$20,19,false)</f>
        <v>1</v>
      </c>
      <c r="AM582" s="964" t="s">
        <v>1068</v>
      </c>
      <c r="AN582" s="965" t="s">
        <v>2218</v>
      </c>
      <c r="AO582" s="966" t="s">
        <v>1497</v>
      </c>
      <c r="AP582" s="936"/>
      <c r="AQ582" s="967"/>
      <c r="AR582" s="968"/>
      <c r="AS582" s="936"/>
    </row>
    <row r="583" ht="15.75" customHeight="1">
      <c r="A583" s="936"/>
      <c r="B583" s="948" t="s">
        <v>2658</v>
      </c>
      <c r="C583" s="950" t="s">
        <v>2659</v>
      </c>
      <c r="D583" s="950" t="s">
        <v>2659</v>
      </c>
      <c r="E583" s="952" t="s">
        <v>2659</v>
      </c>
      <c r="F583" s="940"/>
      <c r="G583" s="953"/>
      <c r="H583" s="969"/>
      <c r="I583" s="956" t="s">
        <v>2660</v>
      </c>
      <c r="J583" s="957" t="s">
        <v>209</v>
      </c>
      <c r="K583" s="984" t="s">
        <v>216</v>
      </c>
      <c r="L583" s="959">
        <v>100.0</v>
      </c>
      <c r="M583" s="960">
        <v>100.0</v>
      </c>
      <c r="N583" s="960">
        <v>125.0</v>
      </c>
      <c r="O583" s="960">
        <v>110.0</v>
      </c>
      <c r="P583" s="960">
        <v>50.0</v>
      </c>
      <c r="Q583" s="960">
        <v>50.0</v>
      </c>
      <c r="R583" s="960">
        <v>136.0</v>
      </c>
      <c r="S583" s="960">
        <v>199.0</v>
      </c>
      <c r="T583" s="960">
        <v>218.0</v>
      </c>
      <c r="U583" s="960">
        <f t="array" ref="U583">HLOOKUP($J583,'Type Chart'!$C$2:$T$20,2,false)*HLOOKUP($K583,'Type Chart'!$C$2:$U$20,2,false)</f>
        <v>1</v>
      </c>
      <c r="V583" s="960">
        <f t="array" ref="V583">HLOOKUP($J583,'Type Chart'!$C$2:$T$20,3,false)*HLOOKUP($K583,'Type Chart'!$C$2:$U$20,3,false)</f>
        <v>1</v>
      </c>
      <c r="W583" s="960">
        <f t="array" ref="W583">HLOOKUP($J583,'Type Chart'!$C$2:$T$20,4,false)*HLOOKUP($K583,'Type Chart'!$C$2:$U$20,4,false)</f>
        <v>2</v>
      </c>
      <c r="X583" s="960">
        <f t="array" ref="X583">HLOOKUP($J583,'Type Chart'!$C$2:$T$20,5,false)*HLOOKUP($K583,'Type Chart'!$C$2:$U$20,5,false)</f>
        <v>2</v>
      </c>
      <c r="Y583" s="960">
        <f t="array" ref="Y583">HLOOKUP($J583,'Type Chart'!$C$2:$T$20,6,false)*HLOOKUP($K583,'Type Chart'!$C$2:$U$20,6,false)</f>
        <v>0.5</v>
      </c>
      <c r="Z583" s="960">
        <f t="array" ref="Z583">HLOOKUP($J583,'Type Chart'!$C$2:$T$20,7,false)*HLOOKUP($K583,'Type Chart'!$C$2:$U$20,7,false)</f>
        <v>1</v>
      </c>
      <c r="AA583" s="960">
        <f t="array" ref="AA583">HLOOKUP($J583,'Type Chart'!$C$2:$T$20,8,false)*HLOOKUP($K583,'Type Chart'!$C$2:$U$20,8,false)</f>
        <v>2</v>
      </c>
      <c r="AB583" s="960">
        <f t="array" ref="AB583">HLOOKUP($J583,'Type Chart'!$C$2:$T$20,9,false)*HLOOKUP($K583,'Type Chart'!$C$2:$U$20,9,false)</f>
        <v>1</v>
      </c>
      <c r="AC583" s="960">
        <f t="array" ref="AC583">HLOOKUP($J583,'Type Chart'!$C$2:$T$20,10,false)*HLOOKUP($K583,'Type Chart'!$C$2:$U$20,10,false)</f>
        <v>1</v>
      </c>
      <c r="AD583" s="960">
        <f t="array" ref="AD583">HLOOKUP($J583,'Type Chart'!$C$2:$T$20,11,false)*HLOOKUP($K583,'Type Chart'!$C$2:$U$20,11,false)</f>
        <v>2</v>
      </c>
      <c r="AE583" s="960">
        <f t="array" ref="AE583">HLOOKUP($J583,'Type Chart'!$C$2:$T$20,12,false)*HLOOKUP($K583,'Type Chart'!$C$2:$U$20,12,false)</f>
        <v>0.5</v>
      </c>
      <c r="AF583" s="960">
        <f t="array" ref="AF583">HLOOKUP($J583,'Type Chart'!$C$2:$T$20,13,false)*HLOOKUP($K583,'Type Chart'!$C$2:$U$20,13,false)</f>
        <v>0.5</v>
      </c>
      <c r="AG583" s="960">
        <f t="array" ref="AG583">HLOOKUP($J583,'Type Chart'!$C$2:$T$20,14,false)*HLOOKUP($K583,'Type Chart'!$C$2:$U$20,14,false)</f>
        <v>0.5</v>
      </c>
      <c r="AH583" s="960">
        <f t="array" ref="AH583">HLOOKUP($J583,'Type Chart'!$C$2:$T$20,15,false)*HLOOKUP($K583,'Type Chart'!$C$2:$U$20,15,false)</f>
        <v>1</v>
      </c>
      <c r="AI583" s="960">
        <f t="array" ref="AI583">HLOOKUP($J583,'Type Chart'!$C$2:$T$20,16,false)*HLOOKUP($K583,'Type Chart'!$C$2:$U$20,16,false)</f>
        <v>2</v>
      </c>
      <c r="AJ583" s="960">
        <f t="array" ref="AJ583">HLOOKUP($J583,'Type Chart'!$C$2:$T$20,17,false)*HLOOKUP($K583,'Type Chart'!$C$2:$U$20,17,false)</f>
        <v>1</v>
      </c>
      <c r="AK583" s="960">
        <f t="array" ref="AK583">HLOOKUP($J583,'Type Chart'!$C$2:$T$20,18,false)*HLOOKUP($K583,'Type Chart'!$C$2:$U$20,18,false)</f>
        <v>1</v>
      </c>
      <c r="AL583" s="960">
        <f t="array" ref="AL583">HLOOKUP($J583,'Type Chart'!$C$2:$T$20,19,false)*HLOOKUP($K583,'Type Chart'!$C$2:$U$20,19,false)</f>
        <v>1</v>
      </c>
      <c r="AM583" s="964" t="s">
        <v>524</v>
      </c>
      <c r="AN583" s="965" t="s">
        <v>1526</v>
      </c>
      <c r="AO583" s="966" t="s">
        <v>1371</v>
      </c>
      <c r="AP583" s="936"/>
      <c r="AQ583" s="967"/>
      <c r="AR583" s="968"/>
      <c r="AS583" s="936"/>
    </row>
    <row r="584" ht="15.75" customHeight="1">
      <c r="A584" s="1099"/>
      <c r="B584" s="948" t="s">
        <v>2661</v>
      </c>
      <c r="C584" s="1197" t="s">
        <v>2662</v>
      </c>
      <c r="D584" s="1197" t="s">
        <v>2662</v>
      </c>
      <c r="E584" s="1147" t="s">
        <v>2662</v>
      </c>
      <c r="F584" s="940"/>
      <c r="G584" s="953"/>
      <c r="H584" s="969"/>
      <c r="I584" s="998" t="s">
        <v>702</v>
      </c>
      <c r="J584" s="1198" t="s">
        <v>203</v>
      </c>
      <c r="K584" s="1199" t="s">
        <v>216</v>
      </c>
      <c r="L584" s="1200">
        <v>75.0</v>
      </c>
      <c r="M584" s="1201">
        <v>123.0</v>
      </c>
      <c r="N584" s="1201">
        <v>67.0</v>
      </c>
      <c r="O584" s="1201">
        <v>95.0</v>
      </c>
      <c r="P584" s="1201">
        <v>85.0</v>
      </c>
      <c r="Q584" s="1201">
        <v>95.0</v>
      </c>
      <c r="R584" s="960">
        <v>226.0</v>
      </c>
      <c r="S584" s="960">
        <v>289.0</v>
      </c>
      <c r="T584" s="960">
        <v>317.0</v>
      </c>
      <c r="U584" s="960">
        <f t="array" ref="U584">HLOOKUP($J584,'Type Chart'!$C$2:$T$20,2,false)*HLOOKUP($K584,'Type Chart'!$C$2:$U$20,2,false)</f>
        <v>1</v>
      </c>
      <c r="V584" s="960">
        <f t="array" ref="V584">HLOOKUP($J584,'Type Chart'!$C$2:$T$20,3,false)*HLOOKUP($K584,'Type Chart'!$C$2:$U$20,3,false)</f>
        <v>1</v>
      </c>
      <c r="W584" s="960">
        <f t="array" ref="W584">HLOOKUP($J584,'Type Chart'!$C$2:$T$20,4,false)*HLOOKUP($K584,'Type Chart'!$C$2:$U$20,4,false)</f>
        <v>0.5</v>
      </c>
      <c r="X584" s="960">
        <f t="array" ref="X584">HLOOKUP($J584,'Type Chart'!$C$2:$T$20,5,false)*HLOOKUP($K584,'Type Chart'!$C$2:$U$20,5,false)</f>
        <v>1</v>
      </c>
      <c r="Y584" s="960">
        <f t="array" ref="Y584">HLOOKUP($J584,'Type Chart'!$C$2:$T$20,6,false)*HLOOKUP($K584,'Type Chart'!$C$2:$U$20,6,false)</f>
        <v>2</v>
      </c>
      <c r="Z584" s="960">
        <f t="array" ref="Z584">HLOOKUP($J584,'Type Chart'!$C$2:$T$20,7,false)*HLOOKUP($K584,'Type Chart'!$C$2:$U$20,7,false)</f>
        <v>1</v>
      </c>
      <c r="AA584" s="960">
        <f t="array" ref="AA584">HLOOKUP($J584,'Type Chart'!$C$2:$T$20,8,false)*HLOOKUP($K584,'Type Chart'!$C$2:$U$20,8,false)</f>
        <v>1</v>
      </c>
      <c r="AB584" s="960">
        <f t="array" ref="AB584">HLOOKUP($J584,'Type Chart'!$C$2:$T$20,9,false)*HLOOKUP($K584,'Type Chart'!$C$2:$U$20,9,false)</f>
        <v>1</v>
      </c>
      <c r="AC584" s="960">
        <f t="array" ref="AC584">HLOOKUP($J584,'Type Chart'!$C$2:$T$20,10,false)*HLOOKUP($K584,'Type Chart'!$C$2:$U$20,10,false)</f>
        <v>0.5</v>
      </c>
      <c r="AD584" s="960">
        <f t="array" ref="AD584">HLOOKUP($J584,'Type Chart'!$C$2:$T$20,11,false)*HLOOKUP($K584,'Type Chart'!$C$2:$U$20,11,false)</f>
        <v>1</v>
      </c>
      <c r="AE584" s="960">
        <f t="array" ref="AE584">HLOOKUP($J584,'Type Chart'!$C$2:$T$20,12,false)*HLOOKUP($K584,'Type Chart'!$C$2:$U$20,12,false)</f>
        <v>1</v>
      </c>
      <c r="AF584" s="960">
        <f t="array" ref="AF584">HLOOKUP($J584,'Type Chart'!$C$2:$T$20,13,false)*HLOOKUP($K584,'Type Chart'!$C$2:$U$20,13,false)</f>
        <v>1</v>
      </c>
      <c r="AG584" s="960">
        <f t="array" ref="AG584">HLOOKUP($J584,'Type Chart'!$C$2:$T$20,14,false)*HLOOKUP($K584,'Type Chart'!$C$2:$U$20,14,false)</f>
        <v>0.5</v>
      </c>
      <c r="AH584" s="960">
        <f t="array" ref="AH584">HLOOKUP($J584,'Type Chart'!$C$2:$T$20,15,false)*HLOOKUP($K584,'Type Chart'!$C$2:$U$20,15,false)</f>
        <v>1</v>
      </c>
      <c r="AI584" s="960">
        <f t="array" ref="AI584">HLOOKUP($J584,'Type Chart'!$C$2:$T$20,16,false)*HLOOKUP($K584,'Type Chart'!$C$2:$U$20,16,false)</f>
        <v>1</v>
      </c>
      <c r="AJ584" s="960">
        <f t="array" ref="AJ584">HLOOKUP($J584,'Type Chart'!$C$2:$T$20,17,false)*HLOOKUP($K584,'Type Chart'!$C$2:$U$20,17,false)</f>
        <v>1</v>
      </c>
      <c r="AK584" s="960">
        <f t="array" ref="AK584">HLOOKUP($J584,'Type Chart'!$C$2:$T$20,18,false)*HLOOKUP($K584,'Type Chart'!$C$2:$U$20,18,false)</f>
        <v>1</v>
      </c>
      <c r="AL584" s="960">
        <f t="array" ref="AL584">HLOOKUP($J584,'Type Chart'!$C$2:$T$20,19,false)*HLOOKUP($K584,'Type Chart'!$C$2:$U$20,19,false)</f>
        <v>1</v>
      </c>
      <c r="AM584" s="1145" t="s">
        <v>2663</v>
      </c>
      <c r="AN584" s="1202"/>
      <c r="AO584" s="1146" t="s">
        <v>1265</v>
      </c>
      <c r="AP584" s="936"/>
      <c r="AQ584" s="967"/>
      <c r="AR584" s="968"/>
      <c r="AS584" s="936"/>
    </row>
    <row r="585" ht="15.75" customHeight="1">
      <c r="A585" s="936"/>
      <c r="B585" s="948" t="s">
        <v>2664</v>
      </c>
      <c r="C585" s="950" t="s">
        <v>2665</v>
      </c>
      <c r="D585" s="950" t="s">
        <v>2665</v>
      </c>
      <c r="E585" s="952" t="s">
        <v>2665</v>
      </c>
      <c r="F585" s="940"/>
      <c r="G585" s="953"/>
      <c r="H585" s="969"/>
      <c r="I585" s="956" t="s">
        <v>736</v>
      </c>
      <c r="J585" s="982" t="s">
        <v>150</v>
      </c>
      <c r="K585" s="984" t="s">
        <v>216</v>
      </c>
      <c r="L585" s="959">
        <v>75.0</v>
      </c>
      <c r="M585" s="960">
        <v>95.0</v>
      </c>
      <c r="N585" s="960">
        <v>67.0</v>
      </c>
      <c r="O585" s="960">
        <v>125.0</v>
      </c>
      <c r="P585" s="960">
        <v>95.0</v>
      </c>
      <c r="Q585" s="960">
        <v>83.0</v>
      </c>
      <c r="R585" s="960">
        <v>202.0</v>
      </c>
      <c r="S585" s="960">
        <v>265.0</v>
      </c>
      <c r="T585" s="960">
        <v>291.0</v>
      </c>
      <c r="U585" s="960">
        <f t="array" ref="U585">HLOOKUP($J585,'Type Chart'!$C$2:$T$20,2,false)*HLOOKUP($K585,'Type Chart'!$C$2:$U$20,2,false)</f>
        <v>1</v>
      </c>
      <c r="V585" s="960">
        <f t="array" ref="V585">HLOOKUP($J585,'Type Chart'!$C$2:$T$20,3,false)*HLOOKUP($K585,'Type Chart'!$C$2:$U$20,3,false)</f>
        <v>1</v>
      </c>
      <c r="W585" s="960">
        <f t="array" ref="W585">HLOOKUP($J585,'Type Chart'!$C$2:$T$20,4,false)*HLOOKUP($K585,'Type Chart'!$C$2:$U$20,4,false)</f>
        <v>1</v>
      </c>
      <c r="X585" s="960">
        <f t="array" ref="X585">HLOOKUP($J585,'Type Chart'!$C$2:$T$20,5,false)*HLOOKUP($K585,'Type Chart'!$C$2:$U$20,5,false)</f>
        <v>1</v>
      </c>
      <c r="Y585" s="960">
        <f t="array" ref="Y585">HLOOKUP($J585,'Type Chart'!$C$2:$T$20,6,false)*HLOOKUP($K585,'Type Chart'!$C$2:$U$20,6,false)</f>
        <v>2</v>
      </c>
      <c r="Z585" s="960">
        <f t="array" ref="Z585">HLOOKUP($J585,'Type Chart'!$C$2:$T$20,7,false)*HLOOKUP($K585,'Type Chart'!$C$2:$U$20,7,false)</f>
        <v>2</v>
      </c>
      <c r="AA585" s="960">
        <f t="array" ref="AA585">HLOOKUP($J585,'Type Chart'!$C$2:$T$20,8,false)*HLOOKUP($K585,'Type Chart'!$C$2:$U$20,8,false)</f>
        <v>0.5</v>
      </c>
      <c r="AB585" s="960">
        <f t="array" ref="AB585">HLOOKUP($J585,'Type Chart'!$C$2:$T$20,9,false)*HLOOKUP($K585,'Type Chart'!$C$2:$U$20,9,false)</f>
        <v>1</v>
      </c>
      <c r="AC585" s="960">
        <f t="array" ref="AC585">HLOOKUP($J585,'Type Chart'!$C$2:$T$20,10,false)*HLOOKUP($K585,'Type Chart'!$C$2:$U$20,10,false)</f>
        <v>0.5</v>
      </c>
      <c r="AD585" s="960">
        <f t="array" ref="AD585">HLOOKUP($J585,'Type Chart'!$C$2:$T$20,11,false)*HLOOKUP($K585,'Type Chart'!$C$2:$U$20,11,false)</f>
        <v>0.5</v>
      </c>
      <c r="AE585" s="960">
        <f t="array" ref="AE585">HLOOKUP($J585,'Type Chart'!$C$2:$T$20,12,false)*HLOOKUP($K585,'Type Chart'!$C$2:$U$20,12,false)</f>
        <v>2</v>
      </c>
      <c r="AF585" s="960">
        <f t="array" ref="AF585">HLOOKUP($J585,'Type Chart'!$C$2:$T$20,13,false)*HLOOKUP($K585,'Type Chart'!$C$2:$U$20,13,false)</f>
        <v>0.5</v>
      </c>
      <c r="AG585" s="960">
        <f t="array" ref="AG585">HLOOKUP($J585,'Type Chart'!$C$2:$T$20,14,false)*HLOOKUP($K585,'Type Chart'!$C$2:$U$20,14,false)</f>
        <v>1</v>
      </c>
      <c r="AH585" s="960">
        <f t="array" ref="AH585">HLOOKUP($J585,'Type Chart'!$C$2:$T$20,15,false)*HLOOKUP($K585,'Type Chart'!$C$2:$U$20,15,false)</f>
        <v>1</v>
      </c>
      <c r="AI585" s="960">
        <f t="array" ref="AI585">HLOOKUP($J585,'Type Chart'!$C$2:$T$20,16,false)*HLOOKUP($K585,'Type Chart'!$C$2:$U$20,16,false)</f>
        <v>0.5</v>
      </c>
      <c r="AJ585" s="960">
        <f t="array" ref="AJ585">HLOOKUP($J585,'Type Chart'!$C$2:$T$20,17,false)*HLOOKUP($K585,'Type Chart'!$C$2:$U$20,17,false)</f>
        <v>1</v>
      </c>
      <c r="AK585" s="960">
        <f t="array" ref="AK585">HLOOKUP($J585,'Type Chart'!$C$2:$T$20,18,false)*HLOOKUP($K585,'Type Chart'!$C$2:$U$20,18,false)</f>
        <v>1</v>
      </c>
      <c r="AL585" s="960">
        <f t="array" ref="AL585">HLOOKUP($J585,'Type Chart'!$C$2:$T$20,19,false)*HLOOKUP($K585,'Type Chart'!$C$2:$U$20,19,false)</f>
        <v>0.5</v>
      </c>
      <c r="AM585" s="964" t="s">
        <v>1353</v>
      </c>
      <c r="AN585" s="965"/>
      <c r="AO585" s="966" t="s">
        <v>1265</v>
      </c>
      <c r="AP585" s="936"/>
      <c r="AQ585" s="967"/>
      <c r="AR585" s="968"/>
      <c r="AS585" s="936"/>
    </row>
    <row r="586" ht="15.75" customHeight="1">
      <c r="A586" s="936"/>
      <c r="B586" s="948" t="s">
        <v>2666</v>
      </c>
      <c r="C586" s="950" t="s">
        <v>2667</v>
      </c>
      <c r="D586" s="950" t="s">
        <v>2667</v>
      </c>
      <c r="E586" s="952" t="s">
        <v>2667</v>
      </c>
      <c r="F586" s="940"/>
      <c r="G586" s="953"/>
      <c r="H586" s="969"/>
      <c r="I586" s="956" t="s">
        <v>2668</v>
      </c>
      <c r="J586" s="1207" t="s">
        <v>127</v>
      </c>
      <c r="K586" s="1001" t="s">
        <v>128</v>
      </c>
      <c r="L586" s="959">
        <v>85.0</v>
      </c>
      <c r="M586" s="960">
        <v>50.0</v>
      </c>
      <c r="N586" s="960">
        <v>95.0</v>
      </c>
      <c r="O586" s="960">
        <v>120.0</v>
      </c>
      <c r="P586" s="960">
        <v>115.0</v>
      </c>
      <c r="Q586" s="960">
        <v>80.0</v>
      </c>
      <c r="R586" s="960">
        <v>196.0</v>
      </c>
      <c r="S586" s="960">
        <v>259.0</v>
      </c>
      <c r="T586" s="960">
        <v>284.0</v>
      </c>
      <c r="U586" s="960">
        <f t="array" ref="U586">HLOOKUP($J586,'Type Chart'!$C$2:$T$20,2,false)*HLOOKUP($K586,'Type Chart'!$C$2:$U$20,2,false)</f>
        <v>1</v>
      </c>
      <c r="V586" s="960">
        <f t="array" ref="V586">HLOOKUP($J586,'Type Chart'!$C$2:$T$20,3,false)*HLOOKUP($K586,'Type Chart'!$C$2:$U$20,3,false)</f>
        <v>0.25</v>
      </c>
      <c r="W586" s="960">
        <f t="array" ref="W586">HLOOKUP($J586,'Type Chart'!$C$2:$T$20,4,false)*HLOOKUP($K586,'Type Chart'!$C$2:$U$20,4,false)</f>
        <v>1</v>
      </c>
      <c r="X586" s="960">
        <f t="array" ref="X586">HLOOKUP($J586,'Type Chart'!$C$2:$T$20,5,false)*HLOOKUP($K586,'Type Chart'!$C$2:$U$20,5,false)</f>
        <v>2</v>
      </c>
      <c r="Y586" s="960">
        <f t="array" ref="Y586">HLOOKUP($J586,'Type Chart'!$C$2:$T$20,6,false)*HLOOKUP($K586,'Type Chart'!$C$2:$U$20,6,false)</f>
        <v>0</v>
      </c>
      <c r="Z586" s="960">
        <f t="array" ref="Z586">HLOOKUP($J586,'Type Chart'!$C$2:$T$20,7,false)*HLOOKUP($K586,'Type Chart'!$C$2:$U$20,7,false)</f>
        <v>2</v>
      </c>
      <c r="AA586" s="960">
        <f t="array" ref="AA586">HLOOKUP($J586,'Type Chart'!$C$2:$T$20,8,false)*HLOOKUP($K586,'Type Chart'!$C$2:$U$20,8,false)</f>
        <v>0.25</v>
      </c>
      <c r="AB586" s="960">
        <f t="array" ref="AB586">HLOOKUP($J586,'Type Chart'!$C$2:$T$20,9,false)*HLOOKUP($K586,'Type Chart'!$C$2:$U$20,9,false)</f>
        <v>1</v>
      </c>
      <c r="AC586" s="960">
        <f t="array" ref="AC586">HLOOKUP($J586,'Type Chart'!$C$2:$T$20,10,false)*HLOOKUP($K586,'Type Chart'!$C$2:$U$20,10,false)</f>
        <v>2</v>
      </c>
      <c r="AD586" s="960">
        <f t="array" ref="AD586">HLOOKUP($J586,'Type Chart'!$C$2:$T$20,11,false)*HLOOKUP($K586,'Type Chart'!$C$2:$U$20,11,false)</f>
        <v>1</v>
      </c>
      <c r="AE586" s="960">
        <f t="array" ref="AE586">HLOOKUP($J586,'Type Chart'!$C$2:$T$20,12,false)*HLOOKUP($K586,'Type Chart'!$C$2:$U$20,12,false)</f>
        <v>1</v>
      </c>
      <c r="AF586" s="960">
        <f t="array" ref="AF586">HLOOKUP($J586,'Type Chart'!$C$2:$T$20,13,false)*HLOOKUP($K586,'Type Chart'!$C$2:$U$20,13,false)</f>
        <v>0.5</v>
      </c>
      <c r="AG586" s="960">
        <f t="array" ref="AG586">HLOOKUP($J586,'Type Chart'!$C$2:$T$20,14,false)*HLOOKUP($K586,'Type Chart'!$C$2:$U$20,14,false)</f>
        <v>2</v>
      </c>
      <c r="AH586" s="960">
        <f t="array" ref="AH586">HLOOKUP($J586,'Type Chart'!$C$2:$T$20,15,false)*HLOOKUP($K586,'Type Chart'!$C$2:$U$20,15,false)</f>
        <v>1</v>
      </c>
      <c r="AI586" s="960">
        <f t="array" ref="AI586">HLOOKUP($J586,'Type Chart'!$C$2:$T$20,16,false)*HLOOKUP($K586,'Type Chart'!$C$2:$U$20,16,false)</f>
        <v>2</v>
      </c>
      <c r="AJ586" s="960">
        <f t="array" ref="AJ586">HLOOKUP($J586,'Type Chart'!$C$2:$T$20,17,false)*HLOOKUP($K586,'Type Chart'!$C$2:$U$20,17,false)</f>
        <v>0</v>
      </c>
      <c r="AK586" s="960">
        <f t="array" ref="AK586">HLOOKUP($J586,'Type Chart'!$C$2:$T$20,18,false)*HLOOKUP($K586,'Type Chart'!$C$2:$U$20,18,false)</f>
        <v>0.5</v>
      </c>
      <c r="AL586" s="960">
        <f t="array" ref="AL586">HLOOKUP($J586,'Type Chart'!$C$2:$T$20,19,false)*HLOOKUP($K586,'Type Chart'!$C$2:$U$20,19,false)</f>
        <v>1</v>
      </c>
      <c r="AM586" s="964" t="s">
        <v>1039</v>
      </c>
      <c r="AN586" s="965" t="s">
        <v>1521</v>
      </c>
      <c r="AO586" s="966" t="s">
        <v>1745</v>
      </c>
      <c r="AP586" s="936"/>
      <c r="AQ586" s="967"/>
      <c r="AR586" s="968"/>
      <c r="AS586" s="936"/>
    </row>
    <row r="587" ht="15.75" customHeight="1">
      <c r="A587" s="936"/>
      <c r="B587" s="948" t="s">
        <v>2669</v>
      </c>
      <c r="C587" s="950" t="s">
        <v>2670</v>
      </c>
      <c r="D587" s="950" t="s">
        <v>2670</v>
      </c>
      <c r="E587" s="952" t="s">
        <v>2670</v>
      </c>
      <c r="F587" s="940"/>
      <c r="G587" s="953"/>
      <c r="H587" s="969"/>
      <c r="I587" s="956" t="s">
        <v>694</v>
      </c>
      <c r="J587" s="1180" t="s">
        <v>343</v>
      </c>
      <c r="K587" s="1001" t="s">
        <v>128</v>
      </c>
      <c r="L587" s="959">
        <v>86.0</v>
      </c>
      <c r="M587" s="960">
        <v>76.0</v>
      </c>
      <c r="N587" s="960">
        <v>86.0</v>
      </c>
      <c r="O587" s="960">
        <v>116.0</v>
      </c>
      <c r="P587" s="960">
        <v>56.0</v>
      </c>
      <c r="Q587" s="960">
        <v>95.0</v>
      </c>
      <c r="R587" s="960">
        <v>226.0</v>
      </c>
      <c r="S587" s="960">
        <v>289.0</v>
      </c>
      <c r="T587" s="960">
        <v>317.0</v>
      </c>
      <c r="U587" s="960">
        <f t="array" ref="U587">HLOOKUP($J587,'Type Chart'!$C$2:$T$20,2,false)*HLOOKUP($K587,'Type Chart'!$C$2:$U$20,2,false)</f>
        <v>1</v>
      </c>
      <c r="V587" s="960">
        <f t="array" ref="V587">HLOOKUP($J587,'Type Chart'!$C$2:$T$20,3,false)*HLOOKUP($K587,'Type Chart'!$C$2:$U$20,3,false)</f>
        <v>0.25</v>
      </c>
      <c r="W587" s="960">
        <f t="array" ref="W587">HLOOKUP($J587,'Type Chart'!$C$2:$T$20,4,false)*HLOOKUP($K587,'Type Chart'!$C$2:$U$20,4,false)</f>
        <v>2</v>
      </c>
      <c r="X587" s="960">
        <f t="array" ref="X587">HLOOKUP($J587,'Type Chart'!$C$2:$T$20,5,false)*HLOOKUP($K587,'Type Chart'!$C$2:$U$20,5,false)</f>
        <v>1</v>
      </c>
      <c r="Y587" s="960">
        <f t="array" ref="Y587">HLOOKUP($J587,'Type Chart'!$C$2:$T$20,6,false)*HLOOKUP($K587,'Type Chart'!$C$2:$U$20,6,false)</f>
        <v>0</v>
      </c>
      <c r="Z587" s="960">
        <f t="array" ref="Z587">HLOOKUP($J587,'Type Chart'!$C$2:$T$20,7,false)*HLOOKUP($K587,'Type Chart'!$C$2:$U$20,7,false)</f>
        <v>4</v>
      </c>
      <c r="AA587" s="960">
        <f t="array" ref="AA587">HLOOKUP($J587,'Type Chart'!$C$2:$T$20,8,false)*HLOOKUP($K587,'Type Chart'!$C$2:$U$20,8,false)</f>
        <v>0.5</v>
      </c>
      <c r="AB587" s="960">
        <f t="array" ref="AB587">HLOOKUP($J587,'Type Chart'!$C$2:$T$20,9,false)*HLOOKUP($K587,'Type Chart'!$C$2:$U$20,9,false)</f>
        <v>1</v>
      </c>
      <c r="AC587" s="960">
        <f t="array" ref="AC587">HLOOKUP($J587,'Type Chart'!$C$2:$T$20,10,false)*HLOOKUP($K587,'Type Chart'!$C$2:$U$20,10,false)</f>
        <v>1</v>
      </c>
      <c r="AD587" s="960">
        <f t="array" ref="AD587">HLOOKUP($J587,'Type Chart'!$C$2:$T$20,11,false)*HLOOKUP($K587,'Type Chart'!$C$2:$U$20,11,false)</f>
        <v>2</v>
      </c>
      <c r="AE587" s="960">
        <f t="array" ref="AE587">HLOOKUP($J587,'Type Chart'!$C$2:$T$20,12,false)*HLOOKUP($K587,'Type Chart'!$C$2:$U$20,12,false)</f>
        <v>1</v>
      </c>
      <c r="AF587" s="960">
        <f t="array" ref="AF587">HLOOKUP($J587,'Type Chart'!$C$2:$T$20,13,false)*HLOOKUP($K587,'Type Chart'!$C$2:$U$20,13,false)</f>
        <v>0.25</v>
      </c>
      <c r="AG587" s="960">
        <f t="array" ref="AG587">HLOOKUP($J587,'Type Chart'!$C$2:$T$20,14,false)*HLOOKUP($K587,'Type Chart'!$C$2:$U$20,14,false)</f>
        <v>2</v>
      </c>
      <c r="AH587" s="960">
        <f t="array" ref="AH587">HLOOKUP($J587,'Type Chart'!$C$2:$T$20,15,false)*HLOOKUP($K587,'Type Chart'!$C$2:$U$20,15,false)</f>
        <v>1</v>
      </c>
      <c r="AI587" s="960">
        <f t="array" ref="AI587">HLOOKUP($J587,'Type Chart'!$C$2:$T$20,16,false)*HLOOKUP($K587,'Type Chart'!$C$2:$U$20,16,false)</f>
        <v>2</v>
      </c>
      <c r="AJ587" s="960">
        <f t="array" ref="AJ587">HLOOKUP($J587,'Type Chart'!$C$2:$T$20,17,false)*HLOOKUP($K587,'Type Chart'!$C$2:$U$20,17,false)</f>
        <v>1</v>
      </c>
      <c r="AK587" s="960">
        <f t="array" ref="AK587">HLOOKUP($J587,'Type Chart'!$C$2:$T$20,18,false)*HLOOKUP($K587,'Type Chart'!$C$2:$U$20,18,false)</f>
        <v>1</v>
      </c>
      <c r="AL587" s="960">
        <f t="array" ref="AL587">HLOOKUP($J587,'Type Chart'!$C$2:$T$20,19,false)*HLOOKUP($K587,'Type Chart'!$C$2:$U$20,19,false)</f>
        <v>1</v>
      </c>
      <c r="AM587" s="964" t="s">
        <v>1798</v>
      </c>
      <c r="AN587" s="965" t="s">
        <v>1003</v>
      </c>
      <c r="AO587" s="966" t="s">
        <v>1188</v>
      </c>
      <c r="AP587" s="936"/>
      <c r="AQ587" s="967"/>
      <c r="AR587" s="968"/>
      <c r="AS587" s="936"/>
    </row>
    <row r="588" ht="15.75" customHeight="1">
      <c r="A588" s="936"/>
      <c r="B588" s="948" t="s">
        <v>2671</v>
      </c>
      <c r="C588" s="950" t="s">
        <v>2672</v>
      </c>
      <c r="D588" s="950" t="s">
        <v>2672</v>
      </c>
      <c r="E588" s="952" t="s">
        <v>2672</v>
      </c>
      <c r="F588" s="940"/>
      <c r="G588" s="953"/>
      <c r="H588" s="969"/>
      <c r="I588" s="956" t="s">
        <v>715</v>
      </c>
      <c r="J588" s="957" t="s">
        <v>209</v>
      </c>
      <c r="K588" s="984" t="s">
        <v>216</v>
      </c>
      <c r="L588" s="959">
        <v>65.0</v>
      </c>
      <c r="M588" s="960">
        <v>110.0</v>
      </c>
      <c r="N588" s="960">
        <v>130.0</v>
      </c>
      <c r="O588" s="960">
        <v>60.0</v>
      </c>
      <c r="P588" s="960">
        <v>65.0</v>
      </c>
      <c r="Q588" s="960">
        <v>95.0</v>
      </c>
      <c r="R588" s="960">
        <v>226.0</v>
      </c>
      <c r="S588" s="960">
        <v>289.0</v>
      </c>
      <c r="T588" s="960">
        <v>317.0</v>
      </c>
      <c r="U588" s="960">
        <f t="array" ref="U588">HLOOKUP($J588,'Type Chart'!$C$2:$T$20,2,false)*HLOOKUP($K588,'Type Chart'!$C$2:$U$20,2,false)</f>
        <v>1</v>
      </c>
      <c r="V588" s="960">
        <f t="array" ref="V588">HLOOKUP($J588,'Type Chart'!$C$2:$T$20,3,false)*HLOOKUP($K588,'Type Chart'!$C$2:$U$20,3,false)</f>
        <v>1</v>
      </c>
      <c r="W588" s="960">
        <f t="array" ref="W588">HLOOKUP($J588,'Type Chart'!$C$2:$T$20,4,false)*HLOOKUP($K588,'Type Chart'!$C$2:$U$20,4,false)</f>
        <v>2</v>
      </c>
      <c r="X588" s="960">
        <f t="array" ref="X588">HLOOKUP($J588,'Type Chart'!$C$2:$T$20,5,false)*HLOOKUP($K588,'Type Chart'!$C$2:$U$20,5,false)</f>
        <v>2</v>
      </c>
      <c r="Y588" s="960">
        <f t="array" ref="Y588">HLOOKUP($J588,'Type Chart'!$C$2:$T$20,6,false)*HLOOKUP($K588,'Type Chart'!$C$2:$U$20,6,false)</f>
        <v>0.5</v>
      </c>
      <c r="Z588" s="960">
        <f t="array" ref="Z588">HLOOKUP($J588,'Type Chart'!$C$2:$T$20,7,false)*HLOOKUP($K588,'Type Chart'!$C$2:$U$20,7,false)</f>
        <v>1</v>
      </c>
      <c r="AA588" s="960">
        <f t="array" ref="AA588">HLOOKUP($J588,'Type Chart'!$C$2:$T$20,8,false)*HLOOKUP($K588,'Type Chart'!$C$2:$U$20,8,false)</f>
        <v>2</v>
      </c>
      <c r="AB588" s="960">
        <f t="array" ref="AB588">HLOOKUP($J588,'Type Chart'!$C$2:$T$20,9,false)*HLOOKUP($K588,'Type Chart'!$C$2:$U$20,9,false)</f>
        <v>1</v>
      </c>
      <c r="AC588" s="960">
        <f t="array" ref="AC588">HLOOKUP($J588,'Type Chart'!$C$2:$T$20,10,false)*HLOOKUP($K588,'Type Chart'!$C$2:$U$20,10,false)</f>
        <v>1</v>
      </c>
      <c r="AD588" s="960">
        <f t="array" ref="AD588">HLOOKUP($J588,'Type Chart'!$C$2:$T$20,11,false)*HLOOKUP($K588,'Type Chart'!$C$2:$U$20,11,false)</f>
        <v>2</v>
      </c>
      <c r="AE588" s="960">
        <f t="array" ref="AE588">HLOOKUP($J588,'Type Chart'!$C$2:$T$20,12,false)*HLOOKUP($K588,'Type Chart'!$C$2:$U$20,12,false)</f>
        <v>0.5</v>
      </c>
      <c r="AF588" s="960">
        <f t="array" ref="AF588">HLOOKUP($J588,'Type Chart'!$C$2:$T$20,13,false)*HLOOKUP($K588,'Type Chart'!$C$2:$U$20,13,false)</f>
        <v>0.5</v>
      </c>
      <c r="AG588" s="960">
        <f t="array" ref="AG588">HLOOKUP($J588,'Type Chart'!$C$2:$T$20,14,false)*HLOOKUP($K588,'Type Chart'!$C$2:$U$20,14,false)</f>
        <v>0.5</v>
      </c>
      <c r="AH588" s="960">
        <f t="array" ref="AH588">HLOOKUP($J588,'Type Chart'!$C$2:$T$20,15,false)*HLOOKUP($K588,'Type Chart'!$C$2:$U$20,15,false)</f>
        <v>1</v>
      </c>
      <c r="AI588" s="960">
        <f t="array" ref="AI588">HLOOKUP($J588,'Type Chart'!$C$2:$T$20,16,false)*HLOOKUP($K588,'Type Chart'!$C$2:$U$20,16,false)</f>
        <v>2</v>
      </c>
      <c r="AJ588" s="960">
        <f t="array" ref="AJ588">HLOOKUP($J588,'Type Chart'!$C$2:$T$20,17,false)*HLOOKUP($K588,'Type Chart'!$C$2:$U$20,17,false)</f>
        <v>1</v>
      </c>
      <c r="AK588" s="960">
        <f t="array" ref="AK588">HLOOKUP($J588,'Type Chart'!$C$2:$T$20,18,false)*HLOOKUP($K588,'Type Chart'!$C$2:$U$20,18,false)</f>
        <v>1</v>
      </c>
      <c r="AL588" s="960">
        <f t="array" ref="AL588">HLOOKUP($J588,'Type Chart'!$C$2:$T$20,19,false)*HLOOKUP($K588,'Type Chart'!$C$2:$U$20,19,false)</f>
        <v>1</v>
      </c>
      <c r="AM588" s="964" t="s">
        <v>1526</v>
      </c>
      <c r="AN588" s="965"/>
      <c r="AO588" s="966" t="s">
        <v>524</v>
      </c>
      <c r="AP588" s="936"/>
      <c r="AQ588" s="967"/>
      <c r="AR588" s="968"/>
      <c r="AS588" s="936"/>
    </row>
    <row r="589" ht="15.75" customHeight="1">
      <c r="A589" s="936"/>
      <c r="B589" s="948" t="s">
        <v>2673</v>
      </c>
      <c r="C589" s="950" t="s">
        <v>2674</v>
      </c>
      <c r="D589" s="950" t="s">
        <v>2674</v>
      </c>
      <c r="E589" s="952" t="s">
        <v>2674</v>
      </c>
      <c r="F589" s="940"/>
      <c r="G589" s="953"/>
      <c r="H589" s="969"/>
      <c r="I589" s="956" t="s">
        <v>753</v>
      </c>
      <c r="J589" s="1205" t="s">
        <v>345</v>
      </c>
      <c r="K589" s="984" t="s">
        <v>216</v>
      </c>
      <c r="L589" s="959">
        <v>65.0</v>
      </c>
      <c r="M589" s="960">
        <v>60.0</v>
      </c>
      <c r="N589" s="960">
        <v>110.0</v>
      </c>
      <c r="O589" s="960">
        <v>130.0</v>
      </c>
      <c r="P589" s="960">
        <v>95.0</v>
      </c>
      <c r="Q589" s="960">
        <v>65.0</v>
      </c>
      <c r="R589" s="960">
        <v>166.0</v>
      </c>
      <c r="S589" s="960">
        <v>229.0</v>
      </c>
      <c r="T589" s="960">
        <v>251.0</v>
      </c>
      <c r="U589" s="960">
        <f t="array" ref="U589">HLOOKUP($J589,'Type Chart'!$C$2:$T$20,2,false)*HLOOKUP($K589,'Type Chart'!$C$2:$U$20,2,false)</f>
        <v>1</v>
      </c>
      <c r="V589" s="960">
        <f t="array" ref="V589">HLOOKUP($J589,'Type Chart'!$C$2:$T$20,3,false)*HLOOKUP($K589,'Type Chart'!$C$2:$U$20,3,false)</f>
        <v>2</v>
      </c>
      <c r="W589" s="960">
        <f t="array" ref="W589">HLOOKUP($J589,'Type Chart'!$C$2:$T$20,4,false)*HLOOKUP($K589,'Type Chart'!$C$2:$U$20,4,false)</f>
        <v>1</v>
      </c>
      <c r="X589" s="960">
        <f t="array" ref="X589">HLOOKUP($J589,'Type Chart'!$C$2:$T$20,5,false)*HLOOKUP($K589,'Type Chart'!$C$2:$U$20,5,false)</f>
        <v>1</v>
      </c>
      <c r="Y589" s="960">
        <f t="array" ref="Y589">HLOOKUP($J589,'Type Chart'!$C$2:$T$20,6,false)*HLOOKUP($K589,'Type Chart'!$C$2:$U$20,6,false)</f>
        <v>1</v>
      </c>
      <c r="Z589" s="960">
        <f t="array" ref="Z589">HLOOKUP($J589,'Type Chart'!$C$2:$T$20,7,false)*HLOOKUP($K589,'Type Chart'!$C$2:$U$20,7,false)</f>
        <v>2</v>
      </c>
      <c r="AA589" s="960">
        <f t="array" ref="AA589">HLOOKUP($J589,'Type Chart'!$C$2:$T$20,8,false)*HLOOKUP($K589,'Type Chart'!$C$2:$U$20,8,false)</f>
        <v>1</v>
      </c>
      <c r="AB589" s="960">
        <f t="array" ref="AB589">HLOOKUP($J589,'Type Chart'!$C$2:$T$20,9,false)*HLOOKUP($K589,'Type Chart'!$C$2:$U$20,9,false)</f>
        <v>1</v>
      </c>
      <c r="AC589" s="960">
        <f t="array" ref="AC589">HLOOKUP($J589,'Type Chart'!$C$2:$T$20,10,false)*HLOOKUP($K589,'Type Chart'!$C$2:$U$20,10,false)</f>
        <v>2</v>
      </c>
      <c r="AD589" s="960">
        <f t="array" ref="AD589">HLOOKUP($J589,'Type Chart'!$C$2:$T$20,11,false)*HLOOKUP($K589,'Type Chart'!$C$2:$U$20,11,false)</f>
        <v>2</v>
      </c>
      <c r="AE589" s="960">
        <f t="array" ref="AE589">HLOOKUP($J589,'Type Chart'!$C$2:$T$20,12,false)*HLOOKUP($K589,'Type Chart'!$C$2:$U$20,12,false)</f>
        <v>1</v>
      </c>
      <c r="AF589" s="960">
        <f t="array" ref="AF589">HLOOKUP($J589,'Type Chart'!$C$2:$T$20,13,false)*HLOOKUP($K589,'Type Chart'!$C$2:$U$20,13,false)</f>
        <v>1</v>
      </c>
      <c r="AG589" s="960">
        <f t="array" ref="AG589">HLOOKUP($J589,'Type Chart'!$C$2:$T$20,14,false)*HLOOKUP($K589,'Type Chart'!$C$2:$U$20,14,false)</f>
        <v>1</v>
      </c>
      <c r="AH589" s="960">
        <f t="array" ref="AH589">HLOOKUP($J589,'Type Chart'!$C$2:$T$20,15,false)*HLOOKUP($K589,'Type Chart'!$C$2:$U$20,15,false)</f>
        <v>1</v>
      </c>
      <c r="AI589" s="960">
        <f t="array" ref="AI589">HLOOKUP($J589,'Type Chart'!$C$2:$T$20,16,false)*HLOOKUP($K589,'Type Chart'!$C$2:$U$20,16,false)</f>
        <v>0.5</v>
      </c>
      <c r="AJ589" s="960">
        <f t="array" ref="AJ589">HLOOKUP($J589,'Type Chart'!$C$2:$T$20,17,false)*HLOOKUP($K589,'Type Chart'!$C$2:$U$20,17,false)</f>
        <v>1</v>
      </c>
      <c r="AK589" s="960">
        <f t="array" ref="AK589">HLOOKUP($J589,'Type Chart'!$C$2:$T$20,18,false)*HLOOKUP($K589,'Type Chart'!$C$2:$U$20,18,false)</f>
        <v>1</v>
      </c>
      <c r="AL589" s="960">
        <f t="array" ref="AL589">HLOOKUP($J589,'Type Chart'!$C$2:$T$20,19,false)*HLOOKUP($K589,'Type Chart'!$C$2:$U$20,19,false)</f>
        <v>1</v>
      </c>
      <c r="AM589" s="964" t="s">
        <v>1135</v>
      </c>
      <c r="AN589" s="965"/>
      <c r="AO589" s="966" t="s">
        <v>1410</v>
      </c>
      <c r="AP589" s="936"/>
      <c r="AQ589" s="967"/>
      <c r="AR589" s="968"/>
      <c r="AS589" s="936"/>
    </row>
    <row r="590" ht="15.75" customHeight="1">
      <c r="A590" s="936"/>
      <c r="B590" s="948" t="s">
        <v>2675</v>
      </c>
      <c r="C590" s="950" t="s">
        <v>174</v>
      </c>
      <c r="D590" s="950" t="s">
        <v>174</v>
      </c>
      <c r="E590" s="952" t="s">
        <v>174</v>
      </c>
      <c r="F590" s="940"/>
      <c r="G590" s="953"/>
      <c r="H590" s="969"/>
      <c r="I590" s="956" t="s">
        <v>244</v>
      </c>
      <c r="J590" s="1204" t="s">
        <v>80</v>
      </c>
      <c r="K590" s="1001" t="s">
        <v>128</v>
      </c>
      <c r="L590" s="959">
        <v>75.0</v>
      </c>
      <c r="M590" s="960">
        <v>95.0</v>
      </c>
      <c r="N590" s="960">
        <v>125.0</v>
      </c>
      <c r="O590" s="960">
        <v>45.0</v>
      </c>
      <c r="P590" s="960">
        <v>75.0</v>
      </c>
      <c r="Q590" s="960">
        <v>95.0</v>
      </c>
      <c r="R590" s="960">
        <v>226.0</v>
      </c>
      <c r="S590" s="960">
        <v>289.0</v>
      </c>
      <c r="T590" s="960">
        <v>317.0</v>
      </c>
      <c r="U590" s="960">
        <f t="array" ref="U590">HLOOKUP($J590,'Type Chart'!$C$2:$T$20,2,false)*HLOOKUP($K590,'Type Chart'!$C$2:$U$20,2,false)</f>
        <v>1</v>
      </c>
      <c r="V590" s="960">
        <f t="array" ref="V590">HLOOKUP($J590,'Type Chart'!$C$2:$T$20,3,false)*HLOOKUP($K590,'Type Chart'!$C$2:$U$20,3,false)</f>
        <v>0.5</v>
      </c>
      <c r="W590" s="960">
        <f t="array" ref="W590">HLOOKUP($J590,'Type Chart'!$C$2:$T$20,4,false)*HLOOKUP($K590,'Type Chart'!$C$2:$U$20,4,false)</f>
        <v>1</v>
      </c>
      <c r="X590" s="960">
        <f t="array" ref="X590">HLOOKUP($J590,'Type Chart'!$C$2:$T$20,5,false)*HLOOKUP($K590,'Type Chart'!$C$2:$U$20,5,false)</f>
        <v>0.5</v>
      </c>
      <c r="Y590" s="960">
        <f t="array" ref="Y590">HLOOKUP($J590,'Type Chart'!$C$2:$T$20,6,false)*HLOOKUP($K590,'Type Chart'!$C$2:$U$20,6,false)</f>
        <v>0</v>
      </c>
      <c r="Z590" s="960">
        <f t="array" ref="Z590">HLOOKUP($J590,'Type Chart'!$C$2:$T$20,7,false)*HLOOKUP($K590,'Type Chart'!$C$2:$U$20,7,false)</f>
        <v>1</v>
      </c>
      <c r="AA590" s="960">
        <f t="array" ref="AA590">HLOOKUP($J590,'Type Chart'!$C$2:$T$20,8,false)*HLOOKUP($K590,'Type Chart'!$C$2:$U$20,8,false)</f>
        <v>0.5</v>
      </c>
      <c r="AB590" s="960">
        <f t="array" ref="AB590">HLOOKUP($J590,'Type Chart'!$C$2:$T$20,9,false)*HLOOKUP($K590,'Type Chart'!$C$2:$U$20,9,false)</f>
        <v>1</v>
      </c>
      <c r="AC590" s="960">
        <f t="array" ref="AC590">HLOOKUP($J590,'Type Chart'!$C$2:$T$20,10,false)*HLOOKUP($K590,'Type Chart'!$C$2:$U$20,10,false)</f>
        <v>1</v>
      </c>
      <c r="AD590" s="960">
        <f t="array" ref="AD590">HLOOKUP($J590,'Type Chart'!$C$2:$T$20,11,false)*HLOOKUP($K590,'Type Chart'!$C$2:$U$20,11,false)</f>
        <v>1</v>
      </c>
      <c r="AE590" s="960">
        <f t="array" ref="AE590">HLOOKUP($J590,'Type Chart'!$C$2:$T$20,12,false)*HLOOKUP($K590,'Type Chart'!$C$2:$U$20,12,false)</f>
        <v>2</v>
      </c>
      <c r="AF590" s="960">
        <f t="array" ref="AF590">HLOOKUP($J590,'Type Chart'!$C$2:$T$20,13,false)*HLOOKUP($K590,'Type Chart'!$C$2:$U$20,13,false)</f>
        <v>1</v>
      </c>
      <c r="AG590" s="960">
        <f t="array" ref="AG590">HLOOKUP($J590,'Type Chart'!$C$2:$T$20,14,false)*HLOOKUP($K590,'Type Chart'!$C$2:$U$20,14,false)</f>
        <v>0</v>
      </c>
      <c r="AH590" s="960">
        <f t="array" ref="AH590">HLOOKUP($J590,'Type Chart'!$C$2:$T$20,15,false)*HLOOKUP($K590,'Type Chart'!$C$2:$U$20,15,false)</f>
        <v>1</v>
      </c>
      <c r="AI590" s="960">
        <f t="array" ref="AI590">HLOOKUP($J590,'Type Chart'!$C$2:$T$20,16,false)*HLOOKUP($K590,'Type Chart'!$C$2:$U$20,16,false)</f>
        <v>4</v>
      </c>
      <c r="AJ590" s="960">
        <f t="array" ref="AJ590">HLOOKUP($J590,'Type Chart'!$C$2:$T$20,17,false)*HLOOKUP($K590,'Type Chart'!$C$2:$U$20,17,false)</f>
        <v>1</v>
      </c>
      <c r="AK590" s="960">
        <f t="array" ref="AK590">HLOOKUP($J590,'Type Chart'!$C$2:$T$20,18,false)*HLOOKUP($K590,'Type Chart'!$C$2:$U$20,18,false)</f>
        <v>1</v>
      </c>
      <c r="AL590" s="960">
        <f t="array" ref="AL590">HLOOKUP($J590,'Type Chart'!$C$2:$T$20,19,false)*HLOOKUP($K590,'Type Chart'!$C$2:$U$20,19,false)</f>
        <v>1</v>
      </c>
      <c r="AM590" s="964" t="s">
        <v>1461</v>
      </c>
      <c r="AN590" s="965" t="s">
        <v>1129</v>
      </c>
      <c r="AO590" s="966" t="s">
        <v>2088</v>
      </c>
      <c r="AP590" s="936"/>
      <c r="AQ590" s="967"/>
      <c r="AR590" s="968"/>
      <c r="AS590" s="936"/>
    </row>
    <row r="591" ht="15.75" customHeight="1">
      <c r="A591" s="936"/>
      <c r="B591" s="948" t="s">
        <v>2676</v>
      </c>
      <c r="C591" s="950" t="s">
        <v>2677</v>
      </c>
      <c r="D591" s="950" t="s">
        <v>2677</v>
      </c>
      <c r="E591" s="952" t="s">
        <v>2677</v>
      </c>
      <c r="F591" s="940"/>
      <c r="G591" s="953"/>
      <c r="H591" s="969"/>
      <c r="I591" s="956" t="s">
        <v>499</v>
      </c>
      <c r="J591" s="1205" t="s">
        <v>345</v>
      </c>
      <c r="K591" s="1204" t="s">
        <v>80</v>
      </c>
      <c r="L591" s="959">
        <v>110.0</v>
      </c>
      <c r="M591" s="960">
        <v>130.0</v>
      </c>
      <c r="N591" s="960">
        <v>80.0</v>
      </c>
      <c r="O591" s="960">
        <v>70.0</v>
      </c>
      <c r="P591" s="960">
        <v>60.0</v>
      </c>
      <c r="Q591" s="960">
        <v>80.0</v>
      </c>
      <c r="R591" s="960">
        <v>196.0</v>
      </c>
      <c r="S591" s="960">
        <v>259.0</v>
      </c>
      <c r="T591" s="960">
        <v>284.0</v>
      </c>
      <c r="U591" s="960">
        <f t="array" ref="U591">HLOOKUP($J591,'Type Chart'!$C$2:$T$20,2,false)*HLOOKUP($K591,'Type Chart'!$C$2:$U$20,2,false)</f>
        <v>1</v>
      </c>
      <c r="V591" s="960">
        <f t="array" ref="V591">HLOOKUP($J591,'Type Chart'!$C$2:$T$20,3,false)*HLOOKUP($K591,'Type Chart'!$C$2:$U$20,3,false)</f>
        <v>2</v>
      </c>
      <c r="W591" s="960">
        <f t="array" ref="W591">HLOOKUP($J591,'Type Chart'!$C$2:$T$20,4,false)*HLOOKUP($K591,'Type Chart'!$C$2:$U$20,4,false)</f>
        <v>1</v>
      </c>
      <c r="X591" s="960">
        <f t="array" ref="X591">HLOOKUP($J591,'Type Chart'!$C$2:$T$20,5,false)*HLOOKUP($K591,'Type Chart'!$C$2:$U$20,5,false)</f>
        <v>0.5</v>
      </c>
      <c r="Y591" s="960">
        <f t="array" ref="Y591">HLOOKUP($J591,'Type Chart'!$C$2:$T$20,6,false)*HLOOKUP($K591,'Type Chart'!$C$2:$U$20,6,false)</f>
        <v>1</v>
      </c>
      <c r="Z591" s="960">
        <f t="array" ref="Z591">HLOOKUP($J591,'Type Chart'!$C$2:$T$20,7,false)*HLOOKUP($K591,'Type Chart'!$C$2:$U$20,7,false)</f>
        <v>1</v>
      </c>
      <c r="AA591" s="960">
        <f t="array" ref="AA591">HLOOKUP($J591,'Type Chart'!$C$2:$T$20,8,false)*HLOOKUP($K591,'Type Chart'!$C$2:$U$20,8,false)</f>
        <v>1</v>
      </c>
      <c r="AB591" s="960">
        <f t="array" ref="AB591">HLOOKUP($J591,'Type Chart'!$C$2:$T$20,9,false)*HLOOKUP($K591,'Type Chart'!$C$2:$U$20,9,false)</f>
        <v>1</v>
      </c>
      <c r="AC591" s="960">
        <f t="array" ref="AC591">HLOOKUP($J591,'Type Chart'!$C$2:$T$20,10,false)*HLOOKUP($K591,'Type Chart'!$C$2:$U$20,10,false)</f>
        <v>2</v>
      </c>
      <c r="AD591" s="960">
        <f t="array" ref="AD591">HLOOKUP($J591,'Type Chart'!$C$2:$T$20,11,false)*HLOOKUP($K591,'Type Chart'!$C$2:$U$20,11,false)</f>
        <v>2</v>
      </c>
      <c r="AE591" s="960">
        <f t="array" ref="AE591">HLOOKUP($J591,'Type Chart'!$C$2:$T$20,12,false)*HLOOKUP($K591,'Type Chart'!$C$2:$U$20,12,false)</f>
        <v>2</v>
      </c>
      <c r="AF591" s="960">
        <f t="array" ref="AF591">HLOOKUP($J591,'Type Chart'!$C$2:$T$20,13,false)*HLOOKUP($K591,'Type Chart'!$C$2:$U$20,13,false)</f>
        <v>2</v>
      </c>
      <c r="AG591" s="960">
        <f t="array" ref="AG591">HLOOKUP($J591,'Type Chart'!$C$2:$T$20,14,false)*HLOOKUP($K591,'Type Chart'!$C$2:$U$20,14,false)</f>
        <v>0</v>
      </c>
      <c r="AH591" s="960">
        <f t="array" ref="AH591">HLOOKUP($J591,'Type Chart'!$C$2:$T$20,15,false)*HLOOKUP($K591,'Type Chart'!$C$2:$U$20,15,false)</f>
        <v>1</v>
      </c>
      <c r="AI591" s="960">
        <f t="array" ref="AI591">HLOOKUP($J591,'Type Chart'!$C$2:$T$20,16,false)*HLOOKUP($K591,'Type Chart'!$C$2:$U$20,16,false)</f>
        <v>1</v>
      </c>
      <c r="AJ591" s="960">
        <f t="array" ref="AJ591">HLOOKUP($J591,'Type Chart'!$C$2:$T$20,17,false)*HLOOKUP($K591,'Type Chart'!$C$2:$U$20,17,false)</f>
        <v>1</v>
      </c>
      <c r="AK591" s="960">
        <f t="array" ref="AK591">HLOOKUP($J591,'Type Chart'!$C$2:$T$20,18,false)*HLOOKUP($K591,'Type Chart'!$C$2:$U$20,18,false)</f>
        <v>1</v>
      </c>
      <c r="AL591" s="960">
        <f t="array" ref="AL591">HLOOKUP($J591,'Type Chart'!$C$2:$T$20,19,false)*HLOOKUP($K591,'Type Chart'!$C$2:$U$20,19,false)</f>
        <v>1</v>
      </c>
      <c r="AM591" s="964" t="s">
        <v>1369</v>
      </c>
      <c r="AN591" s="965" t="s">
        <v>1135</v>
      </c>
      <c r="AO591" s="966" t="s">
        <v>760</v>
      </c>
      <c r="AP591" s="936"/>
      <c r="AQ591" s="967"/>
      <c r="AR591" s="968"/>
      <c r="AS591" s="936"/>
    </row>
    <row r="592" ht="15.75" customHeight="1">
      <c r="A592" s="936"/>
      <c r="B592" s="948" t="s">
        <v>2678</v>
      </c>
      <c r="C592" s="950" t="s">
        <v>2679</v>
      </c>
      <c r="D592" s="950" t="s">
        <v>2680</v>
      </c>
      <c r="E592" s="952" t="s">
        <v>2679</v>
      </c>
      <c r="F592" s="940"/>
      <c r="G592" s="953"/>
      <c r="H592" s="969"/>
      <c r="I592" s="956" t="s">
        <v>553</v>
      </c>
      <c r="J592" s="1194" t="s">
        <v>136</v>
      </c>
      <c r="K592" s="984" t="s">
        <v>216</v>
      </c>
      <c r="L592" s="959">
        <v>85.0</v>
      </c>
      <c r="M592" s="960">
        <v>80.0</v>
      </c>
      <c r="N592" s="960">
        <v>70.0</v>
      </c>
      <c r="O592" s="960">
        <v>135.0</v>
      </c>
      <c r="P592" s="960">
        <v>75.0</v>
      </c>
      <c r="Q592" s="960">
        <v>90.0</v>
      </c>
      <c r="R592" s="960">
        <v>216.0</v>
      </c>
      <c r="S592" s="960">
        <v>279.0</v>
      </c>
      <c r="T592" s="960">
        <v>306.0</v>
      </c>
      <c r="U592" s="960">
        <f t="array" ref="U592">HLOOKUP($J592,'Type Chart'!$C$2:$T$20,2,false)*HLOOKUP($K592,'Type Chart'!$C$2:$U$20,2,false)</f>
        <v>1</v>
      </c>
      <c r="V592" s="960">
        <f t="array" ref="V592">HLOOKUP($J592,'Type Chart'!$C$2:$T$20,3,false)*HLOOKUP($K592,'Type Chart'!$C$2:$U$20,3,false)</f>
        <v>2</v>
      </c>
      <c r="W592" s="960">
        <f t="array" ref="W592">HLOOKUP($J592,'Type Chart'!$C$2:$T$20,4,false)*HLOOKUP($K592,'Type Chart'!$C$2:$U$20,4,false)</f>
        <v>1</v>
      </c>
      <c r="X592" s="960">
        <f t="array" ref="X592">HLOOKUP($J592,'Type Chart'!$C$2:$T$20,5,false)*HLOOKUP($K592,'Type Chart'!$C$2:$U$20,5,false)</f>
        <v>1</v>
      </c>
      <c r="Y592" s="960">
        <f t="array" ref="Y592">HLOOKUP($J592,'Type Chart'!$C$2:$T$20,6,false)*HLOOKUP($K592,'Type Chart'!$C$2:$U$20,6,false)</f>
        <v>1</v>
      </c>
      <c r="Z592" s="960">
        <f t="array" ref="Z592">HLOOKUP($J592,'Type Chart'!$C$2:$T$20,7,false)*HLOOKUP($K592,'Type Chart'!$C$2:$U$20,7,false)</f>
        <v>1</v>
      </c>
      <c r="AA592" s="960">
        <f t="array" ref="AA592">HLOOKUP($J592,'Type Chart'!$C$2:$T$20,8,false)*HLOOKUP($K592,'Type Chart'!$C$2:$U$20,8,false)</f>
        <v>1</v>
      </c>
      <c r="AB592" s="960">
        <f t="array" ref="AB592">HLOOKUP($J592,'Type Chart'!$C$2:$T$20,9,false)*HLOOKUP($K592,'Type Chart'!$C$2:$U$20,9,false)</f>
        <v>0</v>
      </c>
      <c r="AC592" s="960">
        <f t="array" ref="AC592">HLOOKUP($J592,'Type Chart'!$C$2:$T$20,10,false)*HLOOKUP($K592,'Type Chart'!$C$2:$U$20,10,false)</f>
        <v>1</v>
      </c>
      <c r="AD592" s="960">
        <f t="array" ref="AD592">HLOOKUP($J592,'Type Chart'!$C$2:$T$20,11,false)*HLOOKUP($K592,'Type Chart'!$C$2:$U$20,11,false)</f>
        <v>1</v>
      </c>
      <c r="AE592" s="960">
        <f t="array" ref="AE592">HLOOKUP($J592,'Type Chart'!$C$2:$T$20,12,false)*HLOOKUP($K592,'Type Chart'!$C$2:$U$20,12,false)</f>
        <v>1</v>
      </c>
      <c r="AF592" s="960">
        <f t="array" ref="AF592">HLOOKUP($J592,'Type Chart'!$C$2:$T$20,13,false)*HLOOKUP($K592,'Type Chart'!$C$2:$U$20,13,false)</f>
        <v>1</v>
      </c>
      <c r="AG592" s="960">
        <f t="array" ref="AG592">HLOOKUP($J592,'Type Chart'!$C$2:$T$20,14,false)*HLOOKUP($K592,'Type Chart'!$C$2:$U$20,14,false)</f>
        <v>1</v>
      </c>
      <c r="AH592" s="960">
        <f t="array" ref="AH592">HLOOKUP($J592,'Type Chart'!$C$2:$T$20,15,false)*HLOOKUP($K592,'Type Chart'!$C$2:$U$20,15,false)</f>
        <v>1</v>
      </c>
      <c r="AI592" s="960">
        <f t="array" ref="AI592">HLOOKUP($J592,'Type Chart'!$C$2:$T$20,16,false)*HLOOKUP($K592,'Type Chart'!$C$2:$U$20,16,false)</f>
        <v>1</v>
      </c>
      <c r="AJ592" s="960">
        <f t="array" ref="AJ592">HLOOKUP($J592,'Type Chart'!$C$2:$T$20,17,false)*HLOOKUP($K592,'Type Chart'!$C$2:$U$20,17,false)</f>
        <v>1</v>
      </c>
      <c r="AK592" s="960">
        <f t="array" ref="AK592">HLOOKUP($J592,'Type Chart'!$C$2:$T$20,18,false)*HLOOKUP($K592,'Type Chart'!$C$2:$U$20,18,false)</f>
        <v>1</v>
      </c>
      <c r="AL592" s="960">
        <f t="array" ref="AL592">HLOOKUP($J592,'Type Chart'!$C$2:$T$20,19,false)*HLOOKUP($K592,'Type Chart'!$C$2:$U$20,19,false)</f>
        <v>1</v>
      </c>
      <c r="AM592" s="964" t="s">
        <v>1018</v>
      </c>
      <c r="AN592" s="965" t="s">
        <v>1620</v>
      </c>
      <c r="AO592" s="966" t="s">
        <v>1389</v>
      </c>
      <c r="AP592" s="936"/>
      <c r="AQ592" s="967"/>
      <c r="AR592" s="968"/>
      <c r="AS592" s="936"/>
    </row>
    <row r="593" ht="15.75" customHeight="1">
      <c r="A593" s="936"/>
      <c r="B593" s="948" t="s">
        <v>2681</v>
      </c>
      <c r="C593" s="950" t="s">
        <v>2682</v>
      </c>
      <c r="D593" s="950" t="s">
        <v>2682</v>
      </c>
      <c r="E593" s="952" t="s">
        <v>2682</v>
      </c>
      <c r="F593" s="940"/>
      <c r="G593" s="953"/>
      <c r="H593" s="969"/>
      <c r="I593" s="956" t="s">
        <v>538</v>
      </c>
      <c r="J593" s="1203" t="s">
        <v>344</v>
      </c>
      <c r="K593" s="1213" t="s">
        <v>341</v>
      </c>
      <c r="L593" s="959">
        <v>68.0</v>
      </c>
      <c r="M593" s="960">
        <v>125.0</v>
      </c>
      <c r="N593" s="960">
        <v>65.0</v>
      </c>
      <c r="O593" s="960">
        <v>65.0</v>
      </c>
      <c r="P593" s="960">
        <v>115.0</v>
      </c>
      <c r="Q593" s="960">
        <v>80.0</v>
      </c>
      <c r="R593" s="960">
        <v>196.0</v>
      </c>
      <c r="S593" s="960">
        <v>259.0</v>
      </c>
      <c r="T593" s="960">
        <v>284.0</v>
      </c>
      <c r="U593" s="960">
        <f t="array" ref="U593">HLOOKUP($J593,'Type Chart'!$C$2:$T$20,2,false)*HLOOKUP($K593,'Type Chart'!$C$2:$U$20,2,false)</f>
        <v>1</v>
      </c>
      <c r="V593" s="960">
        <f t="array" ref="V593">HLOOKUP($J593,'Type Chart'!$C$2:$T$20,3,false)*HLOOKUP($K593,'Type Chart'!$C$2:$U$20,3,false)</f>
        <v>0.5</v>
      </c>
      <c r="W593" s="960">
        <f t="array" ref="W593">HLOOKUP($J593,'Type Chart'!$C$2:$T$20,4,false)*HLOOKUP($K593,'Type Chart'!$C$2:$U$20,4,false)</f>
        <v>2</v>
      </c>
      <c r="X593" s="960">
        <f t="array" ref="X593">HLOOKUP($J593,'Type Chart'!$C$2:$T$20,5,false)*HLOOKUP($K593,'Type Chart'!$C$2:$U$20,5,false)</f>
        <v>1</v>
      </c>
      <c r="Y593" s="960">
        <f t="array" ref="Y593">HLOOKUP($J593,'Type Chart'!$C$2:$T$20,6,false)*HLOOKUP($K593,'Type Chart'!$C$2:$U$20,6,false)</f>
        <v>1</v>
      </c>
      <c r="Z593" s="960">
        <f t="array" ref="Z593">HLOOKUP($J593,'Type Chart'!$C$2:$T$20,7,false)*HLOOKUP($K593,'Type Chart'!$C$2:$U$20,7,false)</f>
        <v>0.5</v>
      </c>
      <c r="AA593" s="960">
        <f t="array" ref="AA593">HLOOKUP($J593,'Type Chart'!$C$2:$T$20,8,false)*HLOOKUP($K593,'Type Chart'!$C$2:$U$20,8,false)</f>
        <v>1</v>
      </c>
      <c r="AB593" s="960">
        <f t="array" ref="AB593">HLOOKUP($J593,'Type Chart'!$C$2:$T$20,9,false)*HLOOKUP($K593,'Type Chart'!$C$2:$U$20,9,false)</f>
        <v>2</v>
      </c>
      <c r="AC593" s="960">
        <f t="array" ref="AC593">HLOOKUP($J593,'Type Chart'!$C$2:$T$20,10,false)*HLOOKUP($K593,'Type Chart'!$C$2:$U$20,10,false)</f>
        <v>1</v>
      </c>
      <c r="AD593" s="960">
        <f t="array" ref="AD593">HLOOKUP($J593,'Type Chart'!$C$2:$T$20,11,false)*HLOOKUP($K593,'Type Chart'!$C$2:$U$20,11,false)</f>
        <v>1</v>
      </c>
      <c r="AE593" s="960">
        <f t="array" ref="AE593">HLOOKUP($J593,'Type Chart'!$C$2:$T$20,12,false)*HLOOKUP($K593,'Type Chart'!$C$2:$U$20,12,false)</f>
        <v>1</v>
      </c>
      <c r="AF593" s="960">
        <f t="array" ref="AF593">HLOOKUP($J593,'Type Chart'!$C$2:$T$20,13,false)*HLOOKUP($K593,'Type Chart'!$C$2:$U$20,13,false)</f>
        <v>1</v>
      </c>
      <c r="AG593" s="960">
        <f t="array" ref="AG593">HLOOKUP($J593,'Type Chart'!$C$2:$T$20,14,false)*HLOOKUP($K593,'Type Chart'!$C$2:$U$20,14,false)</f>
        <v>1</v>
      </c>
      <c r="AH593" s="960">
        <f t="array" ref="AH593">HLOOKUP($J593,'Type Chart'!$C$2:$T$20,15,false)*HLOOKUP($K593,'Type Chart'!$C$2:$U$20,15,false)</f>
        <v>1</v>
      </c>
      <c r="AI593" s="960">
        <f t="array" ref="AI593">HLOOKUP($J593,'Type Chart'!$C$2:$T$20,16,false)*HLOOKUP($K593,'Type Chart'!$C$2:$U$20,16,false)</f>
        <v>1</v>
      </c>
      <c r="AJ593" s="960">
        <f t="array" ref="AJ593">HLOOKUP($J593,'Type Chart'!$C$2:$T$20,17,false)*HLOOKUP($K593,'Type Chart'!$C$2:$U$20,17,false)</f>
        <v>1</v>
      </c>
      <c r="AK593" s="960">
        <f t="array" ref="AK593">HLOOKUP($J593,'Type Chart'!$C$2:$T$20,18,false)*HLOOKUP($K593,'Type Chart'!$C$2:$U$20,18,false)</f>
        <v>1</v>
      </c>
      <c r="AL593" s="960">
        <f t="array" ref="AL593">HLOOKUP($J593,'Type Chart'!$C$2:$T$20,19,false)*HLOOKUP($K593,'Type Chart'!$C$2:$U$20,19,false)</f>
        <v>2</v>
      </c>
      <c r="AM593" s="964" t="s">
        <v>1306</v>
      </c>
      <c r="AN593" s="965"/>
      <c r="AO593" s="966" t="s">
        <v>1273</v>
      </c>
      <c r="AP593" s="936"/>
      <c r="AQ593" s="967"/>
      <c r="AR593" s="968"/>
      <c r="AS593" s="936"/>
    </row>
    <row r="594" ht="15.75" customHeight="1">
      <c r="A594" s="936"/>
      <c r="B594" s="948" t="s">
        <v>2683</v>
      </c>
      <c r="C594" s="950" t="s">
        <v>2684</v>
      </c>
      <c r="D594" s="950" t="s">
        <v>2684</v>
      </c>
      <c r="E594" s="952" t="s">
        <v>2684</v>
      </c>
      <c r="F594" s="940"/>
      <c r="G594" s="953"/>
      <c r="H594" s="969"/>
      <c r="I594" s="956" t="s">
        <v>2685</v>
      </c>
      <c r="J594" s="1203" t="s">
        <v>344</v>
      </c>
      <c r="K594" s="1213" t="s">
        <v>341</v>
      </c>
      <c r="L594" s="959">
        <v>68.0</v>
      </c>
      <c r="M594" s="960">
        <v>165.0</v>
      </c>
      <c r="N594" s="960">
        <v>95.0</v>
      </c>
      <c r="O594" s="960">
        <v>65.0</v>
      </c>
      <c r="P594" s="960">
        <v>115.0</v>
      </c>
      <c r="Q594" s="960">
        <v>110.0</v>
      </c>
      <c r="R594" s="960">
        <v>256.0</v>
      </c>
      <c r="S594" s="960">
        <v>319.0</v>
      </c>
      <c r="T594" s="960">
        <v>350.0</v>
      </c>
      <c r="U594" s="960">
        <f t="array" ref="U594">HLOOKUP($J594,'Type Chart'!$C$2:$T$20,2,false)*HLOOKUP($K594,'Type Chart'!$C$2:$U$20,2,false)</f>
        <v>1</v>
      </c>
      <c r="V594" s="960">
        <f t="array" ref="V594">HLOOKUP($J594,'Type Chart'!$C$2:$T$20,3,false)*HLOOKUP($K594,'Type Chart'!$C$2:$U$20,3,false)</f>
        <v>0.5</v>
      </c>
      <c r="W594" s="960">
        <f t="array" ref="W594">HLOOKUP($J594,'Type Chart'!$C$2:$T$20,4,false)*HLOOKUP($K594,'Type Chart'!$C$2:$U$20,4,false)</f>
        <v>2</v>
      </c>
      <c r="X594" s="960">
        <f t="array" ref="X594">HLOOKUP($J594,'Type Chart'!$C$2:$T$20,5,false)*HLOOKUP($K594,'Type Chart'!$C$2:$U$20,5,false)</f>
        <v>1</v>
      </c>
      <c r="Y594" s="960">
        <f t="array" ref="Y594">HLOOKUP($J594,'Type Chart'!$C$2:$T$20,6,false)*HLOOKUP($K594,'Type Chart'!$C$2:$U$20,6,false)</f>
        <v>1</v>
      </c>
      <c r="Z594" s="960">
        <f t="array" ref="Z594">HLOOKUP($J594,'Type Chart'!$C$2:$T$20,7,false)*HLOOKUP($K594,'Type Chart'!$C$2:$U$20,7,false)</f>
        <v>0.5</v>
      </c>
      <c r="AA594" s="960">
        <f t="array" ref="AA594">HLOOKUP($J594,'Type Chart'!$C$2:$T$20,8,false)*HLOOKUP($K594,'Type Chart'!$C$2:$U$20,8,false)</f>
        <v>1</v>
      </c>
      <c r="AB594" s="960">
        <f t="array" ref="AB594">HLOOKUP($J594,'Type Chart'!$C$2:$T$20,9,false)*HLOOKUP($K594,'Type Chart'!$C$2:$U$20,9,false)</f>
        <v>2</v>
      </c>
      <c r="AC594" s="960">
        <f t="array" ref="AC594">HLOOKUP($J594,'Type Chart'!$C$2:$T$20,10,false)*HLOOKUP($K594,'Type Chart'!$C$2:$U$20,10,false)</f>
        <v>1</v>
      </c>
      <c r="AD594" s="960">
        <f t="array" ref="AD594">HLOOKUP($J594,'Type Chart'!$C$2:$T$20,11,false)*HLOOKUP($K594,'Type Chart'!$C$2:$U$20,11,false)</f>
        <v>1</v>
      </c>
      <c r="AE594" s="960">
        <f t="array" ref="AE594">HLOOKUP($J594,'Type Chart'!$C$2:$T$20,12,false)*HLOOKUP($K594,'Type Chart'!$C$2:$U$20,12,false)</f>
        <v>1</v>
      </c>
      <c r="AF594" s="960">
        <f t="array" ref="AF594">HLOOKUP($J594,'Type Chart'!$C$2:$T$20,13,false)*HLOOKUP($K594,'Type Chart'!$C$2:$U$20,13,false)</f>
        <v>1</v>
      </c>
      <c r="AG594" s="960">
        <f t="array" ref="AG594">HLOOKUP($J594,'Type Chart'!$C$2:$T$20,14,false)*HLOOKUP($K594,'Type Chart'!$C$2:$U$20,14,false)</f>
        <v>1</v>
      </c>
      <c r="AH594" s="960">
        <f t="array" ref="AH594">HLOOKUP($J594,'Type Chart'!$C$2:$T$20,15,false)*HLOOKUP($K594,'Type Chart'!$C$2:$U$20,15,false)</f>
        <v>1</v>
      </c>
      <c r="AI594" s="960">
        <f t="array" ref="AI594">HLOOKUP($J594,'Type Chart'!$C$2:$T$20,16,false)*HLOOKUP($K594,'Type Chart'!$C$2:$U$20,16,false)</f>
        <v>1</v>
      </c>
      <c r="AJ594" s="960">
        <f t="array" ref="AJ594">HLOOKUP($J594,'Type Chart'!$C$2:$T$20,17,false)*HLOOKUP($K594,'Type Chart'!$C$2:$U$20,17,false)</f>
        <v>1</v>
      </c>
      <c r="AK594" s="960">
        <f t="array" ref="AK594">HLOOKUP($J594,'Type Chart'!$C$2:$T$20,18,false)*HLOOKUP($K594,'Type Chart'!$C$2:$U$20,18,false)</f>
        <v>1</v>
      </c>
      <c r="AL594" s="960">
        <f t="array" ref="AL594">HLOOKUP($J594,'Type Chart'!$C$2:$T$20,19,false)*HLOOKUP($K594,'Type Chart'!$C$2:$U$20,19,false)</f>
        <v>2</v>
      </c>
      <c r="AM594" s="964" t="s">
        <v>1192</v>
      </c>
      <c r="AN594" s="965"/>
      <c r="AO594" s="966"/>
      <c r="AP594" s="936"/>
      <c r="AQ594" s="967"/>
      <c r="AR594" s="968"/>
      <c r="AS594" s="936"/>
    </row>
    <row r="595" ht="15.75" customHeight="1">
      <c r="A595" s="936"/>
      <c r="B595" s="948" t="s">
        <v>2686</v>
      </c>
      <c r="C595" s="950" t="s">
        <v>2687</v>
      </c>
      <c r="D595" s="950" t="s">
        <v>2687</v>
      </c>
      <c r="E595" s="952" t="s">
        <v>2687</v>
      </c>
      <c r="F595" s="940"/>
      <c r="G595" s="953"/>
      <c r="H595" s="969"/>
      <c r="I595" s="956" t="s">
        <v>884</v>
      </c>
      <c r="J595" s="1214" t="s">
        <v>342</v>
      </c>
      <c r="K595" s="1206" t="s">
        <v>82</v>
      </c>
      <c r="L595" s="959">
        <v>60.0</v>
      </c>
      <c r="M595" s="960">
        <v>55.0</v>
      </c>
      <c r="N595" s="960">
        <v>145.0</v>
      </c>
      <c r="O595" s="960">
        <v>75.0</v>
      </c>
      <c r="P595" s="960">
        <v>150.0</v>
      </c>
      <c r="Q595" s="960">
        <v>40.0</v>
      </c>
      <c r="R595" s="960">
        <v>116.0</v>
      </c>
      <c r="S595" s="960">
        <v>179.0</v>
      </c>
      <c r="T595" s="960">
        <v>196.0</v>
      </c>
      <c r="U595" s="960">
        <f t="array" ref="U595">HLOOKUP($J595,'Type Chart'!$C$2:$T$20,2,false)*HLOOKUP($K595,'Type Chart'!$C$2:$U$20,2,false)</f>
        <v>0.25</v>
      </c>
      <c r="V595" s="960">
        <f t="array" ref="V595">HLOOKUP($J595,'Type Chart'!$C$2:$T$20,3,false)*HLOOKUP($K595,'Type Chart'!$C$2:$U$20,3,false)</f>
        <v>4</v>
      </c>
      <c r="W595" s="960">
        <f t="array" ref="W595">HLOOKUP($J595,'Type Chart'!$C$2:$T$20,4,false)*HLOOKUP($K595,'Type Chart'!$C$2:$U$20,4,false)</f>
        <v>0.25</v>
      </c>
      <c r="X595" s="960">
        <f t="array" ref="X595">HLOOKUP($J595,'Type Chart'!$C$2:$T$20,5,false)*HLOOKUP($K595,'Type Chart'!$C$2:$U$20,5,false)</f>
        <v>0</v>
      </c>
      <c r="Y595" s="960">
        <f t="array" ref="Y595">HLOOKUP($J595,'Type Chart'!$C$2:$T$20,6,false)*HLOOKUP($K595,'Type Chart'!$C$2:$U$20,6,false)</f>
        <v>4</v>
      </c>
      <c r="Z595" s="960">
        <f t="array" ref="Z595">HLOOKUP($J595,'Type Chart'!$C$2:$T$20,7,false)*HLOOKUP($K595,'Type Chart'!$C$2:$U$20,7,false)</f>
        <v>0.5</v>
      </c>
      <c r="AA595" s="960">
        <f t="array" ref="AA595">HLOOKUP($J595,'Type Chart'!$C$2:$T$20,8,false)*HLOOKUP($K595,'Type Chart'!$C$2:$U$20,8,false)</f>
        <v>0.5</v>
      </c>
      <c r="AB595" s="960">
        <f t="array" ref="AB595">HLOOKUP($J595,'Type Chart'!$C$2:$T$20,9,false)*HLOOKUP($K595,'Type Chart'!$C$2:$U$20,9,false)</f>
        <v>1</v>
      </c>
      <c r="AC595" s="960">
        <f t="array" ref="AC595">HLOOKUP($J595,'Type Chart'!$C$2:$T$20,10,false)*HLOOKUP($K595,'Type Chart'!$C$2:$U$20,10,false)</f>
        <v>1</v>
      </c>
      <c r="AD595" s="960">
        <f t="array" ref="AD595">HLOOKUP($J595,'Type Chart'!$C$2:$T$20,11,false)*HLOOKUP($K595,'Type Chart'!$C$2:$U$20,11,false)</f>
        <v>1</v>
      </c>
      <c r="AE595" s="960">
        <f t="array" ref="AE595">HLOOKUP($J595,'Type Chart'!$C$2:$T$20,12,false)*HLOOKUP($K595,'Type Chart'!$C$2:$U$20,12,false)</f>
        <v>2</v>
      </c>
      <c r="AF595" s="960">
        <f t="array" ref="AF595">HLOOKUP($J595,'Type Chart'!$C$2:$T$20,13,false)*HLOOKUP($K595,'Type Chart'!$C$2:$U$20,13,false)</f>
        <v>1</v>
      </c>
      <c r="AG595" s="960">
        <f t="array" ref="AG595">HLOOKUP($J595,'Type Chart'!$C$2:$T$20,14,false)*HLOOKUP($K595,'Type Chart'!$C$2:$U$20,14,false)</f>
        <v>1</v>
      </c>
      <c r="AH595" s="960">
        <f t="array" ref="AH595">HLOOKUP($J595,'Type Chart'!$C$2:$T$20,15,false)*HLOOKUP($K595,'Type Chart'!$C$2:$U$20,15,false)</f>
        <v>0.5</v>
      </c>
      <c r="AI595" s="960">
        <f t="array" ref="AI595">HLOOKUP($J595,'Type Chart'!$C$2:$T$20,16,false)*HLOOKUP($K595,'Type Chart'!$C$2:$U$20,16,false)</f>
        <v>0.5</v>
      </c>
      <c r="AJ595" s="960">
        <f t="array" ref="AJ595">HLOOKUP($J595,'Type Chart'!$C$2:$T$20,17,false)*HLOOKUP($K595,'Type Chart'!$C$2:$U$20,17,false)</f>
        <v>0.5</v>
      </c>
      <c r="AK595" s="960">
        <f t="array" ref="AK595">HLOOKUP($J595,'Type Chart'!$C$2:$T$20,18,false)*HLOOKUP($K595,'Type Chart'!$C$2:$U$20,18,false)</f>
        <v>1</v>
      </c>
      <c r="AL595" s="960">
        <f t="array" ref="AL595">HLOOKUP($J595,'Type Chart'!$C$2:$T$20,19,false)*HLOOKUP($K595,'Type Chart'!$C$2:$U$20,19,false)</f>
        <v>0.5</v>
      </c>
      <c r="AM595" s="964" t="s">
        <v>1331</v>
      </c>
      <c r="AN595" s="965" t="s">
        <v>1336</v>
      </c>
      <c r="AO595" s="966" t="s">
        <v>1224</v>
      </c>
      <c r="AP595" s="936"/>
      <c r="AQ595" s="967"/>
      <c r="AR595" s="968"/>
      <c r="AS595" s="936"/>
    </row>
    <row r="596" ht="15.75" customHeight="1">
      <c r="A596" s="936"/>
      <c r="B596" s="948" t="s">
        <v>2688</v>
      </c>
      <c r="C596" s="950" t="s">
        <v>2689</v>
      </c>
      <c r="D596" s="950" t="s">
        <v>2689</v>
      </c>
      <c r="E596" s="952" t="s">
        <v>2689</v>
      </c>
      <c r="F596" s="940"/>
      <c r="G596" s="953"/>
      <c r="H596" s="969"/>
      <c r="I596" s="956" t="s">
        <v>730</v>
      </c>
      <c r="J596" s="1220" t="s">
        <v>215</v>
      </c>
      <c r="K596" s="984" t="s">
        <v>216</v>
      </c>
      <c r="L596" s="959">
        <v>45.0</v>
      </c>
      <c r="M596" s="960">
        <v>100.0</v>
      </c>
      <c r="N596" s="960">
        <v>135.0</v>
      </c>
      <c r="O596" s="960">
        <v>65.0</v>
      </c>
      <c r="P596" s="960">
        <v>135.0</v>
      </c>
      <c r="Q596" s="960">
        <v>45.0</v>
      </c>
      <c r="R596" s="960">
        <v>126.0</v>
      </c>
      <c r="S596" s="960">
        <v>189.0</v>
      </c>
      <c r="T596" s="960">
        <v>207.0</v>
      </c>
      <c r="U596" s="960">
        <f t="array" ref="U596">HLOOKUP($J596,'Type Chart'!$C$2:$T$20,2,false)*HLOOKUP($K596,'Type Chart'!$C$2:$U$20,2,false)</f>
        <v>0</v>
      </c>
      <c r="V596" s="960">
        <f t="array" ref="V596">HLOOKUP($J596,'Type Chart'!$C$2:$T$20,3,false)*HLOOKUP($K596,'Type Chart'!$C$2:$U$20,3,false)</f>
        <v>0</v>
      </c>
      <c r="W596" s="960">
        <f t="array" ref="W596">HLOOKUP($J596,'Type Chart'!$C$2:$T$20,4,false)*HLOOKUP($K596,'Type Chart'!$C$2:$U$20,4,false)</f>
        <v>1</v>
      </c>
      <c r="X596" s="960">
        <f t="array" ref="X596">HLOOKUP($J596,'Type Chart'!$C$2:$T$20,5,false)*HLOOKUP($K596,'Type Chart'!$C$2:$U$20,5,false)</f>
        <v>0.5</v>
      </c>
      <c r="Y596" s="960">
        <f t="array" ref="Y596">HLOOKUP($J596,'Type Chart'!$C$2:$T$20,6,false)*HLOOKUP($K596,'Type Chart'!$C$2:$U$20,6,false)</f>
        <v>1</v>
      </c>
      <c r="Z596" s="960">
        <f t="array" ref="Z596">HLOOKUP($J596,'Type Chart'!$C$2:$T$20,7,false)*HLOOKUP($K596,'Type Chart'!$C$2:$U$20,7,false)</f>
        <v>1</v>
      </c>
      <c r="AA596" s="960">
        <f t="array" ref="AA596">HLOOKUP($J596,'Type Chart'!$C$2:$T$20,8,false)*HLOOKUP($K596,'Type Chart'!$C$2:$U$20,8,false)</f>
        <v>0.5</v>
      </c>
      <c r="AB596" s="960">
        <f t="array" ref="AB596">HLOOKUP($J596,'Type Chart'!$C$2:$T$20,9,false)*HLOOKUP($K596,'Type Chart'!$C$2:$U$20,9,false)</f>
        <v>2</v>
      </c>
      <c r="AC596" s="960">
        <f t="array" ref="AC596">HLOOKUP($J596,'Type Chart'!$C$2:$T$20,10,false)*HLOOKUP($K596,'Type Chart'!$C$2:$U$20,10,false)</f>
        <v>1</v>
      </c>
      <c r="AD596" s="960">
        <f t="array" ref="AD596">HLOOKUP($J596,'Type Chart'!$C$2:$T$20,11,false)*HLOOKUP($K596,'Type Chart'!$C$2:$U$20,11,false)</f>
        <v>1</v>
      </c>
      <c r="AE596" s="960">
        <f t="array" ref="AE596">HLOOKUP($J596,'Type Chart'!$C$2:$T$20,12,false)*HLOOKUP($K596,'Type Chart'!$C$2:$U$20,12,false)</f>
        <v>1</v>
      </c>
      <c r="AF596" s="960">
        <f t="array" ref="AF596">HLOOKUP($J596,'Type Chart'!$C$2:$T$20,13,false)*HLOOKUP($K596,'Type Chart'!$C$2:$U$20,13,false)</f>
        <v>1</v>
      </c>
      <c r="AG596" s="960">
        <f t="array" ref="AG596">HLOOKUP($J596,'Type Chart'!$C$2:$T$20,14,false)*HLOOKUP($K596,'Type Chart'!$C$2:$U$20,14,false)</f>
        <v>1</v>
      </c>
      <c r="AH596" s="960">
        <f t="array" ref="AH596">HLOOKUP($J596,'Type Chart'!$C$2:$T$20,15,false)*HLOOKUP($K596,'Type Chart'!$C$2:$U$20,15,false)</f>
        <v>1</v>
      </c>
      <c r="AI596" s="960">
        <f t="array" ref="AI596">HLOOKUP($J596,'Type Chart'!$C$2:$T$20,16,false)*HLOOKUP($K596,'Type Chart'!$C$2:$U$20,16,false)</f>
        <v>1</v>
      </c>
      <c r="AJ596" s="960">
        <f t="array" ref="AJ596">HLOOKUP($J596,'Type Chart'!$C$2:$T$20,17,false)*HLOOKUP($K596,'Type Chart'!$C$2:$U$20,17,false)</f>
        <v>1</v>
      </c>
      <c r="AK596" s="960">
        <f t="array" ref="AK596">HLOOKUP($J596,'Type Chart'!$C$2:$T$20,18,false)*HLOOKUP($K596,'Type Chart'!$C$2:$U$20,18,false)</f>
        <v>2</v>
      </c>
      <c r="AL596" s="960">
        <f t="array" ref="AL596">HLOOKUP($J596,'Type Chart'!$C$2:$T$20,19,false)*HLOOKUP($K596,'Type Chart'!$C$2:$U$20,19,false)</f>
        <v>1</v>
      </c>
      <c r="AM596" s="964" t="s">
        <v>1636</v>
      </c>
      <c r="AN596" s="965"/>
      <c r="AO596" s="966" t="s">
        <v>1188</v>
      </c>
      <c r="AP596" s="936"/>
      <c r="AQ596" s="967"/>
      <c r="AR596" s="968"/>
      <c r="AS596" s="936"/>
    </row>
    <row r="597" ht="15.75" customHeight="1">
      <c r="A597" s="1099"/>
      <c r="B597" s="948" t="s">
        <v>2690</v>
      </c>
      <c r="C597" s="1197" t="s">
        <v>2691</v>
      </c>
      <c r="D597" s="1197" t="s">
        <v>2691</v>
      </c>
      <c r="E597" s="1147" t="s">
        <v>2691</v>
      </c>
      <c r="F597" s="940"/>
      <c r="G597" s="953"/>
      <c r="H597" s="969"/>
      <c r="I597" s="998" t="s">
        <v>210</v>
      </c>
      <c r="J597" s="1224" t="s">
        <v>345</v>
      </c>
      <c r="K597" s="1221" t="s">
        <v>215</v>
      </c>
      <c r="L597" s="1200">
        <v>70.0</v>
      </c>
      <c r="M597" s="1201">
        <v>80.0</v>
      </c>
      <c r="N597" s="1201">
        <v>70.0</v>
      </c>
      <c r="O597" s="1201">
        <v>80.0</v>
      </c>
      <c r="P597" s="1201">
        <v>70.0</v>
      </c>
      <c r="Q597" s="1201">
        <v>110.0</v>
      </c>
      <c r="R597" s="960">
        <v>256.0</v>
      </c>
      <c r="S597" s="960">
        <v>319.0</v>
      </c>
      <c r="T597" s="960">
        <v>350.0</v>
      </c>
      <c r="U597" s="960">
        <f t="array" ref="U597">HLOOKUP($J597,'Type Chart'!$C$2:$T$20,2,false)*HLOOKUP($K597,'Type Chart'!$C$2:$U$20,2,false)</f>
        <v>0</v>
      </c>
      <c r="V597" s="960">
        <f t="array" ref="V597">HLOOKUP($J597,'Type Chart'!$C$2:$T$20,3,false)*HLOOKUP($K597,'Type Chart'!$C$2:$U$20,3,false)</f>
        <v>0</v>
      </c>
      <c r="W597" s="960">
        <f t="array" ref="W597">HLOOKUP($J597,'Type Chart'!$C$2:$T$20,4,false)*HLOOKUP($K597,'Type Chart'!$C$2:$U$20,4,false)</f>
        <v>1</v>
      </c>
      <c r="X597" s="960">
        <f t="array" ref="X597">HLOOKUP($J597,'Type Chart'!$C$2:$T$20,5,false)*HLOOKUP($K597,'Type Chart'!$C$2:$U$20,5,false)</f>
        <v>0.5</v>
      </c>
      <c r="Y597" s="960">
        <f t="array" ref="Y597">HLOOKUP($J597,'Type Chart'!$C$2:$T$20,6,false)*HLOOKUP($K597,'Type Chart'!$C$2:$U$20,6,false)</f>
        <v>1</v>
      </c>
      <c r="Z597" s="960">
        <f t="array" ref="Z597">HLOOKUP($J597,'Type Chart'!$C$2:$T$20,7,false)*HLOOKUP($K597,'Type Chart'!$C$2:$U$20,7,false)</f>
        <v>2</v>
      </c>
      <c r="AA597" s="960">
        <f t="array" ref="AA597">HLOOKUP($J597,'Type Chart'!$C$2:$T$20,8,false)*HLOOKUP($K597,'Type Chart'!$C$2:$U$20,8,false)</f>
        <v>0.5</v>
      </c>
      <c r="AB597" s="960">
        <f t="array" ref="AB597">HLOOKUP($J597,'Type Chart'!$C$2:$T$20,9,false)*HLOOKUP($K597,'Type Chart'!$C$2:$U$20,9,false)</f>
        <v>2</v>
      </c>
      <c r="AC597" s="960">
        <f t="array" ref="AC597">HLOOKUP($J597,'Type Chart'!$C$2:$T$20,10,false)*HLOOKUP($K597,'Type Chart'!$C$2:$U$20,10,false)</f>
        <v>2</v>
      </c>
      <c r="AD597" s="960">
        <f t="array" ref="AD597">HLOOKUP($J597,'Type Chart'!$C$2:$T$20,11,false)*HLOOKUP($K597,'Type Chart'!$C$2:$U$20,11,false)</f>
        <v>2</v>
      </c>
      <c r="AE597" s="960">
        <f t="array" ref="AE597">HLOOKUP($J597,'Type Chart'!$C$2:$T$20,12,false)*HLOOKUP($K597,'Type Chart'!$C$2:$U$20,12,false)</f>
        <v>1</v>
      </c>
      <c r="AF597" s="960">
        <f t="array" ref="AF597">HLOOKUP($J597,'Type Chart'!$C$2:$T$20,13,false)*HLOOKUP($K597,'Type Chart'!$C$2:$U$20,13,false)</f>
        <v>1</v>
      </c>
      <c r="AG597" s="960">
        <f t="array" ref="AG597">HLOOKUP($J597,'Type Chart'!$C$2:$T$20,14,false)*HLOOKUP($K597,'Type Chart'!$C$2:$U$20,14,false)</f>
        <v>1</v>
      </c>
      <c r="AH597" s="960">
        <f t="array" ref="AH597">HLOOKUP($J597,'Type Chart'!$C$2:$T$20,15,false)*HLOOKUP($K597,'Type Chart'!$C$2:$U$20,15,false)</f>
        <v>1</v>
      </c>
      <c r="AI597" s="960">
        <f t="array" ref="AI597">HLOOKUP($J597,'Type Chart'!$C$2:$T$20,16,false)*HLOOKUP($K597,'Type Chart'!$C$2:$U$20,16,false)</f>
        <v>0.5</v>
      </c>
      <c r="AJ597" s="960">
        <f t="array" ref="AJ597">HLOOKUP($J597,'Type Chart'!$C$2:$T$20,17,false)*HLOOKUP($K597,'Type Chart'!$C$2:$U$20,17,false)</f>
        <v>1</v>
      </c>
      <c r="AK597" s="960">
        <f t="array" ref="AK597">HLOOKUP($J597,'Type Chart'!$C$2:$T$20,18,false)*HLOOKUP($K597,'Type Chart'!$C$2:$U$20,18,false)</f>
        <v>2</v>
      </c>
      <c r="AL597" s="960">
        <f t="array" ref="AL597">HLOOKUP($J597,'Type Chart'!$C$2:$T$20,19,false)*HLOOKUP($K597,'Type Chart'!$C$2:$U$20,19,false)</f>
        <v>1</v>
      </c>
      <c r="AM597" s="1145" t="s">
        <v>1135</v>
      </c>
      <c r="AN597" s="965"/>
      <c r="AO597" s="1146" t="s">
        <v>1442</v>
      </c>
      <c r="AP597" s="936"/>
      <c r="AQ597" s="967"/>
      <c r="AR597" s="968"/>
      <c r="AS597" s="936"/>
    </row>
    <row r="598" ht="15.75" customHeight="1">
      <c r="A598" s="936"/>
      <c r="B598" s="948" t="s">
        <v>2692</v>
      </c>
      <c r="C598" s="950" t="s">
        <v>2693</v>
      </c>
      <c r="D598" s="950" t="s">
        <v>2693</v>
      </c>
      <c r="E598" s="952" t="s">
        <v>2693</v>
      </c>
      <c r="F598" s="940"/>
      <c r="G598" s="953"/>
      <c r="H598" s="969"/>
      <c r="I598" s="956" t="s">
        <v>662</v>
      </c>
      <c r="J598" s="1196" t="s">
        <v>203</v>
      </c>
      <c r="K598" s="1220" t="s">
        <v>215</v>
      </c>
      <c r="L598" s="959">
        <v>50.0</v>
      </c>
      <c r="M598" s="960">
        <v>50.0</v>
      </c>
      <c r="N598" s="960">
        <v>77.0</v>
      </c>
      <c r="O598" s="960">
        <v>95.0</v>
      </c>
      <c r="P598" s="960">
        <v>77.0</v>
      </c>
      <c r="Q598" s="960">
        <v>91.0</v>
      </c>
      <c r="R598" s="960">
        <v>218.0</v>
      </c>
      <c r="S598" s="960">
        <v>281.0</v>
      </c>
      <c r="T598" s="960">
        <v>309.0</v>
      </c>
      <c r="U598" s="960">
        <f t="array" ref="U598">HLOOKUP($J598,'Type Chart'!$C$2:$T$20,2,false)*HLOOKUP($K598,'Type Chart'!$C$2:$U$20,2,false)</f>
        <v>0</v>
      </c>
      <c r="V598" s="960">
        <f t="array" ref="V598">HLOOKUP($J598,'Type Chart'!$C$2:$T$20,3,false)*HLOOKUP($K598,'Type Chart'!$C$2:$U$20,3,false)</f>
        <v>0</v>
      </c>
      <c r="W598" s="960">
        <f t="array" ref="W598">HLOOKUP($J598,'Type Chart'!$C$2:$T$20,4,false)*HLOOKUP($K598,'Type Chart'!$C$2:$U$20,4,false)</f>
        <v>0.5</v>
      </c>
      <c r="X598" s="960">
        <f t="array" ref="X598">HLOOKUP($J598,'Type Chart'!$C$2:$T$20,5,false)*HLOOKUP($K598,'Type Chart'!$C$2:$U$20,5,false)</f>
        <v>0.5</v>
      </c>
      <c r="Y598" s="960">
        <f t="array" ref="Y598">HLOOKUP($J598,'Type Chart'!$C$2:$T$20,6,false)*HLOOKUP($K598,'Type Chart'!$C$2:$U$20,6,false)</f>
        <v>2</v>
      </c>
      <c r="Z598" s="960">
        <f t="array" ref="Z598">HLOOKUP($J598,'Type Chart'!$C$2:$T$20,7,false)*HLOOKUP($K598,'Type Chart'!$C$2:$U$20,7,false)</f>
        <v>1</v>
      </c>
      <c r="AA598" s="960">
        <f t="array" ref="AA598">HLOOKUP($J598,'Type Chart'!$C$2:$T$20,8,false)*HLOOKUP($K598,'Type Chart'!$C$2:$U$20,8,false)</f>
        <v>0.5</v>
      </c>
      <c r="AB598" s="960">
        <f t="array" ref="AB598">HLOOKUP($J598,'Type Chart'!$C$2:$T$20,9,false)*HLOOKUP($K598,'Type Chart'!$C$2:$U$20,9,false)</f>
        <v>2</v>
      </c>
      <c r="AC598" s="960">
        <f t="array" ref="AC598">HLOOKUP($J598,'Type Chart'!$C$2:$T$20,10,false)*HLOOKUP($K598,'Type Chart'!$C$2:$U$20,10,false)</f>
        <v>0.5</v>
      </c>
      <c r="AD598" s="960">
        <f t="array" ref="AD598">HLOOKUP($J598,'Type Chart'!$C$2:$T$20,11,false)*HLOOKUP($K598,'Type Chart'!$C$2:$U$20,11,false)</f>
        <v>1</v>
      </c>
      <c r="AE598" s="960">
        <f t="array" ref="AE598">HLOOKUP($J598,'Type Chart'!$C$2:$T$20,12,false)*HLOOKUP($K598,'Type Chart'!$C$2:$U$20,12,false)</f>
        <v>1</v>
      </c>
      <c r="AF598" s="960">
        <f t="array" ref="AF598">HLOOKUP($J598,'Type Chart'!$C$2:$T$20,13,false)*HLOOKUP($K598,'Type Chart'!$C$2:$U$20,13,false)</f>
        <v>1</v>
      </c>
      <c r="AG598" s="960">
        <f t="array" ref="AG598">HLOOKUP($J598,'Type Chart'!$C$2:$T$20,14,false)*HLOOKUP($K598,'Type Chart'!$C$2:$U$20,14,false)</f>
        <v>0.5</v>
      </c>
      <c r="AH598" s="960">
        <f t="array" ref="AH598">HLOOKUP($J598,'Type Chart'!$C$2:$T$20,15,false)*HLOOKUP($K598,'Type Chart'!$C$2:$U$20,15,false)</f>
        <v>1</v>
      </c>
      <c r="AI598" s="960">
        <f t="array" ref="AI598">HLOOKUP($J598,'Type Chart'!$C$2:$T$20,16,false)*HLOOKUP($K598,'Type Chart'!$C$2:$U$20,16,false)</f>
        <v>1</v>
      </c>
      <c r="AJ598" s="960">
        <f t="array" ref="AJ598">HLOOKUP($J598,'Type Chart'!$C$2:$T$20,17,false)*HLOOKUP($K598,'Type Chart'!$C$2:$U$20,17,false)</f>
        <v>1</v>
      </c>
      <c r="AK598" s="960">
        <f t="array" ref="AK598">HLOOKUP($J598,'Type Chart'!$C$2:$T$20,18,false)*HLOOKUP($K598,'Type Chart'!$C$2:$U$20,18,false)</f>
        <v>2</v>
      </c>
      <c r="AL598" s="960">
        <f t="array" ref="AL598">HLOOKUP($J598,'Type Chart'!$C$2:$T$20,19,false)*HLOOKUP($K598,'Type Chart'!$C$2:$U$20,19,false)</f>
        <v>1</v>
      </c>
      <c r="AM598" s="964" t="s">
        <v>1437</v>
      </c>
      <c r="AN598" s="965"/>
      <c r="AO598" s="966"/>
      <c r="AP598" s="936"/>
      <c r="AQ598" s="967"/>
      <c r="AR598" s="968"/>
      <c r="AS598" s="936"/>
    </row>
    <row r="599" ht="15.75" customHeight="1">
      <c r="A599" s="936"/>
      <c r="B599" s="948" t="s">
        <v>2694</v>
      </c>
      <c r="C599" s="950" t="s">
        <v>2695</v>
      </c>
      <c r="D599" s="950" t="s">
        <v>2695</v>
      </c>
      <c r="E599" s="952" t="s">
        <v>2695</v>
      </c>
      <c r="F599" s="940"/>
      <c r="G599" s="953"/>
      <c r="H599" s="969"/>
      <c r="I599" s="956" t="s">
        <v>519</v>
      </c>
      <c r="J599" s="1196" t="s">
        <v>203</v>
      </c>
      <c r="K599" s="982" t="s">
        <v>150</v>
      </c>
      <c r="L599" s="959">
        <v>50.0</v>
      </c>
      <c r="M599" s="960">
        <v>65.0</v>
      </c>
      <c r="N599" s="960">
        <v>107.0</v>
      </c>
      <c r="O599" s="960">
        <v>105.0</v>
      </c>
      <c r="P599" s="960">
        <v>107.0</v>
      </c>
      <c r="Q599" s="960">
        <v>86.0</v>
      </c>
      <c r="R599" s="960">
        <v>208.0</v>
      </c>
      <c r="S599" s="960">
        <v>271.0</v>
      </c>
      <c r="T599" s="960">
        <v>298.0</v>
      </c>
      <c r="U599" s="960">
        <f t="array" ref="U599">HLOOKUP($J599,'Type Chart'!$C$2:$T$20,2,false)*HLOOKUP($K599,'Type Chart'!$C$2:$U$20,2,false)</f>
        <v>1</v>
      </c>
      <c r="V599" s="960">
        <f t="array" ref="V599">HLOOKUP($J599,'Type Chart'!$C$2:$T$20,3,false)*HLOOKUP($K599,'Type Chart'!$C$2:$U$20,3,false)</f>
        <v>1</v>
      </c>
      <c r="W599" s="960">
        <f t="array" ref="W599">HLOOKUP($J599,'Type Chart'!$C$2:$T$20,4,false)*HLOOKUP($K599,'Type Chart'!$C$2:$U$20,4,false)</f>
        <v>0.5</v>
      </c>
      <c r="X599" s="960">
        <f t="array" ref="X599">HLOOKUP($J599,'Type Chart'!$C$2:$T$20,5,false)*HLOOKUP($K599,'Type Chart'!$C$2:$U$20,5,false)</f>
        <v>1</v>
      </c>
      <c r="Y599" s="960">
        <f t="array" ref="Y599">HLOOKUP($J599,'Type Chart'!$C$2:$T$20,6,false)*HLOOKUP($K599,'Type Chart'!$C$2:$U$20,6,false)</f>
        <v>4</v>
      </c>
      <c r="Z599" s="960">
        <f t="array" ref="Z599">HLOOKUP($J599,'Type Chart'!$C$2:$T$20,7,false)*HLOOKUP($K599,'Type Chart'!$C$2:$U$20,7,false)</f>
        <v>2</v>
      </c>
      <c r="AA599" s="960">
        <f t="array" ref="AA599">HLOOKUP($J599,'Type Chart'!$C$2:$T$20,8,false)*HLOOKUP($K599,'Type Chart'!$C$2:$U$20,8,false)</f>
        <v>0.5</v>
      </c>
      <c r="AB599" s="960">
        <f t="array" ref="AB599">HLOOKUP($J599,'Type Chart'!$C$2:$T$20,9,false)*HLOOKUP($K599,'Type Chart'!$C$2:$U$20,9,false)</f>
        <v>1</v>
      </c>
      <c r="AC599" s="960">
        <f t="array" ref="AC599">HLOOKUP($J599,'Type Chart'!$C$2:$T$20,10,false)*HLOOKUP($K599,'Type Chart'!$C$2:$U$20,10,false)</f>
        <v>0.25</v>
      </c>
      <c r="AD599" s="960">
        <f t="array" ref="AD599">HLOOKUP($J599,'Type Chart'!$C$2:$T$20,11,false)*HLOOKUP($K599,'Type Chart'!$C$2:$U$20,11,false)</f>
        <v>0.5</v>
      </c>
      <c r="AE599" s="960">
        <f t="array" ref="AE599">HLOOKUP($J599,'Type Chart'!$C$2:$T$20,12,false)*HLOOKUP($K599,'Type Chart'!$C$2:$U$20,12,false)</f>
        <v>2</v>
      </c>
      <c r="AF599" s="960">
        <f t="array" ref="AF599">HLOOKUP($J599,'Type Chart'!$C$2:$T$20,13,false)*HLOOKUP($K599,'Type Chart'!$C$2:$U$20,13,false)</f>
        <v>0.5</v>
      </c>
      <c r="AG599" s="960">
        <f t="array" ref="AG599">HLOOKUP($J599,'Type Chart'!$C$2:$T$20,14,false)*HLOOKUP($K599,'Type Chart'!$C$2:$U$20,14,false)</f>
        <v>0.5</v>
      </c>
      <c r="AH599" s="960">
        <f t="array" ref="AH599">HLOOKUP($J599,'Type Chart'!$C$2:$T$20,15,false)*HLOOKUP($K599,'Type Chart'!$C$2:$U$20,15,false)</f>
        <v>1</v>
      </c>
      <c r="AI599" s="960">
        <f t="array" ref="AI599">HLOOKUP($J599,'Type Chart'!$C$2:$T$20,16,false)*HLOOKUP($K599,'Type Chart'!$C$2:$U$20,16,false)</f>
        <v>0.5</v>
      </c>
      <c r="AJ599" s="960">
        <f t="array" ref="AJ599">HLOOKUP($J599,'Type Chart'!$C$2:$T$20,17,false)*HLOOKUP($K599,'Type Chart'!$C$2:$U$20,17,false)</f>
        <v>1</v>
      </c>
      <c r="AK599" s="960">
        <f t="array" ref="AK599">HLOOKUP($J599,'Type Chart'!$C$2:$T$20,18,false)*HLOOKUP($K599,'Type Chart'!$C$2:$U$20,18,false)</f>
        <v>1</v>
      </c>
      <c r="AL599" s="960">
        <f t="array" ref="AL599">HLOOKUP($J599,'Type Chart'!$C$2:$T$20,19,false)*HLOOKUP($K599,'Type Chart'!$C$2:$U$20,19,false)</f>
        <v>0.5</v>
      </c>
      <c r="AM599" s="964" t="s">
        <v>1437</v>
      </c>
      <c r="AN599" s="965"/>
      <c r="AO599" s="966"/>
      <c r="AP599" s="936"/>
      <c r="AQ599" s="967"/>
      <c r="AR599" s="968"/>
      <c r="AS599" s="936"/>
    </row>
    <row r="600" ht="15.75" customHeight="1">
      <c r="A600" s="936"/>
      <c r="B600" s="948" t="s">
        <v>2696</v>
      </c>
      <c r="C600" s="950" t="s">
        <v>2697</v>
      </c>
      <c r="D600" s="950" t="s">
        <v>2697</v>
      </c>
      <c r="E600" s="952" t="s">
        <v>2697</v>
      </c>
      <c r="F600" s="940"/>
      <c r="G600" s="953"/>
      <c r="H600" s="969"/>
      <c r="I600" s="956" t="s">
        <v>238</v>
      </c>
      <c r="J600" s="1196" t="s">
        <v>203</v>
      </c>
      <c r="K600" s="1056" t="s">
        <v>81</v>
      </c>
      <c r="L600" s="959">
        <v>50.0</v>
      </c>
      <c r="M600" s="960">
        <v>65.0</v>
      </c>
      <c r="N600" s="960">
        <v>107.0</v>
      </c>
      <c r="O600" s="960">
        <v>105.0</v>
      </c>
      <c r="P600" s="960">
        <v>107.0</v>
      </c>
      <c r="Q600" s="960">
        <v>86.0</v>
      </c>
      <c r="R600" s="960">
        <v>208.0</v>
      </c>
      <c r="S600" s="960">
        <v>271.0</v>
      </c>
      <c r="T600" s="960">
        <v>298.0</v>
      </c>
      <c r="U600" s="960">
        <f t="array" ref="U600">HLOOKUP($J600,'Type Chart'!$C$2:$T$20,2,false)*HLOOKUP($K600,'Type Chart'!$C$2:$U$20,2,false)</f>
        <v>1</v>
      </c>
      <c r="V600" s="960">
        <f t="array" ref="V600">HLOOKUP($J600,'Type Chart'!$C$2:$T$20,3,false)*HLOOKUP($K600,'Type Chart'!$C$2:$U$20,3,false)</f>
        <v>1</v>
      </c>
      <c r="W600" s="960">
        <f t="array" ref="W600">HLOOKUP($J600,'Type Chart'!$C$2:$T$20,4,false)*HLOOKUP($K600,'Type Chart'!$C$2:$U$20,4,false)</f>
        <v>0.5</v>
      </c>
      <c r="X600" s="960">
        <f t="array" ref="X600">HLOOKUP($J600,'Type Chart'!$C$2:$T$20,5,false)*HLOOKUP($K600,'Type Chart'!$C$2:$U$20,5,false)</f>
        <v>1</v>
      </c>
      <c r="Y600" s="960">
        <f t="array" ref="Y600">HLOOKUP($J600,'Type Chart'!$C$2:$T$20,6,false)*HLOOKUP($K600,'Type Chart'!$C$2:$U$20,6,false)</f>
        <v>2</v>
      </c>
      <c r="Z600" s="960">
        <f t="array" ref="Z600">HLOOKUP($J600,'Type Chart'!$C$2:$T$20,7,false)*HLOOKUP($K600,'Type Chart'!$C$2:$U$20,7,false)</f>
        <v>1</v>
      </c>
      <c r="AA600" s="960">
        <f t="array" ref="AA600">HLOOKUP($J600,'Type Chart'!$C$2:$T$20,8,false)*HLOOKUP($K600,'Type Chart'!$C$2:$U$20,8,false)</f>
        <v>1</v>
      </c>
      <c r="AB600" s="960">
        <f t="array" ref="AB600">HLOOKUP($J600,'Type Chart'!$C$2:$T$20,9,false)*HLOOKUP($K600,'Type Chart'!$C$2:$U$20,9,false)</f>
        <v>1</v>
      </c>
      <c r="AC600" s="960">
        <f t="array" ref="AC600">HLOOKUP($J600,'Type Chart'!$C$2:$T$20,10,false)*HLOOKUP($K600,'Type Chart'!$C$2:$U$20,10,false)</f>
        <v>0.25</v>
      </c>
      <c r="AD600" s="960">
        <f t="array" ref="AD600">HLOOKUP($J600,'Type Chart'!$C$2:$T$20,11,false)*HLOOKUP($K600,'Type Chart'!$C$2:$U$20,11,false)</f>
        <v>0.5</v>
      </c>
      <c r="AE600" s="960">
        <f t="array" ref="AE600">HLOOKUP($J600,'Type Chart'!$C$2:$T$20,12,false)*HLOOKUP($K600,'Type Chart'!$C$2:$U$20,12,false)</f>
        <v>0.5</v>
      </c>
      <c r="AF600" s="960">
        <f t="array" ref="AF600">HLOOKUP($J600,'Type Chart'!$C$2:$T$20,13,false)*HLOOKUP($K600,'Type Chart'!$C$2:$U$20,13,false)</f>
        <v>2</v>
      </c>
      <c r="AG600" s="960">
        <f t="array" ref="AG600">HLOOKUP($J600,'Type Chart'!$C$2:$T$20,14,false)*HLOOKUP($K600,'Type Chart'!$C$2:$U$20,14,false)</f>
        <v>1</v>
      </c>
      <c r="AH600" s="960">
        <f t="array" ref="AH600">HLOOKUP($J600,'Type Chart'!$C$2:$T$20,15,false)*HLOOKUP($K600,'Type Chart'!$C$2:$U$20,15,false)</f>
        <v>1</v>
      </c>
      <c r="AI600" s="960">
        <f t="array" ref="AI600">HLOOKUP($J600,'Type Chart'!$C$2:$T$20,16,false)*HLOOKUP($K600,'Type Chart'!$C$2:$U$20,16,false)</f>
        <v>0.5</v>
      </c>
      <c r="AJ600" s="960">
        <f t="array" ref="AJ600">HLOOKUP($J600,'Type Chart'!$C$2:$T$20,17,false)*HLOOKUP($K600,'Type Chart'!$C$2:$U$20,17,false)</f>
        <v>1</v>
      </c>
      <c r="AK600" s="960">
        <f t="array" ref="AK600">HLOOKUP($J600,'Type Chart'!$C$2:$T$20,18,false)*HLOOKUP($K600,'Type Chart'!$C$2:$U$20,18,false)</f>
        <v>1</v>
      </c>
      <c r="AL600" s="960">
        <f t="array" ref="AL600">HLOOKUP($J600,'Type Chart'!$C$2:$T$20,19,false)*HLOOKUP($K600,'Type Chart'!$C$2:$U$20,19,false)</f>
        <v>1</v>
      </c>
      <c r="AM600" s="964" t="s">
        <v>1437</v>
      </c>
      <c r="AN600" s="965"/>
      <c r="AO600" s="966"/>
      <c r="AP600" s="936"/>
      <c r="AQ600" s="967"/>
      <c r="AR600" s="968"/>
      <c r="AS600" s="936"/>
    </row>
    <row r="601" ht="15.75" customHeight="1">
      <c r="A601" s="936"/>
      <c r="B601" s="948" t="s">
        <v>2698</v>
      </c>
      <c r="C601" s="950" t="s">
        <v>2699</v>
      </c>
      <c r="D601" s="950" t="s">
        <v>2699</v>
      </c>
      <c r="E601" s="952" t="s">
        <v>2699</v>
      </c>
      <c r="F601" s="940"/>
      <c r="G601" s="953"/>
      <c r="H601" s="969"/>
      <c r="I601" s="956" t="s">
        <v>629</v>
      </c>
      <c r="J601" s="1196" t="s">
        <v>203</v>
      </c>
      <c r="K601" s="1205" t="s">
        <v>345</v>
      </c>
      <c r="L601" s="959">
        <v>50.0</v>
      </c>
      <c r="M601" s="960">
        <v>65.0</v>
      </c>
      <c r="N601" s="960">
        <v>107.0</v>
      </c>
      <c r="O601" s="960">
        <v>105.0</v>
      </c>
      <c r="P601" s="960">
        <v>107.0</v>
      </c>
      <c r="Q601" s="960">
        <v>86.0</v>
      </c>
      <c r="R601" s="960">
        <v>208.0</v>
      </c>
      <c r="S601" s="960">
        <v>271.0</v>
      </c>
      <c r="T601" s="960">
        <v>298.0</v>
      </c>
      <c r="U601" s="960">
        <f t="array" ref="U601">HLOOKUP($J601,'Type Chart'!$C$2:$T$20,2,false)*HLOOKUP($K601,'Type Chart'!$C$2:$U$20,2,false)</f>
        <v>1</v>
      </c>
      <c r="V601" s="960">
        <f t="array" ref="V601">HLOOKUP($J601,'Type Chart'!$C$2:$T$20,3,false)*HLOOKUP($K601,'Type Chart'!$C$2:$U$20,3,false)</f>
        <v>2</v>
      </c>
      <c r="W601" s="960">
        <f t="array" ref="W601">HLOOKUP($J601,'Type Chart'!$C$2:$T$20,4,false)*HLOOKUP($K601,'Type Chart'!$C$2:$U$20,4,false)</f>
        <v>0.5</v>
      </c>
      <c r="X601" s="960">
        <f t="array" ref="X601">HLOOKUP($J601,'Type Chart'!$C$2:$T$20,5,false)*HLOOKUP($K601,'Type Chart'!$C$2:$U$20,5,false)</f>
        <v>1</v>
      </c>
      <c r="Y601" s="960">
        <f t="array" ref="Y601">HLOOKUP($J601,'Type Chart'!$C$2:$T$20,6,false)*HLOOKUP($K601,'Type Chart'!$C$2:$U$20,6,false)</f>
        <v>2</v>
      </c>
      <c r="Z601" s="960">
        <f t="array" ref="Z601">HLOOKUP($J601,'Type Chart'!$C$2:$T$20,7,false)*HLOOKUP($K601,'Type Chart'!$C$2:$U$20,7,false)</f>
        <v>2</v>
      </c>
      <c r="AA601" s="960">
        <f t="array" ref="AA601">HLOOKUP($J601,'Type Chart'!$C$2:$T$20,8,false)*HLOOKUP($K601,'Type Chart'!$C$2:$U$20,8,false)</f>
        <v>1</v>
      </c>
      <c r="AB601" s="960">
        <f t="array" ref="AB601">HLOOKUP($J601,'Type Chart'!$C$2:$T$20,9,false)*HLOOKUP($K601,'Type Chart'!$C$2:$U$20,9,false)</f>
        <v>1</v>
      </c>
      <c r="AC601" s="960">
        <f t="array" ref="AC601">HLOOKUP($J601,'Type Chart'!$C$2:$T$20,10,false)*HLOOKUP($K601,'Type Chart'!$C$2:$U$20,10,false)</f>
        <v>1</v>
      </c>
      <c r="AD601" s="960">
        <f t="array" ref="AD601">HLOOKUP($J601,'Type Chart'!$C$2:$T$20,11,false)*HLOOKUP($K601,'Type Chart'!$C$2:$U$20,11,false)</f>
        <v>2</v>
      </c>
      <c r="AE601" s="960">
        <f t="array" ref="AE601">HLOOKUP($J601,'Type Chart'!$C$2:$T$20,12,false)*HLOOKUP($K601,'Type Chart'!$C$2:$U$20,12,false)</f>
        <v>1</v>
      </c>
      <c r="AF601" s="960">
        <f t="array" ref="AF601">HLOOKUP($J601,'Type Chart'!$C$2:$T$20,13,false)*HLOOKUP($K601,'Type Chart'!$C$2:$U$20,13,false)</f>
        <v>1</v>
      </c>
      <c r="AG601" s="960">
        <f t="array" ref="AG601">HLOOKUP($J601,'Type Chart'!$C$2:$T$20,14,false)*HLOOKUP($K601,'Type Chart'!$C$2:$U$20,14,false)</f>
        <v>0.5</v>
      </c>
      <c r="AH601" s="960">
        <f t="array" ref="AH601">HLOOKUP($J601,'Type Chart'!$C$2:$T$20,15,false)*HLOOKUP($K601,'Type Chart'!$C$2:$U$20,15,false)</f>
        <v>1</v>
      </c>
      <c r="AI601" s="960">
        <f t="array" ref="AI601">HLOOKUP($J601,'Type Chart'!$C$2:$T$20,16,false)*HLOOKUP($K601,'Type Chart'!$C$2:$U$20,16,false)</f>
        <v>0.5</v>
      </c>
      <c r="AJ601" s="960">
        <f t="array" ref="AJ601">HLOOKUP($J601,'Type Chart'!$C$2:$T$20,17,false)*HLOOKUP($K601,'Type Chart'!$C$2:$U$20,17,false)</f>
        <v>1</v>
      </c>
      <c r="AK601" s="960">
        <f t="array" ref="AK601">HLOOKUP($J601,'Type Chart'!$C$2:$T$20,18,false)*HLOOKUP($K601,'Type Chart'!$C$2:$U$20,18,false)</f>
        <v>1</v>
      </c>
      <c r="AL601" s="960">
        <f t="array" ref="AL601">HLOOKUP($J601,'Type Chart'!$C$2:$T$20,19,false)*HLOOKUP($K601,'Type Chart'!$C$2:$U$20,19,false)</f>
        <v>1</v>
      </c>
      <c r="AM601" s="964" t="s">
        <v>1437</v>
      </c>
      <c r="AN601" s="965"/>
      <c r="AO601" s="966"/>
      <c r="AP601" s="936"/>
      <c r="AQ601" s="967"/>
      <c r="AR601" s="968"/>
      <c r="AS601" s="936"/>
    </row>
    <row r="602" ht="15.75" customHeight="1">
      <c r="A602" s="936"/>
      <c r="B602" s="948" t="s">
        <v>2700</v>
      </c>
      <c r="C602" s="950" t="s">
        <v>2701</v>
      </c>
      <c r="D602" s="950" t="s">
        <v>2701</v>
      </c>
      <c r="E602" s="952" t="s">
        <v>2701</v>
      </c>
      <c r="F602" s="940"/>
      <c r="G602" s="953"/>
      <c r="H602" s="969"/>
      <c r="I602" s="956" t="s">
        <v>663</v>
      </c>
      <c r="J602" s="1196" t="s">
        <v>203</v>
      </c>
      <c r="K602" s="1001" t="s">
        <v>128</v>
      </c>
      <c r="L602" s="959">
        <v>50.0</v>
      </c>
      <c r="M602" s="960">
        <v>65.0</v>
      </c>
      <c r="N602" s="960">
        <v>107.0</v>
      </c>
      <c r="O602" s="960">
        <v>105.0</v>
      </c>
      <c r="P602" s="960">
        <v>107.0</v>
      </c>
      <c r="Q602" s="960">
        <v>86.0</v>
      </c>
      <c r="R602" s="960">
        <v>208.0</v>
      </c>
      <c r="S602" s="960">
        <v>271.0</v>
      </c>
      <c r="T602" s="960">
        <v>298.0</v>
      </c>
      <c r="U602" s="960">
        <f t="array" ref="U602">HLOOKUP($J602,'Type Chart'!$C$2:$T$20,2,false)*HLOOKUP($K602,'Type Chart'!$C$2:$U$20,2,false)</f>
        <v>1</v>
      </c>
      <c r="V602" s="960">
        <f t="array" ref="V602">HLOOKUP($J602,'Type Chart'!$C$2:$T$20,3,false)*HLOOKUP($K602,'Type Chart'!$C$2:$U$20,3,false)</f>
        <v>0.5</v>
      </c>
      <c r="W602" s="960">
        <f t="array" ref="W602">HLOOKUP($J602,'Type Chart'!$C$2:$T$20,4,false)*HLOOKUP($K602,'Type Chart'!$C$2:$U$20,4,false)</f>
        <v>0.5</v>
      </c>
      <c r="X602" s="960">
        <f t="array" ref="X602">HLOOKUP($J602,'Type Chart'!$C$2:$T$20,5,false)*HLOOKUP($K602,'Type Chart'!$C$2:$U$20,5,false)</f>
        <v>1</v>
      </c>
      <c r="Y602" s="960">
        <f t="array" ref="Y602">HLOOKUP($J602,'Type Chart'!$C$2:$T$20,6,false)*HLOOKUP($K602,'Type Chart'!$C$2:$U$20,6,false)</f>
        <v>0</v>
      </c>
      <c r="Z602" s="960">
        <f t="array" ref="Z602">HLOOKUP($J602,'Type Chart'!$C$2:$T$20,7,false)*HLOOKUP($K602,'Type Chart'!$C$2:$U$20,7,false)</f>
        <v>2</v>
      </c>
      <c r="AA602" s="960">
        <f t="array" ref="AA602">HLOOKUP($J602,'Type Chart'!$C$2:$T$20,8,false)*HLOOKUP($K602,'Type Chart'!$C$2:$U$20,8,false)</f>
        <v>0.5</v>
      </c>
      <c r="AB602" s="960">
        <f t="array" ref="AB602">HLOOKUP($J602,'Type Chart'!$C$2:$T$20,9,false)*HLOOKUP($K602,'Type Chart'!$C$2:$U$20,9,false)</f>
        <v>1</v>
      </c>
      <c r="AC602" s="960">
        <f t="array" ref="AC602">HLOOKUP($J602,'Type Chart'!$C$2:$T$20,10,false)*HLOOKUP($K602,'Type Chart'!$C$2:$U$20,10,false)</f>
        <v>0.5</v>
      </c>
      <c r="AD602" s="960">
        <f t="array" ref="AD602">HLOOKUP($J602,'Type Chart'!$C$2:$T$20,11,false)*HLOOKUP($K602,'Type Chart'!$C$2:$U$20,11,false)</f>
        <v>1</v>
      </c>
      <c r="AE602" s="960">
        <f t="array" ref="AE602">HLOOKUP($J602,'Type Chart'!$C$2:$T$20,12,false)*HLOOKUP($K602,'Type Chart'!$C$2:$U$20,12,false)</f>
        <v>1</v>
      </c>
      <c r="AF602" s="960">
        <f t="array" ref="AF602">HLOOKUP($J602,'Type Chart'!$C$2:$T$20,13,false)*HLOOKUP($K602,'Type Chart'!$C$2:$U$20,13,false)</f>
        <v>0.5</v>
      </c>
      <c r="AG602" s="960">
        <f t="array" ref="AG602">HLOOKUP($J602,'Type Chart'!$C$2:$T$20,14,false)*HLOOKUP($K602,'Type Chart'!$C$2:$U$20,14,false)</f>
        <v>1</v>
      </c>
      <c r="AH602" s="960">
        <f t="array" ref="AH602">HLOOKUP($J602,'Type Chart'!$C$2:$T$20,15,false)*HLOOKUP($K602,'Type Chart'!$C$2:$U$20,15,false)</f>
        <v>1</v>
      </c>
      <c r="AI602" s="960">
        <f t="array" ref="AI602">HLOOKUP($J602,'Type Chart'!$C$2:$T$20,16,false)*HLOOKUP($K602,'Type Chart'!$C$2:$U$20,16,false)</f>
        <v>2</v>
      </c>
      <c r="AJ602" s="960">
        <f t="array" ref="AJ602">HLOOKUP($J602,'Type Chart'!$C$2:$T$20,17,false)*HLOOKUP($K602,'Type Chart'!$C$2:$U$20,17,false)</f>
        <v>1</v>
      </c>
      <c r="AK602" s="960">
        <f t="array" ref="AK602">HLOOKUP($J602,'Type Chart'!$C$2:$T$20,18,false)*HLOOKUP($K602,'Type Chart'!$C$2:$U$20,18,false)</f>
        <v>1</v>
      </c>
      <c r="AL602" s="960">
        <f t="array" ref="AL602">HLOOKUP($J602,'Type Chart'!$C$2:$T$20,19,false)*HLOOKUP($K602,'Type Chart'!$C$2:$U$20,19,false)</f>
        <v>1</v>
      </c>
      <c r="AM602" s="964" t="s">
        <v>1437</v>
      </c>
      <c r="AN602" s="965"/>
      <c r="AO602" s="966"/>
      <c r="AP602" s="936"/>
      <c r="AQ602" s="967"/>
      <c r="AR602" s="968"/>
      <c r="AS602" s="936"/>
    </row>
    <row r="603" ht="15.75" customHeight="1">
      <c r="A603" s="936"/>
      <c r="B603" s="948" t="s">
        <v>2702</v>
      </c>
      <c r="C603" s="950" t="s">
        <v>2703</v>
      </c>
      <c r="D603" s="950" t="s">
        <v>2703</v>
      </c>
      <c r="E603" s="952" t="s">
        <v>2703</v>
      </c>
      <c r="F603" s="940"/>
      <c r="G603" s="953"/>
      <c r="H603" s="969"/>
      <c r="I603" s="956" t="s">
        <v>570</v>
      </c>
      <c r="J603" s="1196" t="s">
        <v>203</v>
      </c>
      <c r="K603" s="957" t="s">
        <v>209</v>
      </c>
      <c r="L603" s="959">
        <v>50.0</v>
      </c>
      <c r="M603" s="960">
        <v>65.0</v>
      </c>
      <c r="N603" s="960">
        <v>107.0</v>
      </c>
      <c r="O603" s="960">
        <v>105.0</v>
      </c>
      <c r="P603" s="960">
        <v>107.0</v>
      </c>
      <c r="Q603" s="960">
        <v>86.0</v>
      </c>
      <c r="R603" s="960">
        <v>208.0</v>
      </c>
      <c r="S603" s="960">
        <v>271.0</v>
      </c>
      <c r="T603" s="960">
        <v>298.0</v>
      </c>
      <c r="U603" s="960">
        <f t="array" ref="U603">HLOOKUP($J603,'Type Chart'!$C$2:$T$20,2,false)*HLOOKUP($K603,'Type Chart'!$C$2:$U$20,2,false)</f>
        <v>1</v>
      </c>
      <c r="V603" s="960">
        <f t="array" ref="V603">HLOOKUP($J603,'Type Chart'!$C$2:$T$20,3,false)*HLOOKUP($K603,'Type Chart'!$C$2:$U$20,3,false)</f>
        <v>1</v>
      </c>
      <c r="W603" s="960">
        <f t="array" ref="W603">HLOOKUP($J603,'Type Chart'!$C$2:$T$20,4,false)*HLOOKUP($K603,'Type Chart'!$C$2:$U$20,4,false)</f>
        <v>1</v>
      </c>
      <c r="X603" s="960">
        <f t="array" ref="X603">HLOOKUP($J603,'Type Chart'!$C$2:$T$20,5,false)*HLOOKUP($K603,'Type Chart'!$C$2:$U$20,5,false)</f>
        <v>2</v>
      </c>
      <c r="Y603" s="960">
        <f t="array" ref="Y603">HLOOKUP($J603,'Type Chart'!$C$2:$T$20,6,false)*HLOOKUP($K603,'Type Chart'!$C$2:$U$20,6,false)</f>
        <v>1</v>
      </c>
      <c r="Z603" s="960">
        <f t="array" ref="Z603">HLOOKUP($J603,'Type Chart'!$C$2:$T$20,7,false)*HLOOKUP($K603,'Type Chart'!$C$2:$U$20,7,false)</f>
        <v>1</v>
      </c>
      <c r="AA603" s="960">
        <f t="array" ref="AA603">HLOOKUP($J603,'Type Chart'!$C$2:$T$20,8,false)*HLOOKUP($K603,'Type Chart'!$C$2:$U$20,8,false)</f>
        <v>2</v>
      </c>
      <c r="AB603" s="960">
        <f t="array" ref="AB603">HLOOKUP($J603,'Type Chart'!$C$2:$T$20,9,false)*HLOOKUP($K603,'Type Chart'!$C$2:$U$20,9,false)</f>
        <v>1</v>
      </c>
      <c r="AC603" s="960">
        <f t="array" ref="AC603">HLOOKUP($J603,'Type Chart'!$C$2:$T$20,10,false)*HLOOKUP($K603,'Type Chart'!$C$2:$U$20,10,false)</f>
        <v>0.5</v>
      </c>
      <c r="AD603" s="960">
        <f t="array" ref="AD603">HLOOKUP($J603,'Type Chart'!$C$2:$T$20,11,false)*HLOOKUP($K603,'Type Chart'!$C$2:$U$20,11,false)</f>
        <v>2</v>
      </c>
      <c r="AE603" s="960">
        <f t="array" ref="AE603">HLOOKUP($J603,'Type Chart'!$C$2:$T$20,12,false)*HLOOKUP($K603,'Type Chart'!$C$2:$U$20,12,false)</f>
        <v>0.5</v>
      </c>
      <c r="AF603" s="960">
        <f t="array" ref="AF603">HLOOKUP($J603,'Type Chart'!$C$2:$T$20,13,false)*HLOOKUP($K603,'Type Chart'!$C$2:$U$20,13,false)</f>
        <v>0.5</v>
      </c>
      <c r="AG603" s="960">
        <f t="array" ref="AG603">HLOOKUP($J603,'Type Chart'!$C$2:$T$20,14,false)*HLOOKUP($K603,'Type Chart'!$C$2:$U$20,14,false)</f>
        <v>0.25</v>
      </c>
      <c r="AH603" s="960">
        <f t="array" ref="AH603">HLOOKUP($J603,'Type Chart'!$C$2:$T$20,15,false)*HLOOKUP($K603,'Type Chart'!$C$2:$U$20,15,false)</f>
        <v>1</v>
      </c>
      <c r="AI603" s="960">
        <f t="array" ref="AI603">HLOOKUP($J603,'Type Chart'!$C$2:$T$20,16,false)*HLOOKUP($K603,'Type Chart'!$C$2:$U$20,16,false)</f>
        <v>2</v>
      </c>
      <c r="AJ603" s="960">
        <f t="array" ref="AJ603">HLOOKUP($J603,'Type Chart'!$C$2:$T$20,17,false)*HLOOKUP($K603,'Type Chart'!$C$2:$U$20,17,false)</f>
        <v>1</v>
      </c>
      <c r="AK603" s="960">
        <f t="array" ref="AK603">HLOOKUP($J603,'Type Chart'!$C$2:$T$20,18,false)*HLOOKUP($K603,'Type Chart'!$C$2:$U$20,18,false)</f>
        <v>1</v>
      </c>
      <c r="AL603" s="960">
        <f t="array" ref="AL603">HLOOKUP($J603,'Type Chart'!$C$2:$T$20,19,false)*HLOOKUP($K603,'Type Chart'!$C$2:$U$20,19,false)</f>
        <v>1</v>
      </c>
      <c r="AM603" s="964" t="s">
        <v>1437</v>
      </c>
      <c r="AN603" s="965"/>
      <c r="AO603" s="966"/>
      <c r="AP603" s="936"/>
      <c r="AQ603" s="967"/>
      <c r="AR603" s="968"/>
      <c r="AS603" s="936"/>
    </row>
    <row r="604" ht="15.75" customHeight="1">
      <c r="A604" s="936"/>
      <c r="B604" s="948" t="s">
        <v>2704</v>
      </c>
      <c r="C604" s="950" t="s">
        <v>2705</v>
      </c>
      <c r="D604" s="950" t="s">
        <v>2705</v>
      </c>
      <c r="E604" s="952" t="s">
        <v>2705</v>
      </c>
      <c r="F604" s="940"/>
      <c r="G604" s="953"/>
      <c r="H604" s="969"/>
      <c r="I604" s="956" t="s">
        <v>483</v>
      </c>
      <c r="J604" s="1203" t="s">
        <v>344</v>
      </c>
      <c r="K604" s="984" t="s">
        <v>216</v>
      </c>
      <c r="L604" s="959">
        <v>75.0</v>
      </c>
      <c r="M604" s="960">
        <v>75.0</v>
      </c>
      <c r="N604" s="960">
        <v>130.0</v>
      </c>
      <c r="O604" s="960">
        <v>75.0</v>
      </c>
      <c r="P604" s="960">
        <v>130.0</v>
      </c>
      <c r="Q604" s="960">
        <v>95.0</v>
      </c>
      <c r="R604" s="960">
        <v>226.0</v>
      </c>
      <c r="S604" s="960">
        <v>289.0</v>
      </c>
      <c r="T604" s="960">
        <v>317.0</v>
      </c>
      <c r="U604" s="960">
        <f t="array" ref="U604">HLOOKUP($J604,'Type Chart'!$C$2:$T$20,2,false)*HLOOKUP($K604,'Type Chart'!$C$2:$U$20,2,false)</f>
        <v>1</v>
      </c>
      <c r="V604" s="960">
        <f t="array" ref="V604">HLOOKUP($J604,'Type Chart'!$C$2:$T$20,3,false)*HLOOKUP($K604,'Type Chart'!$C$2:$U$20,3,false)</f>
        <v>0.5</v>
      </c>
      <c r="W604" s="960">
        <f t="array" ref="W604">HLOOKUP($J604,'Type Chart'!$C$2:$T$20,4,false)*HLOOKUP($K604,'Type Chart'!$C$2:$U$20,4,false)</f>
        <v>1</v>
      </c>
      <c r="X604" s="960">
        <f t="array" ref="X604">HLOOKUP($J604,'Type Chart'!$C$2:$T$20,5,false)*HLOOKUP($K604,'Type Chart'!$C$2:$U$20,5,false)</f>
        <v>1</v>
      </c>
      <c r="Y604" s="960">
        <f t="array" ref="Y604">HLOOKUP($J604,'Type Chart'!$C$2:$T$20,6,false)*HLOOKUP($K604,'Type Chart'!$C$2:$U$20,6,false)</f>
        <v>1</v>
      </c>
      <c r="Z604" s="960">
        <f t="array" ref="Z604">HLOOKUP($J604,'Type Chart'!$C$2:$T$20,7,false)*HLOOKUP($K604,'Type Chart'!$C$2:$U$20,7,false)</f>
        <v>1</v>
      </c>
      <c r="AA604" s="960">
        <f t="array" ref="AA604">HLOOKUP($J604,'Type Chart'!$C$2:$T$20,8,false)*HLOOKUP($K604,'Type Chart'!$C$2:$U$20,8,false)</f>
        <v>2</v>
      </c>
      <c r="AB604" s="960">
        <f t="array" ref="AB604">HLOOKUP($J604,'Type Chart'!$C$2:$T$20,9,false)*HLOOKUP($K604,'Type Chart'!$C$2:$U$20,9,false)</f>
        <v>2</v>
      </c>
      <c r="AC604" s="960">
        <f t="array" ref="AC604">HLOOKUP($J604,'Type Chart'!$C$2:$T$20,10,false)*HLOOKUP($K604,'Type Chart'!$C$2:$U$20,10,false)</f>
        <v>1</v>
      </c>
      <c r="AD604" s="960">
        <f t="array" ref="AD604">HLOOKUP($J604,'Type Chart'!$C$2:$T$20,11,false)*HLOOKUP($K604,'Type Chart'!$C$2:$U$20,11,false)</f>
        <v>1</v>
      </c>
      <c r="AE604" s="960">
        <f t="array" ref="AE604">HLOOKUP($J604,'Type Chart'!$C$2:$T$20,12,false)*HLOOKUP($K604,'Type Chart'!$C$2:$U$20,12,false)</f>
        <v>1</v>
      </c>
      <c r="AF604" s="960">
        <f t="array" ref="AF604">HLOOKUP($J604,'Type Chart'!$C$2:$T$20,13,false)*HLOOKUP($K604,'Type Chart'!$C$2:$U$20,13,false)</f>
        <v>1</v>
      </c>
      <c r="AG604" s="960">
        <f t="array" ref="AG604">HLOOKUP($J604,'Type Chart'!$C$2:$T$20,14,false)*HLOOKUP($K604,'Type Chart'!$C$2:$U$20,14,false)</f>
        <v>1</v>
      </c>
      <c r="AH604" s="960">
        <f t="array" ref="AH604">HLOOKUP($J604,'Type Chart'!$C$2:$T$20,15,false)*HLOOKUP($K604,'Type Chart'!$C$2:$U$20,15,false)</f>
        <v>0.5</v>
      </c>
      <c r="AI604" s="960">
        <f t="array" ref="AI604">HLOOKUP($J604,'Type Chart'!$C$2:$T$20,16,false)*HLOOKUP($K604,'Type Chart'!$C$2:$U$20,16,false)</f>
        <v>1</v>
      </c>
      <c r="AJ604" s="960">
        <f t="array" ref="AJ604">HLOOKUP($J604,'Type Chart'!$C$2:$T$20,17,false)*HLOOKUP($K604,'Type Chart'!$C$2:$U$20,17,false)</f>
        <v>1</v>
      </c>
      <c r="AK604" s="960">
        <f t="array" ref="AK604">HLOOKUP($J604,'Type Chart'!$C$2:$T$20,18,false)*HLOOKUP($K604,'Type Chart'!$C$2:$U$20,18,false)</f>
        <v>2</v>
      </c>
      <c r="AL604" s="960">
        <f t="array" ref="AL604">HLOOKUP($J604,'Type Chart'!$C$2:$T$20,19,false)*HLOOKUP($K604,'Type Chart'!$C$2:$U$20,19,false)</f>
        <v>1</v>
      </c>
      <c r="AM604" s="964" t="s">
        <v>1437</v>
      </c>
      <c r="AN604" s="965"/>
      <c r="AO604" s="966"/>
      <c r="AP604" s="936"/>
      <c r="AQ604" s="967"/>
      <c r="AR604" s="968"/>
      <c r="AS604" s="936"/>
    </row>
    <row r="605" ht="15.75" customHeight="1">
      <c r="A605" s="936"/>
      <c r="B605" s="948" t="s">
        <v>2706</v>
      </c>
      <c r="C605" s="950" t="s">
        <v>2707</v>
      </c>
      <c r="D605" s="950" t="s">
        <v>2707</v>
      </c>
      <c r="E605" s="952" t="s">
        <v>2707</v>
      </c>
      <c r="F605" s="940"/>
      <c r="G605" s="953"/>
      <c r="H605" s="969"/>
      <c r="I605" s="956" t="s">
        <v>542</v>
      </c>
      <c r="J605" s="1203" t="s">
        <v>344</v>
      </c>
      <c r="K605" s="984" t="s">
        <v>216</v>
      </c>
      <c r="L605" s="959">
        <v>80.0</v>
      </c>
      <c r="M605" s="960">
        <v>105.0</v>
      </c>
      <c r="N605" s="960">
        <v>105.0</v>
      </c>
      <c r="O605" s="960">
        <v>105.0</v>
      </c>
      <c r="P605" s="960">
        <v>105.0</v>
      </c>
      <c r="Q605" s="960">
        <v>80.0</v>
      </c>
      <c r="R605" s="960">
        <v>196.0</v>
      </c>
      <c r="S605" s="960">
        <v>259.0</v>
      </c>
      <c r="T605" s="960">
        <v>284.0</v>
      </c>
      <c r="U605" s="960">
        <f t="array" ref="U605">HLOOKUP($J605,'Type Chart'!$C$2:$T$20,2,false)*HLOOKUP($K605,'Type Chart'!$C$2:$U$20,2,false)</f>
        <v>1</v>
      </c>
      <c r="V605" s="960">
        <f t="array" ref="V605">HLOOKUP($J605,'Type Chart'!$C$2:$T$20,3,false)*HLOOKUP($K605,'Type Chart'!$C$2:$U$20,3,false)</f>
        <v>0.5</v>
      </c>
      <c r="W605" s="960">
        <f t="array" ref="W605">HLOOKUP($J605,'Type Chart'!$C$2:$T$20,4,false)*HLOOKUP($K605,'Type Chart'!$C$2:$U$20,4,false)</f>
        <v>1</v>
      </c>
      <c r="X605" s="960">
        <f t="array" ref="X605">HLOOKUP($J605,'Type Chart'!$C$2:$T$20,5,false)*HLOOKUP($K605,'Type Chart'!$C$2:$U$20,5,false)</f>
        <v>1</v>
      </c>
      <c r="Y605" s="960">
        <f t="array" ref="Y605">HLOOKUP($J605,'Type Chart'!$C$2:$T$20,6,false)*HLOOKUP($K605,'Type Chart'!$C$2:$U$20,6,false)</f>
        <v>1</v>
      </c>
      <c r="Z605" s="960">
        <f t="array" ref="Z605">HLOOKUP($J605,'Type Chart'!$C$2:$T$20,7,false)*HLOOKUP($K605,'Type Chart'!$C$2:$U$20,7,false)</f>
        <v>1</v>
      </c>
      <c r="AA605" s="960">
        <f t="array" ref="AA605">HLOOKUP($J605,'Type Chart'!$C$2:$T$20,8,false)*HLOOKUP($K605,'Type Chart'!$C$2:$U$20,8,false)</f>
        <v>2</v>
      </c>
      <c r="AB605" s="960">
        <f t="array" ref="AB605">HLOOKUP($J605,'Type Chart'!$C$2:$T$20,9,false)*HLOOKUP($K605,'Type Chart'!$C$2:$U$20,9,false)</f>
        <v>2</v>
      </c>
      <c r="AC605" s="960">
        <f t="array" ref="AC605">HLOOKUP($J605,'Type Chart'!$C$2:$T$20,10,false)*HLOOKUP($K605,'Type Chart'!$C$2:$U$20,10,false)</f>
        <v>1</v>
      </c>
      <c r="AD605" s="960">
        <f t="array" ref="AD605">HLOOKUP($J605,'Type Chart'!$C$2:$T$20,11,false)*HLOOKUP($K605,'Type Chart'!$C$2:$U$20,11,false)</f>
        <v>1</v>
      </c>
      <c r="AE605" s="960">
        <f t="array" ref="AE605">HLOOKUP($J605,'Type Chart'!$C$2:$T$20,12,false)*HLOOKUP($K605,'Type Chart'!$C$2:$U$20,12,false)</f>
        <v>1</v>
      </c>
      <c r="AF605" s="960">
        <f t="array" ref="AF605">HLOOKUP($J605,'Type Chart'!$C$2:$T$20,13,false)*HLOOKUP($K605,'Type Chart'!$C$2:$U$20,13,false)</f>
        <v>1</v>
      </c>
      <c r="AG605" s="960">
        <f t="array" ref="AG605">HLOOKUP($J605,'Type Chart'!$C$2:$T$20,14,false)*HLOOKUP($K605,'Type Chart'!$C$2:$U$20,14,false)</f>
        <v>1</v>
      </c>
      <c r="AH605" s="960">
        <f t="array" ref="AH605">HLOOKUP($J605,'Type Chart'!$C$2:$T$20,15,false)*HLOOKUP($K605,'Type Chart'!$C$2:$U$20,15,false)</f>
        <v>0.5</v>
      </c>
      <c r="AI605" s="960">
        <f t="array" ref="AI605">HLOOKUP($J605,'Type Chart'!$C$2:$T$20,16,false)*HLOOKUP($K605,'Type Chart'!$C$2:$U$20,16,false)</f>
        <v>1</v>
      </c>
      <c r="AJ605" s="960">
        <f t="array" ref="AJ605">HLOOKUP($J605,'Type Chart'!$C$2:$T$20,17,false)*HLOOKUP($K605,'Type Chart'!$C$2:$U$20,17,false)</f>
        <v>1</v>
      </c>
      <c r="AK605" s="960">
        <f t="array" ref="AK605">HLOOKUP($J605,'Type Chart'!$C$2:$T$20,18,false)*HLOOKUP($K605,'Type Chart'!$C$2:$U$20,18,false)</f>
        <v>2</v>
      </c>
      <c r="AL605" s="960">
        <f t="array" ref="AL605">HLOOKUP($J605,'Type Chart'!$C$2:$T$20,19,false)*HLOOKUP($K605,'Type Chart'!$C$2:$U$20,19,false)</f>
        <v>1</v>
      </c>
      <c r="AM605" s="964" t="s">
        <v>1437</v>
      </c>
      <c r="AN605" s="965"/>
      <c r="AO605" s="966"/>
      <c r="AP605" s="936"/>
      <c r="AQ605" s="967"/>
      <c r="AR605" s="968"/>
      <c r="AS605" s="936"/>
    </row>
    <row r="606" ht="15.75" customHeight="1">
      <c r="A606" s="936"/>
      <c r="B606" s="948" t="s">
        <v>2708</v>
      </c>
      <c r="C606" s="950" t="s">
        <v>2709</v>
      </c>
      <c r="D606" s="950" t="s">
        <v>2709</v>
      </c>
      <c r="E606" s="952" t="s">
        <v>2709</v>
      </c>
      <c r="F606" s="940"/>
      <c r="G606" s="953"/>
      <c r="H606" s="969"/>
      <c r="I606" s="956" t="s">
        <v>133</v>
      </c>
      <c r="J606" s="1203" t="s">
        <v>344</v>
      </c>
      <c r="K606" s="984" t="s">
        <v>216</v>
      </c>
      <c r="L606" s="959">
        <v>75.0</v>
      </c>
      <c r="M606" s="960">
        <v>125.0</v>
      </c>
      <c r="N606" s="960">
        <v>70.0</v>
      </c>
      <c r="O606" s="960">
        <v>125.0</v>
      </c>
      <c r="P606" s="960">
        <v>70.0</v>
      </c>
      <c r="Q606" s="960">
        <v>115.0</v>
      </c>
      <c r="R606" s="960">
        <v>266.0</v>
      </c>
      <c r="S606" s="960">
        <v>329.0</v>
      </c>
      <c r="T606" s="960">
        <v>361.0</v>
      </c>
      <c r="U606" s="960">
        <f t="array" ref="U606">HLOOKUP($J606,'Type Chart'!$C$2:$T$20,2,false)*HLOOKUP($K606,'Type Chart'!$C$2:$U$20,2,false)</f>
        <v>1</v>
      </c>
      <c r="V606" s="960">
        <f t="array" ref="V606">HLOOKUP($J606,'Type Chart'!$C$2:$T$20,3,false)*HLOOKUP($K606,'Type Chart'!$C$2:$U$20,3,false)</f>
        <v>0.5</v>
      </c>
      <c r="W606" s="960">
        <f t="array" ref="W606">HLOOKUP($J606,'Type Chart'!$C$2:$T$20,4,false)*HLOOKUP($K606,'Type Chart'!$C$2:$U$20,4,false)</f>
        <v>1</v>
      </c>
      <c r="X606" s="960">
        <f t="array" ref="X606">HLOOKUP($J606,'Type Chart'!$C$2:$T$20,5,false)*HLOOKUP($K606,'Type Chart'!$C$2:$U$20,5,false)</f>
        <v>1</v>
      </c>
      <c r="Y606" s="960">
        <f t="array" ref="Y606">HLOOKUP($J606,'Type Chart'!$C$2:$T$20,6,false)*HLOOKUP($K606,'Type Chart'!$C$2:$U$20,6,false)</f>
        <v>1</v>
      </c>
      <c r="Z606" s="960">
        <f t="array" ref="Z606">HLOOKUP($J606,'Type Chart'!$C$2:$T$20,7,false)*HLOOKUP($K606,'Type Chart'!$C$2:$U$20,7,false)</f>
        <v>1</v>
      </c>
      <c r="AA606" s="960">
        <f t="array" ref="AA606">HLOOKUP($J606,'Type Chart'!$C$2:$T$20,8,false)*HLOOKUP($K606,'Type Chart'!$C$2:$U$20,8,false)</f>
        <v>2</v>
      </c>
      <c r="AB606" s="960">
        <f t="array" ref="AB606">HLOOKUP($J606,'Type Chart'!$C$2:$T$20,9,false)*HLOOKUP($K606,'Type Chart'!$C$2:$U$20,9,false)</f>
        <v>2</v>
      </c>
      <c r="AC606" s="960">
        <f t="array" ref="AC606">HLOOKUP($J606,'Type Chart'!$C$2:$T$20,10,false)*HLOOKUP($K606,'Type Chart'!$C$2:$U$20,10,false)</f>
        <v>1</v>
      </c>
      <c r="AD606" s="960">
        <f t="array" ref="AD606">HLOOKUP($J606,'Type Chart'!$C$2:$T$20,11,false)*HLOOKUP($K606,'Type Chart'!$C$2:$U$20,11,false)</f>
        <v>1</v>
      </c>
      <c r="AE606" s="960">
        <f t="array" ref="AE606">HLOOKUP($J606,'Type Chart'!$C$2:$T$20,12,false)*HLOOKUP($K606,'Type Chart'!$C$2:$U$20,12,false)</f>
        <v>1</v>
      </c>
      <c r="AF606" s="960">
        <f t="array" ref="AF606">HLOOKUP($J606,'Type Chart'!$C$2:$T$20,13,false)*HLOOKUP($K606,'Type Chart'!$C$2:$U$20,13,false)</f>
        <v>1</v>
      </c>
      <c r="AG606" s="960">
        <f t="array" ref="AG606">HLOOKUP($J606,'Type Chart'!$C$2:$T$20,14,false)*HLOOKUP($K606,'Type Chart'!$C$2:$U$20,14,false)</f>
        <v>1</v>
      </c>
      <c r="AH606" s="960">
        <f t="array" ref="AH606">HLOOKUP($J606,'Type Chart'!$C$2:$T$20,15,false)*HLOOKUP($K606,'Type Chart'!$C$2:$U$20,15,false)</f>
        <v>0.5</v>
      </c>
      <c r="AI606" s="960">
        <f t="array" ref="AI606">HLOOKUP($J606,'Type Chart'!$C$2:$T$20,16,false)*HLOOKUP($K606,'Type Chart'!$C$2:$U$20,16,false)</f>
        <v>1</v>
      </c>
      <c r="AJ606" s="960">
        <f t="array" ref="AJ606">HLOOKUP($J606,'Type Chart'!$C$2:$T$20,17,false)*HLOOKUP($K606,'Type Chart'!$C$2:$U$20,17,false)</f>
        <v>1</v>
      </c>
      <c r="AK606" s="960">
        <f t="array" ref="AK606">HLOOKUP($J606,'Type Chart'!$C$2:$T$20,18,false)*HLOOKUP($K606,'Type Chart'!$C$2:$U$20,18,false)</f>
        <v>2</v>
      </c>
      <c r="AL606" s="960">
        <f t="array" ref="AL606">HLOOKUP($J606,'Type Chart'!$C$2:$T$20,19,false)*HLOOKUP($K606,'Type Chart'!$C$2:$U$20,19,false)</f>
        <v>1</v>
      </c>
      <c r="AM606" s="964" t="s">
        <v>1437</v>
      </c>
      <c r="AN606" s="965"/>
      <c r="AO606" s="966"/>
      <c r="AP606" s="936"/>
      <c r="AQ606" s="967"/>
      <c r="AR606" s="968"/>
      <c r="AS606" s="936"/>
    </row>
    <row r="607" ht="15.75" customHeight="1">
      <c r="A607" s="936"/>
      <c r="B607" s="948" t="s">
        <v>2710</v>
      </c>
      <c r="C607" s="950" t="s">
        <v>2711</v>
      </c>
      <c r="D607" s="950" t="s">
        <v>2711</v>
      </c>
      <c r="E607" s="952" t="s">
        <v>2711</v>
      </c>
      <c r="F607" s="940"/>
      <c r="G607" s="953"/>
      <c r="H607" s="969"/>
      <c r="I607" s="956" t="s">
        <v>232</v>
      </c>
      <c r="J607" s="1206" t="s">
        <v>82</v>
      </c>
      <c r="K607" s="1006" t="s">
        <v>346</v>
      </c>
      <c r="L607" s="959">
        <v>100.0</v>
      </c>
      <c r="M607" s="960">
        <v>120.0</v>
      </c>
      <c r="N607" s="960">
        <v>120.0</v>
      </c>
      <c r="O607" s="960">
        <v>150.0</v>
      </c>
      <c r="P607" s="960">
        <v>100.0</v>
      </c>
      <c r="Q607" s="960">
        <v>90.0</v>
      </c>
      <c r="R607" s="960">
        <v>216.0</v>
      </c>
      <c r="S607" s="960">
        <v>279.0</v>
      </c>
      <c r="T607" s="960">
        <v>306.0</v>
      </c>
      <c r="U607" s="960">
        <f t="array" ref="U607">HLOOKUP($J607,'Type Chart'!$C$2:$T$20,2,false)*HLOOKUP($K607,'Type Chart'!$C$2:$U$20,2,false)</f>
        <v>0.5</v>
      </c>
      <c r="V607" s="960">
        <f t="array" ref="V607">HLOOKUP($J607,'Type Chart'!$C$2:$T$20,3,false)*HLOOKUP($K607,'Type Chart'!$C$2:$U$20,3,false)</f>
        <v>2</v>
      </c>
      <c r="W607" s="960">
        <f t="array" ref="W607">HLOOKUP($J607,'Type Chart'!$C$2:$T$20,4,false)*HLOOKUP($K607,'Type Chart'!$C$2:$U$20,4,false)</f>
        <v>0.5</v>
      </c>
      <c r="X607" s="960">
        <f t="array" ref="X607">HLOOKUP($J607,'Type Chart'!$C$2:$T$20,5,false)*HLOOKUP($K607,'Type Chart'!$C$2:$U$20,5,false)</f>
        <v>0</v>
      </c>
      <c r="Y607" s="960">
        <f t="array" ref="Y607">HLOOKUP($J607,'Type Chart'!$C$2:$T$20,6,false)*HLOOKUP($K607,'Type Chart'!$C$2:$U$20,6,false)</f>
        <v>2</v>
      </c>
      <c r="Z607" s="960">
        <f t="array" ref="Z607">HLOOKUP($J607,'Type Chart'!$C$2:$T$20,7,false)*HLOOKUP($K607,'Type Chart'!$C$2:$U$20,7,false)</f>
        <v>0.5</v>
      </c>
      <c r="AA607" s="960">
        <f t="array" ref="AA607">HLOOKUP($J607,'Type Chart'!$C$2:$T$20,8,false)*HLOOKUP($K607,'Type Chart'!$C$2:$U$20,8,false)</f>
        <v>0.5</v>
      </c>
      <c r="AB607" s="960">
        <f t="array" ref="AB607">HLOOKUP($J607,'Type Chart'!$C$2:$T$20,9,false)*HLOOKUP($K607,'Type Chart'!$C$2:$U$20,9,false)</f>
        <v>1</v>
      </c>
      <c r="AC607" s="960">
        <f t="array" ref="AC607">HLOOKUP($J607,'Type Chart'!$C$2:$T$20,10,false)*HLOOKUP($K607,'Type Chart'!$C$2:$U$20,10,false)</f>
        <v>0.5</v>
      </c>
      <c r="AD607" s="960">
        <f t="array" ref="AD607">HLOOKUP($J607,'Type Chart'!$C$2:$T$20,11,false)*HLOOKUP($K607,'Type Chart'!$C$2:$U$20,11,false)</f>
        <v>1</v>
      </c>
      <c r="AE607" s="960">
        <f t="array" ref="AE607">HLOOKUP($J607,'Type Chart'!$C$2:$T$20,12,false)*HLOOKUP($K607,'Type Chart'!$C$2:$U$20,12,false)</f>
        <v>0.5</v>
      </c>
      <c r="AF607" s="960">
        <f t="array" ref="AF607">HLOOKUP($J607,'Type Chart'!$C$2:$T$20,13,false)*HLOOKUP($K607,'Type Chart'!$C$2:$U$20,13,false)</f>
        <v>0.25</v>
      </c>
      <c r="AG607" s="960">
        <f t="array" ref="AG607">HLOOKUP($J607,'Type Chart'!$C$2:$T$20,14,false)*HLOOKUP($K607,'Type Chart'!$C$2:$U$20,14,false)</f>
        <v>0.5</v>
      </c>
      <c r="AH607" s="960">
        <f t="array" ref="AH607">HLOOKUP($J607,'Type Chart'!$C$2:$T$20,15,false)*HLOOKUP($K607,'Type Chart'!$C$2:$U$20,15,false)</f>
        <v>0.5</v>
      </c>
      <c r="AI607" s="960">
        <f t="array" ref="AI607">HLOOKUP($J607,'Type Chart'!$C$2:$T$20,16,false)*HLOOKUP($K607,'Type Chart'!$C$2:$U$20,16,false)</f>
        <v>1</v>
      </c>
      <c r="AJ607" s="960">
        <f t="array" ref="AJ607">HLOOKUP($J607,'Type Chart'!$C$2:$T$20,17,false)*HLOOKUP($K607,'Type Chart'!$C$2:$U$20,17,false)</f>
        <v>1</v>
      </c>
      <c r="AK607" s="960">
        <f t="array" ref="AK607">HLOOKUP($J607,'Type Chart'!$C$2:$T$20,18,false)*HLOOKUP($K607,'Type Chart'!$C$2:$U$20,18,false)</f>
        <v>1</v>
      </c>
      <c r="AL607" s="960">
        <f t="array" ref="AL607">HLOOKUP($J607,'Type Chart'!$C$2:$T$20,19,false)*HLOOKUP($K607,'Type Chart'!$C$2:$U$20,19,false)</f>
        <v>1</v>
      </c>
      <c r="AM607" s="964" t="s">
        <v>1636</v>
      </c>
      <c r="AN607" s="965"/>
      <c r="AO607" s="966" t="s">
        <v>1828</v>
      </c>
      <c r="AP607" s="936"/>
      <c r="AQ607" s="967"/>
      <c r="AR607" s="968"/>
      <c r="AS607" s="936"/>
    </row>
    <row r="608" ht="15.75" customHeight="1">
      <c r="A608" s="936"/>
      <c r="B608" s="948" t="s">
        <v>2712</v>
      </c>
      <c r="C608" s="950" t="str">
        <f t="shared" ref="C608:E608" si="8">C607&amp;"-origin"</f>
        <v>dialga-origin</v>
      </c>
      <c r="D608" s="950" t="str">
        <f t="shared" si="8"/>
        <v>dialga-origin</v>
      </c>
      <c r="E608" s="952" t="str">
        <f t="shared" si="8"/>
        <v>dialga-origin</v>
      </c>
      <c r="F608" s="940"/>
      <c r="G608" s="953"/>
      <c r="H608" s="969"/>
      <c r="I608" s="998" t="s">
        <v>2713</v>
      </c>
      <c r="J608" s="1206" t="s">
        <v>82</v>
      </c>
      <c r="K608" s="1006" t="s">
        <v>346</v>
      </c>
      <c r="L608" s="959">
        <v>100.0</v>
      </c>
      <c r="M608" s="960">
        <v>100.0</v>
      </c>
      <c r="N608" s="960">
        <v>120.0</v>
      </c>
      <c r="O608" s="960">
        <v>150.0</v>
      </c>
      <c r="P608" s="960">
        <v>100.0</v>
      </c>
      <c r="Q608" s="960">
        <v>90.0</v>
      </c>
      <c r="R608" s="960">
        <v>216.0</v>
      </c>
      <c r="S608" s="960">
        <v>279.0</v>
      </c>
      <c r="T608" s="960">
        <v>306.0</v>
      </c>
      <c r="U608" s="960">
        <f t="array" ref="U608">HLOOKUP($J608,'Type Chart'!$C$2:$T$20,2,false)*HLOOKUP($K608,'Type Chart'!$C$2:$U$20,2,false)</f>
        <v>0.5</v>
      </c>
      <c r="V608" s="960">
        <f t="array" ref="V608">HLOOKUP($J608,'Type Chart'!$C$2:$T$20,3,false)*HLOOKUP($K608,'Type Chart'!$C$2:$U$20,3,false)</f>
        <v>2</v>
      </c>
      <c r="W608" s="960">
        <f t="array" ref="W608">HLOOKUP($J608,'Type Chart'!$C$2:$T$20,4,false)*HLOOKUP($K608,'Type Chart'!$C$2:$U$20,4,false)</f>
        <v>0.5</v>
      </c>
      <c r="X608" s="960">
        <f t="array" ref="X608">HLOOKUP($J608,'Type Chart'!$C$2:$T$20,5,false)*HLOOKUP($K608,'Type Chart'!$C$2:$U$20,5,false)</f>
        <v>0</v>
      </c>
      <c r="Y608" s="960">
        <f t="array" ref="Y608">HLOOKUP($J608,'Type Chart'!$C$2:$T$20,6,false)*HLOOKUP($K608,'Type Chart'!$C$2:$U$20,6,false)</f>
        <v>2</v>
      </c>
      <c r="Z608" s="960">
        <f t="array" ref="Z608">HLOOKUP($J608,'Type Chart'!$C$2:$T$20,7,false)*HLOOKUP($K608,'Type Chart'!$C$2:$U$20,7,false)</f>
        <v>0.5</v>
      </c>
      <c r="AA608" s="960">
        <f t="array" ref="AA608">HLOOKUP($J608,'Type Chart'!$C$2:$T$20,8,false)*HLOOKUP($K608,'Type Chart'!$C$2:$U$20,8,false)</f>
        <v>0.5</v>
      </c>
      <c r="AB608" s="960">
        <f t="array" ref="AB608">HLOOKUP($J608,'Type Chart'!$C$2:$T$20,9,false)*HLOOKUP($K608,'Type Chart'!$C$2:$U$20,9,false)</f>
        <v>1</v>
      </c>
      <c r="AC608" s="960">
        <f t="array" ref="AC608">HLOOKUP($J608,'Type Chart'!$C$2:$T$20,10,false)*HLOOKUP($K608,'Type Chart'!$C$2:$U$20,10,false)</f>
        <v>0.5</v>
      </c>
      <c r="AD608" s="960">
        <f t="array" ref="AD608">HLOOKUP($J608,'Type Chart'!$C$2:$T$20,11,false)*HLOOKUP($K608,'Type Chart'!$C$2:$U$20,11,false)</f>
        <v>1</v>
      </c>
      <c r="AE608" s="960">
        <f t="array" ref="AE608">HLOOKUP($J608,'Type Chart'!$C$2:$T$20,12,false)*HLOOKUP($K608,'Type Chart'!$C$2:$U$20,12,false)</f>
        <v>0.5</v>
      </c>
      <c r="AF608" s="960">
        <f t="array" ref="AF608">HLOOKUP($J608,'Type Chart'!$C$2:$T$20,13,false)*HLOOKUP($K608,'Type Chart'!$C$2:$U$20,13,false)</f>
        <v>0.25</v>
      </c>
      <c r="AG608" s="960">
        <f t="array" ref="AG608">HLOOKUP($J608,'Type Chart'!$C$2:$T$20,14,false)*HLOOKUP($K608,'Type Chart'!$C$2:$U$20,14,false)</f>
        <v>0.5</v>
      </c>
      <c r="AH608" s="960">
        <f t="array" ref="AH608">HLOOKUP($J608,'Type Chart'!$C$2:$T$20,15,false)*HLOOKUP($K608,'Type Chart'!$C$2:$U$20,15,false)</f>
        <v>0.5</v>
      </c>
      <c r="AI608" s="960">
        <f t="array" ref="AI608">HLOOKUP($J608,'Type Chart'!$C$2:$T$20,16,false)*HLOOKUP($K608,'Type Chart'!$C$2:$U$20,16,false)</f>
        <v>1</v>
      </c>
      <c r="AJ608" s="960">
        <f t="array" ref="AJ608">HLOOKUP($J608,'Type Chart'!$C$2:$T$20,17,false)*HLOOKUP($K608,'Type Chart'!$C$2:$U$20,17,false)</f>
        <v>1</v>
      </c>
      <c r="AK608" s="960">
        <f t="array" ref="AK608">HLOOKUP($J608,'Type Chart'!$C$2:$T$20,18,false)*HLOOKUP($K608,'Type Chart'!$C$2:$U$20,18,false)</f>
        <v>1</v>
      </c>
      <c r="AL608" s="960">
        <f t="array" ref="AL608">HLOOKUP($J608,'Type Chart'!$C$2:$T$20,19,false)*HLOOKUP($K608,'Type Chart'!$C$2:$U$20,19,false)</f>
        <v>1</v>
      </c>
      <c r="AM608" s="964" t="s">
        <v>1636</v>
      </c>
      <c r="AN608" s="965"/>
      <c r="AO608" s="966" t="s">
        <v>1828</v>
      </c>
      <c r="AP608" s="936"/>
      <c r="AQ608" s="967"/>
      <c r="AR608" s="968"/>
      <c r="AS608" s="936"/>
    </row>
    <row r="609" ht="15.75" customHeight="1">
      <c r="A609" s="936"/>
      <c r="B609" s="948" t="s">
        <v>2714</v>
      </c>
      <c r="C609" s="950" t="s">
        <v>2715</v>
      </c>
      <c r="D609" s="950" t="s">
        <v>2715</v>
      </c>
      <c r="E609" s="952" t="s">
        <v>2715</v>
      </c>
      <c r="F609" s="940"/>
      <c r="G609" s="953"/>
      <c r="H609" s="969"/>
      <c r="I609" s="956" t="s">
        <v>271</v>
      </c>
      <c r="J609" s="1056" t="s">
        <v>81</v>
      </c>
      <c r="K609" s="1006" t="s">
        <v>346</v>
      </c>
      <c r="L609" s="959">
        <v>90.0</v>
      </c>
      <c r="M609" s="960">
        <v>120.0</v>
      </c>
      <c r="N609" s="960">
        <v>100.0</v>
      </c>
      <c r="O609" s="960">
        <v>150.0</v>
      </c>
      <c r="P609" s="960">
        <v>120.0</v>
      </c>
      <c r="Q609" s="960">
        <v>100.0</v>
      </c>
      <c r="R609" s="960">
        <v>236.0</v>
      </c>
      <c r="S609" s="960">
        <v>299.0</v>
      </c>
      <c r="T609" s="960">
        <v>328.0</v>
      </c>
      <c r="U609" s="960">
        <f t="array" ref="U609">HLOOKUP($J609,'Type Chart'!$C$2:$T$20,2,false)*HLOOKUP($K609,'Type Chart'!$C$2:$U$20,2,false)</f>
        <v>1</v>
      </c>
      <c r="V609" s="960">
        <f t="array" ref="V609">HLOOKUP($J609,'Type Chart'!$C$2:$T$20,3,false)*HLOOKUP($K609,'Type Chart'!$C$2:$U$20,3,false)</f>
        <v>1</v>
      </c>
      <c r="W609" s="960">
        <f t="array" ref="W609">HLOOKUP($J609,'Type Chart'!$C$2:$T$20,4,false)*HLOOKUP($K609,'Type Chart'!$C$2:$U$20,4,false)</f>
        <v>1</v>
      </c>
      <c r="X609" s="960">
        <f t="array" ref="X609">HLOOKUP($J609,'Type Chart'!$C$2:$T$20,5,false)*HLOOKUP($K609,'Type Chart'!$C$2:$U$20,5,false)</f>
        <v>1</v>
      </c>
      <c r="Y609" s="960">
        <f t="array" ref="Y609">HLOOKUP($J609,'Type Chart'!$C$2:$T$20,6,false)*HLOOKUP($K609,'Type Chart'!$C$2:$U$20,6,false)</f>
        <v>1</v>
      </c>
      <c r="Z609" s="960">
        <f t="array" ref="Z609">HLOOKUP($J609,'Type Chart'!$C$2:$T$20,7,false)*HLOOKUP($K609,'Type Chart'!$C$2:$U$20,7,false)</f>
        <v>1</v>
      </c>
      <c r="AA609" s="960">
        <f t="array" ref="AA609">HLOOKUP($J609,'Type Chart'!$C$2:$T$20,8,false)*HLOOKUP($K609,'Type Chart'!$C$2:$U$20,8,false)</f>
        <v>1</v>
      </c>
      <c r="AB609" s="960">
        <f t="array" ref="AB609">HLOOKUP($J609,'Type Chart'!$C$2:$T$20,9,false)*HLOOKUP($K609,'Type Chart'!$C$2:$U$20,9,false)</f>
        <v>1</v>
      </c>
      <c r="AC609" s="960">
        <f t="array" ref="AC609">HLOOKUP($J609,'Type Chart'!$C$2:$T$20,10,false)*HLOOKUP($K609,'Type Chart'!$C$2:$U$20,10,false)</f>
        <v>0.5</v>
      </c>
      <c r="AD609" s="960">
        <f t="array" ref="AD609">HLOOKUP($J609,'Type Chart'!$C$2:$T$20,11,false)*HLOOKUP($K609,'Type Chart'!$C$2:$U$20,11,false)</f>
        <v>0.25</v>
      </c>
      <c r="AE609" s="960">
        <f t="array" ref="AE609">HLOOKUP($J609,'Type Chart'!$C$2:$T$20,12,false)*HLOOKUP($K609,'Type Chart'!$C$2:$U$20,12,false)</f>
        <v>0.25</v>
      </c>
      <c r="AF609" s="960">
        <f t="array" ref="AF609">HLOOKUP($J609,'Type Chart'!$C$2:$T$20,13,false)*HLOOKUP($K609,'Type Chart'!$C$2:$U$20,13,false)</f>
        <v>1</v>
      </c>
      <c r="AG609" s="960">
        <f t="array" ref="AG609">HLOOKUP($J609,'Type Chart'!$C$2:$T$20,14,false)*HLOOKUP($K609,'Type Chart'!$C$2:$U$20,14,false)</f>
        <v>1</v>
      </c>
      <c r="AH609" s="960">
        <f t="array" ref="AH609">HLOOKUP($J609,'Type Chart'!$C$2:$T$20,15,false)*HLOOKUP($K609,'Type Chart'!$C$2:$U$20,15,false)</f>
        <v>1</v>
      </c>
      <c r="AI609" s="960">
        <f t="array" ref="AI609">HLOOKUP($J609,'Type Chart'!$C$2:$T$20,16,false)*HLOOKUP($K609,'Type Chart'!$C$2:$U$20,16,false)</f>
        <v>1</v>
      </c>
      <c r="AJ609" s="960">
        <f t="array" ref="AJ609">HLOOKUP($J609,'Type Chart'!$C$2:$T$20,17,false)*HLOOKUP($K609,'Type Chart'!$C$2:$U$20,17,false)</f>
        <v>2</v>
      </c>
      <c r="AK609" s="960">
        <f t="array" ref="AK609">HLOOKUP($J609,'Type Chart'!$C$2:$T$20,18,false)*HLOOKUP($K609,'Type Chart'!$C$2:$U$20,18,false)</f>
        <v>1</v>
      </c>
      <c r="AL609" s="960">
        <f t="array" ref="AL609">HLOOKUP($J609,'Type Chart'!$C$2:$T$20,19,false)*HLOOKUP($K609,'Type Chart'!$C$2:$U$20,19,false)</f>
        <v>2</v>
      </c>
      <c r="AM609" s="964" t="s">
        <v>1636</v>
      </c>
      <c r="AN609" s="965"/>
      <c r="AO609" s="966" t="s">
        <v>1828</v>
      </c>
      <c r="AP609" s="936"/>
      <c r="AQ609" s="967"/>
      <c r="AR609" s="968"/>
      <c r="AS609" s="936"/>
    </row>
    <row r="610" ht="15.75" customHeight="1">
      <c r="A610" s="936"/>
      <c r="B610" s="948" t="s">
        <v>2716</v>
      </c>
      <c r="C610" s="950" t="str">
        <f t="shared" ref="C610:E610" si="9">C609&amp;"-origin"</f>
        <v>palkia-origin</v>
      </c>
      <c r="D610" s="950" t="str">
        <f t="shared" si="9"/>
        <v>palkia-origin</v>
      </c>
      <c r="E610" s="952" t="str">
        <f t="shared" si="9"/>
        <v>palkia-origin</v>
      </c>
      <c r="F610" s="940"/>
      <c r="G610" s="953"/>
      <c r="H610" s="969"/>
      <c r="I610" s="956" t="s">
        <v>2717</v>
      </c>
      <c r="J610" s="1056" t="s">
        <v>81</v>
      </c>
      <c r="K610" s="1006" t="s">
        <v>346</v>
      </c>
      <c r="L610" s="959">
        <v>90.0</v>
      </c>
      <c r="M610" s="960">
        <v>100.0</v>
      </c>
      <c r="N610" s="960">
        <v>100.0</v>
      </c>
      <c r="O610" s="960">
        <v>150.0</v>
      </c>
      <c r="P610" s="960">
        <v>120.0</v>
      </c>
      <c r="Q610" s="960">
        <v>120.0</v>
      </c>
      <c r="R610" s="960">
        <v>276.0</v>
      </c>
      <c r="S610" s="960">
        <v>339.0</v>
      </c>
      <c r="T610" s="960">
        <v>372.0</v>
      </c>
      <c r="U610" s="960">
        <f t="array" ref="U610">HLOOKUP($J610,'Type Chart'!$C$2:$T$20,2,false)*HLOOKUP($K610,'Type Chart'!$C$2:$U$20,2,false)</f>
        <v>1</v>
      </c>
      <c r="V610" s="960">
        <f t="array" ref="V610">HLOOKUP($J610,'Type Chart'!$C$2:$T$20,3,false)*HLOOKUP($K610,'Type Chart'!$C$2:$U$20,3,false)</f>
        <v>1</v>
      </c>
      <c r="W610" s="960">
        <f t="array" ref="W610">HLOOKUP($J610,'Type Chart'!$C$2:$T$20,4,false)*HLOOKUP($K610,'Type Chart'!$C$2:$U$20,4,false)</f>
        <v>1</v>
      </c>
      <c r="X610" s="960">
        <f t="array" ref="X610">HLOOKUP($J610,'Type Chart'!$C$2:$T$20,5,false)*HLOOKUP($K610,'Type Chart'!$C$2:$U$20,5,false)</f>
        <v>1</v>
      </c>
      <c r="Y610" s="960">
        <f t="array" ref="Y610">HLOOKUP($J610,'Type Chart'!$C$2:$T$20,6,false)*HLOOKUP($K610,'Type Chart'!$C$2:$U$20,6,false)</f>
        <v>1</v>
      </c>
      <c r="Z610" s="960">
        <f t="array" ref="Z610">HLOOKUP($J610,'Type Chart'!$C$2:$T$20,7,false)*HLOOKUP($K610,'Type Chart'!$C$2:$U$20,7,false)</f>
        <v>1</v>
      </c>
      <c r="AA610" s="960">
        <f t="array" ref="AA610">HLOOKUP($J610,'Type Chart'!$C$2:$T$20,8,false)*HLOOKUP($K610,'Type Chart'!$C$2:$U$20,8,false)</f>
        <v>1</v>
      </c>
      <c r="AB610" s="960">
        <f t="array" ref="AB610">HLOOKUP($J610,'Type Chart'!$C$2:$T$20,9,false)*HLOOKUP($K610,'Type Chart'!$C$2:$U$20,9,false)</f>
        <v>1</v>
      </c>
      <c r="AC610" s="960">
        <f t="array" ref="AC610">HLOOKUP($J610,'Type Chart'!$C$2:$T$20,10,false)*HLOOKUP($K610,'Type Chart'!$C$2:$U$20,10,false)</f>
        <v>0.5</v>
      </c>
      <c r="AD610" s="960">
        <f t="array" ref="AD610">HLOOKUP($J610,'Type Chart'!$C$2:$T$20,11,false)*HLOOKUP($K610,'Type Chart'!$C$2:$U$20,11,false)</f>
        <v>0.25</v>
      </c>
      <c r="AE610" s="960">
        <f t="array" ref="AE610">HLOOKUP($J610,'Type Chart'!$C$2:$T$20,12,false)*HLOOKUP($K610,'Type Chart'!$C$2:$U$20,12,false)</f>
        <v>0.25</v>
      </c>
      <c r="AF610" s="960">
        <f t="array" ref="AF610">HLOOKUP($J610,'Type Chart'!$C$2:$T$20,13,false)*HLOOKUP($K610,'Type Chart'!$C$2:$U$20,13,false)</f>
        <v>1</v>
      </c>
      <c r="AG610" s="960">
        <f t="array" ref="AG610">HLOOKUP($J610,'Type Chart'!$C$2:$T$20,14,false)*HLOOKUP($K610,'Type Chart'!$C$2:$U$20,14,false)</f>
        <v>1</v>
      </c>
      <c r="AH610" s="960">
        <f t="array" ref="AH610">HLOOKUP($J610,'Type Chart'!$C$2:$T$20,15,false)*HLOOKUP($K610,'Type Chart'!$C$2:$U$20,15,false)</f>
        <v>1</v>
      </c>
      <c r="AI610" s="960">
        <f t="array" ref="AI610">HLOOKUP($J610,'Type Chart'!$C$2:$T$20,16,false)*HLOOKUP($K610,'Type Chart'!$C$2:$U$20,16,false)</f>
        <v>1</v>
      </c>
      <c r="AJ610" s="960">
        <f t="array" ref="AJ610">HLOOKUP($J610,'Type Chart'!$C$2:$T$20,17,false)*HLOOKUP($K610,'Type Chart'!$C$2:$U$20,17,false)</f>
        <v>2</v>
      </c>
      <c r="AK610" s="960">
        <f t="array" ref="AK610">HLOOKUP($J610,'Type Chart'!$C$2:$T$20,18,false)*HLOOKUP($K610,'Type Chart'!$C$2:$U$20,18,false)</f>
        <v>1</v>
      </c>
      <c r="AL610" s="960">
        <f t="array" ref="AL610">HLOOKUP($J610,'Type Chart'!$C$2:$T$20,19,false)*HLOOKUP($K610,'Type Chart'!$C$2:$U$20,19,false)</f>
        <v>2</v>
      </c>
      <c r="AM610" s="964" t="s">
        <v>1636</v>
      </c>
      <c r="AN610" s="965"/>
      <c r="AO610" s="966" t="s">
        <v>1828</v>
      </c>
      <c r="AP610" s="936"/>
      <c r="AQ610" s="967"/>
      <c r="AR610" s="968"/>
      <c r="AS610" s="936"/>
    </row>
    <row r="611" ht="15.75" customHeight="1">
      <c r="A611" s="936"/>
      <c r="B611" s="948" t="s">
        <v>2718</v>
      </c>
      <c r="C611" s="950" t="s">
        <v>2719</v>
      </c>
      <c r="D611" s="950" t="s">
        <v>2719</v>
      </c>
      <c r="E611" s="952" t="s">
        <v>2719</v>
      </c>
      <c r="F611" s="940"/>
      <c r="G611" s="953"/>
      <c r="H611" s="969"/>
      <c r="I611" s="956" t="s">
        <v>97</v>
      </c>
      <c r="J611" s="982" t="s">
        <v>150</v>
      </c>
      <c r="K611" s="1206" t="s">
        <v>82</v>
      </c>
      <c r="L611" s="959">
        <v>91.0</v>
      </c>
      <c r="M611" s="960">
        <v>90.0</v>
      </c>
      <c r="N611" s="960">
        <v>106.0</v>
      </c>
      <c r="O611" s="960">
        <v>130.0</v>
      </c>
      <c r="P611" s="960">
        <v>106.0</v>
      </c>
      <c r="Q611" s="960">
        <v>77.0</v>
      </c>
      <c r="R611" s="960">
        <v>190.0</v>
      </c>
      <c r="S611" s="960">
        <v>253.0</v>
      </c>
      <c r="T611" s="960">
        <v>278.0</v>
      </c>
      <c r="U611" s="960">
        <f t="array" ref="U611">HLOOKUP($J611,'Type Chart'!$C$2:$T$20,2,false)*HLOOKUP($K611,'Type Chart'!$C$2:$U$20,2,false)</f>
        <v>0.5</v>
      </c>
      <c r="V611" s="960">
        <f t="array" ref="V611">HLOOKUP($J611,'Type Chart'!$C$2:$T$20,3,false)*HLOOKUP($K611,'Type Chart'!$C$2:$U$20,3,false)</f>
        <v>2</v>
      </c>
      <c r="W611" s="960">
        <f t="array" ref="W611">HLOOKUP($J611,'Type Chart'!$C$2:$T$20,4,false)*HLOOKUP($K611,'Type Chart'!$C$2:$U$20,4,false)</f>
        <v>0.5</v>
      </c>
      <c r="X611" s="960">
        <f t="array" ref="X611">HLOOKUP($J611,'Type Chart'!$C$2:$T$20,5,false)*HLOOKUP($K611,'Type Chart'!$C$2:$U$20,5,false)</f>
        <v>0</v>
      </c>
      <c r="Y611" s="960">
        <f t="array" ref="Y611">HLOOKUP($J611,'Type Chart'!$C$2:$T$20,6,false)*HLOOKUP($K611,'Type Chart'!$C$2:$U$20,6,false)</f>
        <v>4</v>
      </c>
      <c r="Z611" s="960">
        <f t="array" ref="Z611">HLOOKUP($J611,'Type Chart'!$C$2:$T$20,7,false)*HLOOKUP($K611,'Type Chart'!$C$2:$U$20,7,false)</f>
        <v>1</v>
      </c>
      <c r="AA611" s="960">
        <f t="array" ref="AA611">HLOOKUP($J611,'Type Chart'!$C$2:$T$20,8,false)*HLOOKUP($K611,'Type Chart'!$C$2:$U$20,8,false)</f>
        <v>0.25</v>
      </c>
      <c r="AB611" s="960">
        <f t="array" ref="AB611">HLOOKUP($J611,'Type Chart'!$C$2:$T$20,9,false)*HLOOKUP($K611,'Type Chart'!$C$2:$U$20,9,false)</f>
        <v>1</v>
      </c>
      <c r="AC611" s="960">
        <f t="array" ref="AC611">HLOOKUP($J611,'Type Chart'!$C$2:$T$20,10,false)*HLOOKUP($K611,'Type Chart'!$C$2:$U$20,10,false)</f>
        <v>0.25</v>
      </c>
      <c r="AD611" s="960">
        <f t="array" ref="AD611">HLOOKUP($J611,'Type Chart'!$C$2:$T$20,11,false)*HLOOKUP($K611,'Type Chart'!$C$2:$U$20,11,false)</f>
        <v>1</v>
      </c>
      <c r="AE611" s="960">
        <f t="array" ref="AE611">HLOOKUP($J611,'Type Chart'!$C$2:$T$20,12,false)*HLOOKUP($K611,'Type Chart'!$C$2:$U$20,12,false)</f>
        <v>2</v>
      </c>
      <c r="AF611" s="960">
        <f t="array" ref="AF611">HLOOKUP($J611,'Type Chart'!$C$2:$T$20,13,false)*HLOOKUP($K611,'Type Chart'!$C$2:$U$20,13,false)</f>
        <v>0.25</v>
      </c>
      <c r="AG611" s="960">
        <f t="array" ref="AG611">HLOOKUP($J611,'Type Chart'!$C$2:$T$20,14,false)*HLOOKUP($K611,'Type Chart'!$C$2:$U$20,14,false)</f>
        <v>1</v>
      </c>
      <c r="AH611" s="960">
        <f t="array" ref="AH611">HLOOKUP($J611,'Type Chart'!$C$2:$T$20,15,false)*HLOOKUP($K611,'Type Chart'!$C$2:$U$20,15,false)</f>
        <v>0.5</v>
      </c>
      <c r="AI611" s="960">
        <f t="array" ref="AI611">HLOOKUP($J611,'Type Chart'!$C$2:$T$20,16,false)*HLOOKUP($K611,'Type Chart'!$C$2:$U$20,16,false)</f>
        <v>0.25</v>
      </c>
      <c r="AJ611" s="960">
        <f t="array" ref="AJ611">HLOOKUP($J611,'Type Chart'!$C$2:$T$20,17,false)*HLOOKUP($K611,'Type Chart'!$C$2:$U$20,17,false)</f>
        <v>0.5</v>
      </c>
      <c r="AK611" s="960">
        <f t="array" ref="AK611">HLOOKUP($J611,'Type Chart'!$C$2:$T$20,18,false)*HLOOKUP($K611,'Type Chart'!$C$2:$U$20,18,false)</f>
        <v>1</v>
      </c>
      <c r="AL611" s="960">
        <f t="array" ref="AL611">HLOOKUP($J611,'Type Chart'!$C$2:$T$20,19,false)*HLOOKUP($K611,'Type Chart'!$C$2:$U$20,19,false)</f>
        <v>0.25</v>
      </c>
      <c r="AM611" s="964" t="s">
        <v>1172</v>
      </c>
      <c r="AN611" s="965"/>
      <c r="AO611" s="966" t="s">
        <v>1353</v>
      </c>
      <c r="AP611" s="936"/>
      <c r="AQ611" s="967"/>
      <c r="AR611" s="968"/>
      <c r="AS611" s="936"/>
    </row>
    <row r="612" ht="15.75" customHeight="1">
      <c r="A612" s="936"/>
      <c r="B612" s="948" t="s">
        <v>2720</v>
      </c>
      <c r="C612" s="950" t="s">
        <v>2721</v>
      </c>
      <c r="D612" s="950" t="s">
        <v>2721</v>
      </c>
      <c r="E612" s="952" t="s">
        <v>2721</v>
      </c>
      <c r="F612" s="940"/>
      <c r="G612" s="953"/>
      <c r="H612" s="969"/>
      <c r="I612" s="956" t="s">
        <v>669</v>
      </c>
      <c r="J612" s="1194" t="s">
        <v>136</v>
      </c>
      <c r="K612" s="984" t="s">
        <v>216</v>
      </c>
      <c r="L612" s="959">
        <v>110.0</v>
      </c>
      <c r="M612" s="960">
        <v>160.0</v>
      </c>
      <c r="N612" s="960">
        <v>110.0</v>
      </c>
      <c r="O612" s="960">
        <v>80.0</v>
      </c>
      <c r="P612" s="960">
        <v>110.0</v>
      </c>
      <c r="Q612" s="960">
        <v>100.0</v>
      </c>
      <c r="R612" s="960">
        <v>236.0</v>
      </c>
      <c r="S612" s="960">
        <v>299.0</v>
      </c>
      <c r="T612" s="960">
        <v>328.0</v>
      </c>
      <c r="U612" s="960">
        <f t="array" ref="U612">HLOOKUP($J612,'Type Chart'!$C$2:$T$20,2,false)*HLOOKUP($K612,'Type Chart'!$C$2:$U$20,2,false)</f>
        <v>1</v>
      </c>
      <c r="V612" s="960">
        <f t="array" ref="V612">HLOOKUP($J612,'Type Chart'!$C$2:$T$20,3,false)*HLOOKUP($K612,'Type Chart'!$C$2:$U$20,3,false)</f>
        <v>2</v>
      </c>
      <c r="W612" s="960">
        <f t="array" ref="W612">HLOOKUP($J612,'Type Chart'!$C$2:$T$20,4,false)*HLOOKUP($K612,'Type Chart'!$C$2:$U$20,4,false)</f>
        <v>1</v>
      </c>
      <c r="X612" s="960">
        <f t="array" ref="X612">HLOOKUP($J612,'Type Chart'!$C$2:$T$20,5,false)*HLOOKUP($K612,'Type Chart'!$C$2:$U$20,5,false)</f>
        <v>1</v>
      </c>
      <c r="Y612" s="960">
        <f t="array" ref="Y612">HLOOKUP($J612,'Type Chart'!$C$2:$T$20,6,false)*HLOOKUP($K612,'Type Chart'!$C$2:$U$20,6,false)</f>
        <v>1</v>
      </c>
      <c r="Z612" s="960">
        <f t="array" ref="Z612">HLOOKUP($J612,'Type Chart'!$C$2:$T$20,7,false)*HLOOKUP($K612,'Type Chart'!$C$2:$U$20,7,false)</f>
        <v>1</v>
      </c>
      <c r="AA612" s="960">
        <f t="array" ref="AA612">HLOOKUP($J612,'Type Chart'!$C$2:$T$20,8,false)*HLOOKUP($K612,'Type Chart'!$C$2:$U$20,8,false)</f>
        <v>1</v>
      </c>
      <c r="AB612" s="960">
        <f t="array" ref="AB612">HLOOKUP($J612,'Type Chart'!$C$2:$T$20,9,false)*HLOOKUP($K612,'Type Chart'!$C$2:$U$20,9,false)</f>
        <v>0</v>
      </c>
      <c r="AC612" s="960">
        <f t="array" ref="AC612">HLOOKUP($J612,'Type Chart'!$C$2:$T$20,10,false)*HLOOKUP($K612,'Type Chart'!$C$2:$U$20,10,false)</f>
        <v>1</v>
      </c>
      <c r="AD612" s="960">
        <f t="array" ref="AD612">HLOOKUP($J612,'Type Chart'!$C$2:$T$20,11,false)*HLOOKUP($K612,'Type Chart'!$C$2:$U$20,11,false)</f>
        <v>1</v>
      </c>
      <c r="AE612" s="960">
        <f t="array" ref="AE612">HLOOKUP($J612,'Type Chart'!$C$2:$T$20,12,false)*HLOOKUP($K612,'Type Chart'!$C$2:$U$20,12,false)</f>
        <v>1</v>
      </c>
      <c r="AF612" s="960">
        <f t="array" ref="AF612">HLOOKUP($J612,'Type Chart'!$C$2:$T$20,13,false)*HLOOKUP($K612,'Type Chart'!$C$2:$U$20,13,false)</f>
        <v>1</v>
      </c>
      <c r="AG612" s="960">
        <f t="array" ref="AG612">HLOOKUP($J612,'Type Chart'!$C$2:$T$20,14,false)*HLOOKUP($K612,'Type Chart'!$C$2:$U$20,14,false)</f>
        <v>1</v>
      </c>
      <c r="AH612" s="960">
        <f t="array" ref="AH612">HLOOKUP($J612,'Type Chart'!$C$2:$T$20,15,false)*HLOOKUP($K612,'Type Chart'!$C$2:$U$20,15,false)</f>
        <v>1</v>
      </c>
      <c r="AI612" s="960">
        <f t="array" ref="AI612">HLOOKUP($J612,'Type Chart'!$C$2:$T$20,16,false)*HLOOKUP($K612,'Type Chart'!$C$2:$U$20,16,false)</f>
        <v>1</v>
      </c>
      <c r="AJ612" s="960">
        <f t="array" ref="AJ612">HLOOKUP($J612,'Type Chart'!$C$2:$T$20,17,false)*HLOOKUP($K612,'Type Chart'!$C$2:$U$20,17,false)</f>
        <v>1</v>
      </c>
      <c r="AK612" s="960">
        <f t="array" ref="AK612">HLOOKUP($J612,'Type Chart'!$C$2:$T$20,18,false)*HLOOKUP($K612,'Type Chart'!$C$2:$U$20,18,false)</f>
        <v>1</v>
      </c>
      <c r="AL612" s="960">
        <f t="array" ref="AL612">HLOOKUP($J612,'Type Chart'!$C$2:$T$20,19,false)*HLOOKUP($K612,'Type Chart'!$C$2:$U$20,19,false)</f>
        <v>1</v>
      </c>
      <c r="AM612" s="964" t="s">
        <v>2722</v>
      </c>
      <c r="AN612" s="965"/>
      <c r="AO612" s="966"/>
      <c r="AP612" s="936"/>
      <c r="AQ612" s="967"/>
      <c r="AR612" s="968"/>
      <c r="AS612" s="936"/>
    </row>
    <row r="613" ht="15.75" customHeight="1">
      <c r="A613" s="936"/>
      <c r="B613" s="948" t="s">
        <v>2723</v>
      </c>
      <c r="C613" s="950" t="s">
        <v>2724</v>
      </c>
      <c r="D613" s="950" t="s">
        <v>2724</v>
      </c>
      <c r="E613" s="952" t="s">
        <v>2724</v>
      </c>
      <c r="F613" s="940"/>
      <c r="G613" s="953"/>
      <c r="H613" s="969"/>
      <c r="I613" s="950" t="s">
        <v>2724</v>
      </c>
      <c r="J613" s="1220" t="s">
        <v>215</v>
      </c>
      <c r="K613" s="1006" t="s">
        <v>346</v>
      </c>
      <c r="L613" s="959">
        <v>150.0</v>
      </c>
      <c r="M613" s="960">
        <v>100.0</v>
      </c>
      <c r="N613" s="960">
        <v>120.0</v>
      </c>
      <c r="O613" s="960">
        <v>100.0</v>
      </c>
      <c r="P613" s="960">
        <v>120.0</v>
      </c>
      <c r="Q613" s="960">
        <v>90.0</v>
      </c>
      <c r="R613" s="960">
        <v>216.0</v>
      </c>
      <c r="S613" s="960">
        <v>279.0</v>
      </c>
      <c r="T613" s="960">
        <v>306.0</v>
      </c>
      <c r="U613" s="960">
        <f t="array" ref="U613">HLOOKUP($J613,'Type Chart'!$C$2:$T$20,2,false)*HLOOKUP($K613,'Type Chart'!$C$2:$U$20,2,false)</f>
        <v>0</v>
      </c>
      <c r="V613" s="960">
        <f t="array" ref="V613">HLOOKUP($J613,'Type Chart'!$C$2:$T$20,3,false)*HLOOKUP($K613,'Type Chart'!$C$2:$U$20,3,false)</f>
        <v>0</v>
      </c>
      <c r="W613" s="960">
        <f t="array" ref="W613">HLOOKUP($J613,'Type Chart'!$C$2:$T$20,4,false)*HLOOKUP($K613,'Type Chart'!$C$2:$U$20,4,false)</f>
        <v>1</v>
      </c>
      <c r="X613" s="960">
        <f t="array" ref="X613">HLOOKUP($J613,'Type Chart'!$C$2:$T$20,5,false)*HLOOKUP($K613,'Type Chart'!$C$2:$U$20,5,false)</f>
        <v>0.5</v>
      </c>
      <c r="Y613" s="960">
        <f t="array" ref="Y613">HLOOKUP($J613,'Type Chart'!$C$2:$T$20,6,false)*HLOOKUP($K613,'Type Chart'!$C$2:$U$20,6,false)</f>
        <v>1</v>
      </c>
      <c r="Z613" s="960">
        <f t="array" ref="Z613">HLOOKUP($J613,'Type Chart'!$C$2:$T$20,7,false)*HLOOKUP($K613,'Type Chart'!$C$2:$U$20,7,false)</f>
        <v>1</v>
      </c>
      <c r="AA613" s="960">
        <f t="array" ref="AA613">HLOOKUP($J613,'Type Chart'!$C$2:$T$20,8,false)*HLOOKUP($K613,'Type Chart'!$C$2:$U$20,8,false)</f>
        <v>0.5</v>
      </c>
      <c r="AB613" s="960">
        <f t="array" ref="AB613">HLOOKUP($J613,'Type Chart'!$C$2:$T$20,9,false)*HLOOKUP($K613,'Type Chart'!$C$2:$U$20,9,false)</f>
        <v>2</v>
      </c>
      <c r="AC613" s="960">
        <f t="array" ref="AC613">HLOOKUP($J613,'Type Chart'!$C$2:$T$20,10,false)*HLOOKUP($K613,'Type Chart'!$C$2:$U$20,10,false)</f>
        <v>1</v>
      </c>
      <c r="AD613" s="960">
        <f t="array" ref="AD613">HLOOKUP($J613,'Type Chart'!$C$2:$T$20,11,false)*HLOOKUP($K613,'Type Chart'!$C$2:$U$20,11,false)</f>
        <v>0.5</v>
      </c>
      <c r="AE613" s="960">
        <f t="array" ref="AE613">HLOOKUP($J613,'Type Chart'!$C$2:$T$20,12,false)*HLOOKUP($K613,'Type Chart'!$C$2:$U$20,12,false)</f>
        <v>0.5</v>
      </c>
      <c r="AF613" s="960">
        <f t="array" ref="AF613">HLOOKUP($J613,'Type Chart'!$C$2:$T$20,13,false)*HLOOKUP($K613,'Type Chart'!$C$2:$U$20,13,false)</f>
        <v>0.5</v>
      </c>
      <c r="AG613" s="960">
        <f t="array" ref="AG613">HLOOKUP($J613,'Type Chart'!$C$2:$T$20,14,false)*HLOOKUP($K613,'Type Chart'!$C$2:$U$20,14,false)</f>
        <v>0.5</v>
      </c>
      <c r="AH613" s="960">
        <f t="array" ref="AH613">HLOOKUP($J613,'Type Chart'!$C$2:$T$20,15,false)*HLOOKUP($K613,'Type Chart'!$C$2:$U$20,15,false)</f>
        <v>1</v>
      </c>
      <c r="AI613" s="960">
        <f t="array" ref="AI613">HLOOKUP($J613,'Type Chart'!$C$2:$T$20,16,false)*HLOOKUP($K613,'Type Chart'!$C$2:$U$20,16,false)</f>
        <v>2</v>
      </c>
      <c r="AJ613" s="960">
        <f t="array" ref="AJ613">HLOOKUP($J613,'Type Chart'!$C$2:$T$20,17,false)*HLOOKUP($K613,'Type Chart'!$C$2:$U$20,17,false)</f>
        <v>2</v>
      </c>
      <c r="AK613" s="960">
        <f t="array" ref="AK613">HLOOKUP($J613,'Type Chart'!$C$2:$T$20,18,false)*HLOOKUP($K613,'Type Chart'!$C$2:$U$20,18,false)</f>
        <v>2</v>
      </c>
      <c r="AL613" s="960">
        <f t="array" ref="AL613">HLOOKUP($J613,'Type Chart'!$C$2:$T$20,19,false)*HLOOKUP($K613,'Type Chart'!$C$2:$U$20,19,false)</f>
        <v>2</v>
      </c>
      <c r="AM613" s="964" t="s">
        <v>1636</v>
      </c>
      <c r="AN613" s="965"/>
      <c r="AO613" s="966" t="s">
        <v>1828</v>
      </c>
      <c r="AP613" s="936"/>
      <c r="AQ613" s="967"/>
      <c r="AR613" s="968"/>
      <c r="AS613" s="936"/>
    </row>
    <row r="614" ht="15.75" customHeight="1">
      <c r="A614" s="936"/>
      <c r="B614" s="948" t="s">
        <v>2725</v>
      </c>
      <c r="C614" s="950" t="s">
        <v>2726</v>
      </c>
      <c r="D614" s="950" t="s">
        <v>2726</v>
      </c>
      <c r="E614" s="952" t="s">
        <v>2726</v>
      </c>
      <c r="F614" s="940"/>
      <c r="G614" s="953"/>
      <c r="H614" s="969"/>
      <c r="I614" s="956" t="s">
        <v>249</v>
      </c>
      <c r="J614" s="1220" t="s">
        <v>215</v>
      </c>
      <c r="K614" s="1006" t="s">
        <v>346</v>
      </c>
      <c r="L614" s="959">
        <v>150.0</v>
      </c>
      <c r="M614" s="960">
        <v>120.0</v>
      </c>
      <c r="N614" s="960">
        <v>100.0</v>
      </c>
      <c r="O614" s="960">
        <v>120.0</v>
      </c>
      <c r="P614" s="960">
        <v>100.0</v>
      </c>
      <c r="Q614" s="960">
        <v>90.0</v>
      </c>
      <c r="R614" s="960">
        <v>216.0</v>
      </c>
      <c r="S614" s="960">
        <v>279.0</v>
      </c>
      <c r="T614" s="960">
        <v>306.0</v>
      </c>
      <c r="U614" s="960">
        <f t="array" ref="U614">HLOOKUP($J614,'Type Chart'!$C$2:$T$20,2,false)*HLOOKUP($K614,'Type Chart'!$C$2:$U$20,2,false)</f>
        <v>0</v>
      </c>
      <c r="V614" s="960">
        <f t="array" ref="V614">HLOOKUP($J614,'Type Chart'!$C$2:$T$20,3,false)*HLOOKUP($K614,'Type Chart'!$C$2:$U$20,3,false)</f>
        <v>0</v>
      </c>
      <c r="W614" s="960">
        <f t="array" ref="W614">HLOOKUP($J614,'Type Chart'!$C$2:$T$20,4,false)*HLOOKUP($K614,'Type Chart'!$C$2:$U$20,4,false)</f>
        <v>1</v>
      </c>
      <c r="X614" s="960">
        <f t="array" ref="X614">HLOOKUP($J614,'Type Chart'!$C$2:$T$20,5,false)*HLOOKUP($K614,'Type Chart'!$C$2:$U$20,5,false)</f>
        <v>0.5</v>
      </c>
      <c r="Y614" s="960">
        <f t="array" ref="Y614">HLOOKUP($J614,'Type Chart'!$C$2:$T$20,6,false)*HLOOKUP($K614,'Type Chart'!$C$2:$U$20,6,false)</f>
        <v>1</v>
      </c>
      <c r="Z614" s="960">
        <f t="array" ref="Z614">HLOOKUP($J614,'Type Chart'!$C$2:$T$20,7,false)*HLOOKUP($K614,'Type Chart'!$C$2:$U$20,7,false)</f>
        <v>1</v>
      </c>
      <c r="AA614" s="960">
        <f t="array" ref="AA614">HLOOKUP($J614,'Type Chart'!$C$2:$T$20,8,false)*HLOOKUP($K614,'Type Chart'!$C$2:$U$20,8,false)</f>
        <v>0.5</v>
      </c>
      <c r="AB614" s="960">
        <f t="array" ref="AB614">HLOOKUP($J614,'Type Chart'!$C$2:$T$20,9,false)*HLOOKUP($K614,'Type Chart'!$C$2:$U$20,9,false)</f>
        <v>2</v>
      </c>
      <c r="AC614" s="960">
        <f t="array" ref="AC614">HLOOKUP($J614,'Type Chart'!$C$2:$T$20,10,false)*HLOOKUP($K614,'Type Chart'!$C$2:$U$20,10,false)</f>
        <v>1</v>
      </c>
      <c r="AD614" s="960">
        <f t="array" ref="AD614">HLOOKUP($J614,'Type Chart'!$C$2:$T$20,11,false)*HLOOKUP($K614,'Type Chart'!$C$2:$U$20,11,false)</f>
        <v>0.5</v>
      </c>
      <c r="AE614" s="960">
        <f t="array" ref="AE614">HLOOKUP($J614,'Type Chart'!$C$2:$T$20,12,false)*HLOOKUP($K614,'Type Chart'!$C$2:$U$20,12,false)</f>
        <v>0.5</v>
      </c>
      <c r="AF614" s="960">
        <f t="array" ref="AF614">HLOOKUP($J614,'Type Chart'!$C$2:$T$20,13,false)*HLOOKUP($K614,'Type Chart'!$C$2:$U$20,13,false)</f>
        <v>0.5</v>
      </c>
      <c r="AG614" s="960">
        <f t="array" ref="AG614">HLOOKUP($J614,'Type Chart'!$C$2:$T$20,14,false)*HLOOKUP($K614,'Type Chart'!$C$2:$U$20,14,false)</f>
        <v>0.5</v>
      </c>
      <c r="AH614" s="960">
        <f t="array" ref="AH614">HLOOKUP($J614,'Type Chart'!$C$2:$T$20,15,false)*HLOOKUP($K614,'Type Chart'!$C$2:$U$20,15,false)</f>
        <v>1</v>
      </c>
      <c r="AI614" s="960">
        <f t="array" ref="AI614">HLOOKUP($J614,'Type Chart'!$C$2:$T$20,16,false)*HLOOKUP($K614,'Type Chart'!$C$2:$U$20,16,false)</f>
        <v>2</v>
      </c>
      <c r="AJ614" s="960">
        <f t="array" ref="AJ614">HLOOKUP($J614,'Type Chart'!$C$2:$T$20,17,false)*HLOOKUP($K614,'Type Chart'!$C$2:$U$20,17,false)</f>
        <v>2</v>
      </c>
      <c r="AK614" s="960">
        <f t="array" ref="AK614">HLOOKUP($J614,'Type Chart'!$C$2:$T$20,18,false)*HLOOKUP($K614,'Type Chart'!$C$2:$U$20,18,false)</f>
        <v>2</v>
      </c>
      <c r="AL614" s="960">
        <f t="array" ref="AL614">HLOOKUP($J614,'Type Chart'!$C$2:$T$20,19,false)*HLOOKUP($K614,'Type Chart'!$C$2:$U$20,19,false)</f>
        <v>2</v>
      </c>
      <c r="AM614" s="964" t="s">
        <v>1437</v>
      </c>
      <c r="AN614" s="965"/>
      <c r="AO614" s="966"/>
      <c r="AP614" s="936"/>
      <c r="AQ614" s="967"/>
      <c r="AR614" s="968"/>
      <c r="AS614" s="936"/>
    </row>
    <row r="615" ht="15.75" customHeight="1">
      <c r="A615" s="1099"/>
      <c r="B615" s="948" t="s">
        <v>2727</v>
      </c>
      <c r="C615" s="1197" t="s">
        <v>2728</v>
      </c>
      <c r="D615" s="1197" t="s">
        <v>2728</v>
      </c>
      <c r="E615" s="1147" t="s">
        <v>2728</v>
      </c>
      <c r="F615" s="940"/>
      <c r="G615" s="953"/>
      <c r="H615" s="969"/>
      <c r="I615" s="998" t="s">
        <v>531</v>
      </c>
      <c r="J615" s="1215" t="s">
        <v>344</v>
      </c>
      <c r="K615" s="1199" t="s">
        <v>216</v>
      </c>
      <c r="L615" s="1200">
        <v>120.0</v>
      </c>
      <c r="M615" s="1201">
        <v>70.0</v>
      </c>
      <c r="N615" s="1201">
        <v>120.0</v>
      </c>
      <c r="O615" s="1201">
        <v>75.0</v>
      </c>
      <c r="P615" s="1201">
        <v>130.0</v>
      </c>
      <c r="Q615" s="1201">
        <v>85.0</v>
      </c>
      <c r="R615" s="960">
        <v>206.0</v>
      </c>
      <c r="S615" s="960">
        <v>269.0</v>
      </c>
      <c r="T615" s="960">
        <v>295.0</v>
      </c>
      <c r="U615" s="960">
        <f t="array" ref="U615">HLOOKUP($J615,'Type Chart'!$C$2:$T$20,2,false)*HLOOKUP($K615,'Type Chart'!$C$2:$U$20,2,false)</f>
        <v>1</v>
      </c>
      <c r="V615" s="960">
        <f t="array" ref="V615">HLOOKUP($J615,'Type Chart'!$C$2:$T$20,3,false)*HLOOKUP($K615,'Type Chart'!$C$2:$U$20,3,false)</f>
        <v>0.5</v>
      </c>
      <c r="W615" s="960">
        <f t="array" ref="W615">HLOOKUP($J615,'Type Chart'!$C$2:$T$20,4,false)*HLOOKUP($K615,'Type Chart'!$C$2:$U$20,4,false)</f>
        <v>1</v>
      </c>
      <c r="X615" s="960">
        <f t="array" ref="X615">HLOOKUP($J615,'Type Chart'!$C$2:$T$20,5,false)*HLOOKUP($K615,'Type Chart'!$C$2:$U$20,5,false)</f>
        <v>1</v>
      </c>
      <c r="Y615" s="960">
        <f t="array" ref="Y615">HLOOKUP($J615,'Type Chart'!$C$2:$T$20,6,false)*HLOOKUP($K615,'Type Chart'!$C$2:$U$20,6,false)</f>
        <v>1</v>
      </c>
      <c r="Z615" s="960">
        <f t="array" ref="Z615">HLOOKUP($J615,'Type Chart'!$C$2:$T$20,7,false)*HLOOKUP($K615,'Type Chart'!$C$2:$U$20,7,false)</f>
        <v>1</v>
      </c>
      <c r="AA615" s="960">
        <f t="array" ref="AA615">HLOOKUP($J615,'Type Chart'!$C$2:$T$20,8,false)*HLOOKUP($K615,'Type Chart'!$C$2:$U$20,8,false)</f>
        <v>2</v>
      </c>
      <c r="AB615" s="960">
        <f t="array" ref="AB615">HLOOKUP($J615,'Type Chart'!$C$2:$T$20,9,false)*HLOOKUP($K615,'Type Chart'!$C$2:$U$20,9,false)</f>
        <v>2</v>
      </c>
      <c r="AC615" s="960">
        <f t="array" ref="AC615">HLOOKUP($J615,'Type Chart'!$C$2:$T$20,10,false)*HLOOKUP($K615,'Type Chart'!$C$2:$U$20,10,false)</f>
        <v>1</v>
      </c>
      <c r="AD615" s="960">
        <f t="array" ref="AD615">HLOOKUP($J615,'Type Chart'!$C$2:$T$20,11,false)*HLOOKUP($K615,'Type Chart'!$C$2:$U$20,11,false)</f>
        <v>1</v>
      </c>
      <c r="AE615" s="960">
        <f t="array" ref="AE615">HLOOKUP($J615,'Type Chart'!$C$2:$T$20,12,false)*HLOOKUP($K615,'Type Chart'!$C$2:$U$20,12,false)</f>
        <v>1</v>
      </c>
      <c r="AF615" s="960">
        <f t="array" ref="AF615">HLOOKUP($J615,'Type Chart'!$C$2:$T$20,13,false)*HLOOKUP($K615,'Type Chart'!$C$2:$U$20,13,false)</f>
        <v>1</v>
      </c>
      <c r="AG615" s="960">
        <f t="array" ref="AG615">HLOOKUP($J615,'Type Chart'!$C$2:$T$20,14,false)*HLOOKUP($K615,'Type Chart'!$C$2:$U$20,14,false)</f>
        <v>1</v>
      </c>
      <c r="AH615" s="960">
        <f t="array" ref="AH615">HLOOKUP($J615,'Type Chart'!$C$2:$T$20,15,false)*HLOOKUP($K615,'Type Chart'!$C$2:$U$20,15,false)</f>
        <v>0.5</v>
      </c>
      <c r="AI615" s="960">
        <f t="array" ref="AI615">HLOOKUP($J615,'Type Chart'!$C$2:$T$20,16,false)*HLOOKUP($K615,'Type Chart'!$C$2:$U$20,16,false)</f>
        <v>1</v>
      </c>
      <c r="AJ615" s="960">
        <f t="array" ref="AJ615">HLOOKUP($J615,'Type Chart'!$C$2:$T$20,17,false)*HLOOKUP($K615,'Type Chart'!$C$2:$U$20,17,false)</f>
        <v>1</v>
      </c>
      <c r="AK615" s="960">
        <f t="array" ref="AK615">HLOOKUP($J615,'Type Chart'!$C$2:$T$20,18,false)*HLOOKUP($K615,'Type Chart'!$C$2:$U$20,18,false)</f>
        <v>2</v>
      </c>
      <c r="AL615" s="960">
        <f t="array" ref="AL615">HLOOKUP($J615,'Type Chart'!$C$2:$T$20,19,false)*HLOOKUP($K615,'Type Chart'!$C$2:$U$20,19,false)</f>
        <v>1</v>
      </c>
      <c r="AM615" s="1145" t="s">
        <v>1437</v>
      </c>
      <c r="AN615" s="1202"/>
      <c r="AO615" s="1146"/>
      <c r="AP615" s="936"/>
      <c r="AQ615" s="967"/>
      <c r="AR615" s="968"/>
      <c r="AS615" s="936"/>
    </row>
    <row r="616" ht="15.75" customHeight="1">
      <c r="A616" s="936"/>
      <c r="B616" s="948" t="s">
        <v>2729</v>
      </c>
      <c r="C616" s="950" t="s">
        <v>2730</v>
      </c>
      <c r="D616" s="950" t="s">
        <v>2730</v>
      </c>
      <c r="E616" s="952" t="s">
        <v>2730</v>
      </c>
      <c r="F616" s="940"/>
      <c r="G616" s="953"/>
      <c r="H616" s="969"/>
      <c r="I616" s="956" t="s">
        <v>792</v>
      </c>
      <c r="J616" s="1056" t="s">
        <v>81</v>
      </c>
      <c r="K616" s="984" t="s">
        <v>216</v>
      </c>
      <c r="L616" s="959">
        <v>80.0</v>
      </c>
      <c r="M616" s="960">
        <v>80.0</v>
      </c>
      <c r="N616" s="960">
        <v>80.0</v>
      </c>
      <c r="O616" s="960">
        <v>80.0</v>
      </c>
      <c r="P616" s="960">
        <v>80.0</v>
      </c>
      <c r="Q616" s="960">
        <v>80.0</v>
      </c>
      <c r="R616" s="960">
        <v>196.0</v>
      </c>
      <c r="S616" s="960">
        <v>259.0</v>
      </c>
      <c r="T616" s="960">
        <v>284.0</v>
      </c>
      <c r="U616" s="960">
        <f t="array" ref="U616">HLOOKUP($J616,'Type Chart'!$C$2:$T$20,2,false)*HLOOKUP($K616,'Type Chart'!$C$2:$U$20,2,false)</f>
        <v>1</v>
      </c>
      <c r="V616" s="960">
        <f t="array" ref="V616">HLOOKUP($J616,'Type Chart'!$C$2:$T$20,3,false)*HLOOKUP($K616,'Type Chart'!$C$2:$U$20,3,false)</f>
        <v>1</v>
      </c>
      <c r="W616" s="960">
        <f t="array" ref="W616">HLOOKUP($J616,'Type Chart'!$C$2:$T$20,4,false)*HLOOKUP($K616,'Type Chart'!$C$2:$U$20,4,false)</f>
        <v>1</v>
      </c>
      <c r="X616" s="960">
        <f t="array" ref="X616">HLOOKUP($J616,'Type Chart'!$C$2:$T$20,5,false)*HLOOKUP($K616,'Type Chart'!$C$2:$U$20,5,false)</f>
        <v>1</v>
      </c>
      <c r="Y616" s="960">
        <f t="array" ref="Y616">HLOOKUP($J616,'Type Chart'!$C$2:$T$20,6,false)*HLOOKUP($K616,'Type Chart'!$C$2:$U$20,6,false)</f>
        <v>1</v>
      </c>
      <c r="Z616" s="960">
        <f t="array" ref="Z616">HLOOKUP($J616,'Type Chart'!$C$2:$T$20,7,false)*HLOOKUP($K616,'Type Chart'!$C$2:$U$20,7,false)</f>
        <v>1</v>
      </c>
      <c r="AA616" s="960">
        <f t="array" ref="AA616">HLOOKUP($J616,'Type Chart'!$C$2:$T$20,8,false)*HLOOKUP($K616,'Type Chart'!$C$2:$U$20,8,false)</f>
        <v>1</v>
      </c>
      <c r="AB616" s="960">
        <f t="array" ref="AB616">HLOOKUP($J616,'Type Chart'!$C$2:$T$20,9,false)*HLOOKUP($K616,'Type Chart'!$C$2:$U$20,9,false)</f>
        <v>1</v>
      </c>
      <c r="AC616" s="960">
        <f t="array" ref="AC616">HLOOKUP($J616,'Type Chart'!$C$2:$T$20,10,false)*HLOOKUP($K616,'Type Chart'!$C$2:$U$20,10,false)</f>
        <v>0.5</v>
      </c>
      <c r="AD616" s="960">
        <f t="array" ref="AD616">HLOOKUP($J616,'Type Chart'!$C$2:$T$20,11,false)*HLOOKUP($K616,'Type Chart'!$C$2:$U$20,11,false)</f>
        <v>0.5</v>
      </c>
      <c r="AE616" s="960">
        <f t="array" ref="AE616">HLOOKUP($J616,'Type Chart'!$C$2:$T$20,12,false)*HLOOKUP($K616,'Type Chart'!$C$2:$U$20,12,false)</f>
        <v>0.5</v>
      </c>
      <c r="AF616" s="960">
        <f t="array" ref="AF616">HLOOKUP($J616,'Type Chart'!$C$2:$T$20,13,false)*HLOOKUP($K616,'Type Chart'!$C$2:$U$20,13,false)</f>
        <v>2</v>
      </c>
      <c r="AG616" s="960">
        <f t="array" ref="AG616">HLOOKUP($J616,'Type Chart'!$C$2:$T$20,14,false)*HLOOKUP($K616,'Type Chart'!$C$2:$U$20,14,false)</f>
        <v>2</v>
      </c>
      <c r="AH616" s="960">
        <f t="array" ref="AH616">HLOOKUP($J616,'Type Chart'!$C$2:$T$20,15,false)*HLOOKUP($K616,'Type Chart'!$C$2:$U$20,15,false)</f>
        <v>1</v>
      </c>
      <c r="AI616" s="960">
        <f t="array" ref="AI616">HLOOKUP($J616,'Type Chart'!$C$2:$T$20,16,false)*HLOOKUP($K616,'Type Chart'!$C$2:$U$20,16,false)</f>
        <v>0.5</v>
      </c>
      <c r="AJ616" s="960">
        <f t="array" ref="AJ616">HLOOKUP($J616,'Type Chart'!$C$2:$T$20,17,false)*HLOOKUP($K616,'Type Chart'!$C$2:$U$20,17,false)</f>
        <v>1</v>
      </c>
      <c r="AK616" s="960">
        <f t="array" ref="AK616">HLOOKUP($J616,'Type Chart'!$C$2:$T$20,18,false)*HLOOKUP($K616,'Type Chart'!$C$2:$U$20,18,false)</f>
        <v>1</v>
      </c>
      <c r="AL616" s="960">
        <f t="array" ref="AL616">HLOOKUP($J616,'Type Chart'!$C$2:$T$20,19,false)*HLOOKUP($K616,'Type Chart'!$C$2:$U$20,19,false)</f>
        <v>1</v>
      </c>
      <c r="AM616" s="964" t="s">
        <v>1409</v>
      </c>
      <c r="AN616" s="965"/>
      <c r="AO616" s="966"/>
      <c r="AP616" s="936"/>
      <c r="AQ616" s="967"/>
      <c r="AR616" s="968"/>
      <c r="AS616" s="936"/>
    </row>
    <row r="617" ht="15.75" customHeight="1">
      <c r="A617" s="936"/>
      <c r="B617" s="948" t="s">
        <v>2731</v>
      </c>
      <c r="C617" s="950" t="s">
        <v>2732</v>
      </c>
      <c r="D617" s="950" t="s">
        <v>2732</v>
      </c>
      <c r="E617" s="952" t="s">
        <v>2732</v>
      </c>
      <c r="F617" s="940"/>
      <c r="G617" s="953"/>
      <c r="H617" s="969"/>
      <c r="I617" s="956" t="s">
        <v>410</v>
      </c>
      <c r="J617" s="1056" t="s">
        <v>81</v>
      </c>
      <c r="K617" s="984" t="s">
        <v>216</v>
      </c>
      <c r="L617" s="959">
        <v>100.0</v>
      </c>
      <c r="M617" s="960">
        <v>100.0</v>
      </c>
      <c r="N617" s="960">
        <v>100.0</v>
      </c>
      <c r="O617" s="960">
        <v>100.0</v>
      </c>
      <c r="P617" s="960">
        <v>100.0</v>
      </c>
      <c r="Q617" s="960">
        <v>100.0</v>
      </c>
      <c r="R617" s="960">
        <v>236.0</v>
      </c>
      <c r="S617" s="960">
        <v>299.0</v>
      </c>
      <c r="T617" s="960">
        <v>328.0</v>
      </c>
      <c r="U617" s="960">
        <f t="array" ref="U617">HLOOKUP($J617,'Type Chart'!$C$2:$T$20,2,false)*HLOOKUP($K617,'Type Chart'!$C$2:$U$20,2,false)</f>
        <v>1</v>
      </c>
      <c r="V617" s="960">
        <f t="array" ref="V617">HLOOKUP($J617,'Type Chart'!$C$2:$T$20,3,false)*HLOOKUP($K617,'Type Chart'!$C$2:$U$20,3,false)</f>
        <v>1</v>
      </c>
      <c r="W617" s="960">
        <f t="array" ref="W617">HLOOKUP($J617,'Type Chart'!$C$2:$T$20,4,false)*HLOOKUP($K617,'Type Chart'!$C$2:$U$20,4,false)</f>
        <v>1</v>
      </c>
      <c r="X617" s="960">
        <f t="array" ref="X617">HLOOKUP($J617,'Type Chart'!$C$2:$T$20,5,false)*HLOOKUP($K617,'Type Chart'!$C$2:$U$20,5,false)</f>
        <v>1</v>
      </c>
      <c r="Y617" s="960">
        <f t="array" ref="Y617">HLOOKUP($J617,'Type Chart'!$C$2:$T$20,6,false)*HLOOKUP($K617,'Type Chart'!$C$2:$U$20,6,false)</f>
        <v>1</v>
      </c>
      <c r="Z617" s="960">
        <f t="array" ref="Z617">HLOOKUP($J617,'Type Chart'!$C$2:$T$20,7,false)*HLOOKUP($K617,'Type Chart'!$C$2:$U$20,7,false)</f>
        <v>1</v>
      </c>
      <c r="AA617" s="960">
        <f t="array" ref="AA617">HLOOKUP($J617,'Type Chart'!$C$2:$T$20,8,false)*HLOOKUP($K617,'Type Chart'!$C$2:$U$20,8,false)</f>
        <v>1</v>
      </c>
      <c r="AB617" s="960">
        <f t="array" ref="AB617">HLOOKUP($J617,'Type Chart'!$C$2:$T$20,9,false)*HLOOKUP($K617,'Type Chart'!$C$2:$U$20,9,false)</f>
        <v>1</v>
      </c>
      <c r="AC617" s="960">
        <f t="array" ref="AC617">HLOOKUP($J617,'Type Chart'!$C$2:$T$20,10,false)*HLOOKUP($K617,'Type Chart'!$C$2:$U$20,10,false)</f>
        <v>0.5</v>
      </c>
      <c r="AD617" s="960">
        <f t="array" ref="AD617">HLOOKUP($J617,'Type Chart'!$C$2:$T$20,11,false)*HLOOKUP($K617,'Type Chart'!$C$2:$U$20,11,false)</f>
        <v>0.5</v>
      </c>
      <c r="AE617" s="960">
        <f t="array" ref="AE617">HLOOKUP($J617,'Type Chart'!$C$2:$T$20,12,false)*HLOOKUP($K617,'Type Chart'!$C$2:$U$20,12,false)</f>
        <v>0.5</v>
      </c>
      <c r="AF617" s="960">
        <f t="array" ref="AF617">HLOOKUP($J617,'Type Chart'!$C$2:$T$20,13,false)*HLOOKUP($K617,'Type Chart'!$C$2:$U$20,13,false)</f>
        <v>2</v>
      </c>
      <c r="AG617" s="960">
        <f t="array" ref="AG617">HLOOKUP($J617,'Type Chart'!$C$2:$T$20,14,false)*HLOOKUP($K617,'Type Chart'!$C$2:$U$20,14,false)</f>
        <v>2</v>
      </c>
      <c r="AH617" s="960">
        <f t="array" ref="AH617">HLOOKUP($J617,'Type Chart'!$C$2:$T$20,15,false)*HLOOKUP($K617,'Type Chart'!$C$2:$U$20,15,false)</f>
        <v>1</v>
      </c>
      <c r="AI617" s="960">
        <f t="array" ref="AI617">HLOOKUP($J617,'Type Chart'!$C$2:$T$20,16,false)*HLOOKUP($K617,'Type Chart'!$C$2:$U$20,16,false)</f>
        <v>0.5</v>
      </c>
      <c r="AJ617" s="960">
        <f t="array" ref="AJ617">HLOOKUP($J617,'Type Chart'!$C$2:$T$20,17,false)*HLOOKUP($K617,'Type Chart'!$C$2:$U$20,17,false)</f>
        <v>1</v>
      </c>
      <c r="AK617" s="960">
        <f t="array" ref="AK617">HLOOKUP($J617,'Type Chart'!$C$2:$T$20,18,false)*HLOOKUP($K617,'Type Chart'!$C$2:$U$20,18,false)</f>
        <v>1</v>
      </c>
      <c r="AL617" s="960">
        <f t="array" ref="AL617">HLOOKUP($J617,'Type Chart'!$C$2:$T$20,19,false)*HLOOKUP($K617,'Type Chart'!$C$2:$U$20,19,false)</f>
        <v>1</v>
      </c>
      <c r="AM617" s="964" t="s">
        <v>1409</v>
      </c>
      <c r="AN617" s="965"/>
      <c r="AO617" s="966"/>
      <c r="AP617" s="936"/>
      <c r="AQ617" s="967"/>
      <c r="AR617" s="968"/>
      <c r="AS617" s="936"/>
    </row>
    <row r="618" ht="15.75" customHeight="1">
      <c r="A618" s="936"/>
      <c r="B618" s="948" t="s">
        <v>2733</v>
      </c>
      <c r="C618" s="950" t="s">
        <v>141</v>
      </c>
      <c r="D618" s="950" t="s">
        <v>141</v>
      </c>
      <c r="E618" s="952" t="s">
        <v>141</v>
      </c>
      <c r="F618" s="940"/>
      <c r="G618" s="953"/>
      <c r="H618" s="969"/>
      <c r="I618" s="956" t="s">
        <v>147</v>
      </c>
      <c r="J618" s="1195" t="s">
        <v>193</v>
      </c>
      <c r="K618" s="984" t="s">
        <v>216</v>
      </c>
      <c r="L618" s="959">
        <v>70.0</v>
      </c>
      <c r="M618" s="960">
        <v>90.0</v>
      </c>
      <c r="N618" s="960">
        <v>90.0</v>
      </c>
      <c r="O618" s="960">
        <v>135.0</v>
      </c>
      <c r="P618" s="960">
        <v>90.0</v>
      </c>
      <c r="Q618" s="960">
        <v>125.0</v>
      </c>
      <c r="R618" s="960">
        <v>286.0</v>
      </c>
      <c r="S618" s="960">
        <v>349.0</v>
      </c>
      <c r="T618" s="960">
        <v>383.0</v>
      </c>
      <c r="U618" s="960">
        <f t="array" ref="U618">HLOOKUP($J618,'Type Chart'!$C$2:$T$20,2,false)*HLOOKUP($K618,'Type Chart'!$C$2:$U$20,2,false)</f>
        <v>1</v>
      </c>
      <c r="V618" s="960">
        <f t="array" ref="V618">HLOOKUP($J618,'Type Chart'!$C$2:$T$20,3,false)*HLOOKUP($K618,'Type Chart'!$C$2:$U$20,3,false)</f>
        <v>2</v>
      </c>
      <c r="W618" s="960">
        <f t="array" ref="W618">HLOOKUP($J618,'Type Chart'!$C$2:$T$20,4,false)*HLOOKUP($K618,'Type Chart'!$C$2:$U$20,4,false)</f>
        <v>1</v>
      </c>
      <c r="X618" s="960">
        <f t="array" ref="X618">HLOOKUP($J618,'Type Chart'!$C$2:$T$20,5,false)*HLOOKUP($K618,'Type Chart'!$C$2:$U$20,5,false)</f>
        <v>1</v>
      </c>
      <c r="Y618" s="960">
        <f t="array" ref="Y618">HLOOKUP($J618,'Type Chart'!$C$2:$T$20,6,false)*HLOOKUP($K618,'Type Chart'!$C$2:$U$20,6,false)</f>
        <v>1</v>
      </c>
      <c r="Z618" s="960">
        <f t="array" ref="Z618">HLOOKUP($J618,'Type Chart'!$C$2:$T$20,7,false)*HLOOKUP($K618,'Type Chart'!$C$2:$U$20,7,false)</f>
        <v>1</v>
      </c>
      <c r="AA618" s="960">
        <f t="array" ref="AA618">HLOOKUP($J618,'Type Chart'!$C$2:$T$20,8,false)*HLOOKUP($K618,'Type Chart'!$C$2:$U$20,8,false)</f>
        <v>2</v>
      </c>
      <c r="AB618" s="960">
        <f t="array" ref="AB618">HLOOKUP($J618,'Type Chart'!$C$2:$T$20,9,false)*HLOOKUP($K618,'Type Chart'!$C$2:$U$20,9,false)</f>
        <v>0.5</v>
      </c>
      <c r="AC618" s="960">
        <f t="array" ref="AC618">HLOOKUP($J618,'Type Chart'!$C$2:$T$20,10,false)*HLOOKUP($K618,'Type Chart'!$C$2:$U$20,10,false)</f>
        <v>1</v>
      </c>
      <c r="AD618" s="960">
        <f t="array" ref="AD618">HLOOKUP($J618,'Type Chart'!$C$2:$T$20,11,false)*HLOOKUP($K618,'Type Chart'!$C$2:$U$20,11,false)</f>
        <v>1</v>
      </c>
      <c r="AE618" s="960">
        <f t="array" ref="AE618">HLOOKUP($J618,'Type Chart'!$C$2:$T$20,12,false)*HLOOKUP($K618,'Type Chart'!$C$2:$U$20,12,false)</f>
        <v>1</v>
      </c>
      <c r="AF618" s="960">
        <f t="array" ref="AF618">HLOOKUP($J618,'Type Chart'!$C$2:$T$20,13,false)*HLOOKUP($K618,'Type Chart'!$C$2:$U$20,13,false)</f>
        <v>1</v>
      </c>
      <c r="AG618" s="960">
        <f t="array" ref="AG618">HLOOKUP($J618,'Type Chart'!$C$2:$T$20,14,false)*HLOOKUP($K618,'Type Chart'!$C$2:$U$20,14,false)</f>
        <v>1</v>
      </c>
      <c r="AH618" s="960">
        <f t="array" ref="AH618">HLOOKUP($J618,'Type Chart'!$C$2:$T$20,15,false)*HLOOKUP($K618,'Type Chart'!$C$2:$U$20,15,false)</f>
        <v>0</v>
      </c>
      <c r="AI618" s="960">
        <f t="array" ref="AI618">HLOOKUP($J618,'Type Chart'!$C$2:$T$20,16,false)*HLOOKUP($K618,'Type Chart'!$C$2:$U$20,16,false)</f>
        <v>1</v>
      </c>
      <c r="AJ618" s="960">
        <f t="array" ref="AJ618">HLOOKUP($J618,'Type Chart'!$C$2:$T$20,17,false)*HLOOKUP($K618,'Type Chart'!$C$2:$U$20,17,false)</f>
        <v>1</v>
      </c>
      <c r="AK618" s="960">
        <f t="array" ref="AK618">HLOOKUP($J618,'Type Chart'!$C$2:$T$20,18,false)*HLOOKUP($K618,'Type Chart'!$C$2:$U$20,18,false)</f>
        <v>0.5</v>
      </c>
      <c r="AL618" s="960">
        <f t="array" ref="AL618">HLOOKUP($J618,'Type Chart'!$C$2:$T$20,19,false)*HLOOKUP($K618,'Type Chart'!$C$2:$U$20,19,false)</f>
        <v>2</v>
      </c>
      <c r="AM618" s="964" t="s">
        <v>2734</v>
      </c>
      <c r="AN618" s="965"/>
      <c r="AO618" s="966"/>
      <c r="AP618" s="936"/>
      <c r="AQ618" s="967"/>
      <c r="AR618" s="968"/>
      <c r="AS618" s="936"/>
    </row>
    <row r="619" ht="15.75" customHeight="1">
      <c r="A619" s="936"/>
      <c r="B619" s="948" t="s">
        <v>2735</v>
      </c>
      <c r="C619" s="950" t="s">
        <v>2736</v>
      </c>
      <c r="D619" s="950" t="s">
        <v>2736</v>
      </c>
      <c r="E619" s="952" t="s">
        <v>2736</v>
      </c>
      <c r="F619" s="940"/>
      <c r="G619" s="953"/>
      <c r="H619" s="969"/>
      <c r="I619" s="998" t="s">
        <v>356</v>
      </c>
      <c r="J619" s="957" t="s">
        <v>209</v>
      </c>
      <c r="K619" s="984" t="s">
        <v>216</v>
      </c>
      <c r="L619" s="959">
        <v>100.0</v>
      </c>
      <c r="M619" s="960">
        <v>100.0</v>
      </c>
      <c r="N619" s="960">
        <v>100.0</v>
      </c>
      <c r="O619" s="960">
        <v>100.0</v>
      </c>
      <c r="P619" s="960">
        <v>100.0</v>
      </c>
      <c r="Q619" s="960">
        <v>100.0</v>
      </c>
      <c r="R619" s="960">
        <v>236.0</v>
      </c>
      <c r="S619" s="960">
        <v>299.0</v>
      </c>
      <c r="T619" s="960">
        <v>328.0</v>
      </c>
      <c r="U619" s="960">
        <f t="array" ref="U619">HLOOKUP($J619,'Type Chart'!$C$2:$T$20,2,false)*HLOOKUP($K619,'Type Chart'!$C$2:$U$20,2,false)</f>
        <v>1</v>
      </c>
      <c r="V619" s="960">
        <f t="array" ref="V619">HLOOKUP($J619,'Type Chart'!$C$2:$T$20,3,false)*HLOOKUP($K619,'Type Chart'!$C$2:$U$20,3,false)</f>
        <v>1</v>
      </c>
      <c r="W619" s="960">
        <f t="array" ref="W619">HLOOKUP($J619,'Type Chart'!$C$2:$T$20,4,false)*HLOOKUP($K619,'Type Chart'!$C$2:$U$20,4,false)</f>
        <v>2</v>
      </c>
      <c r="X619" s="960">
        <f t="array" ref="X619">HLOOKUP($J619,'Type Chart'!$C$2:$T$20,5,false)*HLOOKUP($K619,'Type Chart'!$C$2:$U$20,5,false)</f>
        <v>2</v>
      </c>
      <c r="Y619" s="960">
        <f t="array" ref="Y619">HLOOKUP($J619,'Type Chart'!$C$2:$T$20,6,false)*HLOOKUP($K619,'Type Chart'!$C$2:$U$20,6,false)</f>
        <v>0.5</v>
      </c>
      <c r="Z619" s="960">
        <f t="array" ref="Z619">HLOOKUP($J619,'Type Chart'!$C$2:$T$20,7,false)*HLOOKUP($K619,'Type Chart'!$C$2:$U$20,7,false)</f>
        <v>1</v>
      </c>
      <c r="AA619" s="960">
        <f t="array" ref="AA619">HLOOKUP($J619,'Type Chart'!$C$2:$T$20,8,false)*HLOOKUP($K619,'Type Chart'!$C$2:$U$20,8,false)</f>
        <v>2</v>
      </c>
      <c r="AB619" s="960">
        <f t="array" ref="AB619">HLOOKUP($J619,'Type Chart'!$C$2:$T$20,9,false)*HLOOKUP($K619,'Type Chart'!$C$2:$U$20,9,false)</f>
        <v>1</v>
      </c>
      <c r="AC619" s="960">
        <f t="array" ref="AC619">HLOOKUP($J619,'Type Chart'!$C$2:$T$20,10,false)*HLOOKUP($K619,'Type Chart'!$C$2:$U$20,10,false)</f>
        <v>1</v>
      </c>
      <c r="AD619" s="960">
        <f t="array" ref="AD619">HLOOKUP($J619,'Type Chart'!$C$2:$T$20,11,false)*HLOOKUP($K619,'Type Chart'!$C$2:$U$20,11,false)</f>
        <v>2</v>
      </c>
      <c r="AE619" s="960">
        <f t="array" ref="AE619">HLOOKUP($J619,'Type Chart'!$C$2:$T$20,12,false)*HLOOKUP($K619,'Type Chart'!$C$2:$U$20,12,false)</f>
        <v>0.5</v>
      </c>
      <c r="AF619" s="960">
        <f t="array" ref="AF619">HLOOKUP($J619,'Type Chart'!$C$2:$T$20,13,false)*HLOOKUP($K619,'Type Chart'!$C$2:$U$20,13,false)</f>
        <v>0.5</v>
      </c>
      <c r="AG619" s="960">
        <f t="array" ref="AG619">HLOOKUP($J619,'Type Chart'!$C$2:$T$20,14,false)*HLOOKUP($K619,'Type Chart'!$C$2:$U$20,14,false)</f>
        <v>0.5</v>
      </c>
      <c r="AH619" s="960">
        <f t="array" ref="AH619">HLOOKUP($J619,'Type Chart'!$C$2:$T$20,15,false)*HLOOKUP($K619,'Type Chart'!$C$2:$U$20,15,false)</f>
        <v>1</v>
      </c>
      <c r="AI619" s="960">
        <f t="array" ref="AI619">HLOOKUP($J619,'Type Chart'!$C$2:$T$20,16,false)*HLOOKUP($K619,'Type Chart'!$C$2:$U$20,16,false)</f>
        <v>2</v>
      </c>
      <c r="AJ619" s="960">
        <f t="array" ref="AJ619">HLOOKUP($J619,'Type Chart'!$C$2:$T$20,17,false)*HLOOKUP($K619,'Type Chart'!$C$2:$U$20,17,false)</f>
        <v>1</v>
      </c>
      <c r="AK619" s="960">
        <f t="array" ref="AK619">HLOOKUP($J619,'Type Chart'!$C$2:$T$20,18,false)*HLOOKUP($K619,'Type Chart'!$C$2:$U$20,18,false)</f>
        <v>1</v>
      </c>
      <c r="AL619" s="960">
        <f t="array" ref="AL619">HLOOKUP($J619,'Type Chart'!$C$2:$T$20,19,false)*HLOOKUP($K619,'Type Chart'!$C$2:$U$20,19,false)</f>
        <v>1</v>
      </c>
      <c r="AM619" s="964" t="s">
        <v>1520</v>
      </c>
      <c r="AN619" s="965"/>
      <c r="AO619" s="966"/>
      <c r="AP619" s="936"/>
      <c r="AQ619" s="967"/>
      <c r="AR619" s="968"/>
      <c r="AS619" s="936"/>
    </row>
    <row r="620" ht="15.75" customHeight="1">
      <c r="A620" s="936"/>
      <c r="B620" s="948" t="s">
        <v>2737</v>
      </c>
      <c r="C620" s="950" t="s">
        <v>2738</v>
      </c>
      <c r="D620" s="950" t="s">
        <v>2738</v>
      </c>
      <c r="E620" s="952" t="s">
        <v>2738</v>
      </c>
      <c r="F620" s="940"/>
      <c r="G620" s="953"/>
      <c r="H620" s="969"/>
      <c r="I620" s="956" t="s">
        <v>2739</v>
      </c>
      <c r="J620" s="957" t="s">
        <v>209</v>
      </c>
      <c r="K620" s="1001" t="s">
        <v>128</v>
      </c>
      <c r="L620" s="959">
        <v>100.0</v>
      </c>
      <c r="M620" s="960">
        <v>103.0</v>
      </c>
      <c r="N620" s="960">
        <v>75.0</v>
      </c>
      <c r="O620" s="960">
        <v>120.0</v>
      </c>
      <c r="P620" s="960">
        <v>75.0</v>
      </c>
      <c r="Q620" s="960">
        <v>127.0</v>
      </c>
      <c r="R620" s="960">
        <v>290.0</v>
      </c>
      <c r="S620" s="960">
        <v>353.0</v>
      </c>
      <c r="T620" s="960">
        <v>388.0</v>
      </c>
      <c r="U620" s="960">
        <f t="array" ref="U620">HLOOKUP($J620,'Type Chart'!$C$2:$T$20,2,false)*HLOOKUP($K620,'Type Chart'!$C$2:$U$20,2,false)</f>
        <v>1</v>
      </c>
      <c r="V620" s="960">
        <f t="array" ref="V620">HLOOKUP($J620,'Type Chart'!$C$2:$T$20,3,false)*HLOOKUP($K620,'Type Chart'!$C$2:$U$20,3,false)</f>
        <v>0.5</v>
      </c>
      <c r="W620" s="960">
        <f t="array" ref="W620">HLOOKUP($J620,'Type Chart'!$C$2:$T$20,4,false)*HLOOKUP($K620,'Type Chart'!$C$2:$U$20,4,false)</f>
        <v>2</v>
      </c>
      <c r="X620" s="960">
        <f t="array" ref="X620">HLOOKUP($J620,'Type Chart'!$C$2:$T$20,5,false)*HLOOKUP($K620,'Type Chart'!$C$2:$U$20,5,false)</f>
        <v>2</v>
      </c>
      <c r="Y620" s="960">
        <f t="array" ref="Y620">HLOOKUP($J620,'Type Chart'!$C$2:$T$20,6,false)*HLOOKUP($K620,'Type Chart'!$C$2:$U$20,6,false)</f>
        <v>0</v>
      </c>
      <c r="Z620" s="960">
        <f t="array" ref="Z620">HLOOKUP($J620,'Type Chart'!$C$2:$T$20,7,false)*HLOOKUP($K620,'Type Chart'!$C$2:$U$20,7,false)</f>
        <v>2</v>
      </c>
      <c r="AA620" s="960">
        <f t="array" ref="AA620">HLOOKUP($J620,'Type Chart'!$C$2:$T$20,8,false)*HLOOKUP($K620,'Type Chart'!$C$2:$U$20,8,false)</f>
        <v>1</v>
      </c>
      <c r="AB620" s="960">
        <f t="array" ref="AB620">HLOOKUP($J620,'Type Chart'!$C$2:$T$20,9,false)*HLOOKUP($K620,'Type Chart'!$C$2:$U$20,9,false)</f>
        <v>1</v>
      </c>
      <c r="AC620" s="960">
        <f t="array" ref="AC620">HLOOKUP($J620,'Type Chart'!$C$2:$T$20,10,false)*HLOOKUP($K620,'Type Chart'!$C$2:$U$20,10,false)</f>
        <v>1</v>
      </c>
      <c r="AD620" s="960">
        <f t="array" ref="AD620">HLOOKUP($J620,'Type Chart'!$C$2:$T$20,11,false)*HLOOKUP($K620,'Type Chart'!$C$2:$U$20,11,false)</f>
        <v>2</v>
      </c>
      <c r="AE620" s="960">
        <f t="array" ref="AE620">HLOOKUP($J620,'Type Chart'!$C$2:$T$20,12,false)*HLOOKUP($K620,'Type Chart'!$C$2:$U$20,12,false)</f>
        <v>0.5</v>
      </c>
      <c r="AF620" s="960">
        <f t="array" ref="AF620">HLOOKUP($J620,'Type Chart'!$C$2:$T$20,13,false)*HLOOKUP($K620,'Type Chart'!$C$2:$U$20,13,false)</f>
        <v>0.25</v>
      </c>
      <c r="AG620" s="960">
        <f t="array" ref="AG620">HLOOKUP($J620,'Type Chart'!$C$2:$T$20,14,false)*HLOOKUP($K620,'Type Chart'!$C$2:$U$20,14,false)</f>
        <v>1</v>
      </c>
      <c r="AH620" s="960">
        <f t="array" ref="AH620">HLOOKUP($J620,'Type Chart'!$C$2:$T$20,15,false)*HLOOKUP($K620,'Type Chart'!$C$2:$U$20,15,false)</f>
        <v>1</v>
      </c>
      <c r="AI620" s="960">
        <f t="array" ref="AI620">HLOOKUP($J620,'Type Chart'!$C$2:$T$20,16,false)*HLOOKUP($K620,'Type Chart'!$C$2:$U$20,16,false)</f>
        <v>4</v>
      </c>
      <c r="AJ620" s="960">
        <f t="array" ref="AJ620">HLOOKUP($J620,'Type Chart'!$C$2:$T$20,17,false)*HLOOKUP($K620,'Type Chart'!$C$2:$U$20,17,false)</f>
        <v>1</v>
      </c>
      <c r="AK620" s="960">
        <f t="array" ref="AK620">HLOOKUP($J620,'Type Chart'!$C$2:$T$20,18,false)*HLOOKUP($K620,'Type Chart'!$C$2:$U$20,18,false)</f>
        <v>1</v>
      </c>
      <c r="AL620" s="960">
        <f t="array" ref="AL620">HLOOKUP($J620,'Type Chart'!$C$2:$T$20,19,false)*HLOOKUP($K620,'Type Chart'!$C$2:$U$20,19,false)</f>
        <v>1</v>
      </c>
      <c r="AM620" s="964" t="s">
        <v>1521</v>
      </c>
      <c r="AN620" s="965"/>
      <c r="AO620" s="966"/>
      <c r="AP620" s="936"/>
      <c r="AQ620" s="967"/>
      <c r="AR620" s="968"/>
      <c r="AS620" s="936"/>
    </row>
    <row r="621" ht="15.75" customHeight="1">
      <c r="A621" s="936"/>
      <c r="B621" s="948" t="s">
        <v>2740</v>
      </c>
      <c r="C621" s="950" t="s">
        <v>2741</v>
      </c>
      <c r="D621" s="950" t="s">
        <v>2741</v>
      </c>
      <c r="E621" s="952" t="s">
        <v>2741</v>
      </c>
      <c r="F621" s="940"/>
      <c r="G621" s="953"/>
      <c r="H621" s="969"/>
      <c r="I621" s="998" t="s">
        <v>69</v>
      </c>
      <c r="J621" s="1194" t="s">
        <v>136</v>
      </c>
      <c r="K621" s="984" t="s">
        <v>216</v>
      </c>
      <c r="L621" s="959">
        <v>120.0</v>
      </c>
      <c r="M621" s="960">
        <v>120.0</v>
      </c>
      <c r="N621" s="960">
        <v>120.0</v>
      </c>
      <c r="O621" s="960">
        <v>120.0</v>
      </c>
      <c r="P621" s="960">
        <v>120.0</v>
      </c>
      <c r="Q621" s="960">
        <v>120.0</v>
      </c>
      <c r="R621" s="960">
        <v>276.0</v>
      </c>
      <c r="S621" s="960">
        <v>339.0</v>
      </c>
      <c r="T621" s="960">
        <v>372.0</v>
      </c>
      <c r="U621" s="960">
        <f t="array" ref="U621">HLOOKUP($J621,'Type Chart'!$C$2:$T$20,2,false)*HLOOKUP($K621,'Type Chart'!$C$2:$U$20,2,false)</f>
        <v>1</v>
      </c>
      <c r="V621" s="960">
        <f t="array" ref="V621">HLOOKUP($J621,'Type Chart'!$C$2:$T$20,3,false)*HLOOKUP($K621,'Type Chart'!$C$2:$U$20,3,false)</f>
        <v>2</v>
      </c>
      <c r="W621" s="960">
        <f t="array" ref="W621">HLOOKUP($J621,'Type Chart'!$C$2:$T$20,4,false)*HLOOKUP($K621,'Type Chart'!$C$2:$U$20,4,false)</f>
        <v>1</v>
      </c>
      <c r="X621" s="960">
        <f t="array" ref="X621">HLOOKUP($J621,'Type Chart'!$C$2:$T$20,5,false)*HLOOKUP($K621,'Type Chart'!$C$2:$U$20,5,false)</f>
        <v>1</v>
      </c>
      <c r="Y621" s="960">
        <f t="array" ref="Y621">HLOOKUP($J621,'Type Chart'!$C$2:$T$20,6,false)*HLOOKUP($K621,'Type Chart'!$C$2:$U$20,6,false)</f>
        <v>1</v>
      </c>
      <c r="Z621" s="960">
        <f t="array" ref="Z621">HLOOKUP($J621,'Type Chart'!$C$2:$T$20,7,false)*HLOOKUP($K621,'Type Chart'!$C$2:$U$20,7,false)</f>
        <v>1</v>
      </c>
      <c r="AA621" s="960">
        <f t="array" ref="AA621">HLOOKUP($J621,'Type Chart'!$C$2:$T$20,8,false)*HLOOKUP($K621,'Type Chart'!$C$2:$U$20,8,false)</f>
        <v>1</v>
      </c>
      <c r="AB621" s="960">
        <f t="array" ref="AB621">HLOOKUP($J621,'Type Chart'!$C$2:$T$20,9,false)*HLOOKUP($K621,'Type Chart'!$C$2:$U$20,9,false)</f>
        <v>0</v>
      </c>
      <c r="AC621" s="960">
        <f t="array" ref="AC621">HLOOKUP($J621,'Type Chart'!$C$2:$T$20,10,false)*HLOOKUP($K621,'Type Chart'!$C$2:$U$20,10,false)</f>
        <v>1</v>
      </c>
      <c r="AD621" s="960">
        <f t="array" ref="AD621">HLOOKUP($J621,'Type Chart'!$C$2:$T$20,11,false)*HLOOKUP($K621,'Type Chart'!$C$2:$U$20,11,false)</f>
        <v>1</v>
      </c>
      <c r="AE621" s="960">
        <f t="array" ref="AE621">HLOOKUP($J621,'Type Chart'!$C$2:$T$20,12,false)*HLOOKUP($K621,'Type Chart'!$C$2:$U$20,12,false)</f>
        <v>1</v>
      </c>
      <c r="AF621" s="960">
        <f t="array" ref="AF621">HLOOKUP($J621,'Type Chart'!$C$2:$T$20,13,false)*HLOOKUP($K621,'Type Chart'!$C$2:$U$20,13,false)</f>
        <v>1</v>
      </c>
      <c r="AG621" s="960">
        <f t="array" ref="AG621">HLOOKUP($J621,'Type Chart'!$C$2:$T$20,14,false)*HLOOKUP($K621,'Type Chart'!$C$2:$U$20,14,false)</f>
        <v>1</v>
      </c>
      <c r="AH621" s="960">
        <f t="array" ref="AH621">HLOOKUP($J621,'Type Chart'!$C$2:$T$20,15,false)*HLOOKUP($K621,'Type Chart'!$C$2:$U$20,15,false)</f>
        <v>1</v>
      </c>
      <c r="AI621" s="960">
        <f t="array" ref="AI621">HLOOKUP($J621,'Type Chart'!$C$2:$T$20,16,false)*HLOOKUP($K621,'Type Chart'!$C$2:$U$20,16,false)</f>
        <v>1</v>
      </c>
      <c r="AJ621" s="960">
        <f t="array" ref="AJ621">HLOOKUP($J621,'Type Chart'!$C$2:$T$20,17,false)*HLOOKUP($K621,'Type Chart'!$C$2:$U$20,17,false)</f>
        <v>1</v>
      </c>
      <c r="AK621" s="960">
        <f t="array" ref="AK621">HLOOKUP($J621,'Type Chart'!$C$2:$T$20,18,false)*HLOOKUP($K621,'Type Chart'!$C$2:$U$20,18,false)</f>
        <v>1</v>
      </c>
      <c r="AL621" s="960">
        <f t="array" ref="AL621">HLOOKUP($J621,'Type Chart'!$C$2:$T$20,19,false)*HLOOKUP($K621,'Type Chart'!$C$2:$U$20,19,false)</f>
        <v>1</v>
      </c>
      <c r="AM621" s="964" t="s">
        <v>2742</v>
      </c>
      <c r="AN621" s="965"/>
      <c r="AO621" s="966"/>
      <c r="AP621" s="936"/>
      <c r="AQ621" s="967"/>
      <c r="AR621" s="968"/>
      <c r="AS621" s="936"/>
    </row>
    <row r="622" ht="15.75" customHeight="1">
      <c r="A622" s="936"/>
      <c r="B622" s="948" t="s">
        <v>2740</v>
      </c>
      <c r="C622" s="950" t="s">
        <v>2743</v>
      </c>
      <c r="D622" s="950" t="s">
        <v>2743</v>
      </c>
      <c r="E622" s="952" t="s">
        <v>2743</v>
      </c>
      <c r="F622" s="940"/>
      <c r="G622" s="953"/>
      <c r="H622" s="969"/>
      <c r="I622" s="956" t="s">
        <v>2744</v>
      </c>
      <c r="J622" s="1180" t="s">
        <v>343</v>
      </c>
      <c r="K622" s="984" t="s">
        <v>216</v>
      </c>
      <c r="L622" s="959">
        <v>120.0</v>
      </c>
      <c r="M622" s="960">
        <v>120.0</v>
      </c>
      <c r="N622" s="960">
        <v>120.0</v>
      </c>
      <c r="O622" s="960">
        <v>120.0</v>
      </c>
      <c r="P622" s="960">
        <v>120.0</v>
      </c>
      <c r="Q622" s="960">
        <v>120.0</v>
      </c>
      <c r="R622" s="960">
        <v>276.0</v>
      </c>
      <c r="S622" s="960">
        <v>339.0</v>
      </c>
      <c r="T622" s="960">
        <v>372.0</v>
      </c>
      <c r="U622" s="960">
        <f t="array" ref="U622">HLOOKUP($J622,'Type Chart'!$C$2:$T$20,2,false)*HLOOKUP($K622,'Type Chart'!$C$2:$U$20,2,false)</f>
        <v>1</v>
      </c>
      <c r="V622" s="960">
        <f t="array" ref="V622">HLOOKUP($J622,'Type Chart'!$C$2:$T$20,3,false)*HLOOKUP($K622,'Type Chart'!$C$2:$U$20,3,false)</f>
        <v>0.5</v>
      </c>
      <c r="W622" s="960">
        <f t="array" ref="W622">HLOOKUP($J622,'Type Chart'!$C$2:$T$20,4,false)*HLOOKUP($K622,'Type Chart'!$C$2:$U$20,4,false)</f>
        <v>2</v>
      </c>
      <c r="X622" s="960">
        <f t="array" ref="X622">HLOOKUP($J622,'Type Chart'!$C$2:$T$20,5,false)*HLOOKUP($K622,'Type Chart'!$C$2:$U$20,5,false)</f>
        <v>1</v>
      </c>
      <c r="Y622" s="960">
        <f t="array" ref="Y622">HLOOKUP($J622,'Type Chart'!$C$2:$T$20,6,false)*HLOOKUP($K622,'Type Chart'!$C$2:$U$20,6,false)</f>
        <v>0.5</v>
      </c>
      <c r="Z622" s="960">
        <f t="array" ref="Z622">HLOOKUP($J622,'Type Chart'!$C$2:$T$20,7,false)*HLOOKUP($K622,'Type Chart'!$C$2:$U$20,7,false)</f>
        <v>2</v>
      </c>
      <c r="AA622" s="960">
        <f t="array" ref="AA622">HLOOKUP($J622,'Type Chart'!$C$2:$T$20,8,false)*HLOOKUP($K622,'Type Chart'!$C$2:$U$20,8,false)</f>
        <v>1</v>
      </c>
      <c r="AB622" s="960">
        <f t="array" ref="AB622">HLOOKUP($J622,'Type Chart'!$C$2:$T$20,9,false)*HLOOKUP($K622,'Type Chart'!$C$2:$U$20,9,false)</f>
        <v>1</v>
      </c>
      <c r="AC622" s="960">
        <f t="array" ref="AC622">HLOOKUP($J622,'Type Chart'!$C$2:$T$20,10,false)*HLOOKUP($K622,'Type Chart'!$C$2:$U$20,10,false)</f>
        <v>1</v>
      </c>
      <c r="AD622" s="960">
        <f t="array" ref="AD622">HLOOKUP($J622,'Type Chart'!$C$2:$T$20,11,false)*HLOOKUP($K622,'Type Chart'!$C$2:$U$20,11,false)</f>
        <v>2</v>
      </c>
      <c r="AE622" s="960">
        <f t="array" ref="AE622">HLOOKUP($J622,'Type Chart'!$C$2:$T$20,12,false)*HLOOKUP($K622,'Type Chart'!$C$2:$U$20,12,false)</f>
        <v>1</v>
      </c>
      <c r="AF622" s="960">
        <f t="array" ref="AF622">HLOOKUP($J622,'Type Chart'!$C$2:$T$20,13,false)*HLOOKUP($K622,'Type Chart'!$C$2:$U$20,13,false)</f>
        <v>0.5</v>
      </c>
      <c r="AG622" s="960">
        <f t="array" ref="AG622">HLOOKUP($J622,'Type Chart'!$C$2:$T$20,14,false)*HLOOKUP($K622,'Type Chart'!$C$2:$U$20,14,false)</f>
        <v>1</v>
      </c>
      <c r="AH622" s="960">
        <f t="array" ref="AH622">HLOOKUP($J622,'Type Chart'!$C$2:$T$20,15,false)*HLOOKUP($K622,'Type Chart'!$C$2:$U$20,15,false)</f>
        <v>1</v>
      </c>
      <c r="AI622" s="960">
        <f t="array" ref="AI622">HLOOKUP($J622,'Type Chart'!$C$2:$T$20,16,false)*HLOOKUP($K622,'Type Chart'!$C$2:$U$20,16,false)</f>
        <v>1</v>
      </c>
      <c r="AJ622" s="960">
        <f t="array" ref="AJ622">HLOOKUP($J622,'Type Chart'!$C$2:$T$20,17,false)*HLOOKUP($K622,'Type Chart'!$C$2:$U$20,17,false)</f>
        <v>1</v>
      </c>
      <c r="AK622" s="960">
        <f t="array" ref="AK622">HLOOKUP($J622,'Type Chart'!$C$2:$T$20,18,false)*HLOOKUP($K622,'Type Chart'!$C$2:$U$20,18,false)</f>
        <v>1</v>
      </c>
      <c r="AL622" s="960">
        <f t="array" ref="AL622">HLOOKUP($J622,'Type Chart'!$C$2:$T$20,19,false)*HLOOKUP($K622,'Type Chart'!$C$2:$U$20,19,false)</f>
        <v>1</v>
      </c>
      <c r="AM622" s="964" t="s">
        <v>2742</v>
      </c>
      <c r="AN622" s="965"/>
      <c r="AO622" s="966"/>
      <c r="AP622" s="936"/>
      <c r="AQ622" s="967"/>
      <c r="AR622" s="968"/>
      <c r="AS622" s="936"/>
    </row>
    <row r="623" ht="15.75" customHeight="1">
      <c r="A623" s="936"/>
      <c r="B623" s="948" t="s">
        <v>2740</v>
      </c>
      <c r="C623" s="950" t="s">
        <v>2745</v>
      </c>
      <c r="D623" s="950" t="s">
        <v>2745</v>
      </c>
      <c r="E623" s="952" t="s">
        <v>2745</v>
      </c>
      <c r="F623" s="940"/>
      <c r="G623" s="953"/>
      <c r="H623" s="969"/>
      <c r="I623" s="956" t="s">
        <v>2746</v>
      </c>
      <c r="J623" s="1195" t="s">
        <v>193</v>
      </c>
      <c r="K623" s="984" t="s">
        <v>216</v>
      </c>
      <c r="L623" s="959">
        <v>120.0</v>
      </c>
      <c r="M623" s="960">
        <v>120.0</v>
      </c>
      <c r="N623" s="960">
        <v>120.0</v>
      </c>
      <c r="O623" s="960">
        <v>120.0</v>
      </c>
      <c r="P623" s="960">
        <v>120.0</v>
      </c>
      <c r="Q623" s="960">
        <v>120.0</v>
      </c>
      <c r="R623" s="960">
        <v>276.0</v>
      </c>
      <c r="S623" s="960">
        <v>339.0</v>
      </c>
      <c r="T623" s="960">
        <v>372.0</v>
      </c>
      <c r="U623" s="960">
        <f t="array" ref="U623">HLOOKUP($J623,'Type Chart'!$C$2:$T$20,2,false)*HLOOKUP($K623,'Type Chart'!$C$2:$U$20,2,false)</f>
        <v>1</v>
      </c>
      <c r="V623" s="960">
        <f t="array" ref="V623">HLOOKUP($J623,'Type Chart'!$C$2:$T$20,3,false)*HLOOKUP($K623,'Type Chart'!$C$2:$U$20,3,false)</f>
        <v>2</v>
      </c>
      <c r="W623" s="960">
        <f t="array" ref="W623">HLOOKUP($J623,'Type Chart'!$C$2:$T$20,4,false)*HLOOKUP($K623,'Type Chart'!$C$2:$U$20,4,false)</f>
        <v>1</v>
      </c>
      <c r="X623" s="960">
        <f t="array" ref="X623">HLOOKUP($J623,'Type Chart'!$C$2:$T$20,5,false)*HLOOKUP($K623,'Type Chart'!$C$2:$U$20,5,false)</f>
        <v>1</v>
      </c>
      <c r="Y623" s="960">
        <f t="array" ref="Y623">HLOOKUP($J623,'Type Chart'!$C$2:$T$20,6,false)*HLOOKUP($K623,'Type Chart'!$C$2:$U$20,6,false)</f>
        <v>1</v>
      </c>
      <c r="Z623" s="960">
        <f t="array" ref="Z623">HLOOKUP($J623,'Type Chart'!$C$2:$T$20,7,false)*HLOOKUP($K623,'Type Chart'!$C$2:$U$20,7,false)</f>
        <v>1</v>
      </c>
      <c r="AA623" s="960">
        <f t="array" ref="AA623">HLOOKUP($J623,'Type Chart'!$C$2:$T$20,8,false)*HLOOKUP($K623,'Type Chart'!$C$2:$U$20,8,false)</f>
        <v>2</v>
      </c>
      <c r="AB623" s="960">
        <f t="array" ref="AB623">HLOOKUP($J623,'Type Chart'!$C$2:$T$20,9,false)*HLOOKUP($K623,'Type Chart'!$C$2:$U$20,9,false)</f>
        <v>0.5</v>
      </c>
      <c r="AC623" s="960">
        <f t="array" ref="AC623">HLOOKUP($J623,'Type Chart'!$C$2:$T$20,10,false)*HLOOKUP($K623,'Type Chart'!$C$2:$U$20,10,false)</f>
        <v>1</v>
      </c>
      <c r="AD623" s="960">
        <f t="array" ref="AD623">HLOOKUP($J623,'Type Chart'!$C$2:$T$20,11,false)*HLOOKUP($K623,'Type Chart'!$C$2:$U$20,11,false)</f>
        <v>1</v>
      </c>
      <c r="AE623" s="960">
        <f t="array" ref="AE623">HLOOKUP($J623,'Type Chart'!$C$2:$T$20,12,false)*HLOOKUP($K623,'Type Chart'!$C$2:$U$20,12,false)</f>
        <v>1</v>
      </c>
      <c r="AF623" s="960">
        <f t="array" ref="AF623">HLOOKUP($J623,'Type Chart'!$C$2:$T$20,13,false)*HLOOKUP($K623,'Type Chart'!$C$2:$U$20,13,false)</f>
        <v>1</v>
      </c>
      <c r="AG623" s="960">
        <f t="array" ref="AG623">HLOOKUP($J623,'Type Chart'!$C$2:$T$20,14,false)*HLOOKUP($K623,'Type Chart'!$C$2:$U$20,14,false)</f>
        <v>1</v>
      </c>
      <c r="AH623" s="960">
        <f t="array" ref="AH623">HLOOKUP($J623,'Type Chart'!$C$2:$T$20,15,false)*HLOOKUP($K623,'Type Chart'!$C$2:$U$20,15,false)</f>
        <v>0</v>
      </c>
      <c r="AI623" s="960">
        <f t="array" ref="AI623">HLOOKUP($J623,'Type Chart'!$C$2:$T$20,16,false)*HLOOKUP($K623,'Type Chart'!$C$2:$U$20,16,false)</f>
        <v>1</v>
      </c>
      <c r="AJ623" s="960">
        <f t="array" ref="AJ623">HLOOKUP($J623,'Type Chart'!$C$2:$T$20,17,false)*HLOOKUP($K623,'Type Chart'!$C$2:$U$20,17,false)</f>
        <v>1</v>
      </c>
      <c r="AK623" s="960">
        <f t="array" ref="AK623">HLOOKUP($J623,'Type Chart'!$C$2:$T$20,18,false)*HLOOKUP($K623,'Type Chart'!$C$2:$U$20,18,false)</f>
        <v>0.5</v>
      </c>
      <c r="AL623" s="960">
        <f t="array" ref="AL623">HLOOKUP($J623,'Type Chart'!$C$2:$T$20,19,false)*HLOOKUP($K623,'Type Chart'!$C$2:$U$20,19,false)</f>
        <v>2</v>
      </c>
      <c r="AM623" s="964" t="s">
        <v>2742</v>
      </c>
      <c r="AN623" s="965"/>
      <c r="AO623" s="966"/>
      <c r="AP623" s="936"/>
      <c r="AQ623" s="967"/>
      <c r="AR623" s="968"/>
      <c r="AS623" s="936"/>
    </row>
    <row r="624" ht="15.75" customHeight="1">
      <c r="A624" s="936"/>
      <c r="B624" s="948" t="s">
        <v>2740</v>
      </c>
      <c r="C624" s="950" t="s">
        <v>2747</v>
      </c>
      <c r="D624" s="950" t="s">
        <v>2747</v>
      </c>
      <c r="E624" s="952" t="s">
        <v>2747</v>
      </c>
      <c r="F624" s="940"/>
      <c r="G624" s="953"/>
      <c r="H624" s="969"/>
      <c r="I624" s="956" t="s">
        <v>2748</v>
      </c>
      <c r="J624" s="1006" t="s">
        <v>346</v>
      </c>
      <c r="K624" s="984" t="s">
        <v>216</v>
      </c>
      <c r="L624" s="959">
        <v>120.0</v>
      </c>
      <c r="M624" s="960">
        <v>120.0</v>
      </c>
      <c r="N624" s="960">
        <v>120.0</v>
      </c>
      <c r="O624" s="960">
        <v>120.0</v>
      </c>
      <c r="P624" s="960">
        <v>120.0</v>
      </c>
      <c r="Q624" s="960">
        <v>120.0</v>
      </c>
      <c r="R624" s="960">
        <v>276.0</v>
      </c>
      <c r="S624" s="960">
        <v>339.0</v>
      </c>
      <c r="T624" s="960">
        <v>372.0</v>
      </c>
      <c r="U624" s="960">
        <f t="array" ref="U624">HLOOKUP($J624,'Type Chart'!$C$2:$T$20,2,false)*HLOOKUP($K624,'Type Chart'!$C$2:$U$20,2,false)</f>
        <v>1</v>
      </c>
      <c r="V624" s="960">
        <f t="array" ref="V624">HLOOKUP($J624,'Type Chart'!$C$2:$T$20,3,false)*HLOOKUP($K624,'Type Chart'!$C$2:$U$20,3,false)</f>
        <v>1</v>
      </c>
      <c r="W624" s="960">
        <f t="array" ref="W624">HLOOKUP($J624,'Type Chart'!$C$2:$T$20,4,false)*HLOOKUP($K624,'Type Chart'!$C$2:$U$20,4,false)</f>
        <v>1</v>
      </c>
      <c r="X624" s="960">
        <f t="array" ref="X624">HLOOKUP($J624,'Type Chart'!$C$2:$T$20,5,false)*HLOOKUP($K624,'Type Chart'!$C$2:$U$20,5,false)</f>
        <v>1</v>
      </c>
      <c r="Y624" s="960">
        <f t="array" ref="Y624">HLOOKUP($J624,'Type Chart'!$C$2:$T$20,6,false)*HLOOKUP($K624,'Type Chart'!$C$2:$U$20,6,false)</f>
        <v>1</v>
      </c>
      <c r="Z624" s="960">
        <f t="array" ref="Z624">HLOOKUP($J624,'Type Chart'!$C$2:$T$20,7,false)*HLOOKUP($K624,'Type Chart'!$C$2:$U$20,7,false)</f>
        <v>1</v>
      </c>
      <c r="AA624" s="960">
        <f t="array" ref="AA624">HLOOKUP($J624,'Type Chart'!$C$2:$T$20,8,false)*HLOOKUP($K624,'Type Chart'!$C$2:$U$20,8,false)</f>
        <v>1</v>
      </c>
      <c r="AB624" s="960">
        <f t="array" ref="AB624">HLOOKUP($J624,'Type Chart'!$C$2:$T$20,9,false)*HLOOKUP($K624,'Type Chart'!$C$2:$U$20,9,false)</f>
        <v>1</v>
      </c>
      <c r="AC624" s="960">
        <f t="array" ref="AC624">HLOOKUP($J624,'Type Chart'!$C$2:$T$20,10,false)*HLOOKUP($K624,'Type Chart'!$C$2:$U$20,10,false)</f>
        <v>1</v>
      </c>
      <c r="AD624" s="960">
        <f t="array" ref="AD624">HLOOKUP($J624,'Type Chart'!$C$2:$T$20,11,false)*HLOOKUP($K624,'Type Chart'!$C$2:$U$20,11,false)</f>
        <v>0.5</v>
      </c>
      <c r="AE624" s="960">
        <f t="array" ref="AE624">HLOOKUP($J624,'Type Chart'!$C$2:$T$20,12,false)*HLOOKUP($K624,'Type Chart'!$C$2:$U$20,12,false)</f>
        <v>0.5</v>
      </c>
      <c r="AF624" s="960">
        <f t="array" ref="AF624">HLOOKUP($J624,'Type Chart'!$C$2:$T$20,13,false)*HLOOKUP($K624,'Type Chart'!$C$2:$U$20,13,false)</f>
        <v>0.5</v>
      </c>
      <c r="AG624" s="960">
        <f t="array" ref="AG624">HLOOKUP($J624,'Type Chart'!$C$2:$T$20,14,false)*HLOOKUP($K624,'Type Chart'!$C$2:$U$20,14,false)</f>
        <v>0.5</v>
      </c>
      <c r="AH624" s="960">
        <f t="array" ref="AH624">HLOOKUP($J624,'Type Chart'!$C$2:$T$20,15,false)*HLOOKUP($K624,'Type Chart'!$C$2:$U$20,15,false)</f>
        <v>1</v>
      </c>
      <c r="AI624" s="960">
        <f t="array" ref="AI624">HLOOKUP($J624,'Type Chart'!$C$2:$T$20,16,false)*HLOOKUP($K624,'Type Chart'!$C$2:$U$20,16,false)</f>
        <v>2</v>
      </c>
      <c r="AJ624" s="960">
        <f t="array" ref="AJ624">HLOOKUP($J624,'Type Chart'!$C$2:$T$20,17,false)*HLOOKUP($K624,'Type Chart'!$C$2:$U$20,17,false)</f>
        <v>2</v>
      </c>
      <c r="AK624" s="960">
        <f t="array" ref="AK624">HLOOKUP($J624,'Type Chart'!$C$2:$T$20,18,false)*HLOOKUP($K624,'Type Chart'!$C$2:$U$20,18,false)</f>
        <v>1</v>
      </c>
      <c r="AL624" s="960">
        <f t="array" ref="AL624">HLOOKUP($J624,'Type Chart'!$C$2:$T$20,19,false)*HLOOKUP($K624,'Type Chart'!$C$2:$U$20,19,false)</f>
        <v>2</v>
      </c>
      <c r="AM624" s="964" t="s">
        <v>2742</v>
      </c>
      <c r="AN624" s="965"/>
      <c r="AO624" s="966"/>
      <c r="AP624" s="936"/>
      <c r="AQ624" s="967"/>
      <c r="AR624" s="968"/>
      <c r="AS624" s="936"/>
    </row>
    <row r="625" ht="15.75" customHeight="1">
      <c r="A625" s="936"/>
      <c r="B625" s="948" t="s">
        <v>2740</v>
      </c>
      <c r="C625" s="950" t="s">
        <v>2749</v>
      </c>
      <c r="D625" s="950" t="s">
        <v>2749</v>
      </c>
      <c r="E625" s="952" t="s">
        <v>2749</v>
      </c>
      <c r="F625" s="940"/>
      <c r="G625" s="953"/>
      <c r="H625" s="969"/>
      <c r="I625" s="956" t="s">
        <v>2750</v>
      </c>
      <c r="J625" s="1196" t="s">
        <v>203</v>
      </c>
      <c r="K625" s="984" t="s">
        <v>216</v>
      </c>
      <c r="L625" s="959">
        <v>120.0</v>
      </c>
      <c r="M625" s="960">
        <v>120.0</v>
      </c>
      <c r="N625" s="960">
        <v>120.0</v>
      </c>
      <c r="O625" s="960">
        <v>120.0</v>
      </c>
      <c r="P625" s="960">
        <v>120.0</v>
      </c>
      <c r="Q625" s="960">
        <v>120.0</v>
      </c>
      <c r="R625" s="960">
        <v>276.0</v>
      </c>
      <c r="S625" s="960">
        <v>339.0</v>
      </c>
      <c r="T625" s="960">
        <v>372.0</v>
      </c>
      <c r="U625" s="960">
        <f t="array" ref="U625">HLOOKUP($J625,'Type Chart'!$C$2:$T$20,2,false)*HLOOKUP($K625,'Type Chart'!$C$2:$U$20,2,false)</f>
        <v>1</v>
      </c>
      <c r="V625" s="960">
        <f t="array" ref="V625">HLOOKUP($J625,'Type Chart'!$C$2:$T$20,3,false)*HLOOKUP($K625,'Type Chart'!$C$2:$U$20,3,false)</f>
        <v>1</v>
      </c>
      <c r="W625" s="960">
        <f t="array" ref="W625">HLOOKUP($J625,'Type Chart'!$C$2:$T$20,4,false)*HLOOKUP($K625,'Type Chart'!$C$2:$U$20,4,false)</f>
        <v>0.5</v>
      </c>
      <c r="X625" s="960">
        <f t="array" ref="X625">HLOOKUP($J625,'Type Chart'!$C$2:$T$20,5,false)*HLOOKUP($K625,'Type Chart'!$C$2:$U$20,5,false)</f>
        <v>1</v>
      </c>
      <c r="Y625" s="960">
        <f t="array" ref="Y625">HLOOKUP($J625,'Type Chart'!$C$2:$T$20,6,false)*HLOOKUP($K625,'Type Chart'!$C$2:$U$20,6,false)</f>
        <v>2</v>
      </c>
      <c r="Z625" s="960">
        <f t="array" ref="Z625">HLOOKUP($J625,'Type Chart'!$C$2:$T$20,7,false)*HLOOKUP($K625,'Type Chart'!$C$2:$U$20,7,false)</f>
        <v>1</v>
      </c>
      <c r="AA625" s="960">
        <f t="array" ref="AA625">HLOOKUP($J625,'Type Chart'!$C$2:$T$20,8,false)*HLOOKUP($K625,'Type Chart'!$C$2:$U$20,8,false)</f>
        <v>1</v>
      </c>
      <c r="AB625" s="960">
        <f t="array" ref="AB625">HLOOKUP($J625,'Type Chart'!$C$2:$T$20,9,false)*HLOOKUP($K625,'Type Chart'!$C$2:$U$20,9,false)</f>
        <v>1</v>
      </c>
      <c r="AC625" s="960">
        <f t="array" ref="AC625">HLOOKUP($J625,'Type Chart'!$C$2:$T$20,10,false)*HLOOKUP($K625,'Type Chart'!$C$2:$U$20,10,false)</f>
        <v>0.5</v>
      </c>
      <c r="AD625" s="960">
        <f t="array" ref="AD625">HLOOKUP($J625,'Type Chart'!$C$2:$T$20,11,false)*HLOOKUP($K625,'Type Chart'!$C$2:$U$20,11,false)</f>
        <v>1</v>
      </c>
      <c r="AE625" s="960">
        <f t="array" ref="AE625">HLOOKUP($J625,'Type Chart'!$C$2:$T$20,12,false)*HLOOKUP($K625,'Type Chart'!$C$2:$U$20,12,false)</f>
        <v>1</v>
      </c>
      <c r="AF625" s="960">
        <f t="array" ref="AF625">HLOOKUP($J625,'Type Chart'!$C$2:$T$20,13,false)*HLOOKUP($K625,'Type Chart'!$C$2:$U$20,13,false)</f>
        <v>1</v>
      </c>
      <c r="AG625" s="960">
        <f t="array" ref="AG625">HLOOKUP($J625,'Type Chart'!$C$2:$T$20,14,false)*HLOOKUP($K625,'Type Chart'!$C$2:$U$20,14,false)</f>
        <v>0.5</v>
      </c>
      <c r="AH625" s="960">
        <f t="array" ref="AH625">HLOOKUP($J625,'Type Chart'!$C$2:$T$20,15,false)*HLOOKUP($K625,'Type Chart'!$C$2:$U$20,15,false)</f>
        <v>1</v>
      </c>
      <c r="AI625" s="960">
        <f t="array" ref="AI625">HLOOKUP($J625,'Type Chart'!$C$2:$T$20,16,false)*HLOOKUP($K625,'Type Chart'!$C$2:$U$20,16,false)</f>
        <v>1</v>
      </c>
      <c r="AJ625" s="960">
        <f t="array" ref="AJ625">HLOOKUP($J625,'Type Chart'!$C$2:$T$20,17,false)*HLOOKUP($K625,'Type Chart'!$C$2:$U$20,17,false)</f>
        <v>1</v>
      </c>
      <c r="AK625" s="960">
        <f t="array" ref="AK625">HLOOKUP($J625,'Type Chart'!$C$2:$T$20,18,false)*HLOOKUP($K625,'Type Chart'!$C$2:$U$20,18,false)</f>
        <v>1</v>
      </c>
      <c r="AL625" s="960">
        <f t="array" ref="AL625">HLOOKUP($J625,'Type Chart'!$C$2:$T$20,19,false)*HLOOKUP($K625,'Type Chart'!$C$2:$U$20,19,false)</f>
        <v>1</v>
      </c>
      <c r="AM625" s="964" t="s">
        <v>2742</v>
      </c>
      <c r="AN625" s="965"/>
      <c r="AO625" s="966"/>
      <c r="AP625" s="936"/>
      <c r="AQ625" s="967"/>
      <c r="AR625" s="968"/>
      <c r="AS625" s="936"/>
    </row>
    <row r="626" ht="15.75" customHeight="1">
      <c r="A626" s="936"/>
      <c r="B626" s="948" t="s">
        <v>2740</v>
      </c>
      <c r="C626" s="950" t="s">
        <v>2751</v>
      </c>
      <c r="D626" s="950" t="s">
        <v>2751</v>
      </c>
      <c r="E626" s="952" t="s">
        <v>2751</v>
      </c>
      <c r="F626" s="940"/>
      <c r="G626" s="953"/>
      <c r="H626" s="969"/>
      <c r="I626" s="956" t="s">
        <v>2752</v>
      </c>
      <c r="J626" s="1207" t="s">
        <v>127</v>
      </c>
      <c r="K626" s="984" t="s">
        <v>216</v>
      </c>
      <c r="L626" s="959">
        <v>120.0</v>
      </c>
      <c r="M626" s="960">
        <v>120.0</v>
      </c>
      <c r="N626" s="960">
        <v>120.0</v>
      </c>
      <c r="O626" s="960">
        <v>120.0</v>
      </c>
      <c r="P626" s="960">
        <v>120.0</v>
      </c>
      <c r="Q626" s="960">
        <v>120.0</v>
      </c>
      <c r="R626" s="960">
        <v>276.0</v>
      </c>
      <c r="S626" s="960">
        <v>339.0</v>
      </c>
      <c r="T626" s="960">
        <v>372.0</v>
      </c>
      <c r="U626" s="960">
        <f t="array" ref="U626">HLOOKUP($J626,'Type Chart'!$C$2:$T$20,2,false)*HLOOKUP($K626,'Type Chart'!$C$2:$U$20,2,false)</f>
        <v>1</v>
      </c>
      <c r="V626" s="960">
        <f t="array" ref="V626">HLOOKUP($J626,'Type Chart'!$C$2:$T$20,3,false)*HLOOKUP($K626,'Type Chart'!$C$2:$U$20,3,false)</f>
        <v>0.5</v>
      </c>
      <c r="W626" s="960">
        <f t="array" ref="W626">HLOOKUP($J626,'Type Chart'!$C$2:$T$20,4,false)*HLOOKUP($K626,'Type Chart'!$C$2:$U$20,4,false)</f>
        <v>1</v>
      </c>
      <c r="X626" s="960">
        <f t="array" ref="X626">HLOOKUP($J626,'Type Chart'!$C$2:$T$20,5,false)*HLOOKUP($K626,'Type Chart'!$C$2:$U$20,5,false)</f>
        <v>2</v>
      </c>
      <c r="Y626" s="960">
        <f t="array" ref="Y626">HLOOKUP($J626,'Type Chart'!$C$2:$T$20,6,false)*HLOOKUP($K626,'Type Chart'!$C$2:$U$20,6,false)</f>
        <v>1</v>
      </c>
      <c r="Z626" s="960">
        <f t="array" ref="Z626">HLOOKUP($J626,'Type Chart'!$C$2:$T$20,7,false)*HLOOKUP($K626,'Type Chart'!$C$2:$U$20,7,false)</f>
        <v>1</v>
      </c>
      <c r="AA626" s="960">
        <f t="array" ref="AA626">HLOOKUP($J626,'Type Chart'!$C$2:$T$20,8,false)*HLOOKUP($K626,'Type Chart'!$C$2:$U$20,8,false)</f>
        <v>0.5</v>
      </c>
      <c r="AB626" s="960">
        <f t="array" ref="AB626">HLOOKUP($J626,'Type Chart'!$C$2:$T$20,9,false)*HLOOKUP($K626,'Type Chart'!$C$2:$U$20,9,false)</f>
        <v>1</v>
      </c>
      <c r="AC626" s="960">
        <f t="array" ref="AC626">HLOOKUP($J626,'Type Chart'!$C$2:$T$20,10,false)*HLOOKUP($K626,'Type Chart'!$C$2:$U$20,10,false)</f>
        <v>2</v>
      </c>
      <c r="AD626" s="960">
        <f t="array" ref="AD626">HLOOKUP($J626,'Type Chart'!$C$2:$T$20,11,false)*HLOOKUP($K626,'Type Chart'!$C$2:$U$20,11,false)</f>
        <v>1</v>
      </c>
      <c r="AE626" s="960">
        <f t="array" ref="AE626">HLOOKUP($J626,'Type Chart'!$C$2:$T$20,12,false)*HLOOKUP($K626,'Type Chart'!$C$2:$U$20,12,false)</f>
        <v>1</v>
      </c>
      <c r="AF626" s="960">
        <f t="array" ref="AF626">HLOOKUP($J626,'Type Chart'!$C$2:$T$20,13,false)*HLOOKUP($K626,'Type Chart'!$C$2:$U$20,13,false)</f>
        <v>1</v>
      </c>
      <c r="AG626" s="960">
        <f t="array" ref="AG626">HLOOKUP($J626,'Type Chart'!$C$2:$T$20,14,false)*HLOOKUP($K626,'Type Chart'!$C$2:$U$20,14,false)</f>
        <v>1</v>
      </c>
      <c r="AH626" s="960">
        <f t="array" ref="AH626">HLOOKUP($J626,'Type Chart'!$C$2:$T$20,15,false)*HLOOKUP($K626,'Type Chart'!$C$2:$U$20,15,false)</f>
        <v>1</v>
      </c>
      <c r="AI626" s="960">
        <f t="array" ref="AI626">HLOOKUP($J626,'Type Chart'!$C$2:$T$20,16,false)*HLOOKUP($K626,'Type Chart'!$C$2:$U$20,16,false)</f>
        <v>1</v>
      </c>
      <c r="AJ626" s="960">
        <f t="array" ref="AJ626">HLOOKUP($J626,'Type Chart'!$C$2:$T$20,17,false)*HLOOKUP($K626,'Type Chart'!$C$2:$U$20,17,false)</f>
        <v>0</v>
      </c>
      <c r="AK626" s="960">
        <f t="array" ref="AK626">HLOOKUP($J626,'Type Chart'!$C$2:$T$20,18,false)*HLOOKUP($K626,'Type Chart'!$C$2:$U$20,18,false)</f>
        <v>0.5</v>
      </c>
      <c r="AL626" s="960">
        <f t="array" ref="AL626">HLOOKUP($J626,'Type Chart'!$C$2:$T$20,19,false)*HLOOKUP($K626,'Type Chart'!$C$2:$U$20,19,false)</f>
        <v>1</v>
      </c>
      <c r="AM626" s="964" t="s">
        <v>2742</v>
      </c>
      <c r="AN626" s="965"/>
      <c r="AO626" s="966"/>
      <c r="AP626" s="936"/>
      <c r="AQ626" s="967"/>
      <c r="AR626" s="968"/>
      <c r="AS626" s="936"/>
    </row>
    <row r="627" ht="15.75" customHeight="1">
      <c r="A627" s="936"/>
      <c r="B627" s="948" t="s">
        <v>2740</v>
      </c>
      <c r="C627" s="950" t="s">
        <v>2753</v>
      </c>
      <c r="D627" s="950" t="s">
        <v>2753</v>
      </c>
      <c r="E627" s="952" t="s">
        <v>2753</v>
      </c>
      <c r="F627" s="940"/>
      <c r="G627" s="953"/>
      <c r="H627" s="969"/>
      <c r="I627" s="956" t="s">
        <v>2754</v>
      </c>
      <c r="J627" s="1213" t="s">
        <v>341</v>
      </c>
      <c r="K627" s="984" t="s">
        <v>216</v>
      </c>
      <c r="L627" s="959">
        <v>120.0</v>
      </c>
      <c r="M627" s="960">
        <v>120.0</v>
      </c>
      <c r="N627" s="960">
        <v>120.0</v>
      </c>
      <c r="O627" s="960">
        <v>120.0</v>
      </c>
      <c r="P627" s="960">
        <v>120.0</v>
      </c>
      <c r="Q627" s="960">
        <v>120.0</v>
      </c>
      <c r="R627" s="960">
        <v>276.0</v>
      </c>
      <c r="S627" s="960">
        <v>339.0</v>
      </c>
      <c r="T627" s="960">
        <v>372.0</v>
      </c>
      <c r="U627" s="960">
        <f t="array" ref="U627">HLOOKUP($J627,'Type Chart'!$C$2:$T$20,2,false)*HLOOKUP($K627,'Type Chart'!$C$2:$U$20,2,false)</f>
        <v>1</v>
      </c>
      <c r="V627" s="960">
        <f t="array" ref="V627">HLOOKUP($J627,'Type Chart'!$C$2:$T$20,3,false)*HLOOKUP($K627,'Type Chart'!$C$2:$U$20,3,false)</f>
        <v>1</v>
      </c>
      <c r="W627" s="960">
        <f t="array" ref="W627">HLOOKUP($J627,'Type Chart'!$C$2:$T$20,4,false)*HLOOKUP($K627,'Type Chart'!$C$2:$U$20,4,false)</f>
        <v>2</v>
      </c>
      <c r="X627" s="960">
        <f t="array" ref="X627">HLOOKUP($J627,'Type Chart'!$C$2:$T$20,5,false)*HLOOKUP($K627,'Type Chart'!$C$2:$U$20,5,false)</f>
        <v>1</v>
      </c>
      <c r="Y627" s="960">
        <f t="array" ref="Y627">HLOOKUP($J627,'Type Chart'!$C$2:$T$20,6,false)*HLOOKUP($K627,'Type Chart'!$C$2:$U$20,6,false)</f>
        <v>1</v>
      </c>
      <c r="Z627" s="960">
        <f t="array" ref="Z627">HLOOKUP($J627,'Type Chart'!$C$2:$T$20,7,false)*HLOOKUP($K627,'Type Chart'!$C$2:$U$20,7,false)</f>
        <v>0.5</v>
      </c>
      <c r="AA627" s="960">
        <f t="array" ref="AA627">HLOOKUP($J627,'Type Chart'!$C$2:$T$20,8,false)*HLOOKUP($K627,'Type Chart'!$C$2:$U$20,8,false)</f>
        <v>0.5</v>
      </c>
      <c r="AB627" s="960">
        <f t="array" ref="AB627">HLOOKUP($J627,'Type Chart'!$C$2:$T$20,9,false)*HLOOKUP($K627,'Type Chart'!$C$2:$U$20,9,false)</f>
        <v>1</v>
      </c>
      <c r="AC627" s="960">
        <f t="array" ref="AC627">HLOOKUP($J627,'Type Chart'!$C$2:$T$20,10,false)*HLOOKUP($K627,'Type Chart'!$C$2:$U$20,10,false)</f>
        <v>1</v>
      </c>
      <c r="AD627" s="960">
        <f t="array" ref="AD627">HLOOKUP($J627,'Type Chart'!$C$2:$T$20,11,false)*HLOOKUP($K627,'Type Chart'!$C$2:$U$20,11,false)</f>
        <v>1</v>
      </c>
      <c r="AE627" s="960">
        <f t="array" ref="AE627">HLOOKUP($J627,'Type Chart'!$C$2:$T$20,12,false)*HLOOKUP($K627,'Type Chart'!$C$2:$U$20,12,false)</f>
        <v>1</v>
      </c>
      <c r="AF627" s="960">
        <f t="array" ref="AF627">HLOOKUP($J627,'Type Chart'!$C$2:$T$20,13,false)*HLOOKUP($K627,'Type Chart'!$C$2:$U$20,13,false)</f>
        <v>1</v>
      </c>
      <c r="AG627" s="960">
        <f t="array" ref="AG627">HLOOKUP($J627,'Type Chart'!$C$2:$T$20,14,false)*HLOOKUP($K627,'Type Chart'!$C$2:$U$20,14,false)</f>
        <v>1</v>
      </c>
      <c r="AH627" s="960">
        <f t="array" ref="AH627">HLOOKUP($J627,'Type Chart'!$C$2:$T$20,15,false)*HLOOKUP($K627,'Type Chart'!$C$2:$U$20,15,false)</f>
        <v>2</v>
      </c>
      <c r="AI627" s="960">
        <f t="array" ref="AI627">HLOOKUP($J627,'Type Chart'!$C$2:$T$20,16,false)*HLOOKUP($K627,'Type Chart'!$C$2:$U$20,16,false)</f>
        <v>1</v>
      </c>
      <c r="AJ627" s="960">
        <f t="array" ref="AJ627">HLOOKUP($J627,'Type Chart'!$C$2:$T$20,17,false)*HLOOKUP($K627,'Type Chart'!$C$2:$U$20,17,false)</f>
        <v>1</v>
      </c>
      <c r="AK627" s="960">
        <f t="array" ref="AK627">HLOOKUP($J627,'Type Chart'!$C$2:$T$20,18,false)*HLOOKUP($K627,'Type Chart'!$C$2:$U$20,18,false)</f>
        <v>0.5</v>
      </c>
      <c r="AL627" s="960">
        <f t="array" ref="AL627">HLOOKUP($J627,'Type Chart'!$C$2:$T$20,19,false)*HLOOKUP($K627,'Type Chart'!$C$2:$U$20,19,false)</f>
        <v>2</v>
      </c>
      <c r="AM627" s="964" t="s">
        <v>2742</v>
      </c>
      <c r="AN627" s="965"/>
      <c r="AO627" s="966"/>
      <c r="AP627" s="936"/>
      <c r="AQ627" s="967"/>
      <c r="AR627" s="968"/>
      <c r="AS627" s="936"/>
    </row>
    <row r="628" ht="15.75" customHeight="1">
      <c r="A628" s="936"/>
      <c r="B628" s="948" t="s">
        <v>2740</v>
      </c>
      <c r="C628" s="950" t="s">
        <v>2755</v>
      </c>
      <c r="D628" s="950" t="s">
        <v>2755</v>
      </c>
      <c r="E628" s="952" t="s">
        <v>2755</v>
      </c>
      <c r="F628" s="940"/>
      <c r="G628" s="953"/>
      <c r="H628" s="969"/>
      <c r="I628" s="956" t="s">
        <v>2756</v>
      </c>
      <c r="J628" s="982" t="s">
        <v>150</v>
      </c>
      <c r="K628" s="984" t="s">
        <v>216</v>
      </c>
      <c r="L628" s="959">
        <v>120.0</v>
      </c>
      <c r="M628" s="960">
        <v>120.0</v>
      </c>
      <c r="N628" s="960">
        <v>120.0</v>
      </c>
      <c r="O628" s="960">
        <v>120.0</v>
      </c>
      <c r="P628" s="960">
        <v>120.0</v>
      </c>
      <c r="Q628" s="960">
        <v>120.0</v>
      </c>
      <c r="R628" s="960">
        <v>276.0</v>
      </c>
      <c r="S628" s="960">
        <v>339.0</v>
      </c>
      <c r="T628" s="960">
        <v>372.0</v>
      </c>
      <c r="U628" s="960">
        <f t="array" ref="U628">HLOOKUP($J628,'Type Chart'!$C$2:$T$20,2,false)*HLOOKUP($K628,'Type Chart'!$C$2:$U$20,2,false)</f>
        <v>1</v>
      </c>
      <c r="V628" s="960">
        <f t="array" ref="V628">HLOOKUP($J628,'Type Chart'!$C$2:$T$20,3,false)*HLOOKUP($K628,'Type Chart'!$C$2:$U$20,3,false)</f>
        <v>1</v>
      </c>
      <c r="W628" s="960">
        <f t="array" ref="W628">HLOOKUP($J628,'Type Chart'!$C$2:$T$20,4,false)*HLOOKUP($K628,'Type Chart'!$C$2:$U$20,4,false)</f>
        <v>1</v>
      </c>
      <c r="X628" s="960">
        <f t="array" ref="X628">HLOOKUP($J628,'Type Chart'!$C$2:$T$20,5,false)*HLOOKUP($K628,'Type Chart'!$C$2:$U$20,5,false)</f>
        <v>1</v>
      </c>
      <c r="Y628" s="960">
        <f t="array" ref="Y628">HLOOKUP($J628,'Type Chart'!$C$2:$T$20,6,false)*HLOOKUP($K628,'Type Chart'!$C$2:$U$20,6,false)</f>
        <v>2</v>
      </c>
      <c r="Z628" s="960">
        <f t="array" ref="Z628">HLOOKUP($J628,'Type Chart'!$C$2:$T$20,7,false)*HLOOKUP($K628,'Type Chart'!$C$2:$U$20,7,false)</f>
        <v>2</v>
      </c>
      <c r="AA628" s="960">
        <f t="array" ref="AA628">HLOOKUP($J628,'Type Chart'!$C$2:$T$20,8,false)*HLOOKUP($K628,'Type Chart'!$C$2:$U$20,8,false)</f>
        <v>0.5</v>
      </c>
      <c r="AB628" s="960">
        <f t="array" ref="AB628">HLOOKUP($J628,'Type Chart'!$C$2:$T$20,9,false)*HLOOKUP($K628,'Type Chart'!$C$2:$U$20,9,false)</f>
        <v>1</v>
      </c>
      <c r="AC628" s="960">
        <f t="array" ref="AC628">HLOOKUP($J628,'Type Chart'!$C$2:$T$20,10,false)*HLOOKUP($K628,'Type Chart'!$C$2:$U$20,10,false)</f>
        <v>0.5</v>
      </c>
      <c r="AD628" s="960">
        <f t="array" ref="AD628">HLOOKUP($J628,'Type Chart'!$C$2:$T$20,11,false)*HLOOKUP($K628,'Type Chart'!$C$2:$U$20,11,false)</f>
        <v>0.5</v>
      </c>
      <c r="AE628" s="960">
        <f t="array" ref="AE628">HLOOKUP($J628,'Type Chart'!$C$2:$T$20,12,false)*HLOOKUP($K628,'Type Chart'!$C$2:$U$20,12,false)</f>
        <v>2</v>
      </c>
      <c r="AF628" s="960">
        <f t="array" ref="AF628">HLOOKUP($J628,'Type Chart'!$C$2:$T$20,13,false)*HLOOKUP($K628,'Type Chart'!$C$2:$U$20,13,false)</f>
        <v>0.5</v>
      </c>
      <c r="AG628" s="960">
        <f t="array" ref="AG628">HLOOKUP($J628,'Type Chart'!$C$2:$T$20,14,false)*HLOOKUP($K628,'Type Chart'!$C$2:$U$20,14,false)</f>
        <v>1</v>
      </c>
      <c r="AH628" s="960">
        <f t="array" ref="AH628">HLOOKUP($J628,'Type Chart'!$C$2:$T$20,15,false)*HLOOKUP($K628,'Type Chart'!$C$2:$U$20,15,false)</f>
        <v>1</v>
      </c>
      <c r="AI628" s="960">
        <f t="array" ref="AI628">HLOOKUP($J628,'Type Chart'!$C$2:$T$20,16,false)*HLOOKUP($K628,'Type Chart'!$C$2:$U$20,16,false)</f>
        <v>0.5</v>
      </c>
      <c r="AJ628" s="960">
        <f t="array" ref="AJ628">HLOOKUP($J628,'Type Chart'!$C$2:$T$20,17,false)*HLOOKUP($K628,'Type Chart'!$C$2:$U$20,17,false)</f>
        <v>1</v>
      </c>
      <c r="AK628" s="960">
        <f t="array" ref="AK628">HLOOKUP($J628,'Type Chart'!$C$2:$T$20,18,false)*HLOOKUP($K628,'Type Chart'!$C$2:$U$20,18,false)</f>
        <v>1</v>
      </c>
      <c r="AL628" s="960">
        <f t="array" ref="AL628">HLOOKUP($J628,'Type Chart'!$C$2:$T$20,19,false)*HLOOKUP($K628,'Type Chart'!$C$2:$U$20,19,false)</f>
        <v>0.5</v>
      </c>
      <c r="AM628" s="964" t="s">
        <v>2742</v>
      </c>
      <c r="AN628" s="965"/>
      <c r="AO628" s="966"/>
      <c r="AP628" s="936"/>
      <c r="AQ628" s="967"/>
      <c r="AR628" s="968"/>
      <c r="AS628" s="936"/>
    </row>
    <row r="629" ht="15.75" customHeight="1">
      <c r="A629" s="936"/>
      <c r="B629" s="948" t="s">
        <v>2740</v>
      </c>
      <c r="C629" s="950" t="s">
        <v>2757</v>
      </c>
      <c r="D629" s="950" t="s">
        <v>2757</v>
      </c>
      <c r="E629" s="952" t="s">
        <v>2757</v>
      </c>
      <c r="F629" s="940"/>
      <c r="G629" s="953"/>
      <c r="H629" s="969"/>
      <c r="I629" s="956" t="s">
        <v>2758</v>
      </c>
      <c r="J629" s="1001" t="s">
        <v>128</v>
      </c>
      <c r="K629" s="984" t="s">
        <v>216</v>
      </c>
      <c r="L629" s="959">
        <v>120.0</v>
      </c>
      <c r="M629" s="960">
        <v>120.0</v>
      </c>
      <c r="N629" s="960">
        <v>120.0</v>
      </c>
      <c r="O629" s="960">
        <v>120.0</v>
      </c>
      <c r="P629" s="960">
        <v>120.0</v>
      </c>
      <c r="Q629" s="960">
        <v>120.0</v>
      </c>
      <c r="R629" s="960">
        <v>276.0</v>
      </c>
      <c r="S629" s="960">
        <v>339.0</v>
      </c>
      <c r="T629" s="960">
        <v>372.0</v>
      </c>
      <c r="U629" s="960">
        <f t="array" ref="U629">HLOOKUP($J629,'Type Chart'!$C$2:$T$20,2,false)*HLOOKUP($K629,'Type Chart'!$C$2:$U$20,2,false)</f>
        <v>1</v>
      </c>
      <c r="V629" s="960">
        <f t="array" ref="V629">HLOOKUP($J629,'Type Chart'!$C$2:$T$20,3,false)*HLOOKUP($K629,'Type Chart'!$C$2:$U$20,3,false)</f>
        <v>0.5</v>
      </c>
      <c r="W629" s="960">
        <f t="array" ref="W629">HLOOKUP($J629,'Type Chart'!$C$2:$T$20,4,false)*HLOOKUP($K629,'Type Chart'!$C$2:$U$20,4,false)</f>
        <v>1</v>
      </c>
      <c r="X629" s="960">
        <f t="array" ref="X629">HLOOKUP($J629,'Type Chart'!$C$2:$T$20,5,false)*HLOOKUP($K629,'Type Chart'!$C$2:$U$20,5,false)</f>
        <v>1</v>
      </c>
      <c r="Y629" s="960">
        <f t="array" ref="Y629">HLOOKUP($J629,'Type Chart'!$C$2:$T$20,6,false)*HLOOKUP($K629,'Type Chart'!$C$2:$U$20,6,false)</f>
        <v>0</v>
      </c>
      <c r="Z629" s="960">
        <f t="array" ref="Z629">HLOOKUP($J629,'Type Chart'!$C$2:$T$20,7,false)*HLOOKUP($K629,'Type Chart'!$C$2:$U$20,7,false)</f>
        <v>2</v>
      </c>
      <c r="AA629" s="960">
        <f t="array" ref="AA629">HLOOKUP($J629,'Type Chart'!$C$2:$T$20,8,false)*HLOOKUP($K629,'Type Chart'!$C$2:$U$20,8,false)</f>
        <v>0.5</v>
      </c>
      <c r="AB629" s="960">
        <f t="array" ref="AB629">HLOOKUP($J629,'Type Chart'!$C$2:$T$20,9,false)*HLOOKUP($K629,'Type Chart'!$C$2:$U$20,9,false)</f>
        <v>1</v>
      </c>
      <c r="AC629" s="960">
        <f t="array" ref="AC629">HLOOKUP($J629,'Type Chart'!$C$2:$T$20,10,false)*HLOOKUP($K629,'Type Chart'!$C$2:$U$20,10,false)</f>
        <v>1</v>
      </c>
      <c r="AD629" s="960">
        <f t="array" ref="AD629">HLOOKUP($J629,'Type Chart'!$C$2:$T$20,11,false)*HLOOKUP($K629,'Type Chart'!$C$2:$U$20,11,false)</f>
        <v>1</v>
      </c>
      <c r="AE629" s="960">
        <f t="array" ref="AE629">HLOOKUP($J629,'Type Chart'!$C$2:$T$20,12,false)*HLOOKUP($K629,'Type Chart'!$C$2:$U$20,12,false)</f>
        <v>1</v>
      </c>
      <c r="AF629" s="960">
        <f t="array" ref="AF629">HLOOKUP($J629,'Type Chart'!$C$2:$T$20,13,false)*HLOOKUP($K629,'Type Chart'!$C$2:$U$20,13,false)</f>
        <v>0.5</v>
      </c>
      <c r="AG629" s="960">
        <f t="array" ref="AG629">HLOOKUP($J629,'Type Chart'!$C$2:$T$20,14,false)*HLOOKUP($K629,'Type Chart'!$C$2:$U$20,14,false)</f>
        <v>2</v>
      </c>
      <c r="AH629" s="960">
        <f t="array" ref="AH629">HLOOKUP($J629,'Type Chart'!$C$2:$T$20,15,false)*HLOOKUP($K629,'Type Chart'!$C$2:$U$20,15,false)</f>
        <v>1</v>
      </c>
      <c r="AI629" s="960">
        <f t="array" ref="AI629">HLOOKUP($J629,'Type Chart'!$C$2:$T$20,16,false)*HLOOKUP($K629,'Type Chart'!$C$2:$U$20,16,false)</f>
        <v>2</v>
      </c>
      <c r="AJ629" s="960">
        <f t="array" ref="AJ629">HLOOKUP($J629,'Type Chart'!$C$2:$T$20,17,false)*HLOOKUP($K629,'Type Chart'!$C$2:$U$20,17,false)</f>
        <v>1</v>
      </c>
      <c r="AK629" s="960">
        <f t="array" ref="AK629">HLOOKUP($J629,'Type Chart'!$C$2:$T$20,18,false)*HLOOKUP($K629,'Type Chart'!$C$2:$U$20,18,false)</f>
        <v>1</v>
      </c>
      <c r="AL629" s="960">
        <f t="array" ref="AL629">HLOOKUP($J629,'Type Chart'!$C$2:$T$20,19,false)*HLOOKUP($K629,'Type Chart'!$C$2:$U$20,19,false)</f>
        <v>1</v>
      </c>
      <c r="AM629" s="964" t="s">
        <v>2742</v>
      </c>
      <c r="AN629" s="965"/>
      <c r="AO629" s="966"/>
      <c r="AP629" s="936"/>
      <c r="AQ629" s="967"/>
      <c r="AR629" s="968"/>
      <c r="AS629" s="936"/>
    </row>
    <row r="630" ht="15.75" customHeight="1">
      <c r="A630" s="936"/>
      <c r="B630" s="948" t="s">
        <v>2740</v>
      </c>
      <c r="C630" s="950" t="s">
        <v>2759</v>
      </c>
      <c r="D630" s="950" t="s">
        <v>2759</v>
      </c>
      <c r="E630" s="952" t="s">
        <v>2759</v>
      </c>
      <c r="F630" s="940"/>
      <c r="G630" s="953"/>
      <c r="H630" s="969"/>
      <c r="I630" s="956" t="s">
        <v>2760</v>
      </c>
      <c r="J630" s="1220" t="s">
        <v>215</v>
      </c>
      <c r="K630" s="984" t="s">
        <v>216</v>
      </c>
      <c r="L630" s="959">
        <v>120.0</v>
      </c>
      <c r="M630" s="960">
        <v>120.0</v>
      </c>
      <c r="N630" s="960">
        <v>120.0</v>
      </c>
      <c r="O630" s="960">
        <v>120.0</v>
      </c>
      <c r="P630" s="960">
        <v>120.0</v>
      </c>
      <c r="Q630" s="960">
        <v>120.0</v>
      </c>
      <c r="R630" s="960">
        <v>276.0</v>
      </c>
      <c r="S630" s="960">
        <v>339.0</v>
      </c>
      <c r="T630" s="960">
        <v>372.0</v>
      </c>
      <c r="U630" s="960">
        <f t="array" ref="U630">HLOOKUP($J630,'Type Chart'!$C$2:$T$20,2,false)*HLOOKUP($K630,'Type Chart'!$C$2:$U$20,2,false)</f>
        <v>0</v>
      </c>
      <c r="V630" s="960">
        <f t="array" ref="V630">HLOOKUP($J630,'Type Chart'!$C$2:$T$20,3,false)*HLOOKUP($K630,'Type Chart'!$C$2:$U$20,3,false)</f>
        <v>0</v>
      </c>
      <c r="W630" s="960">
        <f t="array" ref="W630">HLOOKUP($J630,'Type Chart'!$C$2:$T$20,4,false)*HLOOKUP($K630,'Type Chart'!$C$2:$U$20,4,false)</f>
        <v>1</v>
      </c>
      <c r="X630" s="960">
        <f t="array" ref="X630">HLOOKUP($J630,'Type Chart'!$C$2:$T$20,5,false)*HLOOKUP($K630,'Type Chart'!$C$2:$U$20,5,false)</f>
        <v>0.5</v>
      </c>
      <c r="Y630" s="960">
        <f t="array" ref="Y630">HLOOKUP($J630,'Type Chart'!$C$2:$T$20,6,false)*HLOOKUP($K630,'Type Chart'!$C$2:$U$20,6,false)</f>
        <v>1</v>
      </c>
      <c r="Z630" s="960">
        <f t="array" ref="Z630">HLOOKUP($J630,'Type Chart'!$C$2:$T$20,7,false)*HLOOKUP($K630,'Type Chart'!$C$2:$U$20,7,false)</f>
        <v>1</v>
      </c>
      <c r="AA630" s="960">
        <f t="array" ref="AA630">HLOOKUP($J630,'Type Chart'!$C$2:$T$20,8,false)*HLOOKUP($K630,'Type Chart'!$C$2:$U$20,8,false)</f>
        <v>0.5</v>
      </c>
      <c r="AB630" s="960">
        <f t="array" ref="AB630">HLOOKUP($J630,'Type Chart'!$C$2:$T$20,9,false)*HLOOKUP($K630,'Type Chart'!$C$2:$U$20,9,false)</f>
        <v>2</v>
      </c>
      <c r="AC630" s="960">
        <f t="array" ref="AC630">HLOOKUP($J630,'Type Chart'!$C$2:$T$20,10,false)*HLOOKUP($K630,'Type Chart'!$C$2:$U$20,10,false)</f>
        <v>1</v>
      </c>
      <c r="AD630" s="960">
        <f t="array" ref="AD630">HLOOKUP($J630,'Type Chart'!$C$2:$T$20,11,false)*HLOOKUP($K630,'Type Chart'!$C$2:$U$20,11,false)</f>
        <v>1</v>
      </c>
      <c r="AE630" s="960">
        <f t="array" ref="AE630">HLOOKUP($J630,'Type Chart'!$C$2:$T$20,12,false)*HLOOKUP($K630,'Type Chart'!$C$2:$U$20,12,false)</f>
        <v>1</v>
      </c>
      <c r="AF630" s="960">
        <f t="array" ref="AF630">HLOOKUP($J630,'Type Chart'!$C$2:$T$20,13,false)*HLOOKUP($K630,'Type Chart'!$C$2:$U$20,13,false)</f>
        <v>1</v>
      </c>
      <c r="AG630" s="960">
        <f t="array" ref="AG630">HLOOKUP($J630,'Type Chart'!$C$2:$T$20,14,false)*HLOOKUP($K630,'Type Chart'!$C$2:$U$20,14,false)</f>
        <v>1</v>
      </c>
      <c r="AH630" s="960">
        <f t="array" ref="AH630">HLOOKUP($J630,'Type Chart'!$C$2:$T$20,15,false)*HLOOKUP($K630,'Type Chart'!$C$2:$U$20,15,false)</f>
        <v>1</v>
      </c>
      <c r="AI630" s="960">
        <f t="array" ref="AI630">HLOOKUP($J630,'Type Chart'!$C$2:$T$20,16,false)*HLOOKUP($K630,'Type Chart'!$C$2:$U$20,16,false)</f>
        <v>1</v>
      </c>
      <c r="AJ630" s="960">
        <f t="array" ref="AJ630">HLOOKUP($J630,'Type Chart'!$C$2:$T$20,17,false)*HLOOKUP($K630,'Type Chart'!$C$2:$U$20,17,false)</f>
        <v>1</v>
      </c>
      <c r="AK630" s="960">
        <f t="array" ref="AK630">HLOOKUP($J630,'Type Chart'!$C$2:$T$20,18,false)*HLOOKUP($K630,'Type Chart'!$C$2:$U$20,18,false)</f>
        <v>2</v>
      </c>
      <c r="AL630" s="960">
        <f t="array" ref="AL630">HLOOKUP($J630,'Type Chart'!$C$2:$T$20,19,false)*HLOOKUP($K630,'Type Chart'!$C$2:$U$20,19,false)</f>
        <v>1</v>
      </c>
      <c r="AM630" s="964" t="s">
        <v>2742</v>
      </c>
      <c r="AN630" s="965"/>
      <c r="AO630" s="966"/>
      <c r="AP630" s="936"/>
      <c r="AQ630" s="967"/>
      <c r="AR630" s="968"/>
      <c r="AS630" s="936"/>
    </row>
    <row r="631" ht="15.75" customHeight="1">
      <c r="A631" s="936"/>
      <c r="B631" s="948" t="s">
        <v>2740</v>
      </c>
      <c r="C631" s="950" t="s">
        <v>2761</v>
      </c>
      <c r="D631" s="950" t="s">
        <v>2761</v>
      </c>
      <c r="E631" s="952" t="s">
        <v>2761</v>
      </c>
      <c r="F631" s="940"/>
      <c r="G631" s="953"/>
      <c r="H631" s="969"/>
      <c r="I631" s="956" t="s">
        <v>2762</v>
      </c>
      <c r="J631" s="957" t="s">
        <v>209</v>
      </c>
      <c r="K631" s="984" t="s">
        <v>216</v>
      </c>
      <c r="L631" s="959">
        <v>120.0</v>
      </c>
      <c r="M631" s="960">
        <v>120.0</v>
      </c>
      <c r="N631" s="960">
        <v>120.0</v>
      </c>
      <c r="O631" s="960">
        <v>120.0</v>
      </c>
      <c r="P631" s="960">
        <v>120.0</v>
      </c>
      <c r="Q631" s="960">
        <v>120.0</v>
      </c>
      <c r="R631" s="960">
        <v>276.0</v>
      </c>
      <c r="S631" s="960">
        <v>339.0</v>
      </c>
      <c r="T631" s="960">
        <v>372.0</v>
      </c>
      <c r="U631" s="960">
        <f t="array" ref="U631">HLOOKUP($J631,'Type Chart'!$C$2:$T$20,2,false)*HLOOKUP($K631,'Type Chart'!$C$2:$U$20,2,false)</f>
        <v>1</v>
      </c>
      <c r="V631" s="960">
        <f t="array" ref="V631">HLOOKUP($J631,'Type Chart'!$C$2:$T$20,3,false)*HLOOKUP($K631,'Type Chart'!$C$2:$U$20,3,false)</f>
        <v>1</v>
      </c>
      <c r="W631" s="960">
        <f t="array" ref="W631">HLOOKUP($J631,'Type Chart'!$C$2:$T$20,4,false)*HLOOKUP($K631,'Type Chart'!$C$2:$U$20,4,false)</f>
        <v>2</v>
      </c>
      <c r="X631" s="960">
        <f t="array" ref="X631">HLOOKUP($J631,'Type Chart'!$C$2:$T$20,5,false)*HLOOKUP($K631,'Type Chart'!$C$2:$U$20,5,false)</f>
        <v>2</v>
      </c>
      <c r="Y631" s="960">
        <f t="array" ref="Y631">HLOOKUP($J631,'Type Chart'!$C$2:$T$20,6,false)*HLOOKUP($K631,'Type Chart'!$C$2:$U$20,6,false)</f>
        <v>0.5</v>
      </c>
      <c r="Z631" s="960">
        <f t="array" ref="Z631">HLOOKUP($J631,'Type Chart'!$C$2:$T$20,7,false)*HLOOKUP($K631,'Type Chart'!$C$2:$U$20,7,false)</f>
        <v>1</v>
      </c>
      <c r="AA631" s="960">
        <f t="array" ref="AA631">HLOOKUP($J631,'Type Chart'!$C$2:$T$20,8,false)*HLOOKUP($K631,'Type Chart'!$C$2:$U$20,8,false)</f>
        <v>2</v>
      </c>
      <c r="AB631" s="960">
        <f t="array" ref="AB631">HLOOKUP($J631,'Type Chart'!$C$2:$T$20,9,false)*HLOOKUP($K631,'Type Chart'!$C$2:$U$20,9,false)</f>
        <v>1</v>
      </c>
      <c r="AC631" s="960">
        <f t="array" ref="AC631">HLOOKUP($J631,'Type Chart'!$C$2:$T$20,10,false)*HLOOKUP($K631,'Type Chart'!$C$2:$U$20,10,false)</f>
        <v>1</v>
      </c>
      <c r="AD631" s="960">
        <f t="array" ref="AD631">HLOOKUP($J631,'Type Chart'!$C$2:$T$20,11,false)*HLOOKUP($K631,'Type Chart'!$C$2:$U$20,11,false)</f>
        <v>2</v>
      </c>
      <c r="AE631" s="960">
        <f t="array" ref="AE631">HLOOKUP($J631,'Type Chart'!$C$2:$T$20,12,false)*HLOOKUP($K631,'Type Chart'!$C$2:$U$20,12,false)</f>
        <v>0.5</v>
      </c>
      <c r="AF631" s="960">
        <f t="array" ref="AF631">HLOOKUP($J631,'Type Chart'!$C$2:$T$20,13,false)*HLOOKUP($K631,'Type Chart'!$C$2:$U$20,13,false)</f>
        <v>0.5</v>
      </c>
      <c r="AG631" s="960">
        <f t="array" ref="AG631">HLOOKUP($J631,'Type Chart'!$C$2:$T$20,14,false)*HLOOKUP($K631,'Type Chart'!$C$2:$U$20,14,false)</f>
        <v>0.5</v>
      </c>
      <c r="AH631" s="960">
        <f t="array" ref="AH631">HLOOKUP($J631,'Type Chart'!$C$2:$T$20,15,false)*HLOOKUP($K631,'Type Chart'!$C$2:$U$20,15,false)</f>
        <v>1</v>
      </c>
      <c r="AI631" s="960">
        <f t="array" ref="AI631">HLOOKUP($J631,'Type Chart'!$C$2:$T$20,16,false)*HLOOKUP($K631,'Type Chart'!$C$2:$U$20,16,false)</f>
        <v>2</v>
      </c>
      <c r="AJ631" s="960">
        <f t="array" ref="AJ631">HLOOKUP($J631,'Type Chart'!$C$2:$T$20,17,false)*HLOOKUP($K631,'Type Chart'!$C$2:$U$20,17,false)</f>
        <v>1</v>
      </c>
      <c r="AK631" s="960">
        <f t="array" ref="AK631">HLOOKUP($J631,'Type Chart'!$C$2:$T$20,18,false)*HLOOKUP($K631,'Type Chart'!$C$2:$U$20,18,false)</f>
        <v>1</v>
      </c>
      <c r="AL631" s="960">
        <f t="array" ref="AL631">HLOOKUP($J631,'Type Chart'!$C$2:$T$20,19,false)*HLOOKUP($K631,'Type Chart'!$C$2:$U$20,19,false)</f>
        <v>1</v>
      </c>
      <c r="AM631" s="964" t="s">
        <v>2742</v>
      </c>
      <c r="AN631" s="965"/>
      <c r="AO631" s="966"/>
      <c r="AP631" s="936"/>
      <c r="AQ631" s="967"/>
      <c r="AR631" s="968"/>
      <c r="AS631" s="936"/>
    </row>
    <row r="632" ht="15.75" customHeight="1">
      <c r="A632" s="936"/>
      <c r="B632" s="948" t="s">
        <v>2740</v>
      </c>
      <c r="C632" s="950" t="s">
        <v>2763</v>
      </c>
      <c r="D632" s="950" t="s">
        <v>2763</v>
      </c>
      <c r="E632" s="952" t="s">
        <v>2763</v>
      </c>
      <c r="F632" s="940"/>
      <c r="G632" s="953"/>
      <c r="H632" s="969"/>
      <c r="I632" s="956" t="s">
        <v>2764</v>
      </c>
      <c r="J632" s="1204" t="s">
        <v>80</v>
      </c>
      <c r="K632" s="984" t="s">
        <v>216</v>
      </c>
      <c r="L632" s="959">
        <v>120.0</v>
      </c>
      <c r="M632" s="960">
        <v>120.0</v>
      </c>
      <c r="N632" s="960">
        <v>120.0</v>
      </c>
      <c r="O632" s="960">
        <v>120.0</v>
      </c>
      <c r="P632" s="960">
        <v>120.0</v>
      </c>
      <c r="Q632" s="960">
        <v>120.0</v>
      </c>
      <c r="R632" s="960">
        <v>276.0</v>
      </c>
      <c r="S632" s="960">
        <v>339.0</v>
      </c>
      <c r="T632" s="960">
        <v>372.0</v>
      </c>
      <c r="U632" s="960">
        <f t="array" ref="U632">HLOOKUP($J632,'Type Chart'!$C$2:$T$20,2,false)*HLOOKUP($K632,'Type Chart'!$C$2:$U$20,2,false)</f>
        <v>1</v>
      </c>
      <c r="V632" s="960">
        <f t="array" ref="V632">HLOOKUP($J632,'Type Chart'!$C$2:$T$20,3,false)*HLOOKUP($K632,'Type Chart'!$C$2:$U$20,3,false)</f>
        <v>1</v>
      </c>
      <c r="W632" s="960">
        <f t="array" ref="W632">HLOOKUP($J632,'Type Chart'!$C$2:$T$20,4,false)*HLOOKUP($K632,'Type Chart'!$C$2:$U$20,4,false)</f>
        <v>1</v>
      </c>
      <c r="X632" s="960">
        <f t="array" ref="X632">HLOOKUP($J632,'Type Chart'!$C$2:$T$20,5,false)*HLOOKUP($K632,'Type Chart'!$C$2:$U$20,5,false)</f>
        <v>0.5</v>
      </c>
      <c r="Y632" s="960">
        <f t="array" ref="Y632">HLOOKUP($J632,'Type Chart'!$C$2:$T$20,6,false)*HLOOKUP($K632,'Type Chart'!$C$2:$U$20,6,false)</f>
        <v>1</v>
      </c>
      <c r="Z632" s="960">
        <f t="array" ref="Z632">HLOOKUP($J632,'Type Chart'!$C$2:$T$20,7,false)*HLOOKUP($K632,'Type Chart'!$C$2:$U$20,7,false)</f>
        <v>0.5</v>
      </c>
      <c r="AA632" s="960">
        <f t="array" ref="AA632">HLOOKUP($J632,'Type Chart'!$C$2:$T$20,8,false)*HLOOKUP($K632,'Type Chart'!$C$2:$U$20,8,false)</f>
        <v>1</v>
      </c>
      <c r="AB632" s="960">
        <f t="array" ref="AB632">HLOOKUP($J632,'Type Chart'!$C$2:$T$20,9,false)*HLOOKUP($K632,'Type Chart'!$C$2:$U$20,9,false)</f>
        <v>1</v>
      </c>
      <c r="AC632" s="960">
        <f t="array" ref="AC632">HLOOKUP($J632,'Type Chart'!$C$2:$T$20,10,false)*HLOOKUP($K632,'Type Chart'!$C$2:$U$20,10,false)</f>
        <v>1</v>
      </c>
      <c r="AD632" s="960">
        <f t="array" ref="AD632">HLOOKUP($J632,'Type Chart'!$C$2:$T$20,11,false)*HLOOKUP($K632,'Type Chart'!$C$2:$U$20,11,false)</f>
        <v>1</v>
      </c>
      <c r="AE632" s="960">
        <f t="array" ref="AE632">HLOOKUP($J632,'Type Chart'!$C$2:$T$20,12,false)*HLOOKUP($K632,'Type Chart'!$C$2:$U$20,12,false)</f>
        <v>2</v>
      </c>
      <c r="AF632" s="960">
        <f t="array" ref="AF632">HLOOKUP($J632,'Type Chart'!$C$2:$T$20,13,false)*HLOOKUP($K632,'Type Chart'!$C$2:$U$20,13,false)</f>
        <v>2</v>
      </c>
      <c r="AG632" s="960">
        <f t="array" ref="AG632">HLOOKUP($J632,'Type Chart'!$C$2:$T$20,14,false)*HLOOKUP($K632,'Type Chart'!$C$2:$U$20,14,false)</f>
        <v>0</v>
      </c>
      <c r="AH632" s="960">
        <f t="array" ref="AH632">HLOOKUP($J632,'Type Chart'!$C$2:$T$20,15,false)*HLOOKUP($K632,'Type Chart'!$C$2:$U$20,15,false)</f>
        <v>1</v>
      </c>
      <c r="AI632" s="960">
        <f t="array" ref="AI632">HLOOKUP($J632,'Type Chart'!$C$2:$T$20,16,false)*HLOOKUP($K632,'Type Chart'!$C$2:$U$20,16,false)</f>
        <v>2</v>
      </c>
      <c r="AJ632" s="960">
        <f t="array" ref="AJ632">HLOOKUP($J632,'Type Chart'!$C$2:$T$20,17,false)*HLOOKUP($K632,'Type Chart'!$C$2:$U$20,17,false)</f>
        <v>1</v>
      </c>
      <c r="AK632" s="960">
        <f t="array" ref="AK632">HLOOKUP($J632,'Type Chart'!$C$2:$T$20,18,false)*HLOOKUP($K632,'Type Chart'!$C$2:$U$20,18,false)</f>
        <v>1</v>
      </c>
      <c r="AL632" s="960">
        <f t="array" ref="AL632">HLOOKUP($J632,'Type Chart'!$C$2:$T$20,19,false)*HLOOKUP($K632,'Type Chart'!$C$2:$U$20,19,false)</f>
        <v>1</v>
      </c>
      <c r="AM632" s="964" t="s">
        <v>2742</v>
      </c>
      <c r="AN632" s="965"/>
      <c r="AO632" s="966"/>
      <c r="AP632" s="936"/>
      <c r="AQ632" s="967"/>
      <c r="AR632" s="968"/>
      <c r="AS632" s="936"/>
    </row>
    <row r="633" ht="15.75" customHeight="1">
      <c r="A633" s="936"/>
      <c r="B633" s="948" t="s">
        <v>2740</v>
      </c>
      <c r="C633" s="950" t="s">
        <v>2765</v>
      </c>
      <c r="D633" s="950" t="s">
        <v>2765</v>
      </c>
      <c r="E633" s="952" t="s">
        <v>2765</v>
      </c>
      <c r="F633" s="940"/>
      <c r="G633" s="953"/>
      <c r="H633" s="969"/>
      <c r="I633" s="998" t="s">
        <v>2766</v>
      </c>
      <c r="J633" s="1205" t="s">
        <v>345</v>
      </c>
      <c r="K633" s="984" t="s">
        <v>216</v>
      </c>
      <c r="L633" s="959">
        <v>120.0</v>
      </c>
      <c r="M633" s="960">
        <v>120.0</v>
      </c>
      <c r="N633" s="960">
        <v>120.0</v>
      </c>
      <c r="O633" s="960">
        <v>120.0</v>
      </c>
      <c r="P633" s="960">
        <v>120.0</v>
      </c>
      <c r="Q633" s="960">
        <v>120.0</v>
      </c>
      <c r="R633" s="960">
        <v>276.0</v>
      </c>
      <c r="S633" s="960">
        <v>339.0</v>
      </c>
      <c r="T633" s="960">
        <v>372.0</v>
      </c>
      <c r="U633" s="960">
        <f t="array" ref="U633">HLOOKUP($J633,'Type Chart'!$C$2:$T$20,2,false)*HLOOKUP($K633,'Type Chart'!$C$2:$U$20,2,false)</f>
        <v>1</v>
      </c>
      <c r="V633" s="960">
        <f t="array" ref="V633">HLOOKUP($J633,'Type Chart'!$C$2:$T$20,3,false)*HLOOKUP($K633,'Type Chart'!$C$2:$U$20,3,false)</f>
        <v>2</v>
      </c>
      <c r="W633" s="960">
        <f t="array" ref="W633">HLOOKUP($J633,'Type Chart'!$C$2:$T$20,4,false)*HLOOKUP($K633,'Type Chart'!$C$2:$U$20,4,false)</f>
        <v>1</v>
      </c>
      <c r="X633" s="960">
        <f t="array" ref="X633">HLOOKUP($J633,'Type Chart'!$C$2:$T$20,5,false)*HLOOKUP($K633,'Type Chart'!$C$2:$U$20,5,false)</f>
        <v>1</v>
      </c>
      <c r="Y633" s="960">
        <f t="array" ref="Y633">HLOOKUP($J633,'Type Chart'!$C$2:$T$20,6,false)*HLOOKUP($K633,'Type Chart'!$C$2:$U$20,6,false)</f>
        <v>1</v>
      </c>
      <c r="Z633" s="960">
        <f t="array" ref="Z633">HLOOKUP($J633,'Type Chart'!$C$2:$T$20,7,false)*HLOOKUP($K633,'Type Chart'!$C$2:$U$20,7,false)</f>
        <v>2</v>
      </c>
      <c r="AA633" s="960">
        <f t="array" ref="AA633">HLOOKUP($J633,'Type Chart'!$C$2:$T$20,8,false)*HLOOKUP($K633,'Type Chart'!$C$2:$U$20,8,false)</f>
        <v>1</v>
      </c>
      <c r="AB633" s="960">
        <f t="array" ref="AB633">HLOOKUP($J633,'Type Chart'!$C$2:$T$20,9,false)*HLOOKUP($K633,'Type Chart'!$C$2:$U$20,9,false)</f>
        <v>1</v>
      </c>
      <c r="AC633" s="960">
        <f t="array" ref="AC633">HLOOKUP($J633,'Type Chart'!$C$2:$T$20,10,false)*HLOOKUP($K633,'Type Chart'!$C$2:$U$20,10,false)</f>
        <v>2</v>
      </c>
      <c r="AD633" s="960">
        <f t="array" ref="AD633">HLOOKUP($J633,'Type Chart'!$C$2:$T$20,11,false)*HLOOKUP($K633,'Type Chart'!$C$2:$U$20,11,false)</f>
        <v>2</v>
      </c>
      <c r="AE633" s="960">
        <f t="array" ref="AE633">HLOOKUP($J633,'Type Chart'!$C$2:$T$20,12,false)*HLOOKUP($K633,'Type Chart'!$C$2:$U$20,12,false)</f>
        <v>1</v>
      </c>
      <c r="AF633" s="960">
        <f t="array" ref="AF633">HLOOKUP($J633,'Type Chart'!$C$2:$T$20,13,false)*HLOOKUP($K633,'Type Chart'!$C$2:$U$20,13,false)</f>
        <v>1</v>
      </c>
      <c r="AG633" s="960">
        <f t="array" ref="AG633">HLOOKUP($J633,'Type Chart'!$C$2:$T$20,14,false)*HLOOKUP($K633,'Type Chart'!$C$2:$U$20,14,false)</f>
        <v>1</v>
      </c>
      <c r="AH633" s="960">
        <f t="array" ref="AH633">HLOOKUP($J633,'Type Chart'!$C$2:$T$20,15,false)*HLOOKUP($K633,'Type Chart'!$C$2:$U$20,15,false)</f>
        <v>1</v>
      </c>
      <c r="AI633" s="960">
        <f t="array" ref="AI633">HLOOKUP($J633,'Type Chart'!$C$2:$T$20,16,false)*HLOOKUP($K633,'Type Chart'!$C$2:$U$20,16,false)</f>
        <v>0.5</v>
      </c>
      <c r="AJ633" s="960">
        <f t="array" ref="AJ633">HLOOKUP($J633,'Type Chart'!$C$2:$T$20,17,false)*HLOOKUP($K633,'Type Chart'!$C$2:$U$20,17,false)</f>
        <v>1</v>
      </c>
      <c r="AK633" s="960">
        <f t="array" ref="AK633">HLOOKUP($J633,'Type Chart'!$C$2:$T$20,18,false)*HLOOKUP($K633,'Type Chart'!$C$2:$U$20,18,false)</f>
        <v>1</v>
      </c>
      <c r="AL633" s="960">
        <f t="array" ref="AL633">HLOOKUP($J633,'Type Chart'!$C$2:$T$20,19,false)*HLOOKUP($K633,'Type Chart'!$C$2:$U$20,19,false)</f>
        <v>1</v>
      </c>
      <c r="AM633" s="964" t="s">
        <v>2742</v>
      </c>
      <c r="AN633" s="965"/>
      <c r="AO633" s="966"/>
      <c r="AP633" s="936"/>
      <c r="AQ633" s="967"/>
      <c r="AR633" s="968"/>
      <c r="AS633" s="936"/>
    </row>
    <row r="634" ht="15.75" customHeight="1">
      <c r="A634" s="936"/>
      <c r="B634" s="948" t="s">
        <v>2740</v>
      </c>
      <c r="C634" s="950" t="s">
        <v>2767</v>
      </c>
      <c r="D634" s="950" t="s">
        <v>2767</v>
      </c>
      <c r="E634" s="952" t="s">
        <v>2767</v>
      </c>
      <c r="F634" s="940"/>
      <c r="G634" s="953"/>
      <c r="H634" s="969"/>
      <c r="I634" s="956" t="s">
        <v>2768</v>
      </c>
      <c r="J634" s="958" t="s">
        <v>178</v>
      </c>
      <c r="K634" s="984" t="s">
        <v>216</v>
      </c>
      <c r="L634" s="959">
        <v>120.0</v>
      </c>
      <c r="M634" s="960">
        <v>120.0</v>
      </c>
      <c r="N634" s="960">
        <v>120.0</v>
      </c>
      <c r="O634" s="960">
        <v>120.0</v>
      </c>
      <c r="P634" s="960">
        <v>120.0</v>
      </c>
      <c r="Q634" s="960">
        <v>120.0</v>
      </c>
      <c r="R634" s="960">
        <v>276.0</v>
      </c>
      <c r="S634" s="960">
        <v>339.0</v>
      </c>
      <c r="T634" s="960">
        <v>372.0</v>
      </c>
      <c r="U634" s="960">
        <f t="array" ref="U634">HLOOKUP($J634,'Type Chart'!$C$2:$T$20,2,false)*HLOOKUP($K634,'Type Chart'!$C$2:$U$20,2,false)</f>
        <v>1</v>
      </c>
      <c r="V634" s="960">
        <f t="array" ref="V634">HLOOKUP($J634,'Type Chart'!$C$2:$T$20,3,false)*HLOOKUP($K634,'Type Chart'!$C$2:$U$20,3,false)</f>
        <v>0.5</v>
      </c>
      <c r="W634" s="960">
        <f t="array" ref="W634">HLOOKUP($J634,'Type Chart'!$C$2:$T$20,4,false)*HLOOKUP($K634,'Type Chart'!$C$2:$U$20,4,false)</f>
        <v>1</v>
      </c>
      <c r="X634" s="960">
        <f t="array" ref="X634">HLOOKUP($J634,'Type Chart'!$C$2:$T$20,5,false)*HLOOKUP($K634,'Type Chart'!$C$2:$U$20,5,false)</f>
        <v>0.5</v>
      </c>
      <c r="Y634" s="960">
        <f t="array" ref="Y634">HLOOKUP($J634,'Type Chart'!$C$2:$T$20,6,false)*HLOOKUP($K634,'Type Chart'!$C$2:$U$20,6,false)</f>
        <v>2</v>
      </c>
      <c r="Z634" s="960">
        <f t="array" ref="Z634">HLOOKUP($J634,'Type Chart'!$C$2:$T$20,7,false)*HLOOKUP($K634,'Type Chart'!$C$2:$U$20,7,false)</f>
        <v>1</v>
      </c>
      <c r="AA634" s="960">
        <f t="array" ref="AA634">HLOOKUP($J634,'Type Chart'!$C$2:$T$20,8,false)*HLOOKUP($K634,'Type Chart'!$C$2:$U$20,8,false)</f>
        <v>0.5</v>
      </c>
      <c r="AB634" s="960">
        <f t="array" ref="AB634">HLOOKUP($J634,'Type Chart'!$C$2:$T$20,9,false)*HLOOKUP($K634,'Type Chart'!$C$2:$U$20,9,false)</f>
        <v>1</v>
      </c>
      <c r="AC634" s="960">
        <f t="array" ref="AC634">HLOOKUP($J634,'Type Chart'!$C$2:$T$20,10,false)*HLOOKUP($K634,'Type Chart'!$C$2:$U$20,10,false)</f>
        <v>1</v>
      </c>
      <c r="AD634" s="960">
        <f t="array" ref="AD634">HLOOKUP($J634,'Type Chart'!$C$2:$T$20,11,false)*HLOOKUP($K634,'Type Chart'!$C$2:$U$20,11,false)</f>
        <v>1</v>
      </c>
      <c r="AE634" s="960">
        <f t="array" ref="AE634">HLOOKUP($J634,'Type Chart'!$C$2:$T$20,12,false)*HLOOKUP($K634,'Type Chart'!$C$2:$U$20,12,false)</f>
        <v>1</v>
      </c>
      <c r="AF634" s="960">
        <f t="array" ref="AF634">HLOOKUP($J634,'Type Chart'!$C$2:$T$20,13,false)*HLOOKUP($K634,'Type Chart'!$C$2:$U$20,13,false)</f>
        <v>0.5</v>
      </c>
      <c r="AG634" s="960">
        <f t="array" ref="AG634">HLOOKUP($J634,'Type Chart'!$C$2:$T$20,14,false)*HLOOKUP($K634,'Type Chart'!$C$2:$U$20,14,false)</f>
        <v>1</v>
      </c>
      <c r="AH634" s="960">
        <f t="array" ref="AH634">HLOOKUP($J634,'Type Chart'!$C$2:$T$20,15,false)*HLOOKUP($K634,'Type Chart'!$C$2:$U$20,15,false)</f>
        <v>2</v>
      </c>
      <c r="AI634" s="960">
        <f t="array" ref="AI634">HLOOKUP($J634,'Type Chart'!$C$2:$T$20,16,false)*HLOOKUP($K634,'Type Chart'!$C$2:$U$20,16,false)</f>
        <v>1</v>
      </c>
      <c r="AJ634" s="960">
        <f t="array" ref="AJ634">HLOOKUP($J634,'Type Chart'!$C$2:$T$20,17,false)*HLOOKUP($K634,'Type Chart'!$C$2:$U$20,17,false)</f>
        <v>1</v>
      </c>
      <c r="AK634" s="960">
        <f t="array" ref="AK634">HLOOKUP($J634,'Type Chart'!$C$2:$T$20,18,false)*HLOOKUP($K634,'Type Chart'!$C$2:$U$20,18,false)</f>
        <v>1</v>
      </c>
      <c r="AL634" s="960">
        <f t="array" ref="AL634">HLOOKUP($J634,'Type Chart'!$C$2:$T$20,19,false)*HLOOKUP($K634,'Type Chart'!$C$2:$U$20,19,false)</f>
        <v>0.5</v>
      </c>
      <c r="AM634" s="964" t="s">
        <v>2742</v>
      </c>
      <c r="AN634" s="965"/>
      <c r="AO634" s="966"/>
      <c r="AP634" s="936"/>
      <c r="AQ634" s="967"/>
      <c r="AR634" s="968"/>
      <c r="AS634" s="936"/>
    </row>
    <row r="635" ht="15.75" customHeight="1">
      <c r="A635" s="936"/>
      <c r="B635" s="948" t="s">
        <v>2740</v>
      </c>
      <c r="C635" s="950" t="s">
        <v>2769</v>
      </c>
      <c r="D635" s="950" t="s">
        <v>2769</v>
      </c>
      <c r="E635" s="952" t="s">
        <v>2769</v>
      </c>
      <c r="F635" s="940"/>
      <c r="G635" s="953"/>
      <c r="H635" s="969"/>
      <c r="I635" s="956" t="s">
        <v>2770</v>
      </c>
      <c r="J635" s="1203" t="s">
        <v>344</v>
      </c>
      <c r="K635" s="984" t="s">
        <v>216</v>
      </c>
      <c r="L635" s="959">
        <v>120.0</v>
      </c>
      <c r="M635" s="960">
        <v>120.0</v>
      </c>
      <c r="N635" s="960">
        <v>120.0</v>
      </c>
      <c r="O635" s="960">
        <v>120.0</v>
      </c>
      <c r="P635" s="960">
        <v>120.0</v>
      </c>
      <c r="Q635" s="960">
        <v>120.0</v>
      </c>
      <c r="R635" s="960">
        <v>276.0</v>
      </c>
      <c r="S635" s="960">
        <v>339.0</v>
      </c>
      <c r="T635" s="960">
        <v>372.0</v>
      </c>
      <c r="U635" s="960">
        <f t="array" ref="U635">HLOOKUP($J635,'Type Chart'!$C$2:$T$20,2,false)*HLOOKUP($K635,'Type Chart'!$C$2:$U$20,2,false)</f>
        <v>1</v>
      </c>
      <c r="V635" s="960">
        <f t="array" ref="V635">HLOOKUP($J635,'Type Chart'!$C$2:$T$20,3,false)*HLOOKUP($K635,'Type Chart'!$C$2:$U$20,3,false)</f>
        <v>0.5</v>
      </c>
      <c r="W635" s="960">
        <f t="array" ref="W635">HLOOKUP($J635,'Type Chart'!$C$2:$T$20,4,false)*HLOOKUP($K635,'Type Chart'!$C$2:$U$20,4,false)</f>
        <v>1</v>
      </c>
      <c r="X635" s="960">
        <f t="array" ref="X635">HLOOKUP($J635,'Type Chart'!$C$2:$T$20,5,false)*HLOOKUP($K635,'Type Chart'!$C$2:$U$20,5,false)</f>
        <v>1</v>
      </c>
      <c r="Y635" s="960">
        <f t="array" ref="Y635">HLOOKUP($J635,'Type Chart'!$C$2:$T$20,6,false)*HLOOKUP($K635,'Type Chart'!$C$2:$U$20,6,false)</f>
        <v>1</v>
      </c>
      <c r="Z635" s="960">
        <f t="array" ref="Z635">HLOOKUP($J635,'Type Chart'!$C$2:$T$20,7,false)*HLOOKUP($K635,'Type Chart'!$C$2:$U$20,7,false)</f>
        <v>1</v>
      </c>
      <c r="AA635" s="960">
        <f t="array" ref="AA635">HLOOKUP($J635,'Type Chart'!$C$2:$T$20,8,false)*HLOOKUP($K635,'Type Chart'!$C$2:$U$20,8,false)</f>
        <v>2</v>
      </c>
      <c r="AB635" s="960">
        <f t="array" ref="AB635">HLOOKUP($J635,'Type Chart'!$C$2:$T$20,9,false)*HLOOKUP($K635,'Type Chart'!$C$2:$U$20,9,false)</f>
        <v>2</v>
      </c>
      <c r="AC635" s="960">
        <f t="array" ref="AC635">HLOOKUP($J635,'Type Chart'!$C$2:$T$20,10,false)*HLOOKUP($K635,'Type Chart'!$C$2:$U$20,10,false)</f>
        <v>1</v>
      </c>
      <c r="AD635" s="960">
        <f t="array" ref="AD635">HLOOKUP($J635,'Type Chart'!$C$2:$T$20,11,false)*HLOOKUP($K635,'Type Chart'!$C$2:$U$20,11,false)</f>
        <v>1</v>
      </c>
      <c r="AE635" s="960">
        <f t="array" ref="AE635">HLOOKUP($J635,'Type Chart'!$C$2:$T$20,12,false)*HLOOKUP($K635,'Type Chart'!$C$2:$U$20,12,false)</f>
        <v>1</v>
      </c>
      <c r="AF635" s="960">
        <f t="array" ref="AF635">HLOOKUP($J635,'Type Chart'!$C$2:$T$20,13,false)*HLOOKUP($K635,'Type Chart'!$C$2:$U$20,13,false)</f>
        <v>1</v>
      </c>
      <c r="AG635" s="960">
        <f t="array" ref="AG635">HLOOKUP($J635,'Type Chart'!$C$2:$T$20,14,false)*HLOOKUP($K635,'Type Chart'!$C$2:$U$20,14,false)</f>
        <v>1</v>
      </c>
      <c r="AH635" s="960">
        <f t="array" ref="AH635">HLOOKUP($J635,'Type Chart'!$C$2:$T$20,15,false)*HLOOKUP($K635,'Type Chart'!$C$2:$U$20,15,false)</f>
        <v>0.5</v>
      </c>
      <c r="AI635" s="960">
        <f t="array" ref="AI635">HLOOKUP($J635,'Type Chart'!$C$2:$T$20,16,false)*HLOOKUP($K635,'Type Chart'!$C$2:$U$20,16,false)</f>
        <v>1</v>
      </c>
      <c r="AJ635" s="960">
        <f t="array" ref="AJ635">HLOOKUP($J635,'Type Chart'!$C$2:$T$20,17,false)*HLOOKUP($K635,'Type Chart'!$C$2:$U$20,17,false)</f>
        <v>1</v>
      </c>
      <c r="AK635" s="960">
        <f t="array" ref="AK635">HLOOKUP($J635,'Type Chart'!$C$2:$T$20,18,false)*HLOOKUP($K635,'Type Chart'!$C$2:$U$20,18,false)</f>
        <v>2</v>
      </c>
      <c r="AL635" s="960">
        <f t="array" ref="AL635">HLOOKUP($J635,'Type Chart'!$C$2:$T$20,19,false)*HLOOKUP($K635,'Type Chart'!$C$2:$U$20,19,false)</f>
        <v>1</v>
      </c>
      <c r="AM635" s="964" t="s">
        <v>2742</v>
      </c>
      <c r="AN635" s="965"/>
      <c r="AO635" s="966"/>
      <c r="AP635" s="936"/>
      <c r="AQ635" s="967"/>
      <c r="AR635" s="968"/>
      <c r="AS635" s="936"/>
    </row>
    <row r="636" ht="15.75" customHeight="1">
      <c r="A636" s="936"/>
      <c r="B636" s="948" t="s">
        <v>2740</v>
      </c>
      <c r="C636" s="950" t="s">
        <v>2771</v>
      </c>
      <c r="D636" s="950" t="s">
        <v>2771</v>
      </c>
      <c r="E636" s="952" t="s">
        <v>2771</v>
      </c>
      <c r="F636" s="940"/>
      <c r="G636" s="953"/>
      <c r="H636" s="969"/>
      <c r="I636" s="956" t="s">
        <v>2772</v>
      </c>
      <c r="J636" s="1214" t="s">
        <v>342</v>
      </c>
      <c r="K636" s="984" t="s">
        <v>216</v>
      </c>
      <c r="L636" s="959">
        <v>120.0</v>
      </c>
      <c r="M636" s="960">
        <v>120.0</v>
      </c>
      <c r="N636" s="960">
        <v>120.0</v>
      </c>
      <c r="O636" s="960">
        <v>120.0</v>
      </c>
      <c r="P636" s="960">
        <v>120.0</v>
      </c>
      <c r="Q636" s="960">
        <v>120.0</v>
      </c>
      <c r="R636" s="960">
        <v>276.0</v>
      </c>
      <c r="S636" s="960">
        <v>339.0</v>
      </c>
      <c r="T636" s="960">
        <v>372.0</v>
      </c>
      <c r="U636" s="960">
        <f t="array" ref="U636">HLOOKUP($J636,'Type Chart'!$C$2:$T$20,2,false)*HLOOKUP($K636,'Type Chart'!$C$2:$U$20,2,false)</f>
        <v>0.5</v>
      </c>
      <c r="V636" s="960">
        <f t="array" ref="V636">HLOOKUP($J636,'Type Chart'!$C$2:$T$20,3,false)*HLOOKUP($K636,'Type Chart'!$C$2:$U$20,3,false)</f>
        <v>2</v>
      </c>
      <c r="W636" s="960">
        <f t="array" ref="W636">HLOOKUP($J636,'Type Chart'!$C$2:$T$20,4,false)*HLOOKUP($K636,'Type Chart'!$C$2:$U$20,4,false)</f>
        <v>0.5</v>
      </c>
      <c r="X636" s="960">
        <f t="array" ref="X636">HLOOKUP($J636,'Type Chart'!$C$2:$T$20,5,false)*HLOOKUP($K636,'Type Chart'!$C$2:$U$20,5,false)</f>
        <v>0.5</v>
      </c>
      <c r="Y636" s="960">
        <f t="array" ref="Y636">HLOOKUP($J636,'Type Chart'!$C$2:$T$20,6,false)*HLOOKUP($K636,'Type Chart'!$C$2:$U$20,6,false)</f>
        <v>2</v>
      </c>
      <c r="Z636" s="960">
        <f t="array" ref="Z636">HLOOKUP($J636,'Type Chart'!$C$2:$T$20,7,false)*HLOOKUP($K636,'Type Chart'!$C$2:$U$20,7,false)</f>
        <v>1</v>
      </c>
      <c r="AA636" s="960">
        <f t="array" ref="AA636">HLOOKUP($J636,'Type Chart'!$C$2:$T$20,8,false)*HLOOKUP($K636,'Type Chart'!$C$2:$U$20,8,false)</f>
        <v>1</v>
      </c>
      <c r="AB636" s="960">
        <f t="array" ref="AB636">HLOOKUP($J636,'Type Chart'!$C$2:$T$20,9,false)*HLOOKUP($K636,'Type Chart'!$C$2:$U$20,9,false)</f>
        <v>1</v>
      </c>
      <c r="AC636" s="960">
        <f t="array" ref="AC636">HLOOKUP($J636,'Type Chart'!$C$2:$T$20,10,false)*HLOOKUP($K636,'Type Chart'!$C$2:$U$20,10,false)</f>
        <v>2</v>
      </c>
      <c r="AD636" s="960">
        <f t="array" ref="AD636">HLOOKUP($J636,'Type Chart'!$C$2:$T$20,11,false)*HLOOKUP($K636,'Type Chart'!$C$2:$U$20,11,false)</f>
        <v>0.5</v>
      </c>
      <c r="AE636" s="960">
        <f t="array" ref="AE636">HLOOKUP($J636,'Type Chart'!$C$2:$T$20,12,false)*HLOOKUP($K636,'Type Chart'!$C$2:$U$20,12,false)</f>
        <v>2</v>
      </c>
      <c r="AF636" s="960">
        <f t="array" ref="AF636">HLOOKUP($J636,'Type Chart'!$C$2:$T$20,13,false)*HLOOKUP($K636,'Type Chart'!$C$2:$U$20,13,false)</f>
        <v>2</v>
      </c>
      <c r="AG636" s="960">
        <f t="array" ref="AG636">HLOOKUP($J636,'Type Chart'!$C$2:$T$20,14,false)*HLOOKUP($K636,'Type Chart'!$C$2:$U$20,14,false)</f>
        <v>1</v>
      </c>
      <c r="AH636" s="960">
        <f t="array" ref="AH636">HLOOKUP($J636,'Type Chart'!$C$2:$T$20,15,false)*HLOOKUP($K636,'Type Chart'!$C$2:$U$20,15,false)</f>
        <v>1</v>
      </c>
      <c r="AI636" s="960">
        <f t="array" ref="AI636">HLOOKUP($J636,'Type Chart'!$C$2:$T$20,16,false)*HLOOKUP($K636,'Type Chart'!$C$2:$U$20,16,false)</f>
        <v>1</v>
      </c>
      <c r="AJ636" s="960">
        <f t="array" ref="AJ636">HLOOKUP($J636,'Type Chart'!$C$2:$T$20,17,false)*HLOOKUP($K636,'Type Chart'!$C$2:$U$20,17,false)</f>
        <v>1</v>
      </c>
      <c r="AK636" s="960">
        <f t="array" ref="AK636">HLOOKUP($J636,'Type Chart'!$C$2:$T$20,18,false)*HLOOKUP($K636,'Type Chart'!$C$2:$U$20,18,false)</f>
        <v>1</v>
      </c>
      <c r="AL636" s="960">
        <f t="array" ref="AL636">HLOOKUP($J636,'Type Chart'!$C$2:$T$20,19,false)*HLOOKUP($K636,'Type Chart'!$C$2:$U$20,19,false)</f>
        <v>1</v>
      </c>
      <c r="AM636" s="964" t="s">
        <v>2742</v>
      </c>
      <c r="AN636" s="965"/>
      <c r="AO636" s="966"/>
      <c r="AP636" s="936"/>
      <c r="AQ636" s="967"/>
      <c r="AR636" s="968"/>
      <c r="AS636" s="936"/>
    </row>
    <row r="637" ht="15.75" customHeight="1">
      <c r="A637" s="936"/>
      <c r="B637" s="948" t="s">
        <v>2740</v>
      </c>
      <c r="C637" s="950" t="s">
        <v>2773</v>
      </c>
      <c r="D637" s="950" t="s">
        <v>2773</v>
      </c>
      <c r="E637" s="952" t="s">
        <v>2773</v>
      </c>
      <c r="F637" s="940"/>
      <c r="G637" s="953"/>
      <c r="H637" s="969"/>
      <c r="I637" s="956" t="s">
        <v>2774</v>
      </c>
      <c r="J637" s="1206" t="s">
        <v>82</v>
      </c>
      <c r="K637" s="984" t="s">
        <v>216</v>
      </c>
      <c r="L637" s="959">
        <v>120.0</v>
      </c>
      <c r="M637" s="960">
        <v>120.0</v>
      </c>
      <c r="N637" s="960">
        <v>120.0</v>
      </c>
      <c r="O637" s="960">
        <v>120.0</v>
      </c>
      <c r="P637" s="960">
        <v>120.0</v>
      </c>
      <c r="Q637" s="960">
        <v>120.0</v>
      </c>
      <c r="R637" s="960">
        <v>276.0</v>
      </c>
      <c r="S637" s="960">
        <v>339.0</v>
      </c>
      <c r="T637" s="960">
        <v>372.0</v>
      </c>
      <c r="U637" s="960">
        <f t="array" ref="U637">HLOOKUP($J637,'Type Chart'!$C$2:$T$20,2,false)*HLOOKUP($K637,'Type Chart'!$C$2:$U$20,2,false)</f>
        <v>0.5</v>
      </c>
      <c r="V637" s="960">
        <f t="array" ref="V637">HLOOKUP($J637,'Type Chart'!$C$2:$T$20,3,false)*HLOOKUP($K637,'Type Chart'!$C$2:$U$20,3,false)</f>
        <v>2</v>
      </c>
      <c r="W637" s="960">
        <f t="array" ref="W637">HLOOKUP($J637,'Type Chart'!$C$2:$T$20,4,false)*HLOOKUP($K637,'Type Chart'!$C$2:$U$20,4,false)</f>
        <v>0.5</v>
      </c>
      <c r="X637" s="960">
        <f t="array" ref="X637">HLOOKUP($J637,'Type Chart'!$C$2:$T$20,5,false)*HLOOKUP($K637,'Type Chart'!$C$2:$U$20,5,false)</f>
        <v>0</v>
      </c>
      <c r="Y637" s="960">
        <f t="array" ref="Y637">HLOOKUP($J637,'Type Chart'!$C$2:$T$20,6,false)*HLOOKUP($K637,'Type Chart'!$C$2:$U$20,6,false)</f>
        <v>2</v>
      </c>
      <c r="Z637" s="960">
        <f t="array" ref="Z637">HLOOKUP($J637,'Type Chart'!$C$2:$T$20,7,false)*HLOOKUP($K637,'Type Chart'!$C$2:$U$20,7,false)</f>
        <v>0.5</v>
      </c>
      <c r="AA637" s="960">
        <f t="array" ref="AA637">HLOOKUP($J637,'Type Chart'!$C$2:$T$20,8,false)*HLOOKUP($K637,'Type Chart'!$C$2:$U$20,8,false)</f>
        <v>0.5</v>
      </c>
      <c r="AB637" s="960">
        <f t="array" ref="AB637">HLOOKUP($J637,'Type Chart'!$C$2:$T$20,9,false)*HLOOKUP($K637,'Type Chart'!$C$2:$U$20,9,false)</f>
        <v>1</v>
      </c>
      <c r="AC637" s="960">
        <f t="array" ref="AC637">HLOOKUP($J637,'Type Chart'!$C$2:$T$20,10,false)*HLOOKUP($K637,'Type Chart'!$C$2:$U$20,10,false)</f>
        <v>0.5</v>
      </c>
      <c r="AD637" s="960">
        <f t="array" ref="AD637">HLOOKUP($J637,'Type Chart'!$C$2:$T$20,11,false)*HLOOKUP($K637,'Type Chart'!$C$2:$U$20,11,false)</f>
        <v>2</v>
      </c>
      <c r="AE637" s="960">
        <f t="array" ref="AE637">HLOOKUP($J637,'Type Chart'!$C$2:$T$20,12,false)*HLOOKUP($K637,'Type Chart'!$C$2:$U$20,12,false)</f>
        <v>1</v>
      </c>
      <c r="AF637" s="960">
        <f t="array" ref="AF637">HLOOKUP($J637,'Type Chart'!$C$2:$T$20,13,false)*HLOOKUP($K637,'Type Chart'!$C$2:$U$20,13,false)</f>
        <v>0.5</v>
      </c>
      <c r="AG637" s="960">
        <f t="array" ref="AG637">HLOOKUP($J637,'Type Chart'!$C$2:$T$20,14,false)*HLOOKUP($K637,'Type Chart'!$C$2:$U$20,14,false)</f>
        <v>1</v>
      </c>
      <c r="AH637" s="960">
        <f t="array" ref="AH637">HLOOKUP($J637,'Type Chart'!$C$2:$T$20,15,false)*HLOOKUP($K637,'Type Chart'!$C$2:$U$20,15,false)</f>
        <v>0.5</v>
      </c>
      <c r="AI637" s="960">
        <f t="array" ref="AI637">HLOOKUP($J637,'Type Chart'!$C$2:$T$20,16,false)*HLOOKUP($K637,'Type Chart'!$C$2:$U$20,16,false)</f>
        <v>0.5</v>
      </c>
      <c r="AJ637" s="960">
        <f t="array" ref="AJ637">HLOOKUP($J637,'Type Chart'!$C$2:$T$20,17,false)*HLOOKUP($K637,'Type Chart'!$C$2:$U$20,17,false)</f>
        <v>0.5</v>
      </c>
      <c r="AK637" s="960">
        <f t="array" ref="AK637">HLOOKUP($J637,'Type Chart'!$C$2:$T$20,18,false)*HLOOKUP($K637,'Type Chart'!$C$2:$U$20,18,false)</f>
        <v>1</v>
      </c>
      <c r="AL637" s="960">
        <f t="array" ref="AL637">HLOOKUP($J637,'Type Chart'!$C$2:$T$20,19,false)*HLOOKUP($K637,'Type Chart'!$C$2:$U$20,19,false)</f>
        <v>0.5</v>
      </c>
      <c r="AM637" s="964" t="s">
        <v>2742</v>
      </c>
      <c r="AN637" s="965"/>
      <c r="AO637" s="966"/>
      <c r="AP637" s="936"/>
      <c r="AQ637" s="967"/>
      <c r="AR637" s="968"/>
      <c r="AS637" s="936"/>
    </row>
    <row r="638" ht="15.75" customHeight="1">
      <c r="A638" s="936"/>
      <c r="B638" s="948" t="s">
        <v>2740</v>
      </c>
      <c r="C638" s="950" t="s">
        <v>2775</v>
      </c>
      <c r="D638" s="950" t="s">
        <v>2775</v>
      </c>
      <c r="E638" s="952" t="s">
        <v>2775</v>
      </c>
      <c r="F638" s="940"/>
      <c r="G638" s="953"/>
      <c r="H638" s="969"/>
      <c r="I638" s="956" t="s">
        <v>2776</v>
      </c>
      <c r="J638" s="1056" t="s">
        <v>81</v>
      </c>
      <c r="K638" s="984" t="s">
        <v>216</v>
      </c>
      <c r="L638" s="959">
        <v>120.0</v>
      </c>
      <c r="M638" s="960">
        <v>120.0</v>
      </c>
      <c r="N638" s="960">
        <v>120.0</v>
      </c>
      <c r="O638" s="960">
        <v>120.0</v>
      </c>
      <c r="P638" s="960">
        <v>120.0</v>
      </c>
      <c r="Q638" s="960">
        <v>120.0</v>
      </c>
      <c r="R638" s="960">
        <v>276.0</v>
      </c>
      <c r="S638" s="960">
        <v>339.0</v>
      </c>
      <c r="T638" s="960">
        <v>372.0</v>
      </c>
      <c r="U638" s="960">
        <f t="array" ref="U638">HLOOKUP($J638,'Type Chart'!$C$2:$T$20,2,false)*HLOOKUP($K638,'Type Chart'!$C$2:$U$20,2,false)</f>
        <v>1</v>
      </c>
      <c r="V638" s="960">
        <f t="array" ref="V638">HLOOKUP($J638,'Type Chart'!$C$2:$T$20,3,false)*HLOOKUP($K638,'Type Chart'!$C$2:$U$20,3,false)</f>
        <v>1</v>
      </c>
      <c r="W638" s="960">
        <f t="array" ref="W638">HLOOKUP($J638,'Type Chart'!$C$2:$T$20,4,false)*HLOOKUP($K638,'Type Chart'!$C$2:$U$20,4,false)</f>
        <v>1</v>
      </c>
      <c r="X638" s="960">
        <f t="array" ref="X638">HLOOKUP($J638,'Type Chart'!$C$2:$T$20,5,false)*HLOOKUP($K638,'Type Chart'!$C$2:$U$20,5,false)</f>
        <v>1</v>
      </c>
      <c r="Y638" s="960">
        <f t="array" ref="Y638">HLOOKUP($J638,'Type Chart'!$C$2:$T$20,6,false)*HLOOKUP($K638,'Type Chart'!$C$2:$U$20,6,false)</f>
        <v>1</v>
      </c>
      <c r="Z638" s="960">
        <f t="array" ref="Z638">HLOOKUP($J638,'Type Chart'!$C$2:$T$20,7,false)*HLOOKUP($K638,'Type Chart'!$C$2:$U$20,7,false)</f>
        <v>1</v>
      </c>
      <c r="AA638" s="960">
        <f t="array" ref="AA638">HLOOKUP($J638,'Type Chart'!$C$2:$T$20,8,false)*HLOOKUP($K638,'Type Chart'!$C$2:$U$20,8,false)</f>
        <v>1</v>
      </c>
      <c r="AB638" s="960">
        <f t="array" ref="AB638">HLOOKUP($J638,'Type Chart'!$C$2:$T$20,9,false)*HLOOKUP($K638,'Type Chart'!$C$2:$U$20,9,false)</f>
        <v>1</v>
      </c>
      <c r="AC638" s="960">
        <f t="array" ref="AC638">HLOOKUP($J638,'Type Chart'!$C$2:$T$20,10,false)*HLOOKUP($K638,'Type Chart'!$C$2:$U$20,10,false)</f>
        <v>0.5</v>
      </c>
      <c r="AD638" s="960">
        <f t="array" ref="AD638">HLOOKUP($J638,'Type Chart'!$C$2:$T$20,11,false)*HLOOKUP($K638,'Type Chart'!$C$2:$U$20,11,false)</f>
        <v>0.5</v>
      </c>
      <c r="AE638" s="960">
        <f t="array" ref="AE638">HLOOKUP($J638,'Type Chart'!$C$2:$T$20,12,false)*HLOOKUP($K638,'Type Chart'!$C$2:$U$20,12,false)</f>
        <v>0.5</v>
      </c>
      <c r="AF638" s="960">
        <f t="array" ref="AF638">HLOOKUP($J638,'Type Chart'!$C$2:$T$20,13,false)*HLOOKUP($K638,'Type Chart'!$C$2:$U$20,13,false)</f>
        <v>2</v>
      </c>
      <c r="AG638" s="960">
        <f t="array" ref="AG638">HLOOKUP($J638,'Type Chart'!$C$2:$T$20,14,false)*HLOOKUP($K638,'Type Chart'!$C$2:$U$20,14,false)</f>
        <v>2</v>
      </c>
      <c r="AH638" s="960">
        <f t="array" ref="AH638">HLOOKUP($J638,'Type Chart'!$C$2:$T$20,15,false)*HLOOKUP($K638,'Type Chart'!$C$2:$U$20,15,false)</f>
        <v>1</v>
      </c>
      <c r="AI638" s="960">
        <f t="array" ref="AI638">HLOOKUP($J638,'Type Chart'!$C$2:$T$20,16,false)*HLOOKUP($K638,'Type Chart'!$C$2:$U$20,16,false)</f>
        <v>0.5</v>
      </c>
      <c r="AJ638" s="960">
        <f t="array" ref="AJ638">HLOOKUP($J638,'Type Chart'!$C$2:$T$20,17,false)*HLOOKUP($K638,'Type Chart'!$C$2:$U$20,17,false)</f>
        <v>1</v>
      </c>
      <c r="AK638" s="960">
        <f t="array" ref="AK638">HLOOKUP($J638,'Type Chart'!$C$2:$T$20,18,false)*HLOOKUP($K638,'Type Chart'!$C$2:$U$20,18,false)</f>
        <v>1</v>
      </c>
      <c r="AL638" s="960">
        <f t="array" ref="AL638">HLOOKUP($J638,'Type Chart'!$C$2:$T$20,19,false)*HLOOKUP($K638,'Type Chart'!$C$2:$U$20,19,false)</f>
        <v>1</v>
      </c>
      <c r="AM638" s="964" t="s">
        <v>2742</v>
      </c>
      <c r="AN638" s="965"/>
      <c r="AO638" s="966"/>
      <c r="AP638" s="936"/>
      <c r="AQ638" s="967"/>
      <c r="AR638" s="968"/>
      <c r="AS638" s="936"/>
    </row>
    <row r="639" ht="15.75" customHeight="1">
      <c r="A639" s="936"/>
      <c r="B639" s="948" t="s">
        <v>2777</v>
      </c>
      <c r="C639" s="950" t="s">
        <v>2778</v>
      </c>
      <c r="D639" s="950" t="s">
        <v>2778</v>
      </c>
      <c r="E639" s="952" t="s">
        <v>2778</v>
      </c>
      <c r="F639" s="940"/>
      <c r="G639" s="953"/>
      <c r="H639" s="969"/>
      <c r="I639" s="956" t="s">
        <v>2779</v>
      </c>
      <c r="J639" s="1203" t="s">
        <v>344</v>
      </c>
      <c r="K639" s="982" t="s">
        <v>150</v>
      </c>
      <c r="L639" s="959">
        <v>100.0</v>
      </c>
      <c r="M639" s="960">
        <v>100.0</v>
      </c>
      <c r="N639" s="960">
        <v>100.0</v>
      </c>
      <c r="O639" s="960">
        <v>100.0</v>
      </c>
      <c r="P639" s="960">
        <v>100.0</v>
      </c>
      <c r="Q639" s="960">
        <v>100.0</v>
      </c>
      <c r="R639" s="960">
        <v>236.0</v>
      </c>
      <c r="S639" s="960">
        <v>299.0</v>
      </c>
      <c r="T639" s="960">
        <v>328.0</v>
      </c>
      <c r="U639" s="960">
        <f t="array" ref="U639">HLOOKUP($J639,'Type Chart'!$C$2:$T$20,2,false)*HLOOKUP($K639,'Type Chart'!$C$2:$U$20,2,false)</f>
        <v>1</v>
      </c>
      <c r="V639" s="960">
        <f t="array" ref="V639">HLOOKUP($J639,'Type Chart'!$C$2:$T$20,3,false)*HLOOKUP($K639,'Type Chart'!$C$2:$U$20,3,false)</f>
        <v>0.5</v>
      </c>
      <c r="W639" s="960">
        <f t="array" ref="W639">HLOOKUP($J639,'Type Chart'!$C$2:$T$20,4,false)*HLOOKUP($K639,'Type Chart'!$C$2:$U$20,4,false)</f>
        <v>1</v>
      </c>
      <c r="X639" s="960">
        <f t="array" ref="X639">HLOOKUP($J639,'Type Chart'!$C$2:$T$20,5,false)*HLOOKUP($K639,'Type Chart'!$C$2:$U$20,5,false)</f>
        <v>1</v>
      </c>
      <c r="Y639" s="960">
        <f t="array" ref="Y639">HLOOKUP($J639,'Type Chart'!$C$2:$T$20,6,false)*HLOOKUP($K639,'Type Chart'!$C$2:$U$20,6,false)</f>
        <v>2</v>
      </c>
      <c r="Z639" s="960">
        <f t="array" ref="Z639">HLOOKUP($J639,'Type Chart'!$C$2:$T$20,7,false)*HLOOKUP($K639,'Type Chart'!$C$2:$U$20,7,false)</f>
        <v>2</v>
      </c>
      <c r="AA639" s="960">
        <f t="array" ref="AA639">HLOOKUP($J639,'Type Chart'!$C$2:$T$20,8,false)*HLOOKUP($K639,'Type Chart'!$C$2:$U$20,8,false)</f>
        <v>1</v>
      </c>
      <c r="AB639" s="960">
        <f t="array" ref="AB639">HLOOKUP($J639,'Type Chart'!$C$2:$T$20,9,false)*HLOOKUP($K639,'Type Chart'!$C$2:$U$20,9,false)</f>
        <v>2</v>
      </c>
      <c r="AC639" s="960">
        <f t="array" ref="AC639">HLOOKUP($J639,'Type Chart'!$C$2:$T$20,10,false)*HLOOKUP($K639,'Type Chart'!$C$2:$U$20,10,false)</f>
        <v>0.5</v>
      </c>
      <c r="AD639" s="960">
        <f t="array" ref="AD639">HLOOKUP($J639,'Type Chart'!$C$2:$T$20,11,false)*HLOOKUP($K639,'Type Chart'!$C$2:$U$20,11,false)</f>
        <v>0.5</v>
      </c>
      <c r="AE639" s="960">
        <f t="array" ref="AE639">HLOOKUP($J639,'Type Chart'!$C$2:$T$20,12,false)*HLOOKUP($K639,'Type Chart'!$C$2:$U$20,12,false)</f>
        <v>2</v>
      </c>
      <c r="AF639" s="960">
        <f t="array" ref="AF639">HLOOKUP($J639,'Type Chart'!$C$2:$T$20,13,false)*HLOOKUP($K639,'Type Chart'!$C$2:$U$20,13,false)</f>
        <v>0.5</v>
      </c>
      <c r="AG639" s="960">
        <f t="array" ref="AG639">HLOOKUP($J639,'Type Chart'!$C$2:$T$20,14,false)*HLOOKUP($K639,'Type Chart'!$C$2:$U$20,14,false)</f>
        <v>1</v>
      </c>
      <c r="AH639" s="960">
        <f t="array" ref="AH639">HLOOKUP($J639,'Type Chart'!$C$2:$T$20,15,false)*HLOOKUP($K639,'Type Chart'!$C$2:$U$20,15,false)</f>
        <v>0.5</v>
      </c>
      <c r="AI639" s="960">
        <f t="array" ref="AI639">HLOOKUP($J639,'Type Chart'!$C$2:$T$20,16,false)*HLOOKUP($K639,'Type Chart'!$C$2:$U$20,16,false)</f>
        <v>0.5</v>
      </c>
      <c r="AJ639" s="960">
        <f t="array" ref="AJ639">HLOOKUP($J639,'Type Chart'!$C$2:$T$20,17,false)*HLOOKUP($K639,'Type Chart'!$C$2:$U$20,17,false)</f>
        <v>1</v>
      </c>
      <c r="AK639" s="960">
        <f t="array" ref="AK639">HLOOKUP($J639,'Type Chart'!$C$2:$T$20,18,false)*HLOOKUP($K639,'Type Chart'!$C$2:$U$20,18,false)</f>
        <v>2</v>
      </c>
      <c r="AL639" s="960">
        <f t="array" ref="AL639">HLOOKUP($J639,'Type Chart'!$C$2:$T$20,19,false)*HLOOKUP($K639,'Type Chart'!$C$2:$U$20,19,false)</f>
        <v>0.5</v>
      </c>
      <c r="AM639" s="964" t="s">
        <v>2780</v>
      </c>
      <c r="AN639" s="965"/>
      <c r="AO639" s="966"/>
      <c r="AP639" s="936"/>
      <c r="AQ639" s="967"/>
      <c r="AR639" s="968"/>
      <c r="AS639" s="936"/>
    </row>
    <row r="640" ht="15.75" customHeight="1">
      <c r="A640" s="936"/>
      <c r="B640" s="948" t="s">
        <v>2781</v>
      </c>
      <c r="C640" s="950" t="s">
        <v>2782</v>
      </c>
      <c r="D640" s="950" t="s">
        <v>2782</v>
      </c>
      <c r="E640" s="952" t="s">
        <v>2782</v>
      </c>
      <c r="F640" s="940"/>
      <c r="G640" s="953"/>
      <c r="H640" s="969"/>
      <c r="I640" s="956" t="s">
        <v>2783</v>
      </c>
      <c r="J640" s="957" t="s">
        <v>209</v>
      </c>
      <c r="K640" s="984" t="s">
        <v>216</v>
      </c>
      <c r="L640" s="959">
        <v>45.0</v>
      </c>
      <c r="M640" s="960">
        <v>45.0</v>
      </c>
      <c r="N640" s="960">
        <v>55.0</v>
      </c>
      <c r="O640" s="960">
        <v>45.0</v>
      </c>
      <c r="P640" s="960">
        <v>55.0</v>
      </c>
      <c r="Q640" s="960">
        <v>63.0</v>
      </c>
      <c r="R640" s="960">
        <v>162.0</v>
      </c>
      <c r="S640" s="960">
        <v>225.0</v>
      </c>
      <c r="T640" s="960">
        <v>247.0</v>
      </c>
      <c r="U640" s="960">
        <f t="array" ref="U640">HLOOKUP($J640,'Type Chart'!$C$2:$T$20,2,false)*HLOOKUP($K640,'Type Chart'!$C$2:$U$20,2,false)</f>
        <v>1</v>
      </c>
      <c r="V640" s="960">
        <f t="array" ref="V640">HLOOKUP($J640,'Type Chart'!$C$2:$T$20,3,false)*HLOOKUP($K640,'Type Chart'!$C$2:$U$20,3,false)</f>
        <v>1</v>
      </c>
      <c r="W640" s="960">
        <f t="array" ref="W640">HLOOKUP($J640,'Type Chart'!$C$2:$T$20,4,false)*HLOOKUP($K640,'Type Chart'!$C$2:$U$20,4,false)</f>
        <v>2</v>
      </c>
      <c r="X640" s="960">
        <f t="array" ref="X640">HLOOKUP($J640,'Type Chart'!$C$2:$T$20,5,false)*HLOOKUP($K640,'Type Chart'!$C$2:$U$20,5,false)</f>
        <v>2</v>
      </c>
      <c r="Y640" s="960">
        <f t="array" ref="Y640">HLOOKUP($J640,'Type Chart'!$C$2:$T$20,6,false)*HLOOKUP($K640,'Type Chart'!$C$2:$U$20,6,false)</f>
        <v>0.5</v>
      </c>
      <c r="Z640" s="960">
        <f t="array" ref="Z640">HLOOKUP($J640,'Type Chart'!$C$2:$T$20,7,false)*HLOOKUP($K640,'Type Chart'!$C$2:$U$20,7,false)</f>
        <v>1</v>
      </c>
      <c r="AA640" s="960">
        <f t="array" ref="AA640">HLOOKUP($J640,'Type Chart'!$C$2:$T$20,8,false)*HLOOKUP($K640,'Type Chart'!$C$2:$U$20,8,false)</f>
        <v>2</v>
      </c>
      <c r="AB640" s="960">
        <f t="array" ref="AB640">HLOOKUP($J640,'Type Chart'!$C$2:$T$20,9,false)*HLOOKUP($K640,'Type Chart'!$C$2:$U$20,9,false)</f>
        <v>1</v>
      </c>
      <c r="AC640" s="960">
        <f t="array" ref="AC640">HLOOKUP($J640,'Type Chart'!$C$2:$T$20,10,false)*HLOOKUP($K640,'Type Chart'!$C$2:$U$20,10,false)</f>
        <v>1</v>
      </c>
      <c r="AD640" s="960">
        <f t="array" ref="AD640">HLOOKUP($J640,'Type Chart'!$C$2:$T$20,11,false)*HLOOKUP($K640,'Type Chart'!$C$2:$U$20,11,false)</f>
        <v>2</v>
      </c>
      <c r="AE640" s="960">
        <f t="array" ref="AE640">HLOOKUP($J640,'Type Chart'!$C$2:$T$20,12,false)*HLOOKUP($K640,'Type Chart'!$C$2:$U$20,12,false)</f>
        <v>0.5</v>
      </c>
      <c r="AF640" s="960">
        <f t="array" ref="AF640">HLOOKUP($J640,'Type Chart'!$C$2:$T$20,13,false)*HLOOKUP($K640,'Type Chart'!$C$2:$U$20,13,false)</f>
        <v>0.5</v>
      </c>
      <c r="AG640" s="960">
        <f t="array" ref="AG640">HLOOKUP($J640,'Type Chart'!$C$2:$T$20,14,false)*HLOOKUP($K640,'Type Chart'!$C$2:$U$20,14,false)</f>
        <v>0.5</v>
      </c>
      <c r="AH640" s="960">
        <f t="array" ref="AH640">HLOOKUP($J640,'Type Chart'!$C$2:$T$20,15,false)*HLOOKUP($K640,'Type Chart'!$C$2:$U$20,15,false)</f>
        <v>1</v>
      </c>
      <c r="AI640" s="960">
        <f t="array" ref="AI640">HLOOKUP($J640,'Type Chart'!$C$2:$T$20,16,false)*HLOOKUP($K640,'Type Chart'!$C$2:$U$20,16,false)</f>
        <v>2</v>
      </c>
      <c r="AJ640" s="960">
        <f t="array" ref="AJ640">HLOOKUP($J640,'Type Chart'!$C$2:$T$20,17,false)*HLOOKUP($K640,'Type Chart'!$C$2:$U$20,17,false)</f>
        <v>1</v>
      </c>
      <c r="AK640" s="960">
        <f t="array" ref="AK640">HLOOKUP($J640,'Type Chart'!$C$2:$T$20,18,false)*HLOOKUP($K640,'Type Chart'!$C$2:$U$20,18,false)</f>
        <v>1</v>
      </c>
      <c r="AL640" s="960">
        <f t="array" ref="AL640">HLOOKUP($J640,'Type Chart'!$C$2:$T$20,19,false)*HLOOKUP($K640,'Type Chart'!$C$2:$U$20,19,false)</f>
        <v>1</v>
      </c>
      <c r="AM640" s="964" t="s">
        <v>522</v>
      </c>
      <c r="AN640" s="965"/>
      <c r="AO640" s="966" t="s">
        <v>1861</v>
      </c>
      <c r="AP640" s="936"/>
      <c r="AQ640" s="967"/>
      <c r="AR640" s="968"/>
      <c r="AS640" s="936"/>
    </row>
    <row r="641" ht="15.75" customHeight="1">
      <c r="A641" s="936"/>
      <c r="B641" s="948" t="s">
        <v>2784</v>
      </c>
      <c r="C641" s="950" t="s">
        <v>2785</v>
      </c>
      <c r="D641" s="950" t="s">
        <v>2785</v>
      </c>
      <c r="E641" s="952" t="s">
        <v>2785</v>
      </c>
      <c r="F641" s="940"/>
      <c r="G641" s="953"/>
      <c r="H641" s="969"/>
      <c r="I641" s="956" t="s">
        <v>802</v>
      </c>
      <c r="J641" s="957" t="s">
        <v>209</v>
      </c>
      <c r="K641" s="984" t="s">
        <v>216</v>
      </c>
      <c r="L641" s="959">
        <v>60.0</v>
      </c>
      <c r="M641" s="960">
        <v>60.0</v>
      </c>
      <c r="N641" s="960">
        <v>75.0</v>
      </c>
      <c r="O641" s="960">
        <v>60.0</v>
      </c>
      <c r="P641" s="960">
        <v>75.0</v>
      </c>
      <c r="Q641" s="960">
        <v>83.0</v>
      </c>
      <c r="R641" s="960">
        <v>202.0</v>
      </c>
      <c r="S641" s="960">
        <v>265.0</v>
      </c>
      <c r="T641" s="960">
        <v>291.0</v>
      </c>
      <c r="U641" s="960">
        <f t="array" ref="U641">HLOOKUP($J641,'Type Chart'!$C$2:$T$20,2,false)*HLOOKUP($K641,'Type Chart'!$C$2:$U$20,2,false)</f>
        <v>1</v>
      </c>
      <c r="V641" s="960">
        <f t="array" ref="V641">HLOOKUP($J641,'Type Chart'!$C$2:$T$20,3,false)*HLOOKUP($K641,'Type Chart'!$C$2:$U$20,3,false)</f>
        <v>1</v>
      </c>
      <c r="W641" s="960">
        <f t="array" ref="W641">HLOOKUP($J641,'Type Chart'!$C$2:$T$20,4,false)*HLOOKUP($K641,'Type Chart'!$C$2:$U$20,4,false)</f>
        <v>2</v>
      </c>
      <c r="X641" s="960">
        <f t="array" ref="X641">HLOOKUP($J641,'Type Chart'!$C$2:$T$20,5,false)*HLOOKUP($K641,'Type Chart'!$C$2:$U$20,5,false)</f>
        <v>2</v>
      </c>
      <c r="Y641" s="960">
        <f t="array" ref="Y641">HLOOKUP($J641,'Type Chart'!$C$2:$T$20,6,false)*HLOOKUP($K641,'Type Chart'!$C$2:$U$20,6,false)</f>
        <v>0.5</v>
      </c>
      <c r="Z641" s="960">
        <f t="array" ref="Z641">HLOOKUP($J641,'Type Chart'!$C$2:$T$20,7,false)*HLOOKUP($K641,'Type Chart'!$C$2:$U$20,7,false)</f>
        <v>1</v>
      </c>
      <c r="AA641" s="960">
        <f t="array" ref="AA641">HLOOKUP($J641,'Type Chart'!$C$2:$T$20,8,false)*HLOOKUP($K641,'Type Chart'!$C$2:$U$20,8,false)</f>
        <v>2</v>
      </c>
      <c r="AB641" s="960">
        <f t="array" ref="AB641">HLOOKUP($J641,'Type Chart'!$C$2:$T$20,9,false)*HLOOKUP($K641,'Type Chart'!$C$2:$U$20,9,false)</f>
        <v>1</v>
      </c>
      <c r="AC641" s="960">
        <f t="array" ref="AC641">HLOOKUP($J641,'Type Chart'!$C$2:$T$20,10,false)*HLOOKUP($K641,'Type Chart'!$C$2:$U$20,10,false)</f>
        <v>1</v>
      </c>
      <c r="AD641" s="960">
        <f t="array" ref="AD641">HLOOKUP($J641,'Type Chart'!$C$2:$T$20,11,false)*HLOOKUP($K641,'Type Chart'!$C$2:$U$20,11,false)</f>
        <v>2</v>
      </c>
      <c r="AE641" s="960">
        <f t="array" ref="AE641">HLOOKUP($J641,'Type Chart'!$C$2:$T$20,12,false)*HLOOKUP($K641,'Type Chart'!$C$2:$U$20,12,false)</f>
        <v>0.5</v>
      </c>
      <c r="AF641" s="960">
        <f t="array" ref="AF641">HLOOKUP($J641,'Type Chart'!$C$2:$T$20,13,false)*HLOOKUP($K641,'Type Chart'!$C$2:$U$20,13,false)</f>
        <v>0.5</v>
      </c>
      <c r="AG641" s="960">
        <f t="array" ref="AG641">HLOOKUP($J641,'Type Chart'!$C$2:$T$20,14,false)*HLOOKUP($K641,'Type Chart'!$C$2:$U$20,14,false)</f>
        <v>0.5</v>
      </c>
      <c r="AH641" s="960">
        <f t="array" ref="AH641">HLOOKUP($J641,'Type Chart'!$C$2:$T$20,15,false)*HLOOKUP($K641,'Type Chart'!$C$2:$U$20,15,false)</f>
        <v>1</v>
      </c>
      <c r="AI641" s="960">
        <f t="array" ref="AI641">HLOOKUP($J641,'Type Chart'!$C$2:$T$20,16,false)*HLOOKUP($K641,'Type Chart'!$C$2:$U$20,16,false)</f>
        <v>2</v>
      </c>
      <c r="AJ641" s="960">
        <f t="array" ref="AJ641">HLOOKUP($J641,'Type Chart'!$C$2:$T$20,17,false)*HLOOKUP($K641,'Type Chart'!$C$2:$U$20,17,false)</f>
        <v>1</v>
      </c>
      <c r="AK641" s="960">
        <f t="array" ref="AK641">HLOOKUP($J641,'Type Chart'!$C$2:$T$20,18,false)*HLOOKUP($K641,'Type Chart'!$C$2:$U$20,18,false)</f>
        <v>1</v>
      </c>
      <c r="AL641" s="960">
        <f t="array" ref="AL641">HLOOKUP($J641,'Type Chart'!$C$2:$T$20,19,false)*HLOOKUP($K641,'Type Chart'!$C$2:$U$20,19,false)</f>
        <v>1</v>
      </c>
      <c r="AM641" s="964" t="s">
        <v>522</v>
      </c>
      <c r="AN641" s="965"/>
      <c r="AO641" s="966" t="s">
        <v>1861</v>
      </c>
      <c r="AP641" s="936"/>
      <c r="AQ641" s="967"/>
      <c r="AR641" s="968"/>
      <c r="AS641" s="936"/>
    </row>
    <row r="642" ht="15.75" customHeight="1">
      <c r="A642" s="936"/>
      <c r="B642" s="948" t="s">
        <v>2786</v>
      </c>
      <c r="C642" s="950" t="s">
        <v>2787</v>
      </c>
      <c r="D642" s="950" t="s">
        <v>2787</v>
      </c>
      <c r="E642" s="952" t="s">
        <v>2787</v>
      </c>
      <c r="F642" s="940"/>
      <c r="G642" s="953"/>
      <c r="H642" s="969"/>
      <c r="I642" s="956" t="s">
        <v>487</v>
      </c>
      <c r="J642" s="957" t="s">
        <v>209</v>
      </c>
      <c r="K642" s="984" t="s">
        <v>216</v>
      </c>
      <c r="L642" s="959">
        <v>75.0</v>
      </c>
      <c r="M642" s="960">
        <v>75.0</v>
      </c>
      <c r="N642" s="960">
        <v>95.0</v>
      </c>
      <c r="O642" s="960">
        <v>75.0</v>
      </c>
      <c r="P642" s="960">
        <v>95.0</v>
      </c>
      <c r="Q642" s="960">
        <v>113.0</v>
      </c>
      <c r="R642" s="960">
        <v>262.0</v>
      </c>
      <c r="S642" s="960">
        <v>325.0</v>
      </c>
      <c r="T642" s="960">
        <v>357.0</v>
      </c>
      <c r="U642" s="960">
        <f t="array" ref="U642">HLOOKUP($J642,'Type Chart'!$C$2:$T$20,2,false)*HLOOKUP($K642,'Type Chart'!$C$2:$U$20,2,false)</f>
        <v>1</v>
      </c>
      <c r="V642" s="960">
        <f t="array" ref="V642">HLOOKUP($J642,'Type Chart'!$C$2:$T$20,3,false)*HLOOKUP($K642,'Type Chart'!$C$2:$U$20,3,false)</f>
        <v>1</v>
      </c>
      <c r="W642" s="960">
        <f t="array" ref="W642">HLOOKUP($J642,'Type Chart'!$C$2:$T$20,4,false)*HLOOKUP($K642,'Type Chart'!$C$2:$U$20,4,false)</f>
        <v>2</v>
      </c>
      <c r="X642" s="960">
        <f t="array" ref="X642">HLOOKUP($J642,'Type Chart'!$C$2:$T$20,5,false)*HLOOKUP($K642,'Type Chart'!$C$2:$U$20,5,false)</f>
        <v>2</v>
      </c>
      <c r="Y642" s="960">
        <f t="array" ref="Y642">HLOOKUP($J642,'Type Chart'!$C$2:$T$20,6,false)*HLOOKUP($K642,'Type Chart'!$C$2:$U$20,6,false)</f>
        <v>0.5</v>
      </c>
      <c r="Z642" s="960">
        <f t="array" ref="Z642">HLOOKUP($J642,'Type Chart'!$C$2:$T$20,7,false)*HLOOKUP($K642,'Type Chart'!$C$2:$U$20,7,false)</f>
        <v>1</v>
      </c>
      <c r="AA642" s="960">
        <f t="array" ref="AA642">HLOOKUP($J642,'Type Chart'!$C$2:$T$20,8,false)*HLOOKUP($K642,'Type Chart'!$C$2:$U$20,8,false)</f>
        <v>2</v>
      </c>
      <c r="AB642" s="960">
        <f t="array" ref="AB642">HLOOKUP($J642,'Type Chart'!$C$2:$T$20,9,false)*HLOOKUP($K642,'Type Chart'!$C$2:$U$20,9,false)</f>
        <v>1</v>
      </c>
      <c r="AC642" s="960">
        <f t="array" ref="AC642">HLOOKUP($J642,'Type Chart'!$C$2:$T$20,10,false)*HLOOKUP($K642,'Type Chart'!$C$2:$U$20,10,false)</f>
        <v>1</v>
      </c>
      <c r="AD642" s="960">
        <f t="array" ref="AD642">HLOOKUP($J642,'Type Chart'!$C$2:$T$20,11,false)*HLOOKUP($K642,'Type Chart'!$C$2:$U$20,11,false)</f>
        <v>2</v>
      </c>
      <c r="AE642" s="960">
        <f t="array" ref="AE642">HLOOKUP($J642,'Type Chart'!$C$2:$T$20,12,false)*HLOOKUP($K642,'Type Chart'!$C$2:$U$20,12,false)</f>
        <v>0.5</v>
      </c>
      <c r="AF642" s="960">
        <f t="array" ref="AF642">HLOOKUP($J642,'Type Chart'!$C$2:$T$20,13,false)*HLOOKUP($K642,'Type Chart'!$C$2:$U$20,13,false)</f>
        <v>0.5</v>
      </c>
      <c r="AG642" s="960">
        <f t="array" ref="AG642">HLOOKUP($J642,'Type Chart'!$C$2:$T$20,14,false)*HLOOKUP($K642,'Type Chart'!$C$2:$U$20,14,false)</f>
        <v>0.5</v>
      </c>
      <c r="AH642" s="960">
        <f t="array" ref="AH642">HLOOKUP($J642,'Type Chart'!$C$2:$T$20,15,false)*HLOOKUP($K642,'Type Chart'!$C$2:$U$20,15,false)</f>
        <v>1</v>
      </c>
      <c r="AI642" s="960">
        <f t="array" ref="AI642">HLOOKUP($J642,'Type Chart'!$C$2:$T$20,16,false)*HLOOKUP($K642,'Type Chart'!$C$2:$U$20,16,false)</f>
        <v>2</v>
      </c>
      <c r="AJ642" s="960">
        <f t="array" ref="AJ642">HLOOKUP($J642,'Type Chart'!$C$2:$T$20,17,false)*HLOOKUP($K642,'Type Chart'!$C$2:$U$20,17,false)</f>
        <v>1</v>
      </c>
      <c r="AK642" s="960">
        <f t="array" ref="AK642">HLOOKUP($J642,'Type Chart'!$C$2:$T$20,18,false)*HLOOKUP($K642,'Type Chart'!$C$2:$U$20,18,false)</f>
        <v>1</v>
      </c>
      <c r="AL642" s="960">
        <f t="array" ref="AL642">HLOOKUP($J642,'Type Chart'!$C$2:$T$20,19,false)*HLOOKUP($K642,'Type Chart'!$C$2:$U$20,19,false)</f>
        <v>1</v>
      </c>
      <c r="AM642" s="964" t="s">
        <v>522</v>
      </c>
      <c r="AN642" s="965"/>
      <c r="AO642" s="966" t="s">
        <v>1861</v>
      </c>
      <c r="AP642" s="936"/>
      <c r="AQ642" s="967"/>
      <c r="AR642" s="968"/>
      <c r="AS642" s="936"/>
    </row>
    <row r="643" ht="15.75" customHeight="1">
      <c r="A643" s="936"/>
      <c r="B643" s="948" t="s">
        <v>2788</v>
      </c>
      <c r="C643" s="950" t="s">
        <v>2789</v>
      </c>
      <c r="D643" s="950" t="s">
        <v>2789</v>
      </c>
      <c r="E643" s="952" t="s">
        <v>2789</v>
      </c>
      <c r="F643" s="940"/>
      <c r="G643" s="953"/>
      <c r="H643" s="969"/>
      <c r="I643" s="956" t="s">
        <v>2790</v>
      </c>
      <c r="J643" s="982" t="s">
        <v>150</v>
      </c>
      <c r="K643" s="984" t="s">
        <v>216</v>
      </c>
      <c r="L643" s="959">
        <v>65.0</v>
      </c>
      <c r="M643" s="960">
        <v>63.0</v>
      </c>
      <c r="N643" s="960">
        <v>45.0</v>
      </c>
      <c r="O643" s="960">
        <v>45.0</v>
      </c>
      <c r="P643" s="960">
        <v>45.0</v>
      </c>
      <c r="Q643" s="960">
        <v>45.0</v>
      </c>
      <c r="R643" s="960">
        <v>126.0</v>
      </c>
      <c r="S643" s="960">
        <v>189.0</v>
      </c>
      <c r="T643" s="960">
        <v>207.0</v>
      </c>
      <c r="U643" s="960">
        <f t="array" ref="U643">HLOOKUP($J643,'Type Chart'!$C$2:$T$20,2,false)*HLOOKUP($K643,'Type Chart'!$C$2:$U$20,2,false)</f>
        <v>1</v>
      </c>
      <c r="V643" s="960">
        <f t="array" ref="V643">HLOOKUP($J643,'Type Chart'!$C$2:$T$20,3,false)*HLOOKUP($K643,'Type Chart'!$C$2:$U$20,3,false)</f>
        <v>1</v>
      </c>
      <c r="W643" s="960">
        <f t="array" ref="W643">HLOOKUP($J643,'Type Chart'!$C$2:$T$20,4,false)*HLOOKUP($K643,'Type Chart'!$C$2:$U$20,4,false)</f>
        <v>1</v>
      </c>
      <c r="X643" s="960">
        <f t="array" ref="X643">HLOOKUP($J643,'Type Chart'!$C$2:$T$20,5,false)*HLOOKUP($K643,'Type Chart'!$C$2:$U$20,5,false)</f>
        <v>1</v>
      </c>
      <c r="Y643" s="960">
        <f t="array" ref="Y643">HLOOKUP($J643,'Type Chart'!$C$2:$T$20,6,false)*HLOOKUP($K643,'Type Chart'!$C$2:$U$20,6,false)</f>
        <v>2</v>
      </c>
      <c r="Z643" s="960">
        <f t="array" ref="Z643">HLOOKUP($J643,'Type Chart'!$C$2:$T$20,7,false)*HLOOKUP($K643,'Type Chart'!$C$2:$U$20,7,false)</f>
        <v>2</v>
      </c>
      <c r="AA643" s="960">
        <f t="array" ref="AA643">HLOOKUP($J643,'Type Chart'!$C$2:$T$20,8,false)*HLOOKUP($K643,'Type Chart'!$C$2:$U$20,8,false)</f>
        <v>0.5</v>
      </c>
      <c r="AB643" s="960">
        <f t="array" ref="AB643">HLOOKUP($J643,'Type Chart'!$C$2:$T$20,9,false)*HLOOKUP($K643,'Type Chart'!$C$2:$U$20,9,false)</f>
        <v>1</v>
      </c>
      <c r="AC643" s="960">
        <f t="array" ref="AC643">HLOOKUP($J643,'Type Chart'!$C$2:$T$20,10,false)*HLOOKUP($K643,'Type Chart'!$C$2:$U$20,10,false)</f>
        <v>0.5</v>
      </c>
      <c r="AD643" s="960">
        <f t="array" ref="AD643">HLOOKUP($J643,'Type Chart'!$C$2:$T$20,11,false)*HLOOKUP($K643,'Type Chart'!$C$2:$U$20,11,false)</f>
        <v>0.5</v>
      </c>
      <c r="AE643" s="960">
        <f t="array" ref="AE643">HLOOKUP($J643,'Type Chart'!$C$2:$T$20,12,false)*HLOOKUP($K643,'Type Chart'!$C$2:$U$20,12,false)</f>
        <v>2</v>
      </c>
      <c r="AF643" s="960">
        <f t="array" ref="AF643">HLOOKUP($J643,'Type Chart'!$C$2:$T$20,13,false)*HLOOKUP($K643,'Type Chart'!$C$2:$U$20,13,false)</f>
        <v>0.5</v>
      </c>
      <c r="AG643" s="960">
        <f t="array" ref="AG643">HLOOKUP($J643,'Type Chart'!$C$2:$T$20,14,false)*HLOOKUP($K643,'Type Chart'!$C$2:$U$20,14,false)</f>
        <v>1</v>
      </c>
      <c r="AH643" s="960">
        <f t="array" ref="AH643">HLOOKUP($J643,'Type Chart'!$C$2:$T$20,15,false)*HLOOKUP($K643,'Type Chart'!$C$2:$U$20,15,false)</f>
        <v>1</v>
      </c>
      <c r="AI643" s="960">
        <f t="array" ref="AI643">HLOOKUP($J643,'Type Chart'!$C$2:$T$20,16,false)*HLOOKUP($K643,'Type Chart'!$C$2:$U$20,16,false)</f>
        <v>0.5</v>
      </c>
      <c r="AJ643" s="960">
        <f t="array" ref="AJ643">HLOOKUP($J643,'Type Chart'!$C$2:$T$20,17,false)*HLOOKUP($K643,'Type Chart'!$C$2:$U$20,17,false)</f>
        <v>1</v>
      </c>
      <c r="AK643" s="960">
        <f t="array" ref="AK643">HLOOKUP($J643,'Type Chart'!$C$2:$T$20,18,false)*HLOOKUP($K643,'Type Chart'!$C$2:$U$20,18,false)</f>
        <v>1</v>
      </c>
      <c r="AL643" s="960">
        <f t="array" ref="AL643">HLOOKUP($J643,'Type Chart'!$C$2:$T$20,19,false)*HLOOKUP($K643,'Type Chart'!$C$2:$U$20,19,false)</f>
        <v>0.5</v>
      </c>
      <c r="AM643" s="964" t="s">
        <v>830</v>
      </c>
      <c r="AN643" s="965"/>
      <c r="AO643" s="966" t="s">
        <v>760</v>
      </c>
      <c r="AP643" s="936"/>
      <c r="AQ643" s="967"/>
      <c r="AR643" s="968"/>
      <c r="AS643" s="936"/>
    </row>
    <row r="644" ht="15.75" customHeight="1">
      <c r="A644" s="936"/>
      <c r="B644" s="948" t="s">
        <v>2791</v>
      </c>
      <c r="C644" s="950" t="s">
        <v>2792</v>
      </c>
      <c r="D644" s="950" t="s">
        <v>2792</v>
      </c>
      <c r="E644" s="952" t="s">
        <v>2792</v>
      </c>
      <c r="F644" s="940"/>
      <c r="G644" s="953"/>
      <c r="H644" s="969"/>
      <c r="I644" s="956" t="s">
        <v>899</v>
      </c>
      <c r="J644" s="982" t="s">
        <v>150</v>
      </c>
      <c r="K644" s="1213" t="s">
        <v>341</v>
      </c>
      <c r="L644" s="959">
        <v>90.0</v>
      </c>
      <c r="M644" s="960">
        <v>93.0</v>
      </c>
      <c r="N644" s="960">
        <v>55.0</v>
      </c>
      <c r="O644" s="960">
        <v>70.0</v>
      </c>
      <c r="P644" s="960">
        <v>55.0</v>
      </c>
      <c r="Q644" s="960">
        <v>55.0</v>
      </c>
      <c r="R644" s="960">
        <v>146.0</v>
      </c>
      <c r="S644" s="960">
        <v>209.0</v>
      </c>
      <c r="T644" s="960">
        <v>229.0</v>
      </c>
      <c r="U644" s="960">
        <f t="array" ref="U644">HLOOKUP($J644,'Type Chart'!$C$2:$T$20,2,false)*HLOOKUP($K644,'Type Chart'!$C$2:$U$20,2,false)</f>
        <v>1</v>
      </c>
      <c r="V644" s="960">
        <f t="array" ref="V644">HLOOKUP($J644,'Type Chart'!$C$2:$T$20,3,false)*HLOOKUP($K644,'Type Chart'!$C$2:$U$20,3,false)</f>
        <v>1</v>
      </c>
      <c r="W644" s="960">
        <f t="array" ref="W644">HLOOKUP($J644,'Type Chart'!$C$2:$T$20,4,false)*HLOOKUP($K644,'Type Chart'!$C$2:$U$20,4,false)</f>
        <v>2</v>
      </c>
      <c r="X644" s="960">
        <f t="array" ref="X644">HLOOKUP($J644,'Type Chart'!$C$2:$T$20,5,false)*HLOOKUP($K644,'Type Chart'!$C$2:$U$20,5,false)</f>
        <v>1</v>
      </c>
      <c r="Y644" s="960">
        <f t="array" ref="Y644">HLOOKUP($J644,'Type Chart'!$C$2:$T$20,6,false)*HLOOKUP($K644,'Type Chart'!$C$2:$U$20,6,false)</f>
        <v>2</v>
      </c>
      <c r="Z644" s="960">
        <f t="array" ref="Z644">HLOOKUP($J644,'Type Chart'!$C$2:$T$20,7,false)*HLOOKUP($K644,'Type Chart'!$C$2:$U$20,7,false)</f>
        <v>1</v>
      </c>
      <c r="AA644" s="960">
        <f t="array" ref="AA644">HLOOKUP($J644,'Type Chart'!$C$2:$T$20,8,false)*HLOOKUP($K644,'Type Chart'!$C$2:$U$20,8,false)</f>
        <v>0.25</v>
      </c>
      <c r="AB644" s="960">
        <f t="array" ref="AB644">HLOOKUP($J644,'Type Chart'!$C$2:$T$20,9,false)*HLOOKUP($K644,'Type Chart'!$C$2:$U$20,9,false)</f>
        <v>1</v>
      </c>
      <c r="AC644" s="960">
        <f t="array" ref="AC644">HLOOKUP($J644,'Type Chart'!$C$2:$T$20,10,false)*HLOOKUP($K644,'Type Chart'!$C$2:$U$20,10,false)</f>
        <v>0.5</v>
      </c>
      <c r="AD644" s="960">
        <f t="array" ref="AD644">HLOOKUP($J644,'Type Chart'!$C$2:$T$20,11,false)*HLOOKUP($K644,'Type Chart'!$C$2:$U$20,11,false)</f>
        <v>0.5</v>
      </c>
      <c r="AE644" s="960">
        <f t="array" ref="AE644">HLOOKUP($J644,'Type Chart'!$C$2:$T$20,12,false)*HLOOKUP($K644,'Type Chart'!$C$2:$U$20,12,false)</f>
        <v>2</v>
      </c>
      <c r="AF644" s="960">
        <f t="array" ref="AF644">HLOOKUP($J644,'Type Chart'!$C$2:$T$20,13,false)*HLOOKUP($K644,'Type Chart'!$C$2:$U$20,13,false)</f>
        <v>0.5</v>
      </c>
      <c r="AG644" s="960">
        <f t="array" ref="AG644">HLOOKUP($J644,'Type Chart'!$C$2:$T$20,14,false)*HLOOKUP($K644,'Type Chart'!$C$2:$U$20,14,false)</f>
        <v>1</v>
      </c>
      <c r="AH644" s="960">
        <f t="array" ref="AH644">HLOOKUP($J644,'Type Chart'!$C$2:$T$20,15,false)*HLOOKUP($K644,'Type Chart'!$C$2:$U$20,15,false)</f>
        <v>2</v>
      </c>
      <c r="AI644" s="960">
        <f t="array" ref="AI644">HLOOKUP($J644,'Type Chart'!$C$2:$T$20,16,false)*HLOOKUP($K644,'Type Chart'!$C$2:$U$20,16,false)</f>
        <v>0.5</v>
      </c>
      <c r="AJ644" s="960">
        <f t="array" ref="AJ644">HLOOKUP($J644,'Type Chart'!$C$2:$T$20,17,false)*HLOOKUP($K644,'Type Chart'!$C$2:$U$20,17,false)</f>
        <v>1</v>
      </c>
      <c r="AK644" s="960">
        <f t="array" ref="AK644">HLOOKUP($J644,'Type Chart'!$C$2:$T$20,18,false)*HLOOKUP($K644,'Type Chart'!$C$2:$U$20,18,false)</f>
        <v>0.5</v>
      </c>
      <c r="AL644" s="960">
        <f t="array" ref="AL644">HLOOKUP($J644,'Type Chart'!$C$2:$T$20,19,false)*HLOOKUP($K644,'Type Chart'!$C$2:$U$20,19,false)</f>
        <v>1</v>
      </c>
      <c r="AM644" s="964" t="s">
        <v>830</v>
      </c>
      <c r="AN644" s="965"/>
      <c r="AO644" s="966" t="s">
        <v>760</v>
      </c>
      <c r="AP644" s="936"/>
      <c r="AQ644" s="967"/>
      <c r="AR644" s="968"/>
      <c r="AS644" s="936"/>
    </row>
    <row r="645" ht="15.75" customHeight="1">
      <c r="A645" s="1099"/>
      <c r="B645" s="948" t="s">
        <v>2793</v>
      </c>
      <c r="C645" s="1197" t="s">
        <v>2794</v>
      </c>
      <c r="D645" s="1197" t="s">
        <v>2794</v>
      </c>
      <c r="E645" s="1147" t="s">
        <v>2794</v>
      </c>
      <c r="F645" s="940"/>
      <c r="G645" s="953"/>
      <c r="H645" s="969"/>
      <c r="I645" s="998" t="s">
        <v>608</v>
      </c>
      <c r="J645" s="1208" t="s">
        <v>150</v>
      </c>
      <c r="K645" s="1212" t="s">
        <v>341</v>
      </c>
      <c r="L645" s="1200">
        <v>110.0</v>
      </c>
      <c r="M645" s="1201">
        <v>123.0</v>
      </c>
      <c r="N645" s="1201">
        <v>65.0</v>
      </c>
      <c r="O645" s="1201">
        <v>100.0</v>
      </c>
      <c r="P645" s="1201">
        <v>65.0</v>
      </c>
      <c r="Q645" s="1201">
        <v>65.0</v>
      </c>
      <c r="R645" s="960">
        <v>166.0</v>
      </c>
      <c r="S645" s="960">
        <v>229.0</v>
      </c>
      <c r="T645" s="960">
        <v>251.0</v>
      </c>
      <c r="U645" s="960">
        <f t="array" ref="U645">HLOOKUP($J645,'Type Chart'!$C$2:$T$20,2,false)*HLOOKUP($K645,'Type Chart'!$C$2:$U$20,2,false)</f>
        <v>1</v>
      </c>
      <c r="V645" s="960">
        <f t="array" ref="V645">HLOOKUP($J645,'Type Chart'!$C$2:$T$20,3,false)*HLOOKUP($K645,'Type Chart'!$C$2:$U$20,3,false)</f>
        <v>1</v>
      </c>
      <c r="W645" s="960">
        <f t="array" ref="W645">HLOOKUP($J645,'Type Chart'!$C$2:$T$20,4,false)*HLOOKUP($K645,'Type Chart'!$C$2:$U$20,4,false)</f>
        <v>2</v>
      </c>
      <c r="X645" s="960">
        <f t="array" ref="X645">HLOOKUP($J645,'Type Chart'!$C$2:$T$20,5,false)*HLOOKUP($K645,'Type Chart'!$C$2:$U$20,5,false)</f>
        <v>1</v>
      </c>
      <c r="Y645" s="960">
        <f t="array" ref="Y645">HLOOKUP($J645,'Type Chart'!$C$2:$T$20,6,false)*HLOOKUP($K645,'Type Chart'!$C$2:$U$20,6,false)</f>
        <v>2</v>
      </c>
      <c r="Z645" s="960">
        <f t="array" ref="Z645">HLOOKUP($J645,'Type Chart'!$C$2:$T$20,7,false)*HLOOKUP($K645,'Type Chart'!$C$2:$U$20,7,false)</f>
        <v>1</v>
      </c>
      <c r="AA645" s="960">
        <f t="array" ref="AA645">HLOOKUP($J645,'Type Chart'!$C$2:$T$20,8,false)*HLOOKUP($K645,'Type Chart'!$C$2:$U$20,8,false)</f>
        <v>0.25</v>
      </c>
      <c r="AB645" s="960">
        <f t="array" ref="AB645">HLOOKUP($J645,'Type Chart'!$C$2:$T$20,9,false)*HLOOKUP($K645,'Type Chart'!$C$2:$U$20,9,false)</f>
        <v>1</v>
      </c>
      <c r="AC645" s="960">
        <f t="array" ref="AC645">HLOOKUP($J645,'Type Chart'!$C$2:$T$20,10,false)*HLOOKUP($K645,'Type Chart'!$C$2:$U$20,10,false)</f>
        <v>0.5</v>
      </c>
      <c r="AD645" s="960">
        <f t="array" ref="AD645">HLOOKUP($J645,'Type Chart'!$C$2:$T$20,11,false)*HLOOKUP($K645,'Type Chart'!$C$2:$U$20,11,false)</f>
        <v>0.5</v>
      </c>
      <c r="AE645" s="960">
        <f t="array" ref="AE645">HLOOKUP($J645,'Type Chart'!$C$2:$T$20,12,false)*HLOOKUP($K645,'Type Chart'!$C$2:$U$20,12,false)</f>
        <v>2</v>
      </c>
      <c r="AF645" s="960">
        <f t="array" ref="AF645">HLOOKUP($J645,'Type Chart'!$C$2:$T$20,13,false)*HLOOKUP($K645,'Type Chart'!$C$2:$U$20,13,false)</f>
        <v>0.5</v>
      </c>
      <c r="AG645" s="960">
        <f t="array" ref="AG645">HLOOKUP($J645,'Type Chart'!$C$2:$T$20,14,false)*HLOOKUP($K645,'Type Chart'!$C$2:$U$20,14,false)</f>
        <v>1</v>
      </c>
      <c r="AH645" s="960">
        <f t="array" ref="AH645">HLOOKUP($J645,'Type Chart'!$C$2:$T$20,15,false)*HLOOKUP($K645,'Type Chart'!$C$2:$U$20,15,false)</f>
        <v>2</v>
      </c>
      <c r="AI645" s="960">
        <f t="array" ref="AI645">HLOOKUP($J645,'Type Chart'!$C$2:$T$20,16,false)*HLOOKUP($K645,'Type Chart'!$C$2:$U$20,16,false)</f>
        <v>0.5</v>
      </c>
      <c r="AJ645" s="960">
        <f t="array" ref="AJ645">HLOOKUP($J645,'Type Chart'!$C$2:$T$20,17,false)*HLOOKUP($K645,'Type Chart'!$C$2:$U$20,17,false)</f>
        <v>1</v>
      </c>
      <c r="AK645" s="960">
        <f t="array" ref="AK645">HLOOKUP($J645,'Type Chart'!$C$2:$T$20,18,false)*HLOOKUP($K645,'Type Chart'!$C$2:$U$20,18,false)</f>
        <v>0.5</v>
      </c>
      <c r="AL645" s="960">
        <f t="array" ref="AL645">HLOOKUP($J645,'Type Chart'!$C$2:$T$20,19,false)*HLOOKUP($K645,'Type Chart'!$C$2:$U$20,19,false)</f>
        <v>1</v>
      </c>
      <c r="AM645" s="1145" t="s">
        <v>830</v>
      </c>
      <c r="AN645" s="1202"/>
      <c r="AO645" s="1146" t="s">
        <v>1497</v>
      </c>
      <c r="AP645" s="936"/>
      <c r="AQ645" s="967"/>
      <c r="AR645" s="968"/>
      <c r="AS645" s="936"/>
    </row>
    <row r="646" ht="15.75" customHeight="1">
      <c r="A646" s="936"/>
      <c r="B646" s="948" t="s">
        <v>2795</v>
      </c>
      <c r="C646" s="950" t="s">
        <v>2796</v>
      </c>
      <c r="D646" s="950" t="s">
        <v>2796</v>
      </c>
      <c r="E646" s="952" t="s">
        <v>2796</v>
      </c>
      <c r="F646" s="940"/>
      <c r="G646" s="953"/>
      <c r="H646" s="969"/>
      <c r="I646" s="956" t="s">
        <v>2797</v>
      </c>
      <c r="J646" s="1056" t="s">
        <v>81</v>
      </c>
      <c r="K646" s="984" t="s">
        <v>216</v>
      </c>
      <c r="L646" s="959">
        <v>55.0</v>
      </c>
      <c r="M646" s="960">
        <v>55.0</v>
      </c>
      <c r="N646" s="960">
        <v>45.0</v>
      </c>
      <c r="O646" s="960">
        <v>63.0</v>
      </c>
      <c r="P646" s="960">
        <v>45.0</v>
      </c>
      <c r="Q646" s="960">
        <v>45.0</v>
      </c>
      <c r="R646" s="960">
        <v>126.0</v>
      </c>
      <c r="S646" s="960">
        <v>189.0</v>
      </c>
      <c r="T646" s="960">
        <v>207.0</v>
      </c>
      <c r="U646" s="960">
        <f t="array" ref="U646">HLOOKUP($J646,'Type Chart'!$C$2:$T$20,2,false)*HLOOKUP($K646,'Type Chart'!$C$2:$U$20,2,false)</f>
        <v>1</v>
      </c>
      <c r="V646" s="960">
        <f t="array" ref="V646">HLOOKUP($J646,'Type Chart'!$C$2:$T$20,3,false)*HLOOKUP($K646,'Type Chart'!$C$2:$U$20,3,false)</f>
        <v>1</v>
      </c>
      <c r="W646" s="960">
        <f t="array" ref="W646">HLOOKUP($J646,'Type Chart'!$C$2:$T$20,4,false)*HLOOKUP($K646,'Type Chart'!$C$2:$U$20,4,false)</f>
        <v>1</v>
      </c>
      <c r="X646" s="960">
        <f t="array" ref="X646">HLOOKUP($J646,'Type Chart'!$C$2:$T$20,5,false)*HLOOKUP($K646,'Type Chart'!$C$2:$U$20,5,false)</f>
        <v>1</v>
      </c>
      <c r="Y646" s="960">
        <f t="array" ref="Y646">HLOOKUP($J646,'Type Chart'!$C$2:$T$20,6,false)*HLOOKUP($K646,'Type Chart'!$C$2:$U$20,6,false)</f>
        <v>1</v>
      </c>
      <c r="Z646" s="960">
        <f t="array" ref="Z646">HLOOKUP($J646,'Type Chart'!$C$2:$T$20,7,false)*HLOOKUP($K646,'Type Chart'!$C$2:$U$20,7,false)</f>
        <v>1</v>
      </c>
      <c r="AA646" s="960">
        <f t="array" ref="AA646">HLOOKUP($J646,'Type Chart'!$C$2:$T$20,8,false)*HLOOKUP($K646,'Type Chart'!$C$2:$U$20,8,false)</f>
        <v>1</v>
      </c>
      <c r="AB646" s="960">
        <f t="array" ref="AB646">HLOOKUP($J646,'Type Chart'!$C$2:$T$20,9,false)*HLOOKUP($K646,'Type Chart'!$C$2:$U$20,9,false)</f>
        <v>1</v>
      </c>
      <c r="AC646" s="960">
        <f t="array" ref="AC646">HLOOKUP($J646,'Type Chart'!$C$2:$T$20,10,false)*HLOOKUP($K646,'Type Chart'!$C$2:$U$20,10,false)</f>
        <v>0.5</v>
      </c>
      <c r="AD646" s="960">
        <f t="array" ref="AD646">HLOOKUP($J646,'Type Chart'!$C$2:$T$20,11,false)*HLOOKUP($K646,'Type Chart'!$C$2:$U$20,11,false)</f>
        <v>0.5</v>
      </c>
      <c r="AE646" s="960">
        <f t="array" ref="AE646">HLOOKUP($J646,'Type Chart'!$C$2:$T$20,12,false)*HLOOKUP($K646,'Type Chart'!$C$2:$U$20,12,false)</f>
        <v>0.5</v>
      </c>
      <c r="AF646" s="960">
        <f t="array" ref="AF646">HLOOKUP($J646,'Type Chart'!$C$2:$T$20,13,false)*HLOOKUP($K646,'Type Chart'!$C$2:$U$20,13,false)</f>
        <v>2</v>
      </c>
      <c r="AG646" s="960">
        <f t="array" ref="AG646">HLOOKUP($J646,'Type Chart'!$C$2:$T$20,14,false)*HLOOKUP($K646,'Type Chart'!$C$2:$U$20,14,false)</f>
        <v>2</v>
      </c>
      <c r="AH646" s="960">
        <f t="array" ref="AH646">HLOOKUP($J646,'Type Chart'!$C$2:$T$20,15,false)*HLOOKUP($K646,'Type Chart'!$C$2:$U$20,15,false)</f>
        <v>1</v>
      </c>
      <c r="AI646" s="960">
        <f t="array" ref="AI646">HLOOKUP($J646,'Type Chart'!$C$2:$T$20,16,false)*HLOOKUP($K646,'Type Chart'!$C$2:$U$20,16,false)</f>
        <v>0.5</v>
      </c>
      <c r="AJ646" s="960">
        <f t="array" ref="AJ646">HLOOKUP($J646,'Type Chart'!$C$2:$T$20,17,false)*HLOOKUP($K646,'Type Chart'!$C$2:$U$20,17,false)</f>
        <v>1</v>
      </c>
      <c r="AK646" s="960">
        <f t="array" ref="AK646">HLOOKUP($J646,'Type Chart'!$C$2:$T$20,18,false)*HLOOKUP($K646,'Type Chart'!$C$2:$U$20,18,false)</f>
        <v>1</v>
      </c>
      <c r="AL646" s="960">
        <f t="array" ref="AL646">HLOOKUP($J646,'Type Chart'!$C$2:$T$20,19,false)*HLOOKUP($K646,'Type Chart'!$C$2:$U$20,19,false)</f>
        <v>1</v>
      </c>
      <c r="AM646" s="964" t="s">
        <v>959</v>
      </c>
      <c r="AN646" s="965"/>
      <c r="AO646" s="966" t="s">
        <v>1385</v>
      </c>
      <c r="AP646" s="936"/>
      <c r="AQ646" s="967"/>
      <c r="AR646" s="968"/>
      <c r="AS646" s="936"/>
    </row>
    <row r="647" ht="15.75" customHeight="1">
      <c r="A647" s="1099"/>
      <c r="B647" s="948" t="s">
        <v>2798</v>
      </c>
      <c r="C647" s="1197" t="s">
        <v>2799</v>
      </c>
      <c r="D647" s="1197" t="s">
        <v>2799</v>
      </c>
      <c r="E647" s="1147" t="s">
        <v>2799</v>
      </c>
      <c r="F647" s="940"/>
      <c r="G647" s="953"/>
      <c r="H647" s="969"/>
      <c r="I647" s="998" t="s">
        <v>2800</v>
      </c>
      <c r="J647" s="1211" t="s">
        <v>81</v>
      </c>
      <c r="K647" s="1199" t="s">
        <v>216</v>
      </c>
      <c r="L647" s="1200">
        <v>75.0</v>
      </c>
      <c r="M647" s="1201">
        <v>75.0</v>
      </c>
      <c r="N647" s="1201">
        <v>60.0</v>
      </c>
      <c r="O647" s="1201">
        <v>83.0</v>
      </c>
      <c r="P647" s="1201">
        <v>60.0</v>
      </c>
      <c r="Q647" s="1201">
        <v>60.0</v>
      </c>
      <c r="R647" s="960">
        <v>156.0</v>
      </c>
      <c r="S647" s="960">
        <v>219.0</v>
      </c>
      <c r="T647" s="960">
        <v>240.0</v>
      </c>
      <c r="U647" s="960">
        <f t="array" ref="U647">HLOOKUP($J647,'Type Chart'!$C$2:$T$20,2,false)*HLOOKUP($K647,'Type Chart'!$C$2:$U$20,2,false)</f>
        <v>1</v>
      </c>
      <c r="V647" s="960">
        <f t="array" ref="V647">HLOOKUP($J647,'Type Chart'!$C$2:$T$20,3,false)*HLOOKUP($K647,'Type Chart'!$C$2:$U$20,3,false)</f>
        <v>1</v>
      </c>
      <c r="W647" s="960">
        <f t="array" ref="W647">HLOOKUP($J647,'Type Chart'!$C$2:$T$20,4,false)*HLOOKUP($K647,'Type Chart'!$C$2:$U$20,4,false)</f>
        <v>1</v>
      </c>
      <c r="X647" s="960">
        <f t="array" ref="X647">HLOOKUP($J647,'Type Chart'!$C$2:$T$20,5,false)*HLOOKUP($K647,'Type Chart'!$C$2:$U$20,5,false)</f>
        <v>1</v>
      </c>
      <c r="Y647" s="960">
        <f t="array" ref="Y647">HLOOKUP($J647,'Type Chart'!$C$2:$T$20,6,false)*HLOOKUP($K647,'Type Chart'!$C$2:$U$20,6,false)</f>
        <v>1</v>
      </c>
      <c r="Z647" s="960">
        <f t="array" ref="Z647">HLOOKUP($J647,'Type Chart'!$C$2:$T$20,7,false)*HLOOKUP($K647,'Type Chart'!$C$2:$U$20,7,false)</f>
        <v>1</v>
      </c>
      <c r="AA647" s="960">
        <f t="array" ref="AA647">HLOOKUP($J647,'Type Chart'!$C$2:$T$20,8,false)*HLOOKUP($K647,'Type Chart'!$C$2:$U$20,8,false)</f>
        <v>1</v>
      </c>
      <c r="AB647" s="960">
        <f t="array" ref="AB647">HLOOKUP($J647,'Type Chart'!$C$2:$T$20,9,false)*HLOOKUP($K647,'Type Chart'!$C$2:$U$20,9,false)</f>
        <v>1</v>
      </c>
      <c r="AC647" s="960">
        <f t="array" ref="AC647">HLOOKUP($J647,'Type Chart'!$C$2:$T$20,10,false)*HLOOKUP($K647,'Type Chart'!$C$2:$U$20,10,false)</f>
        <v>0.5</v>
      </c>
      <c r="AD647" s="960">
        <f t="array" ref="AD647">HLOOKUP($J647,'Type Chart'!$C$2:$T$20,11,false)*HLOOKUP($K647,'Type Chart'!$C$2:$U$20,11,false)</f>
        <v>0.5</v>
      </c>
      <c r="AE647" s="960">
        <f t="array" ref="AE647">HLOOKUP($J647,'Type Chart'!$C$2:$T$20,12,false)*HLOOKUP($K647,'Type Chart'!$C$2:$U$20,12,false)</f>
        <v>0.5</v>
      </c>
      <c r="AF647" s="960">
        <f t="array" ref="AF647">HLOOKUP($J647,'Type Chart'!$C$2:$T$20,13,false)*HLOOKUP($K647,'Type Chart'!$C$2:$U$20,13,false)</f>
        <v>2</v>
      </c>
      <c r="AG647" s="960">
        <f t="array" ref="AG647">HLOOKUP($J647,'Type Chart'!$C$2:$T$20,14,false)*HLOOKUP($K647,'Type Chart'!$C$2:$U$20,14,false)</f>
        <v>2</v>
      </c>
      <c r="AH647" s="960">
        <f t="array" ref="AH647">HLOOKUP($J647,'Type Chart'!$C$2:$T$20,15,false)*HLOOKUP($K647,'Type Chart'!$C$2:$U$20,15,false)</f>
        <v>1</v>
      </c>
      <c r="AI647" s="960">
        <f t="array" ref="AI647">HLOOKUP($J647,'Type Chart'!$C$2:$T$20,16,false)*HLOOKUP($K647,'Type Chart'!$C$2:$U$20,16,false)</f>
        <v>0.5</v>
      </c>
      <c r="AJ647" s="960">
        <f t="array" ref="AJ647">HLOOKUP($J647,'Type Chart'!$C$2:$T$20,17,false)*HLOOKUP($K647,'Type Chart'!$C$2:$U$20,17,false)</f>
        <v>1</v>
      </c>
      <c r="AK647" s="960">
        <f t="array" ref="AK647">HLOOKUP($J647,'Type Chart'!$C$2:$T$20,18,false)*HLOOKUP($K647,'Type Chart'!$C$2:$U$20,18,false)</f>
        <v>1</v>
      </c>
      <c r="AL647" s="960">
        <f t="array" ref="AL647">HLOOKUP($J647,'Type Chart'!$C$2:$T$20,19,false)*HLOOKUP($K647,'Type Chart'!$C$2:$U$20,19,false)</f>
        <v>1</v>
      </c>
      <c r="AM647" s="1145" t="s">
        <v>959</v>
      </c>
      <c r="AN647" s="1202"/>
      <c r="AO647" s="1146" t="s">
        <v>1385</v>
      </c>
      <c r="AP647" s="936"/>
      <c r="AQ647" s="967"/>
      <c r="AR647" s="968"/>
      <c r="AS647" s="936"/>
    </row>
    <row r="648" ht="15.75" customHeight="1">
      <c r="A648" s="936"/>
      <c r="B648" s="948" t="s">
        <v>2801</v>
      </c>
      <c r="C648" s="950" t="s">
        <v>2802</v>
      </c>
      <c r="D648" s="950" t="s">
        <v>2802</v>
      </c>
      <c r="E648" s="952" t="s">
        <v>2802</v>
      </c>
      <c r="F648" s="940"/>
      <c r="G648" s="953"/>
      <c r="H648" s="969"/>
      <c r="I648" s="956" t="s">
        <v>721</v>
      </c>
      <c r="J648" s="1056" t="s">
        <v>81</v>
      </c>
      <c r="K648" s="984" t="s">
        <v>216</v>
      </c>
      <c r="L648" s="959">
        <v>95.0</v>
      </c>
      <c r="M648" s="960">
        <v>100.0</v>
      </c>
      <c r="N648" s="960">
        <v>85.0</v>
      </c>
      <c r="O648" s="960">
        <v>108.0</v>
      </c>
      <c r="P648" s="960">
        <v>70.0</v>
      </c>
      <c r="Q648" s="960">
        <v>70.0</v>
      </c>
      <c r="R648" s="960">
        <v>176.0</v>
      </c>
      <c r="S648" s="960">
        <v>239.0</v>
      </c>
      <c r="T648" s="960">
        <v>262.0</v>
      </c>
      <c r="U648" s="960">
        <f t="array" ref="U648">HLOOKUP($J648,'Type Chart'!$C$2:$T$20,2,false)*HLOOKUP($K648,'Type Chart'!$C$2:$U$20,2,false)</f>
        <v>1</v>
      </c>
      <c r="V648" s="960">
        <f t="array" ref="V648">HLOOKUP($J648,'Type Chart'!$C$2:$T$20,3,false)*HLOOKUP($K648,'Type Chart'!$C$2:$U$20,3,false)</f>
        <v>1</v>
      </c>
      <c r="W648" s="960">
        <f t="array" ref="W648">HLOOKUP($J648,'Type Chart'!$C$2:$T$20,4,false)*HLOOKUP($K648,'Type Chart'!$C$2:$U$20,4,false)</f>
        <v>1</v>
      </c>
      <c r="X648" s="960">
        <f t="array" ref="X648">HLOOKUP($J648,'Type Chart'!$C$2:$T$20,5,false)*HLOOKUP($K648,'Type Chart'!$C$2:$U$20,5,false)</f>
        <v>1</v>
      </c>
      <c r="Y648" s="960">
        <f t="array" ref="Y648">HLOOKUP($J648,'Type Chart'!$C$2:$T$20,6,false)*HLOOKUP($K648,'Type Chart'!$C$2:$U$20,6,false)</f>
        <v>1</v>
      </c>
      <c r="Z648" s="960">
        <f t="array" ref="Z648">HLOOKUP($J648,'Type Chart'!$C$2:$T$20,7,false)*HLOOKUP($K648,'Type Chart'!$C$2:$U$20,7,false)</f>
        <v>1</v>
      </c>
      <c r="AA648" s="960">
        <f t="array" ref="AA648">HLOOKUP($J648,'Type Chart'!$C$2:$T$20,8,false)*HLOOKUP($K648,'Type Chart'!$C$2:$U$20,8,false)</f>
        <v>1</v>
      </c>
      <c r="AB648" s="960">
        <f t="array" ref="AB648">HLOOKUP($J648,'Type Chart'!$C$2:$T$20,9,false)*HLOOKUP($K648,'Type Chart'!$C$2:$U$20,9,false)</f>
        <v>1</v>
      </c>
      <c r="AC648" s="960">
        <f t="array" ref="AC648">HLOOKUP($J648,'Type Chart'!$C$2:$T$20,10,false)*HLOOKUP($K648,'Type Chart'!$C$2:$U$20,10,false)</f>
        <v>0.5</v>
      </c>
      <c r="AD648" s="960">
        <f t="array" ref="AD648">HLOOKUP($J648,'Type Chart'!$C$2:$T$20,11,false)*HLOOKUP($K648,'Type Chart'!$C$2:$U$20,11,false)</f>
        <v>0.5</v>
      </c>
      <c r="AE648" s="960">
        <f t="array" ref="AE648">HLOOKUP($J648,'Type Chart'!$C$2:$T$20,12,false)*HLOOKUP($K648,'Type Chart'!$C$2:$U$20,12,false)</f>
        <v>0.5</v>
      </c>
      <c r="AF648" s="960">
        <f t="array" ref="AF648">HLOOKUP($J648,'Type Chart'!$C$2:$T$20,13,false)*HLOOKUP($K648,'Type Chart'!$C$2:$U$20,13,false)</f>
        <v>2</v>
      </c>
      <c r="AG648" s="960">
        <f t="array" ref="AG648">HLOOKUP($J648,'Type Chart'!$C$2:$T$20,14,false)*HLOOKUP($K648,'Type Chart'!$C$2:$U$20,14,false)</f>
        <v>2</v>
      </c>
      <c r="AH648" s="960">
        <f t="array" ref="AH648">HLOOKUP($J648,'Type Chart'!$C$2:$T$20,15,false)*HLOOKUP($K648,'Type Chart'!$C$2:$U$20,15,false)</f>
        <v>1</v>
      </c>
      <c r="AI648" s="960">
        <f t="array" ref="AI648">HLOOKUP($J648,'Type Chart'!$C$2:$T$20,16,false)*HLOOKUP($K648,'Type Chart'!$C$2:$U$20,16,false)</f>
        <v>0.5</v>
      </c>
      <c r="AJ648" s="960">
        <f t="array" ref="AJ648">HLOOKUP($J648,'Type Chart'!$C$2:$T$20,17,false)*HLOOKUP($K648,'Type Chart'!$C$2:$U$20,17,false)</f>
        <v>1</v>
      </c>
      <c r="AK648" s="960">
        <f t="array" ref="AK648">HLOOKUP($J648,'Type Chart'!$C$2:$T$20,18,false)*HLOOKUP($K648,'Type Chart'!$C$2:$U$20,18,false)</f>
        <v>1</v>
      </c>
      <c r="AL648" s="960">
        <f t="array" ref="AL648">HLOOKUP($J648,'Type Chart'!$C$2:$T$20,19,false)*HLOOKUP($K648,'Type Chart'!$C$2:$U$20,19,false)</f>
        <v>1</v>
      </c>
      <c r="AM648" s="964" t="s">
        <v>959</v>
      </c>
      <c r="AN648" s="965"/>
      <c r="AO648" s="966" t="s">
        <v>1385</v>
      </c>
      <c r="AP648" s="936"/>
      <c r="AQ648" s="967"/>
      <c r="AR648" s="968"/>
      <c r="AS648" s="936"/>
    </row>
    <row r="649" ht="15.75" customHeight="1">
      <c r="A649" s="936"/>
      <c r="B649" s="948" t="s">
        <v>2803</v>
      </c>
      <c r="C649" s="950" t="str">
        <f t="shared" ref="C649:E649" si="10">C648&amp;"-hisui"</f>
        <v>samurott-hisui</v>
      </c>
      <c r="D649" s="950" t="str">
        <f t="shared" si="10"/>
        <v>samurott-hisui</v>
      </c>
      <c r="E649" s="952" t="str">
        <f t="shared" si="10"/>
        <v>samurott-hisui</v>
      </c>
      <c r="F649" s="940"/>
      <c r="G649" s="953"/>
      <c r="H649" s="969"/>
      <c r="I649" s="956" t="s">
        <v>121</v>
      </c>
      <c r="J649" s="1056" t="s">
        <v>81</v>
      </c>
      <c r="K649" s="1195" t="s">
        <v>193</v>
      </c>
      <c r="L649" s="959">
        <v>90.0</v>
      </c>
      <c r="M649" s="960">
        <v>108.0</v>
      </c>
      <c r="N649" s="960">
        <v>80.0</v>
      </c>
      <c r="O649" s="960">
        <v>100.0</v>
      </c>
      <c r="P649" s="960">
        <v>65.0</v>
      </c>
      <c r="Q649" s="960">
        <v>85.0</v>
      </c>
      <c r="R649" s="960">
        <v>206.0</v>
      </c>
      <c r="S649" s="960">
        <v>269.0</v>
      </c>
      <c r="T649" s="960">
        <v>295.0</v>
      </c>
      <c r="U649" s="960">
        <f t="array" ref="U649">HLOOKUP($J649,'Type Chart'!$C$2:$T$20,2,false)*HLOOKUP($K649,'Type Chart'!$C$2:$U$20,2,false)</f>
        <v>1</v>
      </c>
      <c r="V649" s="960">
        <f t="array" ref="V649">HLOOKUP($J649,'Type Chart'!$C$2:$T$20,3,false)*HLOOKUP($K649,'Type Chart'!$C$2:$U$20,3,false)</f>
        <v>2</v>
      </c>
      <c r="W649" s="960">
        <f t="array" ref="W649">HLOOKUP($J649,'Type Chart'!$C$2:$T$20,4,false)*HLOOKUP($K649,'Type Chart'!$C$2:$U$20,4,false)</f>
        <v>1</v>
      </c>
      <c r="X649" s="960">
        <f t="array" ref="X649">HLOOKUP($J649,'Type Chart'!$C$2:$T$20,5,false)*HLOOKUP($K649,'Type Chart'!$C$2:$U$20,5,false)</f>
        <v>1</v>
      </c>
      <c r="Y649" s="960">
        <f t="array" ref="Y649">HLOOKUP($J649,'Type Chart'!$C$2:$T$20,6,false)*HLOOKUP($K649,'Type Chart'!$C$2:$U$20,6,false)</f>
        <v>1</v>
      </c>
      <c r="Z649" s="960">
        <f t="array" ref="Z649">HLOOKUP($J649,'Type Chart'!$C$2:$T$20,7,false)*HLOOKUP($K649,'Type Chart'!$C$2:$U$20,7,false)</f>
        <v>1</v>
      </c>
      <c r="AA649" s="960">
        <f t="array" ref="AA649">HLOOKUP($J649,'Type Chart'!$C$2:$T$20,8,false)*HLOOKUP($K649,'Type Chart'!$C$2:$U$20,8,false)</f>
        <v>2</v>
      </c>
      <c r="AB649" s="960">
        <f t="array" ref="AB649">HLOOKUP($J649,'Type Chart'!$C$2:$T$20,9,false)*HLOOKUP($K649,'Type Chart'!$C$2:$U$20,9,false)</f>
        <v>0.5</v>
      </c>
      <c r="AC649" s="960">
        <f t="array" ref="AC649">HLOOKUP($J649,'Type Chart'!$C$2:$T$20,10,false)*HLOOKUP($K649,'Type Chart'!$C$2:$U$20,10,false)</f>
        <v>0.5</v>
      </c>
      <c r="AD649" s="960">
        <f t="array" ref="AD649">HLOOKUP($J649,'Type Chart'!$C$2:$T$20,11,false)*HLOOKUP($K649,'Type Chart'!$C$2:$U$20,11,false)</f>
        <v>0.5</v>
      </c>
      <c r="AE649" s="960">
        <f t="array" ref="AE649">HLOOKUP($J649,'Type Chart'!$C$2:$T$20,12,false)*HLOOKUP($K649,'Type Chart'!$C$2:$U$20,12,false)</f>
        <v>0.5</v>
      </c>
      <c r="AF649" s="960">
        <f t="array" ref="AF649">HLOOKUP($J649,'Type Chart'!$C$2:$T$20,13,false)*HLOOKUP($K649,'Type Chart'!$C$2:$U$20,13,false)</f>
        <v>2</v>
      </c>
      <c r="AG649" s="960">
        <f t="array" ref="AG649">HLOOKUP($J649,'Type Chart'!$C$2:$T$20,14,false)*HLOOKUP($K649,'Type Chart'!$C$2:$U$20,14,false)</f>
        <v>2</v>
      </c>
      <c r="AH649" s="960">
        <f t="array" ref="AH649">HLOOKUP($J649,'Type Chart'!$C$2:$T$20,15,false)*HLOOKUP($K649,'Type Chart'!$C$2:$U$20,15,false)</f>
        <v>0</v>
      </c>
      <c r="AI649" s="960">
        <f t="array" ref="AI649">HLOOKUP($J649,'Type Chart'!$C$2:$T$20,16,false)*HLOOKUP($K649,'Type Chart'!$C$2:$U$20,16,false)</f>
        <v>0.5</v>
      </c>
      <c r="AJ649" s="960">
        <f t="array" ref="AJ649">HLOOKUP($J649,'Type Chart'!$C$2:$T$20,17,false)*HLOOKUP($K649,'Type Chart'!$C$2:$U$20,17,false)</f>
        <v>1</v>
      </c>
      <c r="AK649" s="960">
        <f t="array" ref="AK649">HLOOKUP($J649,'Type Chart'!$C$2:$T$20,18,false)*HLOOKUP($K649,'Type Chart'!$C$2:$U$20,18,false)</f>
        <v>0.5</v>
      </c>
      <c r="AL649" s="960">
        <f t="array" ref="AL649">HLOOKUP($J649,'Type Chart'!$C$2:$T$20,19,false)*HLOOKUP($K649,'Type Chart'!$C$2:$U$20,19,false)</f>
        <v>2</v>
      </c>
      <c r="AM649" s="964" t="s">
        <v>959</v>
      </c>
      <c r="AN649" s="965"/>
      <c r="AO649" s="966" t="s">
        <v>2804</v>
      </c>
      <c r="AP649" s="936"/>
      <c r="AQ649" s="967"/>
      <c r="AR649" s="968"/>
      <c r="AS649" s="936"/>
    </row>
    <row r="650" ht="15.75" customHeight="1">
      <c r="A650" s="936"/>
      <c r="B650" s="948" t="s">
        <v>2805</v>
      </c>
      <c r="C650" s="950" t="s">
        <v>2806</v>
      </c>
      <c r="D650" s="950" t="s">
        <v>2806</v>
      </c>
      <c r="E650" s="952" t="s">
        <v>2806</v>
      </c>
      <c r="F650" s="940"/>
      <c r="G650" s="953"/>
      <c r="H650" s="969"/>
      <c r="I650" s="956" t="s">
        <v>2807</v>
      </c>
      <c r="J650" s="1194" t="s">
        <v>136</v>
      </c>
      <c r="K650" s="984" t="s">
        <v>216</v>
      </c>
      <c r="L650" s="959">
        <v>45.0</v>
      </c>
      <c r="M650" s="960">
        <v>55.0</v>
      </c>
      <c r="N650" s="960">
        <v>39.0</v>
      </c>
      <c r="O650" s="960">
        <v>35.0</v>
      </c>
      <c r="P650" s="960">
        <v>39.0</v>
      </c>
      <c r="Q650" s="960">
        <v>42.0</v>
      </c>
      <c r="R650" s="960">
        <v>120.0</v>
      </c>
      <c r="S650" s="960">
        <v>183.0</v>
      </c>
      <c r="T650" s="960">
        <v>201.0</v>
      </c>
      <c r="U650" s="960">
        <f t="array" ref="U650">HLOOKUP($J650,'Type Chart'!$C$2:$T$20,2,false)*HLOOKUP($K650,'Type Chart'!$C$2:$U$20,2,false)</f>
        <v>1</v>
      </c>
      <c r="V650" s="960">
        <f t="array" ref="V650">HLOOKUP($J650,'Type Chart'!$C$2:$T$20,3,false)*HLOOKUP($K650,'Type Chart'!$C$2:$U$20,3,false)</f>
        <v>2</v>
      </c>
      <c r="W650" s="960">
        <f t="array" ref="W650">HLOOKUP($J650,'Type Chart'!$C$2:$T$20,4,false)*HLOOKUP($K650,'Type Chart'!$C$2:$U$20,4,false)</f>
        <v>1</v>
      </c>
      <c r="X650" s="960">
        <f t="array" ref="X650">HLOOKUP($J650,'Type Chart'!$C$2:$T$20,5,false)*HLOOKUP($K650,'Type Chart'!$C$2:$U$20,5,false)</f>
        <v>1</v>
      </c>
      <c r="Y650" s="960">
        <f t="array" ref="Y650">HLOOKUP($J650,'Type Chart'!$C$2:$T$20,6,false)*HLOOKUP($K650,'Type Chart'!$C$2:$U$20,6,false)</f>
        <v>1</v>
      </c>
      <c r="Z650" s="960">
        <f t="array" ref="Z650">HLOOKUP($J650,'Type Chart'!$C$2:$T$20,7,false)*HLOOKUP($K650,'Type Chart'!$C$2:$U$20,7,false)</f>
        <v>1</v>
      </c>
      <c r="AA650" s="960">
        <f t="array" ref="AA650">HLOOKUP($J650,'Type Chart'!$C$2:$T$20,8,false)*HLOOKUP($K650,'Type Chart'!$C$2:$U$20,8,false)</f>
        <v>1</v>
      </c>
      <c r="AB650" s="960">
        <f t="array" ref="AB650">HLOOKUP($J650,'Type Chart'!$C$2:$T$20,9,false)*HLOOKUP($K650,'Type Chart'!$C$2:$U$20,9,false)</f>
        <v>0</v>
      </c>
      <c r="AC650" s="960">
        <f t="array" ref="AC650">HLOOKUP($J650,'Type Chart'!$C$2:$T$20,10,false)*HLOOKUP($K650,'Type Chart'!$C$2:$U$20,10,false)</f>
        <v>1</v>
      </c>
      <c r="AD650" s="960">
        <f t="array" ref="AD650">HLOOKUP($J650,'Type Chart'!$C$2:$T$20,11,false)*HLOOKUP($K650,'Type Chart'!$C$2:$U$20,11,false)</f>
        <v>1</v>
      </c>
      <c r="AE650" s="960">
        <f t="array" ref="AE650">HLOOKUP($J650,'Type Chart'!$C$2:$T$20,12,false)*HLOOKUP($K650,'Type Chart'!$C$2:$U$20,12,false)</f>
        <v>1</v>
      </c>
      <c r="AF650" s="960">
        <f t="array" ref="AF650">HLOOKUP($J650,'Type Chart'!$C$2:$T$20,13,false)*HLOOKUP($K650,'Type Chart'!$C$2:$U$20,13,false)</f>
        <v>1</v>
      </c>
      <c r="AG650" s="960">
        <f t="array" ref="AG650">HLOOKUP($J650,'Type Chart'!$C$2:$T$20,14,false)*HLOOKUP($K650,'Type Chart'!$C$2:$U$20,14,false)</f>
        <v>1</v>
      </c>
      <c r="AH650" s="960">
        <f t="array" ref="AH650">HLOOKUP($J650,'Type Chart'!$C$2:$T$20,15,false)*HLOOKUP($K650,'Type Chart'!$C$2:$U$20,15,false)</f>
        <v>1</v>
      </c>
      <c r="AI650" s="960">
        <f t="array" ref="AI650">HLOOKUP($J650,'Type Chart'!$C$2:$T$20,16,false)*HLOOKUP($K650,'Type Chart'!$C$2:$U$20,16,false)</f>
        <v>1</v>
      </c>
      <c r="AJ650" s="960">
        <f t="array" ref="AJ650">HLOOKUP($J650,'Type Chart'!$C$2:$T$20,17,false)*HLOOKUP($K650,'Type Chart'!$C$2:$U$20,17,false)</f>
        <v>1</v>
      </c>
      <c r="AK650" s="960">
        <f t="array" ref="AK650">HLOOKUP($J650,'Type Chart'!$C$2:$T$20,18,false)*HLOOKUP($K650,'Type Chart'!$C$2:$U$20,18,false)</f>
        <v>1</v>
      </c>
      <c r="AL650" s="960">
        <f t="array" ref="AL650">HLOOKUP($J650,'Type Chart'!$C$2:$T$20,19,false)*HLOOKUP($K650,'Type Chart'!$C$2:$U$20,19,false)</f>
        <v>1</v>
      </c>
      <c r="AM650" s="964" t="s">
        <v>988</v>
      </c>
      <c r="AN650" s="965" t="s">
        <v>1022</v>
      </c>
      <c r="AO650" s="966" t="s">
        <v>1389</v>
      </c>
      <c r="AP650" s="936"/>
      <c r="AQ650" s="967"/>
      <c r="AR650" s="968"/>
      <c r="AS650" s="936"/>
    </row>
    <row r="651" ht="15.75" customHeight="1">
      <c r="A651" s="936"/>
      <c r="B651" s="948" t="s">
        <v>2808</v>
      </c>
      <c r="C651" s="950" t="s">
        <v>2809</v>
      </c>
      <c r="D651" s="950" t="s">
        <v>2809</v>
      </c>
      <c r="E651" s="952" t="s">
        <v>2809</v>
      </c>
      <c r="F651" s="940"/>
      <c r="G651" s="953"/>
      <c r="H651" s="969"/>
      <c r="I651" s="998" t="s">
        <v>2810</v>
      </c>
      <c r="J651" s="1194" t="s">
        <v>136</v>
      </c>
      <c r="K651" s="984" t="s">
        <v>216</v>
      </c>
      <c r="L651" s="959">
        <v>60.0</v>
      </c>
      <c r="M651" s="960">
        <v>85.0</v>
      </c>
      <c r="N651" s="960">
        <v>69.0</v>
      </c>
      <c r="O651" s="960">
        <v>60.0</v>
      </c>
      <c r="P651" s="960">
        <v>69.0</v>
      </c>
      <c r="Q651" s="960">
        <v>77.0</v>
      </c>
      <c r="R651" s="960">
        <v>190.0</v>
      </c>
      <c r="S651" s="960">
        <v>253.0</v>
      </c>
      <c r="T651" s="960">
        <v>278.0</v>
      </c>
      <c r="U651" s="960">
        <f t="array" ref="U651">HLOOKUP($J651,'Type Chart'!$C$2:$T$20,2,false)*HLOOKUP($K651,'Type Chart'!$C$2:$U$20,2,false)</f>
        <v>1</v>
      </c>
      <c r="V651" s="960">
        <f t="array" ref="V651">HLOOKUP($J651,'Type Chart'!$C$2:$T$20,3,false)*HLOOKUP($K651,'Type Chart'!$C$2:$U$20,3,false)</f>
        <v>2</v>
      </c>
      <c r="W651" s="960">
        <f t="array" ref="W651">HLOOKUP($J651,'Type Chart'!$C$2:$T$20,4,false)*HLOOKUP($K651,'Type Chart'!$C$2:$U$20,4,false)</f>
        <v>1</v>
      </c>
      <c r="X651" s="960">
        <f t="array" ref="X651">HLOOKUP($J651,'Type Chart'!$C$2:$T$20,5,false)*HLOOKUP($K651,'Type Chart'!$C$2:$U$20,5,false)</f>
        <v>1</v>
      </c>
      <c r="Y651" s="960">
        <f t="array" ref="Y651">HLOOKUP($J651,'Type Chart'!$C$2:$T$20,6,false)*HLOOKUP($K651,'Type Chart'!$C$2:$U$20,6,false)</f>
        <v>1</v>
      </c>
      <c r="Z651" s="960">
        <f t="array" ref="Z651">HLOOKUP($J651,'Type Chart'!$C$2:$T$20,7,false)*HLOOKUP($K651,'Type Chart'!$C$2:$U$20,7,false)</f>
        <v>1</v>
      </c>
      <c r="AA651" s="960">
        <f t="array" ref="AA651">HLOOKUP($J651,'Type Chart'!$C$2:$T$20,8,false)*HLOOKUP($K651,'Type Chart'!$C$2:$U$20,8,false)</f>
        <v>1</v>
      </c>
      <c r="AB651" s="960">
        <f t="array" ref="AB651">HLOOKUP($J651,'Type Chart'!$C$2:$T$20,9,false)*HLOOKUP($K651,'Type Chart'!$C$2:$U$20,9,false)</f>
        <v>0</v>
      </c>
      <c r="AC651" s="960">
        <f t="array" ref="AC651">HLOOKUP($J651,'Type Chart'!$C$2:$T$20,10,false)*HLOOKUP($K651,'Type Chart'!$C$2:$U$20,10,false)</f>
        <v>1</v>
      </c>
      <c r="AD651" s="960">
        <f t="array" ref="AD651">HLOOKUP($J651,'Type Chart'!$C$2:$T$20,11,false)*HLOOKUP($K651,'Type Chart'!$C$2:$U$20,11,false)</f>
        <v>1</v>
      </c>
      <c r="AE651" s="960">
        <f t="array" ref="AE651">HLOOKUP($J651,'Type Chart'!$C$2:$T$20,12,false)*HLOOKUP($K651,'Type Chart'!$C$2:$U$20,12,false)</f>
        <v>1</v>
      </c>
      <c r="AF651" s="960">
        <f t="array" ref="AF651">HLOOKUP($J651,'Type Chart'!$C$2:$T$20,13,false)*HLOOKUP($K651,'Type Chart'!$C$2:$U$20,13,false)</f>
        <v>1</v>
      </c>
      <c r="AG651" s="960">
        <f t="array" ref="AG651">HLOOKUP($J651,'Type Chart'!$C$2:$T$20,14,false)*HLOOKUP($K651,'Type Chart'!$C$2:$U$20,14,false)</f>
        <v>1</v>
      </c>
      <c r="AH651" s="960">
        <f t="array" ref="AH651">HLOOKUP($J651,'Type Chart'!$C$2:$T$20,15,false)*HLOOKUP($K651,'Type Chart'!$C$2:$U$20,15,false)</f>
        <v>1</v>
      </c>
      <c r="AI651" s="960">
        <f t="array" ref="AI651">HLOOKUP($J651,'Type Chart'!$C$2:$T$20,16,false)*HLOOKUP($K651,'Type Chart'!$C$2:$U$20,16,false)</f>
        <v>1</v>
      </c>
      <c r="AJ651" s="960">
        <f t="array" ref="AJ651">HLOOKUP($J651,'Type Chart'!$C$2:$T$20,17,false)*HLOOKUP($K651,'Type Chart'!$C$2:$U$20,17,false)</f>
        <v>1</v>
      </c>
      <c r="AK651" s="960">
        <f t="array" ref="AK651">HLOOKUP($J651,'Type Chart'!$C$2:$T$20,18,false)*HLOOKUP($K651,'Type Chart'!$C$2:$U$20,18,false)</f>
        <v>1</v>
      </c>
      <c r="AL651" s="960">
        <f t="array" ref="AL651">HLOOKUP($J651,'Type Chart'!$C$2:$T$20,19,false)*HLOOKUP($K651,'Type Chart'!$C$2:$U$20,19,false)</f>
        <v>1</v>
      </c>
      <c r="AM651" s="964" t="s">
        <v>1549</v>
      </c>
      <c r="AN651" s="965" t="s">
        <v>1022</v>
      </c>
      <c r="AO651" s="966" t="s">
        <v>1389</v>
      </c>
      <c r="AP651" s="936"/>
      <c r="AQ651" s="967"/>
      <c r="AR651" s="968"/>
      <c r="AS651" s="936"/>
    </row>
    <row r="652" ht="15.75" customHeight="1">
      <c r="A652" s="936"/>
      <c r="B652" s="948" t="s">
        <v>2811</v>
      </c>
      <c r="C652" s="950" t="s">
        <v>2812</v>
      </c>
      <c r="D652" s="950" t="s">
        <v>2812</v>
      </c>
      <c r="E652" s="952" t="s">
        <v>2812</v>
      </c>
      <c r="F652" s="940"/>
      <c r="G652" s="953"/>
      <c r="H652" s="969"/>
      <c r="I652" s="998" t="s">
        <v>2813</v>
      </c>
      <c r="J652" s="1194" t="s">
        <v>136</v>
      </c>
      <c r="K652" s="984" t="s">
        <v>216</v>
      </c>
      <c r="L652" s="959">
        <v>45.0</v>
      </c>
      <c r="M652" s="960">
        <v>60.0</v>
      </c>
      <c r="N652" s="960">
        <v>45.0</v>
      </c>
      <c r="O652" s="960">
        <v>25.0</v>
      </c>
      <c r="P652" s="960">
        <v>45.0</v>
      </c>
      <c r="Q652" s="960">
        <v>55.0</v>
      </c>
      <c r="R652" s="960">
        <v>146.0</v>
      </c>
      <c r="S652" s="960">
        <v>209.0</v>
      </c>
      <c r="T652" s="960">
        <v>229.0</v>
      </c>
      <c r="U652" s="960">
        <f t="array" ref="U652">HLOOKUP($J652,'Type Chart'!$C$2:$T$20,2,false)*HLOOKUP($K652,'Type Chart'!$C$2:$U$20,2,false)</f>
        <v>1</v>
      </c>
      <c r="V652" s="960">
        <f t="array" ref="V652">HLOOKUP($J652,'Type Chart'!$C$2:$T$20,3,false)*HLOOKUP($K652,'Type Chart'!$C$2:$U$20,3,false)</f>
        <v>2</v>
      </c>
      <c r="W652" s="960">
        <f t="array" ref="W652">HLOOKUP($J652,'Type Chart'!$C$2:$T$20,4,false)*HLOOKUP($K652,'Type Chart'!$C$2:$U$20,4,false)</f>
        <v>1</v>
      </c>
      <c r="X652" s="960">
        <f t="array" ref="X652">HLOOKUP($J652,'Type Chart'!$C$2:$T$20,5,false)*HLOOKUP($K652,'Type Chart'!$C$2:$U$20,5,false)</f>
        <v>1</v>
      </c>
      <c r="Y652" s="960">
        <f t="array" ref="Y652">HLOOKUP($J652,'Type Chart'!$C$2:$T$20,6,false)*HLOOKUP($K652,'Type Chart'!$C$2:$U$20,6,false)</f>
        <v>1</v>
      </c>
      <c r="Z652" s="960">
        <f t="array" ref="Z652">HLOOKUP($J652,'Type Chart'!$C$2:$T$20,7,false)*HLOOKUP($K652,'Type Chart'!$C$2:$U$20,7,false)</f>
        <v>1</v>
      </c>
      <c r="AA652" s="960">
        <f t="array" ref="AA652">HLOOKUP($J652,'Type Chart'!$C$2:$T$20,8,false)*HLOOKUP($K652,'Type Chart'!$C$2:$U$20,8,false)</f>
        <v>1</v>
      </c>
      <c r="AB652" s="960">
        <f t="array" ref="AB652">HLOOKUP($J652,'Type Chart'!$C$2:$T$20,9,false)*HLOOKUP($K652,'Type Chart'!$C$2:$U$20,9,false)</f>
        <v>0</v>
      </c>
      <c r="AC652" s="960">
        <f t="array" ref="AC652">HLOOKUP($J652,'Type Chart'!$C$2:$T$20,10,false)*HLOOKUP($K652,'Type Chart'!$C$2:$U$20,10,false)</f>
        <v>1</v>
      </c>
      <c r="AD652" s="960">
        <f t="array" ref="AD652">HLOOKUP($J652,'Type Chart'!$C$2:$T$20,11,false)*HLOOKUP($K652,'Type Chart'!$C$2:$U$20,11,false)</f>
        <v>1</v>
      </c>
      <c r="AE652" s="960">
        <f t="array" ref="AE652">HLOOKUP($J652,'Type Chart'!$C$2:$T$20,12,false)*HLOOKUP($K652,'Type Chart'!$C$2:$U$20,12,false)</f>
        <v>1</v>
      </c>
      <c r="AF652" s="960">
        <f t="array" ref="AF652">HLOOKUP($J652,'Type Chart'!$C$2:$T$20,13,false)*HLOOKUP($K652,'Type Chart'!$C$2:$U$20,13,false)</f>
        <v>1</v>
      </c>
      <c r="AG652" s="960">
        <f t="array" ref="AG652">HLOOKUP($J652,'Type Chart'!$C$2:$T$20,14,false)*HLOOKUP($K652,'Type Chart'!$C$2:$U$20,14,false)</f>
        <v>1</v>
      </c>
      <c r="AH652" s="960">
        <f t="array" ref="AH652">HLOOKUP($J652,'Type Chart'!$C$2:$T$20,15,false)*HLOOKUP($K652,'Type Chart'!$C$2:$U$20,15,false)</f>
        <v>1</v>
      </c>
      <c r="AI652" s="960">
        <f t="array" ref="AI652">HLOOKUP($J652,'Type Chart'!$C$2:$T$20,16,false)*HLOOKUP($K652,'Type Chart'!$C$2:$U$20,16,false)</f>
        <v>1</v>
      </c>
      <c r="AJ652" s="960">
        <f t="array" ref="AJ652">HLOOKUP($J652,'Type Chart'!$C$2:$T$20,17,false)*HLOOKUP($K652,'Type Chart'!$C$2:$U$20,17,false)</f>
        <v>1</v>
      </c>
      <c r="AK652" s="960">
        <f t="array" ref="AK652">HLOOKUP($J652,'Type Chart'!$C$2:$T$20,18,false)*HLOOKUP($K652,'Type Chart'!$C$2:$U$20,18,false)</f>
        <v>1</v>
      </c>
      <c r="AL652" s="960">
        <f t="array" ref="AL652">HLOOKUP($J652,'Type Chart'!$C$2:$T$20,19,false)*HLOOKUP($K652,'Type Chart'!$C$2:$U$20,19,false)</f>
        <v>1</v>
      </c>
      <c r="AM652" s="964" t="s">
        <v>1265</v>
      </c>
      <c r="AN652" s="965" t="s">
        <v>1238</v>
      </c>
      <c r="AO652" s="966" t="s">
        <v>988</v>
      </c>
      <c r="AP652" s="936"/>
      <c r="AQ652" s="967"/>
      <c r="AR652" s="968"/>
      <c r="AS652" s="936"/>
    </row>
    <row r="653" ht="15.75" customHeight="1">
      <c r="A653" s="936"/>
      <c r="B653" s="948" t="s">
        <v>2814</v>
      </c>
      <c r="C653" s="950" t="s">
        <v>2815</v>
      </c>
      <c r="D653" s="950" t="s">
        <v>2815</v>
      </c>
      <c r="E653" s="952" t="s">
        <v>2815</v>
      </c>
      <c r="F653" s="940"/>
      <c r="G653" s="953"/>
      <c r="H653" s="969"/>
      <c r="I653" s="998" t="s">
        <v>2816</v>
      </c>
      <c r="J653" s="1194" t="s">
        <v>136</v>
      </c>
      <c r="K653" s="984" t="s">
        <v>216</v>
      </c>
      <c r="L653" s="959">
        <v>65.0</v>
      </c>
      <c r="M653" s="960">
        <v>80.0</v>
      </c>
      <c r="N653" s="960">
        <v>65.0</v>
      </c>
      <c r="O653" s="960">
        <v>35.0</v>
      </c>
      <c r="P653" s="960">
        <v>65.0</v>
      </c>
      <c r="Q653" s="960">
        <v>60.0</v>
      </c>
      <c r="R653" s="960">
        <v>156.0</v>
      </c>
      <c r="S653" s="960">
        <v>219.0</v>
      </c>
      <c r="T653" s="960">
        <v>240.0</v>
      </c>
      <c r="U653" s="960">
        <f t="array" ref="U653">HLOOKUP($J653,'Type Chart'!$C$2:$T$20,2,false)*HLOOKUP($K653,'Type Chart'!$C$2:$U$20,2,false)</f>
        <v>1</v>
      </c>
      <c r="V653" s="960">
        <f t="array" ref="V653">HLOOKUP($J653,'Type Chart'!$C$2:$T$20,3,false)*HLOOKUP($K653,'Type Chart'!$C$2:$U$20,3,false)</f>
        <v>2</v>
      </c>
      <c r="W653" s="960">
        <f t="array" ref="W653">HLOOKUP($J653,'Type Chart'!$C$2:$T$20,4,false)*HLOOKUP($K653,'Type Chart'!$C$2:$U$20,4,false)</f>
        <v>1</v>
      </c>
      <c r="X653" s="960">
        <f t="array" ref="X653">HLOOKUP($J653,'Type Chart'!$C$2:$T$20,5,false)*HLOOKUP($K653,'Type Chart'!$C$2:$U$20,5,false)</f>
        <v>1</v>
      </c>
      <c r="Y653" s="960">
        <f t="array" ref="Y653">HLOOKUP($J653,'Type Chart'!$C$2:$T$20,6,false)*HLOOKUP($K653,'Type Chart'!$C$2:$U$20,6,false)</f>
        <v>1</v>
      </c>
      <c r="Z653" s="960">
        <f t="array" ref="Z653">HLOOKUP($J653,'Type Chart'!$C$2:$T$20,7,false)*HLOOKUP($K653,'Type Chart'!$C$2:$U$20,7,false)</f>
        <v>1</v>
      </c>
      <c r="AA653" s="960">
        <f t="array" ref="AA653">HLOOKUP($J653,'Type Chart'!$C$2:$T$20,8,false)*HLOOKUP($K653,'Type Chart'!$C$2:$U$20,8,false)</f>
        <v>1</v>
      </c>
      <c r="AB653" s="960">
        <f t="array" ref="AB653">HLOOKUP($J653,'Type Chart'!$C$2:$T$20,9,false)*HLOOKUP($K653,'Type Chart'!$C$2:$U$20,9,false)</f>
        <v>0</v>
      </c>
      <c r="AC653" s="960">
        <f t="array" ref="AC653">HLOOKUP($J653,'Type Chart'!$C$2:$T$20,10,false)*HLOOKUP($K653,'Type Chart'!$C$2:$U$20,10,false)</f>
        <v>1</v>
      </c>
      <c r="AD653" s="960">
        <f t="array" ref="AD653">HLOOKUP($J653,'Type Chart'!$C$2:$T$20,11,false)*HLOOKUP($K653,'Type Chart'!$C$2:$U$20,11,false)</f>
        <v>1</v>
      </c>
      <c r="AE653" s="960">
        <f t="array" ref="AE653">HLOOKUP($J653,'Type Chart'!$C$2:$T$20,12,false)*HLOOKUP($K653,'Type Chart'!$C$2:$U$20,12,false)</f>
        <v>1</v>
      </c>
      <c r="AF653" s="960">
        <f t="array" ref="AF653">HLOOKUP($J653,'Type Chart'!$C$2:$T$20,13,false)*HLOOKUP($K653,'Type Chart'!$C$2:$U$20,13,false)</f>
        <v>1</v>
      </c>
      <c r="AG653" s="960">
        <f t="array" ref="AG653">HLOOKUP($J653,'Type Chart'!$C$2:$T$20,14,false)*HLOOKUP($K653,'Type Chart'!$C$2:$U$20,14,false)</f>
        <v>1</v>
      </c>
      <c r="AH653" s="960">
        <f t="array" ref="AH653">HLOOKUP($J653,'Type Chart'!$C$2:$T$20,15,false)*HLOOKUP($K653,'Type Chart'!$C$2:$U$20,15,false)</f>
        <v>1</v>
      </c>
      <c r="AI653" s="960">
        <f t="array" ref="AI653">HLOOKUP($J653,'Type Chart'!$C$2:$T$20,16,false)*HLOOKUP($K653,'Type Chart'!$C$2:$U$20,16,false)</f>
        <v>1</v>
      </c>
      <c r="AJ653" s="960">
        <f t="array" ref="AJ653">HLOOKUP($J653,'Type Chart'!$C$2:$T$20,17,false)*HLOOKUP($K653,'Type Chart'!$C$2:$U$20,17,false)</f>
        <v>1</v>
      </c>
      <c r="AK653" s="960">
        <f t="array" ref="AK653">HLOOKUP($J653,'Type Chart'!$C$2:$T$20,18,false)*HLOOKUP($K653,'Type Chart'!$C$2:$U$20,18,false)</f>
        <v>1</v>
      </c>
      <c r="AL653" s="960">
        <f t="array" ref="AL653">HLOOKUP($J653,'Type Chart'!$C$2:$T$20,19,false)*HLOOKUP($K653,'Type Chart'!$C$2:$U$20,19,false)</f>
        <v>1</v>
      </c>
      <c r="AM653" s="964" t="s">
        <v>1061</v>
      </c>
      <c r="AN653" s="965" t="s">
        <v>1130</v>
      </c>
      <c r="AO653" s="966" t="s">
        <v>1399</v>
      </c>
      <c r="AP653" s="936"/>
      <c r="AQ653" s="967"/>
      <c r="AR653" s="968"/>
      <c r="AS653" s="936"/>
    </row>
    <row r="654" ht="15.75" customHeight="1">
      <c r="A654" s="936"/>
      <c r="B654" s="948" t="s">
        <v>2817</v>
      </c>
      <c r="C654" s="950" t="s">
        <v>2818</v>
      </c>
      <c r="D654" s="950" t="s">
        <v>2818</v>
      </c>
      <c r="E654" s="952" t="s">
        <v>2818</v>
      </c>
      <c r="F654" s="940"/>
      <c r="G654" s="953"/>
      <c r="H654" s="969"/>
      <c r="I654" s="998" t="s">
        <v>2819</v>
      </c>
      <c r="J654" s="1194" t="s">
        <v>136</v>
      </c>
      <c r="K654" s="984" t="s">
        <v>216</v>
      </c>
      <c r="L654" s="959">
        <v>85.0</v>
      </c>
      <c r="M654" s="960">
        <v>110.0</v>
      </c>
      <c r="N654" s="960">
        <v>90.0</v>
      </c>
      <c r="O654" s="960">
        <v>45.0</v>
      </c>
      <c r="P654" s="960">
        <v>90.0</v>
      </c>
      <c r="Q654" s="960">
        <v>80.0</v>
      </c>
      <c r="R654" s="960">
        <v>196.0</v>
      </c>
      <c r="S654" s="960">
        <v>259.0</v>
      </c>
      <c r="T654" s="960">
        <v>284.0</v>
      </c>
      <c r="U654" s="960">
        <f t="array" ref="U654">HLOOKUP($J654,'Type Chart'!$C$2:$T$20,2,false)*HLOOKUP($K654,'Type Chart'!$C$2:$U$20,2,false)</f>
        <v>1</v>
      </c>
      <c r="V654" s="960">
        <f t="array" ref="V654">HLOOKUP($J654,'Type Chart'!$C$2:$T$20,3,false)*HLOOKUP($K654,'Type Chart'!$C$2:$U$20,3,false)</f>
        <v>2</v>
      </c>
      <c r="W654" s="960">
        <f t="array" ref="W654">HLOOKUP($J654,'Type Chart'!$C$2:$T$20,4,false)*HLOOKUP($K654,'Type Chart'!$C$2:$U$20,4,false)</f>
        <v>1</v>
      </c>
      <c r="X654" s="960">
        <f t="array" ref="X654">HLOOKUP($J654,'Type Chart'!$C$2:$T$20,5,false)*HLOOKUP($K654,'Type Chart'!$C$2:$U$20,5,false)</f>
        <v>1</v>
      </c>
      <c r="Y654" s="960">
        <f t="array" ref="Y654">HLOOKUP($J654,'Type Chart'!$C$2:$T$20,6,false)*HLOOKUP($K654,'Type Chart'!$C$2:$U$20,6,false)</f>
        <v>1</v>
      </c>
      <c r="Z654" s="960">
        <f t="array" ref="Z654">HLOOKUP($J654,'Type Chart'!$C$2:$T$20,7,false)*HLOOKUP($K654,'Type Chart'!$C$2:$U$20,7,false)</f>
        <v>1</v>
      </c>
      <c r="AA654" s="960">
        <f t="array" ref="AA654">HLOOKUP($J654,'Type Chart'!$C$2:$T$20,8,false)*HLOOKUP($K654,'Type Chart'!$C$2:$U$20,8,false)</f>
        <v>1</v>
      </c>
      <c r="AB654" s="960">
        <f t="array" ref="AB654">HLOOKUP($J654,'Type Chart'!$C$2:$T$20,9,false)*HLOOKUP($K654,'Type Chart'!$C$2:$U$20,9,false)</f>
        <v>0</v>
      </c>
      <c r="AC654" s="960">
        <f t="array" ref="AC654">HLOOKUP($J654,'Type Chart'!$C$2:$T$20,10,false)*HLOOKUP($K654,'Type Chart'!$C$2:$U$20,10,false)</f>
        <v>1</v>
      </c>
      <c r="AD654" s="960">
        <f t="array" ref="AD654">HLOOKUP($J654,'Type Chart'!$C$2:$T$20,11,false)*HLOOKUP($K654,'Type Chart'!$C$2:$U$20,11,false)</f>
        <v>1</v>
      </c>
      <c r="AE654" s="960">
        <f t="array" ref="AE654">HLOOKUP($J654,'Type Chart'!$C$2:$T$20,12,false)*HLOOKUP($K654,'Type Chart'!$C$2:$U$20,12,false)</f>
        <v>1</v>
      </c>
      <c r="AF654" s="960">
        <f t="array" ref="AF654">HLOOKUP($J654,'Type Chart'!$C$2:$T$20,13,false)*HLOOKUP($K654,'Type Chart'!$C$2:$U$20,13,false)</f>
        <v>1</v>
      </c>
      <c r="AG654" s="960">
        <f t="array" ref="AG654">HLOOKUP($J654,'Type Chart'!$C$2:$T$20,14,false)*HLOOKUP($K654,'Type Chart'!$C$2:$U$20,14,false)</f>
        <v>1</v>
      </c>
      <c r="AH654" s="960">
        <f t="array" ref="AH654">HLOOKUP($J654,'Type Chart'!$C$2:$T$20,15,false)*HLOOKUP($K654,'Type Chart'!$C$2:$U$20,15,false)</f>
        <v>1</v>
      </c>
      <c r="AI654" s="960">
        <f t="array" ref="AI654">HLOOKUP($J654,'Type Chart'!$C$2:$T$20,16,false)*HLOOKUP($K654,'Type Chart'!$C$2:$U$20,16,false)</f>
        <v>1</v>
      </c>
      <c r="AJ654" s="960">
        <f t="array" ref="AJ654">HLOOKUP($J654,'Type Chart'!$C$2:$T$20,17,false)*HLOOKUP($K654,'Type Chart'!$C$2:$U$20,17,false)</f>
        <v>1</v>
      </c>
      <c r="AK654" s="960">
        <f t="array" ref="AK654">HLOOKUP($J654,'Type Chart'!$C$2:$T$20,18,false)*HLOOKUP($K654,'Type Chart'!$C$2:$U$20,18,false)</f>
        <v>1</v>
      </c>
      <c r="AL654" s="960">
        <f t="array" ref="AL654">HLOOKUP($J654,'Type Chart'!$C$2:$T$20,19,false)*HLOOKUP($K654,'Type Chart'!$C$2:$U$20,19,false)</f>
        <v>1</v>
      </c>
      <c r="AM654" s="964" t="s">
        <v>1061</v>
      </c>
      <c r="AN654" s="965" t="s">
        <v>1130</v>
      </c>
      <c r="AO654" s="966" t="s">
        <v>1399</v>
      </c>
      <c r="AP654" s="936"/>
      <c r="AQ654" s="967"/>
      <c r="AR654" s="968"/>
      <c r="AS654" s="936"/>
    </row>
    <row r="655" ht="15.75" customHeight="1">
      <c r="A655" s="936"/>
      <c r="B655" s="948" t="s">
        <v>2820</v>
      </c>
      <c r="C655" s="950" t="s">
        <v>2821</v>
      </c>
      <c r="D655" s="950" t="s">
        <v>2821</v>
      </c>
      <c r="E655" s="952" t="s">
        <v>2821</v>
      </c>
      <c r="F655" s="940"/>
      <c r="G655" s="953"/>
      <c r="H655" s="969"/>
      <c r="I655" s="998" t="s">
        <v>2822</v>
      </c>
      <c r="J655" s="1195" t="s">
        <v>193</v>
      </c>
      <c r="K655" s="984" t="s">
        <v>216</v>
      </c>
      <c r="L655" s="959">
        <v>41.0</v>
      </c>
      <c r="M655" s="960">
        <v>50.0</v>
      </c>
      <c r="N655" s="960">
        <v>37.0</v>
      </c>
      <c r="O655" s="960">
        <v>50.0</v>
      </c>
      <c r="P655" s="960">
        <v>37.0</v>
      </c>
      <c r="Q655" s="960">
        <v>66.0</v>
      </c>
      <c r="R655" s="960">
        <v>168.0</v>
      </c>
      <c r="S655" s="960">
        <v>231.0</v>
      </c>
      <c r="T655" s="960">
        <v>254.0</v>
      </c>
      <c r="U655" s="960">
        <f t="array" ref="U655">HLOOKUP($J655,'Type Chart'!$C$2:$T$20,2,false)*HLOOKUP($K655,'Type Chart'!$C$2:$U$20,2,false)</f>
        <v>1</v>
      </c>
      <c r="V655" s="960">
        <f t="array" ref="V655">HLOOKUP($J655,'Type Chart'!$C$2:$T$20,3,false)*HLOOKUP($K655,'Type Chart'!$C$2:$U$20,3,false)</f>
        <v>2</v>
      </c>
      <c r="W655" s="960">
        <f t="array" ref="W655">HLOOKUP($J655,'Type Chart'!$C$2:$T$20,4,false)*HLOOKUP($K655,'Type Chart'!$C$2:$U$20,4,false)</f>
        <v>1</v>
      </c>
      <c r="X655" s="960">
        <f t="array" ref="X655">HLOOKUP($J655,'Type Chart'!$C$2:$T$20,5,false)*HLOOKUP($K655,'Type Chart'!$C$2:$U$20,5,false)</f>
        <v>1</v>
      </c>
      <c r="Y655" s="960">
        <f t="array" ref="Y655">HLOOKUP($J655,'Type Chart'!$C$2:$T$20,6,false)*HLOOKUP($K655,'Type Chart'!$C$2:$U$20,6,false)</f>
        <v>1</v>
      </c>
      <c r="Z655" s="960">
        <f t="array" ref="Z655">HLOOKUP($J655,'Type Chart'!$C$2:$T$20,7,false)*HLOOKUP($K655,'Type Chart'!$C$2:$U$20,7,false)</f>
        <v>1</v>
      </c>
      <c r="AA655" s="960">
        <f t="array" ref="AA655">HLOOKUP($J655,'Type Chart'!$C$2:$T$20,8,false)*HLOOKUP($K655,'Type Chart'!$C$2:$U$20,8,false)</f>
        <v>2</v>
      </c>
      <c r="AB655" s="960">
        <f t="array" ref="AB655">HLOOKUP($J655,'Type Chart'!$C$2:$T$20,9,false)*HLOOKUP($K655,'Type Chart'!$C$2:$U$20,9,false)</f>
        <v>0.5</v>
      </c>
      <c r="AC655" s="960">
        <f t="array" ref="AC655">HLOOKUP($J655,'Type Chart'!$C$2:$T$20,10,false)*HLOOKUP($K655,'Type Chart'!$C$2:$U$20,10,false)</f>
        <v>1</v>
      </c>
      <c r="AD655" s="960">
        <f t="array" ref="AD655">HLOOKUP($J655,'Type Chart'!$C$2:$T$20,11,false)*HLOOKUP($K655,'Type Chart'!$C$2:$U$20,11,false)</f>
        <v>1</v>
      </c>
      <c r="AE655" s="960">
        <f t="array" ref="AE655">HLOOKUP($J655,'Type Chart'!$C$2:$T$20,12,false)*HLOOKUP($K655,'Type Chart'!$C$2:$U$20,12,false)</f>
        <v>1</v>
      </c>
      <c r="AF655" s="960">
        <f t="array" ref="AF655">HLOOKUP($J655,'Type Chart'!$C$2:$T$20,13,false)*HLOOKUP($K655,'Type Chart'!$C$2:$U$20,13,false)</f>
        <v>1</v>
      </c>
      <c r="AG655" s="960">
        <f t="array" ref="AG655">HLOOKUP($J655,'Type Chart'!$C$2:$T$20,14,false)*HLOOKUP($K655,'Type Chart'!$C$2:$U$20,14,false)</f>
        <v>1</v>
      </c>
      <c r="AH655" s="960">
        <f t="array" ref="AH655">HLOOKUP($J655,'Type Chart'!$C$2:$T$20,15,false)*HLOOKUP($K655,'Type Chart'!$C$2:$U$20,15,false)</f>
        <v>0</v>
      </c>
      <c r="AI655" s="960">
        <f t="array" ref="AI655">HLOOKUP($J655,'Type Chart'!$C$2:$T$20,16,false)*HLOOKUP($K655,'Type Chart'!$C$2:$U$20,16,false)</f>
        <v>1</v>
      </c>
      <c r="AJ655" s="960">
        <f t="array" ref="AJ655">HLOOKUP($J655,'Type Chart'!$C$2:$T$20,17,false)*HLOOKUP($K655,'Type Chart'!$C$2:$U$20,17,false)</f>
        <v>1</v>
      </c>
      <c r="AK655" s="960">
        <f t="array" ref="AK655">HLOOKUP($J655,'Type Chart'!$C$2:$T$20,18,false)*HLOOKUP($K655,'Type Chart'!$C$2:$U$20,18,false)</f>
        <v>0.5</v>
      </c>
      <c r="AL655" s="960">
        <f t="array" ref="AL655">HLOOKUP($J655,'Type Chart'!$C$2:$T$20,19,false)*HLOOKUP($K655,'Type Chart'!$C$2:$U$20,19,false)</f>
        <v>2</v>
      </c>
      <c r="AM655" s="964" t="s">
        <v>1250</v>
      </c>
      <c r="AN655" s="965" t="s">
        <v>1498</v>
      </c>
      <c r="AO655" s="966" t="s">
        <v>1813</v>
      </c>
      <c r="AP655" s="936"/>
      <c r="AQ655" s="967"/>
      <c r="AR655" s="968"/>
      <c r="AS655" s="936"/>
    </row>
    <row r="656" ht="15.75" customHeight="1">
      <c r="A656" s="936"/>
      <c r="B656" s="948" t="s">
        <v>2823</v>
      </c>
      <c r="C656" s="950" t="s">
        <v>2824</v>
      </c>
      <c r="D656" s="950" t="s">
        <v>2824</v>
      </c>
      <c r="E656" s="952" t="s">
        <v>2824</v>
      </c>
      <c r="F656" s="940"/>
      <c r="G656" s="953"/>
      <c r="H656" s="969"/>
      <c r="I656" s="998" t="s">
        <v>2825</v>
      </c>
      <c r="J656" s="1195" t="s">
        <v>193</v>
      </c>
      <c r="K656" s="984" t="s">
        <v>216</v>
      </c>
      <c r="L656" s="959">
        <v>64.0</v>
      </c>
      <c r="M656" s="960">
        <v>88.0</v>
      </c>
      <c r="N656" s="960">
        <v>50.0</v>
      </c>
      <c r="O656" s="960">
        <v>88.0</v>
      </c>
      <c r="P656" s="960">
        <v>50.0</v>
      </c>
      <c r="Q656" s="960">
        <v>106.0</v>
      </c>
      <c r="R656" s="960">
        <v>248.0</v>
      </c>
      <c r="S656" s="960">
        <v>311.0</v>
      </c>
      <c r="T656" s="960">
        <v>342.0</v>
      </c>
      <c r="U656" s="960">
        <f t="array" ref="U656">HLOOKUP($J656,'Type Chart'!$C$2:$T$20,2,false)*HLOOKUP($K656,'Type Chart'!$C$2:$U$20,2,false)</f>
        <v>1</v>
      </c>
      <c r="V656" s="960">
        <f t="array" ref="V656">HLOOKUP($J656,'Type Chart'!$C$2:$T$20,3,false)*HLOOKUP($K656,'Type Chart'!$C$2:$U$20,3,false)</f>
        <v>2</v>
      </c>
      <c r="W656" s="960">
        <f t="array" ref="W656">HLOOKUP($J656,'Type Chart'!$C$2:$T$20,4,false)*HLOOKUP($K656,'Type Chart'!$C$2:$U$20,4,false)</f>
        <v>1</v>
      </c>
      <c r="X656" s="960">
        <f t="array" ref="X656">HLOOKUP($J656,'Type Chart'!$C$2:$T$20,5,false)*HLOOKUP($K656,'Type Chart'!$C$2:$U$20,5,false)</f>
        <v>1</v>
      </c>
      <c r="Y656" s="960">
        <f t="array" ref="Y656">HLOOKUP($J656,'Type Chart'!$C$2:$T$20,6,false)*HLOOKUP($K656,'Type Chart'!$C$2:$U$20,6,false)</f>
        <v>1</v>
      </c>
      <c r="Z656" s="960">
        <f t="array" ref="Z656">HLOOKUP($J656,'Type Chart'!$C$2:$T$20,7,false)*HLOOKUP($K656,'Type Chart'!$C$2:$U$20,7,false)</f>
        <v>1</v>
      </c>
      <c r="AA656" s="960">
        <f t="array" ref="AA656">HLOOKUP($J656,'Type Chart'!$C$2:$T$20,8,false)*HLOOKUP($K656,'Type Chart'!$C$2:$U$20,8,false)</f>
        <v>2</v>
      </c>
      <c r="AB656" s="960">
        <f t="array" ref="AB656">HLOOKUP($J656,'Type Chart'!$C$2:$T$20,9,false)*HLOOKUP($K656,'Type Chart'!$C$2:$U$20,9,false)</f>
        <v>0.5</v>
      </c>
      <c r="AC656" s="960">
        <f t="array" ref="AC656">HLOOKUP($J656,'Type Chart'!$C$2:$T$20,10,false)*HLOOKUP($K656,'Type Chart'!$C$2:$U$20,10,false)</f>
        <v>1</v>
      </c>
      <c r="AD656" s="960">
        <f t="array" ref="AD656">HLOOKUP($J656,'Type Chart'!$C$2:$T$20,11,false)*HLOOKUP($K656,'Type Chart'!$C$2:$U$20,11,false)</f>
        <v>1</v>
      </c>
      <c r="AE656" s="960">
        <f t="array" ref="AE656">HLOOKUP($J656,'Type Chart'!$C$2:$T$20,12,false)*HLOOKUP($K656,'Type Chart'!$C$2:$U$20,12,false)</f>
        <v>1</v>
      </c>
      <c r="AF656" s="960">
        <f t="array" ref="AF656">HLOOKUP($J656,'Type Chart'!$C$2:$T$20,13,false)*HLOOKUP($K656,'Type Chart'!$C$2:$U$20,13,false)</f>
        <v>1</v>
      </c>
      <c r="AG656" s="960">
        <f t="array" ref="AG656">HLOOKUP($J656,'Type Chart'!$C$2:$T$20,14,false)*HLOOKUP($K656,'Type Chart'!$C$2:$U$20,14,false)</f>
        <v>1</v>
      </c>
      <c r="AH656" s="960">
        <f t="array" ref="AH656">HLOOKUP($J656,'Type Chart'!$C$2:$T$20,15,false)*HLOOKUP($K656,'Type Chart'!$C$2:$U$20,15,false)</f>
        <v>0</v>
      </c>
      <c r="AI656" s="960">
        <f t="array" ref="AI656">HLOOKUP($J656,'Type Chart'!$C$2:$T$20,16,false)*HLOOKUP($K656,'Type Chart'!$C$2:$U$20,16,false)</f>
        <v>1</v>
      </c>
      <c r="AJ656" s="960">
        <f t="array" ref="AJ656">HLOOKUP($J656,'Type Chart'!$C$2:$T$20,17,false)*HLOOKUP($K656,'Type Chart'!$C$2:$U$20,17,false)</f>
        <v>1</v>
      </c>
      <c r="AK656" s="960">
        <f t="array" ref="AK656">HLOOKUP($J656,'Type Chart'!$C$2:$T$20,18,false)*HLOOKUP($K656,'Type Chart'!$C$2:$U$20,18,false)</f>
        <v>0.5</v>
      </c>
      <c r="AL656" s="960">
        <f t="array" ref="AL656">HLOOKUP($J656,'Type Chart'!$C$2:$T$20,19,false)*HLOOKUP($K656,'Type Chart'!$C$2:$U$20,19,false)</f>
        <v>2</v>
      </c>
      <c r="AM656" s="964" t="s">
        <v>1250</v>
      </c>
      <c r="AN656" s="965" t="s">
        <v>1498</v>
      </c>
      <c r="AO656" s="966" t="s">
        <v>1813</v>
      </c>
      <c r="AP656" s="936"/>
      <c r="AQ656" s="967"/>
      <c r="AR656" s="968"/>
      <c r="AS656" s="936"/>
    </row>
    <row r="657" ht="15.75" customHeight="1">
      <c r="A657" s="936"/>
      <c r="B657" s="948" t="s">
        <v>2826</v>
      </c>
      <c r="C657" s="950" t="s">
        <v>2827</v>
      </c>
      <c r="D657" s="950" t="s">
        <v>2827</v>
      </c>
      <c r="E657" s="952" t="s">
        <v>2827</v>
      </c>
      <c r="F657" s="940"/>
      <c r="G657" s="953"/>
      <c r="H657" s="969"/>
      <c r="I657" s="998" t="s">
        <v>2828</v>
      </c>
      <c r="J657" s="957" t="s">
        <v>209</v>
      </c>
      <c r="K657" s="984" t="s">
        <v>216</v>
      </c>
      <c r="L657" s="959">
        <v>50.0</v>
      </c>
      <c r="M657" s="960">
        <v>53.0</v>
      </c>
      <c r="N657" s="960">
        <v>48.0</v>
      </c>
      <c r="O657" s="960">
        <v>53.0</v>
      </c>
      <c r="P657" s="960">
        <v>48.0</v>
      </c>
      <c r="Q657" s="960">
        <v>64.0</v>
      </c>
      <c r="R657" s="960">
        <v>164.0</v>
      </c>
      <c r="S657" s="960">
        <v>227.0</v>
      </c>
      <c r="T657" s="960">
        <v>249.0</v>
      </c>
      <c r="U657" s="960">
        <f t="array" ref="U657">HLOOKUP($J657,'Type Chart'!$C$2:$T$20,2,false)*HLOOKUP($K657,'Type Chart'!$C$2:$U$20,2,false)</f>
        <v>1</v>
      </c>
      <c r="V657" s="960">
        <f t="array" ref="V657">HLOOKUP($J657,'Type Chart'!$C$2:$T$20,3,false)*HLOOKUP($K657,'Type Chart'!$C$2:$U$20,3,false)</f>
        <v>1</v>
      </c>
      <c r="W657" s="960">
        <f t="array" ref="W657">HLOOKUP($J657,'Type Chart'!$C$2:$T$20,4,false)*HLOOKUP($K657,'Type Chart'!$C$2:$U$20,4,false)</f>
        <v>2</v>
      </c>
      <c r="X657" s="960">
        <f t="array" ref="X657">HLOOKUP($J657,'Type Chart'!$C$2:$T$20,5,false)*HLOOKUP($K657,'Type Chart'!$C$2:$U$20,5,false)</f>
        <v>2</v>
      </c>
      <c r="Y657" s="960">
        <f t="array" ref="Y657">HLOOKUP($J657,'Type Chart'!$C$2:$T$20,6,false)*HLOOKUP($K657,'Type Chart'!$C$2:$U$20,6,false)</f>
        <v>0.5</v>
      </c>
      <c r="Z657" s="960">
        <f t="array" ref="Z657">HLOOKUP($J657,'Type Chart'!$C$2:$T$20,7,false)*HLOOKUP($K657,'Type Chart'!$C$2:$U$20,7,false)</f>
        <v>1</v>
      </c>
      <c r="AA657" s="960">
        <f t="array" ref="AA657">HLOOKUP($J657,'Type Chart'!$C$2:$T$20,8,false)*HLOOKUP($K657,'Type Chart'!$C$2:$U$20,8,false)</f>
        <v>2</v>
      </c>
      <c r="AB657" s="960">
        <f t="array" ref="AB657">HLOOKUP($J657,'Type Chart'!$C$2:$T$20,9,false)*HLOOKUP($K657,'Type Chart'!$C$2:$U$20,9,false)</f>
        <v>1</v>
      </c>
      <c r="AC657" s="960">
        <f t="array" ref="AC657">HLOOKUP($J657,'Type Chart'!$C$2:$T$20,10,false)*HLOOKUP($K657,'Type Chart'!$C$2:$U$20,10,false)</f>
        <v>1</v>
      </c>
      <c r="AD657" s="960">
        <f t="array" ref="AD657">HLOOKUP($J657,'Type Chart'!$C$2:$T$20,11,false)*HLOOKUP($K657,'Type Chart'!$C$2:$U$20,11,false)</f>
        <v>2</v>
      </c>
      <c r="AE657" s="960">
        <f t="array" ref="AE657">HLOOKUP($J657,'Type Chart'!$C$2:$T$20,12,false)*HLOOKUP($K657,'Type Chart'!$C$2:$U$20,12,false)</f>
        <v>0.5</v>
      </c>
      <c r="AF657" s="960">
        <f t="array" ref="AF657">HLOOKUP($J657,'Type Chart'!$C$2:$T$20,13,false)*HLOOKUP($K657,'Type Chart'!$C$2:$U$20,13,false)</f>
        <v>0.5</v>
      </c>
      <c r="AG657" s="960">
        <f t="array" ref="AG657">HLOOKUP($J657,'Type Chart'!$C$2:$T$20,14,false)*HLOOKUP($K657,'Type Chart'!$C$2:$U$20,14,false)</f>
        <v>0.5</v>
      </c>
      <c r="AH657" s="960">
        <f t="array" ref="AH657">HLOOKUP($J657,'Type Chart'!$C$2:$T$20,15,false)*HLOOKUP($K657,'Type Chart'!$C$2:$U$20,15,false)</f>
        <v>1</v>
      </c>
      <c r="AI657" s="960">
        <f t="array" ref="AI657">HLOOKUP($J657,'Type Chart'!$C$2:$T$20,16,false)*HLOOKUP($K657,'Type Chart'!$C$2:$U$20,16,false)</f>
        <v>2</v>
      </c>
      <c r="AJ657" s="960">
        <f t="array" ref="AJ657">HLOOKUP($J657,'Type Chart'!$C$2:$T$20,17,false)*HLOOKUP($K657,'Type Chart'!$C$2:$U$20,17,false)</f>
        <v>1</v>
      </c>
      <c r="AK657" s="960">
        <f t="array" ref="AK657">HLOOKUP($J657,'Type Chart'!$C$2:$T$20,18,false)*HLOOKUP($K657,'Type Chart'!$C$2:$U$20,18,false)</f>
        <v>1</v>
      </c>
      <c r="AL657" s="960">
        <f t="array" ref="AL657">HLOOKUP($J657,'Type Chart'!$C$2:$T$20,19,false)*HLOOKUP($K657,'Type Chart'!$C$2:$U$20,19,false)</f>
        <v>1</v>
      </c>
      <c r="AM657" s="964" t="s">
        <v>1044</v>
      </c>
      <c r="AN657" s="965"/>
      <c r="AO657" s="966" t="s">
        <v>522</v>
      </c>
      <c r="AP657" s="936"/>
      <c r="AQ657" s="967"/>
      <c r="AR657" s="968"/>
      <c r="AS657" s="936"/>
    </row>
    <row r="658" ht="15.75" customHeight="1">
      <c r="A658" s="936"/>
      <c r="B658" s="948" t="s">
        <v>2829</v>
      </c>
      <c r="C658" s="950" t="s">
        <v>2830</v>
      </c>
      <c r="D658" s="950" t="s">
        <v>2830</v>
      </c>
      <c r="E658" s="952" t="s">
        <v>2830</v>
      </c>
      <c r="F658" s="940"/>
      <c r="G658" s="953"/>
      <c r="H658" s="969"/>
      <c r="I658" s="998" t="s">
        <v>2831</v>
      </c>
      <c r="J658" s="957" t="s">
        <v>209</v>
      </c>
      <c r="K658" s="984" t="s">
        <v>216</v>
      </c>
      <c r="L658" s="959">
        <v>75.0</v>
      </c>
      <c r="M658" s="960">
        <v>98.0</v>
      </c>
      <c r="N658" s="960">
        <v>63.0</v>
      </c>
      <c r="O658" s="960">
        <v>98.0</v>
      </c>
      <c r="P658" s="960">
        <v>63.0</v>
      </c>
      <c r="Q658" s="960">
        <v>101.0</v>
      </c>
      <c r="R658" s="960">
        <v>238.0</v>
      </c>
      <c r="S658" s="960">
        <v>301.0</v>
      </c>
      <c r="T658" s="960">
        <v>331.0</v>
      </c>
      <c r="U658" s="960">
        <f t="array" ref="U658">HLOOKUP($J658,'Type Chart'!$C$2:$T$20,2,false)*HLOOKUP($K658,'Type Chart'!$C$2:$U$20,2,false)</f>
        <v>1</v>
      </c>
      <c r="V658" s="960">
        <f t="array" ref="V658">HLOOKUP($J658,'Type Chart'!$C$2:$T$20,3,false)*HLOOKUP($K658,'Type Chart'!$C$2:$U$20,3,false)</f>
        <v>1</v>
      </c>
      <c r="W658" s="960">
        <f t="array" ref="W658">HLOOKUP($J658,'Type Chart'!$C$2:$T$20,4,false)*HLOOKUP($K658,'Type Chart'!$C$2:$U$20,4,false)</f>
        <v>2</v>
      </c>
      <c r="X658" s="960">
        <f t="array" ref="X658">HLOOKUP($J658,'Type Chart'!$C$2:$T$20,5,false)*HLOOKUP($K658,'Type Chart'!$C$2:$U$20,5,false)</f>
        <v>2</v>
      </c>
      <c r="Y658" s="960">
        <f t="array" ref="Y658">HLOOKUP($J658,'Type Chart'!$C$2:$T$20,6,false)*HLOOKUP($K658,'Type Chart'!$C$2:$U$20,6,false)</f>
        <v>0.5</v>
      </c>
      <c r="Z658" s="960">
        <f t="array" ref="Z658">HLOOKUP($J658,'Type Chart'!$C$2:$T$20,7,false)*HLOOKUP($K658,'Type Chart'!$C$2:$U$20,7,false)</f>
        <v>1</v>
      </c>
      <c r="AA658" s="960">
        <f t="array" ref="AA658">HLOOKUP($J658,'Type Chart'!$C$2:$T$20,8,false)*HLOOKUP($K658,'Type Chart'!$C$2:$U$20,8,false)</f>
        <v>2</v>
      </c>
      <c r="AB658" s="960">
        <f t="array" ref="AB658">HLOOKUP($J658,'Type Chart'!$C$2:$T$20,9,false)*HLOOKUP($K658,'Type Chart'!$C$2:$U$20,9,false)</f>
        <v>1</v>
      </c>
      <c r="AC658" s="960">
        <f t="array" ref="AC658">HLOOKUP($J658,'Type Chart'!$C$2:$T$20,10,false)*HLOOKUP($K658,'Type Chart'!$C$2:$U$20,10,false)</f>
        <v>1</v>
      </c>
      <c r="AD658" s="960">
        <f t="array" ref="AD658">HLOOKUP($J658,'Type Chart'!$C$2:$T$20,11,false)*HLOOKUP($K658,'Type Chart'!$C$2:$U$20,11,false)</f>
        <v>2</v>
      </c>
      <c r="AE658" s="960">
        <f t="array" ref="AE658">HLOOKUP($J658,'Type Chart'!$C$2:$T$20,12,false)*HLOOKUP($K658,'Type Chart'!$C$2:$U$20,12,false)</f>
        <v>0.5</v>
      </c>
      <c r="AF658" s="960">
        <f t="array" ref="AF658">HLOOKUP($J658,'Type Chart'!$C$2:$T$20,13,false)*HLOOKUP($K658,'Type Chart'!$C$2:$U$20,13,false)</f>
        <v>0.5</v>
      </c>
      <c r="AG658" s="960">
        <f t="array" ref="AG658">HLOOKUP($J658,'Type Chart'!$C$2:$T$20,14,false)*HLOOKUP($K658,'Type Chart'!$C$2:$U$20,14,false)</f>
        <v>0.5</v>
      </c>
      <c r="AH658" s="960">
        <f t="array" ref="AH658">HLOOKUP($J658,'Type Chart'!$C$2:$T$20,15,false)*HLOOKUP($K658,'Type Chart'!$C$2:$U$20,15,false)</f>
        <v>1</v>
      </c>
      <c r="AI658" s="960">
        <f t="array" ref="AI658">HLOOKUP($J658,'Type Chart'!$C$2:$T$20,16,false)*HLOOKUP($K658,'Type Chart'!$C$2:$U$20,16,false)</f>
        <v>2</v>
      </c>
      <c r="AJ658" s="960">
        <f t="array" ref="AJ658">HLOOKUP($J658,'Type Chart'!$C$2:$T$20,17,false)*HLOOKUP($K658,'Type Chart'!$C$2:$U$20,17,false)</f>
        <v>1</v>
      </c>
      <c r="AK658" s="960">
        <f t="array" ref="AK658">HLOOKUP($J658,'Type Chart'!$C$2:$T$20,18,false)*HLOOKUP($K658,'Type Chart'!$C$2:$U$20,18,false)</f>
        <v>1</v>
      </c>
      <c r="AL658" s="960">
        <f t="array" ref="AL658">HLOOKUP($J658,'Type Chart'!$C$2:$T$20,19,false)*HLOOKUP($K658,'Type Chart'!$C$2:$U$20,19,false)</f>
        <v>1</v>
      </c>
      <c r="AM658" s="964" t="s">
        <v>1044</v>
      </c>
      <c r="AN658" s="965"/>
      <c r="AO658" s="966" t="s">
        <v>522</v>
      </c>
      <c r="AP658" s="936"/>
      <c r="AQ658" s="967"/>
      <c r="AR658" s="968"/>
      <c r="AS658" s="936"/>
    </row>
    <row r="659" ht="15.75" customHeight="1">
      <c r="A659" s="936"/>
      <c r="B659" s="948" t="s">
        <v>2832</v>
      </c>
      <c r="C659" s="950" t="s">
        <v>2833</v>
      </c>
      <c r="D659" s="950" t="s">
        <v>2833</v>
      </c>
      <c r="E659" s="952" t="s">
        <v>2833</v>
      </c>
      <c r="F659" s="940"/>
      <c r="G659" s="953"/>
      <c r="H659" s="969"/>
      <c r="I659" s="998" t="s">
        <v>2834</v>
      </c>
      <c r="J659" s="982" t="s">
        <v>150</v>
      </c>
      <c r="K659" s="984" t="s">
        <v>216</v>
      </c>
      <c r="L659" s="959">
        <v>50.0</v>
      </c>
      <c r="M659" s="960">
        <v>53.0</v>
      </c>
      <c r="N659" s="960">
        <v>48.0</v>
      </c>
      <c r="O659" s="960">
        <v>53.0</v>
      </c>
      <c r="P659" s="960">
        <v>48.0</v>
      </c>
      <c r="Q659" s="960">
        <v>64.0</v>
      </c>
      <c r="R659" s="960">
        <v>164.0</v>
      </c>
      <c r="S659" s="960">
        <v>227.0</v>
      </c>
      <c r="T659" s="960">
        <v>249.0</v>
      </c>
      <c r="U659" s="960">
        <f t="array" ref="U659">HLOOKUP($J659,'Type Chart'!$C$2:$T$20,2,false)*HLOOKUP($K659,'Type Chart'!$C$2:$U$20,2,false)</f>
        <v>1</v>
      </c>
      <c r="V659" s="960">
        <f t="array" ref="V659">HLOOKUP($J659,'Type Chart'!$C$2:$T$20,3,false)*HLOOKUP($K659,'Type Chart'!$C$2:$U$20,3,false)</f>
        <v>1</v>
      </c>
      <c r="W659" s="960">
        <f t="array" ref="W659">HLOOKUP($J659,'Type Chart'!$C$2:$T$20,4,false)*HLOOKUP($K659,'Type Chart'!$C$2:$U$20,4,false)</f>
        <v>1</v>
      </c>
      <c r="X659" s="960">
        <f t="array" ref="X659">HLOOKUP($J659,'Type Chart'!$C$2:$T$20,5,false)*HLOOKUP($K659,'Type Chart'!$C$2:$U$20,5,false)</f>
        <v>1</v>
      </c>
      <c r="Y659" s="960">
        <f t="array" ref="Y659">HLOOKUP($J659,'Type Chart'!$C$2:$T$20,6,false)*HLOOKUP($K659,'Type Chart'!$C$2:$U$20,6,false)</f>
        <v>2</v>
      </c>
      <c r="Z659" s="960">
        <f t="array" ref="Z659">HLOOKUP($J659,'Type Chart'!$C$2:$T$20,7,false)*HLOOKUP($K659,'Type Chart'!$C$2:$U$20,7,false)</f>
        <v>2</v>
      </c>
      <c r="AA659" s="960">
        <f t="array" ref="AA659">HLOOKUP($J659,'Type Chart'!$C$2:$T$20,8,false)*HLOOKUP($K659,'Type Chart'!$C$2:$U$20,8,false)</f>
        <v>0.5</v>
      </c>
      <c r="AB659" s="960">
        <f t="array" ref="AB659">HLOOKUP($J659,'Type Chart'!$C$2:$T$20,9,false)*HLOOKUP($K659,'Type Chart'!$C$2:$U$20,9,false)</f>
        <v>1</v>
      </c>
      <c r="AC659" s="960">
        <f t="array" ref="AC659">HLOOKUP($J659,'Type Chart'!$C$2:$T$20,10,false)*HLOOKUP($K659,'Type Chart'!$C$2:$U$20,10,false)</f>
        <v>0.5</v>
      </c>
      <c r="AD659" s="960">
        <f t="array" ref="AD659">HLOOKUP($J659,'Type Chart'!$C$2:$T$20,11,false)*HLOOKUP($K659,'Type Chart'!$C$2:$U$20,11,false)</f>
        <v>0.5</v>
      </c>
      <c r="AE659" s="960">
        <f t="array" ref="AE659">HLOOKUP($J659,'Type Chart'!$C$2:$T$20,12,false)*HLOOKUP($K659,'Type Chart'!$C$2:$U$20,12,false)</f>
        <v>2</v>
      </c>
      <c r="AF659" s="960">
        <f t="array" ref="AF659">HLOOKUP($J659,'Type Chart'!$C$2:$T$20,13,false)*HLOOKUP($K659,'Type Chart'!$C$2:$U$20,13,false)</f>
        <v>0.5</v>
      </c>
      <c r="AG659" s="960">
        <f t="array" ref="AG659">HLOOKUP($J659,'Type Chart'!$C$2:$T$20,14,false)*HLOOKUP($K659,'Type Chart'!$C$2:$U$20,14,false)</f>
        <v>1</v>
      </c>
      <c r="AH659" s="960">
        <f t="array" ref="AH659">HLOOKUP($J659,'Type Chart'!$C$2:$T$20,15,false)*HLOOKUP($K659,'Type Chart'!$C$2:$U$20,15,false)</f>
        <v>1</v>
      </c>
      <c r="AI659" s="960">
        <f t="array" ref="AI659">HLOOKUP($J659,'Type Chart'!$C$2:$T$20,16,false)*HLOOKUP($K659,'Type Chart'!$C$2:$U$20,16,false)</f>
        <v>0.5</v>
      </c>
      <c r="AJ659" s="960">
        <f t="array" ref="AJ659">HLOOKUP($J659,'Type Chart'!$C$2:$T$20,17,false)*HLOOKUP($K659,'Type Chart'!$C$2:$U$20,17,false)</f>
        <v>1</v>
      </c>
      <c r="AK659" s="960">
        <f t="array" ref="AK659">HLOOKUP($J659,'Type Chart'!$C$2:$T$20,18,false)*HLOOKUP($K659,'Type Chart'!$C$2:$U$20,18,false)</f>
        <v>1</v>
      </c>
      <c r="AL659" s="960">
        <f t="array" ref="AL659">HLOOKUP($J659,'Type Chart'!$C$2:$T$20,19,false)*HLOOKUP($K659,'Type Chart'!$C$2:$U$20,19,false)</f>
        <v>0.5</v>
      </c>
      <c r="AM659" s="964" t="s">
        <v>1044</v>
      </c>
      <c r="AN659" s="965"/>
      <c r="AO659" s="966" t="s">
        <v>830</v>
      </c>
      <c r="AP659" s="936"/>
      <c r="AQ659" s="967"/>
      <c r="AR659" s="968"/>
      <c r="AS659" s="936"/>
    </row>
    <row r="660" ht="15.75" customHeight="1">
      <c r="A660" s="936"/>
      <c r="B660" s="948" t="s">
        <v>2835</v>
      </c>
      <c r="C660" s="950" t="s">
        <v>2836</v>
      </c>
      <c r="D660" s="950" t="s">
        <v>2836</v>
      </c>
      <c r="E660" s="952" t="s">
        <v>2836</v>
      </c>
      <c r="F660" s="940"/>
      <c r="G660" s="953"/>
      <c r="H660" s="969"/>
      <c r="I660" s="998" t="s">
        <v>2837</v>
      </c>
      <c r="J660" s="982" t="s">
        <v>150</v>
      </c>
      <c r="K660" s="984" t="s">
        <v>216</v>
      </c>
      <c r="L660" s="959">
        <v>75.0</v>
      </c>
      <c r="M660" s="960">
        <v>98.0</v>
      </c>
      <c r="N660" s="960">
        <v>63.0</v>
      </c>
      <c r="O660" s="960">
        <v>98.0</v>
      </c>
      <c r="P660" s="960">
        <v>63.0</v>
      </c>
      <c r="Q660" s="960">
        <v>101.0</v>
      </c>
      <c r="R660" s="960">
        <v>238.0</v>
      </c>
      <c r="S660" s="960">
        <v>301.0</v>
      </c>
      <c r="T660" s="960">
        <v>331.0</v>
      </c>
      <c r="U660" s="960">
        <f t="array" ref="U660">HLOOKUP($J660,'Type Chart'!$C$2:$T$20,2,false)*HLOOKUP($K660,'Type Chart'!$C$2:$U$20,2,false)</f>
        <v>1</v>
      </c>
      <c r="V660" s="960">
        <f t="array" ref="V660">HLOOKUP($J660,'Type Chart'!$C$2:$T$20,3,false)*HLOOKUP($K660,'Type Chart'!$C$2:$U$20,3,false)</f>
        <v>1</v>
      </c>
      <c r="W660" s="960">
        <f t="array" ref="W660">HLOOKUP($J660,'Type Chart'!$C$2:$T$20,4,false)*HLOOKUP($K660,'Type Chart'!$C$2:$U$20,4,false)</f>
        <v>1</v>
      </c>
      <c r="X660" s="960">
        <f t="array" ref="X660">HLOOKUP($J660,'Type Chart'!$C$2:$T$20,5,false)*HLOOKUP($K660,'Type Chart'!$C$2:$U$20,5,false)</f>
        <v>1</v>
      </c>
      <c r="Y660" s="960">
        <f t="array" ref="Y660">HLOOKUP($J660,'Type Chart'!$C$2:$T$20,6,false)*HLOOKUP($K660,'Type Chart'!$C$2:$U$20,6,false)</f>
        <v>2</v>
      </c>
      <c r="Z660" s="960">
        <f t="array" ref="Z660">HLOOKUP($J660,'Type Chart'!$C$2:$T$20,7,false)*HLOOKUP($K660,'Type Chart'!$C$2:$U$20,7,false)</f>
        <v>2</v>
      </c>
      <c r="AA660" s="960">
        <f t="array" ref="AA660">HLOOKUP($J660,'Type Chart'!$C$2:$T$20,8,false)*HLOOKUP($K660,'Type Chart'!$C$2:$U$20,8,false)</f>
        <v>0.5</v>
      </c>
      <c r="AB660" s="960">
        <f t="array" ref="AB660">HLOOKUP($J660,'Type Chart'!$C$2:$T$20,9,false)*HLOOKUP($K660,'Type Chart'!$C$2:$U$20,9,false)</f>
        <v>1</v>
      </c>
      <c r="AC660" s="960">
        <f t="array" ref="AC660">HLOOKUP($J660,'Type Chart'!$C$2:$T$20,10,false)*HLOOKUP($K660,'Type Chart'!$C$2:$U$20,10,false)</f>
        <v>0.5</v>
      </c>
      <c r="AD660" s="960">
        <f t="array" ref="AD660">HLOOKUP($J660,'Type Chart'!$C$2:$T$20,11,false)*HLOOKUP($K660,'Type Chart'!$C$2:$U$20,11,false)</f>
        <v>0.5</v>
      </c>
      <c r="AE660" s="960">
        <f t="array" ref="AE660">HLOOKUP($J660,'Type Chart'!$C$2:$T$20,12,false)*HLOOKUP($K660,'Type Chart'!$C$2:$U$20,12,false)</f>
        <v>2</v>
      </c>
      <c r="AF660" s="960">
        <f t="array" ref="AF660">HLOOKUP($J660,'Type Chart'!$C$2:$T$20,13,false)*HLOOKUP($K660,'Type Chart'!$C$2:$U$20,13,false)</f>
        <v>0.5</v>
      </c>
      <c r="AG660" s="960">
        <f t="array" ref="AG660">HLOOKUP($J660,'Type Chart'!$C$2:$T$20,14,false)*HLOOKUP($K660,'Type Chart'!$C$2:$U$20,14,false)</f>
        <v>1</v>
      </c>
      <c r="AH660" s="960">
        <f t="array" ref="AH660">HLOOKUP($J660,'Type Chart'!$C$2:$T$20,15,false)*HLOOKUP($K660,'Type Chart'!$C$2:$U$20,15,false)</f>
        <v>1</v>
      </c>
      <c r="AI660" s="960">
        <f t="array" ref="AI660">HLOOKUP($J660,'Type Chart'!$C$2:$T$20,16,false)*HLOOKUP($K660,'Type Chart'!$C$2:$U$20,16,false)</f>
        <v>0.5</v>
      </c>
      <c r="AJ660" s="960">
        <f t="array" ref="AJ660">HLOOKUP($J660,'Type Chart'!$C$2:$T$20,17,false)*HLOOKUP($K660,'Type Chart'!$C$2:$U$20,17,false)</f>
        <v>1</v>
      </c>
      <c r="AK660" s="960">
        <f t="array" ref="AK660">HLOOKUP($J660,'Type Chart'!$C$2:$T$20,18,false)*HLOOKUP($K660,'Type Chart'!$C$2:$U$20,18,false)</f>
        <v>1</v>
      </c>
      <c r="AL660" s="960">
        <f t="array" ref="AL660">HLOOKUP($J660,'Type Chart'!$C$2:$T$20,19,false)*HLOOKUP($K660,'Type Chart'!$C$2:$U$20,19,false)</f>
        <v>0.5</v>
      </c>
      <c r="AM660" s="964" t="s">
        <v>1044</v>
      </c>
      <c r="AN660" s="965"/>
      <c r="AO660" s="966" t="s">
        <v>830</v>
      </c>
      <c r="AP660" s="936"/>
      <c r="AQ660" s="967"/>
      <c r="AR660" s="968"/>
      <c r="AS660" s="936"/>
    </row>
    <row r="661" ht="15.75" customHeight="1">
      <c r="A661" s="936"/>
      <c r="B661" s="948" t="s">
        <v>2838</v>
      </c>
      <c r="C661" s="950" t="s">
        <v>2839</v>
      </c>
      <c r="D661" s="950" t="s">
        <v>2839</v>
      </c>
      <c r="E661" s="952" t="s">
        <v>2839</v>
      </c>
      <c r="F661" s="940"/>
      <c r="G661" s="953"/>
      <c r="H661" s="969"/>
      <c r="I661" s="998" t="s">
        <v>2840</v>
      </c>
      <c r="J661" s="1056" t="s">
        <v>81</v>
      </c>
      <c r="K661" s="984" t="s">
        <v>216</v>
      </c>
      <c r="L661" s="959">
        <v>50.0</v>
      </c>
      <c r="M661" s="960">
        <v>53.0</v>
      </c>
      <c r="N661" s="960">
        <v>48.0</v>
      </c>
      <c r="O661" s="960">
        <v>53.0</v>
      </c>
      <c r="P661" s="960">
        <v>48.0</v>
      </c>
      <c r="Q661" s="960">
        <v>64.0</v>
      </c>
      <c r="R661" s="960">
        <v>164.0</v>
      </c>
      <c r="S661" s="960">
        <v>227.0</v>
      </c>
      <c r="T661" s="960">
        <v>249.0</v>
      </c>
      <c r="U661" s="960">
        <f t="array" ref="U661">HLOOKUP($J661,'Type Chart'!$C$2:$T$20,2,false)*HLOOKUP($K661,'Type Chart'!$C$2:$U$20,2,false)</f>
        <v>1</v>
      </c>
      <c r="V661" s="960">
        <f t="array" ref="V661">HLOOKUP($J661,'Type Chart'!$C$2:$T$20,3,false)*HLOOKUP($K661,'Type Chart'!$C$2:$U$20,3,false)</f>
        <v>1</v>
      </c>
      <c r="W661" s="960">
        <f t="array" ref="W661">HLOOKUP($J661,'Type Chart'!$C$2:$T$20,4,false)*HLOOKUP($K661,'Type Chart'!$C$2:$U$20,4,false)</f>
        <v>1</v>
      </c>
      <c r="X661" s="960">
        <f t="array" ref="X661">HLOOKUP($J661,'Type Chart'!$C$2:$T$20,5,false)*HLOOKUP($K661,'Type Chart'!$C$2:$U$20,5,false)</f>
        <v>1</v>
      </c>
      <c r="Y661" s="960">
        <f t="array" ref="Y661">HLOOKUP($J661,'Type Chart'!$C$2:$T$20,6,false)*HLOOKUP($K661,'Type Chart'!$C$2:$U$20,6,false)</f>
        <v>1</v>
      </c>
      <c r="Z661" s="960">
        <f t="array" ref="Z661">HLOOKUP($J661,'Type Chart'!$C$2:$T$20,7,false)*HLOOKUP($K661,'Type Chart'!$C$2:$U$20,7,false)</f>
        <v>1</v>
      </c>
      <c r="AA661" s="960">
        <f t="array" ref="AA661">HLOOKUP($J661,'Type Chart'!$C$2:$T$20,8,false)*HLOOKUP($K661,'Type Chart'!$C$2:$U$20,8,false)</f>
        <v>1</v>
      </c>
      <c r="AB661" s="960">
        <f t="array" ref="AB661">HLOOKUP($J661,'Type Chart'!$C$2:$T$20,9,false)*HLOOKUP($K661,'Type Chart'!$C$2:$U$20,9,false)</f>
        <v>1</v>
      </c>
      <c r="AC661" s="960">
        <f t="array" ref="AC661">HLOOKUP($J661,'Type Chart'!$C$2:$T$20,10,false)*HLOOKUP($K661,'Type Chart'!$C$2:$U$20,10,false)</f>
        <v>0.5</v>
      </c>
      <c r="AD661" s="960">
        <f t="array" ref="AD661">HLOOKUP($J661,'Type Chart'!$C$2:$T$20,11,false)*HLOOKUP($K661,'Type Chart'!$C$2:$U$20,11,false)</f>
        <v>0.5</v>
      </c>
      <c r="AE661" s="960">
        <f t="array" ref="AE661">HLOOKUP($J661,'Type Chart'!$C$2:$T$20,12,false)*HLOOKUP($K661,'Type Chart'!$C$2:$U$20,12,false)</f>
        <v>0.5</v>
      </c>
      <c r="AF661" s="960">
        <f t="array" ref="AF661">HLOOKUP($J661,'Type Chart'!$C$2:$T$20,13,false)*HLOOKUP($K661,'Type Chart'!$C$2:$U$20,13,false)</f>
        <v>2</v>
      </c>
      <c r="AG661" s="960">
        <f t="array" ref="AG661">HLOOKUP($J661,'Type Chart'!$C$2:$T$20,14,false)*HLOOKUP($K661,'Type Chart'!$C$2:$U$20,14,false)</f>
        <v>2</v>
      </c>
      <c r="AH661" s="960">
        <f t="array" ref="AH661">HLOOKUP($J661,'Type Chart'!$C$2:$T$20,15,false)*HLOOKUP($K661,'Type Chart'!$C$2:$U$20,15,false)</f>
        <v>1</v>
      </c>
      <c r="AI661" s="960">
        <f t="array" ref="AI661">HLOOKUP($J661,'Type Chart'!$C$2:$T$20,16,false)*HLOOKUP($K661,'Type Chart'!$C$2:$U$20,16,false)</f>
        <v>0.5</v>
      </c>
      <c r="AJ661" s="960">
        <f t="array" ref="AJ661">HLOOKUP($J661,'Type Chart'!$C$2:$T$20,17,false)*HLOOKUP($K661,'Type Chart'!$C$2:$U$20,17,false)</f>
        <v>1</v>
      </c>
      <c r="AK661" s="960">
        <f t="array" ref="AK661">HLOOKUP($J661,'Type Chart'!$C$2:$T$20,18,false)*HLOOKUP($K661,'Type Chart'!$C$2:$U$20,18,false)</f>
        <v>1</v>
      </c>
      <c r="AL661" s="960">
        <f t="array" ref="AL661">HLOOKUP($J661,'Type Chart'!$C$2:$T$20,19,false)*HLOOKUP($K661,'Type Chart'!$C$2:$U$20,19,false)</f>
        <v>1</v>
      </c>
      <c r="AM661" s="964" t="s">
        <v>1044</v>
      </c>
      <c r="AN661" s="965"/>
      <c r="AO661" s="966" t="s">
        <v>959</v>
      </c>
      <c r="AP661" s="936"/>
      <c r="AQ661" s="967"/>
      <c r="AR661" s="968"/>
      <c r="AS661" s="936"/>
    </row>
    <row r="662" ht="15.75" customHeight="1">
      <c r="A662" s="936"/>
      <c r="B662" s="948" t="s">
        <v>2841</v>
      </c>
      <c r="C662" s="950" t="s">
        <v>2842</v>
      </c>
      <c r="D662" s="950" t="s">
        <v>2842</v>
      </c>
      <c r="E662" s="952" t="s">
        <v>2842</v>
      </c>
      <c r="F662" s="940"/>
      <c r="G662" s="953"/>
      <c r="H662" s="969"/>
      <c r="I662" s="998" t="s">
        <v>2843</v>
      </c>
      <c r="J662" s="1056" t="s">
        <v>81</v>
      </c>
      <c r="K662" s="984" t="s">
        <v>216</v>
      </c>
      <c r="L662" s="959">
        <v>75.0</v>
      </c>
      <c r="M662" s="960">
        <v>98.0</v>
      </c>
      <c r="N662" s="960">
        <v>63.0</v>
      </c>
      <c r="O662" s="960">
        <v>98.0</v>
      </c>
      <c r="P662" s="960">
        <v>63.0</v>
      </c>
      <c r="Q662" s="960">
        <v>101.0</v>
      </c>
      <c r="R662" s="960">
        <v>238.0</v>
      </c>
      <c r="S662" s="960">
        <v>301.0</v>
      </c>
      <c r="T662" s="960">
        <v>331.0</v>
      </c>
      <c r="U662" s="960">
        <f t="array" ref="U662">HLOOKUP($J662,'Type Chart'!$C$2:$T$20,2,false)*HLOOKUP($K662,'Type Chart'!$C$2:$U$20,2,false)</f>
        <v>1</v>
      </c>
      <c r="V662" s="960">
        <f t="array" ref="V662">HLOOKUP($J662,'Type Chart'!$C$2:$T$20,3,false)*HLOOKUP($K662,'Type Chart'!$C$2:$U$20,3,false)</f>
        <v>1</v>
      </c>
      <c r="W662" s="960">
        <f t="array" ref="W662">HLOOKUP($J662,'Type Chart'!$C$2:$T$20,4,false)*HLOOKUP($K662,'Type Chart'!$C$2:$U$20,4,false)</f>
        <v>1</v>
      </c>
      <c r="X662" s="960">
        <f t="array" ref="X662">HLOOKUP($J662,'Type Chart'!$C$2:$T$20,5,false)*HLOOKUP($K662,'Type Chart'!$C$2:$U$20,5,false)</f>
        <v>1</v>
      </c>
      <c r="Y662" s="960">
        <f t="array" ref="Y662">HLOOKUP($J662,'Type Chart'!$C$2:$T$20,6,false)*HLOOKUP($K662,'Type Chart'!$C$2:$U$20,6,false)</f>
        <v>1</v>
      </c>
      <c r="Z662" s="960">
        <f t="array" ref="Z662">HLOOKUP($J662,'Type Chart'!$C$2:$T$20,7,false)*HLOOKUP($K662,'Type Chart'!$C$2:$U$20,7,false)</f>
        <v>1</v>
      </c>
      <c r="AA662" s="960">
        <f t="array" ref="AA662">HLOOKUP($J662,'Type Chart'!$C$2:$T$20,8,false)*HLOOKUP($K662,'Type Chart'!$C$2:$U$20,8,false)</f>
        <v>1</v>
      </c>
      <c r="AB662" s="960">
        <f t="array" ref="AB662">HLOOKUP($J662,'Type Chart'!$C$2:$T$20,9,false)*HLOOKUP($K662,'Type Chart'!$C$2:$U$20,9,false)</f>
        <v>1</v>
      </c>
      <c r="AC662" s="960">
        <f t="array" ref="AC662">HLOOKUP($J662,'Type Chart'!$C$2:$T$20,10,false)*HLOOKUP($K662,'Type Chart'!$C$2:$U$20,10,false)</f>
        <v>0.5</v>
      </c>
      <c r="AD662" s="960">
        <f t="array" ref="AD662">HLOOKUP($J662,'Type Chart'!$C$2:$T$20,11,false)*HLOOKUP($K662,'Type Chart'!$C$2:$U$20,11,false)</f>
        <v>0.5</v>
      </c>
      <c r="AE662" s="960">
        <f t="array" ref="AE662">HLOOKUP($J662,'Type Chart'!$C$2:$T$20,12,false)*HLOOKUP($K662,'Type Chart'!$C$2:$U$20,12,false)</f>
        <v>0.5</v>
      </c>
      <c r="AF662" s="960">
        <f t="array" ref="AF662">HLOOKUP($J662,'Type Chart'!$C$2:$T$20,13,false)*HLOOKUP($K662,'Type Chart'!$C$2:$U$20,13,false)</f>
        <v>2</v>
      </c>
      <c r="AG662" s="960">
        <f t="array" ref="AG662">HLOOKUP($J662,'Type Chart'!$C$2:$T$20,14,false)*HLOOKUP($K662,'Type Chart'!$C$2:$U$20,14,false)</f>
        <v>2</v>
      </c>
      <c r="AH662" s="960">
        <f t="array" ref="AH662">HLOOKUP($J662,'Type Chart'!$C$2:$T$20,15,false)*HLOOKUP($K662,'Type Chart'!$C$2:$U$20,15,false)</f>
        <v>1</v>
      </c>
      <c r="AI662" s="960">
        <f t="array" ref="AI662">HLOOKUP($J662,'Type Chart'!$C$2:$T$20,16,false)*HLOOKUP($K662,'Type Chart'!$C$2:$U$20,16,false)</f>
        <v>0.5</v>
      </c>
      <c r="AJ662" s="960">
        <f t="array" ref="AJ662">HLOOKUP($J662,'Type Chart'!$C$2:$T$20,17,false)*HLOOKUP($K662,'Type Chart'!$C$2:$U$20,17,false)</f>
        <v>1</v>
      </c>
      <c r="AK662" s="960">
        <f t="array" ref="AK662">HLOOKUP($J662,'Type Chart'!$C$2:$T$20,18,false)*HLOOKUP($K662,'Type Chart'!$C$2:$U$20,18,false)</f>
        <v>1</v>
      </c>
      <c r="AL662" s="960">
        <f t="array" ref="AL662">HLOOKUP($J662,'Type Chart'!$C$2:$T$20,19,false)*HLOOKUP($K662,'Type Chart'!$C$2:$U$20,19,false)</f>
        <v>1</v>
      </c>
      <c r="AM662" s="964" t="s">
        <v>1044</v>
      </c>
      <c r="AN662" s="965"/>
      <c r="AO662" s="966" t="s">
        <v>959</v>
      </c>
      <c r="AP662" s="936"/>
      <c r="AQ662" s="967"/>
      <c r="AR662" s="968"/>
      <c r="AS662" s="936"/>
    </row>
    <row r="663" ht="15.75" customHeight="1">
      <c r="A663" s="936"/>
      <c r="B663" s="948" t="s">
        <v>2844</v>
      </c>
      <c r="C663" s="950" t="s">
        <v>2845</v>
      </c>
      <c r="D663" s="950" t="s">
        <v>2845</v>
      </c>
      <c r="E663" s="952" t="s">
        <v>2845</v>
      </c>
      <c r="F663" s="940"/>
      <c r="G663" s="953"/>
      <c r="H663" s="969"/>
      <c r="I663" s="998" t="s">
        <v>2846</v>
      </c>
      <c r="J663" s="1203" t="s">
        <v>344</v>
      </c>
      <c r="K663" s="984" t="s">
        <v>216</v>
      </c>
      <c r="L663" s="959">
        <v>76.0</v>
      </c>
      <c r="M663" s="960">
        <v>25.0</v>
      </c>
      <c r="N663" s="960">
        <v>45.0</v>
      </c>
      <c r="O663" s="960">
        <v>67.0</v>
      </c>
      <c r="P663" s="960">
        <v>55.0</v>
      </c>
      <c r="Q663" s="960">
        <v>24.0</v>
      </c>
      <c r="R663" s="960">
        <v>84.0</v>
      </c>
      <c r="S663" s="960">
        <v>147.0</v>
      </c>
      <c r="T663" s="960">
        <v>161.0</v>
      </c>
      <c r="U663" s="960">
        <f t="array" ref="U663">HLOOKUP($J663,'Type Chart'!$C$2:$T$20,2,false)*HLOOKUP($K663,'Type Chart'!$C$2:$U$20,2,false)</f>
        <v>1</v>
      </c>
      <c r="V663" s="960">
        <f t="array" ref="V663">HLOOKUP($J663,'Type Chart'!$C$2:$T$20,3,false)*HLOOKUP($K663,'Type Chart'!$C$2:$U$20,3,false)</f>
        <v>0.5</v>
      </c>
      <c r="W663" s="960">
        <f t="array" ref="W663">HLOOKUP($J663,'Type Chart'!$C$2:$T$20,4,false)*HLOOKUP($K663,'Type Chart'!$C$2:$U$20,4,false)</f>
        <v>1</v>
      </c>
      <c r="X663" s="960">
        <f t="array" ref="X663">HLOOKUP($J663,'Type Chart'!$C$2:$T$20,5,false)*HLOOKUP($K663,'Type Chart'!$C$2:$U$20,5,false)</f>
        <v>1</v>
      </c>
      <c r="Y663" s="960">
        <f t="array" ref="Y663">HLOOKUP($J663,'Type Chart'!$C$2:$T$20,6,false)*HLOOKUP($K663,'Type Chart'!$C$2:$U$20,6,false)</f>
        <v>1</v>
      </c>
      <c r="Z663" s="960">
        <f t="array" ref="Z663">HLOOKUP($J663,'Type Chart'!$C$2:$T$20,7,false)*HLOOKUP($K663,'Type Chart'!$C$2:$U$20,7,false)</f>
        <v>1</v>
      </c>
      <c r="AA663" s="960">
        <f t="array" ref="AA663">HLOOKUP($J663,'Type Chart'!$C$2:$T$20,8,false)*HLOOKUP($K663,'Type Chart'!$C$2:$U$20,8,false)</f>
        <v>2</v>
      </c>
      <c r="AB663" s="960">
        <f t="array" ref="AB663">HLOOKUP($J663,'Type Chart'!$C$2:$T$20,9,false)*HLOOKUP($K663,'Type Chart'!$C$2:$U$20,9,false)</f>
        <v>2</v>
      </c>
      <c r="AC663" s="960">
        <f t="array" ref="AC663">HLOOKUP($J663,'Type Chart'!$C$2:$T$20,10,false)*HLOOKUP($K663,'Type Chart'!$C$2:$U$20,10,false)</f>
        <v>1</v>
      </c>
      <c r="AD663" s="960">
        <f t="array" ref="AD663">HLOOKUP($J663,'Type Chart'!$C$2:$T$20,11,false)*HLOOKUP($K663,'Type Chart'!$C$2:$U$20,11,false)</f>
        <v>1</v>
      </c>
      <c r="AE663" s="960">
        <f t="array" ref="AE663">HLOOKUP($J663,'Type Chart'!$C$2:$T$20,12,false)*HLOOKUP($K663,'Type Chart'!$C$2:$U$20,12,false)</f>
        <v>1</v>
      </c>
      <c r="AF663" s="960">
        <f t="array" ref="AF663">HLOOKUP($J663,'Type Chart'!$C$2:$T$20,13,false)*HLOOKUP($K663,'Type Chart'!$C$2:$U$20,13,false)</f>
        <v>1</v>
      </c>
      <c r="AG663" s="960">
        <f t="array" ref="AG663">HLOOKUP($J663,'Type Chart'!$C$2:$T$20,14,false)*HLOOKUP($K663,'Type Chart'!$C$2:$U$20,14,false)</f>
        <v>1</v>
      </c>
      <c r="AH663" s="960">
        <f t="array" ref="AH663">HLOOKUP($J663,'Type Chart'!$C$2:$T$20,15,false)*HLOOKUP($K663,'Type Chart'!$C$2:$U$20,15,false)</f>
        <v>0.5</v>
      </c>
      <c r="AI663" s="960">
        <f t="array" ref="AI663">HLOOKUP($J663,'Type Chart'!$C$2:$T$20,16,false)*HLOOKUP($K663,'Type Chart'!$C$2:$U$20,16,false)</f>
        <v>1</v>
      </c>
      <c r="AJ663" s="960">
        <f t="array" ref="AJ663">HLOOKUP($J663,'Type Chart'!$C$2:$T$20,17,false)*HLOOKUP($K663,'Type Chart'!$C$2:$U$20,17,false)</f>
        <v>1</v>
      </c>
      <c r="AK663" s="960">
        <f t="array" ref="AK663">HLOOKUP($J663,'Type Chart'!$C$2:$T$20,18,false)*HLOOKUP($K663,'Type Chart'!$C$2:$U$20,18,false)</f>
        <v>2</v>
      </c>
      <c r="AL663" s="960">
        <f t="array" ref="AL663">HLOOKUP($J663,'Type Chart'!$C$2:$T$20,19,false)*HLOOKUP($K663,'Type Chart'!$C$2:$U$20,19,false)</f>
        <v>1</v>
      </c>
      <c r="AM663" s="964" t="s">
        <v>1455</v>
      </c>
      <c r="AN663" s="965" t="s">
        <v>1292</v>
      </c>
      <c r="AO663" s="966" t="s">
        <v>1828</v>
      </c>
      <c r="AP663" s="936"/>
      <c r="AQ663" s="967"/>
      <c r="AR663" s="968"/>
      <c r="AS663" s="936"/>
    </row>
    <row r="664" ht="15.75" customHeight="1">
      <c r="A664" s="936"/>
      <c r="B664" s="948" t="s">
        <v>2847</v>
      </c>
      <c r="C664" s="950" t="s">
        <v>2848</v>
      </c>
      <c r="D664" s="950" t="s">
        <v>2848</v>
      </c>
      <c r="E664" s="1147" t="s">
        <v>2848</v>
      </c>
      <c r="F664" s="940"/>
      <c r="G664" s="953"/>
      <c r="H664" s="969"/>
      <c r="I664" s="998" t="s">
        <v>2849</v>
      </c>
      <c r="J664" s="1203" t="s">
        <v>344</v>
      </c>
      <c r="K664" s="984" t="s">
        <v>216</v>
      </c>
      <c r="L664" s="959">
        <v>116.0</v>
      </c>
      <c r="M664" s="960">
        <v>55.0</v>
      </c>
      <c r="N664" s="960">
        <v>85.0</v>
      </c>
      <c r="O664" s="960">
        <v>107.0</v>
      </c>
      <c r="P664" s="960">
        <v>95.0</v>
      </c>
      <c r="Q664" s="960">
        <v>29.0</v>
      </c>
      <c r="R664" s="960">
        <v>94.0</v>
      </c>
      <c r="S664" s="960">
        <v>157.0</v>
      </c>
      <c r="T664" s="960">
        <v>172.0</v>
      </c>
      <c r="U664" s="960">
        <f t="array" ref="U664">HLOOKUP($J664,'Type Chart'!$C$2:$T$20,2,false)*HLOOKUP($K664,'Type Chart'!$C$2:$U$20,2,false)</f>
        <v>1</v>
      </c>
      <c r="V664" s="960">
        <f t="array" ref="V664">HLOOKUP($J664,'Type Chart'!$C$2:$T$20,3,false)*HLOOKUP($K664,'Type Chart'!$C$2:$U$20,3,false)</f>
        <v>0.5</v>
      </c>
      <c r="W664" s="960">
        <f t="array" ref="W664">HLOOKUP($J664,'Type Chart'!$C$2:$T$20,4,false)*HLOOKUP($K664,'Type Chart'!$C$2:$U$20,4,false)</f>
        <v>1</v>
      </c>
      <c r="X664" s="960">
        <f t="array" ref="X664">HLOOKUP($J664,'Type Chart'!$C$2:$T$20,5,false)*HLOOKUP($K664,'Type Chart'!$C$2:$U$20,5,false)</f>
        <v>1</v>
      </c>
      <c r="Y664" s="960">
        <f t="array" ref="Y664">HLOOKUP($J664,'Type Chart'!$C$2:$T$20,6,false)*HLOOKUP($K664,'Type Chart'!$C$2:$U$20,6,false)</f>
        <v>1</v>
      </c>
      <c r="Z664" s="960">
        <f t="array" ref="Z664">HLOOKUP($J664,'Type Chart'!$C$2:$T$20,7,false)*HLOOKUP($K664,'Type Chart'!$C$2:$U$20,7,false)</f>
        <v>1</v>
      </c>
      <c r="AA664" s="960">
        <f t="array" ref="AA664">HLOOKUP($J664,'Type Chart'!$C$2:$T$20,8,false)*HLOOKUP($K664,'Type Chart'!$C$2:$U$20,8,false)</f>
        <v>2</v>
      </c>
      <c r="AB664" s="960">
        <f t="array" ref="AB664">HLOOKUP($J664,'Type Chart'!$C$2:$T$20,9,false)*HLOOKUP($K664,'Type Chart'!$C$2:$U$20,9,false)</f>
        <v>2</v>
      </c>
      <c r="AC664" s="960">
        <f t="array" ref="AC664">HLOOKUP($J664,'Type Chart'!$C$2:$T$20,10,false)*HLOOKUP($K664,'Type Chart'!$C$2:$U$20,10,false)</f>
        <v>1</v>
      </c>
      <c r="AD664" s="960">
        <f t="array" ref="AD664">HLOOKUP($J664,'Type Chart'!$C$2:$T$20,11,false)*HLOOKUP($K664,'Type Chart'!$C$2:$U$20,11,false)</f>
        <v>1</v>
      </c>
      <c r="AE664" s="960">
        <f t="array" ref="AE664">HLOOKUP($J664,'Type Chart'!$C$2:$T$20,12,false)*HLOOKUP($K664,'Type Chart'!$C$2:$U$20,12,false)</f>
        <v>1</v>
      </c>
      <c r="AF664" s="960">
        <f t="array" ref="AF664">HLOOKUP($J664,'Type Chart'!$C$2:$T$20,13,false)*HLOOKUP($K664,'Type Chart'!$C$2:$U$20,13,false)</f>
        <v>1</v>
      </c>
      <c r="AG664" s="960">
        <f t="array" ref="AG664">HLOOKUP($J664,'Type Chart'!$C$2:$T$20,14,false)*HLOOKUP($K664,'Type Chart'!$C$2:$U$20,14,false)</f>
        <v>1</v>
      </c>
      <c r="AH664" s="960">
        <f t="array" ref="AH664">HLOOKUP($J664,'Type Chart'!$C$2:$T$20,15,false)*HLOOKUP($K664,'Type Chart'!$C$2:$U$20,15,false)</f>
        <v>0.5</v>
      </c>
      <c r="AI664" s="960">
        <f t="array" ref="AI664">HLOOKUP($J664,'Type Chart'!$C$2:$T$20,16,false)*HLOOKUP($K664,'Type Chart'!$C$2:$U$20,16,false)</f>
        <v>1</v>
      </c>
      <c r="AJ664" s="960">
        <f t="array" ref="AJ664">HLOOKUP($J664,'Type Chart'!$C$2:$T$20,17,false)*HLOOKUP($K664,'Type Chart'!$C$2:$U$20,17,false)</f>
        <v>1</v>
      </c>
      <c r="AK664" s="960">
        <f t="array" ref="AK664">HLOOKUP($J664,'Type Chart'!$C$2:$T$20,18,false)*HLOOKUP($K664,'Type Chart'!$C$2:$U$20,18,false)</f>
        <v>2</v>
      </c>
      <c r="AL664" s="960">
        <f t="array" ref="AL664">HLOOKUP($J664,'Type Chart'!$C$2:$T$20,19,false)*HLOOKUP($K664,'Type Chart'!$C$2:$U$20,19,false)</f>
        <v>1</v>
      </c>
      <c r="AM664" s="964" t="s">
        <v>1455</v>
      </c>
      <c r="AN664" s="965" t="s">
        <v>1292</v>
      </c>
      <c r="AO664" s="966" t="s">
        <v>1828</v>
      </c>
      <c r="AP664" s="936"/>
      <c r="AQ664" s="967"/>
      <c r="AR664" s="968"/>
      <c r="AS664" s="936"/>
    </row>
    <row r="665" ht="15.75" customHeight="1">
      <c r="A665" s="936"/>
      <c r="B665" s="948" t="s">
        <v>2850</v>
      </c>
      <c r="C665" s="950" t="s">
        <v>2851</v>
      </c>
      <c r="D665" s="950" t="s">
        <v>2851</v>
      </c>
      <c r="E665" s="1147" t="s">
        <v>2851</v>
      </c>
      <c r="F665" s="940"/>
      <c r="G665" s="953"/>
      <c r="H665" s="969"/>
      <c r="I665" s="998" t="s">
        <v>2852</v>
      </c>
      <c r="J665" s="1194" t="s">
        <v>136</v>
      </c>
      <c r="K665" s="1001" t="s">
        <v>128</v>
      </c>
      <c r="L665" s="959">
        <v>50.0</v>
      </c>
      <c r="M665" s="960">
        <v>55.0</v>
      </c>
      <c r="N665" s="960">
        <v>50.0</v>
      </c>
      <c r="O665" s="960">
        <v>36.0</v>
      </c>
      <c r="P665" s="960">
        <v>30.0</v>
      </c>
      <c r="Q665" s="960">
        <v>43.0</v>
      </c>
      <c r="R665" s="960">
        <v>122.0</v>
      </c>
      <c r="S665" s="960">
        <v>185.0</v>
      </c>
      <c r="T665" s="960">
        <v>203.0</v>
      </c>
      <c r="U665" s="960">
        <f t="array" ref="U665">HLOOKUP($J665,'Type Chart'!$C$2:$T$20,2,false)*HLOOKUP($K665,'Type Chart'!$C$2:$U$20,2,false)</f>
        <v>1</v>
      </c>
      <c r="V665" s="960">
        <f t="array" ref="V665">HLOOKUP($J665,'Type Chart'!$C$2:$T$20,3,false)*HLOOKUP($K665,'Type Chart'!$C$2:$U$20,3,false)</f>
        <v>1</v>
      </c>
      <c r="W665" s="960">
        <f t="array" ref="W665">HLOOKUP($J665,'Type Chart'!$C$2:$T$20,4,false)*HLOOKUP($K665,'Type Chart'!$C$2:$U$20,4,false)</f>
        <v>1</v>
      </c>
      <c r="X665" s="960">
        <f t="array" ref="X665">HLOOKUP($J665,'Type Chart'!$C$2:$T$20,5,false)*HLOOKUP($K665,'Type Chart'!$C$2:$U$20,5,false)</f>
        <v>1</v>
      </c>
      <c r="Y665" s="960">
        <f t="array" ref="Y665">HLOOKUP($J665,'Type Chart'!$C$2:$T$20,6,false)*HLOOKUP($K665,'Type Chart'!$C$2:$U$20,6,false)</f>
        <v>0</v>
      </c>
      <c r="Z665" s="960">
        <f t="array" ref="Z665">HLOOKUP($J665,'Type Chart'!$C$2:$T$20,7,false)*HLOOKUP($K665,'Type Chart'!$C$2:$U$20,7,false)</f>
        <v>2</v>
      </c>
      <c r="AA665" s="960">
        <f t="array" ref="AA665">HLOOKUP($J665,'Type Chart'!$C$2:$T$20,8,false)*HLOOKUP($K665,'Type Chart'!$C$2:$U$20,8,false)</f>
        <v>0.5</v>
      </c>
      <c r="AB665" s="960">
        <f t="array" ref="AB665">HLOOKUP($J665,'Type Chart'!$C$2:$T$20,9,false)*HLOOKUP($K665,'Type Chart'!$C$2:$U$20,9,false)</f>
        <v>0</v>
      </c>
      <c r="AC665" s="960">
        <f t="array" ref="AC665">HLOOKUP($J665,'Type Chart'!$C$2:$T$20,10,false)*HLOOKUP($K665,'Type Chart'!$C$2:$U$20,10,false)</f>
        <v>1</v>
      </c>
      <c r="AD665" s="960">
        <f t="array" ref="AD665">HLOOKUP($J665,'Type Chart'!$C$2:$T$20,11,false)*HLOOKUP($K665,'Type Chart'!$C$2:$U$20,11,false)</f>
        <v>1</v>
      </c>
      <c r="AE665" s="960">
        <f t="array" ref="AE665">HLOOKUP($J665,'Type Chart'!$C$2:$T$20,12,false)*HLOOKUP($K665,'Type Chart'!$C$2:$U$20,12,false)</f>
        <v>1</v>
      </c>
      <c r="AF665" s="960">
        <f t="array" ref="AF665">HLOOKUP($J665,'Type Chart'!$C$2:$T$20,13,false)*HLOOKUP($K665,'Type Chart'!$C$2:$U$20,13,false)</f>
        <v>0.5</v>
      </c>
      <c r="AG665" s="960">
        <f t="array" ref="AG665">HLOOKUP($J665,'Type Chart'!$C$2:$T$20,14,false)*HLOOKUP($K665,'Type Chart'!$C$2:$U$20,14,false)</f>
        <v>2</v>
      </c>
      <c r="AH665" s="960">
        <f t="array" ref="AH665">HLOOKUP($J665,'Type Chart'!$C$2:$T$20,15,false)*HLOOKUP($K665,'Type Chart'!$C$2:$U$20,15,false)</f>
        <v>1</v>
      </c>
      <c r="AI665" s="960">
        <f t="array" ref="AI665">HLOOKUP($J665,'Type Chart'!$C$2:$T$20,16,false)*HLOOKUP($K665,'Type Chart'!$C$2:$U$20,16,false)</f>
        <v>2</v>
      </c>
      <c r="AJ665" s="960">
        <f t="array" ref="AJ665">HLOOKUP($J665,'Type Chart'!$C$2:$T$20,17,false)*HLOOKUP($K665,'Type Chart'!$C$2:$U$20,17,false)</f>
        <v>1</v>
      </c>
      <c r="AK665" s="960">
        <f t="array" ref="AK665">HLOOKUP($J665,'Type Chart'!$C$2:$T$20,18,false)*HLOOKUP($K665,'Type Chart'!$C$2:$U$20,18,false)</f>
        <v>1</v>
      </c>
      <c r="AL665" s="960">
        <f t="array" ref="AL665">HLOOKUP($J665,'Type Chart'!$C$2:$T$20,19,false)*HLOOKUP($K665,'Type Chart'!$C$2:$U$20,19,false)</f>
        <v>1</v>
      </c>
      <c r="AM665" s="964" t="s">
        <v>1024</v>
      </c>
      <c r="AN665" s="965" t="s">
        <v>1745</v>
      </c>
      <c r="AO665" s="966" t="s">
        <v>1147</v>
      </c>
      <c r="AP665" s="936"/>
      <c r="AQ665" s="967"/>
      <c r="AR665" s="968"/>
      <c r="AS665" s="936"/>
    </row>
    <row r="666" ht="15.75" customHeight="1">
      <c r="A666" s="936"/>
      <c r="B666" s="948" t="s">
        <v>2853</v>
      </c>
      <c r="C666" s="950" t="s">
        <v>2854</v>
      </c>
      <c r="D666" s="950" t="s">
        <v>2854</v>
      </c>
      <c r="E666" s="952" t="s">
        <v>2854</v>
      </c>
      <c r="F666" s="940"/>
      <c r="G666" s="953"/>
      <c r="H666" s="969"/>
      <c r="I666" s="998" t="s">
        <v>2855</v>
      </c>
      <c r="J666" s="1194" t="s">
        <v>136</v>
      </c>
      <c r="K666" s="1001" t="s">
        <v>128</v>
      </c>
      <c r="L666" s="959">
        <v>62.0</v>
      </c>
      <c r="M666" s="960">
        <v>77.0</v>
      </c>
      <c r="N666" s="960">
        <v>62.0</v>
      </c>
      <c r="O666" s="960">
        <v>50.0</v>
      </c>
      <c r="P666" s="960">
        <v>42.0</v>
      </c>
      <c r="Q666" s="960">
        <v>65.0</v>
      </c>
      <c r="R666" s="960">
        <v>166.0</v>
      </c>
      <c r="S666" s="960">
        <v>229.0</v>
      </c>
      <c r="T666" s="960">
        <v>251.0</v>
      </c>
      <c r="U666" s="960">
        <f t="array" ref="U666">HLOOKUP($J666,'Type Chart'!$C$2:$T$20,2,false)*HLOOKUP($K666,'Type Chart'!$C$2:$U$20,2,false)</f>
        <v>1</v>
      </c>
      <c r="V666" s="960">
        <f t="array" ref="V666">HLOOKUP($J666,'Type Chart'!$C$2:$T$20,3,false)*HLOOKUP($K666,'Type Chart'!$C$2:$U$20,3,false)</f>
        <v>1</v>
      </c>
      <c r="W666" s="960">
        <f t="array" ref="W666">HLOOKUP($J666,'Type Chart'!$C$2:$T$20,4,false)*HLOOKUP($K666,'Type Chart'!$C$2:$U$20,4,false)</f>
        <v>1</v>
      </c>
      <c r="X666" s="960">
        <f t="array" ref="X666">HLOOKUP($J666,'Type Chart'!$C$2:$T$20,5,false)*HLOOKUP($K666,'Type Chart'!$C$2:$U$20,5,false)</f>
        <v>1</v>
      </c>
      <c r="Y666" s="960">
        <f t="array" ref="Y666">HLOOKUP($J666,'Type Chart'!$C$2:$T$20,6,false)*HLOOKUP($K666,'Type Chart'!$C$2:$U$20,6,false)</f>
        <v>0</v>
      </c>
      <c r="Z666" s="960">
        <f t="array" ref="Z666">HLOOKUP($J666,'Type Chart'!$C$2:$T$20,7,false)*HLOOKUP($K666,'Type Chart'!$C$2:$U$20,7,false)</f>
        <v>2</v>
      </c>
      <c r="AA666" s="960">
        <f t="array" ref="AA666">HLOOKUP($J666,'Type Chart'!$C$2:$T$20,8,false)*HLOOKUP($K666,'Type Chart'!$C$2:$U$20,8,false)</f>
        <v>0.5</v>
      </c>
      <c r="AB666" s="960">
        <f t="array" ref="AB666">HLOOKUP($J666,'Type Chart'!$C$2:$T$20,9,false)*HLOOKUP($K666,'Type Chart'!$C$2:$U$20,9,false)</f>
        <v>0</v>
      </c>
      <c r="AC666" s="960">
        <f t="array" ref="AC666">HLOOKUP($J666,'Type Chart'!$C$2:$T$20,10,false)*HLOOKUP($K666,'Type Chart'!$C$2:$U$20,10,false)</f>
        <v>1</v>
      </c>
      <c r="AD666" s="960">
        <f t="array" ref="AD666">HLOOKUP($J666,'Type Chart'!$C$2:$T$20,11,false)*HLOOKUP($K666,'Type Chart'!$C$2:$U$20,11,false)</f>
        <v>1</v>
      </c>
      <c r="AE666" s="960">
        <f t="array" ref="AE666">HLOOKUP($J666,'Type Chart'!$C$2:$T$20,12,false)*HLOOKUP($K666,'Type Chart'!$C$2:$U$20,12,false)</f>
        <v>1</v>
      </c>
      <c r="AF666" s="960">
        <f t="array" ref="AF666">HLOOKUP($J666,'Type Chart'!$C$2:$T$20,13,false)*HLOOKUP($K666,'Type Chart'!$C$2:$U$20,13,false)</f>
        <v>0.5</v>
      </c>
      <c r="AG666" s="960">
        <f t="array" ref="AG666">HLOOKUP($J666,'Type Chart'!$C$2:$T$20,14,false)*HLOOKUP($K666,'Type Chart'!$C$2:$U$20,14,false)</f>
        <v>2</v>
      </c>
      <c r="AH666" s="960">
        <f t="array" ref="AH666">HLOOKUP($J666,'Type Chart'!$C$2:$T$20,15,false)*HLOOKUP($K666,'Type Chart'!$C$2:$U$20,15,false)</f>
        <v>1</v>
      </c>
      <c r="AI666" s="960">
        <f t="array" ref="AI666">HLOOKUP($J666,'Type Chart'!$C$2:$T$20,16,false)*HLOOKUP($K666,'Type Chart'!$C$2:$U$20,16,false)</f>
        <v>2</v>
      </c>
      <c r="AJ666" s="960">
        <f t="array" ref="AJ666">HLOOKUP($J666,'Type Chart'!$C$2:$T$20,17,false)*HLOOKUP($K666,'Type Chart'!$C$2:$U$20,17,false)</f>
        <v>1</v>
      </c>
      <c r="AK666" s="960">
        <f t="array" ref="AK666">HLOOKUP($J666,'Type Chart'!$C$2:$T$20,18,false)*HLOOKUP($K666,'Type Chart'!$C$2:$U$20,18,false)</f>
        <v>1</v>
      </c>
      <c r="AL666" s="960">
        <f t="array" ref="AL666">HLOOKUP($J666,'Type Chart'!$C$2:$T$20,19,false)*HLOOKUP($K666,'Type Chart'!$C$2:$U$20,19,false)</f>
        <v>1</v>
      </c>
      <c r="AM666" s="964" t="s">
        <v>1024</v>
      </c>
      <c r="AN666" s="965" t="s">
        <v>1745</v>
      </c>
      <c r="AO666" s="966" t="s">
        <v>1147</v>
      </c>
      <c r="AP666" s="936"/>
      <c r="AQ666" s="967"/>
      <c r="AR666" s="968"/>
      <c r="AS666" s="936"/>
    </row>
    <row r="667" ht="15.75" customHeight="1">
      <c r="A667" s="936"/>
      <c r="B667" s="948" t="s">
        <v>2856</v>
      </c>
      <c r="C667" s="950" t="s">
        <v>2857</v>
      </c>
      <c r="D667" s="950" t="s">
        <v>2857</v>
      </c>
      <c r="E667" s="952" t="s">
        <v>2857</v>
      </c>
      <c r="F667" s="940"/>
      <c r="G667" s="953"/>
      <c r="H667" s="969"/>
      <c r="I667" s="998" t="s">
        <v>2858</v>
      </c>
      <c r="J667" s="1194" t="s">
        <v>136</v>
      </c>
      <c r="K667" s="1001" t="s">
        <v>128</v>
      </c>
      <c r="L667" s="959">
        <v>80.0</v>
      </c>
      <c r="M667" s="960">
        <v>115.0</v>
      </c>
      <c r="N667" s="960">
        <v>80.0</v>
      </c>
      <c r="O667" s="960">
        <v>65.0</v>
      </c>
      <c r="P667" s="960">
        <v>55.0</v>
      </c>
      <c r="Q667" s="960">
        <v>93.0</v>
      </c>
      <c r="R667" s="960">
        <v>222.0</v>
      </c>
      <c r="S667" s="960">
        <v>285.0</v>
      </c>
      <c r="T667" s="960">
        <v>313.0</v>
      </c>
      <c r="U667" s="960">
        <f t="array" ref="U667">HLOOKUP($J667,'Type Chart'!$C$2:$T$20,2,false)*HLOOKUP($K667,'Type Chart'!$C$2:$U$20,2,false)</f>
        <v>1</v>
      </c>
      <c r="V667" s="960">
        <f t="array" ref="V667">HLOOKUP($J667,'Type Chart'!$C$2:$T$20,3,false)*HLOOKUP($K667,'Type Chart'!$C$2:$U$20,3,false)</f>
        <v>1</v>
      </c>
      <c r="W667" s="960">
        <f t="array" ref="W667">HLOOKUP($J667,'Type Chart'!$C$2:$T$20,4,false)*HLOOKUP($K667,'Type Chart'!$C$2:$U$20,4,false)</f>
        <v>1</v>
      </c>
      <c r="X667" s="960">
        <f t="array" ref="X667">HLOOKUP($J667,'Type Chart'!$C$2:$T$20,5,false)*HLOOKUP($K667,'Type Chart'!$C$2:$U$20,5,false)</f>
        <v>1</v>
      </c>
      <c r="Y667" s="960">
        <f t="array" ref="Y667">HLOOKUP($J667,'Type Chart'!$C$2:$T$20,6,false)*HLOOKUP($K667,'Type Chart'!$C$2:$U$20,6,false)</f>
        <v>0</v>
      </c>
      <c r="Z667" s="960">
        <f t="array" ref="Z667">HLOOKUP($J667,'Type Chart'!$C$2:$T$20,7,false)*HLOOKUP($K667,'Type Chart'!$C$2:$U$20,7,false)</f>
        <v>2</v>
      </c>
      <c r="AA667" s="960">
        <f t="array" ref="AA667">HLOOKUP($J667,'Type Chart'!$C$2:$T$20,8,false)*HLOOKUP($K667,'Type Chart'!$C$2:$U$20,8,false)</f>
        <v>0.5</v>
      </c>
      <c r="AB667" s="960">
        <f t="array" ref="AB667">HLOOKUP($J667,'Type Chart'!$C$2:$T$20,9,false)*HLOOKUP($K667,'Type Chart'!$C$2:$U$20,9,false)</f>
        <v>0</v>
      </c>
      <c r="AC667" s="960">
        <f t="array" ref="AC667">HLOOKUP($J667,'Type Chart'!$C$2:$T$20,10,false)*HLOOKUP($K667,'Type Chart'!$C$2:$U$20,10,false)</f>
        <v>1</v>
      </c>
      <c r="AD667" s="960">
        <f t="array" ref="AD667">HLOOKUP($J667,'Type Chart'!$C$2:$T$20,11,false)*HLOOKUP($K667,'Type Chart'!$C$2:$U$20,11,false)</f>
        <v>1</v>
      </c>
      <c r="AE667" s="960">
        <f t="array" ref="AE667">HLOOKUP($J667,'Type Chart'!$C$2:$T$20,12,false)*HLOOKUP($K667,'Type Chart'!$C$2:$U$20,12,false)</f>
        <v>1</v>
      </c>
      <c r="AF667" s="960">
        <f t="array" ref="AF667">HLOOKUP($J667,'Type Chart'!$C$2:$T$20,13,false)*HLOOKUP($K667,'Type Chart'!$C$2:$U$20,13,false)</f>
        <v>0.5</v>
      </c>
      <c r="AG667" s="960">
        <f t="array" ref="AG667">HLOOKUP($J667,'Type Chart'!$C$2:$T$20,14,false)*HLOOKUP($K667,'Type Chart'!$C$2:$U$20,14,false)</f>
        <v>2</v>
      </c>
      <c r="AH667" s="960">
        <f t="array" ref="AH667">HLOOKUP($J667,'Type Chart'!$C$2:$T$20,15,false)*HLOOKUP($K667,'Type Chart'!$C$2:$U$20,15,false)</f>
        <v>1</v>
      </c>
      <c r="AI667" s="960">
        <f t="array" ref="AI667">HLOOKUP($J667,'Type Chart'!$C$2:$T$20,16,false)*HLOOKUP($K667,'Type Chart'!$C$2:$U$20,16,false)</f>
        <v>2</v>
      </c>
      <c r="AJ667" s="960">
        <f t="array" ref="AJ667">HLOOKUP($J667,'Type Chart'!$C$2:$T$20,17,false)*HLOOKUP($K667,'Type Chart'!$C$2:$U$20,17,false)</f>
        <v>1</v>
      </c>
      <c r="AK667" s="960">
        <f t="array" ref="AK667">HLOOKUP($J667,'Type Chart'!$C$2:$T$20,18,false)*HLOOKUP($K667,'Type Chart'!$C$2:$U$20,18,false)</f>
        <v>1</v>
      </c>
      <c r="AL667" s="960">
        <f t="array" ref="AL667">HLOOKUP($J667,'Type Chart'!$C$2:$T$20,19,false)*HLOOKUP($K667,'Type Chart'!$C$2:$U$20,19,false)</f>
        <v>1</v>
      </c>
      <c r="AM667" s="964" t="s">
        <v>1024</v>
      </c>
      <c r="AN667" s="965" t="s">
        <v>1745</v>
      </c>
      <c r="AO667" s="966" t="s">
        <v>1147</v>
      </c>
      <c r="AP667" s="936"/>
      <c r="AQ667" s="967"/>
      <c r="AR667" s="968"/>
      <c r="AS667" s="936"/>
    </row>
    <row r="668" ht="15.75" customHeight="1">
      <c r="A668" s="936"/>
      <c r="B668" s="948" t="s">
        <v>2859</v>
      </c>
      <c r="C668" s="950" t="s">
        <v>2860</v>
      </c>
      <c r="D668" s="950" t="s">
        <v>2860</v>
      </c>
      <c r="E668" s="952" t="s">
        <v>2860</v>
      </c>
      <c r="F668" s="940"/>
      <c r="G668" s="953"/>
      <c r="H668" s="969"/>
      <c r="I668" s="998" t="s">
        <v>2861</v>
      </c>
      <c r="J668" s="1196" t="s">
        <v>203</v>
      </c>
      <c r="K668" s="984" t="s">
        <v>216</v>
      </c>
      <c r="L668" s="959">
        <v>45.0</v>
      </c>
      <c r="M668" s="960">
        <v>60.0</v>
      </c>
      <c r="N668" s="960">
        <v>32.0</v>
      </c>
      <c r="O668" s="960">
        <v>50.0</v>
      </c>
      <c r="P668" s="960">
        <v>32.0</v>
      </c>
      <c r="Q668" s="960">
        <v>76.0</v>
      </c>
      <c r="R668" s="960">
        <v>188.0</v>
      </c>
      <c r="S668" s="960">
        <v>251.0</v>
      </c>
      <c r="T668" s="960">
        <v>276.0</v>
      </c>
      <c r="U668" s="960">
        <f t="array" ref="U668">HLOOKUP($J668,'Type Chart'!$C$2:$T$20,2,false)*HLOOKUP($K668,'Type Chart'!$C$2:$U$20,2,false)</f>
        <v>1</v>
      </c>
      <c r="V668" s="960">
        <f t="array" ref="V668">HLOOKUP($J668,'Type Chart'!$C$2:$T$20,3,false)*HLOOKUP($K668,'Type Chart'!$C$2:$U$20,3,false)</f>
        <v>1</v>
      </c>
      <c r="W668" s="960">
        <f t="array" ref="W668">HLOOKUP($J668,'Type Chart'!$C$2:$T$20,4,false)*HLOOKUP($K668,'Type Chart'!$C$2:$U$20,4,false)</f>
        <v>0.5</v>
      </c>
      <c r="X668" s="960">
        <f t="array" ref="X668">HLOOKUP($J668,'Type Chart'!$C$2:$T$20,5,false)*HLOOKUP($K668,'Type Chart'!$C$2:$U$20,5,false)</f>
        <v>1</v>
      </c>
      <c r="Y668" s="960">
        <f t="array" ref="Y668">HLOOKUP($J668,'Type Chart'!$C$2:$T$20,6,false)*HLOOKUP($K668,'Type Chart'!$C$2:$U$20,6,false)</f>
        <v>2</v>
      </c>
      <c r="Z668" s="960">
        <f t="array" ref="Z668">HLOOKUP($J668,'Type Chart'!$C$2:$T$20,7,false)*HLOOKUP($K668,'Type Chart'!$C$2:$U$20,7,false)</f>
        <v>1</v>
      </c>
      <c r="AA668" s="960">
        <f t="array" ref="AA668">HLOOKUP($J668,'Type Chart'!$C$2:$T$20,8,false)*HLOOKUP($K668,'Type Chart'!$C$2:$U$20,8,false)</f>
        <v>1</v>
      </c>
      <c r="AB668" s="960">
        <f t="array" ref="AB668">HLOOKUP($J668,'Type Chart'!$C$2:$T$20,9,false)*HLOOKUP($K668,'Type Chart'!$C$2:$U$20,9,false)</f>
        <v>1</v>
      </c>
      <c r="AC668" s="960">
        <f t="array" ref="AC668">HLOOKUP($J668,'Type Chart'!$C$2:$T$20,10,false)*HLOOKUP($K668,'Type Chart'!$C$2:$U$20,10,false)</f>
        <v>0.5</v>
      </c>
      <c r="AD668" s="960">
        <f t="array" ref="AD668">HLOOKUP($J668,'Type Chart'!$C$2:$T$20,11,false)*HLOOKUP($K668,'Type Chart'!$C$2:$U$20,11,false)</f>
        <v>1</v>
      </c>
      <c r="AE668" s="960">
        <f t="array" ref="AE668">HLOOKUP($J668,'Type Chart'!$C$2:$T$20,12,false)*HLOOKUP($K668,'Type Chart'!$C$2:$U$20,12,false)</f>
        <v>1</v>
      </c>
      <c r="AF668" s="960">
        <f t="array" ref="AF668">HLOOKUP($J668,'Type Chart'!$C$2:$T$20,13,false)*HLOOKUP($K668,'Type Chart'!$C$2:$U$20,13,false)</f>
        <v>1</v>
      </c>
      <c r="AG668" s="960">
        <f t="array" ref="AG668">HLOOKUP($J668,'Type Chart'!$C$2:$T$20,14,false)*HLOOKUP($K668,'Type Chart'!$C$2:$U$20,14,false)</f>
        <v>0.5</v>
      </c>
      <c r="AH668" s="960">
        <f t="array" ref="AH668">HLOOKUP($J668,'Type Chart'!$C$2:$T$20,15,false)*HLOOKUP($K668,'Type Chart'!$C$2:$U$20,15,false)</f>
        <v>1</v>
      </c>
      <c r="AI668" s="960">
        <f t="array" ref="AI668">HLOOKUP($J668,'Type Chart'!$C$2:$T$20,16,false)*HLOOKUP($K668,'Type Chart'!$C$2:$U$20,16,false)</f>
        <v>1</v>
      </c>
      <c r="AJ668" s="960">
        <f t="array" ref="AJ668">HLOOKUP($J668,'Type Chart'!$C$2:$T$20,17,false)*HLOOKUP($K668,'Type Chart'!$C$2:$U$20,17,false)</f>
        <v>1</v>
      </c>
      <c r="AK668" s="960">
        <f t="array" ref="AK668">HLOOKUP($J668,'Type Chart'!$C$2:$T$20,18,false)*HLOOKUP($K668,'Type Chart'!$C$2:$U$20,18,false)</f>
        <v>1</v>
      </c>
      <c r="AL668" s="960">
        <f t="array" ref="AL668">HLOOKUP($J668,'Type Chart'!$C$2:$T$20,19,false)*HLOOKUP($K668,'Type Chart'!$C$2:$U$20,19,false)</f>
        <v>1</v>
      </c>
      <c r="AM668" s="964" t="s">
        <v>1068</v>
      </c>
      <c r="AN668" s="965" t="s">
        <v>2663</v>
      </c>
      <c r="AO668" s="966" t="s">
        <v>1772</v>
      </c>
      <c r="AP668" s="936"/>
      <c r="AQ668" s="967"/>
      <c r="AR668" s="968"/>
      <c r="AS668" s="936"/>
    </row>
    <row r="669" ht="15.75" customHeight="1">
      <c r="A669" s="936"/>
      <c r="B669" s="948" t="s">
        <v>2862</v>
      </c>
      <c r="C669" s="950" t="s">
        <v>2863</v>
      </c>
      <c r="D669" s="950" t="s">
        <v>2863</v>
      </c>
      <c r="E669" s="952" t="s">
        <v>2863</v>
      </c>
      <c r="F669" s="940"/>
      <c r="G669" s="953"/>
      <c r="H669" s="969"/>
      <c r="I669" s="998" t="s">
        <v>803</v>
      </c>
      <c r="J669" s="1196" t="s">
        <v>203</v>
      </c>
      <c r="K669" s="984" t="s">
        <v>216</v>
      </c>
      <c r="L669" s="959">
        <v>75.0</v>
      </c>
      <c r="M669" s="960">
        <v>100.0</v>
      </c>
      <c r="N669" s="960">
        <v>63.0</v>
      </c>
      <c r="O669" s="960">
        <v>80.0</v>
      </c>
      <c r="P669" s="960">
        <v>63.0</v>
      </c>
      <c r="Q669" s="960">
        <v>116.0</v>
      </c>
      <c r="R669" s="960">
        <v>268.0</v>
      </c>
      <c r="S669" s="960">
        <v>331.0</v>
      </c>
      <c r="T669" s="960">
        <v>364.0</v>
      </c>
      <c r="U669" s="960">
        <f t="array" ref="U669">HLOOKUP($J669,'Type Chart'!$C$2:$T$20,2,false)*HLOOKUP($K669,'Type Chart'!$C$2:$U$20,2,false)</f>
        <v>1</v>
      </c>
      <c r="V669" s="960">
        <f t="array" ref="V669">HLOOKUP($J669,'Type Chart'!$C$2:$T$20,3,false)*HLOOKUP($K669,'Type Chart'!$C$2:$U$20,3,false)</f>
        <v>1</v>
      </c>
      <c r="W669" s="960">
        <f t="array" ref="W669">HLOOKUP($J669,'Type Chart'!$C$2:$T$20,4,false)*HLOOKUP($K669,'Type Chart'!$C$2:$U$20,4,false)</f>
        <v>0.5</v>
      </c>
      <c r="X669" s="960">
        <f t="array" ref="X669">HLOOKUP($J669,'Type Chart'!$C$2:$T$20,5,false)*HLOOKUP($K669,'Type Chart'!$C$2:$U$20,5,false)</f>
        <v>1</v>
      </c>
      <c r="Y669" s="960">
        <f t="array" ref="Y669">HLOOKUP($J669,'Type Chart'!$C$2:$T$20,6,false)*HLOOKUP($K669,'Type Chart'!$C$2:$U$20,6,false)</f>
        <v>2</v>
      </c>
      <c r="Z669" s="960">
        <f t="array" ref="Z669">HLOOKUP($J669,'Type Chart'!$C$2:$T$20,7,false)*HLOOKUP($K669,'Type Chart'!$C$2:$U$20,7,false)</f>
        <v>1</v>
      </c>
      <c r="AA669" s="960">
        <f t="array" ref="AA669">HLOOKUP($J669,'Type Chart'!$C$2:$T$20,8,false)*HLOOKUP($K669,'Type Chart'!$C$2:$U$20,8,false)</f>
        <v>1</v>
      </c>
      <c r="AB669" s="960">
        <f t="array" ref="AB669">HLOOKUP($J669,'Type Chart'!$C$2:$T$20,9,false)*HLOOKUP($K669,'Type Chart'!$C$2:$U$20,9,false)</f>
        <v>1</v>
      </c>
      <c r="AC669" s="960">
        <f t="array" ref="AC669">HLOOKUP($J669,'Type Chart'!$C$2:$T$20,10,false)*HLOOKUP($K669,'Type Chart'!$C$2:$U$20,10,false)</f>
        <v>0.5</v>
      </c>
      <c r="AD669" s="960">
        <f t="array" ref="AD669">HLOOKUP($J669,'Type Chart'!$C$2:$T$20,11,false)*HLOOKUP($K669,'Type Chart'!$C$2:$U$20,11,false)</f>
        <v>1</v>
      </c>
      <c r="AE669" s="960">
        <f t="array" ref="AE669">HLOOKUP($J669,'Type Chart'!$C$2:$T$20,12,false)*HLOOKUP($K669,'Type Chart'!$C$2:$U$20,12,false)</f>
        <v>1</v>
      </c>
      <c r="AF669" s="960">
        <f t="array" ref="AF669">HLOOKUP($J669,'Type Chart'!$C$2:$T$20,13,false)*HLOOKUP($K669,'Type Chart'!$C$2:$U$20,13,false)</f>
        <v>1</v>
      </c>
      <c r="AG669" s="960">
        <f t="array" ref="AG669">HLOOKUP($J669,'Type Chart'!$C$2:$T$20,14,false)*HLOOKUP($K669,'Type Chart'!$C$2:$U$20,14,false)</f>
        <v>0.5</v>
      </c>
      <c r="AH669" s="960">
        <f t="array" ref="AH669">HLOOKUP($J669,'Type Chart'!$C$2:$T$20,15,false)*HLOOKUP($K669,'Type Chart'!$C$2:$U$20,15,false)</f>
        <v>1</v>
      </c>
      <c r="AI669" s="960">
        <f t="array" ref="AI669">HLOOKUP($J669,'Type Chart'!$C$2:$T$20,16,false)*HLOOKUP($K669,'Type Chart'!$C$2:$U$20,16,false)</f>
        <v>1</v>
      </c>
      <c r="AJ669" s="960">
        <f t="array" ref="AJ669">HLOOKUP($J669,'Type Chart'!$C$2:$T$20,17,false)*HLOOKUP($K669,'Type Chart'!$C$2:$U$20,17,false)</f>
        <v>1</v>
      </c>
      <c r="AK669" s="960">
        <f t="array" ref="AK669">HLOOKUP($J669,'Type Chart'!$C$2:$T$20,18,false)*HLOOKUP($K669,'Type Chart'!$C$2:$U$20,18,false)</f>
        <v>1</v>
      </c>
      <c r="AL669" s="960">
        <f t="array" ref="AL669">HLOOKUP($J669,'Type Chart'!$C$2:$T$20,19,false)*HLOOKUP($K669,'Type Chart'!$C$2:$U$20,19,false)</f>
        <v>1</v>
      </c>
      <c r="AM669" s="964" t="s">
        <v>1068</v>
      </c>
      <c r="AN669" s="965" t="s">
        <v>2663</v>
      </c>
      <c r="AO669" s="966" t="s">
        <v>1772</v>
      </c>
      <c r="AP669" s="936"/>
      <c r="AQ669" s="967"/>
      <c r="AR669" s="968"/>
      <c r="AS669" s="936"/>
    </row>
    <row r="670" ht="15.75" customHeight="1">
      <c r="A670" s="936"/>
      <c r="B670" s="948" t="s">
        <v>2864</v>
      </c>
      <c r="C670" s="950" t="s">
        <v>2865</v>
      </c>
      <c r="D670" s="950" t="s">
        <v>2865</v>
      </c>
      <c r="E670" s="952" t="s">
        <v>2865</v>
      </c>
      <c r="F670" s="940"/>
      <c r="G670" s="953"/>
      <c r="H670" s="969"/>
      <c r="I670" s="998" t="s">
        <v>2866</v>
      </c>
      <c r="J670" s="1214" t="s">
        <v>342</v>
      </c>
      <c r="K670" s="984" t="s">
        <v>216</v>
      </c>
      <c r="L670" s="959">
        <v>55.0</v>
      </c>
      <c r="M670" s="960">
        <v>75.0</v>
      </c>
      <c r="N670" s="960">
        <v>85.0</v>
      </c>
      <c r="O670" s="960">
        <v>25.0</v>
      </c>
      <c r="P670" s="960">
        <v>25.0</v>
      </c>
      <c r="Q670" s="960">
        <v>15.0</v>
      </c>
      <c r="R670" s="960">
        <v>66.0</v>
      </c>
      <c r="S670" s="960">
        <v>129.0</v>
      </c>
      <c r="T670" s="960">
        <v>141.0</v>
      </c>
      <c r="U670" s="960">
        <f t="array" ref="U670">HLOOKUP($J670,'Type Chart'!$C$2:$T$20,2,false)*HLOOKUP($K670,'Type Chart'!$C$2:$U$20,2,false)</f>
        <v>0.5</v>
      </c>
      <c r="V670" s="960">
        <f t="array" ref="V670">HLOOKUP($J670,'Type Chart'!$C$2:$T$20,3,false)*HLOOKUP($K670,'Type Chart'!$C$2:$U$20,3,false)</f>
        <v>2</v>
      </c>
      <c r="W670" s="960">
        <f t="array" ref="W670">HLOOKUP($J670,'Type Chart'!$C$2:$T$20,4,false)*HLOOKUP($K670,'Type Chart'!$C$2:$U$20,4,false)</f>
        <v>0.5</v>
      </c>
      <c r="X670" s="960">
        <f t="array" ref="X670">HLOOKUP($J670,'Type Chart'!$C$2:$T$20,5,false)*HLOOKUP($K670,'Type Chart'!$C$2:$U$20,5,false)</f>
        <v>0.5</v>
      </c>
      <c r="Y670" s="960">
        <f t="array" ref="Y670">HLOOKUP($J670,'Type Chart'!$C$2:$T$20,6,false)*HLOOKUP($K670,'Type Chart'!$C$2:$U$20,6,false)</f>
        <v>2</v>
      </c>
      <c r="Z670" s="960">
        <f t="array" ref="Z670">HLOOKUP($J670,'Type Chart'!$C$2:$T$20,7,false)*HLOOKUP($K670,'Type Chart'!$C$2:$U$20,7,false)</f>
        <v>1</v>
      </c>
      <c r="AA670" s="960">
        <f t="array" ref="AA670">HLOOKUP($J670,'Type Chart'!$C$2:$T$20,8,false)*HLOOKUP($K670,'Type Chart'!$C$2:$U$20,8,false)</f>
        <v>1</v>
      </c>
      <c r="AB670" s="960">
        <f t="array" ref="AB670">HLOOKUP($J670,'Type Chart'!$C$2:$T$20,9,false)*HLOOKUP($K670,'Type Chart'!$C$2:$U$20,9,false)</f>
        <v>1</v>
      </c>
      <c r="AC670" s="960">
        <f t="array" ref="AC670">HLOOKUP($J670,'Type Chart'!$C$2:$T$20,10,false)*HLOOKUP($K670,'Type Chart'!$C$2:$U$20,10,false)</f>
        <v>2</v>
      </c>
      <c r="AD670" s="960">
        <f t="array" ref="AD670">HLOOKUP($J670,'Type Chart'!$C$2:$T$20,11,false)*HLOOKUP($K670,'Type Chart'!$C$2:$U$20,11,false)</f>
        <v>0.5</v>
      </c>
      <c r="AE670" s="960">
        <f t="array" ref="AE670">HLOOKUP($J670,'Type Chart'!$C$2:$T$20,12,false)*HLOOKUP($K670,'Type Chart'!$C$2:$U$20,12,false)</f>
        <v>2</v>
      </c>
      <c r="AF670" s="960">
        <f t="array" ref="AF670">HLOOKUP($J670,'Type Chart'!$C$2:$T$20,13,false)*HLOOKUP($K670,'Type Chart'!$C$2:$U$20,13,false)</f>
        <v>2</v>
      </c>
      <c r="AG670" s="960">
        <f t="array" ref="AG670">HLOOKUP($J670,'Type Chart'!$C$2:$T$20,14,false)*HLOOKUP($K670,'Type Chart'!$C$2:$U$20,14,false)</f>
        <v>1</v>
      </c>
      <c r="AH670" s="960">
        <f t="array" ref="AH670">HLOOKUP($J670,'Type Chart'!$C$2:$T$20,15,false)*HLOOKUP($K670,'Type Chart'!$C$2:$U$20,15,false)</f>
        <v>1</v>
      </c>
      <c r="AI670" s="960">
        <f t="array" ref="AI670">HLOOKUP($J670,'Type Chart'!$C$2:$T$20,16,false)*HLOOKUP($K670,'Type Chart'!$C$2:$U$20,16,false)</f>
        <v>1</v>
      </c>
      <c r="AJ670" s="960">
        <f t="array" ref="AJ670">HLOOKUP($J670,'Type Chart'!$C$2:$T$20,17,false)*HLOOKUP($K670,'Type Chart'!$C$2:$U$20,17,false)</f>
        <v>1</v>
      </c>
      <c r="AK670" s="960">
        <f t="array" ref="AK670">HLOOKUP($J670,'Type Chart'!$C$2:$T$20,18,false)*HLOOKUP($K670,'Type Chart'!$C$2:$U$20,18,false)</f>
        <v>1</v>
      </c>
      <c r="AL670" s="960">
        <f t="array" ref="AL670">HLOOKUP($J670,'Type Chart'!$C$2:$T$20,19,false)*HLOOKUP($K670,'Type Chart'!$C$2:$U$20,19,false)</f>
        <v>1</v>
      </c>
      <c r="AM670" s="964" t="s">
        <v>1331</v>
      </c>
      <c r="AN670" s="965" t="s">
        <v>1450</v>
      </c>
      <c r="AO670" s="966" t="s">
        <v>1224</v>
      </c>
      <c r="AP670" s="936"/>
      <c r="AQ670" s="967"/>
      <c r="AR670" s="968"/>
      <c r="AS670" s="936"/>
    </row>
    <row r="671" ht="15.75" customHeight="1">
      <c r="A671" s="936"/>
      <c r="B671" s="948" t="s">
        <v>2867</v>
      </c>
      <c r="C671" s="950" t="s">
        <v>2868</v>
      </c>
      <c r="D671" s="950" t="s">
        <v>2868</v>
      </c>
      <c r="E671" s="952" t="s">
        <v>2868</v>
      </c>
      <c r="F671" s="940"/>
      <c r="G671" s="953"/>
      <c r="H671" s="969"/>
      <c r="I671" s="998" t="s">
        <v>2869</v>
      </c>
      <c r="J671" s="1214" t="s">
        <v>342</v>
      </c>
      <c r="K671" s="984" t="s">
        <v>216</v>
      </c>
      <c r="L671" s="959">
        <v>70.0</v>
      </c>
      <c r="M671" s="960">
        <v>105.0</v>
      </c>
      <c r="N671" s="960">
        <v>105.0</v>
      </c>
      <c r="O671" s="960">
        <v>50.0</v>
      </c>
      <c r="P671" s="960">
        <v>40.0</v>
      </c>
      <c r="Q671" s="960">
        <v>20.0</v>
      </c>
      <c r="R671" s="960">
        <v>76.0</v>
      </c>
      <c r="S671" s="960">
        <v>139.0</v>
      </c>
      <c r="T671" s="960">
        <v>152.0</v>
      </c>
      <c r="U671" s="960">
        <f t="array" ref="U671">HLOOKUP($J671,'Type Chart'!$C$2:$T$20,2,false)*HLOOKUP($K671,'Type Chart'!$C$2:$U$20,2,false)</f>
        <v>0.5</v>
      </c>
      <c r="V671" s="960">
        <f t="array" ref="V671">HLOOKUP($J671,'Type Chart'!$C$2:$T$20,3,false)*HLOOKUP($K671,'Type Chart'!$C$2:$U$20,3,false)</f>
        <v>2</v>
      </c>
      <c r="W671" s="960">
        <f t="array" ref="W671">HLOOKUP($J671,'Type Chart'!$C$2:$T$20,4,false)*HLOOKUP($K671,'Type Chart'!$C$2:$U$20,4,false)</f>
        <v>0.5</v>
      </c>
      <c r="X671" s="960">
        <f t="array" ref="X671">HLOOKUP($J671,'Type Chart'!$C$2:$T$20,5,false)*HLOOKUP($K671,'Type Chart'!$C$2:$U$20,5,false)</f>
        <v>0.5</v>
      </c>
      <c r="Y671" s="960">
        <f t="array" ref="Y671">HLOOKUP($J671,'Type Chart'!$C$2:$T$20,6,false)*HLOOKUP($K671,'Type Chart'!$C$2:$U$20,6,false)</f>
        <v>2</v>
      </c>
      <c r="Z671" s="960">
        <f t="array" ref="Z671">HLOOKUP($J671,'Type Chart'!$C$2:$T$20,7,false)*HLOOKUP($K671,'Type Chart'!$C$2:$U$20,7,false)</f>
        <v>1</v>
      </c>
      <c r="AA671" s="960">
        <f t="array" ref="AA671">HLOOKUP($J671,'Type Chart'!$C$2:$T$20,8,false)*HLOOKUP($K671,'Type Chart'!$C$2:$U$20,8,false)</f>
        <v>1</v>
      </c>
      <c r="AB671" s="960">
        <f t="array" ref="AB671">HLOOKUP($J671,'Type Chart'!$C$2:$T$20,9,false)*HLOOKUP($K671,'Type Chart'!$C$2:$U$20,9,false)</f>
        <v>1</v>
      </c>
      <c r="AC671" s="960">
        <f t="array" ref="AC671">HLOOKUP($J671,'Type Chart'!$C$2:$T$20,10,false)*HLOOKUP($K671,'Type Chart'!$C$2:$U$20,10,false)</f>
        <v>2</v>
      </c>
      <c r="AD671" s="960">
        <f t="array" ref="AD671">HLOOKUP($J671,'Type Chart'!$C$2:$T$20,11,false)*HLOOKUP($K671,'Type Chart'!$C$2:$U$20,11,false)</f>
        <v>0.5</v>
      </c>
      <c r="AE671" s="960">
        <f t="array" ref="AE671">HLOOKUP($J671,'Type Chart'!$C$2:$T$20,12,false)*HLOOKUP($K671,'Type Chart'!$C$2:$U$20,12,false)</f>
        <v>2</v>
      </c>
      <c r="AF671" s="960">
        <f t="array" ref="AF671">HLOOKUP($J671,'Type Chart'!$C$2:$T$20,13,false)*HLOOKUP($K671,'Type Chart'!$C$2:$U$20,13,false)</f>
        <v>2</v>
      </c>
      <c r="AG671" s="960">
        <f t="array" ref="AG671">HLOOKUP($J671,'Type Chart'!$C$2:$T$20,14,false)*HLOOKUP($K671,'Type Chart'!$C$2:$U$20,14,false)</f>
        <v>1</v>
      </c>
      <c r="AH671" s="960">
        <f t="array" ref="AH671">HLOOKUP($J671,'Type Chart'!$C$2:$T$20,15,false)*HLOOKUP($K671,'Type Chart'!$C$2:$U$20,15,false)</f>
        <v>1</v>
      </c>
      <c r="AI671" s="960">
        <f t="array" ref="AI671">HLOOKUP($J671,'Type Chart'!$C$2:$T$20,16,false)*HLOOKUP($K671,'Type Chart'!$C$2:$U$20,16,false)</f>
        <v>1</v>
      </c>
      <c r="AJ671" s="960">
        <f t="array" ref="AJ671">HLOOKUP($J671,'Type Chart'!$C$2:$T$20,17,false)*HLOOKUP($K671,'Type Chart'!$C$2:$U$20,17,false)</f>
        <v>1</v>
      </c>
      <c r="AK671" s="960">
        <f t="array" ref="AK671">HLOOKUP($J671,'Type Chart'!$C$2:$T$20,18,false)*HLOOKUP($K671,'Type Chart'!$C$2:$U$20,18,false)</f>
        <v>1</v>
      </c>
      <c r="AL671" s="960">
        <f t="array" ref="AL671">HLOOKUP($J671,'Type Chart'!$C$2:$T$20,19,false)*HLOOKUP($K671,'Type Chart'!$C$2:$U$20,19,false)</f>
        <v>1</v>
      </c>
      <c r="AM671" s="964" t="s">
        <v>1331</v>
      </c>
      <c r="AN671" s="965" t="s">
        <v>1450</v>
      </c>
      <c r="AO671" s="966" t="s">
        <v>1224</v>
      </c>
      <c r="AP671" s="936"/>
      <c r="AQ671" s="967"/>
      <c r="AR671" s="968"/>
      <c r="AS671" s="936"/>
    </row>
    <row r="672" ht="15.75" customHeight="1">
      <c r="A672" s="936"/>
      <c r="B672" s="948" t="s">
        <v>2870</v>
      </c>
      <c r="C672" s="950" t="s">
        <v>2871</v>
      </c>
      <c r="D672" s="950" t="s">
        <v>2871</v>
      </c>
      <c r="E672" s="952" t="s">
        <v>2871</v>
      </c>
      <c r="F672" s="940"/>
      <c r="G672" s="953"/>
      <c r="H672" s="969"/>
      <c r="I672" s="998" t="s">
        <v>2872</v>
      </c>
      <c r="J672" s="1214" t="s">
        <v>342</v>
      </c>
      <c r="K672" s="984" t="s">
        <v>216</v>
      </c>
      <c r="L672" s="959">
        <v>85.0</v>
      </c>
      <c r="M672" s="960">
        <v>135.0</v>
      </c>
      <c r="N672" s="960">
        <v>130.0</v>
      </c>
      <c r="O672" s="960">
        <v>60.0</v>
      </c>
      <c r="P672" s="960">
        <v>80.0</v>
      </c>
      <c r="Q672" s="960">
        <v>25.0</v>
      </c>
      <c r="R672" s="960">
        <v>86.0</v>
      </c>
      <c r="S672" s="960">
        <v>149.0</v>
      </c>
      <c r="T672" s="960">
        <v>163.0</v>
      </c>
      <c r="U672" s="960">
        <f t="array" ref="U672">HLOOKUP($J672,'Type Chart'!$C$2:$T$20,2,false)*HLOOKUP($K672,'Type Chart'!$C$2:$U$20,2,false)</f>
        <v>0.5</v>
      </c>
      <c r="V672" s="960">
        <f t="array" ref="V672">HLOOKUP($J672,'Type Chart'!$C$2:$T$20,3,false)*HLOOKUP($K672,'Type Chart'!$C$2:$U$20,3,false)</f>
        <v>2</v>
      </c>
      <c r="W672" s="960">
        <f t="array" ref="W672">HLOOKUP($J672,'Type Chart'!$C$2:$T$20,4,false)*HLOOKUP($K672,'Type Chart'!$C$2:$U$20,4,false)</f>
        <v>0.5</v>
      </c>
      <c r="X672" s="960">
        <f t="array" ref="X672">HLOOKUP($J672,'Type Chart'!$C$2:$T$20,5,false)*HLOOKUP($K672,'Type Chart'!$C$2:$U$20,5,false)</f>
        <v>0.5</v>
      </c>
      <c r="Y672" s="960">
        <f t="array" ref="Y672">HLOOKUP($J672,'Type Chart'!$C$2:$T$20,6,false)*HLOOKUP($K672,'Type Chart'!$C$2:$U$20,6,false)</f>
        <v>2</v>
      </c>
      <c r="Z672" s="960">
        <f t="array" ref="Z672">HLOOKUP($J672,'Type Chart'!$C$2:$T$20,7,false)*HLOOKUP($K672,'Type Chart'!$C$2:$U$20,7,false)</f>
        <v>1</v>
      </c>
      <c r="AA672" s="960">
        <f t="array" ref="AA672">HLOOKUP($J672,'Type Chart'!$C$2:$T$20,8,false)*HLOOKUP($K672,'Type Chart'!$C$2:$U$20,8,false)</f>
        <v>1</v>
      </c>
      <c r="AB672" s="960">
        <f t="array" ref="AB672">HLOOKUP($J672,'Type Chart'!$C$2:$T$20,9,false)*HLOOKUP($K672,'Type Chart'!$C$2:$U$20,9,false)</f>
        <v>1</v>
      </c>
      <c r="AC672" s="960">
        <f t="array" ref="AC672">HLOOKUP($J672,'Type Chart'!$C$2:$T$20,10,false)*HLOOKUP($K672,'Type Chart'!$C$2:$U$20,10,false)</f>
        <v>2</v>
      </c>
      <c r="AD672" s="960">
        <f t="array" ref="AD672">HLOOKUP($J672,'Type Chart'!$C$2:$T$20,11,false)*HLOOKUP($K672,'Type Chart'!$C$2:$U$20,11,false)</f>
        <v>0.5</v>
      </c>
      <c r="AE672" s="960">
        <f t="array" ref="AE672">HLOOKUP($J672,'Type Chart'!$C$2:$T$20,12,false)*HLOOKUP($K672,'Type Chart'!$C$2:$U$20,12,false)</f>
        <v>2</v>
      </c>
      <c r="AF672" s="960">
        <f t="array" ref="AF672">HLOOKUP($J672,'Type Chart'!$C$2:$T$20,13,false)*HLOOKUP($K672,'Type Chart'!$C$2:$U$20,13,false)</f>
        <v>2</v>
      </c>
      <c r="AG672" s="960">
        <f t="array" ref="AG672">HLOOKUP($J672,'Type Chart'!$C$2:$T$20,14,false)*HLOOKUP($K672,'Type Chart'!$C$2:$U$20,14,false)</f>
        <v>1</v>
      </c>
      <c r="AH672" s="960">
        <f t="array" ref="AH672">HLOOKUP($J672,'Type Chart'!$C$2:$T$20,15,false)*HLOOKUP($K672,'Type Chart'!$C$2:$U$20,15,false)</f>
        <v>1</v>
      </c>
      <c r="AI672" s="960">
        <f t="array" ref="AI672">HLOOKUP($J672,'Type Chart'!$C$2:$T$20,16,false)*HLOOKUP($K672,'Type Chart'!$C$2:$U$20,16,false)</f>
        <v>1</v>
      </c>
      <c r="AJ672" s="960">
        <f t="array" ref="AJ672">HLOOKUP($J672,'Type Chart'!$C$2:$T$20,17,false)*HLOOKUP($K672,'Type Chart'!$C$2:$U$20,17,false)</f>
        <v>1</v>
      </c>
      <c r="AK672" s="960">
        <f t="array" ref="AK672">HLOOKUP($J672,'Type Chart'!$C$2:$T$20,18,false)*HLOOKUP($K672,'Type Chart'!$C$2:$U$20,18,false)</f>
        <v>1</v>
      </c>
      <c r="AL672" s="960">
        <f t="array" ref="AL672">HLOOKUP($J672,'Type Chart'!$C$2:$T$20,19,false)*HLOOKUP($K672,'Type Chart'!$C$2:$U$20,19,false)</f>
        <v>1</v>
      </c>
      <c r="AM672" s="964" t="s">
        <v>1331</v>
      </c>
      <c r="AN672" s="965" t="s">
        <v>1964</v>
      </c>
      <c r="AO672" s="966" t="s">
        <v>1224</v>
      </c>
      <c r="AP672" s="936"/>
      <c r="AQ672" s="967"/>
      <c r="AR672" s="968"/>
      <c r="AS672" s="936"/>
    </row>
    <row r="673" ht="15.75" customHeight="1">
      <c r="A673" s="936"/>
      <c r="B673" s="948" t="s">
        <v>2873</v>
      </c>
      <c r="C673" s="950" t="s">
        <v>2874</v>
      </c>
      <c r="D673" s="950" t="s">
        <v>2874</v>
      </c>
      <c r="E673" s="952" t="s">
        <v>2874</v>
      </c>
      <c r="F673" s="940"/>
      <c r="G673" s="953"/>
      <c r="H673" s="969"/>
      <c r="I673" s="998" t="s">
        <v>2875</v>
      </c>
      <c r="J673" s="1203" t="s">
        <v>344</v>
      </c>
      <c r="K673" s="1001" t="s">
        <v>128</v>
      </c>
      <c r="L673" s="959">
        <v>65.0</v>
      </c>
      <c r="M673" s="960">
        <v>45.0</v>
      </c>
      <c r="N673" s="960">
        <v>43.0</v>
      </c>
      <c r="O673" s="960">
        <v>55.0</v>
      </c>
      <c r="P673" s="960">
        <v>43.0</v>
      </c>
      <c r="Q673" s="960">
        <v>72.0</v>
      </c>
      <c r="R673" s="960">
        <v>180.0</v>
      </c>
      <c r="S673" s="960">
        <v>243.0</v>
      </c>
      <c r="T673" s="960">
        <v>267.0</v>
      </c>
      <c r="U673" s="960">
        <f t="array" ref="U673">HLOOKUP($J673,'Type Chart'!$C$2:$T$20,2,false)*HLOOKUP($K673,'Type Chart'!$C$2:$U$20,2,false)</f>
        <v>1</v>
      </c>
      <c r="V673" s="960">
        <f t="array" ref="V673">HLOOKUP($J673,'Type Chart'!$C$2:$T$20,3,false)*HLOOKUP($K673,'Type Chart'!$C$2:$U$20,3,false)</f>
        <v>0.25</v>
      </c>
      <c r="W673" s="960">
        <f t="array" ref="W673">HLOOKUP($J673,'Type Chart'!$C$2:$T$20,4,false)*HLOOKUP($K673,'Type Chart'!$C$2:$U$20,4,false)</f>
        <v>1</v>
      </c>
      <c r="X673" s="960">
        <f t="array" ref="X673">HLOOKUP($J673,'Type Chart'!$C$2:$T$20,5,false)*HLOOKUP($K673,'Type Chart'!$C$2:$U$20,5,false)</f>
        <v>1</v>
      </c>
      <c r="Y673" s="960">
        <f t="array" ref="Y673">HLOOKUP($J673,'Type Chart'!$C$2:$T$20,6,false)*HLOOKUP($K673,'Type Chart'!$C$2:$U$20,6,false)</f>
        <v>0</v>
      </c>
      <c r="Z673" s="960">
        <f t="array" ref="Z673">HLOOKUP($J673,'Type Chart'!$C$2:$T$20,7,false)*HLOOKUP($K673,'Type Chart'!$C$2:$U$20,7,false)</f>
        <v>2</v>
      </c>
      <c r="AA673" s="960">
        <f t="array" ref="AA673">HLOOKUP($J673,'Type Chart'!$C$2:$T$20,8,false)*HLOOKUP($K673,'Type Chart'!$C$2:$U$20,8,false)</f>
        <v>1</v>
      </c>
      <c r="AB673" s="960">
        <f t="array" ref="AB673">HLOOKUP($J673,'Type Chart'!$C$2:$T$20,9,false)*HLOOKUP($K673,'Type Chart'!$C$2:$U$20,9,false)</f>
        <v>2</v>
      </c>
      <c r="AC673" s="960">
        <f t="array" ref="AC673">HLOOKUP($J673,'Type Chart'!$C$2:$T$20,10,false)*HLOOKUP($K673,'Type Chart'!$C$2:$U$20,10,false)</f>
        <v>1</v>
      </c>
      <c r="AD673" s="960">
        <f t="array" ref="AD673">HLOOKUP($J673,'Type Chart'!$C$2:$T$20,11,false)*HLOOKUP($K673,'Type Chart'!$C$2:$U$20,11,false)</f>
        <v>1</v>
      </c>
      <c r="AE673" s="960">
        <f t="array" ref="AE673">HLOOKUP($J673,'Type Chart'!$C$2:$T$20,12,false)*HLOOKUP($K673,'Type Chart'!$C$2:$U$20,12,false)</f>
        <v>1</v>
      </c>
      <c r="AF673" s="960">
        <f t="array" ref="AF673">HLOOKUP($J673,'Type Chart'!$C$2:$T$20,13,false)*HLOOKUP($K673,'Type Chart'!$C$2:$U$20,13,false)</f>
        <v>0.5</v>
      </c>
      <c r="AG673" s="960">
        <f t="array" ref="AG673">HLOOKUP($J673,'Type Chart'!$C$2:$T$20,14,false)*HLOOKUP($K673,'Type Chart'!$C$2:$U$20,14,false)</f>
        <v>2</v>
      </c>
      <c r="AH673" s="960">
        <f t="array" ref="AH673">HLOOKUP($J673,'Type Chart'!$C$2:$T$20,15,false)*HLOOKUP($K673,'Type Chart'!$C$2:$U$20,15,false)</f>
        <v>0.5</v>
      </c>
      <c r="AI673" s="960">
        <f t="array" ref="AI673">HLOOKUP($J673,'Type Chart'!$C$2:$T$20,16,false)*HLOOKUP($K673,'Type Chart'!$C$2:$U$20,16,false)</f>
        <v>2</v>
      </c>
      <c r="AJ673" s="960">
        <f t="array" ref="AJ673">HLOOKUP($J673,'Type Chart'!$C$2:$T$20,17,false)*HLOOKUP($K673,'Type Chart'!$C$2:$U$20,17,false)</f>
        <v>1</v>
      </c>
      <c r="AK673" s="960">
        <f t="array" ref="AK673">HLOOKUP($J673,'Type Chart'!$C$2:$T$20,18,false)*HLOOKUP($K673,'Type Chart'!$C$2:$U$20,18,false)</f>
        <v>2</v>
      </c>
      <c r="AL673" s="960">
        <f t="array" ref="AL673">HLOOKUP($J673,'Type Chart'!$C$2:$T$20,19,false)*HLOOKUP($K673,'Type Chart'!$C$2:$U$20,19,false)</f>
        <v>1</v>
      </c>
      <c r="AM673" s="964" t="s">
        <v>1169</v>
      </c>
      <c r="AN673" s="965" t="s">
        <v>2552</v>
      </c>
      <c r="AO673" s="966" t="s">
        <v>2215</v>
      </c>
      <c r="AP673" s="936"/>
      <c r="AQ673" s="967"/>
      <c r="AR673" s="968"/>
      <c r="AS673" s="936"/>
    </row>
    <row r="674" ht="15.75" customHeight="1">
      <c r="A674" s="1099"/>
      <c r="B674" s="948" t="s">
        <v>2876</v>
      </c>
      <c r="C674" s="950" t="s">
        <v>2877</v>
      </c>
      <c r="D674" s="950" t="s">
        <v>2877</v>
      </c>
      <c r="E674" s="952" t="s">
        <v>2877</v>
      </c>
      <c r="F674" s="940"/>
      <c r="G674" s="953"/>
      <c r="H674" s="969"/>
      <c r="I674" s="998" t="s">
        <v>2878</v>
      </c>
      <c r="J674" s="1203" t="s">
        <v>344</v>
      </c>
      <c r="K674" s="1001" t="s">
        <v>128</v>
      </c>
      <c r="L674" s="959">
        <v>67.0</v>
      </c>
      <c r="M674" s="960">
        <v>57.0</v>
      </c>
      <c r="N674" s="960">
        <v>55.0</v>
      </c>
      <c r="O674" s="960">
        <v>77.0</v>
      </c>
      <c r="P674" s="960">
        <v>55.0</v>
      </c>
      <c r="Q674" s="960">
        <v>114.0</v>
      </c>
      <c r="R674" s="960">
        <v>264.0</v>
      </c>
      <c r="S674" s="960">
        <v>327.0</v>
      </c>
      <c r="T674" s="960">
        <v>359.0</v>
      </c>
      <c r="U674" s="960">
        <f t="array" ref="U674">HLOOKUP($J674,'Type Chart'!$C$2:$T$20,2,false)*HLOOKUP($K674,'Type Chart'!$C$2:$U$20,2,false)</f>
        <v>1</v>
      </c>
      <c r="V674" s="960">
        <f t="array" ref="V674">HLOOKUP($J674,'Type Chart'!$C$2:$T$20,3,false)*HLOOKUP($K674,'Type Chart'!$C$2:$U$20,3,false)</f>
        <v>0.25</v>
      </c>
      <c r="W674" s="960">
        <f t="array" ref="W674">HLOOKUP($J674,'Type Chart'!$C$2:$T$20,4,false)*HLOOKUP($K674,'Type Chart'!$C$2:$U$20,4,false)</f>
        <v>1</v>
      </c>
      <c r="X674" s="960">
        <f t="array" ref="X674">HLOOKUP($J674,'Type Chart'!$C$2:$T$20,5,false)*HLOOKUP($K674,'Type Chart'!$C$2:$U$20,5,false)</f>
        <v>1</v>
      </c>
      <c r="Y674" s="960">
        <f t="array" ref="Y674">HLOOKUP($J674,'Type Chart'!$C$2:$T$20,6,false)*HLOOKUP($K674,'Type Chart'!$C$2:$U$20,6,false)</f>
        <v>0</v>
      </c>
      <c r="Z674" s="960">
        <f t="array" ref="Z674">HLOOKUP($J674,'Type Chart'!$C$2:$T$20,7,false)*HLOOKUP($K674,'Type Chart'!$C$2:$U$20,7,false)</f>
        <v>2</v>
      </c>
      <c r="AA674" s="960">
        <f t="array" ref="AA674">HLOOKUP($J674,'Type Chart'!$C$2:$T$20,8,false)*HLOOKUP($K674,'Type Chart'!$C$2:$U$20,8,false)</f>
        <v>1</v>
      </c>
      <c r="AB674" s="960">
        <f t="array" ref="AB674">HLOOKUP($J674,'Type Chart'!$C$2:$T$20,9,false)*HLOOKUP($K674,'Type Chart'!$C$2:$U$20,9,false)</f>
        <v>2</v>
      </c>
      <c r="AC674" s="960">
        <f t="array" ref="AC674">HLOOKUP($J674,'Type Chart'!$C$2:$T$20,10,false)*HLOOKUP($K674,'Type Chart'!$C$2:$U$20,10,false)</f>
        <v>1</v>
      </c>
      <c r="AD674" s="960">
        <f t="array" ref="AD674">HLOOKUP($J674,'Type Chart'!$C$2:$T$20,11,false)*HLOOKUP($K674,'Type Chart'!$C$2:$U$20,11,false)</f>
        <v>1</v>
      </c>
      <c r="AE674" s="960">
        <f t="array" ref="AE674">HLOOKUP($J674,'Type Chart'!$C$2:$T$20,12,false)*HLOOKUP($K674,'Type Chart'!$C$2:$U$20,12,false)</f>
        <v>1</v>
      </c>
      <c r="AF674" s="960">
        <f t="array" ref="AF674">HLOOKUP($J674,'Type Chart'!$C$2:$T$20,13,false)*HLOOKUP($K674,'Type Chart'!$C$2:$U$20,13,false)</f>
        <v>0.5</v>
      </c>
      <c r="AG674" s="960">
        <f t="array" ref="AG674">HLOOKUP($J674,'Type Chart'!$C$2:$T$20,14,false)*HLOOKUP($K674,'Type Chart'!$C$2:$U$20,14,false)</f>
        <v>2</v>
      </c>
      <c r="AH674" s="960">
        <f t="array" ref="AH674">HLOOKUP($J674,'Type Chart'!$C$2:$T$20,15,false)*HLOOKUP($K674,'Type Chart'!$C$2:$U$20,15,false)</f>
        <v>0.5</v>
      </c>
      <c r="AI674" s="960">
        <f t="array" ref="AI674">HLOOKUP($J674,'Type Chart'!$C$2:$T$20,16,false)*HLOOKUP($K674,'Type Chart'!$C$2:$U$20,16,false)</f>
        <v>2</v>
      </c>
      <c r="AJ674" s="960">
        <f t="array" ref="AJ674">HLOOKUP($J674,'Type Chart'!$C$2:$T$20,17,false)*HLOOKUP($K674,'Type Chart'!$C$2:$U$20,17,false)</f>
        <v>1</v>
      </c>
      <c r="AK674" s="960">
        <f t="array" ref="AK674">HLOOKUP($J674,'Type Chart'!$C$2:$T$20,18,false)*HLOOKUP($K674,'Type Chart'!$C$2:$U$20,18,false)</f>
        <v>2</v>
      </c>
      <c r="AL674" s="960">
        <f t="array" ref="AL674">HLOOKUP($J674,'Type Chart'!$C$2:$T$20,19,false)*HLOOKUP($K674,'Type Chart'!$C$2:$U$20,19,false)</f>
        <v>1</v>
      </c>
      <c r="AM674" s="964" t="s">
        <v>1169</v>
      </c>
      <c r="AN674" s="965" t="s">
        <v>2552</v>
      </c>
      <c r="AO674" s="966" t="s">
        <v>2215</v>
      </c>
      <c r="AP674" s="936"/>
      <c r="AQ674" s="967"/>
      <c r="AR674" s="968"/>
      <c r="AS674" s="936"/>
    </row>
    <row r="675" ht="15.75" customHeight="1">
      <c r="A675" s="936"/>
      <c r="B675" s="948" t="s">
        <v>2879</v>
      </c>
      <c r="C675" s="950" t="s">
        <v>2880</v>
      </c>
      <c r="D675" s="950" t="s">
        <v>2880</v>
      </c>
      <c r="E675" s="952" t="s">
        <v>2880</v>
      </c>
      <c r="F675" s="940"/>
      <c r="G675" s="953"/>
      <c r="H675" s="969"/>
      <c r="I675" s="998" t="s">
        <v>2881</v>
      </c>
      <c r="J675" s="1204" t="s">
        <v>80</v>
      </c>
      <c r="K675" s="984" t="s">
        <v>216</v>
      </c>
      <c r="L675" s="959">
        <v>60.0</v>
      </c>
      <c r="M675" s="960">
        <v>85.0</v>
      </c>
      <c r="N675" s="960">
        <v>40.0</v>
      </c>
      <c r="O675" s="960">
        <v>30.0</v>
      </c>
      <c r="P675" s="960">
        <v>45.0</v>
      </c>
      <c r="Q675" s="960">
        <v>68.0</v>
      </c>
      <c r="R675" s="960">
        <v>172.0</v>
      </c>
      <c r="S675" s="960">
        <v>235.0</v>
      </c>
      <c r="T675" s="960">
        <v>258.0</v>
      </c>
      <c r="U675" s="960">
        <f t="array" ref="U675">HLOOKUP($J675,'Type Chart'!$C$2:$T$20,2,false)*HLOOKUP($K675,'Type Chart'!$C$2:$U$20,2,false)</f>
        <v>1</v>
      </c>
      <c r="V675" s="960">
        <f t="array" ref="V675">HLOOKUP($J675,'Type Chart'!$C$2:$T$20,3,false)*HLOOKUP($K675,'Type Chart'!$C$2:$U$20,3,false)</f>
        <v>1</v>
      </c>
      <c r="W675" s="960">
        <f t="array" ref="W675">HLOOKUP($J675,'Type Chart'!$C$2:$T$20,4,false)*HLOOKUP($K675,'Type Chart'!$C$2:$U$20,4,false)</f>
        <v>1</v>
      </c>
      <c r="X675" s="960">
        <f t="array" ref="X675">HLOOKUP($J675,'Type Chart'!$C$2:$T$20,5,false)*HLOOKUP($K675,'Type Chart'!$C$2:$U$20,5,false)</f>
        <v>0.5</v>
      </c>
      <c r="Y675" s="960">
        <f t="array" ref="Y675">HLOOKUP($J675,'Type Chart'!$C$2:$T$20,6,false)*HLOOKUP($K675,'Type Chart'!$C$2:$U$20,6,false)</f>
        <v>1</v>
      </c>
      <c r="Z675" s="960">
        <f t="array" ref="Z675">HLOOKUP($J675,'Type Chart'!$C$2:$T$20,7,false)*HLOOKUP($K675,'Type Chart'!$C$2:$U$20,7,false)</f>
        <v>0.5</v>
      </c>
      <c r="AA675" s="960">
        <f t="array" ref="AA675">HLOOKUP($J675,'Type Chart'!$C$2:$T$20,8,false)*HLOOKUP($K675,'Type Chart'!$C$2:$U$20,8,false)</f>
        <v>1</v>
      </c>
      <c r="AB675" s="960">
        <f t="array" ref="AB675">HLOOKUP($J675,'Type Chart'!$C$2:$T$20,9,false)*HLOOKUP($K675,'Type Chart'!$C$2:$U$20,9,false)</f>
        <v>1</v>
      </c>
      <c r="AC675" s="960">
        <f t="array" ref="AC675">HLOOKUP($J675,'Type Chart'!$C$2:$T$20,10,false)*HLOOKUP($K675,'Type Chart'!$C$2:$U$20,10,false)</f>
        <v>1</v>
      </c>
      <c r="AD675" s="960">
        <f t="array" ref="AD675">HLOOKUP($J675,'Type Chart'!$C$2:$T$20,11,false)*HLOOKUP($K675,'Type Chart'!$C$2:$U$20,11,false)</f>
        <v>1</v>
      </c>
      <c r="AE675" s="960">
        <f t="array" ref="AE675">HLOOKUP($J675,'Type Chart'!$C$2:$T$20,12,false)*HLOOKUP($K675,'Type Chart'!$C$2:$U$20,12,false)</f>
        <v>2</v>
      </c>
      <c r="AF675" s="960">
        <f t="array" ref="AF675">HLOOKUP($J675,'Type Chart'!$C$2:$T$20,13,false)*HLOOKUP($K675,'Type Chart'!$C$2:$U$20,13,false)</f>
        <v>2</v>
      </c>
      <c r="AG675" s="960">
        <f t="array" ref="AG675">HLOOKUP($J675,'Type Chart'!$C$2:$T$20,14,false)*HLOOKUP($K675,'Type Chart'!$C$2:$U$20,14,false)</f>
        <v>0</v>
      </c>
      <c r="AH675" s="960">
        <f t="array" ref="AH675">HLOOKUP($J675,'Type Chart'!$C$2:$T$20,15,false)*HLOOKUP($K675,'Type Chart'!$C$2:$U$20,15,false)</f>
        <v>1</v>
      </c>
      <c r="AI675" s="960">
        <f t="array" ref="AI675">HLOOKUP($J675,'Type Chart'!$C$2:$T$20,16,false)*HLOOKUP($K675,'Type Chart'!$C$2:$U$20,16,false)</f>
        <v>2</v>
      </c>
      <c r="AJ675" s="960">
        <f t="array" ref="AJ675">HLOOKUP($J675,'Type Chart'!$C$2:$T$20,17,false)*HLOOKUP($K675,'Type Chart'!$C$2:$U$20,17,false)</f>
        <v>1</v>
      </c>
      <c r="AK675" s="960">
        <f t="array" ref="AK675">HLOOKUP($J675,'Type Chart'!$C$2:$T$20,18,false)*HLOOKUP($K675,'Type Chart'!$C$2:$U$20,18,false)</f>
        <v>1</v>
      </c>
      <c r="AL675" s="960">
        <f t="array" ref="AL675">HLOOKUP($J675,'Type Chart'!$C$2:$T$20,19,false)*HLOOKUP($K675,'Type Chart'!$C$2:$U$20,19,false)</f>
        <v>1</v>
      </c>
      <c r="AM675" s="1145" t="s">
        <v>1130</v>
      </c>
      <c r="AN675" s="965" t="s">
        <v>1224</v>
      </c>
      <c r="AO675" s="966" t="s">
        <v>1576</v>
      </c>
      <c r="AP675" s="936"/>
      <c r="AQ675" s="967"/>
      <c r="AR675" s="968"/>
      <c r="AS675" s="936"/>
    </row>
    <row r="676" ht="15.75" customHeight="1">
      <c r="A676" s="936"/>
      <c r="B676" s="948" t="s">
        <v>2882</v>
      </c>
      <c r="C676" s="950" t="s">
        <v>2883</v>
      </c>
      <c r="D676" s="950" t="s">
        <v>2883</v>
      </c>
      <c r="E676" s="952" t="s">
        <v>2883</v>
      </c>
      <c r="F676" s="940"/>
      <c r="G676" s="953"/>
      <c r="H676" s="969"/>
      <c r="I676" s="998" t="s">
        <v>421</v>
      </c>
      <c r="J676" s="1204" t="s">
        <v>80</v>
      </c>
      <c r="K676" s="1206" t="s">
        <v>82</v>
      </c>
      <c r="L676" s="959">
        <v>110.0</v>
      </c>
      <c r="M676" s="960">
        <v>135.0</v>
      </c>
      <c r="N676" s="960">
        <v>60.0</v>
      </c>
      <c r="O676" s="960">
        <v>50.0</v>
      </c>
      <c r="P676" s="960">
        <v>65.0</v>
      </c>
      <c r="Q676" s="960">
        <v>88.0</v>
      </c>
      <c r="R676" s="960">
        <v>212.0</v>
      </c>
      <c r="S676" s="960">
        <v>275.0</v>
      </c>
      <c r="T676" s="960">
        <v>302.0</v>
      </c>
      <c r="U676" s="960">
        <f t="array" ref="U676">HLOOKUP($J676,'Type Chart'!$C$2:$T$20,2,false)*HLOOKUP($K676,'Type Chart'!$C$2:$U$20,2,false)</f>
        <v>0.5</v>
      </c>
      <c r="V676" s="960">
        <f t="array" ref="V676">HLOOKUP($J676,'Type Chart'!$C$2:$T$20,3,false)*HLOOKUP($K676,'Type Chart'!$C$2:$U$20,3,false)</f>
        <v>2</v>
      </c>
      <c r="W676" s="960">
        <f t="array" ref="W676">HLOOKUP($J676,'Type Chart'!$C$2:$T$20,4,false)*HLOOKUP($K676,'Type Chart'!$C$2:$U$20,4,false)</f>
        <v>0.5</v>
      </c>
      <c r="X676" s="960">
        <f t="array" ref="X676">HLOOKUP($J676,'Type Chart'!$C$2:$T$20,5,false)*HLOOKUP($K676,'Type Chart'!$C$2:$U$20,5,false)</f>
        <v>0</v>
      </c>
      <c r="Y676" s="960">
        <f t="array" ref="Y676">HLOOKUP($J676,'Type Chart'!$C$2:$T$20,6,false)*HLOOKUP($K676,'Type Chart'!$C$2:$U$20,6,false)</f>
        <v>2</v>
      </c>
      <c r="Z676" s="960">
        <f t="array" ref="Z676">HLOOKUP($J676,'Type Chart'!$C$2:$T$20,7,false)*HLOOKUP($K676,'Type Chart'!$C$2:$U$20,7,false)</f>
        <v>0.25</v>
      </c>
      <c r="AA676" s="960">
        <f t="array" ref="AA676">HLOOKUP($J676,'Type Chart'!$C$2:$T$20,8,false)*HLOOKUP($K676,'Type Chart'!$C$2:$U$20,8,false)</f>
        <v>0.5</v>
      </c>
      <c r="AB676" s="960">
        <f t="array" ref="AB676">HLOOKUP($J676,'Type Chart'!$C$2:$T$20,9,false)*HLOOKUP($K676,'Type Chart'!$C$2:$U$20,9,false)</f>
        <v>1</v>
      </c>
      <c r="AC676" s="960">
        <f t="array" ref="AC676">HLOOKUP($J676,'Type Chart'!$C$2:$T$20,10,false)*HLOOKUP($K676,'Type Chart'!$C$2:$U$20,10,false)</f>
        <v>0.5</v>
      </c>
      <c r="AD676" s="960">
        <f t="array" ref="AD676">HLOOKUP($J676,'Type Chart'!$C$2:$T$20,11,false)*HLOOKUP($K676,'Type Chart'!$C$2:$U$20,11,false)</f>
        <v>2</v>
      </c>
      <c r="AE676" s="960">
        <f t="array" ref="AE676">HLOOKUP($J676,'Type Chart'!$C$2:$T$20,12,false)*HLOOKUP($K676,'Type Chart'!$C$2:$U$20,12,false)</f>
        <v>2</v>
      </c>
      <c r="AF676" s="960">
        <f t="array" ref="AF676">HLOOKUP($J676,'Type Chart'!$C$2:$T$20,13,false)*HLOOKUP($K676,'Type Chart'!$C$2:$U$20,13,false)</f>
        <v>1</v>
      </c>
      <c r="AG676" s="960">
        <f t="array" ref="AG676">HLOOKUP($J676,'Type Chart'!$C$2:$T$20,14,false)*HLOOKUP($K676,'Type Chart'!$C$2:$U$20,14,false)</f>
        <v>0</v>
      </c>
      <c r="AH676" s="960">
        <f t="array" ref="AH676">HLOOKUP($J676,'Type Chart'!$C$2:$T$20,15,false)*HLOOKUP($K676,'Type Chart'!$C$2:$U$20,15,false)</f>
        <v>0.5</v>
      </c>
      <c r="AI676" s="960">
        <f t="array" ref="AI676">HLOOKUP($J676,'Type Chart'!$C$2:$T$20,16,false)*HLOOKUP($K676,'Type Chart'!$C$2:$U$20,16,false)</f>
        <v>1</v>
      </c>
      <c r="AJ676" s="960">
        <f t="array" ref="AJ676">HLOOKUP($J676,'Type Chart'!$C$2:$T$20,17,false)*HLOOKUP($K676,'Type Chart'!$C$2:$U$20,17,false)</f>
        <v>0.5</v>
      </c>
      <c r="AK676" s="960">
        <f t="array" ref="AK676">HLOOKUP($J676,'Type Chart'!$C$2:$T$20,18,false)*HLOOKUP($K676,'Type Chart'!$C$2:$U$20,18,false)</f>
        <v>1</v>
      </c>
      <c r="AL676" s="960">
        <f t="array" ref="AL676">HLOOKUP($J676,'Type Chart'!$C$2:$T$20,19,false)*HLOOKUP($K676,'Type Chart'!$C$2:$U$20,19,false)</f>
        <v>0.5</v>
      </c>
      <c r="AM676" s="964" t="s">
        <v>1130</v>
      </c>
      <c r="AN676" s="965" t="s">
        <v>1224</v>
      </c>
      <c r="AO676" s="966" t="s">
        <v>1576</v>
      </c>
      <c r="AP676" s="936"/>
      <c r="AQ676" s="967"/>
      <c r="AR676" s="968"/>
      <c r="AS676" s="936"/>
    </row>
    <row r="677" ht="15.75" customHeight="1">
      <c r="A677" s="936"/>
      <c r="B677" s="948" t="s">
        <v>2884</v>
      </c>
      <c r="C677" s="950" t="s">
        <v>2885</v>
      </c>
      <c r="D677" s="950" t="s">
        <v>2885</v>
      </c>
      <c r="E677" s="952" t="s">
        <v>2885</v>
      </c>
      <c r="F677" s="940"/>
      <c r="G677" s="953"/>
      <c r="H677" s="969"/>
      <c r="I677" s="998" t="s">
        <v>2886</v>
      </c>
      <c r="J677" s="1194" t="s">
        <v>136</v>
      </c>
      <c r="K677" s="984" t="s">
        <v>216</v>
      </c>
      <c r="L677" s="959">
        <v>103.0</v>
      </c>
      <c r="M677" s="960">
        <v>60.0</v>
      </c>
      <c r="N677" s="960">
        <v>86.0</v>
      </c>
      <c r="O677" s="960">
        <v>60.0</v>
      </c>
      <c r="P677" s="960">
        <v>86.0</v>
      </c>
      <c r="Q677" s="960">
        <v>50.0</v>
      </c>
      <c r="R677" s="960">
        <v>136.0</v>
      </c>
      <c r="S677" s="960">
        <v>199.0</v>
      </c>
      <c r="T677" s="960">
        <v>218.0</v>
      </c>
      <c r="U677" s="960">
        <f t="array" ref="U677">HLOOKUP($J677,'Type Chart'!$C$2:$T$20,2,false)*HLOOKUP($K677,'Type Chart'!$C$2:$U$20,2,false)</f>
        <v>1</v>
      </c>
      <c r="V677" s="960">
        <f t="array" ref="V677">HLOOKUP($J677,'Type Chart'!$C$2:$T$20,3,false)*HLOOKUP($K677,'Type Chart'!$C$2:$U$20,3,false)</f>
        <v>2</v>
      </c>
      <c r="W677" s="960">
        <f t="array" ref="W677">HLOOKUP($J677,'Type Chart'!$C$2:$T$20,4,false)*HLOOKUP($K677,'Type Chart'!$C$2:$U$20,4,false)</f>
        <v>1</v>
      </c>
      <c r="X677" s="960">
        <f t="array" ref="X677">HLOOKUP($J677,'Type Chart'!$C$2:$T$20,5,false)*HLOOKUP($K677,'Type Chart'!$C$2:$U$20,5,false)</f>
        <v>1</v>
      </c>
      <c r="Y677" s="960">
        <f t="array" ref="Y677">HLOOKUP($J677,'Type Chart'!$C$2:$T$20,6,false)*HLOOKUP($K677,'Type Chart'!$C$2:$U$20,6,false)</f>
        <v>1</v>
      </c>
      <c r="Z677" s="960">
        <f t="array" ref="Z677">HLOOKUP($J677,'Type Chart'!$C$2:$T$20,7,false)*HLOOKUP($K677,'Type Chart'!$C$2:$U$20,7,false)</f>
        <v>1</v>
      </c>
      <c r="AA677" s="960">
        <f t="array" ref="AA677">HLOOKUP($J677,'Type Chart'!$C$2:$T$20,8,false)*HLOOKUP($K677,'Type Chart'!$C$2:$U$20,8,false)</f>
        <v>1</v>
      </c>
      <c r="AB677" s="960">
        <f t="array" ref="AB677">HLOOKUP($J677,'Type Chart'!$C$2:$T$20,9,false)*HLOOKUP($K677,'Type Chart'!$C$2:$U$20,9,false)</f>
        <v>0</v>
      </c>
      <c r="AC677" s="960">
        <f t="array" ref="AC677">HLOOKUP($J677,'Type Chart'!$C$2:$T$20,10,false)*HLOOKUP($K677,'Type Chart'!$C$2:$U$20,10,false)</f>
        <v>1</v>
      </c>
      <c r="AD677" s="960">
        <f t="array" ref="AD677">HLOOKUP($J677,'Type Chart'!$C$2:$T$20,11,false)*HLOOKUP($K677,'Type Chart'!$C$2:$U$20,11,false)</f>
        <v>1</v>
      </c>
      <c r="AE677" s="960">
        <f t="array" ref="AE677">HLOOKUP($J677,'Type Chart'!$C$2:$T$20,12,false)*HLOOKUP($K677,'Type Chart'!$C$2:$U$20,12,false)</f>
        <v>1</v>
      </c>
      <c r="AF677" s="960">
        <f t="array" ref="AF677">HLOOKUP($J677,'Type Chart'!$C$2:$T$20,13,false)*HLOOKUP($K677,'Type Chart'!$C$2:$U$20,13,false)</f>
        <v>1</v>
      </c>
      <c r="AG677" s="960">
        <f t="array" ref="AG677">HLOOKUP($J677,'Type Chart'!$C$2:$T$20,14,false)*HLOOKUP($K677,'Type Chart'!$C$2:$U$20,14,false)</f>
        <v>1</v>
      </c>
      <c r="AH677" s="960">
        <f t="array" ref="AH677">HLOOKUP($J677,'Type Chart'!$C$2:$T$20,15,false)*HLOOKUP($K677,'Type Chart'!$C$2:$U$20,15,false)</f>
        <v>1</v>
      </c>
      <c r="AI677" s="960">
        <f t="array" ref="AI677">HLOOKUP($J677,'Type Chart'!$C$2:$T$20,16,false)*HLOOKUP($K677,'Type Chart'!$C$2:$U$20,16,false)</f>
        <v>1</v>
      </c>
      <c r="AJ677" s="960">
        <f t="array" ref="AJ677">HLOOKUP($J677,'Type Chart'!$C$2:$T$20,17,false)*HLOOKUP($K677,'Type Chart'!$C$2:$U$20,17,false)</f>
        <v>1</v>
      </c>
      <c r="AK677" s="960">
        <f t="array" ref="AK677">HLOOKUP($J677,'Type Chart'!$C$2:$T$20,18,false)*HLOOKUP($K677,'Type Chart'!$C$2:$U$20,18,false)</f>
        <v>1</v>
      </c>
      <c r="AL677" s="960">
        <f t="array" ref="AL677">HLOOKUP($J677,'Type Chart'!$C$2:$T$20,19,false)*HLOOKUP($K677,'Type Chart'!$C$2:$U$20,19,false)</f>
        <v>1</v>
      </c>
      <c r="AM677" s="964" t="s">
        <v>1522</v>
      </c>
      <c r="AN677" s="965" t="s">
        <v>1371</v>
      </c>
      <c r="AO677" s="966" t="s">
        <v>2552</v>
      </c>
      <c r="AP677" s="936"/>
      <c r="AQ677" s="967"/>
      <c r="AR677" s="968"/>
      <c r="AS677" s="936"/>
    </row>
    <row r="678" ht="15.75" customHeight="1">
      <c r="A678" s="936"/>
      <c r="B678" s="948" t="s">
        <v>2887</v>
      </c>
      <c r="C678" s="950" t="s">
        <v>2888</v>
      </c>
      <c r="D678" s="950" t="s">
        <v>2888</v>
      </c>
      <c r="E678" s="952" t="s">
        <v>2888</v>
      </c>
      <c r="F678" s="940"/>
      <c r="G678" s="953"/>
      <c r="H678" s="969"/>
      <c r="I678" s="998" t="s">
        <v>2889</v>
      </c>
      <c r="J678" s="1194" t="s">
        <v>136</v>
      </c>
      <c r="K678" s="1207" t="s">
        <v>127</v>
      </c>
      <c r="L678" s="959">
        <v>103.0</v>
      </c>
      <c r="M678" s="960">
        <v>60.0</v>
      </c>
      <c r="N678" s="960">
        <v>126.0</v>
      </c>
      <c r="O678" s="960">
        <v>80.0</v>
      </c>
      <c r="P678" s="960">
        <v>126.0</v>
      </c>
      <c r="Q678" s="960">
        <v>50.0</v>
      </c>
      <c r="R678" s="960">
        <v>136.0</v>
      </c>
      <c r="S678" s="960">
        <v>199.0</v>
      </c>
      <c r="T678" s="960">
        <v>218.0</v>
      </c>
      <c r="U678" s="960">
        <f t="array" ref="U678">HLOOKUP($J678,'Type Chart'!$C$2:$T$20,2,false)*HLOOKUP($K678,'Type Chart'!$C$2:$U$20,2,false)</f>
        <v>1</v>
      </c>
      <c r="V678" s="960">
        <f t="array" ref="V678">HLOOKUP($J678,'Type Chart'!$C$2:$T$20,3,false)*HLOOKUP($K678,'Type Chart'!$C$2:$U$20,3,false)</f>
        <v>1</v>
      </c>
      <c r="W678" s="960">
        <f t="array" ref="W678">HLOOKUP($J678,'Type Chart'!$C$2:$T$20,4,false)*HLOOKUP($K678,'Type Chart'!$C$2:$U$20,4,false)</f>
        <v>1</v>
      </c>
      <c r="X678" s="960">
        <f t="array" ref="X678">HLOOKUP($J678,'Type Chart'!$C$2:$T$20,5,false)*HLOOKUP($K678,'Type Chart'!$C$2:$U$20,5,false)</f>
        <v>2</v>
      </c>
      <c r="Y678" s="960">
        <f t="array" ref="Y678">HLOOKUP($J678,'Type Chart'!$C$2:$T$20,6,false)*HLOOKUP($K678,'Type Chart'!$C$2:$U$20,6,false)</f>
        <v>1</v>
      </c>
      <c r="Z678" s="960">
        <f t="array" ref="Z678">HLOOKUP($J678,'Type Chart'!$C$2:$T$20,7,false)*HLOOKUP($K678,'Type Chart'!$C$2:$U$20,7,false)</f>
        <v>1</v>
      </c>
      <c r="AA678" s="960">
        <f t="array" ref="AA678">HLOOKUP($J678,'Type Chart'!$C$2:$T$20,8,false)*HLOOKUP($K678,'Type Chart'!$C$2:$U$20,8,false)</f>
        <v>0.5</v>
      </c>
      <c r="AB678" s="960">
        <f t="array" ref="AB678">HLOOKUP($J678,'Type Chart'!$C$2:$T$20,9,false)*HLOOKUP($K678,'Type Chart'!$C$2:$U$20,9,false)</f>
        <v>0</v>
      </c>
      <c r="AC678" s="960">
        <f t="array" ref="AC678">HLOOKUP($J678,'Type Chart'!$C$2:$T$20,10,false)*HLOOKUP($K678,'Type Chart'!$C$2:$U$20,10,false)</f>
        <v>2</v>
      </c>
      <c r="AD678" s="960">
        <f t="array" ref="AD678">HLOOKUP($J678,'Type Chart'!$C$2:$T$20,11,false)*HLOOKUP($K678,'Type Chart'!$C$2:$U$20,11,false)</f>
        <v>1</v>
      </c>
      <c r="AE678" s="960">
        <f t="array" ref="AE678">HLOOKUP($J678,'Type Chart'!$C$2:$T$20,12,false)*HLOOKUP($K678,'Type Chart'!$C$2:$U$20,12,false)</f>
        <v>1</v>
      </c>
      <c r="AF678" s="960">
        <f t="array" ref="AF678">HLOOKUP($J678,'Type Chart'!$C$2:$T$20,13,false)*HLOOKUP($K678,'Type Chart'!$C$2:$U$20,13,false)</f>
        <v>1</v>
      </c>
      <c r="AG678" s="960">
        <f t="array" ref="AG678">HLOOKUP($J678,'Type Chart'!$C$2:$T$20,14,false)*HLOOKUP($K678,'Type Chart'!$C$2:$U$20,14,false)</f>
        <v>1</v>
      </c>
      <c r="AH678" s="960">
        <f t="array" ref="AH678">HLOOKUP($J678,'Type Chart'!$C$2:$T$20,15,false)*HLOOKUP($K678,'Type Chart'!$C$2:$U$20,15,false)</f>
        <v>1</v>
      </c>
      <c r="AI678" s="960">
        <f t="array" ref="AI678">HLOOKUP($J678,'Type Chart'!$C$2:$T$20,16,false)*HLOOKUP($K678,'Type Chart'!$C$2:$U$20,16,false)</f>
        <v>1</v>
      </c>
      <c r="AJ678" s="960">
        <f t="array" ref="AJ678">HLOOKUP($J678,'Type Chart'!$C$2:$T$20,17,false)*HLOOKUP($K678,'Type Chart'!$C$2:$U$20,17,false)</f>
        <v>0</v>
      </c>
      <c r="AK678" s="960">
        <f t="array" ref="AK678">HLOOKUP($J678,'Type Chart'!$C$2:$T$20,18,false)*HLOOKUP($K678,'Type Chart'!$C$2:$U$20,18,false)</f>
        <v>0.5</v>
      </c>
      <c r="AL678" s="960">
        <f t="array" ref="AL678">HLOOKUP($J678,'Type Chart'!$C$2:$T$20,19,false)*HLOOKUP($K678,'Type Chart'!$C$2:$U$20,19,false)</f>
        <v>1</v>
      </c>
      <c r="AM678" s="964" t="s">
        <v>1522</v>
      </c>
      <c r="AN678" s="965"/>
      <c r="AO678" s="966"/>
      <c r="AP678" s="936"/>
      <c r="AQ678" s="967"/>
      <c r="AR678" s="968"/>
      <c r="AS678" s="936"/>
    </row>
    <row r="679" ht="15.75" customHeight="1">
      <c r="A679" s="936"/>
      <c r="B679" s="948" t="s">
        <v>2890</v>
      </c>
      <c r="C679" s="950" t="s">
        <v>2891</v>
      </c>
      <c r="D679" s="950" t="s">
        <v>2891</v>
      </c>
      <c r="E679" s="952" t="s">
        <v>2891</v>
      </c>
      <c r="F679" s="940"/>
      <c r="G679" s="953"/>
      <c r="H679" s="969"/>
      <c r="I679" s="998" t="s">
        <v>2892</v>
      </c>
      <c r="J679" s="1213" t="s">
        <v>341</v>
      </c>
      <c r="K679" s="984" t="s">
        <v>216</v>
      </c>
      <c r="L679" s="959">
        <v>75.0</v>
      </c>
      <c r="M679" s="960">
        <v>80.0</v>
      </c>
      <c r="N679" s="960">
        <v>55.0</v>
      </c>
      <c r="O679" s="960">
        <v>25.0</v>
      </c>
      <c r="P679" s="960">
        <v>35.0</v>
      </c>
      <c r="Q679" s="960">
        <v>35.0</v>
      </c>
      <c r="R679" s="960">
        <v>106.0</v>
      </c>
      <c r="S679" s="960">
        <v>169.0</v>
      </c>
      <c r="T679" s="960">
        <v>185.0</v>
      </c>
      <c r="U679" s="960">
        <f t="array" ref="U679">HLOOKUP($J679,'Type Chart'!$C$2:$T$20,2,false)*HLOOKUP($K679,'Type Chart'!$C$2:$U$20,2,false)</f>
        <v>1</v>
      </c>
      <c r="V679" s="960">
        <f t="array" ref="V679">HLOOKUP($J679,'Type Chart'!$C$2:$T$20,3,false)*HLOOKUP($K679,'Type Chart'!$C$2:$U$20,3,false)</f>
        <v>1</v>
      </c>
      <c r="W679" s="960">
        <f t="array" ref="W679">HLOOKUP($J679,'Type Chart'!$C$2:$T$20,4,false)*HLOOKUP($K679,'Type Chart'!$C$2:$U$20,4,false)</f>
        <v>2</v>
      </c>
      <c r="X679" s="960">
        <f t="array" ref="X679">HLOOKUP($J679,'Type Chart'!$C$2:$T$20,5,false)*HLOOKUP($K679,'Type Chart'!$C$2:$U$20,5,false)</f>
        <v>1</v>
      </c>
      <c r="Y679" s="960">
        <f t="array" ref="Y679">HLOOKUP($J679,'Type Chart'!$C$2:$T$20,6,false)*HLOOKUP($K679,'Type Chart'!$C$2:$U$20,6,false)</f>
        <v>1</v>
      </c>
      <c r="Z679" s="960">
        <f t="array" ref="Z679">HLOOKUP($J679,'Type Chart'!$C$2:$T$20,7,false)*HLOOKUP($K679,'Type Chart'!$C$2:$U$20,7,false)</f>
        <v>0.5</v>
      </c>
      <c r="AA679" s="960">
        <f t="array" ref="AA679">HLOOKUP($J679,'Type Chart'!$C$2:$T$20,8,false)*HLOOKUP($K679,'Type Chart'!$C$2:$U$20,8,false)</f>
        <v>0.5</v>
      </c>
      <c r="AB679" s="960">
        <f t="array" ref="AB679">HLOOKUP($J679,'Type Chart'!$C$2:$T$20,9,false)*HLOOKUP($K679,'Type Chart'!$C$2:$U$20,9,false)</f>
        <v>1</v>
      </c>
      <c r="AC679" s="960">
        <f t="array" ref="AC679">HLOOKUP($J679,'Type Chart'!$C$2:$T$20,10,false)*HLOOKUP($K679,'Type Chart'!$C$2:$U$20,10,false)</f>
        <v>1</v>
      </c>
      <c r="AD679" s="960">
        <f t="array" ref="AD679">HLOOKUP($J679,'Type Chart'!$C$2:$T$20,11,false)*HLOOKUP($K679,'Type Chart'!$C$2:$U$20,11,false)</f>
        <v>1</v>
      </c>
      <c r="AE679" s="960">
        <f t="array" ref="AE679">HLOOKUP($J679,'Type Chart'!$C$2:$T$20,12,false)*HLOOKUP($K679,'Type Chart'!$C$2:$U$20,12,false)</f>
        <v>1</v>
      </c>
      <c r="AF679" s="960">
        <f t="array" ref="AF679">HLOOKUP($J679,'Type Chart'!$C$2:$T$20,13,false)*HLOOKUP($K679,'Type Chart'!$C$2:$U$20,13,false)</f>
        <v>1</v>
      </c>
      <c r="AG679" s="960">
        <f t="array" ref="AG679">HLOOKUP($J679,'Type Chart'!$C$2:$T$20,14,false)*HLOOKUP($K679,'Type Chart'!$C$2:$U$20,14,false)</f>
        <v>1</v>
      </c>
      <c r="AH679" s="960">
        <f t="array" ref="AH679">HLOOKUP($J679,'Type Chart'!$C$2:$T$20,15,false)*HLOOKUP($K679,'Type Chart'!$C$2:$U$20,15,false)</f>
        <v>2</v>
      </c>
      <c r="AI679" s="960">
        <f t="array" ref="AI679">HLOOKUP($J679,'Type Chart'!$C$2:$T$20,16,false)*HLOOKUP($K679,'Type Chart'!$C$2:$U$20,16,false)</f>
        <v>1</v>
      </c>
      <c r="AJ679" s="960">
        <f t="array" ref="AJ679">HLOOKUP($J679,'Type Chart'!$C$2:$T$20,17,false)*HLOOKUP($K679,'Type Chart'!$C$2:$U$20,17,false)</f>
        <v>1</v>
      </c>
      <c r="AK679" s="960">
        <f t="array" ref="AK679">HLOOKUP($J679,'Type Chart'!$C$2:$T$20,18,false)*HLOOKUP($K679,'Type Chart'!$C$2:$U$20,18,false)</f>
        <v>0.5</v>
      </c>
      <c r="AL679" s="960">
        <f t="array" ref="AL679">HLOOKUP($J679,'Type Chart'!$C$2:$T$20,19,false)*HLOOKUP($K679,'Type Chart'!$C$2:$U$20,19,false)</f>
        <v>2</v>
      </c>
      <c r="AM679" s="964" t="s">
        <v>1038</v>
      </c>
      <c r="AN679" s="965" t="s">
        <v>1153</v>
      </c>
      <c r="AO679" s="966" t="s">
        <v>1501</v>
      </c>
      <c r="AP679" s="936"/>
      <c r="AQ679" s="967"/>
      <c r="AR679" s="968"/>
      <c r="AS679" s="936"/>
    </row>
    <row r="680" ht="15.75" customHeight="1">
      <c r="A680" s="936"/>
      <c r="B680" s="948" t="s">
        <v>2893</v>
      </c>
      <c r="C680" s="950" t="s">
        <v>2894</v>
      </c>
      <c r="D680" s="950" t="s">
        <v>2894</v>
      </c>
      <c r="E680" s="952" t="s">
        <v>2894</v>
      </c>
      <c r="F680" s="940"/>
      <c r="G680" s="953"/>
      <c r="H680" s="969"/>
      <c r="I680" s="998" t="s">
        <v>731</v>
      </c>
      <c r="J680" s="1213" t="s">
        <v>341</v>
      </c>
      <c r="K680" s="984" t="s">
        <v>216</v>
      </c>
      <c r="L680" s="959">
        <v>85.0</v>
      </c>
      <c r="M680" s="960">
        <v>105.0</v>
      </c>
      <c r="N680" s="960">
        <v>85.0</v>
      </c>
      <c r="O680" s="960">
        <v>40.0</v>
      </c>
      <c r="P680" s="960">
        <v>50.0</v>
      </c>
      <c r="Q680" s="960">
        <v>40.0</v>
      </c>
      <c r="R680" s="960">
        <v>116.0</v>
      </c>
      <c r="S680" s="960">
        <v>179.0</v>
      </c>
      <c r="T680" s="960">
        <v>196.0</v>
      </c>
      <c r="U680" s="960">
        <f t="array" ref="U680">HLOOKUP($J680,'Type Chart'!$C$2:$T$20,2,false)*HLOOKUP($K680,'Type Chart'!$C$2:$U$20,2,false)</f>
        <v>1</v>
      </c>
      <c r="V680" s="960">
        <f t="array" ref="V680">HLOOKUP($J680,'Type Chart'!$C$2:$T$20,3,false)*HLOOKUP($K680,'Type Chart'!$C$2:$U$20,3,false)</f>
        <v>1</v>
      </c>
      <c r="W680" s="960">
        <f t="array" ref="W680">HLOOKUP($J680,'Type Chart'!$C$2:$T$20,4,false)*HLOOKUP($K680,'Type Chart'!$C$2:$U$20,4,false)</f>
        <v>2</v>
      </c>
      <c r="X680" s="960">
        <f t="array" ref="X680">HLOOKUP($J680,'Type Chart'!$C$2:$T$20,5,false)*HLOOKUP($K680,'Type Chart'!$C$2:$U$20,5,false)</f>
        <v>1</v>
      </c>
      <c r="Y680" s="960">
        <f t="array" ref="Y680">HLOOKUP($J680,'Type Chart'!$C$2:$T$20,6,false)*HLOOKUP($K680,'Type Chart'!$C$2:$U$20,6,false)</f>
        <v>1</v>
      </c>
      <c r="Z680" s="960">
        <f t="array" ref="Z680">HLOOKUP($J680,'Type Chart'!$C$2:$T$20,7,false)*HLOOKUP($K680,'Type Chart'!$C$2:$U$20,7,false)</f>
        <v>0.5</v>
      </c>
      <c r="AA680" s="960">
        <f t="array" ref="AA680">HLOOKUP($J680,'Type Chart'!$C$2:$T$20,8,false)*HLOOKUP($K680,'Type Chart'!$C$2:$U$20,8,false)</f>
        <v>0.5</v>
      </c>
      <c r="AB680" s="960">
        <f t="array" ref="AB680">HLOOKUP($J680,'Type Chart'!$C$2:$T$20,9,false)*HLOOKUP($K680,'Type Chart'!$C$2:$U$20,9,false)</f>
        <v>1</v>
      </c>
      <c r="AC680" s="960">
        <f t="array" ref="AC680">HLOOKUP($J680,'Type Chart'!$C$2:$T$20,10,false)*HLOOKUP($K680,'Type Chart'!$C$2:$U$20,10,false)</f>
        <v>1</v>
      </c>
      <c r="AD680" s="960">
        <f t="array" ref="AD680">HLOOKUP($J680,'Type Chart'!$C$2:$T$20,11,false)*HLOOKUP($K680,'Type Chart'!$C$2:$U$20,11,false)</f>
        <v>1</v>
      </c>
      <c r="AE680" s="960">
        <f t="array" ref="AE680">HLOOKUP($J680,'Type Chart'!$C$2:$T$20,12,false)*HLOOKUP($K680,'Type Chart'!$C$2:$U$20,12,false)</f>
        <v>1</v>
      </c>
      <c r="AF680" s="960">
        <f t="array" ref="AF680">HLOOKUP($J680,'Type Chart'!$C$2:$T$20,13,false)*HLOOKUP($K680,'Type Chart'!$C$2:$U$20,13,false)</f>
        <v>1</v>
      </c>
      <c r="AG680" s="960">
        <f t="array" ref="AG680">HLOOKUP($J680,'Type Chart'!$C$2:$T$20,14,false)*HLOOKUP($K680,'Type Chart'!$C$2:$U$20,14,false)</f>
        <v>1</v>
      </c>
      <c r="AH680" s="960">
        <f t="array" ref="AH680">HLOOKUP($J680,'Type Chart'!$C$2:$T$20,15,false)*HLOOKUP($K680,'Type Chart'!$C$2:$U$20,15,false)</f>
        <v>2</v>
      </c>
      <c r="AI680" s="960">
        <f t="array" ref="AI680">HLOOKUP($J680,'Type Chart'!$C$2:$T$20,16,false)*HLOOKUP($K680,'Type Chart'!$C$2:$U$20,16,false)</f>
        <v>1</v>
      </c>
      <c r="AJ680" s="960">
        <f t="array" ref="AJ680">HLOOKUP($J680,'Type Chart'!$C$2:$T$20,17,false)*HLOOKUP($K680,'Type Chart'!$C$2:$U$20,17,false)</f>
        <v>1</v>
      </c>
      <c r="AK680" s="960">
        <f t="array" ref="AK680">HLOOKUP($J680,'Type Chart'!$C$2:$T$20,18,false)*HLOOKUP($K680,'Type Chart'!$C$2:$U$20,18,false)</f>
        <v>0.5</v>
      </c>
      <c r="AL680" s="960">
        <f t="array" ref="AL680">HLOOKUP($J680,'Type Chart'!$C$2:$T$20,19,false)*HLOOKUP($K680,'Type Chart'!$C$2:$U$20,19,false)</f>
        <v>2</v>
      </c>
      <c r="AM680" s="964" t="s">
        <v>1038</v>
      </c>
      <c r="AN680" s="965" t="s">
        <v>1153</v>
      </c>
      <c r="AO680" s="966" t="s">
        <v>1501</v>
      </c>
      <c r="AP680" s="936"/>
      <c r="AQ680" s="967"/>
      <c r="AR680" s="968"/>
      <c r="AS680" s="936"/>
    </row>
    <row r="681" ht="15.75" customHeight="1">
      <c r="A681" s="936"/>
      <c r="B681" s="948" t="s">
        <v>2895</v>
      </c>
      <c r="C681" s="950" t="s">
        <v>2896</v>
      </c>
      <c r="D681" s="950" t="s">
        <v>2896</v>
      </c>
      <c r="E681" s="952" t="s">
        <v>2896</v>
      </c>
      <c r="F681" s="940"/>
      <c r="G681" s="953"/>
      <c r="H681" s="969"/>
      <c r="I681" s="998" t="s">
        <v>549</v>
      </c>
      <c r="J681" s="1213" t="s">
        <v>341</v>
      </c>
      <c r="K681" s="984" t="s">
        <v>216</v>
      </c>
      <c r="L681" s="959">
        <v>105.0</v>
      </c>
      <c r="M681" s="960">
        <v>140.0</v>
      </c>
      <c r="N681" s="960">
        <v>95.0</v>
      </c>
      <c r="O681" s="960">
        <v>55.0</v>
      </c>
      <c r="P681" s="960">
        <v>65.0</v>
      </c>
      <c r="Q681" s="960">
        <v>45.0</v>
      </c>
      <c r="R681" s="960">
        <v>126.0</v>
      </c>
      <c r="S681" s="960">
        <v>189.0</v>
      </c>
      <c r="T681" s="960">
        <v>207.0</v>
      </c>
      <c r="U681" s="960">
        <f t="array" ref="U681">HLOOKUP($J681,'Type Chart'!$C$2:$T$20,2,false)*HLOOKUP($K681,'Type Chart'!$C$2:$U$20,2,false)</f>
        <v>1</v>
      </c>
      <c r="V681" s="960">
        <f t="array" ref="V681">HLOOKUP($J681,'Type Chart'!$C$2:$T$20,3,false)*HLOOKUP($K681,'Type Chart'!$C$2:$U$20,3,false)</f>
        <v>1</v>
      </c>
      <c r="W681" s="960">
        <f t="array" ref="W681">HLOOKUP($J681,'Type Chart'!$C$2:$T$20,4,false)*HLOOKUP($K681,'Type Chart'!$C$2:$U$20,4,false)</f>
        <v>2</v>
      </c>
      <c r="X681" s="960">
        <f t="array" ref="X681">HLOOKUP($J681,'Type Chart'!$C$2:$T$20,5,false)*HLOOKUP($K681,'Type Chart'!$C$2:$U$20,5,false)</f>
        <v>1</v>
      </c>
      <c r="Y681" s="960">
        <f t="array" ref="Y681">HLOOKUP($J681,'Type Chart'!$C$2:$T$20,6,false)*HLOOKUP($K681,'Type Chart'!$C$2:$U$20,6,false)</f>
        <v>1</v>
      </c>
      <c r="Z681" s="960">
        <f t="array" ref="Z681">HLOOKUP($J681,'Type Chart'!$C$2:$T$20,7,false)*HLOOKUP($K681,'Type Chart'!$C$2:$U$20,7,false)</f>
        <v>0.5</v>
      </c>
      <c r="AA681" s="960">
        <f t="array" ref="AA681">HLOOKUP($J681,'Type Chart'!$C$2:$T$20,8,false)*HLOOKUP($K681,'Type Chart'!$C$2:$U$20,8,false)</f>
        <v>0.5</v>
      </c>
      <c r="AB681" s="960">
        <f t="array" ref="AB681">HLOOKUP($J681,'Type Chart'!$C$2:$T$20,9,false)*HLOOKUP($K681,'Type Chart'!$C$2:$U$20,9,false)</f>
        <v>1</v>
      </c>
      <c r="AC681" s="960">
        <f t="array" ref="AC681">HLOOKUP($J681,'Type Chart'!$C$2:$T$20,10,false)*HLOOKUP($K681,'Type Chart'!$C$2:$U$20,10,false)</f>
        <v>1</v>
      </c>
      <c r="AD681" s="960">
        <f t="array" ref="AD681">HLOOKUP($J681,'Type Chart'!$C$2:$T$20,11,false)*HLOOKUP($K681,'Type Chart'!$C$2:$U$20,11,false)</f>
        <v>1</v>
      </c>
      <c r="AE681" s="960">
        <f t="array" ref="AE681">HLOOKUP($J681,'Type Chart'!$C$2:$T$20,12,false)*HLOOKUP($K681,'Type Chart'!$C$2:$U$20,12,false)</f>
        <v>1</v>
      </c>
      <c r="AF681" s="960">
        <f t="array" ref="AF681">HLOOKUP($J681,'Type Chart'!$C$2:$T$20,13,false)*HLOOKUP($K681,'Type Chart'!$C$2:$U$20,13,false)</f>
        <v>1</v>
      </c>
      <c r="AG681" s="960">
        <f t="array" ref="AG681">HLOOKUP($J681,'Type Chart'!$C$2:$T$20,14,false)*HLOOKUP($K681,'Type Chart'!$C$2:$U$20,14,false)</f>
        <v>1</v>
      </c>
      <c r="AH681" s="960">
        <f t="array" ref="AH681">HLOOKUP($J681,'Type Chart'!$C$2:$T$20,15,false)*HLOOKUP($K681,'Type Chart'!$C$2:$U$20,15,false)</f>
        <v>2</v>
      </c>
      <c r="AI681" s="960">
        <f t="array" ref="AI681">HLOOKUP($J681,'Type Chart'!$C$2:$T$20,16,false)*HLOOKUP($K681,'Type Chart'!$C$2:$U$20,16,false)</f>
        <v>1</v>
      </c>
      <c r="AJ681" s="960">
        <f t="array" ref="AJ681">HLOOKUP($J681,'Type Chart'!$C$2:$T$20,17,false)*HLOOKUP($K681,'Type Chart'!$C$2:$U$20,17,false)</f>
        <v>1</v>
      </c>
      <c r="AK681" s="960">
        <f t="array" ref="AK681">HLOOKUP($J681,'Type Chart'!$C$2:$T$20,18,false)*HLOOKUP($K681,'Type Chart'!$C$2:$U$20,18,false)</f>
        <v>0.5</v>
      </c>
      <c r="AL681" s="960">
        <f t="array" ref="AL681">HLOOKUP($J681,'Type Chart'!$C$2:$T$20,19,false)*HLOOKUP($K681,'Type Chart'!$C$2:$U$20,19,false)</f>
        <v>2</v>
      </c>
      <c r="AM681" s="964" t="s">
        <v>1038</v>
      </c>
      <c r="AN681" s="965" t="s">
        <v>1153</v>
      </c>
      <c r="AO681" s="966" t="s">
        <v>1501</v>
      </c>
      <c r="AP681" s="936"/>
      <c r="AQ681" s="967"/>
      <c r="AR681" s="968"/>
      <c r="AS681" s="936"/>
    </row>
    <row r="682" ht="15.75" customHeight="1">
      <c r="A682" s="936"/>
      <c r="B682" s="948" t="s">
        <v>2897</v>
      </c>
      <c r="C682" s="950" t="s">
        <v>2898</v>
      </c>
      <c r="D682" s="950" t="s">
        <v>2898</v>
      </c>
      <c r="E682" s="952" t="s">
        <v>2898</v>
      </c>
      <c r="F682" s="940"/>
      <c r="G682" s="953"/>
      <c r="H682" s="969"/>
      <c r="I682" s="998" t="s">
        <v>2899</v>
      </c>
      <c r="J682" s="1056" t="s">
        <v>81</v>
      </c>
      <c r="K682" s="984" t="s">
        <v>216</v>
      </c>
      <c r="L682" s="959">
        <v>50.0</v>
      </c>
      <c r="M682" s="960">
        <v>50.0</v>
      </c>
      <c r="N682" s="960">
        <v>40.0</v>
      </c>
      <c r="O682" s="960">
        <v>50.0</v>
      </c>
      <c r="P682" s="960">
        <v>40.0</v>
      </c>
      <c r="Q682" s="960">
        <v>64.0</v>
      </c>
      <c r="R682" s="960">
        <v>164.0</v>
      </c>
      <c r="S682" s="960">
        <v>227.0</v>
      </c>
      <c r="T682" s="960">
        <v>249.0</v>
      </c>
      <c r="U682" s="960">
        <f t="array" ref="U682">HLOOKUP($J682,'Type Chart'!$C$2:$T$20,2,false)*HLOOKUP($K682,'Type Chart'!$C$2:$U$20,2,false)</f>
        <v>1</v>
      </c>
      <c r="V682" s="960">
        <f t="array" ref="V682">HLOOKUP($J682,'Type Chart'!$C$2:$T$20,3,false)*HLOOKUP($K682,'Type Chart'!$C$2:$U$20,3,false)</f>
        <v>1</v>
      </c>
      <c r="W682" s="960">
        <f t="array" ref="W682">HLOOKUP($J682,'Type Chart'!$C$2:$T$20,4,false)*HLOOKUP($K682,'Type Chart'!$C$2:$U$20,4,false)</f>
        <v>1</v>
      </c>
      <c r="X682" s="960">
        <f t="array" ref="X682">HLOOKUP($J682,'Type Chart'!$C$2:$T$20,5,false)*HLOOKUP($K682,'Type Chart'!$C$2:$U$20,5,false)</f>
        <v>1</v>
      </c>
      <c r="Y682" s="960">
        <f t="array" ref="Y682">HLOOKUP($J682,'Type Chart'!$C$2:$T$20,6,false)*HLOOKUP($K682,'Type Chart'!$C$2:$U$20,6,false)</f>
        <v>1</v>
      </c>
      <c r="Z682" s="960">
        <f t="array" ref="Z682">HLOOKUP($J682,'Type Chart'!$C$2:$T$20,7,false)*HLOOKUP($K682,'Type Chart'!$C$2:$U$20,7,false)</f>
        <v>1</v>
      </c>
      <c r="AA682" s="960">
        <f t="array" ref="AA682">HLOOKUP($J682,'Type Chart'!$C$2:$T$20,8,false)*HLOOKUP($K682,'Type Chart'!$C$2:$U$20,8,false)</f>
        <v>1</v>
      </c>
      <c r="AB682" s="960">
        <f t="array" ref="AB682">HLOOKUP($J682,'Type Chart'!$C$2:$T$20,9,false)*HLOOKUP($K682,'Type Chart'!$C$2:$U$20,9,false)</f>
        <v>1</v>
      </c>
      <c r="AC682" s="960">
        <f t="array" ref="AC682">HLOOKUP($J682,'Type Chart'!$C$2:$T$20,10,false)*HLOOKUP($K682,'Type Chart'!$C$2:$U$20,10,false)</f>
        <v>0.5</v>
      </c>
      <c r="AD682" s="960">
        <f t="array" ref="AD682">HLOOKUP($J682,'Type Chart'!$C$2:$T$20,11,false)*HLOOKUP($K682,'Type Chart'!$C$2:$U$20,11,false)</f>
        <v>0.5</v>
      </c>
      <c r="AE682" s="960">
        <f t="array" ref="AE682">HLOOKUP($J682,'Type Chart'!$C$2:$T$20,12,false)*HLOOKUP($K682,'Type Chart'!$C$2:$U$20,12,false)</f>
        <v>0.5</v>
      </c>
      <c r="AF682" s="960">
        <f t="array" ref="AF682">HLOOKUP($J682,'Type Chart'!$C$2:$T$20,13,false)*HLOOKUP($K682,'Type Chart'!$C$2:$U$20,13,false)</f>
        <v>2</v>
      </c>
      <c r="AG682" s="960">
        <f t="array" ref="AG682">HLOOKUP($J682,'Type Chart'!$C$2:$T$20,14,false)*HLOOKUP($K682,'Type Chart'!$C$2:$U$20,14,false)</f>
        <v>2</v>
      </c>
      <c r="AH682" s="960">
        <f t="array" ref="AH682">HLOOKUP($J682,'Type Chart'!$C$2:$T$20,15,false)*HLOOKUP($K682,'Type Chart'!$C$2:$U$20,15,false)</f>
        <v>1</v>
      </c>
      <c r="AI682" s="960">
        <f t="array" ref="AI682">HLOOKUP($J682,'Type Chart'!$C$2:$T$20,16,false)*HLOOKUP($K682,'Type Chart'!$C$2:$U$20,16,false)</f>
        <v>0.5</v>
      </c>
      <c r="AJ682" s="960">
        <f t="array" ref="AJ682">HLOOKUP($J682,'Type Chart'!$C$2:$T$20,17,false)*HLOOKUP($K682,'Type Chart'!$C$2:$U$20,17,false)</f>
        <v>1</v>
      </c>
      <c r="AK682" s="960">
        <f t="array" ref="AK682">HLOOKUP($J682,'Type Chart'!$C$2:$T$20,18,false)*HLOOKUP($K682,'Type Chart'!$C$2:$U$20,18,false)</f>
        <v>1</v>
      </c>
      <c r="AL682" s="960">
        <f t="array" ref="AL682">HLOOKUP($J682,'Type Chart'!$C$2:$T$20,19,false)*HLOOKUP($K682,'Type Chart'!$C$2:$U$20,19,false)</f>
        <v>1</v>
      </c>
      <c r="AM682" s="964" t="s">
        <v>1259</v>
      </c>
      <c r="AN682" s="965" t="s">
        <v>1409</v>
      </c>
      <c r="AO682" s="966" t="s">
        <v>1283</v>
      </c>
      <c r="AP682" s="936"/>
      <c r="AQ682" s="967"/>
      <c r="AR682" s="968"/>
      <c r="AS682" s="936"/>
    </row>
    <row r="683" ht="15.75" customHeight="1">
      <c r="A683" s="936"/>
      <c r="B683" s="948" t="s">
        <v>2900</v>
      </c>
      <c r="C683" s="950" t="s">
        <v>2901</v>
      </c>
      <c r="D683" s="950" t="s">
        <v>2901</v>
      </c>
      <c r="E683" s="952" t="s">
        <v>2901</v>
      </c>
      <c r="F683" s="940"/>
      <c r="G683" s="953"/>
      <c r="H683" s="969"/>
      <c r="I683" s="998" t="s">
        <v>2902</v>
      </c>
      <c r="J683" s="1056" t="s">
        <v>81</v>
      </c>
      <c r="K683" s="1204" t="s">
        <v>80</v>
      </c>
      <c r="L683" s="959">
        <v>75.0</v>
      </c>
      <c r="M683" s="960">
        <v>65.0</v>
      </c>
      <c r="N683" s="960">
        <v>55.0</v>
      </c>
      <c r="O683" s="960">
        <v>65.0</v>
      </c>
      <c r="P683" s="960">
        <v>55.0</v>
      </c>
      <c r="Q683" s="960">
        <v>69.0</v>
      </c>
      <c r="R683" s="960">
        <v>174.0</v>
      </c>
      <c r="S683" s="960">
        <v>237.0</v>
      </c>
      <c r="T683" s="960">
        <v>260.0</v>
      </c>
      <c r="U683" s="960">
        <f t="array" ref="U683">HLOOKUP($J683,'Type Chart'!$C$2:$T$20,2,false)*HLOOKUP($K683,'Type Chart'!$C$2:$U$20,2,false)</f>
        <v>1</v>
      </c>
      <c r="V683" s="960">
        <f t="array" ref="V683">HLOOKUP($J683,'Type Chart'!$C$2:$T$20,3,false)*HLOOKUP($K683,'Type Chart'!$C$2:$U$20,3,false)</f>
        <v>1</v>
      </c>
      <c r="W683" s="960">
        <f t="array" ref="W683">HLOOKUP($J683,'Type Chart'!$C$2:$T$20,4,false)*HLOOKUP($K683,'Type Chart'!$C$2:$U$20,4,false)</f>
        <v>1</v>
      </c>
      <c r="X683" s="960">
        <f t="array" ref="X683">HLOOKUP($J683,'Type Chart'!$C$2:$T$20,5,false)*HLOOKUP($K683,'Type Chart'!$C$2:$U$20,5,false)</f>
        <v>0.5</v>
      </c>
      <c r="Y683" s="960">
        <f t="array" ref="Y683">HLOOKUP($J683,'Type Chart'!$C$2:$T$20,6,false)*HLOOKUP($K683,'Type Chart'!$C$2:$U$20,6,false)</f>
        <v>1</v>
      </c>
      <c r="Z683" s="960">
        <f t="array" ref="Z683">HLOOKUP($J683,'Type Chart'!$C$2:$T$20,7,false)*HLOOKUP($K683,'Type Chart'!$C$2:$U$20,7,false)</f>
        <v>0.5</v>
      </c>
      <c r="AA683" s="960">
        <f t="array" ref="AA683">HLOOKUP($J683,'Type Chart'!$C$2:$T$20,8,false)*HLOOKUP($K683,'Type Chart'!$C$2:$U$20,8,false)</f>
        <v>1</v>
      </c>
      <c r="AB683" s="960">
        <f t="array" ref="AB683">HLOOKUP($J683,'Type Chart'!$C$2:$T$20,9,false)*HLOOKUP($K683,'Type Chart'!$C$2:$U$20,9,false)</f>
        <v>1</v>
      </c>
      <c r="AC683" s="960">
        <f t="array" ref="AC683">HLOOKUP($J683,'Type Chart'!$C$2:$T$20,10,false)*HLOOKUP($K683,'Type Chart'!$C$2:$U$20,10,false)</f>
        <v>0.5</v>
      </c>
      <c r="AD683" s="960">
        <f t="array" ref="AD683">HLOOKUP($J683,'Type Chart'!$C$2:$T$20,11,false)*HLOOKUP($K683,'Type Chart'!$C$2:$U$20,11,false)</f>
        <v>0.5</v>
      </c>
      <c r="AE683" s="960">
        <f t="array" ref="AE683">HLOOKUP($J683,'Type Chart'!$C$2:$T$20,12,false)*HLOOKUP($K683,'Type Chart'!$C$2:$U$20,12,false)</f>
        <v>1</v>
      </c>
      <c r="AF683" s="960">
        <f t="array" ref="AF683">HLOOKUP($J683,'Type Chart'!$C$2:$T$20,13,false)*HLOOKUP($K683,'Type Chart'!$C$2:$U$20,13,false)</f>
        <v>4</v>
      </c>
      <c r="AG683" s="960">
        <f t="array" ref="AG683">HLOOKUP($J683,'Type Chart'!$C$2:$T$20,14,false)*HLOOKUP($K683,'Type Chart'!$C$2:$U$20,14,false)</f>
        <v>0</v>
      </c>
      <c r="AH683" s="960">
        <f t="array" ref="AH683">HLOOKUP($J683,'Type Chart'!$C$2:$T$20,15,false)*HLOOKUP($K683,'Type Chart'!$C$2:$U$20,15,false)</f>
        <v>1</v>
      </c>
      <c r="AI683" s="960">
        <f t="array" ref="AI683">HLOOKUP($J683,'Type Chart'!$C$2:$T$20,16,false)*HLOOKUP($K683,'Type Chart'!$C$2:$U$20,16,false)</f>
        <v>1</v>
      </c>
      <c r="AJ683" s="960">
        <f t="array" ref="AJ683">HLOOKUP($J683,'Type Chart'!$C$2:$T$20,17,false)*HLOOKUP($K683,'Type Chart'!$C$2:$U$20,17,false)</f>
        <v>1</v>
      </c>
      <c r="AK683" s="960">
        <f t="array" ref="AK683">HLOOKUP($J683,'Type Chart'!$C$2:$T$20,18,false)*HLOOKUP($K683,'Type Chart'!$C$2:$U$20,18,false)</f>
        <v>1</v>
      </c>
      <c r="AL683" s="960">
        <f t="array" ref="AL683">HLOOKUP($J683,'Type Chart'!$C$2:$T$20,19,false)*HLOOKUP($K683,'Type Chart'!$C$2:$U$20,19,false)</f>
        <v>1</v>
      </c>
      <c r="AM683" s="964" t="s">
        <v>1259</v>
      </c>
      <c r="AN683" s="965" t="s">
        <v>1409</v>
      </c>
      <c r="AO683" s="966" t="s">
        <v>1283</v>
      </c>
      <c r="AP683" s="936"/>
      <c r="AQ683" s="967"/>
      <c r="AR683" s="968"/>
      <c r="AS683" s="936"/>
    </row>
    <row r="684" ht="15.75" customHeight="1">
      <c r="A684" s="936"/>
      <c r="B684" s="948" t="s">
        <v>2903</v>
      </c>
      <c r="C684" s="950" t="s">
        <v>2904</v>
      </c>
      <c r="D684" s="950" t="s">
        <v>2904</v>
      </c>
      <c r="E684" s="1147" t="s">
        <v>2904</v>
      </c>
      <c r="F684" s="940"/>
      <c r="G684" s="953"/>
      <c r="H684" s="969"/>
      <c r="I684" s="998" t="s">
        <v>2905</v>
      </c>
      <c r="J684" s="1056" t="s">
        <v>81</v>
      </c>
      <c r="K684" s="1204" t="s">
        <v>80</v>
      </c>
      <c r="L684" s="959">
        <v>105.0</v>
      </c>
      <c r="M684" s="960">
        <v>95.0</v>
      </c>
      <c r="N684" s="960">
        <v>75.0</v>
      </c>
      <c r="O684" s="960">
        <v>85.0</v>
      </c>
      <c r="P684" s="960">
        <v>75.0</v>
      </c>
      <c r="Q684" s="960">
        <v>74.0</v>
      </c>
      <c r="R684" s="960">
        <v>184.0</v>
      </c>
      <c r="S684" s="960">
        <v>247.0</v>
      </c>
      <c r="T684" s="960">
        <v>271.0</v>
      </c>
      <c r="U684" s="960">
        <f t="array" ref="U684">HLOOKUP($J684,'Type Chart'!$C$2:$T$20,2,false)*HLOOKUP($K684,'Type Chart'!$C$2:$U$20,2,false)</f>
        <v>1</v>
      </c>
      <c r="V684" s="960">
        <f t="array" ref="V684">HLOOKUP($J684,'Type Chart'!$C$2:$T$20,3,false)*HLOOKUP($K684,'Type Chart'!$C$2:$U$20,3,false)</f>
        <v>1</v>
      </c>
      <c r="W684" s="960">
        <f t="array" ref="W684">HLOOKUP($J684,'Type Chart'!$C$2:$T$20,4,false)*HLOOKUP($K684,'Type Chart'!$C$2:$U$20,4,false)</f>
        <v>1</v>
      </c>
      <c r="X684" s="960">
        <f t="array" ref="X684">HLOOKUP($J684,'Type Chart'!$C$2:$T$20,5,false)*HLOOKUP($K684,'Type Chart'!$C$2:$U$20,5,false)</f>
        <v>0.5</v>
      </c>
      <c r="Y684" s="960">
        <f t="array" ref="Y684">HLOOKUP($J684,'Type Chart'!$C$2:$T$20,6,false)*HLOOKUP($K684,'Type Chart'!$C$2:$U$20,6,false)</f>
        <v>1</v>
      </c>
      <c r="Z684" s="960">
        <f t="array" ref="Z684">HLOOKUP($J684,'Type Chart'!$C$2:$T$20,7,false)*HLOOKUP($K684,'Type Chart'!$C$2:$U$20,7,false)</f>
        <v>0.5</v>
      </c>
      <c r="AA684" s="960">
        <f t="array" ref="AA684">HLOOKUP($J684,'Type Chart'!$C$2:$T$20,8,false)*HLOOKUP($K684,'Type Chart'!$C$2:$U$20,8,false)</f>
        <v>1</v>
      </c>
      <c r="AB684" s="960">
        <f t="array" ref="AB684">HLOOKUP($J684,'Type Chart'!$C$2:$T$20,9,false)*HLOOKUP($K684,'Type Chart'!$C$2:$U$20,9,false)</f>
        <v>1</v>
      </c>
      <c r="AC684" s="960">
        <f t="array" ref="AC684">HLOOKUP($J684,'Type Chart'!$C$2:$T$20,10,false)*HLOOKUP($K684,'Type Chart'!$C$2:$U$20,10,false)</f>
        <v>0.5</v>
      </c>
      <c r="AD684" s="960">
        <f t="array" ref="AD684">HLOOKUP($J684,'Type Chart'!$C$2:$T$20,11,false)*HLOOKUP($K684,'Type Chart'!$C$2:$U$20,11,false)</f>
        <v>0.5</v>
      </c>
      <c r="AE684" s="960">
        <f t="array" ref="AE684">HLOOKUP($J684,'Type Chart'!$C$2:$T$20,12,false)*HLOOKUP($K684,'Type Chart'!$C$2:$U$20,12,false)</f>
        <v>1</v>
      </c>
      <c r="AF684" s="960">
        <f t="array" ref="AF684">HLOOKUP($J684,'Type Chart'!$C$2:$T$20,13,false)*HLOOKUP($K684,'Type Chart'!$C$2:$U$20,13,false)</f>
        <v>4</v>
      </c>
      <c r="AG684" s="960">
        <f t="array" ref="AG684">HLOOKUP($J684,'Type Chart'!$C$2:$T$20,14,false)*HLOOKUP($K684,'Type Chart'!$C$2:$U$20,14,false)</f>
        <v>0</v>
      </c>
      <c r="AH684" s="960">
        <f t="array" ref="AH684">HLOOKUP($J684,'Type Chart'!$C$2:$T$20,15,false)*HLOOKUP($K684,'Type Chart'!$C$2:$U$20,15,false)</f>
        <v>1</v>
      </c>
      <c r="AI684" s="960">
        <f t="array" ref="AI684">HLOOKUP($J684,'Type Chart'!$C$2:$T$20,16,false)*HLOOKUP($K684,'Type Chart'!$C$2:$U$20,16,false)</f>
        <v>1</v>
      </c>
      <c r="AJ684" s="960">
        <f t="array" ref="AJ684">HLOOKUP($J684,'Type Chart'!$C$2:$T$20,17,false)*HLOOKUP($K684,'Type Chart'!$C$2:$U$20,17,false)</f>
        <v>1</v>
      </c>
      <c r="AK684" s="960">
        <f t="array" ref="AK684">HLOOKUP($J684,'Type Chart'!$C$2:$T$20,18,false)*HLOOKUP($K684,'Type Chart'!$C$2:$U$20,18,false)</f>
        <v>1</v>
      </c>
      <c r="AL684" s="960">
        <f t="array" ref="AL684">HLOOKUP($J684,'Type Chart'!$C$2:$T$20,19,false)*HLOOKUP($K684,'Type Chart'!$C$2:$U$20,19,false)</f>
        <v>1</v>
      </c>
      <c r="AM684" s="964" t="s">
        <v>1259</v>
      </c>
      <c r="AN684" s="965" t="s">
        <v>1417</v>
      </c>
      <c r="AO684" s="966" t="s">
        <v>1283</v>
      </c>
      <c r="AP684" s="936"/>
      <c r="AQ684" s="967"/>
      <c r="AR684" s="968"/>
      <c r="AS684" s="936"/>
    </row>
    <row r="685" ht="15.75" customHeight="1">
      <c r="A685" s="936"/>
      <c r="B685" s="948" t="s">
        <v>2906</v>
      </c>
      <c r="C685" s="950" t="s">
        <v>2907</v>
      </c>
      <c r="D685" s="950" t="s">
        <v>2907</v>
      </c>
      <c r="E685" s="1147" t="s">
        <v>2907</v>
      </c>
      <c r="F685" s="940"/>
      <c r="G685" s="953"/>
      <c r="H685" s="969"/>
      <c r="I685" s="998" t="s">
        <v>2908</v>
      </c>
      <c r="J685" s="1213" t="s">
        <v>341</v>
      </c>
      <c r="K685" s="984" t="s">
        <v>216</v>
      </c>
      <c r="L685" s="959">
        <v>120.0</v>
      </c>
      <c r="M685" s="960">
        <v>100.0</v>
      </c>
      <c r="N685" s="960">
        <v>85.0</v>
      </c>
      <c r="O685" s="960">
        <v>30.0</v>
      </c>
      <c r="P685" s="960">
        <v>85.0</v>
      </c>
      <c r="Q685" s="960">
        <v>45.0</v>
      </c>
      <c r="R685" s="960">
        <v>126.0</v>
      </c>
      <c r="S685" s="960">
        <v>189.0</v>
      </c>
      <c r="T685" s="960">
        <v>207.0</v>
      </c>
      <c r="U685" s="960">
        <f t="array" ref="U685">HLOOKUP($J685,'Type Chart'!$C$2:$T$20,2,false)*HLOOKUP($K685,'Type Chart'!$C$2:$U$20,2,false)</f>
        <v>1</v>
      </c>
      <c r="V685" s="960">
        <f t="array" ref="V685">HLOOKUP($J685,'Type Chart'!$C$2:$T$20,3,false)*HLOOKUP($K685,'Type Chart'!$C$2:$U$20,3,false)</f>
        <v>1</v>
      </c>
      <c r="W685" s="960">
        <f t="array" ref="W685">HLOOKUP($J685,'Type Chart'!$C$2:$T$20,4,false)*HLOOKUP($K685,'Type Chart'!$C$2:$U$20,4,false)</f>
        <v>2</v>
      </c>
      <c r="X685" s="960">
        <f t="array" ref="X685">HLOOKUP($J685,'Type Chart'!$C$2:$T$20,5,false)*HLOOKUP($K685,'Type Chart'!$C$2:$U$20,5,false)</f>
        <v>1</v>
      </c>
      <c r="Y685" s="960">
        <f t="array" ref="Y685">HLOOKUP($J685,'Type Chart'!$C$2:$T$20,6,false)*HLOOKUP($K685,'Type Chart'!$C$2:$U$20,6,false)</f>
        <v>1</v>
      </c>
      <c r="Z685" s="960">
        <f t="array" ref="Z685">HLOOKUP($J685,'Type Chart'!$C$2:$T$20,7,false)*HLOOKUP($K685,'Type Chart'!$C$2:$U$20,7,false)</f>
        <v>0.5</v>
      </c>
      <c r="AA685" s="960">
        <f t="array" ref="AA685">HLOOKUP($J685,'Type Chart'!$C$2:$T$20,8,false)*HLOOKUP($K685,'Type Chart'!$C$2:$U$20,8,false)</f>
        <v>0.5</v>
      </c>
      <c r="AB685" s="960">
        <f t="array" ref="AB685">HLOOKUP($J685,'Type Chart'!$C$2:$T$20,9,false)*HLOOKUP($K685,'Type Chart'!$C$2:$U$20,9,false)</f>
        <v>1</v>
      </c>
      <c r="AC685" s="960">
        <f t="array" ref="AC685">HLOOKUP($J685,'Type Chart'!$C$2:$T$20,10,false)*HLOOKUP($K685,'Type Chart'!$C$2:$U$20,10,false)</f>
        <v>1</v>
      </c>
      <c r="AD685" s="960">
        <f t="array" ref="AD685">HLOOKUP($J685,'Type Chart'!$C$2:$T$20,11,false)*HLOOKUP($K685,'Type Chart'!$C$2:$U$20,11,false)</f>
        <v>1</v>
      </c>
      <c r="AE685" s="960">
        <f t="array" ref="AE685">HLOOKUP($J685,'Type Chart'!$C$2:$T$20,12,false)*HLOOKUP($K685,'Type Chart'!$C$2:$U$20,12,false)</f>
        <v>1</v>
      </c>
      <c r="AF685" s="960">
        <f t="array" ref="AF685">HLOOKUP($J685,'Type Chart'!$C$2:$T$20,13,false)*HLOOKUP($K685,'Type Chart'!$C$2:$U$20,13,false)</f>
        <v>1</v>
      </c>
      <c r="AG685" s="960">
        <f t="array" ref="AG685">HLOOKUP($J685,'Type Chart'!$C$2:$T$20,14,false)*HLOOKUP($K685,'Type Chart'!$C$2:$U$20,14,false)</f>
        <v>1</v>
      </c>
      <c r="AH685" s="960">
        <f t="array" ref="AH685">HLOOKUP($J685,'Type Chart'!$C$2:$T$20,15,false)*HLOOKUP($K685,'Type Chart'!$C$2:$U$20,15,false)</f>
        <v>2</v>
      </c>
      <c r="AI685" s="960">
        <f t="array" ref="AI685">HLOOKUP($J685,'Type Chart'!$C$2:$T$20,16,false)*HLOOKUP($K685,'Type Chart'!$C$2:$U$20,16,false)</f>
        <v>1</v>
      </c>
      <c r="AJ685" s="960">
        <f t="array" ref="AJ685">HLOOKUP($J685,'Type Chart'!$C$2:$T$20,17,false)*HLOOKUP($K685,'Type Chart'!$C$2:$U$20,17,false)</f>
        <v>1</v>
      </c>
      <c r="AK685" s="960">
        <f t="array" ref="AK685">HLOOKUP($J685,'Type Chart'!$C$2:$T$20,18,false)*HLOOKUP($K685,'Type Chart'!$C$2:$U$20,18,false)</f>
        <v>0.5</v>
      </c>
      <c r="AL685" s="960">
        <f t="array" ref="AL685">HLOOKUP($J685,'Type Chart'!$C$2:$T$20,19,false)*HLOOKUP($K685,'Type Chart'!$C$2:$U$20,19,false)</f>
        <v>2</v>
      </c>
      <c r="AM685" s="964" t="s">
        <v>1038</v>
      </c>
      <c r="AN685" s="965" t="s">
        <v>1192</v>
      </c>
      <c r="AO685" s="966" t="s">
        <v>1576</v>
      </c>
      <c r="AP685" s="936"/>
      <c r="AQ685" s="967"/>
      <c r="AR685" s="968"/>
      <c r="AS685" s="936"/>
    </row>
    <row r="686" ht="15.75" customHeight="1">
      <c r="A686" s="936"/>
      <c r="B686" s="948" t="s">
        <v>2909</v>
      </c>
      <c r="C686" s="950" t="s">
        <v>2910</v>
      </c>
      <c r="D686" s="950" t="s">
        <v>2910</v>
      </c>
      <c r="E686" s="952" t="s">
        <v>2910</v>
      </c>
      <c r="F686" s="940"/>
      <c r="G686" s="953"/>
      <c r="H686" s="969"/>
      <c r="I686" s="998" t="s">
        <v>2911</v>
      </c>
      <c r="J686" s="1213" t="s">
        <v>341</v>
      </c>
      <c r="K686" s="984" t="s">
        <v>216</v>
      </c>
      <c r="L686" s="959">
        <v>75.0</v>
      </c>
      <c r="M686" s="960">
        <v>125.0</v>
      </c>
      <c r="N686" s="960">
        <v>75.0</v>
      </c>
      <c r="O686" s="960">
        <v>30.0</v>
      </c>
      <c r="P686" s="960">
        <v>75.0</v>
      </c>
      <c r="Q686" s="960">
        <v>85.0</v>
      </c>
      <c r="R686" s="960">
        <v>206.0</v>
      </c>
      <c r="S686" s="960">
        <v>269.0</v>
      </c>
      <c r="T686" s="960">
        <v>295.0</v>
      </c>
      <c r="U686" s="960">
        <f t="array" ref="U686">HLOOKUP($J686,'Type Chart'!$C$2:$T$20,2,false)*HLOOKUP($K686,'Type Chart'!$C$2:$U$20,2,false)</f>
        <v>1</v>
      </c>
      <c r="V686" s="960">
        <f t="array" ref="V686">HLOOKUP($J686,'Type Chart'!$C$2:$T$20,3,false)*HLOOKUP($K686,'Type Chart'!$C$2:$U$20,3,false)</f>
        <v>1</v>
      </c>
      <c r="W686" s="960">
        <f t="array" ref="W686">HLOOKUP($J686,'Type Chart'!$C$2:$T$20,4,false)*HLOOKUP($K686,'Type Chart'!$C$2:$U$20,4,false)</f>
        <v>2</v>
      </c>
      <c r="X686" s="960">
        <f t="array" ref="X686">HLOOKUP($J686,'Type Chart'!$C$2:$T$20,5,false)*HLOOKUP($K686,'Type Chart'!$C$2:$U$20,5,false)</f>
        <v>1</v>
      </c>
      <c r="Y686" s="960">
        <f t="array" ref="Y686">HLOOKUP($J686,'Type Chart'!$C$2:$T$20,6,false)*HLOOKUP($K686,'Type Chart'!$C$2:$U$20,6,false)</f>
        <v>1</v>
      </c>
      <c r="Z686" s="960">
        <f t="array" ref="Z686">HLOOKUP($J686,'Type Chart'!$C$2:$T$20,7,false)*HLOOKUP($K686,'Type Chart'!$C$2:$U$20,7,false)</f>
        <v>0.5</v>
      </c>
      <c r="AA686" s="960">
        <f t="array" ref="AA686">HLOOKUP($J686,'Type Chart'!$C$2:$T$20,8,false)*HLOOKUP($K686,'Type Chart'!$C$2:$U$20,8,false)</f>
        <v>0.5</v>
      </c>
      <c r="AB686" s="960">
        <f t="array" ref="AB686">HLOOKUP($J686,'Type Chart'!$C$2:$T$20,9,false)*HLOOKUP($K686,'Type Chart'!$C$2:$U$20,9,false)</f>
        <v>1</v>
      </c>
      <c r="AC686" s="960">
        <f t="array" ref="AC686">HLOOKUP($J686,'Type Chart'!$C$2:$T$20,10,false)*HLOOKUP($K686,'Type Chart'!$C$2:$U$20,10,false)</f>
        <v>1</v>
      </c>
      <c r="AD686" s="960">
        <f t="array" ref="AD686">HLOOKUP($J686,'Type Chart'!$C$2:$T$20,11,false)*HLOOKUP($K686,'Type Chart'!$C$2:$U$20,11,false)</f>
        <v>1</v>
      </c>
      <c r="AE686" s="960">
        <f t="array" ref="AE686">HLOOKUP($J686,'Type Chart'!$C$2:$T$20,12,false)*HLOOKUP($K686,'Type Chart'!$C$2:$U$20,12,false)</f>
        <v>1</v>
      </c>
      <c r="AF686" s="960">
        <f t="array" ref="AF686">HLOOKUP($J686,'Type Chart'!$C$2:$T$20,13,false)*HLOOKUP($K686,'Type Chart'!$C$2:$U$20,13,false)</f>
        <v>1</v>
      </c>
      <c r="AG686" s="960">
        <f t="array" ref="AG686">HLOOKUP($J686,'Type Chart'!$C$2:$T$20,14,false)*HLOOKUP($K686,'Type Chart'!$C$2:$U$20,14,false)</f>
        <v>1</v>
      </c>
      <c r="AH686" s="960">
        <f t="array" ref="AH686">HLOOKUP($J686,'Type Chart'!$C$2:$T$20,15,false)*HLOOKUP($K686,'Type Chart'!$C$2:$U$20,15,false)</f>
        <v>2</v>
      </c>
      <c r="AI686" s="960">
        <f t="array" ref="AI686">HLOOKUP($J686,'Type Chart'!$C$2:$T$20,16,false)*HLOOKUP($K686,'Type Chart'!$C$2:$U$20,16,false)</f>
        <v>1</v>
      </c>
      <c r="AJ686" s="960">
        <f t="array" ref="AJ686">HLOOKUP($J686,'Type Chart'!$C$2:$T$20,17,false)*HLOOKUP($K686,'Type Chart'!$C$2:$U$20,17,false)</f>
        <v>1</v>
      </c>
      <c r="AK686" s="960">
        <f t="array" ref="AK686">HLOOKUP($J686,'Type Chart'!$C$2:$T$20,18,false)*HLOOKUP($K686,'Type Chart'!$C$2:$U$20,18,false)</f>
        <v>0.5</v>
      </c>
      <c r="AL686" s="960">
        <f t="array" ref="AL686">HLOOKUP($J686,'Type Chart'!$C$2:$T$20,19,false)*HLOOKUP($K686,'Type Chart'!$C$2:$U$20,19,false)</f>
        <v>2</v>
      </c>
      <c r="AM686" s="964" t="s">
        <v>1331</v>
      </c>
      <c r="AN686" s="965" t="s">
        <v>1192</v>
      </c>
      <c r="AO686" s="966" t="s">
        <v>1576</v>
      </c>
      <c r="AP686" s="936"/>
      <c r="AQ686" s="967"/>
      <c r="AR686" s="968"/>
      <c r="AS686" s="936"/>
    </row>
    <row r="687" ht="15.75" customHeight="1">
      <c r="A687" s="936"/>
      <c r="B687" s="948" t="s">
        <v>2912</v>
      </c>
      <c r="C687" s="950" t="s">
        <v>2913</v>
      </c>
      <c r="D687" s="950" t="s">
        <v>2913</v>
      </c>
      <c r="E687" s="952" t="s">
        <v>2913</v>
      </c>
      <c r="F687" s="940"/>
      <c r="G687" s="953"/>
      <c r="H687" s="969"/>
      <c r="I687" s="998" t="s">
        <v>2914</v>
      </c>
      <c r="J687" s="1180" t="s">
        <v>343</v>
      </c>
      <c r="K687" s="957" t="s">
        <v>209</v>
      </c>
      <c r="L687" s="959">
        <v>45.0</v>
      </c>
      <c r="M687" s="960">
        <v>53.0</v>
      </c>
      <c r="N687" s="960">
        <v>70.0</v>
      </c>
      <c r="O687" s="960">
        <v>40.0</v>
      </c>
      <c r="P687" s="960">
        <v>60.0</v>
      </c>
      <c r="Q687" s="960">
        <v>42.0</v>
      </c>
      <c r="R687" s="960">
        <v>120.0</v>
      </c>
      <c r="S687" s="960">
        <v>183.0</v>
      </c>
      <c r="T687" s="960">
        <v>201.0</v>
      </c>
      <c r="U687" s="960">
        <f t="array" ref="U687">HLOOKUP($J687,'Type Chart'!$C$2:$T$20,2,false)*HLOOKUP($K687,'Type Chart'!$C$2:$U$20,2,false)</f>
        <v>1</v>
      </c>
      <c r="V687" s="960">
        <f t="array" ref="V687">HLOOKUP($J687,'Type Chart'!$C$2:$T$20,3,false)*HLOOKUP($K687,'Type Chart'!$C$2:$U$20,3,false)</f>
        <v>0.5</v>
      </c>
      <c r="W687" s="960">
        <f t="array" ref="W687">HLOOKUP($J687,'Type Chart'!$C$2:$T$20,4,false)*HLOOKUP($K687,'Type Chart'!$C$2:$U$20,4,false)</f>
        <v>4</v>
      </c>
      <c r="X687" s="960">
        <f t="array" ref="X687">HLOOKUP($J687,'Type Chart'!$C$2:$T$20,5,false)*HLOOKUP($K687,'Type Chart'!$C$2:$U$20,5,false)</f>
        <v>2</v>
      </c>
      <c r="Y687" s="960">
        <f t="array" ref="Y687">HLOOKUP($J687,'Type Chart'!$C$2:$T$20,6,false)*HLOOKUP($K687,'Type Chart'!$C$2:$U$20,6,false)</f>
        <v>0.25</v>
      </c>
      <c r="Z687" s="960">
        <f t="array" ref="Z687">HLOOKUP($J687,'Type Chart'!$C$2:$T$20,7,false)*HLOOKUP($K687,'Type Chart'!$C$2:$U$20,7,false)</f>
        <v>2</v>
      </c>
      <c r="AA687" s="960">
        <f t="array" ref="AA687">HLOOKUP($J687,'Type Chart'!$C$2:$T$20,8,false)*HLOOKUP($K687,'Type Chart'!$C$2:$U$20,8,false)</f>
        <v>2</v>
      </c>
      <c r="AB687" s="960">
        <f t="array" ref="AB687">HLOOKUP($J687,'Type Chart'!$C$2:$T$20,9,false)*HLOOKUP($K687,'Type Chart'!$C$2:$U$20,9,false)</f>
        <v>1</v>
      </c>
      <c r="AC687" s="960">
        <f t="array" ref="AC687">HLOOKUP($J687,'Type Chart'!$C$2:$T$20,10,false)*HLOOKUP($K687,'Type Chart'!$C$2:$U$20,10,false)</f>
        <v>1</v>
      </c>
      <c r="AD687" s="960">
        <f t="array" ref="AD687">HLOOKUP($J687,'Type Chart'!$C$2:$T$20,11,false)*HLOOKUP($K687,'Type Chart'!$C$2:$U$20,11,false)</f>
        <v>4</v>
      </c>
      <c r="AE687" s="960">
        <f t="array" ref="AE687">HLOOKUP($J687,'Type Chart'!$C$2:$T$20,12,false)*HLOOKUP($K687,'Type Chart'!$C$2:$U$20,12,false)</f>
        <v>0.5</v>
      </c>
      <c r="AF687" s="960">
        <f t="array" ref="AF687">HLOOKUP($J687,'Type Chart'!$C$2:$T$20,13,false)*HLOOKUP($K687,'Type Chart'!$C$2:$U$20,13,false)</f>
        <v>0.25</v>
      </c>
      <c r="AG687" s="960">
        <f t="array" ref="AG687">HLOOKUP($J687,'Type Chart'!$C$2:$T$20,14,false)*HLOOKUP($K687,'Type Chart'!$C$2:$U$20,14,false)</f>
        <v>0.5</v>
      </c>
      <c r="AH687" s="960">
        <f t="array" ref="AH687">HLOOKUP($J687,'Type Chart'!$C$2:$T$20,15,false)*HLOOKUP($K687,'Type Chart'!$C$2:$U$20,15,false)</f>
        <v>1</v>
      </c>
      <c r="AI687" s="960">
        <f t="array" ref="AI687">HLOOKUP($J687,'Type Chart'!$C$2:$T$20,16,false)*HLOOKUP($K687,'Type Chart'!$C$2:$U$20,16,false)</f>
        <v>2</v>
      </c>
      <c r="AJ687" s="960">
        <f t="array" ref="AJ687">HLOOKUP($J687,'Type Chart'!$C$2:$T$20,17,false)*HLOOKUP($K687,'Type Chart'!$C$2:$U$20,17,false)</f>
        <v>1</v>
      </c>
      <c r="AK687" s="960">
        <f t="array" ref="AK687">HLOOKUP($J687,'Type Chart'!$C$2:$T$20,18,false)*HLOOKUP($K687,'Type Chart'!$C$2:$U$20,18,false)</f>
        <v>1</v>
      </c>
      <c r="AL687" s="960">
        <f t="array" ref="AL687">HLOOKUP($J687,'Type Chart'!$C$2:$T$20,19,false)*HLOOKUP($K687,'Type Chart'!$C$2:$U$20,19,false)</f>
        <v>1</v>
      </c>
      <c r="AM687" s="964" t="s">
        <v>1013</v>
      </c>
      <c r="AN687" s="965" t="s">
        <v>524</v>
      </c>
      <c r="AO687" s="966" t="s">
        <v>1431</v>
      </c>
      <c r="AP687" s="936"/>
      <c r="AQ687" s="967"/>
      <c r="AR687" s="968"/>
      <c r="AS687" s="936"/>
    </row>
    <row r="688" ht="15.75" customHeight="1">
      <c r="A688" s="936"/>
      <c r="B688" s="948" t="s">
        <v>2915</v>
      </c>
      <c r="C688" s="950" t="s">
        <v>2916</v>
      </c>
      <c r="D688" s="950" t="s">
        <v>2916</v>
      </c>
      <c r="E688" s="952" t="s">
        <v>2916</v>
      </c>
      <c r="F688" s="940"/>
      <c r="G688" s="953"/>
      <c r="H688" s="969"/>
      <c r="I688" s="998" t="s">
        <v>2917</v>
      </c>
      <c r="J688" s="1180" t="s">
        <v>343</v>
      </c>
      <c r="K688" s="957" t="s">
        <v>209</v>
      </c>
      <c r="L688" s="959">
        <v>55.0</v>
      </c>
      <c r="M688" s="960">
        <v>63.0</v>
      </c>
      <c r="N688" s="960">
        <v>90.0</v>
      </c>
      <c r="O688" s="960">
        <v>50.0</v>
      </c>
      <c r="P688" s="960">
        <v>80.0</v>
      </c>
      <c r="Q688" s="960">
        <v>42.0</v>
      </c>
      <c r="R688" s="960">
        <v>120.0</v>
      </c>
      <c r="S688" s="960">
        <v>183.0</v>
      </c>
      <c r="T688" s="960">
        <v>201.0</v>
      </c>
      <c r="U688" s="960">
        <f t="array" ref="U688">HLOOKUP($J688,'Type Chart'!$C$2:$T$20,2,false)*HLOOKUP($K688,'Type Chart'!$C$2:$U$20,2,false)</f>
        <v>1</v>
      </c>
      <c r="V688" s="960">
        <f t="array" ref="V688">HLOOKUP($J688,'Type Chart'!$C$2:$T$20,3,false)*HLOOKUP($K688,'Type Chart'!$C$2:$U$20,3,false)</f>
        <v>0.5</v>
      </c>
      <c r="W688" s="960">
        <f t="array" ref="W688">HLOOKUP($J688,'Type Chart'!$C$2:$T$20,4,false)*HLOOKUP($K688,'Type Chart'!$C$2:$U$20,4,false)</f>
        <v>4</v>
      </c>
      <c r="X688" s="960">
        <f t="array" ref="X688">HLOOKUP($J688,'Type Chart'!$C$2:$T$20,5,false)*HLOOKUP($K688,'Type Chart'!$C$2:$U$20,5,false)</f>
        <v>2</v>
      </c>
      <c r="Y688" s="960">
        <f t="array" ref="Y688">HLOOKUP($J688,'Type Chart'!$C$2:$T$20,6,false)*HLOOKUP($K688,'Type Chart'!$C$2:$U$20,6,false)</f>
        <v>0.25</v>
      </c>
      <c r="Z688" s="960">
        <f t="array" ref="Z688">HLOOKUP($J688,'Type Chart'!$C$2:$T$20,7,false)*HLOOKUP($K688,'Type Chart'!$C$2:$U$20,7,false)</f>
        <v>2</v>
      </c>
      <c r="AA688" s="960">
        <f t="array" ref="AA688">HLOOKUP($J688,'Type Chart'!$C$2:$T$20,8,false)*HLOOKUP($K688,'Type Chart'!$C$2:$U$20,8,false)</f>
        <v>2</v>
      </c>
      <c r="AB688" s="960">
        <f t="array" ref="AB688">HLOOKUP($J688,'Type Chart'!$C$2:$T$20,9,false)*HLOOKUP($K688,'Type Chart'!$C$2:$U$20,9,false)</f>
        <v>1</v>
      </c>
      <c r="AC688" s="960">
        <f t="array" ref="AC688">HLOOKUP($J688,'Type Chart'!$C$2:$T$20,10,false)*HLOOKUP($K688,'Type Chart'!$C$2:$U$20,10,false)</f>
        <v>1</v>
      </c>
      <c r="AD688" s="960">
        <f t="array" ref="AD688">HLOOKUP($J688,'Type Chart'!$C$2:$T$20,11,false)*HLOOKUP($K688,'Type Chart'!$C$2:$U$20,11,false)</f>
        <v>4</v>
      </c>
      <c r="AE688" s="960">
        <f t="array" ref="AE688">HLOOKUP($J688,'Type Chart'!$C$2:$T$20,12,false)*HLOOKUP($K688,'Type Chart'!$C$2:$U$20,12,false)</f>
        <v>0.5</v>
      </c>
      <c r="AF688" s="960">
        <f t="array" ref="AF688">HLOOKUP($J688,'Type Chart'!$C$2:$T$20,13,false)*HLOOKUP($K688,'Type Chart'!$C$2:$U$20,13,false)</f>
        <v>0.25</v>
      </c>
      <c r="AG688" s="960">
        <f t="array" ref="AG688">HLOOKUP($J688,'Type Chart'!$C$2:$T$20,14,false)*HLOOKUP($K688,'Type Chart'!$C$2:$U$20,14,false)</f>
        <v>0.5</v>
      </c>
      <c r="AH688" s="960">
        <f t="array" ref="AH688">HLOOKUP($J688,'Type Chart'!$C$2:$T$20,15,false)*HLOOKUP($K688,'Type Chart'!$C$2:$U$20,15,false)</f>
        <v>1</v>
      </c>
      <c r="AI688" s="960">
        <f t="array" ref="AI688">HLOOKUP($J688,'Type Chart'!$C$2:$T$20,16,false)*HLOOKUP($K688,'Type Chart'!$C$2:$U$20,16,false)</f>
        <v>2</v>
      </c>
      <c r="AJ688" s="960">
        <f t="array" ref="AJ688">HLOOKUP($J688,'Type Chart'!$C$2:$T$20,17,false)*HLOOKUP($K688,'Type Chart'!$C$2:$U$20,17,false)</f>
        <v>1</v>
      </c>
      <c r="AK688" s="960">
        <f t="array" ref="AK688">HLOOKUP($J688,'Type Chart'!$C$2:$T$20,18,false)*HLOOKUP($K688,'Type Chart'!$C$2:$U$20,18,false)</f>
        <v>1</v>
      </c>
      <c r="AL688" s="960">
        <f t="array" ref="AL688">HLOOKUP($J688,'Type Chart'!$C$2:$T$20,19,false)*HLOOKUP($K688,'Type Chart'!$C$2:$U$20,19,false)</f>
        <v>1</v>
      </c>
      <c r="AM688" s="964" t="s">
        <v>1526</v>
      </c>
      <c r="AN688" s="965" t="s">
        <v>524</v>
      </c>
      <c r="AO688" s="966" t="s">
        <v>1431</v>
      </c>
      <c r="AP688" s="936"/>
      <c r="AQ688" s="967"/>
      <c r="AR688" s="968"/>
      <c r="AS688" s="936"/>
    </row>
    <row r="689" ht="15.75" customHeight="1">
      <c r="A689" s="936"/>
      <c r="B689" s="948" t="s">
        <v>2918</v>
      </c>
      <c r="C689" s="950" t="s">
        <v>2919</v>
      </c>
      <c r="D689" s="950" t="s">
        <v>2919</v>
      </c>
      <c r="E689" s="952" t="s">
        <v>2919</v>
      </c>
      <c r="F689" s="940"/>
      <c r="G689" s="953"/>
      <c r="H689" s="969"/>
      <c r="I689" s="998" t="s">
        <v>740</v>
      </c>
      <c r="J689" s="1180" t="s">
        <v>343</v>
      </c>
      <c r="K689" s="957" t="s">
        <v>209</v>
      </c>
      <c r="L689" s="959">
        <v>75.0</v>
      </c>
      <c r="M689" s="960">
        <v>103.0</v>
      </c>
      <c r="N689" s="960">
        <v>80.0</v>
      </c>
      <c r="O689" s="960">
        <v>70.0</v>
      </c>
      <c r="P689" s="960">
        <v>80.0</v>
      </c>
      <c r="Q689" s="960">
        <v>92.0</v>
      </c>
      <c r="R689" s="960">
        <v>220.0</v>
      </c>
      <c r="S689" s="960">
        <v>283.0</v>
      </c>
      <c r="T689" s="960">
        <v>311.0</v>
      </c>
      <c r="U689" s="960">
        <f t="array" ref="U689">HLOOKUP($J689,'Type Chart'!$C$2:$T$20,2,false)*HLOOKUP($K689,'Type Chart'!$C$2:$U$20,2,false)</f>
        <v>1</v>
      </c>
      <c r="V689" s="960">
        <f t="array" ref="V689">HLOOKUP($J689,'Type Chart'!$C$2:$T$20,3,false)*HLOOKUP($K689,'Type Chart'!$C$2:$U$20,3,false)</f>
        <v>0.5</v>
      </c>
      <c r="W689" s="960">
        <f t="array" ref="W689">HLOOKUP($J689,'Type Chart'!$C$2:$T$20,4,false)*HLOOKUP($K689,'Type Chart'!$C$2:$U$20,4,false)</f>
        <v>4</v>
      </c>
      <c r="X689" s="960">
        <f t="array" ref="X689">HLOOKUP($J689,'Type Chart'!$C$2:$T$20,5,false)*HLOOKUP($K689,'Type Chart'!$C$2:$U$20,5,false)</f>
        <v>2</v>
      </c>
      <c r="Y689" s="960">
        <f t="array" ref="Y689">HLOOKUP($J689,'Type Chart'!$C$2:$T$20,6,false)*HLOOKUP($K689,'Type Chart'!$C$2:$U$20,6,false)</f>
        <v>0.25</v>
      </c>
      <c r="Z689" s="960">
        <f t="array" ref="Z689">HLOOKUP($J689,'Type Chart'!$C$2:$T$20,7,false)*HLOOKUP($K689,'Type Chart'!$C$2:$U$20,7,false)</f>
        <v>2</v>
      </c>
      <c r="AA689" s="960">
        <f t="array" ref="AA689">HLOOKUP($J689,'Type Chart'!$C$2:$T$20,8,false)*HLOOKUP($K689,'Type Chart'!$C$2:$U$20,8,false)</f>
        <v>2</v>
      </c>
      <c r="AB689" s="960">
        <f t="array" ref="AB689">HLOOKUP($J689,'Type Chart'!$C$2:$T$20,9,false)*HLOOKUP($K689,'Type Chart'!$C$2:$U$20,9,false)</f>
        <v>1</v>
      </c>
      <c r="AC689" s="960">
        <f t="array" ref="AC689">HLOOKUP($J689,'Type Chart'!$C$2:$T$20,10,false)*HLOOKUP($K689,'Type Chart'!$C$2:$U$20,10,false)</f>
        <v>1</v>
      </c>
      <c r="AD689" s="960">
        <f t="array" ref="AD689">HLOOKUP($J689,'Type Chart'!$C$2:$T$20,11,false)*HLOOKUP($K689,'Type Chart'!$C$2:$U$20,11,false)</f>
        <v>4</v>
      </c>
      <c r="AE689" s="960">
        <f t="array" ref="AE689">HLOOKUP($J689,'Type Chart'!$C$2:$T$20,12,false)*HLOOKUP($K689,'Type Chart'!$C$2:$U$20,12,false)</f>
        <v>0.5</v>
      </c>
      <c r="AF689" s="960">
        <f t="array" ref="AF689">HLOOKUP($J689,'Type Chart'!$C$2:$T$20,13,false)*HLOOKUP($K689,'Type Chart'!$C$2:$U$20,13,false)</f>
        <v>0.25</v>
      </c>
      <c r="AG689" s="960">
        <f t="array" ref="AG689">HLOOKUP($J689,'Type Chart'!$C$2:$T$20,14,false)*HLOOKUP($K689,'Type Chart'!$C$2:$U$20,14,false)</f>
        <v>0.5</v>
      </c>
      <c r="AH689" s="960">
        <f t="array" ref="AH689">HLOOKUP($J689,'Type Chart'!$C$2:$T$20,15,false)*HLOOKUP($K689,'Type Chart'!$C$2:$U$20,15,false)</f>
        <v>1</v>
      </c>
      <c r="AI689" s="960">
        <f t="array" ref="AI689">HLOOKUP($J689,'Type Chart'!$C$2:$T$20,16,false)*HLOOKUP($K689,'Type Chart'!$C$2:$U$20,16,false)</f>
        <v>2</v>
      </c>
      <c r="AJ689" s="960">
        <f t="array" ref="AJ689">HLOOKUP($J689,'Type Chart'!$C$2:$T$20,17,false)*HLOOKUP($K689,'Type Chart'!$C$2:$U$20,17,false)</f>
        <v>1</v>
      </c>
      <c r="AK689" s="960">
        <f t="array" ref="AK689">HLOOKUP($J689,'Type Chart'!$C$2:$T$20,18,false)*HLOOKUP($K689,'Type Chart'!$C$2:$U$20,18,false)</f>
        <v>1</v>
      </c>
      <c r="AL689" s="960">
        <f t="array" ref="AL689">HLOOKUP($J689,'Type Chart'!$C$2:$T$20,19,false)*HLOOKUP($K689,'Type Chart'!$C$2:$U$20,19,false)</f>
        <v>1</v>
      </c>
      <c r="AM689" s="964" t="s">
        <v>1013</v>
      </c>
      <c r="AN689" s="965" t="s">
        <v>524</v>
      </c>
      <c r="AO689" s="966" t="s">
        <v>1431</v>
      </c>
      <c r="AP689" s="936"/>
      <c r="AQ689" s="967"/>
      <c r="AR689" s="968"/>
      <c r="AS689" s="936"/>
    </row>
    <row r="690" ht="15.75" customHeight="1">
      <c r="A690" s="936"/>
      <c r="B690" s="948" t="s">
        <v>2920</v>
      </c>
      <c r="C690" s="950" t="s">
        <v>2921</v>
      </c>
      <c r="D690" s="950" t="s">
        <v>2921</v>
      </c>
      <c r="E690" s="952" t="s">
        <v>2921</v>
      </c>
      <c r="F690" s="940"/>
      <c r="G690" s="953"/>
      <c r="H690" s="969"/>
      <c r="I690" s="998" t="s">
        <v>2922</v>
      </c>
      <c r="J690" s="1180" t="s">
        <v>343</v>
      </c>
      <c r="K690" s="958" t="s">
        <v>178</v>
      </c>
      <c r="L690" s="959">
        <v>30.0</v>
      </c>
      <c r="M690" s="960">
        <v>45.0</v>
      </c>
      <c r="N690" s="960">
        <v>59.0</v>
      </c>
      <c r="O690" s="960">
        <v>30.0</v>
      </c>
      <c r="P690" s="960">
        <v>39.0</v>
      </c>
      <c r="Q690" s="960">
        <v>57.0</v>
      </c>
      <c r="R690" s="960">
        <v>150.0</v>
      </c>
      <c r="S690" s="960">
        <v>213.0</v>
      </c>
      <c r="T690" s="960">
        <v>234.0</v>
      </c>
      <c r="U690" s="960">
        <f t="array" ref="U690">HLOOKUP($J690,'Type Chart'!$C$2:$T$20,2,false)*HLOOKUP($K690,'Type Chart'!$C$2:$U$20,2,false)</f>
        <v>1</v>
      </c>
      <c r="V690" s="960">
        <f t="array" ref="V690">HLOOKUP($J690,'Type Chart'!$C$2:$T$20,3,false)*HLOOKUP($K690,'Type Chart'!$C$2:$U$20,3,false)</f>
        <v>0.25</v>
      </c>
      <c r="W690" s="960">
        <f t="array" ref="W690">HLOOKUP($J690,'Type Chart'!$C$2:$T$20,4,false)*HLOOKUP($K690,'Type Chart'!$C$2:$U$20,4,false)</f>
        <v>2</v>
      </c>
      <c r="X690" s="960">
        <f t="array" ref="X690">HLOOKUP($J690,'Type Chart'!$C$2:$T$20,5,false)*HLOOKUP($K690,'Type Chart'!$C$2:$U$20,5,false)</f>
        <v>0.5</v>
      </c>
      <c r="Y690" s="960">
        <f t="array" ref="Y690">HLOOKUP($J690,'Type Chart'!$C$2:$T$20,6,false)*HLOOKUP($K690,'Type Chart'!$C$2:$U$20,6,false)</f>
        <v>1</v>
      </c>
      <c r="Z690" s="960">
        <f t="array" ref="Z690">HLOOKUP($J690,'Type Chart'!$C$2:$T$20,7,false)*HLOOKUP($K690,'Type Chart'!$C$2:$U$20,7,false)</f>
        <v>2</v>
      </c>
      <c r="AA690" s="960">
        <f t="array" ref="AA690">HLOOKUP($J690,'Type Chart'!$C$2:$T$20,8,false)*HLOOKUP($K690,'Type Chart'!$C$2:$U$20,8,false)</f>
        <v>0.5</v>
      </c>
      <c r="AB690" s="960">
        <f t="array" ref="AB690">HLOOKUP($J690,'Type Chart'!$C$2:$T$20,9,false)*HLOOKUP($K690,'Type Chart'!$C$2:$U$20,9,false)</f>
        <v>1</v>
      </c>
      <c r="AC690" s="960">
        <f t="array" ref="AC690">HLOOKUP($J690,'Type Chart'!$C$2:$T$20,10,false)*HLOOKUP($K690,'Type Chart'!$C$2:$U$20,10,false)</f>
        <v>1</v>
      </c>
      <c r="AD690" s="960">
        <f t="array" ref="AD690">HLOOKUP($J690,'Type Chart'!$C$2:$T$20,11,false)*HLOOKUP($K690,'Type Chart'!$C$2:$U$20,11,false)</f>
        <v>2</v>
      </c>
      <c r="AE690" s="960">
        <f t="array" ref="AE690">HLOOKUP($J690,'Type Chart'!$C$2:$T$20,12,false)*HLOOKUP($K690,'Type Chart'!$C$2:$U$20,12,false)</f>
        <v>1</v>
      </c>
      <c r="AF690" s="960">
        <f t="array" ref="AF690">HLOOKUP($J690,'Type Chart'!$C$2:$T$20,13,false)*HLOOKUP($K690,'Type Chart'!$C$2:$U$20,13,false)</f>
        <v>0.25</v>
      </c>
      <c r="AG690" s="960">
        <f t="array" ref="AG690">HLOOKUP($J690,'Type Chart'!$C$2:$T$20,14,false)*HLOOKUP($K690,'Type Chart'!$C$2:$U$20,14,false)</f>
        <v>1</v>
      </c>
      <c r="AH690" s="960">
        <f t="array" ref="AH690">HLOOKUP($J690,'Type Chart'!$C$2:$T$20,15,false)*HLOOKUP($K690,'Type Chart'!$C$2:$U$20,15,false)</f>
        <v>2</v>
      </c>
      <c r="AI690" s="960">
        <f t="array" ref="AI690">HLOOKUP($J690,'Type Chart'!$C$2:$T$20,16,false)*HLOOKUP($K690,'Type Chart'!$C$2:$U$20,16,false)</f>
        <v>1</v>
      </c>
      <c r="AJ690" s="960">
        <f t="array" ref="AJ690">HLOOKUP($J690,'Type Chart'!$C$2:$T$20,17,false)*HLOOKUP($K690,'Type Chart'!$C$2:$U$20,17,false)</f>
        <v>1</v>
      </c>
      <c r="AK690" s="960">
        <f t="array" ref="AK690">HLOOKUP($J690,'Type Chart'!$C$2:$T$20,18,false)*HLOOKUP($K690,'Type Chart'!$C$2:$U$20,18,false)</f>
        <v>1</v>
      </c>
      <c r="AL690" s="960">
        <f t="array" ref="AL690">HLOOKUP($J690,'Type Chart'!$C$2:$T$20,19,false)*HLOOKUP($K690,'Type Chart'!$C$2:$U$20,19,false)</f>
        <v>0.5</v>
      </c>
      <c r="AM690" s="964" t="s">
        <v>1146</v>
      </c>
      <c r="AN690" s="965" t="s">
        <v>1013</v>
      </c>
      <c r="AO690" s="966" t="s">
        <v>1798</v>
      </c>
      <c r="AP690" s="936"/>
      <c r="AQ690" s="967"/>
      <c r="AR690" s="968"/>
      <c r="AS690" s="936"/>
    </row>
    <row r="691" ht="15.75" customHeight="1">
      <c r="A691" s="936"/>
      <c r="B691" s="948" t="s">
        <v>2923</v>
      </c>
      <c r="C691" s="950" t="s">
        <v>2924</v>
      </c>
      <c r="D691" s="950" t="s">
        <v>2924</v>
      </c>
      <c r="E691" s="952" t="s">
        <v>2924</v>
      </c>
      <c r="F691" s="940"/>
      <c r="G691" s="953"/>
      <c r="H691" s="969"/>
      <c r="I691" s="998" t="s">
        <v>2925</v>
      </c>
      <c r="J691" s="1180" t="s">
        <v>343</v>
      </c>
      <c r="K691" s="958" t="s">
        <v>178</v>
      </c>
      <c r="L691" s="959">
        <v>40.0</v>
      </c>
      <c r="M691" s="960">
        <v>55.0</v>
      </c>
      <c r="N691" s="960">
        <v>99.0</v>
      </c>
      <c r="O691" s="960">
        <v>40.0</v>
      </c>
      <c r="P691" s="960">
        <v>79.0</v>
      </c>
      <c r="Q691" s="960">
        <v>47.0</v>
      </c>
      <c r="R691" s="960">
        <v>130.0</v>
      </c>
      <c r="S691" s="960">
        <v>193.0</v>
      </c>
      <c r="T691" s="960">
        <v>212.0</v>
      </c>
      <c r="U691" s="960">
        <f t="array" ref="U691">HLOOKUP($J691,'Type Chart'!$C$2:$T$20,2,false)*HLOOKUP($K691,'Type Chart'!$C$2:$U$20,2,false)</f>
        <v>1</v>
      </c>
      <c r="V691" s="960">
        <f t="array" ref="V691">HLOOKUP($J691,'Type Chart'!$C$2:$T$20,3,false)*HLOOKUP($K691,'Type Chart'!$C$2:$U$20,3,false)</f>
        <v>0.25</v>
      </c>
      <c r="W691" s="960">
        <f t="array" ref="W691">HLOOKUP($J691,'Type Chart'!$C$2:$T$20,4,false)*HLOOKUP($K691,'Type Chart'!$C$2:$U$20,4,false)</f>
        <v>2</v>
      </c>
      <c r="X691" s="960">
        <f t="array" ref="X691">HLOOKUP($J691,'Type Chart'!$C$2:$T$20,5,false)*HLOOKUP($K691,'Type Chart'!$C$2:$U$20,5,false)</f>
        <v>0.5</v>
      </c>
      <c r="Y691" s="960">
        <f t="array" ref="Y691">HLOOKUP($J691,'Type Chart'!$C$2:$T$20,6,false)*HLOOKUP($K691,'Type Chart'!$C$2:$U$20,6,false)</f>
        <v>1</v>
      </c>
      <c r="Z691" s="960">
        <f t="array" ref="Z691">HLOOKUP($J691,'Type Chart'!$C$2:$T$20,7,false)*HLOOKUP($K691,'Type Chart'!$C$2:$U$20,7,false)</f>
        <v>2</v>
      </c>
      <c r="AA691" s="960">
        <f t="array" ref="AA691">HLOOKUP($J691,'Type Chart'!$C$2:$T$20,8,false)*HLOOKUP($K691,'Type Chart'!$C$2:$U$20,8,false)</f>
        <v>0.5</v>
      </c>
      <c r="AB691" s="960">
        <f t="array" ref="AB691">HLOOKUP($J691,'Type Chart'!$C$2:$T$20,9,false)*HLOOKUP($K691,'Type Chart'!$C$2:$U$20,9,false)</f>
        <v>1</v>
      </c>
      <c r="AC691" s="960">
        <f t="array" ref="AC691">HLOOKUP($J691,'Type Chart'!$C$2:$T$20,10,false)*HLOOKUP($K691,'Type Chart'!$C$2:$U$20,10,false)</f>
        <v>1</v>
      </c>
      <c r="AD691" s="960">
        <f t="array" ref="AD691">HLOOKUP($J691,'Type Chart'!$C$2:$T$20,11,false)*HLOOKUP($K691,'Type Chart'!$C$2:$U$20,11,false)</f>
        <v>2</v>
      </c>
      <c r="AE691" s="960">
        <f t="array" ref="AE691">HLOOKUP($J691,'Type Chart'!$C$2:$T$20,12,false)*HLOOKUP($K691,'Type Chart'!$C$2:$U$20,12,false)</f>
        <v>1</v>
      </c>
      <c r="AF691" s="960">
        <f t="array" ref="AF691">HLOOKUP($J691,'Type Chart'!$C$2:$T$20,13,false)*HLOOKUP($K691,'Type Chart'!$C$2:$U$20,13,false)</f>
        <v>0.25</v>
      </c>
      <c r="AG691" s="960">
        <f t="array" ref="AG691">HLOOKUP($J691,'Type Chart'!$C$2:$T$20,14,false)*HLOOKUP($K691,'Type Chart'!$C$2:$U$20,14,false)</f>
        <v>1</v>
      </c>
      <c r="AH691" s="960">
        <f t="array" ref="AH691">HLOOKUP($J691,'Type Chart'!$C$2:$T$20,15,false)*HLOOKUP($K691,'Type Chart'!$C$2:$U$20,15,false)</f>
        <v>2</v>
      </c>
      <c r="AI691" s="960">
        <f t="array" ref="AI691">HLOOKUP($J691,'Type Chart'!$C$2:$T$20,16,false)*HLOOKUP($K691,'Type Chart'!$C$2:$U$20,16,false)</f>
        <v>1</v>
      </c>
      <c r="AJ691" s="960">
        <f t="array" ref="AJ691">HLOOKUP($J691,'Type Chart'!$C$2:$T$20,17,false)*HLOOKUP($K691,'Type Chart'!$C$2:$U$20,17,false)</f>
        <v>1</v>
      </c>
      <c r="AK691" s="960">
        <f t="array" ref="AK691">HLOOKUP($J691,'Type Chart'!$C$2:$T$20,18,false)*HLOOKUP($K691,'Type Chart'!$C$2:$U$20,18,false)</f>
        <v>1</v>
      </c>
      <c r="AL691" s="960">
        <f t="array" ref="AL691">HLOOKUP($J691,'Type Chart'!$C$2:$T$20,19,false)*HLOOKUP($K691,'Type Chart'!$C$2:$U$20,19,false)</f>
        <v>0.5</v>
      </c>
      <c r="AM691" s="964" t="s">
        <v>1146</v>
      </c>
      <c r="AN691" s="965" t="s">
        <v>1013</v>
      </c>
      <c r="AO691" s="966" t="s">
        <v>1798</v>
      </c>
      <c r="AP691" s="936"/>
      <c r="AQ691" s="967"/>
      <c r="AR691" s="968"/>
      <c r="AS691" s="936"/>
    </row>
    <row r="692" ht="15.75" customHeight="1">
      <c r="A692" s="936"/>
      <c r="B692" s="948" t="s">
        <v>2926</v>
      </c>
      <c r="C692" s="950" t="s">
        <v>2927</v>
      </c>
      <c r="D692" s="950" t="s">
        <v>2927</v>
      </c>
      <c r="E692" s="952" t="s">
        <v>2927</v>
      </c>
      <c r="F692" s="940"/>
      <c r="G692" s="953"/>
      <c r="H692" s="969"/>
      <c r="I692" s="998" t="s">
        <v>2928</v>
      </c>
      <c r="J692" s="1180" t="s">
        <v>343</v>
      </c>
      <c r="K692" s="958" t="s">
        <v>178</v>
      </c>
      <c r="L692" s="959">
        <v>60.0</v>
      </c>
      <c r="M692" s="960">
        <v>100.0</v>
      </c>
      <c r="N692" s="960">
        <v>89.0</v>
      </c>
      <c r="O692" s="960">
        <v>55.0</v>
      </c>
      <c r="P692" s="960">
        <v>69.0</v>
      </c>
      <c r="Q692" s="960">
        <v>112.0</v>
      </c>
      <c r="R692" s="960">
        <v>260.0</v>
      </c>
      <c r="S692" s="960">
        <v>323.0</v>
      </c>
      <c r="T692" s="960">
        <v>355.0</v>
      </c>
      <c r="U692" s="960">
        <f t="array" ref="U692">HLOOKUP($J692,'Type Chart'!$C$2:$T$20,2,false)*HLOOKUP($K692,'Type Chart'!$C$2:$U$20,2,false)</f>
        <v>1</v>
      </c>
      <c r="V692" s="960">
        <f t="array" ref="V692">HLOOKUP($J692,'Type Chart'!$C$2:$T$20,3,false)*HLOOKUP($K692,'Type Chart'!$C$2:$U$20,3,false)</f>
        <v>0.25</v>
      </c>
      <c r="W692" s="960">
        <f t="array" ref="W692">HLOOKUP($J692,'Type Chart'!$C$2:$T$20,4,false)*HLOOKUP($K692,'Type Chart'!$C$2:$U$20,4,false)</f>
        <v>2</v>
      </c>
      <c r="X692" s="960">
        <f t="array" ref="X692">HLOOKUP($J692,'Type Chart'!$C$2:$T$20,5,false)*HLOOKUP($K692,'Type Chart'!$C$2:$U$20,5,false)</f>
        <v>0.5</v>
      </c>
      <c r="Y692" s="960">
        <f t="array" ref="Y692">HLOOKUP($J692,'Type Chart'!$C$2:$T$20,6,false)*HLOOKUP($K692,'Type Chart'!$C$2:$U$20,6,false)</f>
        <v>1</v>
      </c>
      <c r="Z692" s="960">
        <f t="array" ref="Z692">HLOOKUP($J692,'Type Chart'!$C$2:$T$20,7,false)*HLOOKUP($K692,'Type Chart'!$C$2:$U$20,7,false)</f>
        <v>2</v>
      </c>
      <c r="AA692" s="960">
        <f t="array" ref="AA692">HLOOKUP($J692,'Type Chart'!$C$2:$T$20,8,false)*HLOOKUP($K692,'Type Chart'!$C$2:$U$20,8,false)</f>
        <v>0.5</v>
      </c>
      <c r="AB692" s="960">
        <f t="array" ref="AB692">HLOOKUP($J692,'Type Chart'!$C$2:$T$20,9,false)*HLOOKUP($K692,'Type Chart'!$C$2:$U$20,9,false)</f>
        <v>1</v>
      </c>
      <c r="AC692" s="960">
        <f t="array" ref="AC692">HLOOKUP($J692,'Type Chart'!$C$2:$T$20,10,false)*HLOOKUP($K692,'Type Chart'!$C$2:$U$20,10,false)</f>
        <v>1</v>
      </c>
      <c r="AD692" s="960">
        <f t="array" ref="AD692">HLOOKUP($J692,'Type Chart'!$C$2:$T$20,11,false)*HLOOKUP($K692,'Type Chart'!$C$2:$U$20,11,false)</f>
        <v>2</v>
      </c>
      <c r="AE692" s="960">
        <f t="array" ref="AE692">HLOOKUP($J692,'Type Chart'!$C$2:$T$20,12,false)*HLOOKUP($K692,'Type Chart'!$C$2:$U$20,12,false)</f>
        <v>1</v>
      </c>
      <c r="AF692" s="960">
        <f t="array" ref="AF692">HLOOKUP($J692,'Type Chart'!$C$2:$T$20,13,false)*HLOOKUP($K692,'Type Chart'!$C$2:$U$20,13,false)</f>
        <v>0.25</v>
      </c>
      <c r="AG692" s="960">
        <f t="array" ref="AG692">HLOOKUP($J692,'Type Chart'!$C$2:$T$20,14,false)*HLOOKUP($K692,'Type Chart'!$C$2:$U$20,14,false)</f>
        <v>1</v>
      </c>
      <c r="AH692" s="960">
        <f t="array" ref="AH692">HLOOKUP($J692,'Type Chart'!$C$2:$T$20,15,false)*HLOOKUP($K692,'Type Chart'!$C$2:$U$20,15,false)</f>
        <v>2</v>
      </c>
      <c r="AI692" s="960">
        <f t="array" ref="AI692">HLOOKUP($J692,'Type Chart'!$C$2:$T$20,16,false)*HLOOKUP($K692,'Type Chart'!$C$2:$U$20,16,false)</f>
        <v>1</v>
      </c>
      <c r="AJ692" s="960">
        <f t="array" ref="AJ692">HLOOKUP($J692,'Type Chart'!$C$2:$T$20,17,false)*HLOOKUP($K692,'Type Chart'!$C$2:$U$20,17,false)</f>
        <v>1</v>
      </c>
      <c r="AK692" s="960">
        <f t="array" ref="AK692">HLOOKUP($J692,'Type Chart'!$C$2:$T$20,18,false)*HLOOKUP($K692,'Type Chart'!$C$2:$U$20,18,false)</f>
        <v>1</v>
      </c>
      <c r="AL692" s="960">
        <f t="array" ref="AL692">HLOOKUP($J692,'Type Chart'!$C$2:$T$20,19,false)*HLOOKUP($K692,'Type Chart'!$C$2:$U$20,19,false)</f>
        <v>0.5</v>
      </c>
      <c r="AM692" s="964" t="s">
        <v>1146</v>
      </c>
      <c r="AN692" s="965" t="s">
        <v>1013</v>
      </c>
      <c r="AO692" s="966" t="s">
        <v>1798</v>
      </c>
      <c r="AP692" s="936"/>
      <c r="AQ692" s="967"/>
      <c r="AR692" s="968"/>
      <c r="AS692" s="936"/>
    </row>
    <row r="693" ht="15.75" customHeight="1">
      <c r="A693" s="936"/>
      <c r="B693" s="948" t="s">
        <v>2929</v>
      </c>
      <c r="C693" s="950" t="s">
        <v>2930</v>
      </c>
      <c r="D693" s="950" t="s">
        <v>2930</v>
      </c>
      <c r="E693" s="952" t="s">
        <v>2930</v>
      </c>
      <c r="F693" s="940"/>
      <c r="G693" s="953"/>
      <c r="H693" s="969"/>
      <c r="I693" s="998" t="s">
        <v>2931</v>
      </c>
      <c r="J693" s="957" t="s">
        <v>209</v>
      </c>
      <c r="K693" s="1207" t="s">
        <v>127</v>
      </c>
      <c r="L693" s="959">
        <v>40.0</v>
      </c>
      <c r="M693" s="960">
        <v>27.0</v>
      </c>
      <c r="N693" s="960">
        <v>60.0</v>
      </c>
      <c r="O693" s="960">
        <v>37.0</v>
      </c>
      <c r="P693" s="960">
        <v>50.0</v>
      </c>
      <c r="Q693" s="960">
        <v>66.0</v>
      </c>
      <c r="R693" s="960">
        <v>168.0</v>
      </c>
      <c r="S693" s="960">
        <v>231.0</v>
      </c>
      <c r="T693" s="960">
        <v>254.0</v>
      </c>
      <c r="U693" s="960">
        <f t="array" ref="U693">HLOOKUP($J693,'Type Chart'!$C$2:$T$20,2,false)*HLOOKUP($K693,'Type Chart'!$C$2:$U$20,2,false)</f>
        <v>1</v>
      </c>
      <c r="V693" s="960">
        <f t="array" ref="V693">HLOOKUP($J693,'Type Chart'!$C$2:$T$20,3,false)*HLOOKUP($K693,'Type Chart'!$C$2:$U$20,3,false)</f>
        <v>0.5</v>
      </c>
      <c r="W693" s="960">
        <f t="array" ref="W693">HLOOKUP($J693,'Type Chart'!$C$2:$T$20,4,false)*HLOOKUP($K693,'Type Chart'!$C$2:$U$20,4,false)</f>
        <v>2</v>
      </c>
      <c r="X693" s="960">
        <f t="array" ref="X693">HLOOKUP($J693,'Type Chart'!$C$2:$T$20,5,false)*HLOOKUP($K693,'Type Chart'!$C$2:$U$20,5,false)</f>
        <v>4</v>
      </c>
      <c r="Y693" s="960">
        <f t="array" ref="Y693">HLOOKUP($J693,'Type Chart'!$C$2:$T$20,6,false)*HLOOKUP($K693,'Type Chart'!$C$2:$U$20,6,false)</f>
        <v>0.5</v>
      </c>
      <c r="Z693" s="960">
        <f t="array" ref="Z693">HLOOKUP($J693,'Type Chart'!$C$2:$T$20,7,false)*HLOOKUP($K693,'Type Chart'!$C$2:$U$20,7,false)</f>
        <v>1</v>
      </c>
      <c r="AA693" s="960">
        <f t="array" ref="AA693">HLOOKUP($J693,'Type Chart'!$C$2:$T$20,8,false)*HLOOKUP($K693,'Type Chart'!$C$2:$U$20,8,false)</f>
        <v>1</v>
      </c>
      <c r="AB693" s="960">
        <f t="array" ref="AB693">HLOOKUP($J693,'Type Chart'!$C$2:$T$20,9,false)*HLOOKUP($K693,'Type Chart'!$C$2:$U$20,9,false)</f>
        <v>1</v>
      </c>
      <c r="AC693" s="960">
        <f t="array" ref="AC693">HLOOKUP($J693,'Type Chart'!$C$2:$T$20,10,false)*HLOOKUP($K693,'Type Chart'!$C$2:$U$20,10,false)</f>
        <v>2</v>
      </c>
      <c r="AD693" s="960">
        <f t="array" ref="AD693">HLOOKUP($J693,'Type Chart'!$C$2:$T$20,11,false)*HLOOKUP($K693,'Type Chart'!$C$2:$U$20,11,false)</f>
        <v>2</v>
      </c>
      <c r="AE693" s="960">
        <f t="array" ref="AE693">HLOOKUP($J693,'Type Chart'!$C$2:$T$20,12,false)*HLOOKUP($K693,'Type Chart'!$C$2:$U$20,12,false)</f>
        <v>0.5</v>
      </c>
      <c r="AF693" s="960">
        <f t="array" ref="AF693">HLOOKUP($J693,'Type Chart'!$C$2:$T$20,13,false)*HLOOKUP($K693,'Type Chart'!$C$2:$U$20,13,false)</f>
        <v>0.5</v>
      </c>
      <c r="AG693" s="960">
        <f t="array" ref="AG693">HLOOKUP($J693,'Type Chart'!$C$2:$T$20,14,false)*HLOOKUP($K693,'Type Chart'!$C$2:$U$20,14,false)</f>
        <v>0.5</v>
      </c>
      <c r="AH693" s="960">
        <f t="array" ref="AH693">HLOOKUP($J693,'Type Chart'!$C$2:$T$20,15,false)*HLOOKUP($K693,'Type Chart'!$C$2:$U$20,15,false)</f>
        <v>1</v>
      </c>
      <c r="AI693" s="960">
        <f t="array" ref="AI693">HLOOKUP($J693,'Type Chart'!$C$2:$T$20,16,false)*HLOOKUP($K693,'Type Chart'!$C$2:$U$20,16,false)</f>
        <v>2</v>
      </c>
      <c r="AJ693" s="960">
        <f t="array" ref="AJ693">HLOOKUP($J693,'Type Chart'!$C$2:$T$20,17,false)*HLOOKUP($K693,'Type Chart'!$C$2:$U$20,17,false)</f>
        <v>0</v>
      </c>
      <c r="AK693" s="960">
        <f t="array" ref="AK693">HLOOKUP($J693,'Type Chart'!$C$2:$T$20,18,false)*HLOOKUP($K693,'Type Chart'!$C$2:$U$20,18,false)</f>
        <v>0.5</v>
      </c>
      <c r="AL693" s="960">
        <f t="array" ref="AL693">HLOOKUP($J693,'Type Chart'!$C$2:$T$20,19,false)*HLOOKUP($K693,'Type Chart'!$C$2:$U$20,19,false)</f>
        <v>1</v>
      </c>
      <c r="AM693" s="964" t="s">
        <v>1813</v>
      </c>
      <c r="AN693" s="965" t="s">
        <v>1193</v>
      </c>
      <c r="AO693" s="966" t="s">
        <v>524</v>
      </c>
      <c r="AP693" s="936"/>
      <c r="AQ693" s="967"/>
      <c r="AR693" s="968"/>
      <c r="AS693" s="936"/>
    </row>
    <row r="694" ht="15.75" customHeight="1">
      <c r="A694" s="936"/>
      <c r="B694" s="948" t="s">
        <v>2932</v>
      </c>
      <c r="C694" s="950" t="s">
        <v>2933</v>
      </c>
      <c r="D694" s="950" t="s">
        <v>2933</v>
      </c>
      <c r="E694" s="952" t="s">
        <v>2933</v>
      </c>
      <c r="F694" s="940"/>
      <c r="G694" s="953"/>
      <c r="H694" s="969"/>
      <c r="I694" s="998" t="s">
        <v>609</v>
      </c>
      <c r="J694" s="957" t="s">
        <v>209</v>
      </c>
      <c r="K694" s="1207" t="s">
        <v>127</v>
      </c>
      <c r="L694" s="959">
        <v>60.0</v>
      </c>
      <c r="M694" s="960">
        <v>67.0</v>
      </c>
      <c r="N694" s="960">
        <v>85.0</v>
      </c>
      <c r="O694" s="960">
        <v>77.0</v>
      </c>
      <c r="P694" s="960">
        <v>75.0</v>
      </c>
      <c r="Q694" s="960">
        <v>116.0</v>
      </c>
      <c r="R694" s="960">
        <v>268.0</v>
      </c>
      <c r="S694" s="960">
        <v>331.0</v>
      </c>
      <c r="T694" s="960">
        <v>364.0</v>
      </c>
      <c r="U694" s="960">
        <f t="array" ref="U694">HLOOKUP($J694,'Type Chart'!$C$2:$T$20,2,false)*HLOOKUP($K694,'Type Chart'!$C$2:$U$20,2,false)</f>
        <v>1</v>
      </c>
      <c r="V694" s="960">
        <f t="array" ref="V694">HLOOKUP($J694,'Type Chart'!$C$2:$T$20,3,false)*HLOOKUP($K694,'Type Chart'!$C$2:$U$20,3,false)</f>
        <v>0.5</v>
      </c>
      <c r="W694" s="960">
        <f t="array" ref="W694">HLOOKUP($J694,'Type Chart'!$C$2:$T$20,4,false)*HLOOKUP($K694,'Type Chart'!$C$2:$U$20,4,false)</f>
        <v>2</v>
      </c>
      <c r="X694" s="960">
        <f t="array" ref="X694">HLOOKUP($J694,'Type Chart'!$C$2:$T$20,5,false)*HLOOKUP($K694,'Type Chart'!$C$2:$U$20,5,false)</f>
        <v>4</v>
      </c>
      <c r="Y694" s="960">
        <f t="array" ref="Y694">HLOOKUP($J694,'Type Chart'!$C$2:$T$20,6,false)*HLOOKUP($K694,'Type Chart'!$C$2:$U$20,6,false)</f>
        <v>0.5</v>
      </c>
      <c r="Z694" s="960">
        <f t="array" ref="Z694">HLOOKUP($J694,'Type Chart'!$C$2:$T$20,7,false)*HLOOKUP($K694,'Type Chart'!$C$2:$U$20,7,false)</f>
        <v>1</v>
      </c>
      <c r="AA694" s="960">
        <f t="array" ref="AA694">HLOOKUP($J694,'Type Chart'!$C$2:$T$20,8,false)*HLOOKUP($K694,'Type Chart'!$C$2:$U$20,8,false)</f>
        <v>1</v>
      </c>
      <c r="AB694" s="960">
        <f t="array" ref="AB694">HLOOKUP($J694,'Type Chart'!$C$2:$T$20,9,false)*HLOOKUP($K694,'Type Chart'!$C$2:$U$20,9,false)</f>
        <v>1</v>
      </c>
      <c r="AC694" s="960">
        <f t="array" ref="AC694">HLOOKUP($J694,'Type Chart'!$C$2:$T$20,10,false)*HLOOKUP($K694,'Type Chart'!$C$2:$U$20,10,false)</f>
        <v>2</v>
      </c>
      <c r="AD694" s="960">
        <f t="array" ref="AD694">HLOOKUP($J694,'Type Chart'!$C$2:$T$20,11,false)*HLOOKUP($K694,'Type Chart'!$C$2:$U$20,11,false)</f>
        <v>2</v>
      </c>
      <c r="AE694" s="960">
        <f t="array" ref="AE694">HLOOKUP($J694,'Type Chart'!$C$2:$T$20,12,false)*HLOOKUP($K694,'Type Chart'!$C$2:$U$20,12,false)</f>
        <v>0.5</v>
      </c>
      <c r="AF694" s="960">
        <f t="array" ref="AF694">HLOOKUP($J694,'Type Chart'!$C$2:$T$20,13,false)*HLOOKUP($K694,'Type Chart'!$C$2:$U$20,13,false)</f>
        <v>0.5</v>
      </c>
      <c r="AG694" s="960">
        <f t="array" ref="AG694">HLOOKUP($J694,'Type Chart'!$C$2:$T$20,14,false)*HLOOKUP($K694,'Type Chart'!$C$2:$U$20,14,false)</f>
        <v>0.5</v>
      </c>
      <c r="AH694" s="960">
        <f t="array" ref="AH694">HLOOKUP($J694,'Type Chart'!$C$2:$T$20,15,false)*HLOOKUP($K694,'Type Chart'!$C$2:$U$20,15,false)</f>
        <v>1</v>
      </c>
      <c r="AI694" s="960">
        <f t="array" ref="AI694">HLOOKUP($J694,'Type Chart'!$C$2:$T$20,16,false)*HLOOKUP($K694,'Type Chart'!$C$2:$U$20,16,false)</f>
        <v>2</v>
      </c>
      <c r="AJ694" s="960">
        <f t="array" ref="AJ694">HLOOKUP($J694,'Type Chart'!$C$2:$T$20,17,false)*HLOOKUP($K694,'Type Chart'!$C$2:$U$20,17,false)</f>
        <v>0</v>
      </c>
      <c r="AK694" s="960">
        <f t="array" ref="AK694">HLOOKUP($J694,'Type Chart'!$C$2:$T$20,18,false)*HLOOKUP($K694,'Type Chart'!$C$2:$U$20,18,false)</f>
        <v>0.5</v>
      </c>
      <c r="AL694" s="960">
        <f t="array" ref="AL694">HLOOKUP($J694,'Type Chart'!$C$2:$T$20,19,false)*HLOOKUP($K694,'Type Chart'!$C$2:$U$20,19,false)</f>
        <v>1</v>
      </c>
      <c r="AM694" s="964" t="s">
        <v>1813</v>
      </c>
      <c r="AN694" s="965" t="s">
        <v>1193</v>
      </c>
      <c r="AO694" s="966" t="s">
        <v>524</v>
      </c>
      <c r="AP694" s="936"/>
      <c r="AQ694" s="967"/>
      <c r="AR694" s="968"/>
      <c r="AS694" s="936"/>
    </row>
    <row r="695" ht="15.75" customHeight="1">
      <c r="A695" s="936"/>
      <c r="B695" s="948" t="s">
        <v>2934</v>
      </c>
      <c r="C695" s="950" t="s">
        <v>2935</v>
      </c>
      <c r="D695" s="950" t="s">
        <v>2935</v>
      </c>
      <c r="E695" s="952" t="s">
        <v>2935</v>
      </c>
      <c r="F695" s="940"/>
      <c r="G695" s="953"/>
      <c r="H695" s="969"/>
      <c r="I695" s="998" t="s">
        <v>2936</v>
      </c>
      <c r="J695" s="957" t="s">
        <v>209</v>
      </c>
      <c r="K695" s="984" t="s">
        <v>216</v>
      </c>
      <c r="L695" s="959">
        <v>45.0</v>
      </c>
      <c r="M695" s="960">
        <v>35.0</v>
      </c>
      <c r="N695" s="960">
        <v>50.0</v>
      </c>
      <c r="O695" s="960">
        <v>70.0</v>
      </c>
      <c r="P695" s="960">
        <v>50.0</v>
      </c>
      <c r="Q695" s="960">
        <v>30.0</v>
      </c>
      <c r="R695" s="960">
        <v>96.0</v>
      </c>
      <c r="S695" s="960">
        <v>159.0</v>
      </c>
      <c r="T695" s="960">
        <v>174.0</v>
      </c>
      <c r="U695" s="960">
        <f t="array" ref="U695">HLOOKUP($J695,'Type Chart'!$C$2:$T$20,2,false)*HLOOKUP($K695,'Type Chart'!$C$2:$U$20,2,false)</f>
        <v>1</v>
      </c>
      <c r="V695" s="960">
        <f t="array" ref="V695">HLOOKUP($J695,'Type Chart'!$C$2:$T$20,3,false)*HLOOKUP($K695,'Type Chart'!$C$2:$U$20,3,false)</f>
        <v>1</v>
      </c>
      <c r="W695" s="960">
        <f t="array" ref="W695">HLOOKUP($J695,'Type Chart'!$C$2:$T$20,4,false)*HLOOKUP($K695,'Type Chart'!$C$2:$U$20,4,false)</f>
        <v>2</v>
      </c>
      <c r="X695" s="960">
        <f t="array" ref="X695">HLOOKUP($J695,'Type Chart'!$C$2:$T$20,5,false)*HLOOKUP($K695,'Type Chart'!$C$2:$U$20,5,false)</f>
        <v>2</v>
      </c>
      <c r="Y695" s="960">
        <f t="array" ref="Y695">HLOOKUP($J695,'Type Chart'!$C$2:$T$20,6,false)*HLOOKUP($K695,'Type Chart'!$C$2:$U$20,6,false)</f>
        <v>0.5</v>
      </c>
      <c r="Z695" s="960">
        <f t="array" ref="Z695">HLOOKUP($J695,'Type Chart'!$C$2:$T$20,7,false)*HLOOKUP($K695,'Type Chart'!$C$2:$U$20,7,false)</f>
        <v>1</v>
      </c>
      <c r="AA695" s="960">
        <f t="array" ref="AA695">HLOOKUP($J695,'Type Chart'!$C$2:$T$20,8,false)*HLOOKUP($K695,'Type Chart'!$C$2:$U$20,8,false)</f>
        <v>2</v>
      </c>
      <c r="AB695" s="960">
        <f t="array" ref="AB695">HLOOKUP($J695,'Type Chart'!$C$2:$T$20,9,false)*HLOOKUP($K695,'Type Chart'!$C$2:$U$20,9,false)</f>
        <v>1</v>
      </c>
      <c r="AC695" s="960">
        <f t="array" ref="AC695">HLOOKUP($J695,'Type Chart'!$C$2:$T$20,10,false)*HLOOKUP($K695,'Type Chart'!$C$2:$U$20,10,false)</f>
        <v>1</v>
      </c>
      <c r="AD695" s="960">
        <f t="array" ref="AD695">HLOOKUP($J695,'Type Chart'!$C$2:$T$20,11,false)*HLOOKUP($K695,'Type Chart'!$C$2:$U$20,11,false)</f>
        <v>2</v>
      </c>
      <c r="AE695" s="960">
        <f t="array" ref="AE695">HLOOKUP($J695,'Type Chart'!$C$2:$T$20,12,false)*HLOOKUP($K695,'Type Chart'!$C$2:$U$20,12,false)</f>
        <v>0.5</v>
      </c>
      <c r="AF695" s="960">
        <f t="array" ref="AF695">HLOOKUP($J695,'Type Chart'!$C$2:$T$20,13,false)*HLOOKUP($K695,'Type Chart'!$C$2:$U$20,13,false)</f>
        <v>0.5</v>
      </c>
      <c r="AG695" s="960">
        <f t="array" ref="AG695">HLOOKUP($J695,'Type Chart'!$C$2:$T$20,14,false)*HLOOKUP($K695,'Type Chart'!$C$2:$U$20,14,false)</f>
        <v>0.5</v>
      </c>
      <c r="AH695" s="960">
        <f t="array" ref="AH695">HLOOKUP($J695,'Type Chart'!$C$2:$T$20,15,false)*HLOOKUP($K695,'Type Chart'!$C$2:$U$20,15,false)</f>
        <v>1</v>
      </c>
      <c r="AI695" s="960">
        <f t="array" ref="AI695">HLOOKUP($J695,'Type Chart'!$C$2:$T$20,16,false)*HLOOKUP($K695,'Type Chart'!$C$2:$U$20,16,false)</f>
        <v>2</v>
      </c>
      <c r="AJ695" s="960">
        <f t="array" ref="AJ695">HLOOKUP($J695,'Type Chart'!$C$2:$T$20,17,false)*HLOOKUP($K695,'Type Chart'!$C$2:$U$20,17,false)</f>
        <v>1</v>
      </c>
      <c r="AK695" s="960">
        <f t="array" ref="AK695">HLOOKUP($J695,'Type Chart'!$C$2:$T$20,18,false)*HLOOKUP($K695,'Type Chart'!$C$2:$U$20,18,false)</f>
        <v>1</v>
      </c>
      <c r="AL695" s="960">
        <f t="array" ref="AL695">HLOOKUP($J695,'Type Chart'!$C$2:$T$20,19,false)*HLOOKUP($K695,'Type Chart'!$C$2:$U$20,19,false)</f>
        <v>1</v>
      </c>
      <c r="AM695" s="964" t="s">
        <v>524</v>
      </c>
      <c r="AN695" s="965" t="s">
        <v>1370</v>
      </c>
      <c r="AO695" s="966" t="s">
        <v>1526</v>
      </c>
      <c r="AP695" s="936"/>
      <c r="AQ695" s="967"/>
      <c r="AR695" s="968"/>
      <c r="AS695" s="936"/>
    </row>
    <row r="696" ht="15.75" customHeight="1">
      <c r="A696" s="936"/>
      <c r="B696" s="948" t="s">
        <v>2937</v>
      </c>
      <c r="C696" s="950" t="s">
        <v>2938</v>
      </c>
      <c r="D696" s="950" t="s">
        <v>2938</v>
      </c>
      <c r="E696" s="952" t="s">
        <v>2938</v>
      </c>
      <c r="F696" s="940"/>
      <c r="G696" s="953"/>
      <c r="H696" s="969"/>
      <c r="I696" s="998" t="s">
        <v>759</v>
      </c>
      <c r="J696" s="957" t="s">
        <v>209</v>
      </c>
      <c r="K696" s="984" t="s">
        <v>216</v>
      </c>
      <c r="L696" s="959">
        <v>70.0</v>
      </c>
      <c r="M696" s="960">
        <v>60.0</v>
      </c>
      <c r="N696" s="960">
        <v>75.0</v>
      </c>
      <c r="O696" s="960">
        <v>110.0</v>
      </c>
      <c r="P696" s="960">
        <v>75.0</v>
      </c>
      <c r="Q696" s="960">
        <v>90.0</v>
      </c>
      <c r="R696" s="960">
        <v>216.0</v>
      </c>
      <c r="S696" s="960">
        <v>279.0</v>
      </c>
      <c r="T696" s="960">
        <v>306.0</v>
      </c>
      <c r="U696" s="960">
        <f t="array" ref="U696">HLOOKUP($J696,'Type Chart'!$C$2:$T$20,2,false)*HLOOKUP($K696,'Type Chart'!$C$2:$U$20,2,false)</f>
        <v>1</v>
      </c>
      <c r="V696" s="960">
        <f t="array" ref="V696">HLOOKUP($J696,'Type Chart'!$C$2:$T$20,3,false)*HLOOKUP($K696,'Type Chart'!$C$2:$U$20,3,false)</f>
        <v>1</v>
      </c>
      <c r="W696" s="960">
        <f t="array" ref="W696">HLOOKUP($J696,'Type Chart'!$C$2:$T$20,4,false)*HLOOKUP($K696,'Type Chart'!$C$2:$U$20,4,false)</f>
        <v>2</v>
      </c>
      <c r="X696" s="960">
        <f t="array" ref="X696">HLOOKUP($J696,'Type Chart'!$C$2:$T$20,5,false)*HLOOKUP($K696,'Type Chart'!$C$2:$U$20,5,false)</f>
        <v>2</v>
      </c>
      <c r="Y696" s="960">
        <f t="array" ref="Y696">HLOOKUP($J696,'Type Chart'!$C$2:$T$20,6,false)*HLOOKUP($K696,'Type Chart'!$C$2:$U$20,6,false)</f>
        <v>0.5</v>
      </c>
      <c r="Z696" s="960">
        <f t="array" ref="Z696">HLOOKUP($J696,'Type Chart'!$C$2:$T$20,7,false)*HLOOKUP($K696,'Type Chart'!$C$2:$U$20,7,false)</f>
        <v>1</v>
      </c>
      <c r="AA696" s="960">
        <f t="array" ref="AA696">HLOOKUP($J696,'Type Chart'!$C$2:$T$20,8,false)*HLOOKUP($K696,'Type Chart'!$C$2:$U$20,8,false)</f>
        <v>2</v>
      </c>
      <c r="AB696" s="960">
        <f t="array" ref="AB696">HLOOKUP($J696,'Type Chart'!$C$2:$T$20,9,false)*HLOOKUP($K696,'Type Chart'!$C$2:$U$20,9,false)</f>
        <v>1</v>
      </c>
      <c r="AC696" s="960">
        <f t="array" ref="AC696">HLOOKUP($J696,'Type Chart'!$C$2:$T$20,10,false)*HLOOKUP($K696,'Type Chart'!$C$2:$U$20,10,false)</f>
        <v>1</v>
      </c>
      <c r="AD696" s="960">
        <f t="array" ref="AD696">HLOOKUP($J696,'Type Chart'!$C$2:$T$20,11,false)*HLOOKUP($K696,'Type Chart'!$C$2:$U$20,11,false)</f>
        <v>2</v>
      </c>
      <c r="AE696" s="960">
        <f t="array" ref="AE696">HLOOKUP($J696,'Type Chart'!$C$2:$T$20,12,false)*HLOOKUP($K696,'Type Chart'!$C$2:$U$20,12,false)</f>
        <v>0.5</v>
      </c>
      <c r="AF696" s="960">
        <f t="array" ref="AF696">HLOOKUP($J696,'Type Chart'!$C$2:$T$20,13,false)*HLOOKUP($K696,'Type Chart'!$C$2:$U$20,13,false)</f>
        <v>0.5</v>
      </c>
      <c r="AG696" s="960">
        <f t="array" ref="AG696">HLOOKUP($J696,'Type Chart'!$C$2:$T$20,14,false)*HLOOKUP($K696,'Type Chart'!$C$2:$U$20,14,false)</f>
        <v>0.5</v>
      </c>
      <c r="AH696" s="960">
        <f t="array" ref="AH696">HLOOKUP($J696,'Type Chart'!$C$2:$T$20,15,false)*HLOOKUP($K696,'Type Chart'!$C$2:$U$20,15,false)</f>
        <v>1</v>
      </c>
      <c r="AI696" s="960">
        <f t="array" ref="AI696">HLOOKUP($J696,'Type Chart'!$C$2:$T$20,16,false)*HLOOKUP($K696,'Type Chart'!$C$2:$U$20,16,false)</f>
        <v>2</v>
      </c>
      <c r="AJ696" s="960">
        <f t="array" ref="AJ696">HLOOKUP($J696,'Type Chart'!$C$2:$T$20,17,false)*HLOOKUP($K696,'Type Chart'!$C$2:$U$20,17,false)</f>
        <v>1</v>
      </c>
      <c r="AK696" s="960">
        <f t="array" ref="AK696">HLOOKUP($J696,'Type Chart'!$C$2:$T$20,18,false)*HLOOKUP($K696,'Type Chart'!$C$2:$U$20,18,false)</f>
        <v>1</v>
      </c>
      <c r="AL696" s="960">
        <f t="array" ref="AL696">HLOOKUP($J696,'Type Chart'!$C$2:$T$20,19,false)*HLOOKUP($K696,'Type Chart'!$C$2:$U$20,19,false)</f>
        <v>1</v>
      </c>
      <c r="AM696" s="964" t="s">
        <v>524</v>
      </c>
      <c r="AN696" s="965" t="s">
        <v>1370</v>
      </c>
      <c r="AO696" s="966" t="s">
        <v>1526</v>
      </c>
      <c r="AP696" s="936"/>
      <c r="AQ696" s="967"/>
      <c r="AR696" s="968"/>
      <c r="AS696" s="936"/>
    </row>
    <row r="697" ht="15.75" customHeight="1">
      <c r="A697" s="936"/>
      <c r="B697" s="948" t="s">
        <v>2939</v>
      </c>
      <c r="C697" s="950" t="s">
        <v>2940</v>
      </c>
      <c r="D697" s="950" t="s">
        <v>2941</v>
      </c>
      <c r="E697" s="952" t="s">
        <v>2940</v>
      </c>
      <c r="F697" s="940"/>
      <c r="G697" s="953"/>
      <c r="H697" s="969"/>
      <c r="I697" s="998" t="s">
        <v>478</v>
      </c>
      <c r="J697" s="1235" t="s">
        <v>209</v>
      </c>
      <c r="K697" s="1236" t="s">
        <v>341</v>
      </c>
      <c r="L697" s="959">
        <v>70.0</v>
      </c>
      <c r="M697" s="960">
        <v>60.0</v>
      </c>
      <c r="N697" s="960">
        <v>75.0</v>
      </c>
      <c r="O697" s="960">
        <v>110.0</v>
      </c>
      <c r="P697" s="960">
        <v>75.0</v>
      </c>
      <c r="Q697" s="960">
        <v>90.0</v>
      </c>
      <c r="R697" s="960">
        <v>216.0</v>
      </c>
      <c r="S697" s="960">
        <v>279.0</v>
      </c>
      <c r="T697" s="960">
        <v>306.0</v>
      </c>
      <c r="U697" s="960">
        <f t="array" ref="U697">HLOOKUP($J697,'Type Chart'!$C$2:$T$20,2,false)*HLOOKUP($K697,'Type Chart'!$C$2:$U$20,2,false)</f>
        <v>1</v>
      </c>
      <c r="V697" s="960">
        <f t="array" ref="V697">HLOOKUP($J697,'Type Chart'!$C$2:$T$20,3,false)*HLOOKUP($K697,'Type Chart'!$C$2:$U$20,3,false)</f>
        <v>1</v>
      </c>
      <c r="W697" s="960">
        <f t="array" ref="W697">HLOOKUP($J697,'Type Chart'!$C$2:$T$20,4,false)*HLOOKUP($K697,'Type Chart'!$C$2:$U$20,4,false)</f>
        <v>4</v>
      </c>
      <c r="X697" s="960">
        <f t="array" ref="X697">HLOOKUP($J697,'Type Chart'!$C$2:$T$20,5,false)*HLOOKUP($K697,'Type Chart'!$C$2:$U$20,5,false)</f>
        <v>2</v>
      </c>
      <c r="Y697" s="960">
        <f t="array" ref="Y697">HLOOKUP($J697,'Type Chart'!$C$2:$T$20,6,false)*HLOOKUP($K697,'Type Chart'!$C$2:$U$20,6,false)</f>
        <v>0.5</v>
      </c>
      <c r="Z697" s="960">
        <f t="array" ref="Z697">HLOOKUP($J697,'Type Chart'!$C$2:$T$20,7,false)*HLOOKUP($K697,'Type Chart'!$C$2:$U$20,7,false)</f>
        <v>0.5</v>
      </c>
      <c r="AA697" s="960">
        <f t="array" ref="AA697">HLOOKUP($J697,'Type Chart'!$C$2:$T$20,8,false)*HLOOKUP($K697,'Type Chart'!$C$2:$U$20,8,false)</f>
        <v>1</v>
      </c>
      <c r="AB697" s="960">
        <f t="array" ref="AB697">HLOOKUP($J697,'Type Chart'!$C$2:$T$20,9,false)*HLOOKUP($K697,'Type Chart'!$C$2:$U$20,9,false)</f>
        <v>1</v>
      </c>
      <c r="AC697" s="960">
        <f t="array" ref="AC697">HLOOKUP($J697,'Type Chart'!$C$2:$T$20,10,false)*HLOOKUP($K697,'Type Chart'!$C$2:$U$20,10,false)</f>
        <v>1</v>
      </c>
      <c r="AD697" s="960">
        <f t="array" ref="AD697">HLOOKUP($J697,'Type Chart'!$C$2:$T$20,11,false)*HLOOKUP($K697,'Type Chart'!$C$2:$U$20,11,false)</f>
        <v>2</v>
      </c>
      <c r="AE697" s="960">
        <f t="array" ref="AE697">HLOOKUP($J697,'Type Chart'!$C$2:$T$20,12,false)*HLOOKUP($K697,'Type Chart'!$C$2:$U$20,12,false)</f>
        <v>0.5</v>
      </c>
      <c r="AF697" s="960">
        <f t="array" ref="AF697">HLOOKUP($J697,'Type Chart'!$C$2:$T$20,13,false)*HLOOKUP($K697,'Type Chart'!$C$2:$U$20,13,false)</f>
        <v>0.5</v>
      </c>
      <c r="AG697" s="960">
        <f t="array" ref="AG697">HLOOKUP($J697,'Type Chart'!$C$2:$T$20,14,false)*HLOOKUP($K697,'Type Chart'!$C$2:$U$20,14,false)</f>
        <v>0.5</v>
      </c>
      <c r="AH697" s="960">
        <f t="array" ref="AH697">HLOOKUP($J697,'Type Chart'!$C$2:$T$20,15,false)*HLOOKUP($K697,'Type Chart'!$C$2:$U$20,15,false)</f>
        <v>2</v>
      </c>
      <c r="AI697" s="960">
        <f t="array" ref="AI697">HLOOKUP($J697,'Type Chart'!$C$2:$T$20,16,false)*HLOOKUP($K697,'Type Chart'!$C$2:$U$20,16,false)</f>
        <v>2</v>
      </c>
      <c r="AJ697" s="960">
        <f t="array" ref="AJ697">HLOOKUP($J697,'Type Chart'!$C$2:$T$20,17,false)*HLOOKUP($K697,'Type Chart'!$C$2:$U$20,17,false)</f>
        <v>1</v>
      </c>
      <c r="AK697" s="960">
        <f t="array" ref="AK697">HLOOKUP($J697,'Type Chart'!$C$2:$T$20,18,false)*HLOOKUP($K697,'Type Chart'!$C$2:$U$20,18,false)</f>
        <v>0.5</v>
      </c>
      <c r="AL697" s="960">
        <f t="array" ref="AL697">HLOOKUP($J697,'Type Chart'!$C$2:$T$20,19,false)*HLOOKUP($K697,'Type Chart'!$C$2:$U$20,19,false)</f>
        <v>2</v>
      </c>
      <c r="AM697" s="964"/>
      <c r="AN697" s="965"/>
      <c r="AO697" s="966"/>
      <c r="AP697" s="936"/>
      <c r="AQ697" s="967"/>
      <c r="AR697" s="968"/>
      <c r="AS697" s="936"/>
    </row>
    <row r="698" ht="15.75" customHeight="1">
      <c r="A698" s="936"/>
      <c r="B698" s="948" t="s">
        <v>2942</v>
      </c>
      <c r="C698" s="950" t="s">
        <v>2943</v>
      </c>
      <c r="D698" s="950" t="s">
        <v>2943</v>
      </c>
      <c r="E698" s="952" t="s">
        <v>2943</v>
      </c>
      <c r="F698" s="940"/>
      <c r="G698" s="953"/>
      <c r="H698" s="969"/>
      <c r="I698" s="998" t="s">
        <v>743</v>
      </c>
      <c r="J698" s="1056" t="s">
        <v>81</v>
      </c>
      <c r="K698" s="984" t="s">
        <v>216</v>
      </c>
      <c r="L698" s="959">
        <v>70.0</v>
      </c>
      <c r="M698" s="960">
        <v>92.0</v>
      </c>
      <c r="N698" s="960">
        <v>65.0</v>
      </c>
      <c r="O698" s="960">
        <v>80.0</v>
      </c>
      <c r="P698" s="960">
        <v>55.0</v>
      </c>
      <c r="Q698" s="960">
        <v>98.0</v>
      </c>
      <c r="R698" s="960">
        <v>232.0</v>
      </c>
      <c r="S698" s="960">
        <v>295.0</v>
      </c>
      <c r="T698" s="960">
        <v>324.0</v>
      </c>
      <c r="U698" s="960">
        <f t="array" ref="U698">HLOOKUP($J698,'Type Chart'!$C$2:$T$20,2,false)*HLOOKUP($K698,'Type Chart'!$C$2:$U$20,2,false)</f>
        <v>1</v>
      </c>
      <c r="V698" s="960">
        <f t="array" ref="V698">HLOOKUP($J698,'Type Chart'!$C$2:$T$20,3,false)*HLOOKUP($K698,'Type Chart'!$C$2:$U$20,3,false)</f>
        <v>1</v>
      </c>
      <c r="W698" s="960">
        <f t="array" ref="W698">HLOOKUP($J698,'Type Chart'!$C$2:$T$20,4,false)*HLOOKUP($K698,'Type Chart'!$C$2:$U$20,4,false)</f>
        <v>1</v>
      </c>
      <c r="X698" s="960">
        <f t="array" ref="X698">HLOOKUP($J698,'Type Chart'!$C$2:$T$20,5,false)*HLOOKUP($K698,'Type Chart'!$C$2:$U$20,5,false)</f>
        <v>1</v>
      </c>
      <c r="Y698" s="960">
        <f t="array" ref="Y698">HLOOKUP($J698,'Type Chart'!$C$2:$T$20,6,false)*HLOOKUP($K698,'Type Chart'!$C$2:$U$20,6,false)</f>
        <v>1</v>
      </c>
      <c r="Z698" s="960">
        <f t="array" ref="Z698">HLOOKUP($J698,'Type Chart'!$C$2:$T$20,7,false)*HLOOKUP($K698,'Type Chart'!$C$2:$U$20,7,false)</f>
        <v>1</v>
      </c>
      <c r="AA698" s="960">
        <f t="array" ref="AA698">HLOOKUP($J698,'Type Chart'!$C$2:$T$20,8,false)*HLOOKUP($K698,'Type Chart'!$C$2:$U$20,8,false)</f>
        <v>1</v>
      </c>
      <c r="AB698" s="960">
        <f t="array" ref="AB698">HLOOKUP($J698,'Type Chart'!$C$2:$T$20,9,false)*HLOOKUP($K698,'Type Chart'!$C$2:$U$20,9,false)</f>
        <v>1</v>
      </c>
      <c r="AC698" s="960">
        <f t="array" ref="AC698">HLOOKUP($J698,'Type Chart'!$C$2:$T$20,10,false)*HLOOKUP($K698,'Type Chart'!$C$2:$U$20,10,false)</f>
        <v>0.5</v>
      </c>
      <c r="AD698" s="960">
        <f t="array" ref="AD698">HLOOKUP($J698,'Type Chart'!$C$2:$T$20,11,false)*HLOOKUP($K698,'Type Chart'!$C$2:$U$20,11,false)</f>
        <v>0.5</v>
      </c>
      <c r="AE698" s="960">
        <f t="array" ref="AE698">HLOOKUP($J698,'Type Chart'!$C$2:$T$20,12,false)*HLOOKUP($K698,'Type Chart'!$C$2:$U$20,12,false)</f>
        <v>0.5</v>
      </c>
      <c r="AF698" s="960">
        <f t="array" ref="AF698">HLOOKUP($J698,'Type Chart'!$C$2:$T$20,13,false)*HLOOKUP($K698,'Type Chart'!$C$2:$U$20,13,false)</f>
        <v>2</v>
      </c>
      <c r="AG698" s="960">
        <f t="array" ref="AG698">HLOOKUP($J698,'Type Chart'!$C$2:$T$20,14,false)*HLOOKUP($K698,'Type Chart'!$C$2:$U$20,14,false)</f>
        <v>2</v>
      </c>
      <c r="AH698" s="960">
        <f t="array" ref="AH698">HLOOKUP($J698,'Type Chart'!$C$2:$T$20,15,false)*HLOOKUP($K698,'Type Chart'!$C$2:$U$20,15,false)</f>
        <v>1</v>
      </c>
      <c r="AI698" s="960">
        <f t="array" ref="AI698">HLOOKUP($J698,'Type Chart'!$C$2:$T$20,16,false)*HLOOKUP($K698,'Type Chart'!$C$2:$U$20,16,false)</f>
        <v>0.5</v>
      </c>
      <c r="AJ698" s="960">
        <f t="array" ref="AJ698">HLOOKUP($J698,'Type Chart'!$C$2:$T$20,17,false)*HLOOKUP($K698,'Type Chart'!$C$2:$U$20,17,false)</f>
        <v>1</v>
      </c>
      <c r="AK698" s="960">
        <f t="array" ref="AK698">HLOOKUP($J698,'Type Chart'!$C$2:$T$20,18,false)*HLOOKUP($K698,'Type Chart'!$C$2:$U$20,18,false)</f>
        <v>1</v>
      </c>
      <c r="AL698" s="960">
        <f t="array" ref="AL698">HLOOKUP($J698,'Type Chart'!$C$2:$T$20,19,false)*HLOOKUP($K698,'Type Chart'!$C$2:$U$20,19,false)</f>
        <v>1</v>
      </c>
      <c r="AM698" s="964" t="s">
        <v>1497</v>
      </c>
      <c r="AN698" s="965" t="s">
        <v>1018</v>
      </c>
      <c r="AO698" s="966" t="s">
        <v>1576</v>
      </c>
      <c r="AP698" s="936"/>
      <c r="AQ698" s="967"/>
      <c r="AR698" s="968"/>
      <c r="AS698" s="936"/>
    </row>
    <row r="699" ht="15.75" customHeight="1">
      <c r="A699" s="936"/>
      <c r="B699" s="948" t="s">
        <v>2944</v>
      </c>
      <c r="C699" s="950" t="s">
        <v>2945</v>
      </c>
      <c r="D699" s="950" t="s">
        <v>2946</v>
      </c>
      <c r="E699" s="952" t="s">
        <v>2945</v>
      </c>
      <c r="F699" s="940"/>
      <c r="G699" s="953"/>
      <c r="H699" s="969"/>
      <c r="I699" s="998" t="s">
        <v>2947</v>
      </c>
      <c r="J699" s="1056" t="s">
        <v>81</v>
      </c>
      <c r="K699" s="984" t="s">
        <v>216</v>
      </c>
      <c r="L699" s="959">
        <v>70.0</v>
      </c>
      <c r="M699" s="960">
        <v>92.0</v>
      </c>
      <c r="N699" s="960">
        <v>65.0</v>
      </c>
      <c r="O699" s="960">
        <v>80.0</v>
      </c>
      <c r="P699" s="960">
        <v>55.0</v>
      </c>
      <c r="Q699" s="960">
        <v>98.0</v>
      </c>
      <c r="R699" s="960">
        <v>232.0</v>
      </c>
      <c r="S699" s="960">
        <v>295.0</v>
      </c>
      <c r="T699" s="960">
        <v>324.0</v>
      </c>
      <c r="U699" s="960">
        <f t="array" ref="U699">HLOOKUP($J699,'Type Chart'!$C$2:$T$20,2,false)*HLOOKUP($K699,'Type Chart'!$C$2:$U$20,2,false)</f>
        <v>1</v>
      </c>
      <c r="V699" s="960">
        <f t="array" ref="V699">HLOOKUP($J699,'Type Chart'!$C$2:$T$20,3,false)*HLOOKUP($K699,'Type Chart'!$C$2:$U$20,3,false)</f>
        <v>1</v>
      </c>
      <c r="W699" s="960">
        <f t="array" ref="W699">HLOOKUP($J699,'Type Chart'!$C$2:$T$20,4,false)*HLOOKUP($K699,'Type Chart'!$C$2:$U$20,4,false)</f>
        <v>1</v>
      </c>
      <c r="X699" s="960">
        <f t="array" ref="X699">HLOOKUP($J699,'Type Chart'!$C$2:$T$20,5,false)*HLOOKUP($K699,'Type Chart'!$C$2:$U$20,5,false)</f>
        <v>1</v>
      </c>
      <c r="Y699" s="960">
        <f t="array" ref="Y699">HLOOKUP($J699,'Type Chart'!$C$2:$T$20,6,false)*HLOOKUP($K699,'Type Chart'!$C$2:$U$20,6,false)</f>
        <v>1</v>
      </c>
      <c r="Z699" s="960">
        <f t="array" ref="Z699">HLOOKUP($J699,'Type Chart'!$C$2:$T$20,7,false)*HLOOKUP($K699,'Type Chart'!$C$2:$U$20,7,false)</f>
        <v>1</v>
      </c>
      <c r="AA699" s="960">
        <f t="array" ref="AA699">HLOOKUP($J699,'Type Chart'!$C$2:$T$20,8,false)*HLOOKUP($K699,'Type Chart'!$C$2:$U$20,8,false)</f>
        <v>1</v>
      </c>
      <c r="AB699" s="960">
        <f t="array" ref="AB699">HLOOKUP($J699,'Type Chart'!$C$2:$T$20,9,false)*HLOOKUP($K699,'Type Chart'!$C$2:$U$20,9,false)</f>
        <v>1</v>
      </c>
      <c r="AC699" s="960">
        <f t="array" ref="AC699">HLOOKUP($J699,'Type Chart'!$C$2:$T$20,10,false)*HLOOKUP($K699,'Type Chart'!$C$2:$U$20,10,false)</f>
        <v>0.5</v>
      </c>
      <c r="AD699" s="960">
        <f t="array" ref="AD699">HLOOKUP($J699,'Type Chart'!$C$2:$T$20,11,false)*HLOOKUP($K699,'Type Chart'!$C$2:$U$20,11,false)</f>
        <v>0.5</v>
      </c>
      <c r="AE699" s="960">
        <f t="array" ref="AE699">HLOOKUP($J699,'Type Chart'!$C$2:$T$20,12,false)*HLOOKUP($K699,'Type Chart'!$C$2:$U$20,12,false)</f>
        <v>0.5</v>
      </c>
      <c r="AF699" s="960">
        <f t="array" ref="AF699">HLOOKUP($J699,'Type Chart'!$C$2:$T$20,13,false)*HLOOKUP($K699,'Type Chart'!$C$2:$U$20,13,false)</f>
        <v>2</v>
      </c>
      <c r="AG699" s="960">
        <f t="array" ref="AG699">HLOOKUP($J699,'Type Chart'!$C$2:$T$20,14,false)*HLOOKUP($K699,'Type Chart'!$C$2:$U$20,14,false)</f>
        <v>2</v>
      </c>
      <c r="AH699" s="960">
        <f t="array" ref="AH699">HLOOKUP($J699,'Type Chart'!$C$2:$T$20,15,false)*HLOOKUP($K699,'Type Chart'!$C$2:$U$20,15,false)</f>
        <v>1</v>
      </c>
      <c r="AI699" s="960">
        <f t="array" ref="AI699">HLOOKUP($J699,'Type Chart'!$C$2:$T$20,16,false)*HLOOKUP($K699,'Type Chart'!$C$2:$U$20,16,false)</f>
        <v>0.5</v>
      </c>
      <c r="AJ699" s="960">
        <f t="array" ref="AJ699">HLOOKUP($J699,'Type Chart'!$C$2:$T$20,17,false)*HLOOKUP($K699,'Type Chart'!$C$2:$U$20,17,false)</f>
        <v>1</v>
      </c>
      <c r="AK699" s="960">
        <f t="array" ref="AK699">HLOOKUP($J699,'Type Chart'!$C$2:$T$20,18,false)*HLOOKUP($K699,'Type Chart'!$C$2:$U$20,18,false)</f>
        <v>1</v>
      </c>
      <c r="AL699" s="960">
        <f t="array" ref="AL699">HLOOKUP($J699,'Type Chart'!$C$2:$T$20,19,false)*HLOOKUP($K699,'Type Chart'!$C$2:$U$20,19,false)</f>
        <v>1</v>
      </c>
      <c r="AM699" s="964" t="s">
        <v>1276</v>
      </c>
      <c r="AN699" s="965" t="s">
        <v>1018</v>
      </c>
      <c r="AO699" s="966" t="s">
        <v>1576</v>
      </c>
      <c r="AP699" s="936"/>
      <c r="AQ699" s="967"/>
      <c r="AR699" s="968"/>
      <c r="AS699" s="936"/>
    </row>
    <row r="700" ht="15.75" customHeight="1">
      <c r="A700" s="936"/>
      <c r="B700" s="948" t="s">
        <v>2948</v>
      </c>
      <c r="C700" s="950" t="s">
        <v>2949</v>
      </c>
      <c r="D700" s="950" t="s">
        <v>2949</v>
      </c>
      <c r="E700" s="952" t="s">
        <v>2949</v>
      </c>
      <c r="F700" s="940"/>
      <c r="G700" s="953"/>
      <c r="H700" s="969"/>
      <c r="I700" s="956" t="s">
        <v>2950</v>
      </c>
      <c r="J700" s="1204" t="s">
        <v>80</v>
      </c>
      <c r="K700" s="1195" t="s">
        <v>193</v>
      </c>
      <c r="L700" s="959">
        <v>50.0</v>
      </c>
      <c r="M700" s="960">
        <v>72.0</v>
      </c>
      <c r="N700" s="960">
        <v>35.0</v>
      </c>
      <c r="O700" s="960">
        <v>35.0</v>
      </c>
      <c r="P700" s="960">
        <v>35.0</v>
      </c>
      <c r="Q700" s="960">
        <v>65.0</v>
      </c>
      <c r="R700" s="960">
        <v>166.0</v>
      </c>
      <c r="S700" s="960">
        <v>229.0</v>
      </c>
      <c r="T700" s="960">
        <v>251.0</v>
      </c>
      <c r="U700" s="960">
        <f t="array" ref="U700">HLOOKUP($J700,'Type Chart'!$C$2:$T$20,2,false)*HLOOKUP($K700,'Type Chart'!$C$2:$U$20,2,false)</f>
        <v>1</v>
      </c>
      <c r="V700" s="960">
        <f t="array" ref="V700">HLOOKUP($J700,'Type Chart'!$C$2:$T$20,3,false)*HLOOKUP($K700,'Type Chart'!$C$2:$U$20,3,false)</f>
        <v>2</v>
      </c>
      <c r="W700" s="960">
        <f t="array" ref="W700">HLOOKUP($J700,'Type Chart'!$C$2:$T$20,4,false)*HLOOKUP($K700,'Type Chart'!$C$2:$U$20,4,false)</f>
        <v>1</v>
      </c>
      <c r="X700" s="960">
        <f t="array" ref="X700">HLOOKUP($J700,'Type Chart'!$C$2:$T$20,5,false)*HLOOKUP($K700,'Type Chart'!$C$2:$U$20,5,false)</f>
        <v>0.5</v>
      </c>
      <c r="Y700" s="960">
        <f t="array" ref="Y700">HLOOKUP($J700,'Type Chart'!$C$2:$T$20,6,false)*HLOOKUP($K700,'Type Chart'!$C$2:$U$20,6,false)</f>
        <v>1</v>
      </c>
      <c r="Z700" s="960">
        <f t="array" ref="Z700">HLOOKUP($J700,'Type Chart'!$C$2:$T$20,7,false)*HLOOKUP($K700,'Type Chart'!$C$2:$U$20,7,false)</f>
        <v>0.5</v>
      </c>
      <c r="AA700" s="960">
        <f t="array" ref="AA700">HLOOKUP($J700,'Type Chart'!$C$2:$T$20,8,false)*HLOOKUP($K700,'Type Chart'!$C$2:$U$20,8,false)</f>
        <v>2</v>
      </c>
      <c r="AB700" s="960">
        <f t="array" ref="AB700">HLOOKUP($J700,'Type Chart'!$C$2:$T$20,9,false)*HLOOKUP($K700,'Type Chart'!$C$2:$U$20,9,false)</f>
        <v>0.5</v>
      </c>
      <c r="AC700" s="960">
        <f t="array" ref="AC700">HLOOKUP($J700,'Type Chart'!$C$2:$T$20,10,false)*HLOOKUP($K700,'Type Chart'!$C$2:$U$20,10,false)</f>
        <v>1</v>
      </c>
      <c r="AD700" s="960">
        <f t="array" ref="AD700">HLOOKUP($J700,'Type Chart'!$C$2:$T$20,11,false)*HLOOKUP($K700,'Type Chart'!$C$2:$U$20,11,false)</f>
        <v>1</v>
      </c>
      <c r="AE700" s="960">
        <f t="array" ref="AE700">HLOOKUP($J700,'Type Chart'!$C$2:$T$20,12,false)*HLOOKUP($K700,'Type Chart'!$C$2:$U$20,12,false)</f>
        <v>2</v>
      </c>
      <c r="AF700" s="960">
        <f t="array" ref="AF700">HLOOKUP($J700,'Type Chart'!$C$2:$T$20,13,false)*HLOOKUP($K700,'Type Chart'!$C$2:$U$20,13,false)</f>
        <v>2</v>
      </c>
      <c r="AG700" s="960">
        <f t="array" ref="AG700">HLOOKUP($J700,'Type Chart'!$C$2:$T$20,14,false)*HLOOKUP($K700,'Type Chart'!$C$2:$U$20,14,false)</f>
        <v>0</v>
      </c>
      <c r="AH700" s="960">
        <f t="array" ref="AH700">HLOOKUP($J700,'Type Chart'!$C$2:$T$20,15,false)*HLOOKUP($K700,'Type Chart'!$C$2:$U$20,15,false)</f>
        <v>0</v>
      </c>
      <c r="AI700" s="960">
        <f t="array" ref="AI700">HLOOKUP($J700,'Type Chart'!$C$2:$T$20,16,false)*HLOOKUP($K700,'Type Chart'!$C$2:$U$20,16,false)</f>
        <v>2</v>
      </c>
      <c r="AJ700" s="960">
        <f t="array" ref="AJ700">HLOOKUP($J700,'Type Chart'!$C$2:$T$20,17,false)*HLOOKUP($K700,'Type Chart'!$C$2:$U$20,17,false)</f>
        <v>1</v>
      </c>
      <c r="AK700" s="960">
        <f t="array" ref="AK700">HLOOKUP($J700,'Type Chart'!$C$2:$T$20,18,false)*HLOOKUP($K700,'Type Chart'!$C$2:$U$20,18,false)</f>
        <v>0.5</v>
      </c>
      <c r="AL700" s="960">
        <f t="array" ref="AL700">HLOOKUP($J700,'Type Chart'!$C$2:$T$20,19,false)*HLOOKUP($K700,'Type Chart'!$C$2:$U$20,19,false)</f>
        <v>2</v>
      </c>
      <c r="AM700" s="1145" t="s">
        <v>1061</v>
      </c>
      <c r="AN700" s="965" t="s">
        <v>1577</v>
      </c>
      <c r="AO700" s="966" t="s">
        <v>1266</v>
      </c>
      <c r="AP700" s="936"/>
      <c r="AQ700" s="967"/>
      <c r="AR700" s="968"/>
      <c r="AS700" s="936"/>
    </row>
    <row r="701" ht="15.75" customHeight="1">
      <c r="A701" s="936"/>
      <c r="B701" s="948" t="s">
        <v>2951</v>
      </c>
      <c r="C701" s="950" t="s">
        <v>2952</v>
      </c>
      <c r="D701" s="950" t="s">
        <v>2952</v>
      </c>
      <c r="E701" s="952" t="s">
        <v>2952</v>
      </c>
      <c r="F701" s="940"/>
      <c r="G701" s="953"/>
      <c r="H701" s="969"/>
      <c r="I701" s="998" t="s">
        <v>844</v>
      </c>
      <c r="J701" s="1204" t="s">
        <v>80</v>
      </c>
      <c r="K701" s="1195" t="s">
        <v>193</v>
      </c>
      <c r="L701" s="959">
        <v>60.0</v>
      </c>
      <c r="M701" s="960">
        <v>82.0</v>
      </c>
      <c r="N701" s="960">
        <v>45.0</v>
      </c>
      <c r="O701" s="960">
        <v>45.0</v>
      </c>
      <c r="P701" s="960">
        <v>45.0</v>
      </c>
      <c r="Q701" s="960">
        <v>74.0</v>
      </c>
      <c r="R701" s="960">
        <v>184.0</v>
      </c>
      <c r="S701" s="960">
        <v>247.0</v>
      </c>
      <c r="T701" s="960">
        <v>271.0</v>
      </c>
      <c r="U701" s="960">
        <f t="array" ref="U701">HLOOKUP($J701,'Type Chart'!$C$2:$T$20,2,false)*HLOOKUP($K701,'Type Chart'!$C$2:$U$20,2,false)</f>
        <v>1</v>
      </c>
      <c r="V701" s="960">
        <f t="array" ref="V701">HLOOKUP($J701,'Type Chart'!$C$2:$T$20,3,false)*HLOOKUP($K701,'Type Chart'!$C$2:$U$20,3,false)</f>
        <v>2</v>
      </c>
      <c r="W701" s="960">
        <f t="array" ref="W701">HLOOKUP($J701,'Type Chart'!$C$2:$T$20,4,false)*HLOOKUP($K701,'Type Chart'!$C$2:$U$20,4,false)</f>
        <v>1</v>
      </c>
      <c r="X701" s="960">
        <f t="array" ref="X701">HLOOKUP($J701,'Type Chart'!$C$2:$T$20,5,false)*HLOOKUP($K701,'Type Chart'!$C$2:$U$20,5,false)</f>
        <v>0.5</v>
      </c>
      <c r="Y701" s="960">
        <f t="array" ref="Y701">HLOOKUP($J701,'Type Chart'!$C$2:$T$20,6,false)*HLOOKUP($K701,'Type Chart'!$C$2:$U$20,6,false)</f>
        <v>1</v>
      </c>
      <c r="Z701" s="960">
        <f t="array" ref="Z701">HLOOKUP($J701,'Type Chart'!$C$2:$T$20,7,false)*HLOOKUP($K701,'Type Chart'!$C$2:$U$20,7,false)</f>
        <v>0.5</v>
      </c>
      <c r="AA701" s="960">
        <f t="array" ref="AA701">HLOOKUP($J701,'Type Chart'!$C$2:$T$20,8,false)*HLOOKUP($K701,'Type Chart'!$C$2:$U$20,8,false)</f>
        <v>2</v>
      </c>
      <c r="AB701" s="960">
        <f t="array" ref="AB701">HLOOKUP($J701,'Type Chart'!$C$2:$T$20,9,false)*HLOOKUP($K701,'Type Chart'!$C$2:$U$20,9,false)</f>
        <v>0.5</v>
      </c>
      <c r="AC701" s="960">
        <f t="array" ref="AC701">HLOOKUP($J701,'Type Chart'!$C$2:$T$20,10,false)*HLOOKUP($K701,'Type Chart'!$C$2:$U$20,10,false)</f>
        <v>1</v>
      </c>
      <c r="AD701" s="960">
        <f t="array" ref="AD701">HLOOKUP($J701,'Type Chart'!$C$2:$T$20,11,false)*HLOOKUP($K701,'Type Chart'!$C$2:$U$20,11,false)</f>
        <v>1</v>
      </c>
      <c r="AE701" s="960">
        <f t="array" ref="AE701">HLOOKUP($J701,'Type Chart'!$C$2:$T$20,12,false)*HLOOKUP($K701,'Type Chart'!$C$2:$U$20,12,false)</f>
        <v>2</v>
      </c>
      <c r="AF701" s="960">
        <f t="array" ref="AF701">HLOOKUP($J701,'Type Chart'!$C$2:$T$20,13,false)*HLOOKUP($K701,'Type Chart'!$C$2:$U$20,13,false)</f>
        <v>2</v>
      </c>
      <c r="AG701" s="960">
        <f t="array" ref="AG701">HLOOKUP($J701,'Type Chart'!$C$2:$T$20,14,false)*HLOOKUP($K701,'Type Chart'!$C$2:$U$20,14,false)</f>
        <v>0</v>
      </c>
      <c r="AH701" s="960">
        <f t="array" ref="AH701">HLOOKUP($J701,'Type Chart'!$C$2:$T$20,15,false)*HLOOKUP($K701,'Type Chart'!$C$2:$U$20,15,false)</f>
        <v>0</v>
      </c>
      <c r="AI701" s="960">
        <f t="array" ref="AI701">HLOOKUP($J701,'Type Chart'!$C$2:$T$20,16,false)*HLOOKUP($K701,'Type Chart'!$C$2:$U$20,16,false)</f>
        <v>2</v>
      </c>
      <c r="AJ701" s="960">
        <f t="array" ref="AJ701">HLOOKUP($J701,'Type Chart'!$C$2:$T$20,17,false)*HLOOKUP($K701,'Type Chart'!$C$2:$U$20,17,false)</f>
        <v>1</v>
      </c>
      <c r="AK701" s="960">
        <f t="array" ref="AK701">HLOOKUP($J701,'Type Chart'!$C$2:$T$20,18,false)*HLOOKUP($K701,'Type Chart'!$C$2:$U$20,18,false)</f>
        <v>0.5</v>
      </c>
      <c r="AL701" s="960">
        <f t="array" ref="AL701">HLOOKUP($J701,'Type Chart'!$C$2:$T$20,19,false)*HLOOKUP($K701,'Type Chart'!$C$2:$U$20,19,false)</f>
        <v>2</v>
      </c>
      <c r="AM701" s="1145" t="s">
        <v>1061</v>
      </c>
      <c r="AN701" s="965" t="s">
        <v>1577</v>
      </c>
      <c r="AO701" s="966" t="s">
        <v>1266</v>
      </c>
      <c r="AP701" s="936"/>
      <c r="AQ701" s="967"/>
      <c r="AR701" s="968"/>
      <c r="AS701" s="936"/>
    </row>
    <row r="702" ht="15.75" customHeight="1">
      <c r="A702" s="936"/>
      <c r="B702" s="948" t="s">
        <v>2953</v>
      </c>
      <c r="C702" s="950" t="s">
        <v>98</v>
      </c>
      <c r="D702" s="950" t="s">
        <v>98</v>
      </c>
      <c r="E702" s="952" t="s">
        <v>98</v>
      </c>
      <c r="F702" s="940"/>
      <c r="G702" s="953"/>
      <c r="H702" s="969"/>
      <c r="I702" s="998" t="s">
        <v>197</v>
      </c>
      <c r="J702" s="1204" t="s">
        <v>80</v>
      </c>
      <c r="K702" s="1195" t="s">
        <v>193</v>
      </c>
      <c r="L702" s="959">
        <v>95.0</v>
      </c>
      <c r="M702" s="960">
        <v>117.0</v>
      </c>
      <c r="N702" s="960">
        <v>80.0</v>
      </c>
      <c r="O702" s="960">
        <v>65.0</v>
      </c>
      <c r="P702" s="960">
        <v>70.0</v>
      </c>
      <c r="Q702" s="960">
        <v>92.0</v>
      </c>
      <c r="R702" s="960">
        <v>220.0</v>
      </c>
      <c r="S702" s="960">
        <v>283.0</v>
      </c>
      <c r="T702" s="960">
        <v>311.0</v>
      </c>
      <c r="U702" s="960">
        <f t="array" ref="U702">HLOOKUP($J702,'Type Chart'!$C$2:$T$20,2,false)*HLOOKUP($K702,'Type Chart'!$C$2:$U$20,2,false)</f>
        <v>1</v>
      </c>
      <c r="V702" s="960">
        <f t="array" ref="V702">HLOOKUP($J702,'Type Chart'!$C$2:$T$20,3,false)*HLOOKUP($K702,'Type Chart'!$C$2:$U$20,3,false)</f>
        <v>2</v>
      </c>
      <c r="W702" s="960">
        <f t="array" ref="W702">HLOOKUP($J702,'Type Chart'!$C$2:$T$20,4,false)*HLOOKUP($K702,'Type Chart'!$C$2:$U$20,4,false)</f>
        <v>1</v>
      </c>
      <c r="X702" s="960">
        <f t="array" ref="X702">HLOOKUP($J702,'Type Chart'!$C$2:$T$20,5,false)*HLOOKUP($K702,'Type Chart'!$C$2:$U$20,5,false)</f>
        <v>0.5</v>
      </c>
      <c r="Y702" s="960">
        <f t="array" ref="Y702">HLOOKUP($J702,'Type Chart'!$C$2:$T$20,6,false)*HLOOKUP($K702,'Type Chart'!$C$2:$U$20,6,false)</f>
        <v>1</v>
      </c>
      <c r="Z702" s="960">
        <f t="array" ref="Z702">HLOOKUP($J702,'Type Chart'!$C$2:$T$20,7,false)*HLOOKUP($K702,'Type Chart'!$C$2:$U$20,7,false)</f>
        <v>0.5</v>
      </c>
      <c r="AA702" s="960">
        <f t="array" ref="AA702">HLOOKUP($J702,'Type Chart'!$C$2:$T$20,8,false)*HLOOKUP($K702,'Type Chart'!$C$2:$U$20,8,false)</f>
        <v>2</v>
      </c>
      <c r="AB702" s="960">
        <f t="array" ref="AB702">HLOOKUP($J702,'Type Chart'!$C$2:$T$20,9,false)*HLOOKUP($K702,'Type Chart'!$C$2:$U$20,9,false)</f>
        <v>0.5</v>
      </c>
      <c r="AC702" s="960">
        <f t="array" ref="AC702">HLOOKUP($J702,'Type Chart'!$C$2:$T$20,10,false)*HLOOKUP($K702,'Type Chart'!$C$2:$U$20,10,false)</f>
        <v>1</v>
      </c>
      <c r="AD702" s="960">
        <f t="array" ref="AD702">HLOOKUP($J702,'Type Chart'!$C$2:$T$20,11,false)*HLOOKUP($K702,'Type Chart'!$C$2:$U$20,11,false)</f>
        <v>1</v>
      </c>
      <c r="AE702" s="960">
        <f t="array" ref="AE702">HLOOKUP($J702,'Type Chart'!$C$2:$T$20,12,false)*HLOOKUP($K702,'Type Chart'!$C$2:$U$20,12,false)</f>
        <v>2</v>
      </c>
      <c r="AF702" s="960">
        <f t="array" ref="AF702">HLOOKUP($J702,'Type Chart'!$C$2:$T$20,13,false)*HLOOKUP($K702,'Type Chart'!$C$2:$U$20,13,false)</f>
        <v>2</v>
      </c>
      <c r="AG702" s="960">
        <f t="array" ref="AG702">HLOOKUP($J702,'Type Chart'!$C$2:$T$20,14,false)*HLOOKUP($K702,'Type Chart'!$C$2:$U$20,14,false)</f>
        <v>0</v>
      </c>
      <c r="AH702" s="960">
        <f t="array" ref="AH702">HLOOKUP($J702,'Type Chart'!$C$2:$T$20,15,false)*HLOOKUP($K702,'Type Chart'!$C$2:$U$20,15,false)</f>
        <v>0</v>
      </c>
      <c r="AI702" s="960">
        <f t="array" ref="AI702">HLOOKUP($J702,'Type Chart'!$C$2:$T$20,16,false)*HLOOKUP($K702,'Type Chart'!$C$2:$U$20,16,false)</f>
        <v>2</v>
      </c>
      <c r="AJ702" s="960">
        <f t="array" ref="AJ702">HLOOKUP($J702,'Type Chart'!$C$2:$T$20,17,false)*HLOOKUP($K702,'Type Chart'!$C$2:$U$20,17,false)</f>
        <v>1</v>
      </c>
      <c r="AK702" s="960">
        <f t="array" ref="AK702">HLOOKUP($J702,'Type Chart'!$C$2:$T$20,18,false)*HLOOKUP($K702,'Type Chart'!$C$2:$U$20,18,false)</f>
        <v>0.5</v>
      </c>
      <c r="AL702" s="960">
        <f t="array" ref="AL702">HLOOKUP($J702,'Type Chart'!$C$2:$T$20,19,false)*HLOOKUP($K702,'Type Chart'!$C$2:$U$20,19,false)</f>
        <v>2</v>
      </c>
      <c r="AM702" s="1145" t="s">
        <v>1061</v>
      </c>
      <c r="AN702" s="965" t="s">
        <v>1577</v>
      </c>
      <c r="AO702" s="966" t="s">
        <v>1266</v>
      </c>
      <c r="AP702" s="936"/>
      <c r="AQ702" s="967"/>
      <c r="AR702" s="968"/>
      <c r="AS702" s="936"/>
    </row>
    <row r="703" ht="15.75" customHeight="1">
      <c r="A703" s="936"/>
      <c r="B703" s="948" t="s">
        <v>2954</v>
      </c>
      <c r="C703" s="950" t="s">
        <v>2955</v>
      </c>
      <c r="D703" s="950" t="s">
        <v>2955</v>
      </c>
      <c r="E703" s="952" t="s">
        <v>2955</v>
      </c>
      <c r="F703" s="940"/>
      <c r="G703" s="953"/>
      <c r="H703" s="969"/>
      <c r="I703" s="956" t="s">
        <v>2956</v>
      </c>
      <c r="J703" s="982" t="s">
        <v>150</v>
      </c>
      <c r="K703" s="984" t="s">
        <v>216</v>
      </c>
      <c r="L703" s="959">
        <v>70.0</v>
      </c>
      <c r="M703" s="960">
        <v>90.0</v>
      </c>
      <c r="N703" s="960">
        <v>45.0</v>
      </c>
      <c r="O703" s="960">
        <v>15.0</v>
      </c>
      <c r="P703" s="960">
        <v>45.0</v>
      </c>
      <c r="Q703" s="960">
        <v>50.0</v>
      </c>
      <c r="R703" s="960">
        <v>136.0</v>
      </c>
      <c r="S703" s="960">
        <v>199.0</v>
      </c>
      <c r="T703" s="960">
        <v>218.0</v>
      </c>
      <c r="U703" s="960">
        <f t="array" ref="U703">HLOOKUP($J703,'Type Chart'!$C$2:$T$20,2,false)*HLOOKUP($K703,'Type Chart'!$C$2:$U$20,2,false)</f>
        <v>1</v>
      </c>
      <c r="V703" s="960">
        <f t="array" ref="V703">HLOOKUP($J703,'Type Chart'!$C$2:$T$20,3,false)*HLOOKUP($K703,'Type Chart'!$C$2:$U$20,3,false)</f>
        <v>1</v>
      </c>
      <c r="W703" s="960">
        <f t="array" ref="W703">HLOOKUP($J703,'Type Chart'!$C$2:$T$20,4,false)*HLOOKUP($K703,'Type Chart'!$C$2:$U$20,4,false)</f>
        <v>1</v>
      </c>
      <c r="X703" s="960">
        <f t="array" ref="X703">HLOOKUP($J703,'Type Chart'!$C$2:$T$20,5,false)*HLOOKUP($K703,'Type Chart'!$C$2:$U$20,5,false)</f>
        <v>1</v>
      </c>
      <c r="Y703" s="960">
        <f t="array" ref="Y703">HLOOKUP($J703,'Type Chart'!$C$2:$T$20,6,false)*HLOOKUP($K703,'Type Chart'!$C$2:$U$20,6,false)</f>
        <v>2</v>
      </c>
      <c r="Z703" s="960">
        <f t="array" ref="Z703">HLOOKUP($J703,'Type Chart'!$C$2:$T$20,7,false)*HLOOKUP($K703,'Type Chart'!$C$2:$U$20,7,false)</f>
        <v>2</v>
      </c>
      <c r="AA703" s="960">
        <f t="array" ref="AA703">HLOOKUP($J703,'Type Chart'!$C$2:$T$20,8,false)*HLOOKUP($K703,'Type Chart'!$C$2:$U$20,8,false)</f>
        <v>0.5</v>
      </c>
      <c r="AB703" s="960">
        <f t="array" ref="AB703">HLOOKUP($J703,'Type Chart'!$C$2:$T$20,9,false)*HLOOKUP($K703,'Type Chart'!$C$2:$U$20,9,false)</f>
        <v>1</v>
      </c>
      <c r="AC703" s="960">
        <f t="array" ref="AC703">HLOOKUP($J703,'Type Chart'!$C$2:$T$20,10,false)*HLOOKUP($K703,'Type Chart'!$C$2:$U$20,10,false)</f>
        <v>0.5</v>
      </c>
      <c r="AD703" s="960">
        <f t="array" ref="AD703">HLOOKUP($J703,'Type Chart'!$C$2:$T$20,11,false)*HLOOKUP($K703,'Type Chart'!$C$2:$U$20,11,false)</f>
        <v>0.5</v>
      </c>
      <c r="AE703" s="960">
        <f t="array" ref="AE703">HLOOKUP($J703,'Type Chart'!$C$2:$T$20,12,false)*HLOOKUP($K703,'Type Chart'!$C$2:$U$20,12,false)</f>
        <v>2</v>
      </c>
      <c r="AF703" s="960">
        <f t="array" ref="AF703">HLOOKUP($J703,'Type Chart'!$C$2:$T$20,13,false)*HLOOKUP($K703,'Type Chart'!$C$2:$U$20,13,false)</f>
        <v>0.5</v>
      </c>
      <c r="AG703" s="960">
        <f t="array" ref="AG703">HLOOKUP($J703,'Type Chart'!$C$2:$T$20,14,false)*HLOOKUP($K703,'Type Chart'!$C$2:$U$20,14,false)</f>
        <v>1</v>
      </c>
      <c r="AH703" s="960">
        <f t="array" ref="AH703">HLOOKUP($J703,'Type Chart'!$C$2:$T$20,15,false)*HLOOKUP($K703,'Type Chart'!$C$2:$U$20,15,false)</f>
        <v>1</v>
      </c>
      <c r="AI703" s="960">
        <f t="array" ref="AI703">HLOOKUP($J703,'Type Chart'!$C$2:$T$20,16,false)*HLOOKUP($K703,'Type Chart'!$C$2:$U$20,16,false)</f>
        <v>0.5</v>
      </c>
      <c r="AJ703" s="960">
        <f t="array" ref="AJ703">HLOOKUP($J703,'Type Chart'!$C$2:$T$20,17,false)*HLOOKUP($K703,'Type Chart'!$C$2:$U$20,17,false)</f>
        <v>1</v>
      </c>
      <c r="AK703" s="960">
        <f t="array" ref="AK703">HLOOKUP($J703,'Type Chart'!$C$2:$T$20,18,false)*HLOOKUP($K703,'Type Chart'!$C$2:$U$20,18,false)</f>
        <v>1</v>
      </c>
      <c r="AL703" s="960">
        <f t="array" ref="AL703">HLOOKUP($J703,'Type Chart'!$C$2:$T$20,19,false)*HLOOKUP($K703,'Type Chart'!$C$2:$U$20,19,false)</f>
        <v>0.5</v>
      </c>
      <c r="AM703" s="1145" t="s">
        <v>1039</v>
      </c>
      <c r="AN703" s="965"/>
      <c r="AO703" s="966" t="s">
        <v>1192</v>
      </c>
      <c r="AP703" s="936"/>
      <c r="AQ703" s="967"/>
      <c r="AR703" s="968"/>
      <c r="AS703" s="936"/>
    </row>
    <row r="704" ht="15.75" customHeight="1">
      <c r="A704" s="1099"/>
      <c r="B704" s="948" t="s">
        <v>2957</v>
      </c>
      <c r="C704" s="1197" t="s">
        <v>2958</v>
      </c>
      <c r="D704" s="1197" t="s">
        <v>2958</v>
      </c>
      <c r="E704" s="1147" t="s">
        <v>2959</v>
      </c>
      <c r="F704" s="940"/>
      <c r="G704" s="953"/>
      <c r="H704" s="969"/>
      <c r="I704" s="998" t="s">
        <v>2960</v>
      </c>
      <c r="J704" s="1224" t="s">
        <v>345</v>
      </c>
      <c r="K704" s="1199" t="s">
        <v>216</v>
      </c>
      <c r="L704" s="1200">
        <v>70.0</v>
      </c>
      <c r="M704" s="1201">
        <v>90.0</v>
      </c>
      <c r="N704" s="1201">
        <v>45.0</v>
      </c>
      <c r="O704" s="1201">
        <v>15.0</v>
      </c>
      <c r="P704" s="1201">
        <v>45.0</v>
      </c>
      <c r="Q704" s="1201">
        <v>50.0</v>
      </c>
      <c r="R704" s="960">
        <v>136.0</v>
      </c>
      <c r="S704" s="960">
        <v>199.0</v>
      </c>
      <c r="T704" s="960">
        <v>218.0</v>
      </c>
      <c r="U704" s="960">
        <f t="array" ref="U704">HLOOKUP($J704,'Type Chart'!$C$2:$T$20,2,false)*HLOOKUP($K704,'Type Chart'!$C$2:$U$20,2,false)</f>
        <v>1</v>
      </c>
      <c r="V704" s="960">
        <f t="array" ref="V704">HLOOKUP($J704,'Type Chart'!$C$2:$T$20,3,false)*HLOOKUP($K704,'Type Chart'!$C$2:$U$20,3,false)</f>
        <v>2</v>
      </c>
      <c r="W704" s="960">
        <f t="array" ref="W704">HLOOKUP($J704,'Type Chart'!$C$2:$T$20,4,false)*HLOOKUP($K704,'Type Chart'!$C$2:$U$20,4,false)</f>
        <v>1</v>
      </c>
      <c r="X704" s="960">
        <f t="array" ref="X704">HLOOKUP($J704,'Type Chart'!$C$2:$T$20,5,false)*HLOOKUP($K704,'Type Chart'!$C$2:$U$20,5,false)</f>
        <v>1</v>
      </c>
      <c r="Y704" s="960">
        <f t="array" ref="Y704">HLOOKUP($J704,'Type Chart'!$C$2:$T$20,6,false)*HLOOKUP($K704,'Type Chart'!$C$2:$U$20,6,false)</f>
        <v>1</v>
      </c>
      <c r="Z704" s="960">
        <f t="array" ref="Z704">HLOOKUP($J704,'Type Chart'!$C$2:$T$20,7,false)*HLOOKUP($K704,'Type Chart'!$C$2:$U$20,7,false)</f>
        <v>2</v>
      </c>
      <c r="AA704" s="960">
        <f t="array" ref="AA704">HLOOKUP($J704,'Type Chart'!$C$2:$T$20,8,false)*HLOOKUP($K704,'Type Chart'!$C$2:$U$20,8,false)</f>
        <v>1</v>
      </c>
      <c r="AB704" s="960">
        <f t="array" ref="AB704">HLOOKUP($J704,'Type Chart'!$C$2:$T$20,9,false)*HLOOKUP($K704,'Type Chart'!$C$2:$U$20,9,false)</f>
        <v>1</v>
      </c>
      <c r="AC704" s="960">
        <f t="array" ref="AC704">HLOOKUP($J704,'Type Chart'!$C$2:$T$20,10,false)*HLOOKUP($K704,'Type Chart'!$C$2:$U$20,10,false)</f>
        <v>2</v>
      </c>
      <c r="AD704" s="960">
        <f t="array" ref="AD704">HLOOKUP($J704,'Type Chart'!$C$2:$T$20,11,false)*HLOOKUP($K704,'Type Chart'!$C$2:$U$20,11,false)</f>
        <v>2</v>
      </c>
      <c r="AE704" s="960">
        <f t="array" ref="AE704">HLOOKUP($J704,'Type Chart'!$C$2:$T$20,12,false)*HLOOKUP($K704,'Type Chart'!$C$2:$U$20,12,false)</f>
        <v>1</v>
      </c>
      <c r="AF704" s="960">
        <f t="array" ref="AF704">HLOOKUP($J704,'Type Chart'!$C$2:$T$20,13,false)*HLOOKUP($K704,'Type Chart'!$C$2:$U$20,13,false)</f>
        <v>1</v>
      </c>
      <c r="AG704" s="960">
        <f t="array" ref="AG704">HLOOKUP($J704,'Type Chart'!$C$2:$T$20,14,false)*HLOOKUP($K704,'Type Chart'!$C$2:$U$20,14,false)</f>
        <v>1</v>
      </c>
      <c r="AH704" s="960">
        <f t="array" ref="AH704">HLOOKUP($J704,'Type Chart'!$C$2:$T$20,15,false)*HLOOKUP($K704,'Type Chart'!$C$2:$U$20,15,false)</f>
        <v>1</v>
      </c>
      <c r="AI704" s="960">
        <f t="array" ref="AI704">HLOOKUP($J704,'Type Chart'!$C$2:$T$20,16,false)*HLOOKUP($K704,'Type Chart'!$C$2:$U$20,16,false)</f>
        <v>0.5</v>
      </c>
      <c r="AJ704" s="960">
        <f t="array" ref="AJ704">HLOOKUP($J704,'Type Chart'!$C$2:$T$20,17,false)*HLOOKUP($K704,'Type Chart'!$C$2:$U$20,17,false)</f>
        <v>1</v>
      </c>
      <c r="AK704" s="960">
        <f t="array" ref="AK704">HLOOKUP($J704,'Type Chart'!$C$2:$T$20,18,false)*HLOOKUP($K704,'Type Chart'!$C$2:$U$20,18,false)</f>
        <v>1</v>
      </c>
      <c r="AL704" s="960">
        <f t="array" ref="AL704">HLOOKUP($J704,'Type Chart'!$C$2:$T$20,19,false)*HLOOKUP($K704,'Type Chart'!$C$2:$U$20,19,false)</f>
        <v>1</v>
      </c>
      <c r="AM704" s="1145" t="s">
        <v>1039</v>
      </c>
      <c r="AN704" s="965"/>
      <c r="AO704" s="1146" t="s">
        <v>1192</v>
      </c>
      <c r="AP704" s="936"/>
      <c r="AQ704" s="967"/>
      <c r="AR704" s="968"/>
      <c r="AS704" s="936"/>
    </row>
    <row r="705" ht="15.75" customHeight="1">
      <c r="A705" s="936"/>
      <c r="B705" s="948" t="s">
        <v>2961</v>
      </c>
      <c r="C705" s="1197" t="s">
        <v>2962</v>
      </c>
      <c r="D705" s="950" t="s">
        <v>2962</v>
      </c>
      <c r="E705" s="1147" t="s">
        <v>2963</v>
      </c>
      <c r="F705" s="940"/>
      <c r="G705" s="953"/>
      <c r="H705" s="969"/>
      <c r="I705" s="956" t="s">
        <v>2964</v>
      </c>
      <c r="J705" s="982" t="s">
        <v>150</v>
      </c>
      <c r="K705" s="984" t="s">
        <v>216</v>
      </c>
      <c r="L705" s="959">
        <v>105.0</v>
      </c>
      <c r="M705" s="960">
        <v>140.0</v>
      </c>
      <c r="N705" s="960">
        <v>55.0</v>
      </c>
      <c r="O705" s="960">
        <v>30.0</v>
      </c>
      <c r="P705" s="960">
        <v>55.0</v>
      </c>
      <c r="Q705" s="960">
        <v>95.0</v>
      </c>
      <c r="R705" s="960">
        <v>226.0</v>
      </c>
      <c r="S705" s="960">
        <v>289.0</v>
      </c>
      <c r="T705" s="960">
        <v>317.0</v>
      </c>
      <c r="U705" s="960">
        <f t="array" ref="U705">HLOOKUP($J705,'Type Chart'!$C$2:$T$20,2,false)*HLOOKUP($K705,'Type Chart'!$C$2:$U$20,2,false)</f>
        <v>1</v>
      </c>
      <c r="V705" s="960">
        <f t="array" ref="V705">HLOOKUP($J705,'Type Chart'!$C$2:$T$20,3,false)*HLOOKUP($K705,'Type Chart'!$C$2:$U$20,3,false)</f>
        <v>1</v>
      </c>
      <c r="W705" s="960">
        <f t="array" ref="W705">HLOOKUP($J705,'Type Chart'!$C$2:$T$20,4,false)*HLOOKUP($K705,'Type Chart'!$C$2:$U$20,4,false)</f>
        <v>1</v>
      </c>
      <c r="X705" s="960">
        <f t="array" ref="X705">HLOOKUP($J705,'Type Chart'!$C$2:$T$20,5,false)*HLOOKUP($K705,'Type Chart'!$C$2:$U$20,5,false)</f>
        <v>1</v>
      </c>
      <c r="Y705" s="960">
        <f t="array" ref="Y705">HLOOKUP($J705,'Type Chart'!$C$2:$T$20,6,false)*HLOOKUP($K705,'Type Chart'!$C$2:$U$20,6,false)</f>
        <v>2</v>
      </c>
      <c r="Z705" s="960">
        <f t="array" ref="Z705">HLOOKUP($J705,'Type Chart'!$C$2:$T$20,7,false)*HLOOKUP($K705,'Type Chart'!$C$2:$U$20,7,false)</f>
        <v>2</v>
      </c>
      <c r="AA705" s="960">
        <f t="array" ref="AA705">HLOOKUP($J705,'Type Chart'!$C$2:$T$20,8,false)*HLOOKUP($K705,'Type Chart'!$C$2:$U$20,8,false)</f>
        <v>0.5</v>
      </c>
      <c r="AB705" s="960">
        <f t="array" ref="AB705">HLOOKUP($J705,'Type Chart'!$C$2:$T$20,9,false)*HLOOKUP($K705,'Type Chart'!$C$2:$U$20,9,false)</f>
        <v>1</v>
      </c>
      <c r="AC705" s="960">
        <f t="array" ref="AC705">HLOOKUP($J705,'Type Chart'!$C$2:$T$20,10,false)*HLOOKUP($K705,'Type Chart'!$C$2:$U$20,10,false)</f>
        <v>0.5</v>
      </c>
      <c r="AD705" s="960">
        <f t="array" ref="AD705">HLOOKUP($J705,'Type Chart'!$C$2:$T$20,11,false)*HLOOKUP($K705,'Type Chart'!$C$2:$U$20,11,false)</f>
        <v>0.5</v>
      </c>
      <c r="AE705" s="960">
        <f t="array" ref="AE705">HLOOKUP($J705,'Type Chart'!$C$2:$T$20,12,false)*HLOOKUP($K705,'Type Chart'!$C$2:$U$20,12,false)</f>
        <v>2</v>
      </c>
      <c r="AF705" s="960">
        <f t="array" ref="AF705">HLOOKUP($J705,'Type Chart'!$C$2:$T$20,13,false)*HLOOKUP($K705,'Type Chart'!$C$2:$U$20,13,false)</f>
        <v>0.5</v>
      </c>
      <c r="AG705" s="960">
        <f t="array" ref="AG705">HLOOKUP($J705,'Type Chart'!$C$2:$T$20,14,false)*HLOOKUP($K705,'Type Chart'!$C$2:$U$20,14,false)</f>
        <v>1</v>
      </c>
      <c r="AH705" s="960">
        <f t="array" ref="AH705">HLOOKUP($J705,'Type Chart'!$C$2:$T$20,15,false)*HLOOKUP($K705,'Type Chart'!$C$2:$U$20,15,false)</f>
        <v>1</v>
      </c>
      <c r="AI705" s="960">
        <f t="array" ref="AI705">HLOOKUP($J705,'Type Chart'!$C$2:$T$20,16,false)*HLOOKUP($K705,'Type Chart'!$C$2:$U$20,16,false)</f>
        <v>0.5</v>
      </c>
      <c r="AJ705" s="960">
        <f t="array" ref="AJ705">HLOOKUP($J705,'Type Chart'!$C$2:$T$20,17,false)*HLOOKUP($K705,'Type Chart'!$C$2:$U$20,17,false)</f>
        <v>1</v>
      </c>
      <c r="AK705" s="960">
        <f t="array" ref="AK705">HLOOKUP($J705,'Type Chart'!$C$2:$T$20,18,false)*HLOOKUP($K705,'Type Chart'!$C$2:$U$20,18,false)</f>
        <v>1</v>
      </c>
      <c r="AL705" s="960">
        <f t="array" ref="AL705">HLOOKUP($J705,'Type Chart'!$C$2:$T$20,19,false)*HLOOKUP($K705,'Type Chart'!$C$2:$U$20,19,false)</f>
        <v>0.5</v>
      </c>
      <c r="AM705" s="964" t="s">
        <v>1153</v>
      </c>
      <c r="AN705" s="965"/>
      <c r="AO705" s="966" t="s">
        <v>2965</v>
      </c>
      <c r="AP705" s="936"/>
      <c r="AQ705" s="967"/>
      <c r="AR705" s="968"/>
      <c r="AS705" s="936"/>
    </row>
    <row r="706" ht="15.75" customHeight="1">
      <c r="A706" s="936"/>
      <c r="B706" s="948" t="s">
        <v>2966</v>
      </c>
      <c r="C706" s="950" t="s">
        <v>2967</v>
      </c>
      <c r="D706" s="950" t="s">
        <v>2967</v>
      </c>
      <c r="E706" s="1147" t="s">
        <v>2967</v>
      </c>
      <c r="F706" s="940"/>
      <c r="G706" s="953"/>
      <c r="H706" s="969"/>
      <c r="I706" s="956" t="s">
        <v>2968</v>
      </c>
      <c r="J706" s="982" t="s">
        <v>150</v>
      </c>
      <c r="K706" s="1203" t="s">
        <v>344</v>
      </c>
      <c r="L706" s="959">
        <v>105.0</v>
      </c>
      <c r="M706" s="960">
        <v>30.0</v>
      </c>
      <c r="N706" s="960">
        <v>105.0</v>
      </c>
      <c r="O706" s="960">
        <v>140.0</v>
      </c>
      <c r="P706" s="960">
        <v>105.0</v>
      </c>
      <c r="Q706" s="960">
        <v>55.0</v>
      </c>
      <c r="R706" s="960">
        <v>146.0</v>
      </c>
      <c r="S706" s="960">
        <v>209.0</v>
      </c>
      <c r="T706" s="960">
        <v>229.0</v>
      </c>
      <c r="U706" s="960">
        <f t="array" ref="U706">HLOOKUP($J706,'Type Chart'!$C$2:$T$20,2,false)*HLOOKUP($K706,'Type Chart'!$C$2:$U$20,2,false)</f>
        <v>1</v>
      </c>
      <c r="V706" s="960">
        <f t="array" ref="V706">HLOOKUP($J706,'Type Chart'!$C$2:$T$20,3,false)*HLOOKUP($K706,'Type Chart'!$C$2:$U$20,3,false)</f>
        <v>0.5</v>
      </c>
      <c r="W706" s="960">
        <f t="array" ref="W706">HLOOKUP($J706,'Type Chart'!$C$2:$T$20,4,false)*HLOOKUP($K706,'Type Chart'!$C$2:$U$20,4,false)</f>
        <v>1</v>
      </c>
      <c r="X706" s="960">
        <f t="array" ref="X706">HLOOKUP($J706,'Type Chart'!$C$2:$T$20,5,false)*HLOOKUP($K706,'Type Chart'!$C$2:$U$20,5,false)</f>
        <v>1</v>
      </c>
      <c r="Y706" s="960">
        <f t="array" ref="Y706">HLOOKUP($J706,'Type Chart'!$C$2:$T$20,6,false)*HLOOKUP($K706,'Type Chart'!$C$2:$U$20,6,false)</f>
        <v>2</v>
      </c>
      <c r="Z706" s="960">
        <f t="array" ref="Z706">HLOOKUP($J706,'Type Chart'!$C$2:$T$20,7,false)*HLOOKUP($K706,'Type Chart'!$C$2:$U$20,7,false)</f>
        <v>2</v>
      </c>
      <c r="AA706" s="960">
        <f t="array" ref="AA706">HLOOKUP($J706,'Type Chart'!$C$2:$T$20,8,false)*HLOOKUP($K706,'Type Chart'!$C$2:$U$20,8,false)</f>
        <v>1</v>
      </c>
      <c r="AB706" s="960">
        <f t="array" ref="AB706">HLOOKUP($J706,'Type Chart'!$C$2:$T$20,9,false)*HLOOKUP($K706,'Type Chart'!$C$2:$U$20,9,false)</f>
        <v>2</v>
      </c>
      <c r="AC706" s="960">
        <f t="array" ref="AC706">HLOOKUP($J706,'Type Chart'!$C$2:$T$20,10,false)*HLOOKUP($K706,'Type Chart'!$C$2:$U$20,10,false)</f>
        <v>0.5</v>
      </c>
      <c r="AD706" s="960">
        <f t="array" ref="AD706">HLOOKUP($J706,'Type Chart'!$C$2:$T$20,11,false)*HLOOKUP($K706,'Type Chart'!$C$2:$U$20,11,false)</f>
        <v>0.5</v>
      </c>
      <c r="AE706" s="960">
        <f t="array" ref="AE706">HLOOKUP($J706,'Type Chart'!$C$2:$T$20,12,false)*HLOOKUP($K706,'Type Chart'!$C$2:$U$20,12,false)</f>
        <v>2</v>
      </c>
      <c r="AF706" s="960">
        <f t="array" ref="AF706">HLOOKUP($J706,'Type Chart'!$C$2:$T$20,13,false)*HLOOKUP($K706,'Type Chart'!$C$2:$U$20,13,false)</f>
        <v>0.5</v>
      </c>
      <c r="AG706" s="960">
        <f t="array" ref="AG706">HLOOKUP($J706,'Type Chart'!$C$2:$T$20,14,false)*HLOOKUP($K706,'Type Chart'!$C$2:$U$20,14,false)</f>
        <v>1</v>
      </c>
      <c r="AH706" s="960">
        <f t="array" ref="AH706">HLOOKUP($J706,'Type Chart'!$C$2:$T$20,15,false)*HLOOKUP($K706,'Type Chart'!$C$2:$U$20,15,false)</f>
        <v>0.5</v>
      </c>
      <c r="AI706" s="960">
        <f t="array" ref="AI706">HLOOKUP($J706,'Type Chart'!$C$2:$T$20,16,false)*HLOOKUP($K706,'Type Chart'!$C$2:$U$20,16,false)</f>
        <v>0.5</v>
      </c>
      <c r="AJ706" s="960">
        <f t="array" ref="AJ706">HLOOKUP($J706,'Type Chart'!$C$2:$T$20,17,false)*HLOOKUP($K706,'Type Chart'!$C$2:$U$20,17,false)</f>
        <v>1</v>
      </c>
      <c r="AK706" s="960">
        <f t="array" ref="AK706">HLOOKUP($J706,'Type Chart'!$C$2:$T$20,18,false)*HLOOKUP($K706,'Type Chart'!$C$2:$U$20,18,false)</f>
        <v>2</v>
      </c>
      <c r="AL706" s="960">
        <f t="array" ref="AL706">HLOOKUP($J706,'Type Chart'!$C$2:$T$20,19,false)*HLOOKUP($K706,'Type Chart'!$C$2:$U$20,19,false)</f>
        <v>0.5</v>
      </c>
      <c r="AM706" s="964"/>
      <c r="AN706" s="965"/>
      <c r="AO706" s="966" t="s">
        <v>2965</v>
      </c>
      <c r="AP706" s="936"/>
      <c r="AQ706" s="967"/>
      <c r="AR706" s="968"/>
      <c r="AS706" s="936"/>
    </row>
    <row r="707" ht="15.75" customHeight="1">
      <c r="A707" s="936"/>
      <c r="B707" s="948" t="s">
        <v>2969</v>
      </c>
      <c r="C707" s="950" t="s">
        <v>2970</v>
      </c>
      <c r="D707" s="950" t="s">
        <v>2970</v>
      </c>
      <c r="E707" s="952" t="s">
        <v>2971</v>
      </c>
      <c r="F707" s="940"/>
      <c r="G707" s="953"/>
      <c r="H707" s="969"/>
      <c r="I707" s="956" t="s">
        <v>2972</v>
      </c>
      <c r="J707" s="1205" t="s">
        <v>345</v>
      </c>
      <c r="K707" s="984" t="s">
        <v>216</v>
      </c>
      <c r="L707" s="959">
        <v>105.0</v>
      </c>
      <c r="M707" s="960">
        <v>140.0</v>
      </c>
      <c r="N707" s="960">
        <v>55.0</v>
      </c>
      <c r="O707" s="960">
        <v>30.0</v>
      </c>
      <c r="P707" s="960">
        <v>55.0</v>
      </c>
      <c r="Q707" s="960">
        <v>95.0</v>
      </c>
      <c r="R707" s="960">
        <v>226.0</v>
      </c>
      <c r="S707" s="960">
        <v>289.0</v>
      </c>
      <c r="T707" s="960">
        <v>317.0</v>
      </c>
      <c r="U707" s="960">
        <f t="array" ref="U707">HLOOKUP($J707,'Type Chart'!$C$2:$T$20,2,false)*HLOOKUP($K707,'Type Chart'!$C$2:$U$20,2,false)</f>
        <v>1</v>
      </c>
      <c r="V707" s="960">
        <f t="array" ref="V707">HLOOKUP($J707,'Type Chart'!$C$2:$T$20,3,false)*HLOOKUP($K707,'Type Chart'!$C$2:$U$20,3,false)</f>
        <v>2</v>
      </c>
      <c r="W707" s="960">
        <f t="array" ref="W707">HLOOKUP($J707,'Type Chart'!$C$2:$T$20,4,false)*HLOOKUP($K707,'Type Chart'!$C$2:$U$20,4,false)</f>
        <v>1</v>
      </c>
      <c r="X707" s="960">
        <f t="array" ref="X707">HLOOKUP($J707,'Type Chart'!$C$2:$T$20,5,false)*HLOOKUP($K707,'Type Chart'!$C$2:$U$20,5,false)</f>
        <v>1</v>
      </c>
      <c r="Y707" s="960">
        <f t="array" ref="Y707">HLOOKUP($J707,'Type Chart'!$C$2:$T$20,6,false)*HLOOKUP($K707,'Type Chart'!$C$2:$U$20,6,false)</f>
        <v>1</v>
      </c>
      <c r="Z707" s="960">
        <f t="array" ref="Z707">HLOOKUP($J707,'Type Chart'!$C$2:$T$20,7,false)*HLOOKUP($K707,'Type Chart'!$C$2:$U$20,7,false)</f>
        <v>2</v>
      </c>
      <c r="AA707" s="960">
        <f t="array" ref="AA707">HLOOKUP($J707,'Type Chart'!$C$2:$T$20,8,false)*HLOOKUP($K707,'Type Chart'!$C$2:$U$20,8,false)</f>
        <v>1</v>
      </c>
      <c r="AB707" s="960">
        <f t="array" ref="AB707">HLOOKUP($J707,'Type Chart'!$C$2:$T$20,9,false)*HLOOKUP($K707,'Type Chart'!$C$2:$U$20,9,false)</f>
        <v>1</v>
      </c>
      <c r="AC707" s="960">
        <f t="array" ref="AC707">HLOOKUP($J707,'Type Chart'!$C$2:$T$20,10,false)*HLOOKUP($K707,'Type Chart'!$C$2:$U$20,10,false)</f>
        <v>2</v>
      </c>
      <c r="AD707" s="960">
        <f t="array" ref="AD707">HLOOKUP($J707,'Type Chart'!$C$2:$T$20,11,false)*HLOOKUP($K707,'Type Chart'!$C$2:$U$20,11,false)</f>
        <v>2</v>
      </c>
      <c r="AE707" s="960">
        <f t="array" ref="AE707">HLOOKUP($J707,'Type Chart'!$C$2:$T$20,12,false)*HLOOKUP($K707,'Type Chart'!$C$2:$U$20,12,false)</f>
        <v>1</v>
      </c>
      <c r="AF707" s="960">
        <f t="array" ref="AF707">HLOOKUP($J707,'Type Chart'!$C$2:$T$20,13,false)*HLOOKUP($K707,'Type Chart'!$C$2:$U$20,13,false)</f>
        <v>1</v>
      </c>
      <c r="AG707" s="960">
        <f t="array" ref="AG707">HLOOKUP($J707,'Type Chart'!$C$2:$T$20,14,false)*HLOOKUP($K707,'Type Chart'!$C$2:$U$20,14,false)</f>
        <v>1</v>
      </c>
      <c r="AH707" s="960">
        <f t="array" ref="AH707">HLOOKUP($J707,'Type Chart'!$C$2:$T$20,15,false)*HLOOKUP($K707,'Type Chart'!$C$2:$U$20,15,false)</f>
        <v>1</v>
      </c>
      <c r="AI707" s="960">
        <f t="array" ref="AI707">HLOOKUP($J707,'Type Chart'!$C$2:$T$20,16,false)*HLOOKUP($K707,'Type Chart'!$C$2:$U$20,16,false)</f>
        <v>0.5</v>
      </c>
      <c r="AJ707" s="960">
        <f t="array" ref="AJ707">HLOOKUP($J707,'Type Chart'!$C$2:$T$20,17,false)*HLOOKUP($K707,'Type Chart'!$C$2:$U$20,17,false)</f>
        <v>1</v>
      </c>
      <c r="AK707" s="960">
        <f t="array" ref="AK707">HLOOKUP($J707,'Type Chart'!$C$2:$T$20,18,false)*HLOOKUP($K707,'Type Chart'!$C$2:$U$20,18,false)</f>
        <v>1</v>
      </c>
      <c r="AL707" s="960">
        <f t="array" ref="AL707">HLOOKUP($J707,'Type Chart'!$C$2:$T$20,19,false)*HLOOKUP($K707,'Type Chart'!$C$2:$U$20,19,false)</f>
        <v>1</v>
      </c>
      <c r="AM707" s="964" t="s">
        <v>2973</v>
      </c>
      <c r="AN707" s="965"/>
      <c r="AO707" s="966" t="s">
        <v>2965</v>
      </c>
      <c r="AP707" s="936"/>
      <c r="AQ707" s="967"/>
      <c r="AR707" s="968"/>
      <c r="AS707" s="936"/>
    </row>
    <row r="708" ht="15.75" customHeight="1">
      <c r="A708" s="936"/>
      <c r="B708" s="948" t="s">
        <v>2974</v>
      </c>
      <c r="C708" s="950" t="s">
        <v>2975</v>
      </c>
      <c r="D708" s="950" t="s">
        <v>2976</v>
      </c>
      <c r="E708" s="952" t="s">
        <v>2977</v>
      </c>
      <c r="F708" s="940"/>
      <c r="G708" s="953"/>
      <c r="H708" s="969"/>
      <c r="I708" s="956" t="s">
        <v>2978</v>
      </c>
      <c r="J708" s="1205" t="s">
        <v>345</v>
      </c>
      <c r="K708" s="982" t="s">
        <v>150</v>
      </c>
      <c r="L708" s="959">
        <v>105.0</v>
      </c>
      <c r="M708" s="960">
        <v>160.0</v>
      </c>
      <c r="N708" s="960">
        <v>55.0</v>
      </c>
      <c r="O708" s="960">
        <v>30.0</v>
      </c>
      <c r="P708" s="960">
        <v>55.0</v>
      </c>
      <c r="Q708" s="960">
        <v>135.0</v>
      </c>
      <c r="R708" s="960">
        <v>306.0</v>
      </c>
      <c r="S708" s="960">
        <v>369.0</v>
      </c>
      <c r="T708" s="960">
        <v>405.0</v>
      </c>
      <c r="U708" s="960">
        <f t="array" ref="U708">HLOOKUP($J708,'Type Chart'!$C$2:$T$20,2,false)*HLOOKUP($K708,'Type Chart'!$C$2:$U$20,2,false)</f>
        <v>1</v>
      </c>
      <c r="V708" s="960">
        <f t="array" ref="V708">HLOOKUP($J708,'Type Chart'!$C$2:$T$20,3,false)*HLOOKUP($K708,'Type Chart'!$C$2:$U$20,3,false)</f>
        <v>2</v>
      </c>
      <c r="W708" s="960">
        <f t="array" ref="W708">HLOOKUP($J708,'Type Chart'!$C$2:$T$20,4,false)*HLOOKUP($K708,'Type Chart'!$C$2:$U$20,4,false)</f>
        <v>1</v>
      </c>
      <c r="X708" s="960">
        <f t="array" ref="X708">HLOOKUP($J708,'Type Chart'!$C$2:$T$20,5,false)*HLOOKUP($K708,'Type Chart'!$C$2:$U$20,5,false)</f>
        <v>1</v>
      </c>
      <c r="Y708" s="960">
        <f t="array" ref="Y708">HLOOKUP($J708,'Type Chart'!$C$2:$T$20,6,false)*HLOOKUP($K708,'Type Chart'!$C$2:$U$20,6,false)</f>
        <v>2</v>
      </c>
      <c r="Z708" s="960">
        <f t="array" ref="Z708">HLOOKUP($J708,'Type Chart'!$C$2:$T$20,7,false)*HLOOKUP($K708,'Type Chart'!$C$2:$U$20,7,false)</f>
        <v>4</v>
      </c>
      <c r="AA708" s="960">
        <f t="array" ref="AA708">HLOOKUP($J708,'Type Chart'!$C$2:$T$20,8,false)*HLOOKUP($K708,'Type Chart'!$C$2:$U$20,8,false)</f>
        <v>0.5</v>
      </c>
      <c r="AB708" s="960">
        <f t="array" ref="AB708">HLOOKUP($J708,'Type Chart'!$C$2:$T$20,9,false)*HLOOKUP($K708,'Type Chart'!$C$2:$U$20,9,false)</f>
        <v>1</v>
      </c>
      <c r="AC708" s="960">
        <f t="array" ref="AC708">HLOOKUP($J708,'Type Chart'!$C$2:$T$20,10,false)*HLOOKUP($K708,'Type Chart'!$C$2:$U$20,10,false)</f>
        <v>1</v>
      </c>
      <c r="AD708" s="960">
        <f t="array" ref="AD708">HLOOKUP($J708,'Type Chart'!$C$2:$T$20,11,false)*HLOOKUP($K708,'Type Chart'!$C$2:$U$20,11,false)</f>
        <v>1</v>
      </c>
      <c r="AE708" s="960">
        <f t="array" ref="AE708">HLOOKUP($J708,'Type Chart'!$C$2:$T$20,12,false)*HLOOKUP($K708,'Type Chart'!$C$2:$U$20,12,false)</f>
        <v>2</v>
      </c>
      <c r="AF708" s="960">
        <f t="array" ref="AF708">HLOOKUP($J708,'Type Chart'!$C$2:$T$20,13,false)*HLOOKUP($K708,'Type Chart'!$C$2:$U$20,13,false)</f>
        <v>0.5</v>
      </c>
      <c r="AG708" s="960">
        <f t="array" ref="AG708">HLOOKUP($J708,'Type Chart'!$C$2:$T$20,14,false)*HLOOKUP($K708,'Type Chart'!$C$2:$U$20,14,false)</f>
        <v>1</v>
      </c>
      <c r="AH708" s="960">
        <f t="array" ref="AH708">HLOOKUP($J708,'Type Chart'!$C$2:$T$20,15,false)*HLOOKUP($K708,'Type Chart'!$C$2:$U$20,15,false)</f>
        <v>1</v>
      </c>
      <c r="AI708" s="960">
        <f t="array" ref="AI708">HLOOKUP($J708,'Type Chart'!$C$2:$T$20,16,false)*HLOOKUP($K708,'Type Chart'!$C$2:$U$20,16,false)</f>
        <v>0.25</v>
      </c>
      <c r="AJ708" s="960">
        <f t="array" ref="AJ708">HLOOKUP($J708,'Type Chart'!$C$2:$T$20,17,false)*HLOOKUP($K708,'Type Chart'!$C$2:$U$20,17,false)</f>
        <v>1</v>
      </c>
      <c r="AK708" s="960">
        <f t="array" ref="AK708">HLOOKUP($J708,'Type Chart'!$C$2:$T$20,18,false)*HLOOKUP($K708,'Type Chart'!$C$2:$U$20,18,false)</f>
        <v>1</v>
      </c>
      <c r="AL708" s="960">
        <f t="array" ref="AL708">HLOOKUP($J708,'Type Chart'!$C$2:$T$20,19,false)*HLOOKUP($K708,'Type Chart'!$C$2:$U$20,19,false)</f>
        <v>0.5</v>
      </c>
      <c r="AM708" s="964"/>
      <c r="AN708" s="965"/>
      <c r="AO708" s="966" t="s">
        <v>2965</v>
      </c>
      <c r="AP708" s="936"/>
      <c r="AQ708" s="967"/>
      <c r="AR708" s="968"/>
      <c r="AS708" s="936"/>
    </row>
    <row r="709" ht="15.75" customHeight="1">
      <c r="A709" s="936"/>
      <c r="B709" s="948" t="s">
        <v>2979</v>
      </c>
      <c r="C709" s="950" t="s">
        <v>2980</v>
      </c>
      <c r="D709" s="950" t="s">
        <v>2980</v>
      </c>
      <c r="E709" s="952" t="s">
        <v>2980</v>
      </c>
      <c r="F709" s="940"/>
      <c r="G709" s="953"/>
      <c r="H709" s="969"/>
      <c r="I709" s="956" t="s">
        <v>2981</v>
      </c>
      <c r="J709" s="957" t="s">
        <v>209</v>
      </c>
      <c r="K709" s="984" t="s">
        <v>216</v>
      </c>
      <c r="L709" s="959">
        <v>75.0</v>
      </c>
      <c r="M709" s="960">
        <v>86.0</v>
      </c>
      <c r="N709" s="960">
        <v>67.0</v>
      </c>
      <c r="O709" s="960">
        <v>106.0</v>
      </c>
      <c r="P709" s="960">
        <v>67.0</v>
      </c>
      <c r="Q709" s="960">
        <v>60.0</v>
      </c>
      <c r="R709" s="960">
        <v>156.0</v>
      </c>
      <c r="S709" s="960">
        <v>219.0</v>
      </c>
      <c r="T709" s="960">
        <v>240.0</v>
      </c>
      <c r="U709" s="960">
        <f t="array" ref="U709">HLOOKUP($J709,'Type Chart'!$C$2:$T$20,2,false)*HLOOKUP($K709,'Type Chart'!$C$2:$U$20,2,false)</f>
        <v>1</v>
      </c>
      <c r="V709" s="960">
        <f t="array" ref="V709">HLOOKUP($J709,'Type Chart'!$C$2:$T$20,3,false)*HLOOKUP($K709,'Type Chart'!$C$2:$U$20,3,false)</f>
        <v>1</v>
      </c>
      <c r="W709" s="960">
        <f t="array" ref="W709">HLOOKUP($J709,'Type Chart'!$C$2:$T$20,4,false)*HLOOKUP($K709,'Type Chart'!$C$2:$U$20,4,false)</f>
        <v>2</v>
      </c>
      <c r="X709" s="960">
        <f t="array" ref="X709">HLOOKUP($J709,'Type Chart'!$C$2:$T$20,5,false)*HLOOKUP($K709,'Type Chart'!$C$2:$U$20,5,false)</f>
        <v>2</v>
      </c>
      <c r="Y709" s="960">
        <f t="array" ref="Y709">HLOOKUP($J709,'Type Chart'!$C$2:$T$20,6,false)*HLOOKUP($K709,'Type Chart'!$C$2:$U$20,6,false)</f>
        <v>0.5</v>
      </c>
      <c r="Z709" s="960">
        <f t="array" ref="Z709">HLOOKUP($J709,'Type Chart'!$C$2:$T$20,7,false)*HLOOKUP($K709,'Type Chart'!$C$2:$U$20,7,false)</f>
        <v>1</v>
      </c>
      <c r="AA709" s="960">
        <f t="array" ref="AA709">HLOOKUP($J709,'Type Chart'!$C$2:$T$20,8,false)*HLOOKUP($K709,'Type Chart'!$C$2:$U$20,8,false)</f>
        <v>2</v>
      </c>
      <c r="AB709" s="960">
        <f t="array" ref="AB709">HLOOKUP($J709,'Type Chart'!$C$2:$T$20,9,false)*HLOOKUP($K709,'Type Chart'!$C$2:$U$20,9,false)</f>
        <v>1</v>
      </c>
      <c r="AC709" s="960">
        <f t="array" ref="AC709">HLOOKUP($J709,'Type Chart'!$C$2:$T$20,10,false)*HLOOKUP($K709,'Type Chart'!$C$2:$U$20,10,false)</f>
        <v>1</v>
      </c>
      <c r="AD709" s="960">
        <f t="array" ref="AD709">HLOOKUP($J709,'Type Chart'!$C$2:$T$20,11,false)*HLOOKUP($K709,'Type Chart'!$C$2:$U$20,11,false)</f>
        <v>2</v>
      </c>
      <c r="AE709" s="960">
        <f t="array" ref="AE709">HLOOKUP($J709,'Type Chart'!$C$2:$T$20,12,false)*HLOOKUP($K709,'Type Chart'!$C$2:$U$20,12,false)</f>
        <v>0.5</v>
      </c>
      <c r="AF709" s="960">
        <f t="array" ref="AF709">HLOOKUP($J709,'Type Chart'!$C$2:$T$20,13,false)*HLOOKUP($K709,'Type Chart'!$C$2:$U$20,13,false)</f>
        <v>0.5</v>
      </c>
      <c r="AG709" s="960">
        <f t="array" ref="AG709">HLOOKUP($J709,'Type Chart'!$C$2:$T$20,14,false)*HLOOKUP($K709,'Type Chart'!$C$2:$U$20,14,false)</f>
        <v>0.5</v>
      </c>
      <c r="AH709" s="960">
        <f t="array" ref="AH709">HLOOKUP($J709,'Type Chart'!$C$2:$T$20,15,false)*HLOOKUP($K709,'Type Chart'!$C$2:$U$20,15,false)</f>
        <v>1</v>
      </c>
      <c r="AI709" s="960">
        <f t="array" ref="AI709">HLOOKUP($J709,'Type Chart'!$C$2:$T$20,16,false)*HLOOKUP($K709,'Type Chart'!$C$2:$U$20,16,false)</f>
        <v>2</v>
      </c>
      <c r="AJ709" s="960">
        <f t="array" ref="AJ709">HLOOKUP($J709,'Type Chart'!$C$2:$T$20,17,false)*HLOOKUP($K709,'Type Chart'!$C$2:$U$20,17,false)</f>
        <v>1</v>
      </c>
      <c r="AK709" s="960">
        <f t="array" ref="AK709">HLOOKUP($J709,'Type Chart'!$C$2:$T$20,18,false)*HLOOKUP($K709,'Type Chart'!$C$2:$U$20,18,false)</f>
        <v>1</v>
      </c>
      <c r="AL709" s="960">
        <f t="array" ref="AL709">HLOOKUP($J709,'Type Chart'!$C$2:$T$20,19,false)*HLOOKUP($K709,'Type Chart'!$C$2:$U$20,19,false)</f>
        <v>1</v>
      </c>
      <c r="AM709" s="964" t="s">
        <v>1283</v>
      </c>
      <c r="AN709" s="965" t="s">
        <v>524</v>
      </c>
      <c r="AO709" s="966" t="s">
        <v>2282</v>
      </c>
      <c r="AP709" s="936"/>
      <c r="AQ709" s="967"/>
      <c r="AR709" s="968"/>
      <c r="AS709" s="936"/>
    </row>
    <row r="710" ht="15.75" customHeight="1">
      <c r="A710" s="936"/>
      <c r="B710" s="948" t="s">
        <v>2982</v>
      </c>
      <c r="C710" s="950" t="s">
        <v>2983</v>
      </c>
      <c r="D710" s="950" t="s">
        <v>2983</v>
      </c>
      <c r="E710" s="952" t="s">
        <v>2983</v>
      </c>
      <c r="F710" s="940"/>
      <c r="G710" s="953"/>
      <c r="H710" s="969"/>
      <c r="I710" s="956" t="s">
        <v>994</v>
      </c>
      <c r="J710" s="1180" t="s">
        <v>343</v>
      </c>
      <c r="K710" s="1214" t="s">
        <v>342</v>
      </c>
      <c r="L710" s="959">
        <v>50.0</v>
      </c>
      <c r="M710" s="960">
        <v>65.0</v>
      </c>
      <c r="N710" s="960">
        <v>85.0</v>
      </c>
      <c r="O710" s="960">
        <v>35.0</v>
      </c>
      <c r="P710" s="960">
        <v>35.0</v>
      </c>
      <c r="Q710" s="960">
        <v>55.0</v>
      </c>
      <c r="R710" s="960">
        <v>146.0</v>
      </c>
      <c r="S710" s="960">
        <v>209.0</v>
      </c>
      <c r="T710" s="960">
        <v>229.0</v>
      </c>
      <c r="U710" s="960">
        <f t="array" ref="U710">HLOOKUP($J710,'Type Chart'!$C$2:$T$20,2,false)*HLOOKUP($K710,'Type Chart'!$C$2:$U$20,2,false)</f>
        <v>0.5</v>
      </c>
      <c r="V710" s="960">
        <f t="array" ref="V710">HLOOKUP($J710,'Type Chart'!$C$2:$T$20,3,false)*HLOOKUP($K710,'Type Chart'!$C$2:$U$20,3,false)</f>
        <v>1</v>
      </c>
      <c r="W710" s="960">
        <f t="array" ref="W710">HLOOKUP($J710,'Type Chart'!$C$2:$T$20,4,false)*HLOOKUP($K710,'Type Chart'!$C$2:$U$20,4,false)</f>
        <v>1</v>
      </c>
      <c r="X710" s="960">
        <f t="array" ref="X710">HLOOKUP($J710,'Type Chart'!$C$2:$T$20,5,false)*HLOOKUP($K710,'Type Chart'!$C$2:$U$20,5,false)</f>
        <v>0.5</v>
      </c>
      <c r="Y710" s="960">
        <f t="array" ref="Y710">HLOOKUP($J710,'Type Chart'!$C$2:$T$20,6,false)*HLOOKUP($K710,'Type Chart'!$C$2:$U$20,6,false)</f>
        <v>1</v>
      </c>
      <c r="Z710" s="960">
        <f t="array" ref="Z710">HLOOKUP($J710,'Type Chart'!$C$2:$T$20,7,false)*HLOOKUP($K710,'Type Chart'!$C$2:$U$20,7,false)</f>
        <v>2</v>
      </c>
      <c r="AA710" s="960">
        <f t="array" ref="AA710">HLOOKUP($J710,'Type Chart'!$C$2:$T$20,8,false)*HLOOKUP($K710,'Type Chart'!$C$2:$U$20,8,false)</f>
        <v>1</v>
      </c>
      <c r="AB710" s="960">
        <f t="array" ref="AB710">HLOOKUP($J710,'Type Chart'!$C$2:$T$20,9,false)*HLOOKUP($K710,'Type Chart'!$C$2:$U$20,9,false)</f>
        <v>1</v>
      </c>
      <c r="AC710" s="960">
        <f t="array" ref="AC710">HLOOKUP($J710,'Type Chart'!$C$2:$T$20,10,false)*HLOOKUP($K710,'Type Chart'!$C$2:$U$20,10,false)</f>
        <v>2</v>
      </c>
      <c r="AD710" s="960">
        <f t="array" ref="AD710">HLOOKUP($J710,'Type Chart'!$C$2:$T$20,11,false)*HLOOKUP($K710,'Type Chart'!$C$2:$U$20,11,false)</f>
        <v>1</v>
      </c>
      <c r="AE710" s="960">
        <f t="array" ref="AE710">HLOOKUP($J710,'Type Chart'!$C$2:$T$20,12,false)*HLOOKUP($K710,'Type Chart'!$C$2:$U$20,12,false)</f>
        <v>2</v>
      </c>
      <c r="AF710" s="960">
        <f t="array" ref="AF710">HLOOKUP($J710,'Type Chart'!$C$2:$T$20,13,false)*HLOOKUP($K710,'Type Chart'!$C$2:$U$20,13,false)</f>
        <v>1</v>
      </c>
      <c r="AG710" s="960">
        <f t="array" ref="AG710">HLOOKUP($J710,'Type Chart'!$C$2:$T$20,14,false)*HLOOKUP($K710,'Type Chart'!$C$2:$U$20,14,false)</f>
        <v>1</v>
      </c>
      <c r="AH710" s="960">
        <f t="array" ref="AH710">HLOOKUP($J710,'Type Chart'!$C$2:$T$20,15,false)*HLOOKUP($K710,'Type Chart'!$C$2:$U$20,15,false)</f>
        <v>1</v>
      </c>
      <c r="AI710" s="960">
        <f t="array" ref="AI710">HLOOKUP($J710,'Type Chart'!$C$2:$T$20,16,false)*HLOOKUP($K710,'Type Chart'!$C$2:$U$20,16,false)</f>
        <v>1</v>
      </c>
      <c r="AJ710" s="960">
        <f t="array" ref="AJ710">HLOOKUP($J710,'Type Chart'!$C$2:$T$20,17,false)*HLOOKUP($K710,'Type Chart'!$C$2:$U$20,17,false)</f>
        <v>1</v>
      </c>
      <c r="AK710" s="960">
        <f t="array" ref="AK710">HLOOKUP($J710,'Type Chart'!$C$2:$T$20,18,false)*HLOOKUP($K710,'Type Chart'!$C$2:$U$20,18,false)</f>
        <v>1</v>
      </c>
      <c r="AL710" s="960">
        <f t="array" ref="AL710">HLOOKUP($J710,'Type Chart'!$C$2:$T$20,19,false)*HLOOKUP($K710,'Type Chart'!$C$2:$U$20,19,false)</f>
        <v>1</v>
      </c>
      <c r="AM710" s="964" t="s">
        <v>1331</v>
      </c>
      <c r="AN710" s="965" t="s">
        <v>1385</v>
      </c>
      <c r="AO710" s="966" t="s">
        <v>1450</v>
      </c>
      <c r="AP710" s="936"/>
      <c r="AQ710" s="967"/>
      <c r="AR710" s="968"/>
      <c r="AS710" s="936"/>
    </row>
    <row r="711" ht="15.75" customHeight="1">
      <c r="A711" s="936"/>
      <c r="B711" s="948" t="s">
        <v>2984</v>
      </c>
      <c r="C711" s="950" t="s">
        <v>2985</v>
      </c>
      <c r="D711" s="950" t="s">
        <v>2985</v>
      </c>
      <c r="E711" s="952" t="s">
        <v>2985</v>
      </c>
      <c r="F711" s="940"/>
      <c r="G711" s="953"/>
      <c r="H711" s="969"/>
      <c r="I711" s="956" t="s">
        <v>995</v>
      </c>
      <c r="J711" s="1180" t="s">
        <v>343</v>
      </c>
      <c r="K711" s="1214" t="s">
        <v>342</v>
      </c>
      <c r="L711" s="959">
        <v>70.0</v>
      </c>
      <c r="M711" s="960">
        <v>105.0</v>
      </c>
      <c r="N711" s="960">
        <v>125.0</v>
      </c>
      <c r="O711" s="960">
        <v>65.0</v>
      </c>
      <c r="P711" s="960">
        <v>75.0</v>
      </c>
      <c r="Q711" s="960">
        <v>45.0</v>
      </c>
      <c r="R711" s="960">
        <v>126.0</v>
      </c>
      <c r="S711" s="960">
        <v>189.0</v>
      </c>
      <c r="T711" s="960">
        <v>207.0</v>
      </c>
      <c r="U711" s="960">
        <f t="array" ref="U711">HLOOKUP($J711,'Type Chart'!$C$2:$T$20,2,false)*HLOOKUP($K711,'Type Chart'!$C$2:$U$20,2,false)</f>
        <v>0.5</v>
      </c>
      <c r="V711" s="960">
        <f t="array" ref="V711">HLOOKUP($J711,'Type Chart'!$C$2:$T$20,3,false)*HLOOKUP($K711,'Type Chart'!$C$2:$U$20,3,false)</f>
        <v>1</v>
      </c>
      <c r="W711" s="960">
        <f t="array" ref="W711">HLOOKUP($J711,'Type Chart'!$C$2:$T$20,4,false)*HLOOKUP($K711,'Type Chart'!$C$2:$U$20,4,false)</f>
        <v>1</v>
      </c>
      <c r="X711" s="960">
        <f t="array" ref="X711">HLOOKUP($J711,'Type Chart'!$C$2:$T$20,5,false)*HLOOKUP($K711,'Type Chart'!$C$2:$U$20,5,false)</f>
        <v>0.5</v>
      </c>
      <c r="Y711" s="960">
        <f t="array" ref="Y711">HLOOKUP($J711,'Type Chart'!$C$2:$T$20,6,false)*HLOOKUP($K711,'Type Chart'!$C$2:$U$20,6,false)</f>
        <v>1</v>
      </c>
      <c r="Z711" s="960">
        <f t="array" ref="Z711">HLOOKUP($J711,'Type Chart'!$C$2:$T$20,7,false)*HLOOKUP($K711,'Type Chart'!$C$2:$U$20,7,false)</f>
        <v>2</v>
      </c>
      <c r="AA711" s="960">
        <f t="array" ref="AA711">HLOOKUP($J711,'Type Chart'!$C$2:$T$20,8,false)*HLOOKUP($K711,'Type Chart'!$C$2:$U$20,8,false)</f>
        <v>1</v>
      </c>
      <c r="AB711" s="960">
        <f t="array" ref="AB711">HLOOKUP($J711,'Type Chart'!$C$2:$T$20,9,false)*HLOOKUP($K711,'Type Chart'!$C$2:$U$20,9,false)</f>
        <v>1</v>
      </c>
      <c r="AC711" s="960">
        <f t="array" ref="AC711">HLOOKUP($J711,'Type Chart'!$C$2:$T$20,10,false)*HLOOKUP($K711,'Type Chart'!$C$2:$U$20,10,false)</f>
        <v>2</v>
      </c>
      <c r="AD711" s="960">
        <f t="array" ref="AD711">HLOOKUP($J711,'Type Chart'!$C$2:$T$20,11,false)*HLOOKUP($K711,'Type Chart'!$C$2:$U$20,11,false)</f>
        <v>1</v>
      </c>
      <c r="AE711" s="960">
        <f t="array" ref="AE711">HLOOKUP($J711,'Type Chart'!$C$2:$T$20,12,false)*HLOOKUP($K711,'Type Chart'!$C$2:$U$20,12,false)</f>
        <v>2</v>
      </c>
      <c r="AF711" s="960">
        <f t="array" ref="AF711">HLOOKUP($J711,'Type Chart'!$C$2:$T$20,13,false)*HLOOKUP($K711,'Type Chart'!$C$2:$U$20,13,false)</f>
        <v>1</v>
      </c>
      <c r="AG711" s="960">
        <f t="array" ref="AG711">HLOOKUP($J711,'Type Chart'!$C$2:$T$20,14,false)*HLOOKUP($K711,'Type Chart'!$C$2:$U$20,14,false)</f>
        <v>1</v>
      </c>
      <c r="AH711" s="960">
        <f t="array" ref="AH711">HLOOKUP($J711,'Type Chart'!$C$2:$T$20,15,false)*HLOOKUP($K711,'Type Chart'!$C$2:$U$20,15,false)</f>
        <v>1</v>
      </c>
      <c r="AI711" s="960">
        <f t="array" ref="AI711">HLOOKUP($J711,'Type Chart'!$C$2:$T$20,16,false)*HLOOKUP($K711,'Type Chart'!$C$2:$U$20,16,false)</f>
        <v>1</v>
      </c>
      <c r="AJ711" s="960">
        <f t="array" ref="AJ711">HLOOKUP($J711,'Type Chart'!$C$2:$T$20,17,false)*HLOOKUP($K711,'Type Chart'!$C$2:$U$20,17,false)</f>
        <v>1</v>
      </c>
      <c r="AK711" s="960">
        <f t="array" ref="AK711">HLOOKUP($J711,'Type Chart'!$C$2:$T$20,18,false)*HLOOKUP($K711,'Type Chart'!$C$2:$U$20,18,false)</f>
        <v>1</v>
      </c>
      <c r="AL711" s="960">
        <f t="array" ref="AL711">HLOOKUP($J711,'Type Chart'!$C$2:$T$20,19,false)*HLOOKUP($K711,'Type Chart'!$C$2:$U$20,19,false)</f>
        <v>1</v>
      </c>
      <c r="AM711" s="964" t="s">
        <v>1331</v>
      </c>
      <c r="AN711" s="965" t="s">
        <v>1385</v>
      </c>
      <c r="AO711" s="966" t="s">
        <v>1450</v>
      </c>
      <c r="AP711" s="936"/>
      <c r="AQ711" s="967"/>
      <c r="AR711" s="968"/>
      <c r="AS711" s="936"/>
    </row>
    <row r="712" ht="15.75" customHeight="1">
      <c r="A712" s="936"/>
      <c r="B712" s="948" t="s">
        <v>2986</v>
      </c>
      <c r="C712" s="950" t="s">
        <v>2987</v>
      </c>
      <c r="D712" s="950" t="s">
        <v>2987</v>
      </c>
      <c r="E712" s="952" t="s">
        <v>2987</v>
      </c>
      <c r="F712" s="940"/>
      <c r="G712" s="953"/>
      <c r="H712" s="969"/>
      <c r="I712" s="956" t="s">
        <v>2988</v>
      </c>
      <c r="J712" s="1195" t="s">
        <v>193</v>
      </c>
      <c r="K712" s="1213" t="s">
        <v>341</v>
      </c>
      <c r="L712" s="959">
        <v>50.0</v>
      </c>
      <c r="M712" s="960">
        <v>75.0</v>
      </c>
      <c r="N712" s="960">
        <v>70.0</v>
      </c>
      <c r="O712" s="960">
        <v>35.0</v>
      </c>
      <c r="P712" s="960">
        <v>70.0</v>
      </c>
      <c r="Q712" s="960">
        <v>48.0</v>
      </c>
      <c r="R712" s="960">
        <v>132.0</v>
      </c>
      <c r="S712" s="960">
        <v>195.0</v>
      </c>
      <c r="T712" s="960">
        <v>214.0</v>
      </c>
      <c r="U712" s="960">
        <f t="array" ref="U712">HLOOKUP($J712,'Type Chart'!$C$2:$T$20,2,false)*HLOOKUP($K712,'Type Chart'!$C$2:$U$20,2,false)</f>
        <v>1</v>
      </c>
      <c r="V712" s="960">
        <f t="array" ref="V712">HLOOKUP($J712,'Type Chart'!$C$2:$T$20,3,false)*HLOOKUP($K712,'Type Chart'!$C$2:$U$20,3,false)</f>
        <v>2</v>
      </c>
      <c r="W712" s="960">
        <f t="array" ref="W712">HLOOKUP($J712,'Type Chart'!$C$2:$T$20,4,false)*HLOOKUP($K712,'Type Chart'!$C$2:$U$20,4,false)</f>
        <v>2</v>
      </c>
      <c r="X712" s="960">
        <f t="array" ref="X712">HLOOKUP($J712,'Type Chart'!$C$2:$T$20,5,false)*HLOOKUP($K712,'Type Chart'!$C$2:$U$20,5,false)</f>
        <v>1</v>
      </c>
      <c r="Y712" s="960">
        <f t="array" ref="Y712">HLOOKUP($J712,'Type Chart'!$C$2:$T$20,6,false)*HLOOKUP($K712,'Type Chart'!$C$2:$U$20,6,false)</f>
        <v>1</v>
      </c>
      <c r="Z712" s="960">
        <f t="array" ref="Z712">HLOOKUP($J712,'Type Chart'!$C$2:$T$20,7,false)*HLOOKUP($K712,'Type Chart'!$C$2:$U$20,7,false)</f>
        <v>0.5</v>
      </c>
      <c r="AA712" s="960">
        <f t="array" ref="AA712">HLOOKUP($J712,'Type Chart'!$C$2:$T$20,8,false)*HLOOKUP($K712,'Type Chart'!$C$2:$U$20,8,false)</f>
        <v>1</v>
      </c>
      <c r="AB712" s="960">
        <f t="array" ref="AB712">HLOOKUP($J712,'Type Chart'!$C$2:$T$20,9,false)*HLOOKUP($K712,'Type Chart'!$C$2:$U$20,9,false)</f>
        <v>0.5</v>
      </c>
      <c r="AC712" s="960">
        <f t="array" ref="AC712">HLOOKUP($J712,'Type Chart'!$C$2:$T$20,10,false)*HLOOKUP($K712,'Type Chart'!$C$2:$U$20,10,false)</f>
        <v>1</v>
      </c>
      <c r="AD712" s="960">
        <f t="array" ref="AD712">HLOOKUP($J712,'Type Chart'!$C$2:$T$20,11,false)*HLOOKUP($K712,'Type Chart'!$C$2:$U$20,11,false)</f>
        <v>1</v>
      </c>
      <c r="AE712" s="960">
        <f t="array" ref="AE712">HLOOKUP($J712,'Type Chart'!$C$2:$T$20,12,false)*HLOOKUP($K712,'Type Chart'!$C$2:$U$20,12,false)</f>
        <v>1</v>
      </c>
      <c r="AF712" s="960">
        <f t="array" ref="AF712">HLOOKUP($J712,'Type Chart'!$C$2:$T$20,13,false)*HLOOKUP($K712,'Type Chart'!$C$2:$U$20,13,false)</f>
        <v>1</v>
      </c>
      <c r="AG712" s="960">
        <f t="array" ref="AG712">HLOOKUP($J712,'Type Chart'!$C$2:$T$20,14,false)*HLOOKUP($K712,'Type Chart'!$C$2:$U$20,14,false)</f>
        <v>1</v>
      </c>
      <c r="AH712" s="960">
        <f t="array" ref="AH712">HLOOKUP($J712,'Type Chart'!$C$2:$T$20,15,false)*HLOOKUP($K712,'Type Chart'!$C$2:$U$20,15,false)</f>
        <v>0</v>
      </c>
      <c r="AI712" s="960">
        <f t="array" ref="AI712">HLOOKUP($J712,'Type Chart'!$C$2:$T$20,16,false)*HLOOKUP($K712,'Type Chart'!$C$2:$U$20,16,false)</f>
        <v>1</v>
      </c>
      <c r="AJ712" s="960">
        <f t="array" ref="AJ712">HLOOKUP($J712,'Type Chart'!$C$2:$T$20,17,false)*HLOOKUP($K712,'Type Chart'!$C$2:$U$20,17,false)</f>
        <v>1</v>
      </c>
      <c r="AK712" s="960">
        <f t="array" ref="AK712">HLOOKUP($J712,'Type Chart'!$C$2:$T$20,18,false)*HLOOKUP($K712,'Type Chart'!$C$2:$U$20,18,false)</f>
        <v>0.25</v>
      </c>
      <c r="AL712" s="960">
        <f t="array" ref="AL712">HLOOKUP($J712,'Type Chart'!$C$2:$T$20,19,false)*HLOOKUP($K712,'Type Chart'!$C$2:$U$20,19,false)</f>
        <v>4</v>
      </c>
      <c r="AM712" s="964" t="s">
        <v>998</v>
      </c>
      <c r="AN712" s="965" t="s">
        <v>1577</v>
      </c>
      <c r="AO712" s="966" t="s">
        <v>1061</v>
      </c>
      <c r="AP712" s="936"/>
      <c r="AQ712" s="967"/>
      <c r="AR712" s="968"/>
      <c r="AS712" s="936"/>
    </row>
    <row r="713" ht="15.75" customHeight="1">
      <c r="A713" s="936"/>
      <c r="B713" s="948" t="s">
        <v>2989</v>
      </c>
      <c r="C713" s="950" t="s">
        <v>2990</v>
      </c>
      <c r="D713" s="950" t="s">
        <v>2990</v>
      </c>
      <c r="E713" s="952" t="s">
        <v>2990</v>
      </c>
      <c r="F713" s="940"/>
      <c r="G713" s="953"/>
      <c r="H713" s="969"/>
      <c r="I713" s="956" t="s">
        <v>612</v>
      </c>
      <c r="J713" s="1195" t="s">
        <v>193</v>
      </c>
      <c r="K713" s="1213" t="s">
        <v>341</v>
      </c>
      <c r="L713" s="959">
        <v>65.0</v>
      </c>
      <c r="M713" s="960">
        <v>90.0</v>
      </c>
      <c r="N713" s="960">
        <v>115.0</v>
      </c>
      <c r="O713" s="960">
        <v>45.0</v>
      </c>
      <c r="P713" s="960">
        <v>115.0</v>
      </c>
      <c r="Q713" s="960">
        <v>58.0</v>
      </c>
      <c r="R713" s="960">
        <v>152.0</v>
      </c>
      <c r="S713" s="960">
        <v>215.0</v>
      </c>
      <c r="T713" s="960">
        <v>236.0</v>
      </c>
      <c r="U713" s="960">
        <f t="array" ref="U713">HLOOKUP($J713,'Type Chart'!$C$2:$T$20,2,false)*HLOOKUP($K713,'Type Chart'!$C$2:$U$20,2,false)</f>
        <v>1</v>
      </c>
      <c r="V713" s="960">
        <f t="array" ref="V713">HLOOKUP($J713,'Type Chart'!$C$2:$T$20,3,false)*HLOOKUP($K713,'Type Chart'!$C$2:$U$20,3,false)</f>
        <v>2</v>
      </c>
      <c r="W713" s="960">
        <f t="array" ref="W713">HLOOKUP($J713,'Type Chart'!$C$2:$T$20,4,false)*HLOOKUP($K713,'Type Chart'!$C$2:$U$20,4,false)</f>
        <v>2</v>
      </c>
      <c r="X713" s="960">
        <f t="array" ref="X713">HLOOKUP($J713,'Type Chart'!$C$2:$T$20,5,false)*HLOOKUP($K713,'Type Chart'!$C$2:$U$20,5,false)</f>
        <v>1</v>
      </c>
      <c r="Y713" s="960">
        <f t="array" ref="Y713">HLOOKUP($J713,'Type Chart'!$C$2:$T$20,6,false)*HLOOKUP($K713,'Type Chart'!$C$2:$U$20,6,false)</f>
        <v>1</v>
      </c>
      <c r="Z713" s="960">
        <f t="array" ref="Z713">HLOOKUP($J713,'Type Chart'!$C$2:$T$20,7,false)*HLOOKUP($K713,'Type Chart'!$C$2:$U$20,7,false)</f>
        <v>0.5</v>
      </c>
      <c r="AA713" s="960">
        <f t="array" ref="AA713">HLOOKUP($J713,'Type Chart'!$C$2:$T$20,8,false)*HLOOKUP($K713,'Type Chart'!$C$2:$U$20,8,false)</f>
        <v>1</v>
      </c>
      <c r="AB713" s="960">
        <f t="array" ref="AB713">HLOOKUP($J713,'Type Chart'!$C$2:$T$20,9,false)*HLOOKUP($K713,'Type Chart'!$C$2:$U$20,9,false)</f>
        <v>0.5</v>
      </c>
      <c r="AC713" s="960">
        <f t="array" ref="AC713">HLOOKUP($J713,'Type Chart'!$C$2:$T$20,10,false)*HLOOKUP($K713,'Type Chart'!$C$2:$U$20,10,false)</f>
        <v>1</v>
      </c>
      <c r="AD713" s="960">
        <f t="array" ref="AD713">HLOOKUP($J713,'Type Chart'!$C$2:$T$20,11,false)*HLOOKUP($K713,'Type Chart'!$C$2:$U$20,11,false)</f>
        <v>1</v>
      </c>
      <c r="AE713" s="960">
        <f t="array" ref="AE713">HLOOKUP($J713,'Type Chart'!$C$2:$T$20,12,false)*HLOOKUP($K713,'Type Chart'!$C$2:$U$20,12,false)</f>
        <v>1</v>
      </c>
      <c r="AF713" s="960">
        <f t="array" ref="AF713">HLOOKUP($J713,'Type Chart'!$C$2:$T$20,13,false)*HLOOKUP($K713,'Type Chart'!$C$2:$U$20,13,false)</f>
        <v>1</v>
      </c>
      <c r="AG713" s="960">
        <f t="array" ref="AG713">HLOOKUP($J713,'Type Chart'!$C$2:$T$20,14,false)*HLOOKUP($K713,'Type Chart'!$C$2:$U$20,14,false)</f>
        <v>1</v>
      </c>
      <c r="AH713" s="960">
        <f t="array" ref="AH713">HLOOKUP($J713,'Type Chart'!$C$2:$T$20,15,false)*HLOOKUP($K713,'Type Chart'!$C$2:$U$20,15,false)</f>
        <v>0</v>
      </c>
      <c r="AI713" s="960">
        <f t="array" ref="AI713">HLOOKUP($J713,'Type Chart'!$C$2:$T$20,16,false)*HLOOKUP($K713,'Type Chart'!$C$2:$U$20,16,false)</f>
        <v>1</v>
      </c>
      <c r="AJ713" s="960">
        <f t="array" ref="AJ713">HLOOKUP($J713,'Type Chart'!$C$2:$T$20,17,false)*HLOOKUP($K713,'Type Chart'!$C$2:$U$20,17,false)</f>
        <v>1</v>
      </c>
      <c r="AK713" s="960">
        <f t="array" ref="AK713">HLOOKUP($J713,'Type Chart'!$C$2:$T$20,18,false)*HLOOKUP($K713,'Type Chart'!$C$2:$U$20,18,false)</f>
        <v>0.25</v>
      </c>
      <c r="AL713" s="960">
        <f t="array" ref="AL713">HLOOKUP($J713,'Type Chart'!$C$2:$T$20,19,false)*HLOOKUP($K713,'Type Chart'!$C$2:$U$20,19,false)</f>
        <v>4</v>
      </c>
      <c r="AM713" s="964" t="s">
        <v>998</v>
      </c>
      <c r="AN713" s="965" t="s">
        <v>1577</v>
      </c>
      <c r="AO713" s="966" t="s">
        <v>1061</v>
      </c>
      <c r="AP713" s="936"/>
      <c r="AQ713" s="967"/>
      <c r="AR713" s="968"/>
      <c r="AS713" s="936"/>
    </row>
    <row r="714" ht="15.75" customHeight="1">
      <c r="A714" s="936"/>
      <c r="B714" s="948" t="s">
        <v>2991</v>
      </c>
      <c r="C714" s="950" t="s">
        <v>2992</v>
      </c>
      <c r="D714" s="950" t="s">
        <v>2992</v>
      </c>
      <c r="E714" s="952" t="s">
        <v>2992</v>
      </c>
      <c r="F714" s="940"/>
      <c r="G714" s="953"/>
      <c r="H714" s="969"/>
      <c r="I714" s="956" t="s">
        <v>2993</v>
      </c>
      <c r="J714" s="1203" t="s">
        <v>344</v>
      </c>
      <c r="K714" s="1001" t="s">
        <v>128</v>
      </c>
      <c r="L714" s="959">
        <v>72.0</v>
      </c>
      <c r="M714" s="960">
        <v>58.0</v>
      </c>
      <c r="N714" s="960">
        <v>80.0</v>
      </c>
      <c r="O714" s="960">
        <v>103.0</v>
      </c>
      <c r="P714" s="960">
        <v>80.0</v>
      </c>
      <c r="Q714" s="960">
        <v>97.0</v>
      </c>
      <c r="R714" s="960">
        <v>230.0</v>
      </c>
      <c r="S714" s="960">
        <v>293.0</v>
      </c>
      <c r="T714" s="960">
        <v>322.0</v>
      </c>
      <c r="U714" s="960">
        <f t="array" ref="U714">HLOOKUP($J714,'Type Chart'!$C$2:$T$20,2,false)*HLOOKUP($K714,'Type Chart'!$C$2:$U$20,2,false)</f>
        <v>1</v>
      </c>
      <c r="V714" s="960">
        <f t="array" ref="V714">HLOOKUP($J714,'Type Chart'!$C$2:$T$20,3,false)*HLOOKUP($K714,'Type Chart'!$C$2:$U$20,3,false)</f>
        <v>0.25</v>
      </c>
      <c r="W714" s="960">
        <f t="array" ref="W714">HLOOKUP($J714,'Type Chart'!$C$2:$T$20,4,false)*HLOOKUP($K714,'Type Chart'!$C$2:$U$20,4,false)</f>
        <v>1</v>
      </c>
      <c r="X714" s="960">
        <f t="array" ref="X714">HLOOKUP($J714,'Type Chart'!$C$2:$T$20,5,false)*HLOOKUP($K714,'Type Chart'!$C$2:$U$20,5,false)</f>
        <v>1</v>
      </c>
      <c r="Y714" s="960">
        <f t="array" ref="Y714">HLOOKUP($J714,'Type Chart'!$C$2:$T$20,6,false)*HLOOKUP($K714,'Type Chart'!$C$2:$U$20,6,false)</f>
        <v>0</v>
      </c>
      <c r="Z714" s="960">
        <f t="array" ref="Z714">HLOOKUP($J714,'Type Chart'!$C$2:$T$20,7,false)*HLOOKUP($K714,'Type Chart'!$C$2:$U$20,7,false)</f>
        <v>2</v>
      </c>
      <c r="AA714" s="960">
        <f t="array" ref="AA714">HLOOKUP($J714,'Type Chart'!$C$2:$T$20,8,false)*HLOOKUP($K714,'Type Chart'!$C$2:$U$20,8,false)</f>
        <v>1</v>
      </c>
      <c r="AB714" s="960">
        <f t="array" ref="AB714">HLOOKUP($J714,'Type Chart'!$C$2:$T$20,9,false)*HLOOKUP($K714,'Type Chart'!$C$2:$U$20,9,false)</f>
        <v>2</v>
      </c>
      <c r="AC714" s="960">
        <f t="array" ref="AC714">HLOOKUP($J714,'Type Chart'!$C$2:$T$20,10,false)*HLOOKUP($K714,'Type Chart'!$C$2:$U$20,10,false)</f>
        <v>1</v>
      </c>
      <c r="AD714" s="960">
        <f t="array" ref="AD714">HLOOKUP($J714,'Type Chart'!$C$2:$T$20,11,false)*HLOOKUP($K714,'Type Chart'!$C$2:$U$20,11,false)</f>
        <v>1</v>
      </c>
      <c r="AE714" s="960">
        <f t="array" ref="AE714">HLOOKUP($J714,'Type Chart'!$C$2:$T$20,12,false)*HLOOKUP($K714,'Type Chart'!$C$2:$U$20,12,false)</f>
        <v>1</v>
      </c>
      <c r="AF714" s="960">
        <f t="array" ref="AF714">HLOOKUP($J714,'Type Chart'!$C$2:$T$20,13,false)*HLOOKUP($K714,'Type Chart'!$C$2:$U$20,13,false)</f>
        <v>0.5</v>
      </c>
      <c r="AG714" s="960">
        <f t="array" ref="AG714">HLOOKUP($J714,'Type Chart'!$C$2:$T$20,14,false)*HLOOKUP($K714,'Type Chart'!$C$2:$U$20,14,false)</f>
        <v>2</v>
      </c>
      <c r="AH714" s="960">
        <f t="array" ref="AH714">HLOOKUP($J714,'Type Chart'!$C$2:$T$20,15,false)*HLOOKUP($K714,'Type Chart'!$C$2:$U$20,15,false)</f>
        <v>0.5</v>
      </c>
      <c r="AI714" s="960">
        <f t="array" ref="AI714">HLOOKUP($J714,'Type Chart'!$C$2:$T$20,16,false)*HLOOKUP($K714,'Type Chart'!$C$2:$U$20,16,false)</f>
        <v>2</v>
      </c>
      <c r="AJ714" s="960">
        <f t="array" ref="AJ714">HLOOKUP($J714,'Type Chart'!$C$2:$T$20,17,false)*HLOOKUP($K714,'Type Chart'!$C$2:$U$20,17,false)</f>
        <v>1</v>
      </c>
      <c r="AK714" s="960">
        <f t="array" ref="AK714">HLOOKUP($J714,'Type Chart'!$C$2:$T$20,18,false)*HLOOKUP($K714,'Type Chart'!$C$2:$U$20,18,false)</f>
        <v>2</v>
      </c>
      <c r="AL714" s="960">
        <f t="array" ref="AL714">HLOOKUP($J714,'Type Chart'!$C$2:$T$20,19,false)*HLOOKUP($K714,'Type Chart'!$C$2:$U$20,19,false)</f>
        <v>1</v>
      </c>
      <c r="AM714" s="964" t="s">
        <v>1220</v>
      </c>
      <c r="AN714" s="965" t="s">
        <v>1166</v>
      </c>
      <c r="AO714" s="966" t="s">
        <v>1003</v>
      </c>
      <c r="AP714" s="936"/>
      <c r="AQ714" s="967"/>
      <c r="AR714" s="968"/>
      <c r="AS714" s="936"/>
    </row>
    <row r="715" ht="15.75" customHeight="1">
      <c r="A715" s="936"/>
      <c r="B715" s="948" t="s">
        <v>2994</v>
      </c>
      <c r="C715" s="950" t="s">
        <v>2995</v>
      </c>
      <c r="D715" s="950" t="s">
        <v>2995</v>
      </c>
      <c r="E715" s="952" t="s">
        <v>2995</v>
      </c>
      <c r="F715" s="940"/>
      <c r="G715" s="953"/>
      <c r="H715" s="969"/>
      <c r="I715" s="956" t="s">
        <v>2996</v>
      </c>
      <c r="J715" s="1220" t="s">
        <v>215</v>
      </c>
      <c r="K715" s="984" t="s">
        <v>216</v>
      </c>
      <c r="L715" s="959">
        <v>38.0</v>
      </c>
      <c r="M715" s="960">
        <v>30.0</v>
      </c>
      <c r="N715" s="960">
        <v>85.0</v>
      </c>
      <c r="O715" s="960">
        <v>55.0</v>
      </c>
      <c r="P715" s="960">
        <v>65.0</v>
      </c>
      <c r="Q715" s="960">
        <v>30.0</v>
      </c>
      <c r="R715" s="960">
        <v>96.0</v>
      </c>
      <c r="S715" s="960">
        <v>159.0</v>
      </c>
      <c r="T715" s="960">
        <v>174.0</v>
      </c>
      <c r="U715" s="960">
        <f t="array" ref="U715">HLOOKUP($J715,'Type Chart'!$C$2:$T$20,2,false)*HLOOKUP($K715,'Type Chart'!$C$2:$U$20,2,false)</f>
        <v>0</v>
      </c>
      <c r="V715" s="960">
        <f t="array" ref="V715">HLOOKUP($J715,'Type Chart'!$C$2:$T$20,3,false)*HLOOKUP($K715,'Type Chart'!$C$2:$U$20,3,false)</f>
        <v>0</v>
      </c>
      <c r="W715" s="960">
        <f t="array" ref="W715">HLOOKUP($J715,'Type Chart'!$C$2:$T$20,4,false)*HLOOKUP($K715,'Type Chart'!$C$2:$U$20,4,false)</f>
        <v>1</v>
      </c>
      <c r="X715" s="960">
        <f t="array" ref="X715">HLOOKUP($J715,'Type Chart'!$C$2:$T$20,5,false)*HLOOKUP($K715,'Type Chart'!$C$2:$U$20,5,false)</f>
        <v>0.5</v>
      </c>
      <c r="Y715" s="960">
        <f t="array" ref="Y715">HLOOKUP($J715,'Type Chart'!$C$2:$T$20,6,false)*HLOOKUP($K715,'Type Chart'!$C$2:$U$20,6,false)</f>
        <v>1</v>
      </c>
      <c r="Z715" s="960">
        <f t="array" ref="Z715">HLOOKUP($J715,'Type Chart'!$C$2:$T$20,7,false)*HLOOKUP($K715,'Type Chart'!$C$2:$U$20,7,false)</f>
        <v>1</v>
      </c>
      <c r="AA715" s="960">
        <f t="array" ref="AA715">HLOOKUP($J715,'Type Chart'!$C$2:$T$20,8,false)*HLOOKUP($K715,'Type Chart'!$C$2:$U$20,8,false)</f>
        <v>0.5</v>
      </c>
      <c r="AB715" s="960">
        <f t="array" ref="AB715">HLOOKUP($J715,'Type Chart'!$C$2:$T$20,9,false)*HLOOKUP($K715,'Type Chart'!$C$2:$U$20,9,false)</f>
        <v>2</v>
      </c>
      <c r="AC715" s="960">
        <f t="array" ref="AC715">HLOOKUP($J715,'Type Chart'!$C$2:$T$20,10,false)*HLOOKUP($K715,'Type Chart'!$C$2:$U$20,10,false)</f>
        <v>1</v>
      </c>
      <c r="AD715" s="960">
        <f t="array" ref="AD715">HLOOKUP($J715,'Type Chart'!$C$2:$T$20,11,false)*HLOOKUP($K715,'Type Chart'!$C$2:$U$20,11,false)</f>
        <v>1</v>
      </c>
      <c r="AE715" s="960">
        <f t="array" ref="AE715">HLOOKUP($J715,'Type Chart'!$C$2:$T$20,12,false)*HLOOKUP($K715,'Type Chart'!$C$2:$U$20,12,false)</f>
        <v>1</v>
      </c>
      <c r="AF715" s="960">
        <f t="array" ref="AF715">HLOOKUP($J715,'Type Chart'!$C$2:$T$20,13,false)*HLOOKUP($K715,'Type Chart'!$C$2:$U$20,13,false)</f>
        <v>1</v>
      </c>
      <c r="AG715" s="960">
        <f t="array" ref="AG715">HLOOKUP($J715,'Type Chart'!$C$2:$T$20,14,false)*HLOOKUP($K715,'Type Chart'!$C$2:$U$20,14,false)</f>
        <v>1</v>
      </c>
      <c r="AH715" s="960">
        <f t="array" ref="AH715">HLOOKUP($J715,'Type Chart'!$C$2:$T$20,15,false)*HLOOKUP($K715,'Type Chart'!$C$2:$U$20,15,false)</f>
        <v>1</v>
      </c>
      <c r="AI715" s="960">
        <f t="array" ref="AI715">HLOOKUP($J715,'Type Chart'!$C$2:$T$20,16,false)*HLOOKUP($K715,'Type Chart'!$C$2:$U$20,16,false)</f>
        <v>1</v>
      </c>
      <c r="AJ715" s="960">
        <f t="array" ref="AJ715">HLOOKUP($J715,'Type Chart'!$C$2:$T$20,17,false)*HLOOKUP($K715,'Type Chart'!$C$2:$U$20,17,false)</f>
        <v>1</v>
      </c>
      <c r="AK715" s="960">
        <f t="array" ref="AK715">HLOOKUP($J715,'Type Chart'!$C$2:$T$20,18,false)*HLOOKUP($K715,'Type Chart'!$C$2:$U$20,18,false)</f>
        <v>2</v>
      </c>
      <c r="AL715" s="960">
        <f t="array" ref="AL715">HLOOKUP($J715,'Type Chart'!$C$2:$T$20,19,false)*HLOOKUP($K715,'Type Chart'!$C$2:$U$20,19,false)</f>
        <v>1</v>
      </c>
      <c r="AM715" s="964" t="s">
        <v>2997</v>
      </c>
      <c r="AN715" s="965"/>
      <c r="AO715" s="966"/>
      <c r="AP715" s="936"/>
      <c r="AQ715" s="967"/>
      <c r="AR715" s="968"/>
      <c r="AS715" s="936"/>
    </row>
    <row r="716" ht="15.75" customHeight="1">
      <c r="A716" s="936"/>
      <c r="B716" s="948" t="s">
        <v>2998</v>
      </c>
      <c r="C716" s="950" t="s">
        <v>2999</v>
      </c>
      <c r="D716" s="950" t="s">
        <v>2999</v>
      </c>
      <c r="E716" s="952" t="s">
        <v>3000</v>
      </c>
      <c r="F716" s="940"/>
      <c r="G716" s="953"/>
      <c r="H716" s="969"/>
      <c r="I716" s="956" t="s">
        <v>3001</v>
      </c>
      <c r="J716" s="1204" t="s">
        <v>80</v>
      </c>
      <c r="K716" s="1220" t="s">
        <v>215</v>
      </c>
      <c r="L716" s="959">
        <v>38.0</v>
      </c>
      <c r="M716" s="960">
        <v>55.0</v>
      </c>
      <c r="N716" s="960">
        <v>85.0</v>
      </c>
      <c r="O716" s="960">
        <v>30.0</v>
      </c>
      <c r="P716" s="960">
        <v>65.0</v>
      </c>
      <c r="Q716" s="960">
        <v>30.0</v>
      </c>
      <c r="R716" s="960">
        <v>96.0</v>
      </c>
      <c r="S716" s="960">
        <v>159.0</v>
      </c>
      <c r="T716" s="960">
        <v>174.0</v>
      </c>
      <c r="U716" s="960">
        <f t="array" ref="U716">HLOOKUP($J716,'Type Chart'!$C$2:$T$20,2,false)*HLOOKUP($K716,'Type Chart'!$C$2:$U$20,2,false)</f>
        <v>0</v>
      </c>
      <c r="V716" s="960">
        <f t="array" ref="V716">HLOOKUP($J716,'Type Chart'!$C$2:$T$20,3,false)*HLOOKUP($K716,'Type Chart'!$C$2:$U$20,3,false)</f>
        <v>0</v>
      </c>
      <c r="W716" s="960">
        <f t="array" ref="W716">HLOOKUP($J716,'Type Chart'!$C$2:$T$20,4,false)*HLOOKUP($K716,'Type Chart'!$C$2:$U$20,4,false)</f>
        <v>1</v>
      </c>
      <c r="X716" s="960">
        <f t="array" ref="X716">HLOOKUP($J716,'Type Chart'!$C$2:$T$20,5,false)*HLOOKUP($K716,'Type Chart'!$C$2:$U$20,5,false)</f>
        <v>0.25</v>
      </c>
      <c r="Y716" s="960">
        <f t="array" ref="Y716">HLOOKUP($J716,'Type Chart'!$C$2:$T$20,6,false)*HLOOKUP($K716,'Type Chart'!$C$2:$U$20,6,false)</f>
        <v>1</v>
      </c>
      <c r="Z716" s="960">
        <f t="array" ref="Z716">HLOOKUP($J716,'Type Chart'!$C$2:$T$20,7,false)*HLOOKUP($K716,'Type Chart'!$C$2:$U$20,7,false)</f>
        <v>0.5</v>
      </c>
      <c r="AA716" s="960">
        <f t="array" ref="AA716">HLOOKUP($J716,'Type Chart'!$C$2:$T$20,8,false)*HLOOKUP($K716,'Type Chart'!$C$2:$U$20,8,false)</f>
        <v>0.5</v>
      </c>
      <c r="AB716" s="960">
        <f t="array" ref="AB716">HLOOKUP($J716,'Type Chart'!$C$2:$T$20,9,false)*HLOOKUP($K716,'Type Chart'!$C$2:$U$20,9,false)</f>
        <v>2</v>
      </c>
      <c r="AC716" s="960">
        <f t="array" ref="AC716">HLOOKUP($J716,'Type Chart'!$C$2:$T$20,10,false)*HLOOKUP($K716,'Type Chart'!$C$2:$U$20,10,false)</f>
        <v>1</v>
      </c>
      <c r="AD716" s="960">
        <f t="array" ref="AD716">HLOOKUP($J716,'Type Chart'!$C$2:$T$20,11,false)*HLOOKUP($K716,'Type Chart'!$C$2:$U$20,11,false)</f>
        <v>1</v>
      </c>
      <c r="AE716" s="960">
        <f t="array" ref="AE716">HLOOKUP($J716,'Type Chart'!$C$2:$T$20,12,false)*HLOOKUP($K716,'Type Chart'!$C$2:$U$20,12,false)</f>
        <v>2</v>
      </c>
      <c r="AF716" s="960">
        <f t="array" ref="AF716">HLOOKUP($J716,'Type Chart'!$C$2:$T$20,13,false)*HLOOKUP($K716,'Type Chart'!$C$2:$U$20,13,false)</f>
        <v>2</v>
      </c>
      <c r="AG716" s="960">
        <f t="array" ref="AG716">HLOOKUP($J716,'Type Chart'!$C$2:$T$20,14,false)*HLOOKUP($K716,'Type Chart'!$C$2:$U$20,14,false)</f>
        <v>0</v>
      </c>
      <c r="AH716" s="960">
        <f t="array" ref="AH716">HLOOKUP($J716,'Type Chart'!$C$2:$T$20,15,false)*HLOOKUP($K716,'Type Chart'!$C$2:$U$20,15,false)</f>
        <v>1</v>
      </c>
      <c r="AI716" s="960">
        <f t="array" ref="AI716">HLOOKUP($J716,'Type Chart'!$C$2:$T$20,16,false)*HLOOKUP($K716,'Type Chart'!$C$2:$U$20,16,false)</f>
        <v>2</v>
      </c>
      <c r="AJ716" s="960">
        <f t="array" ref="AJ716">HLOOKUP($J716,'Type Chart'!$C$2:$T$20,17,false)*HLOOKUP($K716,'Type Chart'!$C$2:$U$20,17,false)</f>
        <v>1</v>
      </c>
      <c r="AK716" s="960">
        <f t="array" ref="AK716">HLOOKUP($J716,'Type Chart'!$C$2:$T$20,18,false)*HLOOKUP($K716,'Type Chart'!$C$2:$U$20,18,false)</f>
        <v>2</v>
      </c>
      <c r="AL716" s="960">
        <f t="array" ref="AL716">HLOOKUP($J716,'Type Chart'!$C$2:$T$20,19,false)*HLOOKUP($K716,'Type Chart'!$C$2:$U$20,19,false)</f>
        <v>1</v>
      </c>
      <c r="AM716" s="964" t="s">
        <v>3002</v>
      </c>
      <c r="AN716" s="965"/>
      <c r="AO716" s="966"/>
      <c r="AP716" s="936"/>
      <c r="AQ716" s="967"/>
      <c r="AR716" s="968"/>
      <c r="AS716" s="936"/>
    </row>
    <row r="717" ht="15.75" customHeight="1">
      <c r="A717" s="1099"/>
      <c r="B717" s="948" t="s">
        <v>3003</v>
      </c>
      <c r="C717" s="950" t="s">
        <v>3004</v>
      </c>
      <c r="D717" s="950" t="s">
        <v>3004</v>
      </c>
      <c r="E717" s="952" t="s">
        <v>3004</v>
      </c>
      <c r="F717" s="940"/>
      <c r="G717" s="953"/>
      <c r="H717" s="969"/>
      <c r="I717" s="956" t="s">
        <v>3005</v>
      </c>
      <c r="J717" s="1220" t="s">
        <v>215</v>
      </c>
      <c r="K717" s="984" t="s">
        <v>216</v>
      </c>
      <c r="L717" s="959">
        <v>58.0</v>
      </c>
      <c r="M717" s="960">
        <v>50.0</v>
      </c>
      <c r="N717" s="960">
        <v>145.0</v>
      </c>
      <c r="O717" s="960">
        <v>95.0</v>
      </c>
      <c r="P717" s="960">
        <v>105.0</v>
      </c>
      <c r="Q717" s="960">
        <v>30.0</v>
      </c>
      <c r="R717" s="960">
        <v>96.0</v>
      </c>
      <c r="S717" s="960">
        <v>159.0</v>
      </c>
      <c r="T717" s="960">
        <v>174.0</v>
      </c>
      <c r="U717" s="960">
        <f t="array" ref="U717">HLOOKUP($J717,'Type Chart'!$C$2:$T$20,2,false)*HLOOKUP($K717,'Type Chart'!$C$2:$U$20,2,false)</f>
        <v>0</v>
      </c>
      <c r="V717" s="960">
        <f t="array" ref="V717">HLOOKUP($J717,'Type Chart'!$C$2:$T$20,3,false)*HLOOKUP($K717,'Type Chart'!$C$2:$U$20,3,false)</f>
        <v>0</v>
      </c>
      <c r="W717" s="960">
        <f t="array" ref="W717">HLOOKUP($J717,'Type Chart'!$C$2:$T$20,4,false)*HLOOKUP($K717,'Type Chart'!$C$2:$U$20,4,false)</f>
        <v>1</v>
      </c>
      <c r="X717" s="960">
        <f t="array" ref="X717">HLOOKUP($J717,'Type Chart'!$C$2:$T$20,5,false)*HLOOKUP($K717,'Type Chart'!$C$2:$U$20,5,false)</f>
        <v>0.5</v>
      </c>
      <c r="Y717" s="960">
        <f t="array" ref="Y717">HLOOKUP($J717,'Type Chart'!$C$2:$T$20,6,false)*HLOOKUP($K717,'Type Chart'!$C$2:$U$20,6,false)</f>
        <v>1</v>
      </c>
      <c r="Z717" s="960">
        <f t="array" ref="Z717">HLOOKUP($J717,'Type Chart'!$C$2:$T$20,7,false)*HLOOKUP($K717,'Type Chart'!$C$2:$U$20,7,false)</f>
        <v>1</v>
      </c>
      <c r="AA717" s="960">
        <f t="array" ref="AA717">HLOOKUP($J717,'Type Chart'!$C$2:$T$20,8,false)*HLOOKUP($K717,'Type Chart'!$C$2:$U$20,8,false)</f>
        <v>0.5</v>
      </c>
      <c r="AB717" s="960">
        <f t="array" ref="AB717">HLOOKUP($J717,'Type Chart'!$C$2:$T$20,9,false)*HLOOKUP($K717,'Type Chart'!$C$2:$U$20,9,false)</f>
        <v>2</v>
      </c>
      <c r="AC717" s="960">
        <f t="array" ref="AC717">HLOOKUP($J717,'Type Chart'!$C$2:$T$20,10,false)*HLOOKUP($K717,'Type Chart'!$C$2:$U$20,10,false)</f>
        <v>1</v>
      </c>
      <c r="AD717" s="960">
        <f t="array" ref="AD717">HLOOKUP($J717,'Type Chart'!$C$2:$T$20,11,false)*HLOOKUP($K717,'Type Chart'!$C$2:$U$20,11,false)</f>
        <v>1</v>
      </c>
      <c r="AE717" s="960">
        <f t="array" ref="AE717">HLOOKUP($J717,'Type Chart'!$C$2:$T$20,12,false)*HLOOKUP($K717,'Type Chart'!$C$2:$U$20,12,false)</f>
        <v>1</v>
      </c>
      <c r="AF717" s="960">
        <f t="array" ref="AF717">HLOOKUP($J717,'Type Chart'!$C$2:$T$20,13,false)*HLOOKUP($K717,'Type Chart'!$C$2:$U$20,13,false)</f>
        <v>1</v>
      </c>
      <c r="AG717" s="960">
        <f t="array" ref="AG717">HLOOKUP($J717,'Type Chart'!$C$2:$T$20,14,false)*HLOOKUP($K717,'Type Chart'!$C$2:$U$20,14,false)</f>
        <v>1</v>
      </c>
      <c r="AH717" s="960">
        <f t="array" ref="AH717">HLOOKUP($J717,'Type Chart'!$C$2:$T$20,15,false)*HLOOKUP($K717,'Type Chart'!$C$2:$U$20,15,false)</f>
        <v>1</v>
      </c>
      <c r="AI717" s="960">
        <f t="array" ref="AI717">HLOOKUP($J717,'Type Chart'!$C$2:$T$20,16,false)*HLOOKUP($K717,'Type Chart'!$C$2:$U$20,16,false)</f>
        <v>1</v>
      </c>
      <c r="AJ717" s="960">
        <f t="array" ref="AJ717">HLOOKUP($J717,'Type Chart'!$C$2:$T$20,17,false)*HLOOKUP($K717,'Type Chart'!$C$2:$U$20,17,false)</f>
        <v>1</v>
      </c>
      <c r="AK717" s="960">
        <f t="array" ref="AK717">HLOOKUP($J717,'Type Chart'!$C$2:$T$20,18,false)*HLOOKUP($K717,'Type Chart'!$C$2:$U$20,18,false)</f>
        <v>2</v>
      </c>
      <c r="AL717" s="960">
        <f t="array" ref="AL717">HLOOKUP($J717,'Type Chart'!$C$2:$T$20,19,false)*HLOOKUP($K717,'Type Chart'!$C$2:$U$20,19,false)</f>
        <v>1</v>
      </c>
      <c r="AM717" s="1145" t="s">
        <v>2997</v>
      </c>
      <c r="AN717" s="965"/>
      <c r="AO717" s="1146"/>
      <c r="AP717" s="936"/>
      <c r="AQ717" s="967"/>
      <c r="AR717" s="968"/>
      <c r="AS717" s="936"/>
    </row>
    <row r="718" ht="15.75" customHeight="1">
      <c r="A718" s="936"/>
      <c r="B718" s="948" t="s">
        <v>3006</v>
      </c>
      <c r="C718" s="950" t="s">
        <v>3007</v>
      </c>
      <c r="D718" s="950" t="s">
        <v>3007</v>
      </c>
      <c r="E718" s="952" t="s">
        <v>3007</v>
      </c>
      <c r="F718" s="940"/>
      <c r="G718" s="953"/>
      <c r="H718" s="969"/>
      <c r="I718" s="956" t="s">
        <v>3008</v>
      </c>
      <c r="J718" s="1056" t="s">
        <v>81</v>
      </c>
      <c r="K718" s="1214" t="s">
        <v>342</v>
      </c>
      <c r="L718" s="959">
        <v>54.0</v>
      </c>
      <c r="M718" s="960">
        <v>78.0</v>
      </c>
      <c r="N718" s="960">
        <v>103.0</v>
      </c>
      <c r="O718" s="960">
        <v>53.0</v>
      </c>
      <c r="P718" s="960">
        <v>45.0</v>
      </c>
      <c r="Q718" s="960">
        <v>22.0</v>
      </c>
      <c r="R718" s="960">
        <v>80.0</v>
      </c>
      <c r="S718" s="960">
        <v>143.0</v>
      </c>
      <c r="T718" s="960">
        <v>157.0</v>
      </c>
      <c r="U718" s="960">
        <f t="array" ref="U718">HLOOKUP($J718,'Type Chart'!$C$2:$T$20,2,false)*HLOOKUP($K718,'Type Chart'!$C$2:$U$20,2,false)</f>
        <v>0.5</v>
      </c>
      <c r="V718" s="960">
        <f t="array" ref="V718">HLOOKUP($J718,'Type Chart'!$C$2:$T$20,3,false)*HLOOKUP($K718,'Type Chart'!$C$2:$U$20,3,false)</f>
        <v>2</v>
      </c>
      <c r="W718" s="960">
        <f t="array" ref="W718">HLOOKUP($J718,'Type Chart'!$C$2:$T$20,4,false)*HLOOKUP($K718,'Type Chart'!$C$2:$U$20,4,false)</f>
        <v>0.5</v>
      </c>
      <c r="X718" s="960">
        <f t="array" ref="X718">HLOOKUP($J718,'Type Chart'!$C$2:$T$20,5,false)*HLOOKUP($K718,'Type Chart'!$C$2:$U$20,5,false)</f>
        <v>0.5</v>
      </c>
      <c r="Y718" s="960">
        <f t="array" ref="Y718">HLOOKUP($J718,'Type Chart'!$C$2:$T$20,6,false)*HLOOKUP($K718,'Type Chart'!$C$2:$U$20,6,false)</f>
        <v>2</v>
      </c>
      <c r="Z718" s="960">
        <f t="array" ref="Z718">HLOOKUP($J718,'Type Chart'!$C$2:$T$20,7,false)*HLOOKUP($K718,'Type Chart'!$C$2:$U$20,7,false)</f>
        <v>1</v>
      </c>
      <c r="AA718" s="960">
        <f t="array" ref="AA718">HLOOKUP($J718,'Type Chart'!$C$2:$T$20,8,false)*HLOOKUP($K718,'Type Chart'!$C$2:$U$20,8,false)</f>
        <v>1</v>
      </c>
      <c r="AB718" s="960">
        <f t="array" ref="AB718">HLOOKUP($J718,'Type Chart'!$C$2:$T$20,9,false)*HLOOKUP($K718,'Type Chart'!$C$2:$U$20,9,false)</f>
        <v>1</v>
      </c>
      <c r="AC718" s="960">
        <f t="array" ref="AC718">HLOOKUP($J718,'Type Chart'!$C$2:$T$20,10,false)*HLOOKUP($K718,'Type Chart'!$C$2:$U$20,10,false)</f>
        <v>1</v>
      </c>
      <c r="AD718" s="960">
        <f t="array" ref="AD718">HLOOKUP($J718,'Type Chart'!$C$2:$T$20,11,false)*HLOOKUP($K718,'Type Chart'!$C$2:$U$20,11,false)</f>
        <v>0.25</v>
      </c>
      <c r="AE718" s="960">
        <f t="array" ref="AE718">HLOOKUP($J718,'Type Chart'!$C$2:$T$20,12,false)*HLOOKUP($K718,'Type Chart'!$C$2:$U$20,12,false)</f>
        <v>1</v>
      </c>
      <c r="AF718" s="960">
        <f t="array" ref="AF718">HLOOKUP($J718,'Type Chart'!$C$2:$T$20,13,false)*HLOOKUP($K718,'Type Chart'!$C$2:$U$20,13,false)</f>
        <v>4</v>
      </c>
      <c r="AG718" s="960">
        <f t="array" ref="AG718">HLOOKUP($J718,'Type Chart'!$C$2:$T$20,14,false)*HLOOKUP($K718,'Type Chart'!$C$2:$U$20,14,false)</f>
        <v>2</v>
      </c>
      <c r="AH718" s="960">
        <f t="array" ref="AH718">HLOOKUP($J718,'Type Chart'!$C$2:$T$20,15,false)*HLOOKUP($K718,'Type Chart'!$C$2:$U$20,15,false)</f>
        <v>1</v>
      </c>
      <c r="AI718" s="960">
        <f t="array" ref="AI718">HLOOKUP($J718,'Type Chart'!$C$2:$T$20,16,false)*HLOOKUP($K718,'Type Chart'!$C$2:$U$20,16,false)</f>
        <v>0.5</v>
      </c>
      <c r="AJ718" s="960">
        <f t="array" ref="AJ718">HLOOKUP($J718,'Type Chart'!$C$2:$T$20,17,false)*HLOOKUP($K718,'Type Chart'!$C$2:$U$20,17,false)</f>
        <v>1</v>
      </c>
      <c r="AK718" s="960">
        <f t="array" ref="AK718">HLOOKUP($J718,'Type Chart'!$C$2:$T$20,18,false)*HLOOKUP($K718,'Type Chart'!$C$2:$U$20,18,false)</f>
        <v>1</v>
      </c>
      <c r="AL718" s="960">
        <f t="array" ref="AL718">HLOOKUP($J718,'Type Chart'!$C$2:$T$20,19,false)*HLOOKUP($K718,'Type Chart'!$C$2:$U$20,19,false)</f>
        <v>1</v>
      </c>
      <c r="AM718" s="964" t="s">
        <v>2218</v>
      </c>
      <c r="AN718" s="965" t="s">
        <v>1331</v>
      </c>
      <c r="AO718" s="966" t="s">
        <v>1259</v>
      </c>
      <c r="AP718" s="936"/>
      <c r="AQ718" s="967"/>
      <c r="AR718" s="968"/>
      <c r="AS718" s="936"/>
    </row>
    <row r="719" ht="15.75" customHeight="1">
      <c r="A719" s="936"/>
      <c r="B719" s="948" t="s">
        <v>3009</v>
      </c>
      <c r="C719" s="950" t="s">
        <v>3010</v>
      </c>
      <c r="D719" s="950" t="s">
        <v>3010</v>
      </c>
      <c r="E719" s="952" t="s">
        <v>3010</v>
      </c>
      <c r="F719" s="940"/>
      <c r="G719" s="953"/>
      <c r="H719" s="969"/>
      <c r="I719" s="956" t="s">
        <v>3011</v>
      </c>
      <c r="J719" s="1056" t="s">
        <v>81</v>
      </c>
      <c r="K719" s="1214" t="s">
        <v>342</v>
      </c>
      <c r="L719" s="959">
        <v>74.0</v>
      </c>
      <c r="M719" s="960">
        <v>108.0</v>
      </c>
      <c r="N719" s="960">
        <v>133.0</v>
      </c>
      <c r="O719" s="960">
        <v>83.0</v>
      </c>
      <c r="P719" s="960">
        <v>65.0</v>
      </c>
      <c r="Q719" s="960">
        <v>32.0</v>
      </c>
      <c r="R719" s="960">
        <v>100.0</v>
      </c>
      <c r="S719" s="960">
        <v>163.0</v>
      </c>
      <c r="T719" s="960">
        <v>179.0</v>
      </c>
      <c r="U719" s="960">
        <f t="array" ref="U719">HLOOKUP($J719,'Type Chart'!$C$2:$T$20,2,false)*HLOOKUP($K719,'Type Chart'!$C$2:$U$20,2,false)</f>
        <v>0.5</v>
      </c>
      <c r="V719" s="960">
        <f t="array" ref="V719">HLOOKUP($J719,'Type Chart'!$C$2:$T$20,3,false)*HLOOKUP($K719,'Type Chart'!$C$2:$U$20,3,false)</f>
        <v>2</v>
      </c>
      <c r="W719" s="960">
        <f t="array" ref="W719">HLOOKUP($J719,'Type Chart'!$C$2:$T$20,4,false)*HLOOKUP($K719,'Type Chart'!$C$2:$U$20,4,false)</f>
        <v>0.5</v>
      </c>
      <c r="X719" s="960">
        <f t="array" ref="X719">HLOOKUP($J719,'Type Chart'!$C$2:$T$20,5,false)*HLOOKUP($K719,'Type Chart'!$C$2:$U$20,5,false)</f>
        <v>0.5</v>
      </c>
      <c r="Y719" s="960">
        <f t="array" ref="Y719">HLOOKUP($J719,'Type Chart'!$C$2:$T$20,6,false)*HLOOKUP($K719,'Type Chart'!$C$2:$U$20,6,false)</f>
        <v>2</v>
      </c>
      <c r="Z719" s="960">
        <f t="array" ref="Z719">HLOOKUP($J719,'Type Chart'!$C$2:$T$20,7,false)*HLOOKUP($K719,'Type Chart'!$C$2:$U$20,7,false)</f>
        <v>1</v>
      </c>
      <c r="AA719" s="960">
        <f t="array" ref="AA719">HLOOKUP($J719,'Type Chart'!$C$2:$T$20,8,false)*HLOOKUP($K719,'Type Chart'!$C$2:$U$20,8,false)</f>
        <v>1</v>
      </c>
      <c r="AB719" s="960">
        <f t="array" ref="AB719">HLOOKUP($J719,'Type Chart'!$C$2:$T$20,9,false)*HLOOKUP($K719,'Type Chart'!$C$2:$U$20,9,false)</f>
        <v>1</v>
      </c>
      <c r="AC719" s="960">
        <f t="array" ref="AC719">HLOOKUP($J719,'Type Chart'!$C$2:$T$20,10,false)*HLOOKUP($K719,'Type Chart'!$C$2:$U$20,10,false)</f>
        <v>1</v>
      </c>
      <c r="AD719" s="960">
        <f t="array" ref="AD719">HLOOKUP($J719,'Type Chart'!$C$2:$T$20,11,false)*HLOOKUP($K719,'Type Chart'!$C$2:$U$20,11,false)</f>
        <v>0.25</v>
      </c>
      <c r="AE719" s="960">
        <f t="array" ref="AE719">HLOOKUP($J719,'Type Chart'!$C$2:$T$20,12,false)*HLOOKUP($K719,'Type Chart'!$C$2:$U$20,12,false)</f>
        <v>1</v>
      </c>
      <c r="AF719" s="960">
        <f t="array" ref="AF719">HLOOKUP($J719,'Type Chart'!$C$2:$T$20,13,false)*HLOOKUP($K719,'Type Chart'!$C$2:$U$20,13,false)</f>
        <v>4</v>
      </c>
      <c r="AG719" s="960">
        <f t="array" ref="AG719">HLOOKUP($J719,'Type Chart'!$C$2:$T$20,14,false)*HLOOKUP($K719,'Type Chart'!$C$2:$U$20,14,false)</f>
        <v>2</v>
      </c>
      <c r="AH719" s="960">
        <f t="array" ref="AH719">HLOOKUP($J719,'Type Chart'!$C$2:$T$20,15,false)*HLOOKUP($K719,'Type Chart'!$C$2:$U$20,15,false)</f>
        <v>1</v>
      </c>
      <c r="AI719" s="960">
        <f t="array" ref="AI719">HLOOKUP($J719,'Type Chart'!$C$2:$T$20,16,false)*HLOOKUP($K719,'Type Chart'!$C$2:$U$20,16,false)</f>
        <v>0.5</v>
      </c>
      <c r="AJ719" s="960">
        <f t="array" ref="AJ719">HLOOKUP($J719,'Type Chart'!$C$2:$T$20,17,false)*HLOOKUP($K719,'Type Chart'!$C$2:$U$20,17,false)</f>
        <v>1</v>
      </c>
      <c r="AK719" s="960">
        <f t="array" ref="AK719">HLOOKUP($J719,'Type Chart'!$C$2:$T$20,18,false)*HLOOKUP($K719,'Type Chart'!$C$2:$U$20,18,false)</f>
        <v>1</v>
      </c>
      <c r="AL719" s="960">
        <f t="array" ref="AL719">HLOOKUP($J719,'Type Chart'!$C$2:$T$20,19,false)*HLOOKUP($K719,'Type Chart'!$C$2:$U$20,19,false)</f>
        <v>1</v>
      </c>
      <c r="AM719" s="964" t="s">
        <v>2218</v>
      </c>
      <c r="AN719" s="965" t="s">
        <v>1331</v>
      </c>
      <c r="AO719" s="966" t="s">
        <v>1259</v>
      </c>
      <c r="AP719" s="936"/>
      <c r="AQ719" s="967"/>
      <c r="AR719" s="968"/>
      <c r="AS719" s="936"/>
    </row>
    <row r="720" ht="15.75" customHeight="1">
      <c r="A720" s="936"/>
      <c r="B720" s="948" t="s">
        <v>3012</v>
      </c>
      <c r="C720" s="950" t="s">
        <v>3013</v>
      </c>
      <c r="D720" s="950" t="s">
        <v>3013</v>
      </c>
      <c r="E720" s="952" t="s">
        <v>3013</v>
      </c>
      <c r="F720" s="940"/>
      <c r="G720" s="953"/>
      <c r="H720" s="969"/>
      <c r="I720" s="956" t="s">
        <v>3014</v>
      </c>
      <c r="J720" s="1214" t="s">
        <v>342</v>
      </c>
      <c r="K720" s="1001" t="s">
        <v>128</v>
      </c>
      <c r="L720" s="959">
        <v>55.0</v>
      </c>
      <c r="M720" s="960">
        <v>112.0</v>
      </c>
      <c r="N720" s="960">
        <v>45.0</v>
      </c>
      <c r="O720" s="960">
        <v>74.0</v>
      </c>
      <c r="P720" s="960">
        <v>45.0</v>
      </c>
      <c r="Q720" s="960">
        <v>70.0</v>
      </c>
      <c r="R720" s="960">
        <v>176.0</v>
      </c>
      <c r="S720" s="960">
        <v>239.0</v>
      </c>
      <c r="T720" s="960">
        <v>262.0</v>
      </c>
      <c r="U720" s="960">
        <f t="array" ref="U720">HLOOKUP($J720,'Type Chart'!$C$2:$T$20,2,false)*HLOOKUP($K720,'Type Chart'!$C$2:$U$20,2,false)</f>
        <v>0.5</v>
      </c>
      <c r="V720" s="960">
        <f t="array" ref="V720">HLOOKUP($J720,'Type Chart'!$C$2:$T$20,3,false)*HLOOKUP($K720,'Type Chart'!$C$2:$U$20,3,false)</f>
        <v>1</v>
      </c>
      <c r="W720" s="960">
        <f t="array" ref="W720">HLOOKUP($J720,'Type Chart'!$C$2:$T$20,4,false)*HLOOKUP($K720,'Type Chart'!$C$2:$U$20,4,false)</f>
        <v>0.5</v>
      </c>
      <c r="X720" s="960">
        <f t="array" ref="X720">HLOOKUP($J720,'Type Chart'!$C$2:$T$20,5,false)*HLOOKUP($K720,'Type Chart'!$C$2:$U$20,5,false)</f>
        <v>0.5</v>
      </c>
      <c r="Y720" s="960">
        <f t="array" ref="Y720">HLOOKUP($J720,'Type Chart'!$C$2:$T$20,6,false)*HLOOKUP($K720,'Type Chart'!$C$2:$U$20,6,false)</f>
        <v>0</v>
      </c>
      <c r="Z720" s="960">
        <f t="array" ref="Z720">HLOOKUP($J720,'Type Chart'!$C$2:$T$20,7,false)*HLOOKUP($K720,'Type Chart'!$C$2:$U$20,7,false)</f>
        <v>2</v>
      </c>
      <c r="AA720" s="960">
        <f t="array" ref="AA720">HLOOKUP($J720,'Type Chart'!$C$2:$T$20,8,false)*HLOOKUP($K720,'Type Chart'!$C$2:$U$20,8,false)</f>
        <v>0.5</v>
      </c>
      <c r="AB720" s="960">
        <f t="array" ref="AB720">HLOOKUP($J720,'Type Chart'!$C$2:$T$20,9,false)*HLOOKUP($K720,'Type Chart'!$C$2:$U$20,9,false)</f>
        <v>1</v>
      </c>
      <c r="AC720" s="960">
        <f t="array" ref="AC720">HLOOKUP($J720,'Type Chart'!$C$2:$T$20,10,false)*HLOOKUP($K720,'Type Chart'!$C$2:$U$20,10,false)</f>
        <v>2</v>
      </c>
      <c r="AD720" s="960">
        <f t="array" ref="AD720">HLOOKUP($J720,'Type Chart'!$C$2:$T$20,11,false)*HLOOKUP($K720,'Type Chart'!$C$2:$U$20,11,false)</f>
        <v>0.5</v>
      </c>
      <c r="AE720" s="960">
        <f t="array" ref="AE720">HLOOKUP($J720,'Type Chart'!$C$2:$T$20,12,false)*HLOOKUP($K720,'Type Chart'!$C$2:$U$20,12,false)</f>
        <v>2</v>
      </c>
      <c r="AF720" s="960">
        <f t="array" ref="AF720">HLOOKUP($J720,'Type Chart'!$C$2:$T$20,13,false)*HLOOKUP($K720,'Type Chart'!$C$2:$U$20,13,false)</f>
        <v>1</v>
      </c>
      <c r="AG720" s="960">
        <f t="array" ref="AG720">HLOOKUP($J720,'Type Chart'!$C$2:$T$20,14,false)*HLOOKUP($K720,'Type Chart'!$C$2:$U$20,14,false)</f>
        <v>2</v>
      </c>
      <c r="AH720" s="960">
        <f t="array" ref="AH720">HLOOKUP($J720,'Type Chart'!$C$2:$T$20,15,false)*HLOOKUP($K720,'Type Chart'!$C$2:$U$20,15,false)</f>
        <v>1</v>
      </c>
      <c r="AI720" s="960">
        <f t="array" ref="AI720">HLOOKUP($J720,'Type Chart'!$C$2:$T$20,16,false)*HLOOKUP($K720,'Type Chart'!$C$2:$U$20,16,false)</f>
        <v>2</v>
      </c>
      <c r="AJ720" s="960">
        <f t="array" ref="AJ720">HLOOKUP($J720,'Type Chart'!$C$2:$T$20,17,false)*HLOOKUP($K720,'Type Chart'!$C$2:$U$20,17,false)</f>
        <v>1</v>
      </c>
      <c r="AK720" s="960">
        <f t="array" ref="AK720">HLOOKUP($J720,'Type Chart'!$C$2:$T$20,18,false)*HLOOKUP($K720,'Type Chart'!$C$2:$U$20,18,false)</f>
        <v>1</v>
      </c>
      <c r="AL720" s="960">
        <f t="array" ref="AL720">HLOOKUP($J720,'Type Chart'!$C$2:$T$20,19,false)*HLOOKUP($K720,'Type Chart'!$C$2:$U$20,19,false)</f>
        <v>1</v>
      </c>
      <c r="AM720" s="964" t="s">
        <v>3015</v>
      </c>
      <c r="AN720" s="965"/>
      <c r="AO720" s="966"/>
      <c r="AP720" s="936"/>
      <c r="AQ720" s="967"/>
      <c r="AR720" s="968"/>
      <c r="AS720" s="936"/>
    </row>
    <row r="721" ht="15.75" customHeight="1">
      <c r="A721" s="936"/>
      <c r="B721" s="948" t="s">
        <v>3016</v>
      </c>
      <c r="C721" s="950" t="s">
        <v>3017</v>
      </c>
      <c r="D721" s="950" t="s">
        <v>3017</v>
      </c>
      <c r="E721" s="952" t="s">
        <v>3017</v>
      </c>
      <c r="F721" s="940"/>
      <c r="G721" s="953"/>
      <c r="H721" s="969"/>
      <c r="I721" s="956" t="s">
        <v>3018</v>
      </c>
      <c r="J721" s="1214" t="s">
        <v>342</v>
      </c>
      <c r="K721" s="1001" t="s">
        <v>128</v>
      </c>
      <c r="L721" s="959">
        <v>75.0</v>
      </c>
      <c r="M721" s="960">
        <v>140.0</v>
      </c>
      <c r="N721" s="960">
        <v>65.0</v>
      </c>
      <c r="O721" s="960">
        <v>112.0</v>
      </c>
      <c r="P721" s="960">
        <v>65.0</v>
      </c>
      <c r="Q721" s="960">
        <v>110.0</v>
      </c>
      <c r="R721" s="960">
        <v>256.0</v>
      </c>
      <c r="S721" s="960">
        <v>319.0</v>
      </c>
      <c r="T721" s="960">
        <v>350.0</v>
      </c>
      <c r="U721" s="960">
        <f t="array" ref="U721">HLOOKUP($J721,'Type Chart'!$C$2:$T$20,2,false)*HLOOKUP($K721,'Type Chart'!$C$2:$U$20,2,false)</f>
        <v>0.5</v>
      </c>
      <c r="V721" s="960">
        <f t="array" ref="V721">HLOOKUP($J721,'Type Chart'!$C$2:$T$20,3,false)*HLOOKUP($K721,'Type Chart'!$C$2:$U$20,3,false)</f>
        <v>1</v>
      </c>
      <c r="W721" s="960">
        <f t="array" ref="W721">HLOOKUP($J721,'Type Chart'!$C$2:$T$20,4,false)*HLOOKUP($K721,'Type Chart'!$C$2:$U$20,4,false)</f>
        <v>0.5</v>
      </c>
      <c r="X721" s="960">
        <f t="array" ref="X721">HLOOKUP($J721,'Type Chart'!$C$2:$T$20,5,false)*HLOOKUP($K721,'Type Chart'!$C$2:$U$20,5,false)</f>
        <v>0.5</v>
      </c>
      <c r="Y721" s="960">
        <f t="array" ref="Y721">HLOOKUP($J721,'Type Chart'!$C$2:$T$20,6,false)*HLOOKUP($K721,'Type Chart'!$C$2:$U$20,6,false)</f>
        <v>0</v>
      </c>
      <c r="Z721" s="960">
        <f t="array" ref="Z721">HLOOKUP($J721,'Type Chart'!$C$2:$T$20,7,false)*HLOOKUP($K721,'Type Chart'!$C$2:$U$20,7,false)</f>
        <v>2</v>
      </c>
      <c r="AA721" s="960">
        <f t="array" ref="AA721">HLOOKUP($J721,'Type Chart'!$C$2:$T$20,8,false)*HLOOKUP($K721,'Type Chart'!$C$2:$U$20,8,false)</f>
        <v>0.5</v>
      </c>
      <c r="AB721" s="960">
        <f t="array" ref="AB721">HLOOKUP($J721,'Type Chart'!$C$2:$T$20,9,false)*HLOOKUP($K721,'Type Chart'!$C$2:$U$20,9,false)</f>
        <v>1</v>
      </c>
      <c r="AC721" s="960">
        <f t="array" ref="AC721">HLOOKUP($J721,'Type Chart'!$C$2:$T$20,10,false)*HLOOKUP($K721,'Type Chart'!$C$2:$U$20,10,false)</f>
        <v>2</v>
      </c>
      <c r="AD721" s="960">
        <f t="array" ref="AD721">HLOOKUP($J721,'Type Chart'!$C$2:$T$20,11,false)*HLOOKUP($K721,'Type Chart'!$C$2:$U$20,11,false)</f>
        <v>0.5</v>
      </c>
      <c r="AE721" s="960">
        <f t="array" ref="AE721">HLOOKUP($J721,'Type Chart'!$C$2:$T$20,12,false)*HLOOKUP($K721,'Type Chart'!$C$2:$U$20,12,false)</f>
        <v>2</v>
      </c>
      <c r="AF721" s="960">
        <f t="array" ref="AF721">HLOOKUP($J721,'Type Chart'!$C$2:$T$20,13,false)*HLOOKUP($K721,'Type Chart'!$C$2:$U$20,13,false)</f>
        <v>1</v>
      </c>
      <c r="AG721" s="960">
        <f t="array" ref="AG721">HLOOKUP($J721,'Type Chart'!$C$2:$T$20,14,false)*HLOOKUP($K721,'Type Chart'!$C$2:$U$20,14,false)</f>
        <v>2</v>
      </c>
      <c r="AH721" s="960">
        <f t="array" ref="AH721">HLOOKUP($J721,'Type Chart'!$C$2:$T$20,15,false)*HLOOKUP($K721,'Type Chart'!$C$2:$U$20,15,false)</f>
        <v>1</v>
      </c>
      <c r="AI721" s="960">
        <f t="array" ref="AI721">HLOOKUP($J721,'Type Chart'!$C$2:$T$20,16,false)*HLOOKUP($K721,'Type Chart'!$C$2:$U$20,16,false)</f>
        <v>2</v>
      </c>
      <c r="AJ721" s="960">
        <f t="array" ref="AJ721">HLOOKUP($J721,'Type Chart'!$C$2:$T$20,17,false)*HLOOKUP($K721,'Type Chart'!$C$2:$U$20,17,false)</f>
        <v>1</v>
      </c>
      <c r="AK721" s="960">
        <f t="array" ref="AK721">HLOOKUP($J721,'Type Chart'!$C$2:$T$20,18,false)*HLOOKUP($K721,'Type Chart'!$C$2:$U$20,18,false)</f>
        <v>1</v>
      </c>
      <c r="AL721" s="960">
        <f t="array" ref="AL721">HLOOKUP($J721,'Type Chart'!$C$2:$T$20,19,false)*HLOOKUP($K721,'Type Chart'!$C$2:$U$20,19,false)</f>
        <v>1</v>
      </c>
      <c r="AM721" s="964" t="s">
        <v>3015</v>
      </c>
      <c r="AN721" s="965"/>
      <c r="AO721" s="966"/>
      <c r="AP721" s="936"/>
      <c r="AQ721" s="967"/>
      <c r="AR721" s="968"/>
      <c r="AS721" s="936"/>
    </row>
    <row r="722" ht="15.75" customHeight="1">
      <c r="A722" s="936"/>
      <c r="B722" s="948" t="s">
        <v>3019</v>
      </c>
      <c r="C722" s="950" t="s">
        <v>3020</v>
      </c>
      <c r="D722" s="950" t="s">
        <v>3020</v>
      </c>
      <c r="E722" s="952" t="s">
        <v>3020</v>
      </c>
      <c r="F722" s="940"/>
      <c r="G722" s="953"/>
      <c r="H722" s="969"/>
      <c r="I722" s="956" t="s">
        <v>3021</v>
      </c>
      <c r="J722" s="958" t="s">
        <v>178</v>
      </c>
      <c r="K722" s="984" t="s">
        <v>216</v>
      </c>
      <c r="L722" s="959">
        <v>50.0</v>
      </c>
      <c r="M722" s="960">
        <v>50.0</v>
      </c>
      <c r="N722" s="960">
        <v>62.0</v>
      </c>
      <c r="O722" s="960">
        <v>40.0</v>
      </c>
      <c r="P722" s="960">
        <v>62.0</v>
      </c>
      <c r="Q722" s="960">
        <v>65.0</v>
      </c>
      <c r="R722" s="960">
        <v>166.0</v>
      </c>
      <c r="S722" s="960">
        <v>229.0</v>
      </c>
      <c r="T722" s="960">
        <v>251.0</v>
      </c>
      <c r="U722" s="960">
        <f t="array" ref="U722">HLOOKUP($J722,'Type Chart'!$C$2:$T$20,2,false)*HLOOKUP($K722,'Type Chart'!$C$2:$U$20,2,false)</f>
        <v>1</v>
      </c>
      <c r="V722" s="960">
        <f t="array" ref="V722">HLOOKUP($J722,'Type Chart'!$C$2:$T$20,3,false)*HLOOKUP($K722,'Type Chart'!$C$2:$U$20,3,false)</f>
        <v>0.5</v>
      </c>
      <c r="W722" s="960">
        <f t="array" ref="W722">HLOOKUP($J722,'Type Chart'!$C$2:$T$20,4,false)*HLOOKUP($K722,'Type Chart'!$C$2:$U$20,4,false)</f>
        <v>1</v>
      </c>
      <c r="X722" s="960">
        <f t="array" ref="X722">HLOOKUP($J722,'Type Chart'!$C$2:$T$20,5,false)*HLOOKUP($K722,'Type Chart'!$C$2:$U$20,5,false)</f>
        <v>0.5</v>
      </c>
      <c r="Y722" s="960">
        <f t="array" ref="Y722">HLOOKUP($J722,'Type Chart'!$C$2:$T$20,6,false)*HLOOKUP($K722,'Type Chart'!$C$2:$U$20,6,false)</f>
        <v>2</v>
      </c>
      <c r="Z722" s="960">
        <f t="array" ref="Z722">HLOOKUP($J722,'Type Chart'!$C$2:$T$20,7,false)*HLOOKUP($K722,'Type Chart'!$C$2:$U$20,7,false)</f>
        <v>1</v>
      </c>
      <c r="AA722" s="960">
        <f t="array" ref="AA722">HLOOKUP($J722,'Type Chart'!$C$2:$T$20,8,false)*HLOOKUP($K722,'Type Chart'!$C$2:$U$20,8,false)</f>
        <v>0.5</v>
      </c>
      <c r="AB722" s="960">
        <f t="array" ref="AB722">HLOOKUP($J722,'Type Chart'!$C$2:$T$20,9,false)*HLOOKUP($K722,'Type Chart'!$C$2:$U$20,9,false)</f>
        <v>1</v>
      </c>
      <c r="AC722" s="960">
        <f t="array" ref="AC722">HLOOKUP($J722,'Type Chart'!$C$2:$T$20,10,false)*HLOOKUP($K722,'Type Chart'!$C$2:$U$20,10,false)</f>
        <v>1</v>
      </c>
      <c r="AD722" s="960">
        <f t="array" ref="AD722">HLOOKUP($J722,'Type Chart'!$C$2:$T$20,11,false)*HLOOKUP($K722,'Type Chart'!$C$2:$U$20,11,false)</f>
        <v>1</v>
      </c>
      <c r="AE722" s="960">
        <f t="array" ref="AE722">HLOOKUP($J722,'Type Chart'!$C$2:$T$20,12,false)*HLOOKUP($K722,'Type Chart'!$C$2:$U$20,12,false)</f>
        <v>1</v>
      </c>
      <c r="AF722" s="960">
        <f t="array" ref="AF722">HLOOKUP($J722,'Type Chart'!$C$2:$T$20,13,false)*HLOOKUP($K722,'Type Chart'!$C$2:$U$20,13,false)</f>
        <v>0.5</v>
      </c>
      <c r="AG722" s="960">
        <f t="array" ref="AG722">HLOOKUP($J722,'Type Chart'!$C$2:$T$20,14,false)*HLOOKUP($K722,'Type Chart'!$C$2:$U$20,14,false)</f>
        <v>1</v>
      </c>
      <c r="AH722" s="960">
        <f t="array" ref="AH722">HLOOKUP($J722,'Type Chart'!$C$2:$T$20,15,false)*HLOOKUP($K722,'Type Chart'!$C$2:$U$20,15,false)</f>
        <v>2</v>
      </c>
      <c r="AI722" s="960">
        <f t="array" ref="AI722">HLOOKUP($J722,'Type Chart'!$C$2:$T$20,16,false)*HLOOKUP($K722,'Type Chart'!$C$2:$U$20,16,false)</f>
        <v>1</v>
      </c>
      <c r="AJ722" s="960">
        <f t="array" ref="AJ722">HLOOKUP($J722,'Type Chart'!$C$2:$T$20,17,false)*HLOOKUP($K722,'Type Chart'!$C$2:$U$20,17,false)</f>
        <v>1</v>
      </c>
      <c r="AK722" s="960">
        <f t="array" ref="AK722">HLOOKUP($J722,'Type Chart'!$C$2:$T$20,18,false)*HLOOKUP($K722,'Type Chart'!$C$2:$U$20,18,false)</f>
        <v>1</v>
      </c>
      <c r="AL722" s="960">
        <f t="array" ref="AL722">HLOOKUP($J722,'Type Chart'!$C$2:$T$20,19,false)*HLOOKUP($K722,'Type Chart'!$C$2:$U$20,19,false)</f>
        <v>0.5</v>
      </c>
      <c r="AM722" s="964" t="s">
        <v>1203</v>
      </c>
      <c r="AN722" s="965" t="s">
        <v>1416</v>
      </c>
      <c r="AO722" s="966" t="s">
        <v>1469</v>
      </c>
      <c r="AP722" s="936"/>
      <c r="AQ722" s="967"/>
      <c r="AR722" s="968"/>
      <c r="AS722" s="936"/>
    </row>
    <row r="723" ht="15.75" customHeight="1">
      <c r="A723" s="936"/>
      <c r="B723" s="948" t="s">
        <v>3022</v>
      </c>
      <c r="C723" s="950" t="s">
        <v>3023</v>
      </c>
      <c r="D723" s="1197" t="s">
        <v>3023</v>
      </c>
      <c r="E723" s="1147" t="s">
        <v>3023</v>
      </c>
      <c r="F723" s="940"/>
      <c r="G723" s="953"/>
      <c r="H723" s="969"/>
      <c r="I723" s="956" t="s">
        <v>3024</v>
      </c>
      <c r="J723" s="958" t="s">
        <v>178</v>
      </c>
      <c r="K723" s="984" t="s">
        <v>216</v>
      </c>
      <c r="L723" s="959">
        <v>80.0</v>
      </c>
      <c r="M723" s="960">
        <v>95.0</v>
      </c>
      <c r="N723" s="960">
        <v>82.0</v>
      </c>
      <c r="O723" s="960">
        <v>60.0</v>
      </c>
      <c r="P723" s="960">
        <v>82.0</v>
      </c>
      <c r="Q723" s="960">
        <v>75.0</v>
      </c>
      <c r="R723" s="960">
        <v>186.0</v>
      </c>
      <c r="S723" s="960">
        <v>249.0</v>
      </c>
      <c r="T723" s="960">
        <v>273.0</v>
      </c>
      <c r="U723" s="960">
        <f t="array" ref="U723">HLOOKUP($J723,'Type Chart'!$C$2:$T$20,2,false)*HLOOKUP($K723,'Type Chart'!$C$2:$U$20,2,false)</f>
        <v>1</v>
      </c>
      <c r="V723" s="960">
        <f t="array" ref="V723">HLOOKUP($J723,'Type Chart'!$C$2:$T$20,3,false)*HLOOKUP($K723,'Type Chart'!$C$2:$U$20,3,false)</f>
        <v>0.5</v>
      </c>
      <c r="W723" s="960">
        <f t="array" ref="W723">HLOOKUP($J723,'Type Chart'!$C$2:$T$20,4,false)*HLOOKUP($K723,'Type Chart'!$C$2:$U$20,4,false)</f>
        <v>1</v>
      </c>
      <c r="X723" s="960">
        <f t="array" ref="X723">HLOOKUP($J723,'Type Chart'!$C$2:$T$20,5,false)*HLOOKUP($K723,'Type Chart'!$C$2:$U$20,5,false)</f>
        <v>0.5</v>
      </c>
      <c r="Y723" s="960">
        <f t="array" ref="Y723">HLOOKUP($J723,'Type Chart'!$C$2:$T$20,6,false)*HLOOKUP($K723,'Type Chart'!$C$2:$U$20,6,false)</f>
        <v>2</v>
      </c>
      <c r="Z723" s="960">
        <f t="array" ref="Z723">HLOOKUP($J723,'Type Chart'!$C$2:$T$20,7,false)*HLOOKUP($K723,'Type Chart'!$C$2:$U$20,7,false)</f>
        <v>1</v>
      </c>
      <c r="AA723" s="960">
        <f t="array" ref="AA723">HLOOKUP($J723,'Type Chart'!$C$2:$T$20,8,false)*HLOOKUP($K723,'Type Chart'!$C$2:$U$20,8,false)</f>
        <v>0.5</v>
      </c>
      <c r="AB723" s="960">
        <f t="array" ref="AB723">HLOOKUP($J723,'Type Chart'!$C$2:$T$20,9,false)*HLOOKUP($K723,'Type Chart'!$C$2:$U$20,9,false)</f>
        <v>1</v>
      </c>
      <c r="AC723" s="960">
        <f t="array" ref="AC723">HLOOKUP($J723,'Type Chart'!$C$2:$T$20,10,false)*HLOOKUP($K723,'Type Chart'!$C$2:$U$20,10,false)</f>
        <v>1</v>
      </c>
      <c r="AD723" s="960">
        <f t="array" ref="AD723">HLOOKUP($J723,'Type Chart'!$C$2:$T$20,11,false)*HLOOKUP($K723,'Type Chart'!$C$2:$U$20,11,false)</f>
        <v>1</v>
      </c>
      <c r="AE723" s="960">
        <f t="array" ref="AE723">HLOOKUP($J723,'Type Chart'!$C$2:$T$20,12,false)*HLOOKUP($K723,'Type Chart'!$C$2:$U$20,12,false)</f>
        <v>1</v>
      </c>
      <c r="AF723" s="960">
        <f t="array" ref="AF723">HLOOKUP($J723,'Type Chart'!$C$2:$T$20,13,false)*HLOOKUP($K723,'Type Chart'!$C$2:$U$20,13,false)</f>
        <v>0.5</v>
      </c>
      <c r="AG723" s="960">
        <f t="array" ref="AG723">HLOOKUP($J723,'Type Chart'!$C$2:$T$20,14,false)*HLOOKUP($K723,'Type Chart'!$C$2:$U$20,14,false)</f>
        <v>1</v>
      </c>
      <c r="AH723" s="960">
        <f t="array" ref="AH723">HLOOKUP($J723,'Type Chart'!$C$2:$T$20,15,false)*HLOOKUP($K723,'Type Chart'!$C$2:$U$20,15,false)</f>
        <v>2</v>
      </c>
      <c r="AI723" s="960">
        <f t="array" ref="AI723">HLOOKUP($J723,'Type Chart'!$C$2:$T$20,16,false)*HLOOKUP($K723,'Type Chart'!$C$2:$U$20,16,false)</f>
        <v>1</v>
      </c>
      <c r="AJ723" s="960">
        <f t="array" ref="AJ723">HLOOKUP($J723,'Type Chart'!$C$2:$T$20,17,false)*HLOOKUP($K723,'Type Chart'!$C$2:$U$20,17,false)</f>
        <v>1</v>
      </c>
      <c r="AK723" s="960">
        <f t="array" ref="AK723">HLOOKUP($J723,'Type Chart'!$C$2:$T$20,18,false)*HLOOKUP($K723,'Type Chart'!$C$2:$U$20,18,false)</f>
        <v>1</v>
      </c>
      <c r="AL723" s="960">
        <f t="array" ref="AL723">HLOOKUP($J723,'Type Chart'!$C$2:$T$20,19,false)*HLOOKUP($K723,'Type Chart'!$C$2:$U$20,19,false)</f>
        <v>0.5</v>
      </c>
      <c r="AM723" s="964" t="s">
        <v>1203</v>
      </c>
      <c r="AN723" s="965" t="s">
        <v>1450</v>
      </c>
      <c r="AO723" s="966" t="s">
        <v>1469</v>
      </c>
      <c r="AP723" s="936"/>
      <c r="AQ723" s="967"/>
      <c r="AR723" s="968"/>
      <c r="AS723" s="936"/>
    </row>
    <row r="724" ht="15.75" customHeight="1">
      <c r="A724" s="936"/>
      <c r="B724" s="948" t="s">
        <v>3025</v>
      </c>
      <c r="C724" s="950" t="s">
        <v>3026</v>
      </c>
      <c r="D724" s="950" t="s">
        <v>3026</v>
      </c>
      <c r="E724" s="952" t="s">
        <v>3026</v>
      </c>
      <c r="F724" s="940"/>
      <c r="G724" s="953"/>
      <c r="H724" s="969"/>
      <c r="I724" s="998" t="s">
        <v>3027</v>
      </c>
      <c r="J724" s="1195" t="s">
        <v>193</v>
      </c>
      <c r="K724" s="984" t="s">
        <v>216</v>
      </c>
      <c r="L724" s="959">
        <v>40.0</v>
      </c>
      <c r="M724" s="960">
        <v>65.0</v>
      </c>
      <c r="N724" s="960">
        <v>40.0</v>
      </c>
      <c r="O724" s="960">
        <v>80.0</v>
      </c>
      <c r="P724" s="960">
        <v>40.0</v>
      </c>
      <c r="Q724" s="960">
        <v>65.0</v>
      </c>
      <c r="R724" s="960">
        <v>166.0</v>
      </c>
      <c r="S724" s="960">
        <v>229.0</v>
      </c>
      <c r="T724" s="960">
        <v>251.0</v>
      </c>
      <c r="U724" s="960">
        <f t="array" ref="U724">HLOOKUP($J724,'Type Chart'!$C$2:$T$20,2,false)*HLOOKUP($K724,'Type Chart'!$C$2:$U$20,2,false)</f>
        <v>1</v>
      </c>
      <c r="V724" s="960">
        <f t="array" ref="V724">HLOOKUP($J724,'Type Chart'!$C$2:$T$20,3,false)*HLOOKUP($K724,'Type Chart'!$C$2:$U$20,3,false)</f>
        <v>2</v>
      </c>
      <c r="W724" s="960">
        <f t="array" ref="W724">HLOOKUP($J724,'Type Chart'!$C$2:$T$20,4,false)*HLOOKUP($K724,'Type Chart'!$C$2:$U$20,4,false)</f>
        <v>1</v>
      </c>
      <c r="X724" s="960">
        <f t="array" ref="X724">HLOOKUP($J724,'Type Chart'!$C$2:$T$20,5,false)*HLOOKUP($K724,'Type Chart'!$C$2:$U$20,5,false)</f>
        <v>1</v>
      </c>
      <c r="Y724" s="960">
        <f t="array" ref="Y724">HLOOKUP($J724,'Type Chart'!$C$2:$T$20,6,false)*HLOOKUP($K724,'Type Chart'!$C$2:$U$20,6,false)</f>
        <v>1</v>
      </c>
      <c r="Z724" s="960">
        <f t="array" ref="Z724">HLOOKUP($J724,'Type Chart'!$C$2:$T$20,7,false)*HLOOKUP($K724,'Type Chart'!$C$2:$U$20,7,false)</f>
        <v>1</v>
      </c>
      <c r="AA724" s="960">
        <f t="array" ref="AA724">HLOOKUP($J724,'Type Chart'!$C$2:$T$20,8,false)*HLOOKUP($K724,'Type Chart'!$C$2:$U$20,8,false)</f>
        <v>2</v>
      </c>
      <c r="AB724" s="960">
        <f t="array" ref="AB724">HLOOKUP($J724,'Type Chart'!$C$2:$T$20,9,false)*HLOOKUP($K724,'Type Chart'!$C$2:$U$20,9,false)</f>
        <v>0.5</v>
      </c>
      <c r="AC724" s="960">
        <f t="array" ref="AC724">HLOOKUP($J724,'Type Chart'!$C$2:$T$20,10,false)*HLOOKUP($K724,'Type Chart'!$C$2:$U$20,10,false)</f>
        <v>1</v>
      </c>
      <c r="AD724" s="960">
        <f t="array" ref="AD724">HLOOKUP($J724,'Type Chart'!$C$2:$T$20,11,false)*HLOOKUP($K724,'Type Chart'!$C$2:$U$20,11,false)</f>
        <v>1</v>
      </c>
      <c r="AE724" s="960">
        <f t="array" ref="AE724">HLOOKUP($J724,'Type Chart'!$C$2:$T$20,12,false)*HLOOKUP($K724,'Type Chart'!$C$2:$U$20,12,false)</f>
        <v>1</v>
      </c>
      <c r="AF724" s="960">
        <f t="array" ref="AF724">HLOOKUP($J724,'Type Chart'!$C$2:$T$20,13,false)*HLOOKUP($K724,'Type Chart'!$C$2:$U$20,13,false)</f>
        <v>1</v>
      </c>
      <c r="AG724" s="960">
        <f t="array" ref="AG724">HLOOKUP($J724,'Type Chart'!$C$2:$T$20,14,false)*HLOOKUP($K724,'Type Chart'!$C$2:$U$20,14,false)</f>
        <v>1</v>
      </c>
      <c r="AH724" s="960">
        <f t="array" ref="AH724">HLOOKUP($J724,'Type Chart'!$C$2:$T$20,15,false)*HLOOKUP($K724,'Type Chart'!$C$2:$U$20,15,false)</f>
        <v>0</v>
      </c>
      <c r="AI724" s="960">
        <f t="array" ref="AI724">HLOOKUP($J724,'Type Chart'!$C$2:$T$20,16,false)*HLOOKUP($K724,'Type Chart'!$C$2:$U$20,16,false)</f>
        <v>1</v>
      </c>
      <c r="AJ724" s="960">
        <f t="array" ref="AJ724">HLOOKUP($J724,'Type Chart'!$C$2:$T$20,17,false)*HLOOKUP($K724,'Type Chart'!$C$2:$U$20,17,false)</f>
        <v>1</v>
      </c>
      <c r="AK724" s="960">
        <f t="array" ref="AK724">HLOOKUP($J724,'Type Chart'!$C$2:$T$20,18,false)*HLOOKUP($K724,'Type Chart'!$C$2:$U$20,18,false)</f>
        <v>0.5</v>
      </c>
      <c r="AL724" s="960">
        <f t="array" ref="AL724">HLOOKUP($J724,'Type Chart'!$C$2:$T$20,19,false)*HLOOKUP($K724,'Type Chart'!$C$2:$U$20,19,false)</f>
        <v>2</v>
      </c>
      <c r="AM724" s="964" t="s">
        <v>3028</v>
      </c>
      <c r="AN724" s="965"/>
      <c r="AO724" s="966"/>
      <c r="AP724" s="936"/>
      <c r="AQ724" s="967"/>
      <c r="AR724" s="968"/>
      <c r="AS724" s="936"/>
    </row>
    <row r="725" ht="15.75" customHeight="1">
      <c r="A725" s="936"/>
      <c r="B725" s="948" t="s">
        <v>3029</v>
      </c>
      <c r="C725" s="950" t="str">
        <f t="shared" ref="C725:E725" si="11">C724&amp;"-hisui"</f>
        <v>zorua-hisui</v>
      </c>
      <c r="D725" s="950" t="str">
        <f t="shared" si="11"/>
        <v>zorua-hisui</v>
      </c>
      <c r="E725" s="952" t="str">
        <f t="shared" si="11"/>
        <v>zorua-hisui</v>
      </c>
      <c r="F725" s="940"/>
      <c r="G725" s="953"/>
      <c r="H725" s="969"/>
      <c r="I725" s="956" t="s">
        <v>907</v>
      </c>
      <c r="J725" s="1194" t="s">
        <v>136</v>
      </c>
      <c r="K725" s="1220" t="s">
        <v>215</v>
      </c>
      <c r="L725" s="959">
        <v>35.0</v>
      </c>
      <c r="M725" s="960">
        <v>60.0</v>
      </c>
      <c r="N725" s="960">
        <v>40.0</v>
      </c>
      <c r="O725" s="960">
        <v>85.0</v>
      </c>
      <c r="P725" s="960">
        <v>40.0</v>
      </c>
      <c r="Q725" s="960">
        <v>70.0</v>
      </c>
      <c r="R725" s="960">
        <v>176.0</v>
      </c>
      <c r="S725" s="960">
        <v>239.0</v>
      </c>
      <c r="T725" s="960">
        <v>262.0</v>
      </c>
      <c r="U725" s="960">
        <f t="array" ref="U725">HLOOKUP($J725,'Type Chart'!$C$2:$T$20,2,false)*HLOOKUP($K725,'Type Chart'!$C$2:$U$20,2,false)</f>
        <v>0</v>
      </c>
      <c r="V725" s="960">
        <f t="array" ref="V725">HLOOKUP($J725,'Type Chart'!$C$2:$T$20,3,false)*HLOOKUP($K725,'Type Chart'!$C$2:$U$20,3,false)</f>
        <v>0</v>
      </c>
      <c r="W725" s="960">
        <f t="array" ref="W725">HLOOKUP($J725,'Type Chart'!$C$2:$T$20,4,false)*HLOOKUP($K725,'Type Chart'!$C$2:$U$20,4,false)</f>
        <v>1</v>
      </c>
      <c r="X725" s="960">
        <f t="array" ref="X725">HLOOKUP($J725,'Type Chart'!$C$2:$T$20,5,false)*HLOOKUP($K725,'Type Chart'!$C$2:$U$20,5,false)</f>
        <v>0.5</v>
      </c>
      <c r="Y725" s="960">
        <f t="array" ref="Y725">HLOOKUP($J725,'Type Chart'!$C$2:$T$20,6,false)*HLOOKUP($K725,'Type Chart'!$C$2:$U$20,6,false)</f>
        <v>1</v>
      </c>
      <c r="Z725" s="960">
        <f t="array" ref="Z725">HLOOKUP($J725,'Type Chart'!$C$2:$T$20,7,false)*HLOOKUP($K725,'Type Chart'!$C$2:$U$20,7,false)</f>
        <v>1</v>
      </c>
      <c r="AA725" s="960">
        <f t="array" ref="AA725">HLOOKUP($J725,'Type Chart'!$C$2:$T$20,8,false)*HLOOKUP($K725,'Type Chart'!$C$2:$U$20,8,false)</f>
        <v>0.5</v>
      </c>
      <c r="AB725" s="960">
        <f t="array" ref="AB725">HLOOKUP($J725,'Type Chart'!$C$2:$T$20,9,false)*HLOOKUP($K725,'Type Chart'!$C$2:$U$20,9,false)</f>
        <v>0</v>
      </c>
      <c r="AC725" s="960">
        <f t="array" ref="AC725">HLOOKUP($J725,'Type Chart'!$C$2:$T$20,10,false)*HLOOKUP($K725,'Type Chart'!$C$2:$U$20,10,false)</f>
        <v>1</v>
      </c>
      <c r="AD725" s="960">
        <f t="array" ref="AD725">HLOOKUP($J725,'Type Chart'!$C$2:$T$20,11,false)*HLOOKUP($K725,'Type Chart'!$C$2:$U$20,11,false)</f>
        <v>1</v>
      </c>
      <c r="AE725" s="960">
        <f t="array" ref="AE725">HLOOKUP($J725,'Type Chart'!$C$2:$T$20,12,false)*HLOOKUP($K725,'Type Chart'!$C$2:$U$20,12,false)</f>
        <v>1</v>
      </c>
      <c r="AF725" s="960">
        <f t="array" ref="AF725">HLOOKUP($J725,'Type Chart'!$C$2:$T$20,13,false)*HLOOKUP($K725,'Type Chart'!$C$2:$U$20,13,false)</f>
        <v>1</v>
      </c>
      <c r="AG725" s="960">
        <f t="array" ref="AG725">HLOOKUP($J725,'Type Chart'!$C$2:$T$20,14,false)*HLOOKUP($K725,'Type Chart'!$C$2:$U$20,14,false)</f>
        <v>1</v>
      </c>
      <c r="AH725" s="960">
        <f t="array" ref="AH725">HLOOKUP($J725,'Type Chart'!$C$2:$T$20,15,false)*HLOOKUP($K725,'Type Chart'!$C$2:$U$20,15,false)</f>
        <v>1</v>
      </c>
      <c r="AI725" s="960">
        <f t="array" ref="AI725">HLOOKUP($J725,'Type Chart'!$C$2:$T$20,16,false)*HLOOKUP($K725,'Type Chart'!$C$2:$U$20,16,false)</f>
        <v>1</v>
      </c>
      <c r="AJ725" s="960">
        <f t="array" ref="AJ725">HLOOKUP($J725,'Type Chart'!$C$2:$T$20,17,false)*HLOOKUP($K725,'Type Chart'!$C$2:$U$20,17,false)</f>
        <v>1</v>
      </c>
      <c r="AK725" s="960">
        <f t="array" ref="AK725">HLOOKUP($J725,'Type Chart'!$C$2:$T$20,18,false)*HLOOKUP($K725,'Type Chart'!$C$2:$U$20,18,false)</f>
        <v>2</v>
      </c>
      <c r="AL725" s="960">
        <f t="array" ref="AL725">HLOOKUP($J725,'Type Chart'!$C$2:$T$20,19,false)*HLOOKUP($K725,'Type Chart'!$C$2:$U$20,19,false)</f>
        <v>1</v>
      </c>
      <c r="AM725" s="964" t="s">
        <v>3028</v>
      </c>
      <c r="AN725" s="965"/>
      <c r="AO725" s="966"/>
      <c r="AP725" s="936"/>
      <c r="AQ725" s="967"/>
      <c r="AR725" s="968"/>
      <c r="AS725" s="936"/>
    </row>
    <row r="726" ht="15.75" customHeight="1">
      <c r="A726" s="1099"/>
      <c r="B726" s="948" t="s">
        <v>3030</v>
      </c>
      <c r="C726" s="1197" t="s">
        <v>3031</v>
      </c>
      <c r="D726" s="1197" t="s">
        <v>3031</v>
      </c>
      <c r="E726" s="1147" t="s">
        <v>3031</v>
      </c>
      <c r="F726" s="940"/>
      <c r="G726" s="953"/>
      <c r="H726" s="969"/>
      <c r="I726" s="998" t="s">
        <v>602</v>
      </c>
      <c r="J726" s="1229" t="s">
        <v>193</v>
      </c>
      <c r="K726" s="1199" t="s">
        <v>216</v>
      </c>
      <c r="L726" s="1200">
        <v>60.0</v>
      </c>
      <c r="M726" s="1201">
        <v>105.0</v>
      </c>
      <c r="N726" s="1201">
        <v>60.0</v>
      </c>
      <c r="O726" s="1201">
        <v>120.0</v>
      </c>
      <c r="P726" s="1201">
        <v>60.0</v>
      </c>
      <c r="Q726" s="1201">
        <v>105.0</v>
      </c>
      <c r="R726" s="960">
        <v>246.0</v>
      </c>
      <c r="S726" s="960">
        <v>309.0</v>
      </c>
      <c r="T726" s="960">
        <v>339.0</v>
      </c>
      <c r="U726" s="960">
        <f t="array" ref="U726">HLOOKUP($J726,'Type Chart'!$C$2:$T$20,2,false)*HLOOKUP($K726,'Type Chart'!$C$2:$U$20,2,false)</f>
        <v>1</v>
      </c>
      <c r="V726" s="960">
        <f t="array" ref="V726">HLOOKUP($J726,'Type Chart'!$C$2:$T$20,3,false)*HLOOKUP($K726,'Type Chart'!$C$2:$U$20,3,false)</f>
        <v>2</v>
      </c>
      <c r="W726" s="960">
        <f t="array" ref="W726">HLOOKUP($J726,'Type Chart'!$C$2:$T$20,4,false)*HLOOKUP($K726,'Type Chart'!$C$2:$U$20,4,false)</f>
        <v>1</v>
      </c>
      <c r="X726" s="960">
        <f t="array" ref="X726">HLOOKUP($J726,'Type Chart'!$C$2:$T$20,5,false)*HLOOKUP($K726,'Type Chart'!$C$2:$U$20,5,false)</f>
        <v>1</v>
      </c>
      <c r="Y726" s="960">
        <f t="array" ref="Y726">HLOOKUP($J726,'Type Chart'!$C$2:$T$20,6,false)*HLOOKUP($K726,'Type Chart'!$C$2:$U$20,6,false)</f>
        <v>1</v>
      </c>
      <c r="Z726" s="960">
        <f t="array" ref="Z726">HLOOKUP($J726,'Type Chart'!$C$2:$T$20,7,false)*HLOOKUP($K726,'Type Chart'!$C$2:$U$20,7,false)</f>
        <v>1</v>
      </c>
      <c r="AA726" s="960">
        <f t="array" ref="AA726">HLOOKUP($J726,'Type Chart'!$C$2:$T$20,8,false)*HLOOKUP($K726,'Type Chart'!$C$2:$U$20,8,false)</f>
        <v>2</v>
      </c>
      <c r="AB726" s="960">
        <f t="array" ref="AB726">HLOOKUP($J726,'Type Chart'!$C$2:$T$20,9,false)*HLOOKUP($K726,'Type Chart'!$C$2:$U$20,9,false)</f>
        <v>0.5</v>
      </c>
      <c r="AC726" s="960">
        <f t="array" ref="AC726">HLOOKUP($J726,'Type Chart'!$C$2:$T$20,10,false)*HLOOKUP($K726,'Type Chart'!$C$2:$U$20,10,false)</f>
        <v>1</v>
      </c>
      <c r="AD726" s="960">
        <f t="array" ref="AD726">HLOOKUP($J726,'Type Chart'!$C$2:$T$20,11,false)*HLOOKUP($K726,'Type Chart'!$C$2:$U$20,11,false)</f>
        <v>1</v>
      </c>
      <c r="AE726" s="960">
        <f t="array" ref="AE726">HLOOKUP($J726,'Type Chart'!$C$2:$T$20,12,false)*HLOOKUP($K726,'Type Chart'!$C$2:$U$20,12,false)</f>
        <v>1</v>
      </c>
      <c r="AF726" s="960">
        <f t="array" ref="AF726">HLOOKUP($J726,'Type Chart'!$C$2:$T$20,13,false)*HLOOKUP($K726,'Type Chart'!$C$2:$U$20,13,false)</f>
        <v>1</v>
      </c>
      <c r="AG726" s="960">
        <f t="array" ref="AG726">HLOOKUP($J726,'Type Chart'!$C$2:$T$20,14,false)*HLOOKUP($K726,'Type Chart'!$C$2:$U$20,14,false)</f>
        <v>1</v>
      </c>
      <c r="AH726" s="960">
        <f t="array" ref="AH726">HLOOKUP($J726,'Type Chart'!$C$2:$T$20,15,false)*HLOOKUP($K726,'Type Chart'!$C$2:$U$20,15,false)</f>
        <v>0</v>
      </c>
      <c r="AI726" s="960">
        <f t="array" ref="AI726">HLOOKUP($J726,'Type Chart'!$C$2:$T$20,16,false)*HLOOKUP($K726,'Type Chart'!$C$2:$U$20,16,false)</f>
        <v>1</v>
      </c>
      <c r="AJ726" s="960">
        <f t="array" ref="AJ726">HLOOKUP($J726,'Type Chart'!$C$2:$T$20,17,false)*HLOOKUP($K726,'Type Chart'!$C$2:$U$20,17,false)</f>
        <v>1</v>
      </c>
      <c r="AK726" s="960">
        <f t="array" ref="AK726">HLOOKUP($J726,'Type Chart'!$C$2:$T$20,18,false)*HLOOKUP($K726,'Type Chart'!$C$2:$U$20,18,false)</f>
        <v>0.5</v>
      </c>
      <c r="AL726" s="960">
        <f t="array" ref="AL726">HLOOKUP($J726,'Type Chart'!$C$2:$T$20,19,false)*HLOOKUP($K726,'Type Chart'!$C$2:$U$20,19,false)</f>
        <v>2</v>
      </c>
      <c r="AM726" s="1145" t="s">
        <v>3028</v>
      </c>
      <c r="AN726" s="1202"/>
      <c r="AO726" s="1146"/>
      <c r="AP726" s="936"/>
      <c r="AQ726" s="967"/>
      <c r="AR726" s="968"/>
      <c r="AS726" s="936"/>
    </row>
    <row r="727" ht="15.75" customHeight="1">
      <c r="A727" s="936"/>
      <c r="B727" s="948" t="s">
        <v>3032</v>
      </c>
      <c r="C727" s="950" t="str">
        <f t="shared" ref="C727:E727" si="12">C726&amp;"-hisui"</f>
        <v>zoroark-hisui</v>
      </c>
      <c r="D727" s="950" t="str">
        <f t="shared" si="12"/>
        <v>zoroark-hisui</v>
      </c>
      <c r="E727" s="952" t="str">
        <f t="shared" si="12"/>
        <v>zoroark-hisui</v>
      </c>
      <c r="F727" s="940"/>
      <c r="G727" s="953"/>
      <c r="H727" s="969"/>
      <c r="I727" s="956" t="s">
        <v>132</v>
      </c>
      <c r="J727" s="1194" t="s">
        <v>136</v>
      </c>
      <c r="K727" s="1220" t="s">
        <v>215</v>
      </c>
      <c r="L727" s="1237">
        <v>55.0</v>
      </c>
      <c r="M727" s="1238">
        <v>100.0</v>
      </c>
      <c r="N727" s="960">
        <v>60.0</v>
      </c>
      <c r="O727" s="1238">
        <v>125.0</v>
      </c>
      <c r="P727" s="960">
        <v>60.0</v>
      </c>
      <c r="Q727" s="1238">
        <v>110.0</v>
      </c>
      <c r="R727" s="960">
        <v>256.0</v>
      </c>
      <c r="S727" s="960">
        <v>319.0</v>
      </c>
      <c r="T727" s="960">
        <v>350.0</v>
      </c>
      <c r="U727" s="960">
        <f t="array" ref="U727">HLOOKUP($J727,'Type Chart'!$C$2:$T$20,2,false)*HLOOKUP($K727,'Type Chart'!$C$2:$U$20,2,false)</f>
        <v>0</v>
      </c>
      <c r="V727" s="960">
        <f t="array" ref="V727">HLOOKUP($J727,'Type Chart'!$C$2:$T$20,3,false)*HLOOKUP($K727,'Type Chart'!$C$2:$U$20,3,false)</f>
        <v>0</v>
      </c>
      <c r="W727" s="960">
        <f t="array" ref="W727">HLOOKUP($J727,'Type Chart'!$C$2:$T$20,4,false)*HLOOKUP($K727,'Type Chart'!$C$2:$U$20,4,false)</f>
        <v>1</v>
      </c>
      <c r="X727" s="960">
        <f t="array" ref="X727">HLOOKUP($J727,'Type Chart'!$C$2:$T$20,5,false)*HLOOKUP($K727,'Type Chart'!$C$2:$U$20,5,false)</f>
        <v>0.5</v>
      </c>
      <c r="Y727" s="960">
        <f t="array" ref="Y727">HLOOKUP($J727,'Type Chart'!$C$2:$T$20,6,false)*HLOOKUP($K727,'Type Chart'!$C$2:$U$20,6,false)</f>
        <v>1</v>
      </c>
      <c r="Z727" s="960">
        <f t="array" ref="Z727">HLOOKUP($J727,'Type Chart'!$C$2:$T$20,7,false)*HLOOKUP($K727,'Type Chart'!$C$2:$U$20,7,false)</f>
        <v>1</v>
      </c>
      <c r="AA727" s="960">
        <f t="array" ref="AA727">HLOOKUP($J727,'Type Chart'!$C$2:$T$20,8,false)*HLOOKUP($K727,'Type Chart'!$C$2:$U$20,8,false)</f>
        <v>0.5</v>
      </c>
      <c r="AB727" s="960">
        <f t="array" ref="AB727">HLOOKUP($J727,'Type Chart'!$C$2:$T$20,9,false)*HLOOKUP($K727,'Type Chart'!$C$2:$U$20,9,false)</f>
        <v>0</v>
      </c>
      <c r="AC727" s="960">
        <f t="array" ref="AC727">HLOOKUP($J727,'Type Chart'!$C$2:$T$20,10,false)*HLOOKUP($K727,'Type Chart'!$C$2:$U$20,10,false)</f>
        <v>1</v>
      </c>
      <c r="AD727" s="960">
        <f t="array" ref="AD727">HLOOKUP($J727,'Type Chart'!$C$2:$T$20,11,false)*HLOOKUP($K727,'Type Chart'!$C$2:$U$20,11,false)</f>
        <v>1</v>
      </c>
      <c r="AE727" s="960">
        <f t="array" ref="AE727">HLOOKUP($J727,'Type Chart'!$C$2:$T$20,12,false)*HLOOKUP($K727,'Type Chart'!$C$2:$U$20,12,false)</f>
        <v>1</v>
      </c>
      <c r="AF727" s="960">
        <f t="array" ref="AF727">HLOOKUP($J727,'Type Chart'!$C$2:$T$20,13,false)*HLOOKUP($K727,'Type Chart'!$C$2:$U$20,13,false)</f>
        <v>1</v>
      </c>
      <c r="AG727" s="960">
        <f t="array" ref="AG727">HLOOKUP($J727,'Type Chart'!$C$2:$T$20,14,false)*HLOOKUP($K727,'Type Chart'!$C$2:$U$20,14,false)</f>
        <v>1</v>
      </c>
      <c r="AH727" s="960">
        <f t="array" ref="AH727">HLOOKUP($J727,'Type Chart'!$C$2:$T$20,15,false)*HLOOKUP($K727,'Type Chart'!$C$2:$U$20,15,false)</f>
        <v>1</v>
      </c>
      <c r="AI727" s="960">
        <f t="array" ref="AI727">HLOOKUP($J727,'Type Chart'!$C$2:$T$20,16,false)*HLOOKUP($K727,'Type Chart'!$C$2:$U$20,16,false)</f>
        <v>1</v>
      </c>
      <c r="AJ727" s="960">
        <f t="array" ref="AJ727">HLOOKUP($J727,'Type Chart'!$C$2:$T$20,17,false)*HLOOKUP($K727,'Type Chart'!$C$2:$U$20,17,false)</f>
        <v>1</v>
      </c>
      <c r="AK727" s="960">
        <f t="array" ref="AK727">HLOOKUP($J727,'Type Chart'!$C$2:$T$20,18,false)*HLOOKUP($K727,'Type Chart'!$C$2:$U$20,18,false)</f>
        <v>2</v>
      </c>
      <c r="AL727" s="960">
        <f t="array" ref="AL727">HLOOKUP($J727,'Type Chart'!$C$2:$T$20,19,false)*HLOOKUP($K727,'Type Chart'!$C$2:$U$20,19,false)</f>
        <v>1</v>
      </c>
      <c r="AM727" s="964" t="s">
        <v>3028</v>
      </c>
      <c r="AN727" s="965"/>
      <c r="AO727" s="966"/>
      <c r="AP727" s="936"/>
      <c r="AQ727" s="967"/>
      <c r="AR727" s="968"/>
      <c r="AS727" s="936"/>
    </row>
    <row r="728" ht="15.75" customHeight="1">
      <c r="A728" s="936"/>
      <c r="B728" s="948" t="s">
        <v>3033</v>
      </c>
      <c r="C728" s="950" t="s">
        <v>3034</v>
      </c>
      <c r="D728" s="950" t="s">
        <v>3034</v>
      </c>
      <c r="E728" s="952" t="s">
        <v>3034</v>
      </c>
      <c r="F728" s="940"/>
      <c r="G728" s="953"/>
      <c r="H728" s="969"/>
      <c r="I728" s="956" t="s">
        <v>3035</v>
      </c>
      <c r="J728" s="1194" t="s">
        <v>136</v>
      </c>
      <c r="K728" s="984" t="s">
        <v>216</v>
      </c>
      <c r="L728" s="959">
        <v>55.0</v>
      </c>
      <c r="M728" s="960">
        <v>50.0</v>
      </c>
      <c r="N728" s="960">
        <v>40.0</v>
      </c>
      <c r="O728" s="960">
        <v>40.0</v>
      </c>
      <c r="P728" s="960">
        <v>40.0</v>
      </c>
      <c r="Q728" s="960">
        <v>75.0</v>
      </c>
      <c r="R728" s="960">
        <v>186.0</v>
      </c>
      <c r="S728" s="960">
        <v>249.0</v>
      </c>
      <c r="T728" s="960">
        <v>273.0</v>
      </c>
      <c r="U728" s="960">
        <f t="array" ref="U728">HLOOKUP($J728,'Type Chart'!$C$2:$T$20,2,false)*HLOOKUP($K728,'Type Chart'!$C$2:$U$20,2,false)</f>
        <v>1</v>
      </c>
      <c r="V728" s="960">
        <f t="array" ref="V728">HLOOKUP($J728,'Type Chart'!$C$2:$T$20,3,false)*HLOOKUP($K728,'Type Chart'!$C$2:$U$20,3,false)</f>
        <v>2</v>
      </c>
      <c r="W728" s="960">
        <f t="array" ref="W728">HLOOKUP($J728,'Type Chart'!$C$2:$T$20,4,false)*HLOOKUP($K728,'Type Chart'!$C$2:$U$20,4,false)</f>
        <v>1</v>
      </c>
      <c r="X728" s="960">
        <f t="array" ref="X728">HLOOKUP($J728,'Type Chart'!$C$2:$T$20,5,false)*HLOOKUP($K728,'Type Chart'!$C$2:$U$20,5,false)</f>
        <v>1</v>
      </c>
      <c r="Y728" s="960">
        <f t="array" ref="Y728">HLOOKUP($J728,'Type Chart'!$C$2:$T$20,6,false)*HLOOKUP($K728,'Type Chart'!$C$2:$U$20,6,false)</f>
        <v>1</v>
      </c>
      <c r="Z728" s="960">
        <f t="array" ref="Z728">HLOOKUP($J728,'Type Chart'!$C$2:$T$20,7,false)*HLOOKUP($K728,'Type Chart'!$C$2:$U$20,7,false)</f>
        <v>1</v>
      </c>
      <c r="AA728" s="960">
        <f t="array" ref="AA728">HLOOKUP($J728,'Type Chart'!$C$2:$T$20,8,false)*HLOOKUP($K728,'Type Chart'!$C$2:$U$20,8,false)</f>
        <v>1</v>
      </c>
      <c r="AB728" s="960">
        <f t="array" ref="AB728">HLOOKUP($J728,'Type Chart'!$C$2:$T$20,9,false)*HLOOKUP($K728,'Type Chart'!$C$2:$U$20,9,false)</f>
        <v>0</v>
      </c>
      <c r="AC728" s="960">
        <f t="array" ref="AC728">HLOOKUP($J728,'Type Chart'!$C$2:$T$20,10,false)*HLOOKUP($K728,'Type Chart'!$C$2:$U$20,10,false)</f>
        <v>1</v>
      </c>
      <c r="AD728" s="960">
        <f t="array" ref="AD728">HLOOKUP($J728,'Type Chart'!$C$2:$T$20,11,false)*HLOOKUP($K728,'Type Chart'!$C$2:$U$20,11,false)</f>
        <v>1</v>
      </c>
      <c r="AE728" s="960">
        <f t="array" ref="AE728">HLOOKUP($J728,'Type Chart'!$C$2:$T$20,12,false)*HLOOKUP($K728,'Type Chart'!$C$2:$U$20,12,false)</f>
        <v>1</v>
      </c>
      <c r="AF728" s="960">
        <f t="array" ref="AF728">HLOOKUP($J728,'Type Chart'!$C$2:$T$20,13,false)*HLOOKUP($K728,'Type Chart'!$C$2:$U$20,13,false)</f>
        <v>1</v>
      </c>
      <c r="AG728" s="960">
        <f t="array" ref="AG728">HLOOKUP($J728,'Type Chart'!$C$2:$T$20,14,false)*HLOOKUP($K728,'Type Chart'!$C$2:$U$20,14,false)</f>
        <v>1</v>
      </c>
      <c r="AH728" s="960">
        <f t="array" ref="AH728">HLOOKUP($J728,'Type Chart'!$C$2:$T$20,15,false)*HLOOKUP($K728,'Type Chart'!$C$2:$U$20,15,false)</f>
        <v>1</v>
      </c>
      <c r="AI728" s="960">
        <f t="array" ref="AI728">HLOOKUP($J728,'Type Chart'!$C$2:$T$20,16,false)*HLOOKUP($K728,'Type Chart'!$C$2:$U$20,16,false)</f>
        <v>1</v>
      </c>
      <c r="AJ728" s="960">
        <f t="array" ref="AJ728">HLOOKUP($J728,'Type Chart'!$C$2:$T$20,17,false)*HLOOKUP($K728,'Type Chart'!$C$2:$U$20,17,false)</f>
        <v>1</v>
      </c>
      <c r="AK728" s="960">
        <f t="array" ref="AK728">HLOOKUP($J728,'Type Chart'!$C$2:$T$20,18,false)*HLOOKUP($K728,'Type Chart'!$C$2:$U$20,18,false)</f>
        <v>1</v>
      </c>
      <c r="AL728" s="960">
        <f t="array" ref="AL728">HLOOKUP($J728,'Type Chart'!$C$2:$T$20,19,false)*HLOOKUP($K728,'Type Chart'!$C$2:$U$20,19,false)</f>
        <v>1</v>
      </c>
      <c r="AM728" s="964" t="s">
        <v>1165</v>
      </c>
      <c r="AN728" s="965" t="s">
        <v>1239</v>
      </c>
      <c r="AO728" s="966" t="s">
        <v>1430</v>
      </c>
      <c r="AP728" s="936"/>
      <c r="AQ728" s="967"/>
      <c r="AR728" s="968"/>
      <c r="AS728" s="936"/>
    </row>
    <row r="729" ht="15.75" customHeight="1">
      <c r="A729" s="936"/>
      <c r="B729" s="948" t="s">
        <v>3036</v>
      </c>
      <c r="C729" s="950" t="s">
        <v>189</v>
      </c>
      <c r="D729" s="950" t="s">
        <v>189</v>
      </c>
      <c r="E729" s="952" t="s">
        <v>189</v>
      </c>
      <c r="F729" s="940"/>
      <c r="G729" s="953"/>
      <c r="H729" s="969"/>
      <c r="I729" s="956" t="s">
        <v>131</v>
      </c>
      <c r="J729" s="1194" t="s">
        <v>136</v>
      </c>
      <c r="K729" s="984" t="s">
        <v>216</v>
      </c>
      <c r="L729" s="959">
        <v>75.0</v>
      </c>
      <c r="M729" s="960">
        <v>95.0</v>
      </c>
      <c r="N729" s="960">
        <v>60.0</v>
      </c>
      <c r="O729" s="960">
        <v>65.0</v>
      </c>
      <c r="P729" s="960">
        <v>60.0</v>
      </c>
      <c r="Q729" s="960">
        <v>115.0</v>
      </c>
      <c r="R729" s="960">
        <v>266.0</v>
      </c>
      <c r="S729" s="960">
        <v>329.0</v>
      </c>
      <c r="T729" s="960">
        <v>361.0</v>
      </c>
      <c r="U729" s="960">
        <f t="array" ref="U729">HLOOKUP($J729,'Type Chart'!$C$2:$T$20,2,false)*HLOOKUP($K729,'Type Chart'!$C$2:$U$20,2,false)</f>
        <v>1</v>
      </c>
      <c r="V729" s="960">
        <f t="array" ref="V729">HLOOKUP($J729,'Type Chart'!$C$2:$T$20,3,false)*HLOOKUP($K729,'Type Chart'!$C$2:$U$20,3,false)</f>
        <v>2</v>
      </c>
      <c r="W729" s="960">
        <f t="array" ref="W729">HLOOKUP($J729,'Type Chart'!$C$2:$T$20,4,false)*HLOOKUP($K729,'Type Chart'!$C$2:$U$20,4,false)</f>
        <v>1</v>
      </c>
      <c r="X729" s="960">
        <f t="array" ref="X729">HLOOKUP($J729,'Type Chart'!$C$2:$T$20,5,false)*HLOOKUP($K729,'Type Chart'!$C$2:$U$20,5,false)</f>
        <v>1</v>
      </c>
      <c r="Y729" s="960">
        <f t="array" ref="Y729">HLOOKUP($J729,'Type Chart'!$C$2:$T$20,6,false)*HLOOKUP($K729,'Type Chart'!$C$2:$U$20,6,false)</f>
        <v>1</v>
      </c>
      <c r="Z729" s="960">
        <f t="array" ref="Z729">HLOOKUP($J729,'Type Chart'!$C$2:$T$20,7,false)*HLOOKUP($K729,'Type Chart'!$C$2:$U$20,7,false)</f>
        <v>1</v>
      </c>
      <c r="AA729" s="960">
        <f t="array" ref="AA729">HLOOKUP($J729,'Type Chart'!$C$2:$T$20,8,false)*HLOOKUP($K729,'Type Chart'!$C$2:$U$20,8,false)</f>
        <v>1</v>
      </c>
      <c r="AB729" s="960">
        <f t="array" ref="AB729">HLOOKUP($J729,'Type Chart'!$C$2:$T$20,9,false)*HLOOKUP($K729,'Type Chart'!$C$2:$U$20,9,false)</f>
        <v>0</v>
      </c>
      <c r="AC729" s="960">
        <f t="array" ref="AC729">HLOOKUP($J729,'Type Chart'!$C$2:$T$20,10,false)*HLOOKUP($K729,'Type Chart'!$C$2:$U$20,10,false)</f>
        <v>1</v>
      </c>
      <c r="AD729" s="960">
        <f t="array" ref="AD729">HLOOKUP($J729,'Type Chart'!$C$2:$T$20,11,false)*HLOOKUP($K729,'Type Chart'!$C$2:$U$20,11,false)</f>
        <v>1</v>
      </c>
      <c r="AE729" s="960">
        <f t="array" ref="AE729">HLOOKUP($J729,'Type Chart'!$C$2:$T$20,12,false)*HLOOKUP($K729,'Type Chart'!$C$2:$U$20,12,false)</f>
        <v>1</v>
      </c>
      <c r="AF729" s="960">
        <f t="array" ref="AF729">HLOOKUP($J729,'Type Chart'!$C$2:$T$20,13,false)*HLOOKUP($K729,'Type Chart'!$C$2:$U$20,13,false)</f>
        <v>1</v>
      </c>
      <c r="AG729" s="960">
        <f t="array" ref="AG729">HLOOKUP($J729,'Type Chart'!$C$2:$T$20,14,false)*HLOOKUP($K729,'Type Chart'!$C$2:$U$20,14,false)</f>
        <v>1</v>
      </c>
      <c r="AH729" s="960">
        <f t="array" ref="AH729">HLOOKUP($J729,'Type Chart'!$C$2:$T$20,15,false)*HLOOKUP($K729,'Type Chart'!$C$2:$U$20,15,false)</f>
        <v>1</v>
      </c>
      <c r="AI729" s="960">
        <f t="array" ref="AI729">HLOOKUP($J729,'Type Chart'!$C$2:$T$20,16,false)*HLOOKUP($K729,'Type Chart'!$C$2:$U$20,16,false)</f>
        <v>1</v>
      </c>
      <c r="AJ729" s="960">
        <f t="array" ref="AJ729">HLOOKUP($J729,'Type Chart'!$C$2:$T$20,17,false)*HLOOKUP($K729,'Type Chart'!$C$2:$U$20,17,false)</f>
        <v>1</v>
      </c>
      <c r="AK729" s="960">
        <f t="array" ref="AK729">HLOOKUP($J729,'Type Chart'!$C$2:$T$20,18,false)*HLOOKUP($K729,'Type Chart'!$C$2:$U$20,18,false)</f>
        <v>1</v>
      </c>
      <c r="AL729" s="960">
        <f t="array" ref="AL729">HLOOKUP($J729,'Type Chart'!$C$2:$T$20,19,false)*HLOOKUP($K729,'Type Chart'!$C$2:$U$20,19,false)</f>
        <v>1</v>
      </c>
      <c r="AM729" s="964" t="s">
        <v>1165</v>
      </c>
      <c r="AN729" s="965" t="s">
        <v>1239</v>
      </c>
      <c r="AO729" s="966" t="s">
        <v>1430</v>
      </c>
      <c r="AP729" s="936"/>
      <c r="AQ729" s="967"/>
      <c r="AR729" s="968"/>
      <c r="AS729" s="936"/>
    </row>
    <row r="730" ht="15.75" customHeight="1">
      <c r="A730" s="936"/>
      <c r="B730" s="948" t="s">
        <v>3037</v>
      </c>
      <c r="C730" s="950" t="s">
        <v>3038</v>
      </c>
      <c r="D730" s="950" t="s">
        <v>3038</v>
      </c>
      <c r="E730" s="952" t="s">
        <v>3038</v>
      </c>
      <c r="F730" s="940"/>
      <c r="G730" s="953"/>
      <c r="H730" s="969"/>
      <c r="I730" s="956" t="s">
        <v>3039</v>
      </c>
      <c r="J730" s="1203" t="s">
        <v>344</v>
      </c>
      <c r="K730" s="984" t="s">
        <v>216</v>
      </c>
      <c r="L730" s="959">
        <v>45.0</v>
      </c>
      <c r="M730" s="960">
        <v>30.0</v>
      </c>
      <c r="N730" s="960">
        <v>50.0</v>
      </c>
      <c r="O730" s="960">
        <v>55.0</v>
      </c>
      <c r="P730" s="960">
        <v>65.0</v>
      </c>
      <c r="Q730" s="960">
        <v>45.0</v>
      </c>
      <c r="R730" s="960">
        <v>126.0</v>
      </c>
      <c r="S730" s="960">
        <v>189.0</v>
      </c>
      <c r="T730" s="960">
        <v>207.0</v>
      </c>
      <c r="U730" s="960">
        <f t="array" ref="U730">HLOOKUP($J730,'Type Chart'!$C$2:$T$20,2,false)*HLOOKUP($K730,'Type Chart'!$C$2:$U$20,2,false)</f>
        <v>1</v>
      </c>
      <c r="V730" s="960">
        <f t="array" ref="V730">HLOOKUP($J730,'Type Chart'!$C$2:$T$20,3,false)*HLOOKUP($K730,'Type Chart'!$C$2:$U$20,3,false)</f>
        <v>0.5</v>
      </c>
      <c r="W730" s="960">
        <f t="array" ref="W730">HLOOKUP($J730,'Type Chart'!$C$2:$T$20,4,false)*HLOOKUP($K730,'Type Chart'!$C$2:$U$20,4,false)</f>
        <v>1</v>
      </c>
      <c r="X730" s="960">
        <f t="array" ref="X730">HLOOKUP($J730,'Type Chart'!$C$2:$T$20,5,false)*HLOOKUP($K730,'Type Chart'!$C$2:$U$20,5,false)</f>
        <v>1</v>
      </c>
      <c r="Y730" s="960">
        <f t="array" ref="Y730">HLOOKUP($J730,'Type Chart'!$C$2:$T$20,6,false)*HLOOKUP($K730,'Type Chart'!$C$2:$U$20,6,false)</f>
        <v>1</v>
      </c>
      <c r="Z730" s="960">
        <f t="array" ref="Z730">HLOOKUP($J730,'Type Chart'!$C$2:$T$20,7,false)*HLOOKUP($K730,'Type Chart'!$C$2:$U$20,7,false)</f>
        <v>1</v>
      </c>
      <c r="AA730" s="960">
        <f t="array" ref="AA730">HLOOKUP($J730,'Type Chart'!$C$2:$T$20,8,false)*HLOOKUP($K730,'Type Chart'!$C$2:$U$20,8,false)</f>
        <v>2</v>
      </c>
      <c r="AB730" s="960">
        <f t="array" ref="AB730">HLOOKUP($J730,'Type Chart'!$C$2:$T$20,9,false)*HLOOKUP($K730,'Type Chart'!$C$2:$U$20,9,false)</f>
        <v>2</v>
      </c>
      <c r="AC730" s="960">
        <f t="array" ref="AC730">HLOOKUP($J730,'Type Chart'!$C$2:$T$20,10,false)*HLOOKUP($K730,'Type Chart'!$C$2:$U$20,10,false)</f>
        <v>1</v>
      </c>
      <c r="AD730" s="960">
        <f t="array" ref="AD730">HLOOKUP($J730,'Type Chart'!$C$2:$T$20,11,false)*HLOOKUP($K730,'Type Chart'!$C$2:$U$20,11,false)</f>
        <v>1</v>
      </c>
      <c r="AE730" s="960">
        <f t="array" ref="AE730">HLOOKUP($J730,'Type Chart'!$C$2:$T$20,12,false)*HLOOKUP($K730,'Type Chart'!$C$2:$U$20,12,false)</f>
        <v>1</v>
      </c>
      <c r="AF730" s="960">
        <f t="array" ref="AF730">HLOOKUP($J730,'Type Chart'!$C$2:$T$20,13,false)*HLOOKUP($K730,'Type Chart'!$C$2:$U$20,13,false)</f>
        <v>1</v>
      </c>
      <c r="AG730" s="960">
        <f t="array" ref="AG730">HLOOKUP($J730,'Type Chart'!$C$2:$T$20,14,false)*HLOOKUP($K730,'Type Chart'!$C$2:$U$20,14,false)</f>
        <v>1</v>
      </c>
      <c r="AH730" s="960">
        <f t="array" ref="AH730">HLOOKUP($J730,'Type Chart'!$C$2:$T$20,15,false)*HLOOKUP($K730,'Type Chart'!$C$2:$U$20,15,false)</f>
        <v>0.5</v>
      </c>
      <c r="AI730" s="960">
        <f t="array" ref="AI730">HLOOKUP($J730,'Type Chart'!$C$2:$T$20,16,false)*HLOOKUP($K730,'Type Chart'!$C$2:$U$20,16,false)</f>
        <v>1</v>
      </c>
      <c r="AJ730" s="960">
        <f t="array" ref="AJ730">HLOOKUP($J730,'Type Chart'!$C$2:$T$20,17,false)*HLOOKUP($K730,'Type Chart'!$C$2:$U$20,17,false)</f>
        <v>1</v>
      </c>
      <c r="AK730" s="960">
        <f t="array" ref="AK730">HLOOKUP($J730,'Type Chart'!$C$2:$T$20,18,false)*HLOOKUP($K730,'Type Chart'!$C$2:$U$20,18,false)</f>
        <v>2</v>
      </c>
      <c r="AL730" s="960">
        <f t="array" ref="AL730">HLOOKUP($J730,'Type Chart'!$C$2:$T$20,19,false)*HLOOKUP($K730,'Type Chart'!$C$2:$U$20,19,false)</f>
        <v>1</v>
      </c>
      <c r="AM730" s="964" t="s">
        <v>1188</v>
      </c>
      <c r="AN730" s="965" t="s">
        <v>1185</v>
      </c>
      <c r="AO730" s="966" t="s">
        <v>1446</v>
      </c>
      <c r="AP730" s="936"/>
      <c r="AQ730" s="967"/>
      <c r="AR730" s="968"/>
      <c r="AS730" s="936"/>
    </row>
    <row r="731" ht="15.75" customHeight="1">
      <c r="A731" s="936"/>
      <c r="B731" s="948" t="s">
        <v>3040</v>
      </c>
      <c r="C731" s="950" t="s">
        <v>3041</v>
      </c>
      <c r="D731" s="950" t="s">
        <v>3041</v>
      </c>
      <c r="E731" s="952" t="s">
        <v>3041</v>
      </c>
      <c r="F731" s="940"/>
      <c r="G731" s="953"/>
      <c r="H731" s="969"/>
      <c r="I731" s="998" t="s">
        <v>650</v>
      </c>
      <c r="J731" s="1203" t="s">
        <v>344</v>
      </c>
      <c r="K731" s="984" t="s">
        <v>216</v>
      </c>
      <c r="L731" s="959">
        <v>60.0</v>
      </c>
      <c r="M731" s="960">
        <v>45.0</v>
      </c>
      <c r="N731" s="960">
        <v>70.0</v>
      </c>
      <c r="O731" s="960">
        <v>75.0</v>
      </c>
      <c r="P731" s="960">
        <v>85.0</v>
      </c>
      <c r="Q731" s="960">
        <v>55.0</v>
      </c>
      <c r="R731" s="960">
        <v>146.0</v>
      </c>
      <c r="S731" s="960">
        <v>209.0</v>
      </c>
      <c r="T731" s="960">
        <v>229.0</v>
      </c>
      <c r="U731" s="960">
        <f t="array" ref="U731">HLOOKUP($J731,'Type Chart'!$C$2:$T$20,2,false)*HLOOKUP($K731,'Type Chart'!$C$2:$U$20,2,false)</f>
        <v>1</v>
      </c>
      <c r="V731" s="960">
        <f t="array" ref="V731">HLOOKUP($J731,'Type Chart'!$C$2:$T$20,3,false)*HLOOKUP($K731,'Type Chart'!$C$2:$U$20,3,false)</f>
        <v>0.5</v>
      </c>
      <c r="W731" s="960">
        <f t="array" ref="W731">HLOOKUP($J731,'Type Chart'!$C$2:$T$20,4,false)*HLOOKUP($K731,'Type Chart'!$C$2:$U$20,4,false)</f>
        <v>1</v>
      </c>
      <c r="X731" s="960">
        <f t="array" ref="X731">HLOOKUP($J731,'Type Chart'!$C$2:$T$20,5,false)*HLOOKUP($K731,'Type Chart'!$C$2:$U$20,5,false)</f>
        <v>1</v>
      </c>
      <c r="Y731" s="960">
        <f t="array" ref="Y731">HLOOKUP($J731,'Type Chart'!$C$2:$T$20,6,false)*HLOOKUP($K731,'Type Chart'!$C$2:$U$20,6,false)</f>
        <v>1</v>
      </c>
      <c r="Z731" s="960">
        <f t="array" ref="Z731">HLOOKUP($J731,'Type Chart'!$C$2:$T$20,7,false)*HLOOKUP($K731,'Type Chart'!$C$2:$U$20,7,false)</f>
        <v>1</v>
      </c>
      <c r="AA731" s="960">
        <f t="array" ref="AA731">HLOOKUP($J731,'Type Chart'!$C$2:$T$20,8,false)*HLOOKUP($K731,'Type Chart'!$C$2:$U$20,8,false)</f>
        <v>2</v>
      </c>
      <c r="AB731" s="960">
        <f t="array" ref="AB731">HLOOKUP($J731,'Type Chart'!$C$2:$T$20,9,false)*HLOOKUP($K731,'Type Chart'!$C$2:$U$20,9,false)</f>
        <v>2</v>
      </c>
      <c r="AC731" s="960">
        <f t="array" ref="AC731">HLOOKUP($J731,'Type Chart'!$C$2:$T$20,10,false)*HLOOKUP($K731,'Type Chart'!$C$2:$U$20,10,false)</f>
        <v>1</v>
      </c>
      <c r="AD731" s="960">
        <f t="array" ref="AD731">HLOOKUP($J731,'Type Chart'!$C$2:$T$20,11,false)*HLOOKUP($K731,'Type Chart'!$C$2:$U$20,11,false)</f>
        <v>1</v>
      </c>
      <c r="AE731" s="960">
        <f t="array" ref="AE731">HLOOKUP($J731,'Type Chart'!$C$2:$T$20,12,false)*HLOOKUP($K731,'Type Chart'!$C$2:$U$20,12,false)</f>
        <v>1</v>
      </c>
      <c r="AF731" s="960">
        <f t="array" ref="AF731">HLOOKUP($J731,'Type Chart'!$C$2:$T$20,13,false)*HLOOKUP($K731,'Type Chart'!$C$2:$U$20,13,false)</f>
        <v>1</v>
      </c>
      <c r="AG731" s="960">
        <f t="array" ref="AG731">HLOOKUP($J731,'Type Chart'!$C$2:$T$20,14,false)*HLOOKUP($K731,'Type Chart'!$C$2:$U$20,14,false)</f>
        <v>1</v>
      </c>
      <c r="AH731" s="960">
        <f t="array" ref="AH731">HLOOKUP($J731,'Type Chart'!$C$2:$T$20,15,false)*HLOOKUP($K731,'Type Chart'!$C$2:$U$20,15,false)</f>
        <v>0.5</v>
      </c>
      <c r="AI731" s="960">
        <f t="array" ref="AI731">HLOOKUP($J731,'Type Chart'!$C$2:$T$20,16,false)*HLOOKUP($K731,'Type Chart'!$C$2:$U$20,16,false)</f>
        <v>1</v>
      </c>
      <c r="AJ731" s="960">
        <f t="array" ref="AJ731">HLOOKUP($J731,'Type Chart'!$C$2:$T$20,17,false)*HLOOKUP($K731,'Type Chart'!$C$2:$U$20,17,false)</f>
        <v>1</v>
      </c>
      <c r="AK731" s="960">
        <f t="array" ref="AK731">HLOOKUP($J731,'Type Chart'!$C$2:$T$20,18,false)*HLOOKUP($K731,'Type Chart'!$C$2:$U$20,18,false)</f>
        <v>2</v>
      </c>
      <c r="AL731" s="960">
        <f t="array" ref="AL731">HLOOKUP($J731,'Type Chart'!$C$2:$T$20,19,false)*HLOOKUP($K731,'Type Chart'!$C$2:$U$20,19,false)</f>
        <v>1</v>
      </c>
      <c r="AM731" s="964" t="s">
        <v>1188</v>
      </c>
      <c r="AN731" s="965" t="s">
        <v>1185</v>
      </c>
      <c r="AO731" s="966" t="s">
        <v>1446</v>
      </c>
      <c r="AP731" s="936"/>
      <c r="AQ731" s="967"/>
      <c r="AR731" s="968"/>
      <c r="AS731" s="936"/>
    </row>
    <row r="732" ht="15.75" customHeight="1">
      <c r="A732" s="1099"/>
      <c r="B732" s="948" t="s">
        <v>3042</v>
      </c>
      <c r="C732" s="950" t="s">
        <v>3043</v>
      </c>
      <c r="D732" s="950" t="s">
        <v>3043</v>
      </c>
      <c r="E732" s="952" t="s">
        <v>3043</v>
      </c>
      <c r="F732" s="940"/>
      <c r="G732" s="953"/>
      <c r="H732" s="969"/>
      <c r="I732" s="956" t="s">
        <v>491</v>
      </c>
      <c r="J732" s="1203" t="s">
        <v>344</v>
      </c>
      <c r="K732" s="984" t="s">
        <v>216</v>
      </c>
      <c r="L732" s="959">
        <v>70.0</v>
      </c>
      <c r="M732" s="960">
        <v>55.0</v>
      </c>
      <c r="N732" s="960">
        <v>95.0</v>
      </c>
      <c r="O732" s="960">
        <v>95.0</v>
      </c>
      <c r="P732" s="960">
        <v>110.0</v>
      </c>
      <c r="Q732" s="960">
        <v>65.0</v>
      </c>
      <c r="R732" s="960">
        <v>166.0</v>
      </c>
      <c r="S732" s="960">
        <v>229.0</v>
      </c>
      <c r="T732" s="960">
        <v>251.0</v>
      </c>
      <c r="U732" s="960">
        <f t="array" ref="U732">HLOOKUP($J732,'Type Chart'!$C$2:$T$20,2,false)*HLOOKUP($K732,'Type Chart'!$C$2:$U$20,2,false)</f>
        <v>1</v>
      </c>
      <c r="V732" s="960">
        <f t="array" ref="V732">HLOOKUP($J732,'Type Chart'!$C$2:$T$20,3,false)*HLOOKUP($K732,'Type Chart'!$C$2:$U$20,3,false)</f>
        <v>0.5</v>
      </c>
      <c r="W732" s="960">
        <f t="array" ref="W732">HLOOKUP($J732,'Type Chart'!$C$2:$T$20,4,false)*HLOOKUP($K732,'Type Chart'!$C$2:$U$20,4,false)</f>
        <v>1</v>
      </c>
      <c r="X732" s="960">
        <f t="array" ref="X732">HLOOKUP($J732,'Type Chart'!$C$2:$T$20,5,false)*HLOOKUP($K732,'Type Chart'!$C$2:$U$20,5,false)</f>
        <v>1</v>
      </c>
      <c r="Y732" s="960">
        <f t="array" ref="Y732">HLOOKUP($J732,'Type Chart'!$C$2:$T$20,6,false)*HLOOKUP($K732,'Type Chart'!$C$2:$U$20,6,false)</f>
        <v>1</v>
      </c>
      <c r="Z732" s="960">
        <f t="array" ref="Z732">HLOOKUP($J732,'Type Chart'!$C$2:$T$20,7,false)*HLOOKUP($K732,'Type Chart'!$C$2:$U$20,7,false)</f>
        <v>1</v>
      </c>
      <c r="AA732" s="960">
        <f t="array" ref="AA732">HLOOKUP($J732,'Type Chart'!$C$2:$T$20,8,false)*HLOOKUP($K732,'Type Chart'!$C$2:$U$20,8,false)</f>
        <v>2</v>
      </c>
      <c r="AB732" s="960">
        <f t="array" ref="AB732">HLOOKUP($J732,'Type Chart'!$C$2:$T$20,9,false)*HLOOKUP($K732,'Type Chart'!$C$2:$U$20,9,false)</f>
        <v>2</v>
      </c>
      <c r="AC732" s="960">
        <f t="array" ref="AC732">HLOOKUP($J732,'Type Chart'!$C$2:$T$20,10,false)*HLOOKUP($K732,'Type Chart'!$C$2:$U$20,10,false)</f>
        <v>1</v>
      </c>
      <c r="AD732" s="960">
        <f t="array" ref="AD732">HLOOKUP($J732,'Type Chart'!$C$2:$T$20,11,false)*HLOOKUP($K732,'Type Chart'!$C$2:$U$20,11,false)</f>
        <v>1</v>
      </c>
      <c r="AE732" s="960">
        <f t="array" ref="AE732">HLOOKUP($J732,'Type Chart'!$C$2:$T$20,12,false)*HLOOKUP($K732,'Type Chart'!$C$2:$U$20,12,false)</f>
        <v>1</v>
      </c>
      <c r="AF732" s="960">
        <f t="array" ref="AF732">HLOOKUP($J732,'Type Chart'!$C$2:$T$20,13,false)*HLOOKUP($K732,'Type Chart'!$C$2:$U$20,13,false)</f>
        <v>1</v>
      </c>
      <c r="AG732" s="960">
        <f t="array" ref="AG732">HLOOKUP($J732,'Type Chart'!$C$2:$T$20,14,false)*HLOOKUP($K732,'Type Chart'!$C$2:$U$20,14,false)</f>
        <v>1</v>
      </c>
      <c r="AH732" s="960">
        <f t="array" ref="AH732">HLOOKUP($J732,'Type Chart'!$C$2:$T$20,15,false)*HLOOKUP($K732,'Type Chart'!$C$2:$U$20,15,false)</f>
        <v>0.5</v>
      </c>
      <c r="AI732" s="960">
        <f t="array" ref="AI732">HLOOKUP($J732,'Type Chart'!$C$2:$T$20,16,false)*HLOOKUP($K732,'Type Chart'!$C$2:$U$20,16,false)</f>
        <v>1</v>
      </c>
      <c r="AJ732" s="960">
        <f t="array" ref="AJ732">HLOOKUP($J732,'Type Chart'!$C$2:$T$20,17,false)*HLOOKUP($K732,'Type Chart'!$C$2:$U$20,17,false)</f>
        <v>1</v>
      </c>
      <c r="AK732" s="960">
        <f t="array" ref="AK732">HLOOKUP($J732,'Type Chart'!$C$2:$T$20,18,false)*HLOOKUP($K732,'Type Chart'!$C$2:$U$20,18,false)</f>
        <v>2</v>
      </c>
      <c r="AL732" s="960">
        <f t="array" ref="AL732">HLOOKUP($J732,'Type Chart'!$C$2:$T$20,19,false)*HLOOKUP($K732,'Type Chart'!$C$2:$U$20,19,false)</f>
        <v>1</v>
      </c>
      <c r="AM732" s="1145" t="s">
        <v>1188</v>
      </c>
      <c r="AN732" s="1202" t="s">
        <v>1185</v>
      </c>
      <c r="AO732" s="1146" t="s">
        <v>1446</v>
      </c>
      <c r="AP732" s="936"/>
      <c r="AQ732" s="967"/>
      <c r="AR732" s="968"/>
      <c r="AS732" s="936"/>
    </row>
    <row r="733" ht="15.75" customHeight="1">
      <c r="A733" s="1099"/>
      <c r="B733" s="948" t="s">
        <v>3044</v>
      </c>
      <c r="C733" s="950" t="s">
        <v>3045</v>
      </c>
      <c r="D733" s="950" t="s">
        <v>3045</v>
      </c>
      <c r="E733" s="952" t="s">
        <v>3045</v>
      </c>
      <c r="F733" s="940"/>
      <c r="G733" s="953"/>
      <c r="H733" s="969"/>
      <c r="I733" s="956" t="s">
        <v>3046</v>
      </c>
      <c r="J733" s="1203" t="s">
        <v>344</v>
      </c>
      <c r="K733" s="984" t="s">
        <v>216</v>
      </c>
      <c r="L733" s="959">
        <v>45.0</v>
      </c>
      <c r="M733" s="960">
        <v>30.0</v>
      </c>
      <c r="N733" s="960">
        <v>40.0</v>
      </c>
      <c r="O733" s="960">
        <v>105.0</v>
      </c>
      <c r="P733" s="960">
        <v>50.0</v>
      </c>
      <c r="Q733" s="960">
        <v>20.0</v>
      </c>
      <c r="R733" s="960">
        <v>76.0</v>
      </c>
      <c r="S733" s="960">
        <v>139.0</v>
      </c>
      <c r="T733" s="960">
        <v>152.0</v>
      </c>
      <c r="U733" s="960">
        <f t="array" ref="U733">HLOOKUP($J733,'Type Chart'!$C$2:$T$20,2,false)*HLOOKUP($K733,'Type Chart'!$C$2:$U$20,2,false)</f>
        <v>1</v>
      </c>
      <c r="V733" s="960">
        <f t="array" ref="V733">HLOOKUP($J733,'Type Chart'!$C$2:$T$20,3,false)*HLOOKUP($K733,'Type Chart'!$C$2:$U$20,3,false)</f>
        <v>0.5</v>
      </c>
      <c r="W733" s="960">
        <f t="array" ref="W733">HLOOKUP($J733,'Type Chart'!$C$2:$T$20,4,false)*HLOOKUP($K733,'Type Chart'!$C$2:$U$20,4,false)</f>
        <v>1</v>
      </c>
      <c r="X733" s="960">
        <f t="array" ref="X733">HLOOKUP($J733,'Type Chart'!$C$2:$T$20,5,false)*HLOOKUP($K733,'Type Chart'!$C$2:$U$20,5,false)</f>
        <v>1</v>
      </c>
      <c r="Y733" s="960">
        <f t="array" ref="Y733">HLOOKUP($J733,'Type Chart'!$C$2:$T$20,6,false)*HLOOKUP($K733,'Type Chart'!$C$2:$U$20,6,false)</f>
        <v>1</v>
      </c>
      <c r="Z733" s="960">
        <f t="array" ref="Z733">HLOOKUP($J733,'Type Chart'!$C$2:$T$20,7,false)*HLOOKUP($K733,'Type Chart'!$C$2:$U$20,7,false)</f>
        <v>1</v>
      </c>
      <c r="AA733" s="960">
        <f t="array" ref="AA733">HLOOKUP($J733,'Type Chart'!$C$2:$T$20,8,false)*HLOOKUP($K733,'Type Chart'!$C$2:$U$20,8,false)</f>
        <v>2</v>
      </c>
      <c r="AB733" s="960">
        <f t="array" ref="AB733">HLOOKUP($J733,'Type Chart'!$C$2:$T$20,9,false)*HLOOKUP($K733,'Type Chart'!$C$2:$U$20,9,false)</f>
        <v>2</v>
      </c>
      <c r="AC733" s="960">
        <f t="array" ref="AC733">HLOOKUP($J733,'Type Chart'!$C$2:$T$20,10,false)*HLOOKUP($K733,'Type Chart'!$C$2:$U$20,10,false)</f>
        <v>1</v>
      </c>
      <c r="AD733" s="960">
        <f t="array" ref="AD733">HLOOKUP($J733,'Type Chart'!$C$2:$T$20,11,false)*HLOOKUP($K733,'Type Chart'!$C$2:$U$20,11,false)</f>
        <v>1</v>
      </c>
      <c r="AE733" s="960">
        <f t="array" ref="AE733">HLOOKUP($J733,'Type Chart'!$C$2:$T$20,12,false)*HLOOKUP($K733,'Type Chart'!$C$2:$U$20,12,false)</f>
        <v>1</v>
      </c>
      <c r="AF733" s="960">
        <f t="array" ref="AF733">HLOOKUP($J733,'Type Chart'!$C$2:$T$20,13,false)*HLOOKUP($K733,'Type Chart'!$C$2:$U$20,13,false)</f>
        <v>1</v>
      </c>
      <c r="AG733" s="960">
        <f t="array" ref="AG733">HLOOKUP($J733,'Type Chart'!$C$2:$T$20,14,false)*HLOOKUP($K733,'Type Chart'!$C$2:$U$20,14,false)</f>
        <v>1</v>
      </c>
      <c r="AH733" s="960">
        <f t="array" ref="AH733">HLOOKUP($J733,'Type Chart'!$C$2:$T$20,15,false)*HLOOKUP($K733,'Type Chart'!$C$2:$U$20,15,false)</f>
        <v>0.5</v>
      </c>
      <c r="AI733" s="960">
        <f t="array" ref="AI733">HLOOKUP($J733,'Type Chart'!$C$2:$T$20,16,false)*HLOOKUP($K733,'Type Chart'!$C$2:$U$20,16,false)</f>
        <v>1</v>
      </c>
      <c r="AJ733" s="960">
        <f t="array" ref="AJ733">HLOOKUP($J733,'Type Chart'!$C$2:$T$20,17,false)*HLOOKUP($K733,'Type Chart'!$C$2:$U$20,17,false)</f>
        <v>1</v>
      </c>
      <c r="AK733" s="960">
        <f t="array" ref="AK733">HLOOKUP($J733,'Type Chart'!$C$2:$T$20,18,false)*HLOOKUP($K733,'Type Chart'!$C$2:$U$20,18,false)</f>
        <v>2</v>
      </c>
      <c r="AL733" s="960">
        <f t="array" ref="AL733">HLOOKUP($J733,'Type Chart'!$C$2:$T$20,19,false)*HLOOKUP($K733,'Type Chart'!$C$2:$U$20,19,false)</f>
        <v>1</v>
      </c>
      <c r="AM733" s="1145" t="s">
        <v>1431</v>
      </c>
      <c r="AN733" s="965" t="s">
        <v>1166</v>
      </c>
      <c r="AO733" s="966" t="s">
        <v>1371</v>
      </c>
      <c r="AP733" s="936"/>
      <c r="AQ733" s="967"/>
      <c r="AR733" s="968"/>
      <c r="AS733" s="936"/>
    </row>
    <row r="734" ht="15.75" customHeight="1">
      <c r="A734" s="1099"/>
      <c r="B734" s="948" t="s">
        <v>3047</v>
      </c>
      <c r="C734" s="950" t="s">
        <v>3048</v>
      </c>
      <c r="D734" s="950" t="s">
        <v>3048</v>
      </c>
      <c r="E734" s="952" t="s">
        <v>3048</v>
      </c>
      <c r="F734" s="940"/>
      <c r="G734" s="953"/>
      <c r="H734" s="969"/>
      <c r="I734" s="998" t="s">
        <v>804</v>
      </c>
      <c r="J734" s="1203" t="s">
        <v>344</v>
      </c>
      <c r="K734" s="984" t="s">
        <v>216</v>
      </c>
      <c r="L734" s="959">
        <v>65.0</v>
      </c>
      <c r="M734" s="960">
        <v>40.0</v>
      </c>
      <c r="N734" s="960">
        <v>50.0</v>
      </c>
      <c r="O734" s="960">
        <v>125.0</v>
      </c>
      <c r="P734" s="960">
        <v>60.0</v>
      </c>
      <c r="Q734" s="960">
        <v>30.0</v>
      </c>
      <c r="R734" s="960">
        <v>96.0</v>
      </c>
      <c r="S734" s="960">
        <v>159.0</v>
      </c>
      <c r="T734" s="960">
        <v>174.0</v>
      </c>
      <c r="U734" s="960">
        <f t="array" ref="U734">HLOOKUP($J734,'Type Chart'!$C$2:$T$20,2,false)*HLOOKUP($K734,'Type Chart'!$C$2:$U$20,2,false)</f>
        <v>1</v>
      </c>
      <c r="V734" s="960">
        <f t="array" ref="V734">HLOOKUP($J734,'Type Chart'!$C$2:$T$20,3,false)*HLOOKUP($K734,'Type Chart'!$C$2:$U$20,3,false)</f>
        <v>0.5</v>
      </c>
      <c r="W734" s="960">
        <f t="array" ref="W734">HLOOKUP($J734,'Type Chart'!$C$2:$T$20,4,false)*HLOOKUP($K734,'Type Chart'!$C$2:$U$20,4,false)</f>
        <v>1</v>
      </c>
      <c r="X734" s="960">
        <f t="array" ref="X734">HLOOKUP($J734,'Type Chart'!$C$2:$T$20,5,false)*HLOOKUP($K734,'Type Chart'!$C$2:$U$20,5,false)</f>
        <v>1</v>
      </c>
      <c r="Y734" s="960">
        <f t="array" ref="Y734">HLOOKUP($J734,'Type Chart'!$C$2:$T$20,6,false)*HLOOKUP($K734,'Type Chart'!$C$2:$U$20,6,false)</f>
        <v>1</v>
      </c>
      <c r="Z734" s="960">
        <f t="array" ref="Z734">HLOOKUP($J734,'Type Chart'!$C$2:$T$20,7,false)*HLOOKUP($K734,'Type Chart'!$C$2:$U$20,7,false)</f>
        <v>1</v>
      </c>
      <c r="AA734" s="960">
        <f t="array" ref="AA734">HLOOKUP($J734,'Type Chart'!$C$2:$T$20,8,false)*HLOOKUP($K734,'Type Chart'!$C$2:$U$20,8,false)</f>
        <v>2</v>
      </c>
      <c r="AB734" s="960">
        <f t="array" ref="AB734">HLOOKUP($J734,'Type Chart'!$C$2:$T$20,9,false)*HLOOKUP($K734,'Type Chart'!$C$2:$U$20,9,false)</f>
        <v>2</v>
      </c>
      <c r="AC734" s="960">
        <f t="array" ref="AC734">HLOOKUP($J734,'Type Chart'!$C$2:$T$20,10,false)*HLOOKUP($K734,'Type Chart'!$C$2:$U$20,10,false)</f>
        <v>1</v>
      </c>
      <c r="AD734" s="960">
        <f t="array" ref="AD734">HLOOKUP($J734,'Type Chart'!$C$2:$T$20,11,false)*HLOOKUP($K734,'Type Chart'!$C$2:$U$20,11,false)</f>
        <v>1</v>
      </c>
      <c r="AE734" s="960">
        <f t="array" ref="AE734">HLOOKUP($J734,'Type Chart'!$C$2:$T$20,12,false)*HLOOKUP($K734,'Type Chart'!$C$2:$U$20,12,false)</f>
        <v>1</v>
      </c>
      <c r="AF734" s="960">
        <f t="array" ref="AF734">HLOOKUP($J734,'Type Chart'!$C$2:$T$20,13,false)*HLOOKUP($K734,'Type Chart'!$C$2:$U$20,13,false)</f>
        <v>1</v>
      </c>
      <c r="AG734" s="960">
        <f t="array" ref="AG734">HLOOKUP($J734,'Type Chart'!$C$2:$T$20,14,false)*HLOOKUP($K734,'Type Chart'!$C$2:$U$20,14,false)</f>
        <v>1</v>
      </c>
      <c r="AH734" s="960">
        <f t="array" ref="AH734">HLOOKUP($J734,'Type Chart'!$C$2:$T$20,15,false)*HLOOKUP($K734,'Type Chart'!$C$2:$U$20,15,false)</f>
        <v>0.5</v>
      </c>
      <c r="AI734" s="960">
        <f t="array" ref="AI734">HLOOKUP($J734,'Type Chart'!$C$2:$T$20,16,false)*HLOOKUP($K734,'Type Chart'!$C$2:$U$20,16,false)</f>
        <v>1</v>
      </c>
      <c r="AJ734" s="960">
        <f t="array" ref="AJ734">HLOOKUP($J734,'Type Chart'!$C$2:$T$20,17,false)*HLOOKUP($K734,'Type Chart'!$C$2:$U$20,17,false)</f>
        <v>1</v>
      </c>
      <c r="AK734" s="960">
        <f t="array" ref="AK734">HLOOKUP($J734,'Type Chart'!$C$2:$T$20,18,false)*HLOOKUP($K734,'Type Chart'!$C$2:$U$20,18,false)</f>
        <v>2</v>
      </c>
      <c r="AL734" s="960">
        <f t="array" ref="AL734">HLOOKUP($J734,'Type Chart'!$C$2:$T$20,19,false)*HLOOKUP($K734,'Type Chart'!$C$2:$U$20,19,false)</f>
        <v>1</v>
      </c>
      <c r="AM734" s="1145" t="s">
        <v>1431</v>
      </c>
      <c r="AN734" s="965" t="s">
        <v>1166</v>
      </c>
      <c r="AO734" s="966" t="s">
        <v>1371</v>
      </c>
      <c r="AP734" s="936"/>
      <c r="AQ734" s="967"/>
      <c r="AR734" s="968"/>
      <c r="AS734" s="936"/>
    </row>
    <row r="735" ht="15.75" customHeight="1">
      <c r="A735" s="936"/>
      <c r="B735" s="948" t="s">
        <v>3049</v>
      </c>
      <c r="C735" s="950" t="s">
        <v>3050</v>
      </c>
      <c r="D735" s="950" t="s">
        <v>3050</v>
      </c>
      <c r="E735" s="952" t="s">
        <v>3050</v>
      </c>
      <c r="F735" s="940"/>
      <c r="G735" s="953"/>
      <c r="H735" s="969"/>
      <c r="I735" s="956" t="s">
        <v>501</v>
      </c>
      <c r="J735" s="1203" t="s">
        <v>344</v>
      </c>
      <c r="K735" s="984" t="s">
        <v>216</v>
      </c>
      <c r="L735" s="959">
        <v>110.0</v>
      </c>
      <c r="M735" s="960">
        <v>65.0</v>
      </c>
      <c r="N735" s="960">
        <v>75.0</v>
      </c>
      <c r="O735" s="960">
        <v>125.0</v>
      </c>
      <c r="P735" s="960">
        <v>85.0</v>
      </c>
      <c r="Q735" s="960">
        <v>30.0</v>
      </c>
      <c r="R735" s="960">
        <v>96.0</v>
      </c>
      <c r="S735" s="960">
        <v>159.0</v>
      </c>
      <c r="T735" s="960">
        <v>174.0</v>
      </c>
      <c r="U735" s="960">
        <f t="array" ref="U735">HLOOKUP($J735,'Type Chart'!$C$2:$T$20,2,false)*HLOOKUP($K735,'Type Chart'!$C$2:$U$20,2,false)</f>
        <v>1</v>
      </c>
      <c r="V735" s="960">
        <f t="array" ref="V735">HLOOKUP($J735,'Type Chart'!$C$2:$T$20,3,false)*HLOOKUP($K735,'Type Chart'!$C$2:$U$20,3,false)</f>
        <v>0.5</v>
      </c>
      <c r="W735" s="960">
        <f t="array" ref="W735">HLOOKUP($J735,'Type Chart'!$C$2:$T$20,4,false)*HLOOKUP($K735,'Type Chart'!$C$2:$U$20,4,false)</f>
        <v>1</v>
      </c>
      <c r="X735" s="960">
        <f t="array" ref="X735">HLOOKUP($J735,'Type Chart'!$C$2:$T$20,5,false)*HLOOKUP($K735,'Type Chart'!$C$2:$U$20,5,false)</f>
        <v>1</v>
      </c>
      <c r="Y735" s="960">
        <f t="array" ref="Y735">HLOOKUP($J735,'Type Chart'!$C$2:$T$20,6,false)*HLOOKUP($K735,'Type Chart'!$C$2:$U$20,6,false)</f>
        <v>1</v>
      </c>
      <c r="Z735" s="960">
        <f t="array" ref="Z735">HLOOKUP($J735,'Type Chart'!$C$2:$T$20,7,false)*HLOOKUP($K735,'Type Chart'!$C$2:$U$20,7,false)</f>
        <v>1</v>
      </c>
      <c r="AA735" s="960">
        <f t="array" ref="AA735">HLOOKUP($J735,'Type Chart'!$C$2:$T$20,8,false)*HLOOKUP($K735,'Type Chart'!$C$2:$U$20,8,false)</f>
        <v>2</v>
      </c>
      <c r="AB735" s="960">
        <f t="array" ref="AB735">HLOOKUP($J735,'Type Chart'!$C$2:$T$20,9,false)*HLOOKUP($K735,'Type Chart'!$C$2:$U$20,9,false)</f>
        <v>2</v>
      </c>
      <c r="AC735" s="960">
        <f t="array" ref="AC735">HLOOKUP($J735,'Type Chart'!$C$2:$T$20,10,false)*HLOOKUP($K735,'Type Chart'!$C$2:$U$20,10,false)</f>
        <v>1</v>
      </c>
      <c r="AD735" s="960">
        <f t="array" ref="AD735">HLOOKUP($J735,'Type Chart'!$C$2:$T$20,11,false)*HLOOKUP($K735,'Type Chart'!$C$2:$U$20,11,false)</f>
        <v>1</v>
      </c>
      <c r="AE735" s="960">
        <f t="array" ref="AE735">HLOOKUP($J735,'Type Chart'!$C$2:$T$20,12,false)*HLOOKUP($K735,'Type Chart'!$C$2:$U$20,12,false)</f>
        <v>1</v>
      </c>
      <c r="AF735" s="960">
        <f t="array" ref="AF735">HLOOKUP($J735,'Type Chart'!$C$2:$T$20,13,false)*HLOOKUP($K735,'Type Chart'!$C$2:$U$20,13,false)</f>
        <v>1</v>
      </c>
      <c r="AG735" s="960">
        <f t="array" ref="AG735">HLOOKUP($J735,'Type Chart'!$C$2:$T$20,14,false)*HLOOKUP($K735,'Type Chart'!$C$2:$U$20,14,false)</f>
        <v>1</v>
      </c>
      <c r="AH735" s="960">
        <f t="array" ref="AH735">HLOOKUP($J735,'Type Chart'!$C$2:$T$20,15,false)*HLOOKUP($K735,'Type Chart'!$C$2:$U$20,15,false)</f>
        <v>0.5</v>
      </c>
      <c r="AI735" s="960">
        <f t="array" ref="AI735">HLOOKUP($J735,'Type Chart'!$C$2:$T$20,16,false)*HLOOKUP($K735,'Type Chart'!$C$2:$U$20,16,false)</f>
        <v>1</v>
      </c>
      <c r="AJ735" s="960">
        <f t="array" ref="AJ735">HLOOKUP($J735,'Type Chart'!$C$2:$T$20,17,false)*HLOOKUP($K735,'Type Chart'!$C$2:$U$20,17,false)</f>
        <v>1</v>
      </c>
      <c r="AK735" s="960">
        <f t="array" ref="AK735">HLOOKUP($J735,'Type Chart'!$C$2:$T$20,18,false)*HLOOKUP($K735,'Type Chart'!$C$2:$U$20,18,false)</f>
        <v>2</v>
      </c>
      <c r="AL735" s="960">
        <f t="array" ref="AL735">HLOOKUP($J735,'Type Chart'!$C$2:$T$20,19,false)*HLOOKUP($K735,'Type Chart'!$C$2:$U$20,19,false)</f>
        <v>1</v>
      </c>
      <c r="AM735" s="964" t="s">
        <v>1431</v>
      </c>
      <c r="AN735" s="965" t="s">
        <v>1166</v>
      </c>
      <c r="AO735" s="966" t="s">
        <v>1371</v>
      </c>
      <c r="AP735" s="936"/>
      <c r="AQ735" s="967"/>
      <c r="AR735" s="968"/>
      <c r="AS735" s="936"/>
    </row>
    <row r="736" ht="15.75" customHeight="1">
      <c r="A736" s="936"/>
      <c r="B736" s="948" t="s">
        <v>3051</v>
      </c>
      <c r="C736" s="950" t="s">
        <v>3052</v>
      </c>
      <c r="D736" s="950" t="s">
        <v>3052</v>
      </c>
      <c r="E736" s="952" t="s">
        <v>3052</v>
      </c>
      <c r="F736" s="940"/>
      <c r="G736" s="953"/>
      <c r="H736" s="969"/>
      <c r="I736" s="956" t="s">
        <v>3053</v>
      </c>
      <c r="J736" s="1056" t="s">
        <v>81</v>
      </c>
      <c r="K736" s="1001" t="s">
        <v>128</v>
      </c>
      <c r="L736" s="959">
        <v>62.0</v>
      </c>
      <c r="M736" s="960">
        <v>44.0</v>
      </c>
      <c r="N736" s="960">
        <v>50.0</v>
      </c>
      <c r="O736" s="960">
        <v>44.0</v>
      </c>
      <c r="P736" s="960">
        <v>50.0</v>
      </c>
      <c r="Q736" s="960">
        <v>55.0</v>
      </c>
      <c r="R736" s="960">
        <v>146.0</v>
      </c>
      <c r="S736" s="960">
        <v>209.0</v>
      </c>
      <c r="T736" s="960">
        <v>229.0</v>
      </c>
      <c r="U736" s="960">
        <f t="array" ref="U736">HLOOKUP($J736,'Type Chart'!$C$2:$T$20,2,false)*HLOOKUP($K736,'Type Chart'!$C$2:$U$20,2,false)</f>
        <v>1</v>
      </c>
      <c r="V736" s="960">
        <f t="array" ref="V736">HLOOKUP($J736,'Type Chart'!$C$2:$T$20,3,false)*HLOOKUP($K736,'Type Chart'!$C$2:$U$20,3,false)</f>
        <v>0.5</v>
      </c>
      <c r="W736" s="960">
        <f t="array" ref="W736">HLOOKUP($J736,'Type Chart'!$C$2:$T$20,4,false)*HLOOKUP($K736,'Type Chart'!$C$2:$U$20,4,false)</f>
        <v>1</v>
      </c>
      <c r="X736" s="960">
        <f t="array" ref="X736">HLOOKUP($J736,'Type Chart'!$C$2:$T$20,5,false)*HLOOKUP($K736,'Type Chart'!$C$2:$U$20,5,false)</f>
        <v>1</v>
      </c>
      <c r="Y736" s="960">
        <f t="array" ref="Y736">HLOOKUP($J736,'Type Chart'!$C$2:$T$20,6,false)*HLOOKUP($K736,'Type Chart'!$C$2:$U$20,6,false)</f>
        <v>0</v>
      </c>
      <c r="Z736" s="960">
        <f t="array" ref="Z736">HLOOKUP($J736,'Type Chart'!$C$2:$T$20,7,false)*HLOOKUP($K736,'Type Chart'!$C$2:$U$20,7,false)</f>
        <v>2</v>
      </c>
      <c r="AA736" s="960">
        <f t="array" ref="AA736">HLOOKUP($J736,'Type Chart'!$C$2:$T$20,8,false)*HLOOKUP($K736,'Type Chart'!$C$2:$U$20,8,false)</f>
        <v>0.5</v>
      </c>
      <c r="AB736" s="960">
        <f t="array" ref="AB736">HLOOKUP($J736,'Type Chart'!$C$2:$T$20,9,false)*HLOOKUP($K736,'Type Chart'!$C$2:$U$20,9,false)</f>
        <v>1</v>
      </c>
      <c r="AC736" s="960">
        <f t="array" ref="AC736">HLOOKUP($J736,'Type Chart'!$C$2:$T$20,10,false)*HLOOKUP($K736,'Type Chart'!$C$2:$U$20,10,false)</f>
        <v>0.5</v>
      </c>
      <c r="AD736" s="960">
        <f t="array" ref="AD736">HLOOKUP($J736,'Type Chart'!$C$2:$T$20,11,false)*HLOOKUP($K736,'Type Chart'!$C$2:$U$20,11,false)</f>
        <v>0.5</v>
      </c>
      <c r="AE736" s="960">
        <f t="array" ref="AE736">HLOOKUP($J736,'Type Chart'!$C$2:$T$20,12,false)*HLOOKUP($K736,'Type Chart'!$C$2:$U$20,12,false)</f>
        <v>0.5</v>
      </c>
      <c r="AF736" s="960">
        <f t="array" ref="AF736">HLOOKUP($J736,'Type Chart'!$C$2:$T$20,13,false)*HLOOKUP($K736,'Type Chart'!$C$2:$U$20,13,false)</f>
        <v>1</v>
      </c>
      <c r="AG736" s="960">
        <f t="array" ref="AG736">HLOOKUP($J736,'Type Chart'!$C$2:$T$20,14,false)*HLOOKUP($K736,'Type Chart'!$C$2:$U$20,14,false)</f>
        <v>4</v>
      </c>
      <c r="AH736" s="960">
        <f t="array" ref="AH736">HLOOKUP($J736,'Type Chart'!$C$2:$T$20,15,false)*HLOOKUP($K736,'Type Chart'!$C$2:$U$20,15,false)</f>
        <v>1</v>
      </c>
      <c r="AI736" s="960">
        <f t="array" ref="AI736">HLOOKUP($J736,'Type Chart'!$C$2:$T$20,16,false)*HLOOKUP($K736,'Type Chart'!$C$2:$U$20,16,false)</f>
        <v>1</v>
      </c>
      <c r="AJ736" s="960">
        <f t="array" ref="AJ736">HLOOKUP($J736,'Type Chart'!$C$2:$T$20,17,false)*HLOOKUP($K736,'Type Chart'!$C$2:$U$20,17,false)</f>
        <v>1</v>
      </c>
      <c r="AK736" s="960">
        <f t="array" ref="AK736">HLOOKUP($J736,'Type Chart'!$C$2:$T$20,18,false)*HLOOKUP($K736,'Type Chart'!$C$2:$U$20,18,false)</f>
        <v>1</v>
      </c>
      <c r="AL736" s="960">
        <f t="array" ref="AL736">HLOOKUP($J736,'Type Chart'!$C$2:$T$20,19,false)*HLOOKUP($K736,'Type Chart'!$C$2:$U$20,19,false)</f>
        <v>1</v>
      </c>
      <c r="AM736" s="964" t="s">
        <v>1022</v>
      </c>
      <c r="AN736" s="965" t="s">
        <v>1024</v>
      </c>
      <c r="AO736" s="966" t="s">
        <v>1409</v>
      </c>
      <c r="AP736" s="936"/>
      <c r="AQ736" s="967"/>
      <c r="AR736" s="968"/>
      <c r="AS736" s="936"/>
    </row>
    <row r="737" ht="15.75" customHeight="1">
      <c r="A737" s="1099"/>
      <c r="B737" s="948" t="s">
        <v>3054</v>
      </c>
      <c r="C737" s="950" t="s">
        <v>3055</v>
      </c>
      <c r="D737" s="950" t="s">
        <v>3055</v>
      </c>
      <c r="E737" s="1147" t="s">
        <v>3055</v>
      </c>
      <c r="F737" s="940"/>
      <c r="G737" s="953"/>
      <c r="H737" s="969"/>
      <c r="I737" s="956" t="s">
        <v>885</v>
      </c>
      <c r="J737" s="1056" t="s">
        <v>81</v>
      </c>
      <c r="K737" s="1001" t="s">
        <v>128</v>
      </c>
      <c r="L737" s="959">
        <v>75.0</v>
      </c>
      <c r="M737" s="960">
        <v>87.0</v>
      </c>
      <c r="N737" s="960">
        <v>63.0</v>
      </c>
      <c r="O737" s="960">
        <v>87.0</v>
      </c>
      <c r="P737" s="960">
        <v>63.0</v>
      </c>
      <c r="Q737" s="960">
        <v>98.0</v>
      </c>
      <c r="R737" s="960">
        <v>232.0</v>
      </c>
      <c r="S737" s="960">
        <v>295.0</v>
      </c>
      <c r="T737" s="960">
        <v>324.0</v>
      </c>
      <c r="U737" s="960">
        <f t="array" ref="U737">HLOOKUP($J737,'Type Chart'!$C$2:$T$20,2,false)*HLOOKUP($K737,'Type Chart'!$C$2:$U$20,2,false)</f>
        <v>1</v>
      </c>
      <c r="V737" s="960">
        <f t="array" ref="V737">HLOOKUP($J737,'Type Chart'!$C$2:$T$20,3,false)*HLOOKUP($K737,'Type Chart'!$C$2:$U$20,3,false)</f>
        <v>0.5</v>
      </c>
      <c r="W737" s="960">
        <f t="array" ref="W737">HLOOKUP($J737,'Type Chart'!$C$2:$T$20,4,false)*HLOOKUP($K737,'Type Chart'!$C$2:$U$20,4,false)</f>
        <v>1</v>
      </c>
      <c r="X737" s="960">
        <f t="array" ref="X737">HLOOKUP($J737,'Type Chart'!$C$2:$T$20,5,false)*HLOOKUP($K737,'Type Chart'!$C$2:$U$20,5,false)</f>
        <v>1</v>
      </c>
      <c r="Y737" s="960">
        <f t="array" ref="Y737">HLOOKUP($J737,'Type Chart'!$C$2:$T$20,6,false)*HLOOKUP($K737,'Type Chart'!$C$2:$U$20,6,false)</f>
        <v>0</v>
      </c>
      <c r="Z737" s="960">
        <f t="array" ref="Z737">HLOOKUP($J737,'Type Chart'!$C$2:$T$20,7,false)*HLOOKUP($K737,'Type Chart'!$C$2:$U$20,7,false)</f>
        <v>2</v>
      </c>
      <c r="AA737" s="960">
        <f t="array" ref="AA737">HLOOKUP($J737,'Type Chart'!$C$2:$T$20,8,false)*HLOOKUP($K737,'Type Chart'!$C$2:$U$20,8,false)</f>
        <v>0.5</v>
      </c>
      <c r="AB737" s="960">
        <f t="array" ref="AB737">HLOOKUP($J737,'Type Chart'!$C$2:$T$20,9,false)*HLOOKUP($K737,'Type Chart'!$C$2:$U$20,9,false)</f>
        <v>1</v>
      </c>
      <c r="AC737" s="960">
        <f t="array" ref="AC737">HLOOKUP($J737,'Type Chart'!$C$2:$T$20,10,false)*HLOOKUP($K737,'Type Chart'!$C$2:$U$20,10,false)</f>
        <v>0.5</v>
      </c>
      <c r="AD737" s="960">
        <f t="array" ref="AD737">HLOOKUP($J737,'Type Chart'!$C$2:$T$20,11,false)*HLOOKUP($K737,'Type Chart'!$C$2:$U$20,11,false)</f>
        <v>0.5</v>
      </c>
      <c r="AE737" s="960">
        <f t="array" ref="AE737">HLOOKUP($J737,'Type Chart'!$C$2:$T$20,12,false)*HLOOKUP($K737,'Type Chart'!$C$2:$U$20,12,false)</f>
        <v>0.5</v>
      </c>
      <c r="AF737" s="960">
        <f t="array" ref="AF737">HLOOKUP($J737,'Type Chart'!$C$2:$T$20,13,false)*HLOOKUP($K737,'Type Chart'!$C$2:$U$20,13,false)</f>
        <v>1</v>
      </c>
      <c r="AG737" s="960">
        <f t="array" ref="AG737">HLOOKUP($J737,'Type Chart'!$C$2:$T$20,14,false)*HLOOKUP($K737,'Type Chart'!$C$2:$U$20,14,false)</f>
        <v>4</v>
      </c>
      <c r="AH737" s="960">
        <f t="array" ref="AH737">HLOOKUP($J737,'Type Chart'!$C$2:$T$20,15,false)*HLOOKUP($K737,'Type Chart'!$C$2:$U$20,15,false)</f>
        <v>1</v>
      </c>
      <c r="AI737" s="960">
        <f t="array" ref="AI737">HLOOKUP($J737,'Type Chart'!$C$2:$T$20,16,false)*HLOOKUP($K737,'Type Chart'!$C$2:$U$20,16,false)</f>
        <v>1</v>
      </c>
      <c r="AJ737" s="960">
        <f t="array" ref="AJ737">HLOOKUP($J737,'Type Chart'!$C$2:$T$20,17,false)*HLOOKUP($K737,'Type Chart'!$C$2:$U$20,17,false)</f>
        <v>1</v>
      </c>
      <c r="AK737" s="960">
        <f t="array" ref="AK737">HLOOKUP($J737,'Type Chart'!$C$2:$T$20,18,false)*HLOOKUP($K737,'Type Chart'!$C$2:$U$20,18,false)</f>
        <v>1</v>
      </c>
      <c r="AL737" s="960">
        <f t="array" ref="AL737">HLOOKUP($J737,'Type Chart'!$C$2:$T$20,19,false)*HLOOKUP($K737,'Type Chart'!$C$2:$U$20,19,false)</f>
        <v>1</v>
      </c>
      <c r="AM737" s="1145" t="s">
        <v>1022</v>
      </c>
      <c r="AN737" s="1202" t="s">
        <v>1024</v>
      </c>
      <c r="AO737" s="1146" t="s">
        <v>1409</v>
      </c>
      <c r="AP737" s="936"/>
      <c r="AQ737" s="967"/>
      <c r="AR737" s="968"/>
      <c r="AS737" s="936"/>
    </row>
    <row r="738" ht="15.75" customHeight="1">
      <c r="A738" s="936"/>
      <c r="B738" s="948" t="s">
        <v>3056</v>
      </c>
      <c r="C738" s="950" t="s">
        <v>3057</v>
      </c>
      <c r="D738" s="950" t="s">
        <v>3057</v>
      </c>
      <c r="E738" s="952" t="s">
        <v>3057</v>
      </c>
      <c r="F738" s="940"/>
      <c r="G738" s="953"/>
      <c r="H738" s="969"/>
      <c r="I738" s="956" t="s">
        <v>3058</v>
      </c>
      <c r="J738" s="1205" t="s">
        <v>345</v>
      </c>
      <c r="K738" s="984" t="s">
        <v>216</v>
      </c>
      <c r="L738" s="959">
        <v>36.0</v>
      </c>
      <c r="M738" s="960">
        <v>50.0</v>
      </c>
      <c r="N738" s="960">
        <v>50.0</v>
      </c>
      <c r="O738" s="960">
        <v>65.0</v>
      </c>
      <c r="P738" s="960">
        <v>60.0</v>
      </c>
      <c r="Q738" s="960">
        <v>44.0</v>
      </c>
      <c r="R738" s="960">
        <v>124.0</v>
      </c>
      <c r="S738" s="960">
        <v>187.0</v>
      </c>
      <c r="T738" s="960">
        <v>205.0</v>
      </c>
      <c r="U738" s="960">
        <f t="array" ref="U738">HLOOKUP($J738,'Type Chart'!$C$2:$T$20,2,false)*HLOOKUP($K738,'Type Chart'!$C$2:$U$20,2,false)</f>
        <v>1</v>
      </c>
      <c r="V738" s="960">
        <f t="array" ref="V738">HLOOKUP($J738,'Type Chart'!$C$2:$T$20,3,false)*HLOOKUP($K738,'Type Chart'!$C$2:$U$20,3,false)</f>
        <v>2</v>
      </c>
      <c r="W738" s="960">
        <f t="array" ref="W738">HLOOKUP($J738,'Type Chart'!$C$2:$T$20,4,false)*HLOOKUP($K738,'Type Chart'!$C$2:$U$20,4,false)</f>
        <v>1</v>
      </c>
      <c r="X738" s="960">
        <f t="array" ref="X738">HLOOKUP($J738,'Type Chart'!$C$2:$T$20,5,false)*HLOOKUP($K738,'Type Chart'!$C$2:$U$20,5,false)</f>
        <v>1</v>
      </c>
      <c r="Y738" s="960">
        <f t="array" ref="Y738">HLOOKUP($J738,'Type Chart'!$C$2:$T$20,6,false)*HLOOKUP($K738,'Type Chart'!$C$2:$U$20,6,false)</f>
        <v>1</v>
      </c>
      <c r="Z738" s="960">
        <f t="array" ref="Z738">HLOOKUP($J738,'Type Chart'!$C$2:$T$20,7,false)*HLOOKUP($K738,'Type Chart'!$C$2:$U$20,7,false)</f>
        <v>2</v>
      </c>
      <c r="AA738" s="960">
        <f t="array" ref="AA738">HLOOKUP($J738,'Type Chart'!$C$2:$T$20,8,false)*HLOOKUP($K738,'Type Chart'!$C$2:$U$20,8,false)</f>
        <v>1</v>
      </c>
      <c r="AB738" s="960">
        <f t="array" ref="AB738">HLOOKUP($J738,'Type Chart'!$C$2:$T$20,9,false)*HLOOKUP($K738,'Type Chart'!$C$2:$U$20,9,false)</f>
        <v>1</v>
      </c>
      <c r="AC738" s="960">
        <f t="array" ref="AC738">HLOOKUP($J738,'Type Chart'!$C$2:$T$20,10,false)*HLOOKUP($K738,'Type Chart'!$C$2:$U$20,10,false)</f>
        <v>2</v>
      </c>
      <c r="AD738" s="960">
        <f t="array" ref="AD738">HLOOKUP($J738,'Type Chart'!$C$2:$T$20,11,false)*HLOOKUP($K738,'Type Chart'!$C$2:$U$20,11,false)</f>
        <v>2</v>
      </c>
      <c r="AE738" s="960">
        <f t="array" ref="AE738">HLOOKUP($J738,'Type Chart'!$C$2:$T$20,12,false)*HLOOKUP($K738,'Type Chart'!$C$2:$U$20,12,false)</f>
        <v>1</v>
      </c>
      <c r="AF738" s="960">
        <f t="array" ref="AF738">HLOOKUP($J738,'Type Chart'!$C$2:$T$20,13,false)*HLOOKUP($K738,'Type Chart'!$C$2:$U$20,13,false)</f>
        <v>1</v>
      </c>
      <c r="AG738" s="960">
        <f t="array" ref="AG738">HLOOKUP($J738,'Type Chart'!$C$2:$T$20,14,false)*HLOOKUP($K738,'Type Chart'!$C$2:$U$20,14,false)</f>
        <v>1</v>
      </c>
      <c r="AH738" s="960">
        <f t="array" ref="AH738">HLOOKUP($J738,'Type Chart'!$C$2:$T$20,15,false)*HLOOKUP($K738,'Type Chart'!$C$2:$U$20,15,false)</f>
        <v>1</v>
      </c>
      <c r="AI738" s="960">
        <f t="array" ref="AI738">HLOOKUP($J738,'Type Chart'!$C$2:$T$20,16,false)*HLOOKUP($K738,'Type Chart'!$C$2:$U$20,16,false)</f>
        <v>0.5</v>
      </c>
      <c r="AJ738" s="960">
        <f t="array" ref="AJ738">HLOOKUP($J738,'Type Chart'!$C$2:$T$20,17,false)*HLOOKUP($K738,'Type Chart'!$C$2:$U$20,17,false)</f>
        <v>1</v>
      </c>
      <c r="AK738" s="960">
        <f t="array" ref="AK738">HLOOKUP($J738,'Type Chart'!$C$2:$T$20,18,false)*HLOOKUP($K738,'Type Chart'!$C$2:$U$20,18,false)</f>
        <v>1</v>
      </c>
      <c r="AL738" s="960">
        <f t="array" ref="AL738">HLOOKUP($J738,'Type Chart'!$C$2:$T$20,19,false)*HLOOKUP($K738,'Type Chart'!$C$2:$U$20,19,false)</f>
        <v>1</v>
      </c>
      <c r="AM738" s="964" t="s">
        <v>1410</v>
      </c>
      <c r="AN738" s="965" t="s">
        <v>1135</v>
      </c>
      <c r="AO738" s="966" t="s">
        <v>1450</v>
      </c>
      <c r="AP738" s="936"/>
      <c r="AQ738" s="967"/>
      <c r="AR738" s="968"/>
      <c r="AS738" s="936"/>
    </row>
    <row r="739" ht="15.75" customHeight="1">
      <c r="A739" s="936"/>
      <c r="B739" s="948" t="s">
        <v>3059</v>
      </c>
      <c r="C739" s="950" t="s">
        <v>3060</v>
      </c>
      <c r="D739" s="950" t="s">
        <v>3060</v>
      </c>
      <c r="E739" s="952" t="s">
        <v>3060</v>
      </c>
      <c r="F739" s="940"/>
      <c r="G739" s="953"/>
      <c r="H739" s="969"/>
      <c r="I739" s="956" t="s">
        <v>3061</v>
      </c>
      <c r="J739" s="1205" t="s">
        <v>345</v>
      </c>
      <c r="K739" s="984" t="s">
        <v>216</v>
      </c>
      <c r="L739" s="959">
        <v>51.0</v>
      </c>
      <c r="M739" s="960">
        <v>65.0</v>
      </c>
      <c r="N739" s="960">
        <v>65.0</v>
      </c>
      <c r="O739" s="960">
        <v>80.0</v>
      </c>
      <c r="P739" s="960">
        <v>75.0</v>
      </c>
      <c r="Q739" s="960">
        <v>59.0</v>
      </c>
      <c r="R739" s="960">
        <v>154.0</v>
      </c>
      <c r="S739" s="960">
        <v>217.0</v>
      </c>
      <c r="T739" s="960">
        <v>238.0</v>
      </c>
      <c r="U739" s="960">
        <f t="array" ref="U739">HLOOKUP($J739,'Type Chart'!$C$2:$T$20,2,false)*HLOOKUP($K739,'Type Chart'!$C$2:$U$20,2,false)</f>
        <v>1</v>
      </c>
      <c r="V739" s="960">
        <f t="array" ref="V739">HLOOKUP($J739,'Type Chart'!$C$2:$T$20,3,false)*HLOOKUP($K739,'Type Chart'!$C$2:$U$20,3,false)</f>
        <v>2</v>
      </c>
      <c r="W739" s="960">
        <f t="array" ref="W739">HLOOKUP($J739,'Type Chart'!$C$2:$T$20,4,false)*HLOOKUP($K739,'Type Chart'!$C$2:$U$20,4,false)</f>
        <v>1</v>
      </c>
      <c r="X739" s="960">
        <f t="array" ref="X739">HLOOKUP($J739,'Type Chart'!$C$2:$T$20,5,false)*HLOOKUP($K739,'Type Chart'!$C$2:$U$20,5,false)</f>
        <v>1</v>
      </c>
      <c r="Y739" s="960">
        <f t="array" ref="Y739">HLOOKUP($J739,'Type Chart'!$C$2:$T$20,6,false)*HLOOKUP($K739,'Type Chart'!$C$2:$U$20,6,false)</f>
        <v>1</v>
      </c>
      <c r="Z739" s="960">
        <f t="array" ref="Z739">HLOOKUP($J739,'Type Chart'!$C$2:$T$20,7,false)*HLOOKUP($K739,'Type Chart'!$C$2:$U$20,7,false)</f>
        <v>2</v>
      </c>
      <c r="AA739" s="960">
        <f t="array" ref="AA739">HLOOKUP($J739,'Type Chart'!$C$2:$T$20,8,false)*HLOOKUP($K739,'Type Chart'!$C$2:$U$20,8,false)</f>
        <v>1</v>
      </c>
      <c r="AB739" s="960">
        <f t="array" ref="AB739">HLOOKUP($J739,'Type Chart'!$C$2:$T$20,9,false)*HLOOKUP($K739,'Type Chart'!$C$2:$U$20,9,false)</f>
        <v>1</v>
      </c>
      <c r="AC739" s="960">
        <f t="array" ref="AC739">HLOOKUP($J739,'Type Chart'!$C$2:$T$20,10,false)*HLOOKUP($K739,'Type Chart'!$C$2:$U$20,10,false)</f>
        <v>2</v>
      </c>
      <c r="AD739" s="960">
        <f t="array" ref="AD739">HLOOKUP($J739,'Type Chart'!$C$2:$T$20,11,false)*HLOOKUP($K739,'Type Chart'!$C$2:$U$20,11,false)</f>
        <v>2</v>
      </c>
      <c r="AE739" s="960">
        <f t="array" ref="AE739">HLOOKUP($J739,'Type Chart'!$C$2:$T$20,12,false)*HLOOKUP($K739,'Type Chart'!$C$2:$U$20,12,false)</f>
        <v>1</v>
      </c>
      <c r="AF739" s="960">
        <f t="array" ref="AF739">HLOOKUP($J739,'Type Chart'!$C$2:$T$20,13,false)*HLOOKUP($K739,'Type Chart'!$C$2:$U$20,13,false)</f>
        <v>1</v>
      </c>
      <c r="AG739" s="960">
        <f t="array" ref="AG739">HLOOKUP($J739,'Type Chart'!$C$2:$T$20,14,false)*HLOOKUP($K739,'Type Chart'!$C$2:$U$20,14,false)</f>
        <v>1</v>
      </c>
      <c r="AH739" s="960">
        <f t="array" ref="AH739">HLOOKUP($J739,'Type Chart'!$C$2:$T$20,15,false)*HLOOKUP($K739,'Type Chart'!$C$2:$U$20,15,false)</f>
        <v>1</v>
      </c>
      <c r="AI739" s="960">
        <f t="array" ref="AI739">HLOOKUP($J739,'Type Chart'!$C$2:$T$20,16,false)*HLOOKUP($K739,'Type Chart'!$C$2:$U$20,16,false)</f>
        <v>0.5</v>
      </c>
      <c r="AJ739" s="960">
        <f t="array" ref="AJ739">HLOOKUP($J739,'Type Chart'!$C$2:$T$20,17,false)*HLOOKUP($K739,'Type Chart'!$C$2:$U$20,17,false)</f>
        <v>1</v>
      </c>
      <c r="AK739" s="960">
        <f t="array" ref="AK739">HLOOKUP($J739,'Type Chart'!$C$2:$T$20,18,false)*HLOOKUP($K739,'Type Chart'!$C$2:$U$20,18,false)</f>
        <v>1</v>
      </c>
      <c r="AL739" s="960">
        <f t="array" ref="AL739">HLOOKUP($J739,'Type Chart'!$C$2:$T$20,19,false)*HLOOKUP($K739,'Type Chart'!$C$2:$U$20,19,false)</f>
        <v>1</v>
      </c>
      <c r="AM739" s="964" t="s">
        <v>1410</v>
      </c>
      <c r="AN739" s="965" t="s">
        <v>1135</v>
      </c>
      <c r="AO739" s="966" t="s">
        <v>1450</v>
      </c>
      <c r="AP739" s="936"/>
      <c r="AQ739" s="967"/>
      <c r="AR739" s="968"/>
      <c r="AS739" s="936"/>
    </row>
    <row r="740" ht="15.75" customHeight="1">
      <c r="A740" s="936"/>
      <c r="B740" s="948" t="s">
        <v>3062</v>
      </c>
      <c r="C740" s="950" t="s">
        <v>3063</v>
      </c>
      <c r="D740" s="950" t="s">
        <v>3063</v>
      </c>
      <c r="E740" s="952" t="s">
        <v>3063</v>
      </c>
      <c r="F740" s="940"/>
      <c r="G740" s="953"/>
      <c r="H740" s="969"/>
      <c r="I740" s="998" t="s">
        <v>3064</v>
      </c>
      <c r="J740" s="1205" t="s">
        <v>345</v>
      </c>
      <c r="K740" s="984" t="s">
        <v>216</v>
      </c>
      <c r="L740" s="959">
        <v>71.0</v>
      </c>
      <c r="M740" s="960">
        <v>95.0</v>
      </c>
      <c r="N740" s="960">
        <v>85.0</v>
      </c>
      <c r="O740" s="960">
        <v>110.0</v>
      </c>
      <c r="P740" s="960">
        <v>95.0</v>
      </c>
      <c r="Q740" s="960">
        <v>79.0</v>
      </c>
      <c r="R740" s="960">
        <v>194.0</v>
      </c>
      <c r="S740" s="960">
        <v>257.0</v>
      </c>
      <c r="T740" s="960">
        <v>282.0</v>
      </c>
      <c r="U740" s="960">
        <f t="array" ref="U740">HLOOKUP($J740,'Type Chart'!$C$2:$T$20,2,false)*HLOOKUP($K740,'Type Chart'!$C$2:$U$20,2,false)</f>
        <v>1</v>
      </c>
      <c r="V740" s="960">
        <f t="array" ref="V740">HLOOKUP($J740,'Type Chart'!$C$2:$T$20,3,false)*HLOOKUP($K740,'Type Chart'!$C$2:$U$20,3,false)</f>
        <v>2</v>
      </c>
      <c r="W740" s="960">
        <f t="array" ref="W740">HLOOKUP($J740,'Type Chart'!$C$2:$T$20,4,false)*HLOOKUP($K740,'Type Chart'!$C$2:$U$20,4,false)</f>
        <v>1</v>
      </c>
      <c r="X740" s="960">
        <f t="array" ref="X740">HLOOKUP($J740,'Type Chart'!$C$2:$T$20,5,false)*HLOOKUP($K740,'Type Chart'!$C$2:$U$20,5,false)</f>
        <v>1</v>
      </c>
      <c r="Y740" s="960">
        <f t="array" ref="Y740">HLOOKUP($J740,'Type Chart'!$C$2:$T$20,6,false)*HLOOKUP($K740,'Type Chart'!$C$2:$U$20,6,false)</f>
        <v>1</v>
      </c>
      <c r="Z740" s="960">
        <f t="array" ref="Z740">HLOOKUP($J740,'Type Chart'!$C$2:$T$20,7,false)*HLOOKUP($K740,'Type Chart'!$C$2:$U$20,7,false)</f>
        <v>2</v>
      </c>
      <c r="AA740" s="960">
        <f t="array" ref="AA740">HLOOKUP($J740,'Type Chart'!$C$2:$T$20,8,false)*HLOOKUP($K740,'Type Chart'!$C$2:$U$20,8,false)</f>
        <v>1</v>
      </c>
      <c r="AB740" s="960">
        <f t="array" ref="AB740">HLOOKUP($J740,'Type Chart'!$C$2:$T$20,9,false)*HLOOKUP($K740,'Type Chart'!$C$2:$U$20,9,false)</f>
        <v>1</v>
      </c>
      <c r="AC740" s="960">
        <f t="array" ref="AC740">HLOOKUP($J740,'Type Chart'!$C$2:$T$20,10,false)*HLOOKUP($K740,'Type Chart'!$C$2:$U$20,10,false)</f>
        <v>2</v>
      </c>
      <c r="AD740" s="960">
        <f t="array" ref="AD740">HLOOKUP($J740,'Type Chart'!$C$2:$T$20,11,false)*HLOOKUP($K740,'Type Chart'!$C$2:$U$20,11,false)</f>
        <v>2</v>
      </c>
      <c r="AE740" s="960">
        <f t="array" ref="AE740">HLOOKUP($J740,'Type Chart'!$C$2:$T$20,12,false)*HLOOKUP($K740,'Type Chart'!$C$2:$U$20,12,false)</f>
        <v>1</v>
      </c>
      <c r="AF740" s="960">
        <f t="array" ref="AF740">HLOOKUP($J740,'Type Chart'!$C$2:$T$20,13,false)*HLOOKUP($K740,'Type Chart'!$C$2:$U$20,13,false)</f>
        <v>1</v>
      </c>
      <c r="AG740" s="960">
        <f t="array" ref="AG740">HLOOKUP($J740,'Type Chart'!$C$2:$T$20,14,false)*HLOOKUP($K740,'Type Chart'!$C$2:$U$20,14,false)</f>
        <v>1</v>
      </c>
      <c r="AH740" s="960">
        <f t="array" ref="AH740">HLOOKUP($J740,'Type Chart'!$C$2:$T$20,15,false)*HLOOKUP($K740,'Type Chart'!$C$2:$U$20,15,false)</f>
        <v>1</v>
      </c>
      <c r="AI740" s="960">
        <f t="array" ref="AI740">HLOOKUP($J740,'Type Chart'!$C$2:$T$20,16,false)*HLOOKUP($K740,'Type Chart'!$C$2:$U$20,16,false)</f>
        <v>0.5</v>
      </c>
      <c r="AJ740" s="960">
        <f t="array" ref="AJ740">HLOOKUP($J740,'Type Chart'!$C$2:$T$20,17,false)*HLOOKUP($K740,'Type Chart'!$C$2:$U$20,17,false)</f>
        <v>1</v>
      </c>
      <c r="AK740" s="960">
        <f t="array" ref="AK740">HLOOKUP($J740,'Type Chart'!$C$2:$T$20,18,false)*HLOOKUP($K740,'Type Chart'!$C$2:$U$20,18,false)</f>
        <v>1</v>
      </c>
      <c r="AL740" s="960">
        <f t="array" ref="AL740">HLOOKUP($J740,'Type Chart'!$C$2:$T$20,19,false)*HLOOKUP($K740,'Type Chart'!$C$2:$U$20,19,false)</f>
        <v>1</v>
      </c>
      <c r="AM740" s="964" t="s">
        <v>1410</v>
      </c>
      <c r="AN740" s="965" t="s">
        <v>1176</v>
      </c>
      <c r="AO740" s="966" t="s">
        <v>1450</v>
      </c>
      <c r="AP740" s="936"/>
      <c r="AQ740" s="967"/>
      <c r="AR740" s="968"/>
      <c r="AS740" s="936"/>
    </row>
    <row r="741" ht="15.75" customHeight="1">
      <c r="A741" s="936"/>
      <c r="B741" s="948" t="s">
        <v>3065</v>
      </c>
      <c r="C741" s="950" t="s">
        <v>3066</v>
      </c>
      <c r="D741" s="950" t="s">
        <v>3066</v>
      </c>
      <c r="E741" s="952" t="s">
        <v>3066</v>
      </c>
      <c r="F741" s="940"/>
      <c r="G741" s="953"/>
      <c r="H741" s="969"/>
      <c r="I741" s="956" t="s">
        <v>3067</v>
      </c>
      <c r="J741" s="1194" t="s">
        <v>136</v>
      </c>
      <c r="K741" s="957" t="s">
        <v>209</v>
      </c>
      <c r="L741" s="959">
        <v>60.0</v>
      </c>
      <c r="M741" s="960">
        <v>60.0</v>
      </c>
      <c r="N741" s="960">
        <v>50.0</v>
      </c>
      <c r="O741" s="960">
        <v>40.0</v>
      </c>
      <c r="P741" s="960">
        <v>50.0</v>
      </c>
      <c r="Q741" s="960">
        <v>75.0</v>
      </c>
      <c r="R741" s="960">
        <v>186.0</v>
      </c>
      <c r="S741" s="960">
        <v>249.0</v>
      </c>
      <c r="T741" s="960">
        <v>273.0</v>
      </c>
      <c r="U741" s="960">
        <f t="array" ref="U741">HLOOKUP($J741,'Type Chart'!$C$2:$T$20,2,false)*HLOOKUP($K741,'Type Chart'!$C$2:$U$20,2,false)</f>
        <v>1</v>
      </c>
      <c r="V741" s="960">
        <f t="array" ref="V741">HLOOKUP($J741,'Type Chart'!$C$2:$T$20,3,false)*HLOOKUP($K741,'Type Chart'!$C$2:$U$20,3,false)</f>
        <v>2</v>
      </c>
      <c r="W741" s="960">
        <f t="array" ref="W741">HLOOKUP($J741,'Type Chart'!$C$2:$T$20,4,false)*HLOOKUP($K741,'Type Chart'!$C$2:$U$20,4,false)</f>
        <v>2</v>
      </c>
      <c r="X741" s="960">
        <f t="array" ref="X741">HLOOKUP($J741,'Type Chart'!$C$2:$T$20,5,false)*HLOOKUP($K741,'Type Chart'!$C$2:$U$20,5,false)</f>
        <v>2</v>
      </c>
      <c r="Y741" s="960">
        <f t="array" ref="Y741">HLOOKUP($J741,'Type Chart'!$C$2:$T$20,6,false)*HLOOKUP($K741,'Type Chart'!$C$2:$U$20,6,false)</f>
        <v>0.5</v>
      </c>
      <c r="Z741" s="960">
        <f t="array" ref="Z741">HLOOKUP($J741,'Type Chart'!$C$2:$T$20,7,false)*HLOOKUP($K741,'Type Chart'!$C$2:$U$20,7,false)</f>
        <v>1</v>
      </c>
      <c r="AA741" s="960">
        <f t="array" ref="AA741">HLOOKUP($J741,'Type Chart'!$C$2:$T$20,8,false)*HLOOKUP($K741,'Type Chart'!$C$2:$U$20,8,false)</f>
        <v>2</v>
      </c>
      <c r="AB741" s="960">
        <f t="array" ref="AB741">HLOOKUP($J741,'Type Chart'!$C$2:$T$20,9,false)*HLOOKUP($K741,'Type Chart'!$C$2:$U$20,9,false)</f>
        <v>0</v>
      </c>
      <c r="AC741" s="960">
        <f t="array" ref="AC741">HLOOKUP($J741,'Type Chart'!$C$2:$T$20,10,false)*HLOOKUP($K741,'Type Chart'!$C$2:$U$20,10,false)</f>
        <v>1</v>
      </c>
      <c r="AD741" s="960">
        <f t="array" ref="AD741">HLOOKUP($J741,'Type Chart'!$C$2:$T$20,11,false)*HLOOKUP($K741,'Type Chart'!$C$2:$U$20,11,false)</f>
        <v>2</v>
      </c>
      <c r="AE741" s="960">
        <f t="array" ref="AE741">HLOOKUP($J741,'Type Chart'!$C$2:$T$20,12,false)*HLOOKUP($K741,'Type Chart'!$C$2:$U$20,12,false)</f>
        <v>0.5</v>
      </c>
      <c r="AF741" s="960">
        <f t="array" ref="AF741">HLOOKUP($J741,'Type Chart'!$C$2:$T$20,13,false)*HLOOKUP($K741,'Type Chart'!$C$2:$U$20,13,false)</f>
        <v>0.5</v>
      </c>
      <c r="AG741" s="960">
        <f t="array" ref="AG741">HLOOKUP($J741,'Type Chart'!$C$2:$T$20,14,false)*HLOOKUP($K741,'Type Chart'!$C$2:$U$20,14,false)</f>
        <v>0.5</v>
      </c>
      <c r="AH741" s="960">
        <f t="array" ref="AH741">HLOOKUP($J741,'Type Chart'!$C$2:$T$20,15,false)*HLOOKUP($K741,'Type Chart'!$C$2:$U$20,15,false)</f>
        <v>1</v>
      </c>
      <c r="AI741" s="960">
        <f t="array" ref="AI741">HLOOKUP($J741,'Type Chart'!$C$2:$T$20,16,false)*HLOOKUP($K741,'Type Chart'!$C$2:$U$20,16,false)</f>
        <v>2</v>
      </c>
      <c r="AJ741" s="960">
        <f t="array" ref="AJ741">HLOOKUP($J741,'Type Chart'!$C$2:$T$20,17,false)*HLOOKUP($K741,'Type Chart'!$C$2:$U$20,17,false)</f>
        <v>1</v>
      </c>
      <c r="AK741" s="960">
        <f t="array" ref="AK741">HLOOKUP($J741,'Type Chart'!$C$2:$T$20,18,false)*HLOOKUP($K741,'Type Chart'!$C$2:$U$20,18,false)</f>
        <v>1</v>
      </c>
      <c r="AL741" s="960">
        <f t="array" ref="AL741">HLOOKUP($J741,'Type Chart'!$C$2:$T$20,19,false)*HLOOKUP($K741,'Type Chart'!$C$2:$U$20,19,false)</f>
        <v>1</v>
      </c>
      <c r="AM741" s="964" t="s">
        <v>524</v>
      </c>
      <c r="AN741" s="965" t="s">
        <v>1772</v>
      </c>
      <c r="AO741" s="966" t="s">
        <v>1521</v>
      </c>
      <c r="AP741" s="936"/>
      <c r="AQ741" s="967"/>
      <c r="AR741" s="968"/>
      <c r="AS741" s="936"/>
    </row>
    <row r="742" ht="15.75" customHeight="1">
      <c r="A742" s="936"/>
      <c r="B742" s="948" t="s">
        <v>3068</v>
      </c>
      <c r="C742" s="950" t="s">
        <v>3069</v>
      </c>
      <c r="D742" s="950" t="s">
        <v>3069</v>
      </c>
      <c r="E742" s="952" t="s">
        <v>3069</v>
      </c>
      <c r="F742" s="940"/>
      <c r="G742" s="953"/>
      <c r="H742" s="969"/>
      <c r="I742" s="956" t="s">
        <v>772</v>
      </c>
      <c r="J742" s="1194" t="s">
        <v>136</v>
      </c>
      <c r="K742" s="957" t="s">
        <v>209</v>
      </c>
      <c r="L742" s="959">
        <v>80.0</v>
      </c>
      <c r="M742" s="960">
        <v>100.0</v>
      </c>
      <c r="N742" s="960">
        <v>70.0</v>
      </c>
      <c r="O742" s="960">
        <v>60.0</v>
      </c>
      <c r="P742" s="960">
        <v>70.0</v>
      </c>
      <c r="Q742" s="960">
        <v>95.0</v>
      </c>
      <c r="R742" s="960">
        <v>226.0</v>
      </c>
      <c r="S742" s="960">
        <v>289.0</v>
      </c>
      <c r="T742" s="960">
        <v>317.0</v>
      </c>
      <c r="U742" s="960">
        <f t="array" ref="U742">HLOOKUP($J742,'Type Chart'!$C$2:$T$20,2,false)*HLOOKUP($K742,'Type Chart'!$C$2:$U$20,2,false)</f>
        <v>1</v>
      </c>
      <c r="V742" s="960">
        <f t="array" ref="V742">HLOOKUP($J742,'Type Chart'!$C$2:$T$20,3,false)*HLOOKUP($K742,'Type Chart'!$C$2:$U$20,3,false)</f>
        <v>2</v>
      </c>
      <c r="W742" s="960">
        <f t="array" ref="W742">HLOOKUP($J742,'Type Chart'!$C$2:$T$20,4,false)*HLOOKUP($K742,'Type Chart'!$C$2:$U$20,4,false)</f>
        <v>2</v>
      </c>
      <c r="X742" s="960">
        <f t="array" ref="X742">HLOOKUP($J742,'Type Chart'!$C$2:$T$20,5,false)*HLOOKUP($K742,'Type Chart'!$C$2:$U$20,5,false)</f>
        <v>2</v>
      </c>
      <c r="Y742" s="960">
        <f t="array" ref="Y742">HLOOKUP($J742,'Type Chart'!$C$2:$T$20,6,false)*HLOOKUP($K742,'Type Chart'!$C$2:$U$20,6,false)</f>
        <v>0.5</v>
      </c>
      <c r="Z742" s="960">
        <f t="array" ref="Z742">HLOOKUP($J742,'Type Chart'!$C$2:$T$20,7,false)*HLOOKUP($K742,'Type Chart'!$C$2:$U$20,7,false)</f>
        <v>1</v>
      </c>
      <c r="AA742" s="960">
        <f t="array" ref="AA742">HLOOKUP($J742,'Type Chart'!$C$2:$T$20,8,false)*HLOOKUP($K742,'Type Chart'!$C$2:$U$20,8,false)</f>
        <v>2</v>
      </c>
      <c r="AB742" s="960">
        <f t="array" ref="AB742">HLOOKUP($J742,'Type Chart'!$C$2:$T$20,9,false)*HLOOKUP($K742,'Type Chart'!$C$2:$U$20,9,false)</f>
        <v>0</v>
      </c>
      <c r="AC742" s="960">
        <f t="array" ref="AC742">HLOOKUP($J742,'Type Chart'!$C$2:$T$20,10,false)*HLOOKUP($K742,'Type Chart'!$C$2:$U$20,10,false)</f>
        <v>1</v>
      </c>
      <c r="AD742" s="960">
        <f t="array" ref="AD742">HLOOKUP($J742,'Type Chart'!$C$2:$T$20,11,false)*HLOOKUP($K742,'Type Chart'!$C$2:$U$20,11,false)</f>
        <v>2</v>
      </c>
      <c r="AE742" s="960">
        <f t="array" ref="AE742">HLOOKUP($J742,'Type Chart'!$C$2:$T$20,12,false)*HLOOKUP($K742,'Type Chart'!$C$2:$U$20,12,false)</f>
        <v>0.5</v>
      </c>
      <c r="AF742" s="960">
        <f t="array" ref="AF742">HLOOKUP($J742,'Type Chart'!$C$2:$T$20,13,false)*HLOOKUP($K742,'Type Chart'!$C$2:$U$20,13,false)</f>
        <v>0.5</v>
      </c>
      <c r="AG742" s="960">
        <f t="array" ref="AG742">HLOOKUP($J742,'Type Chart'!$C$2:$T$20,14,false)*HLOOKUP($K742,'Type Chart'!$C$2:$U$20,14,false)</f>
        <v>0.5</v>
      </c>
      <c r="AH742" s="960">
        <f t="array" ref="AH742">HLOOKUP($J742,'Type Chart'!$C$2:$T$20,15,false)*HLOOKUP($K742,'Type Chart'!$C$2:$U$20,15,false)</f>
        <v>1</v>
      </c>
      <c r="AI742" s="960">
        <f t="array" ref="AI742">HLOOKUP($J742,'Type Chart'!$C$2:$T$20,16,false)*HLOOKUP($K742,'Type Chart'!$C$2:$U$20,16,false)</f>
        <v>2</v>
      </c>
      <c r="AJ742" s="960">
        <f t="array" ref="AJ742">HLOOKUP($J742,'Type Chart'!$C$2:$T$20,17,false)*HLOOKUP($K742,'Type Chart'!$C$2:$U$20,17,false)</f>
        <v>1</v>
      </c>
      <c r="AK742" s="960">
        <f t="array" ref="AK742">HLOOKUP($J742,'Type Chart'!$C$2:$T$20,18,false)*HLOOKUP($K742,'Type Chart'!$C$2:$U$20,18,false)</f>
        <v>1</v>
      </c>
      <c r="AL742" s="960">
        <f t="array" ref="AL742">HLOOKUP($J742,'Type Chart'!$C$2:$T$20,19,false)*HLOOKUP($K742,'Type Chart'!$C$2:$U$20,19,false)</f>
        <v>1</v>
      </c>
      <c r="AM742" s="964" t="s">
        <v>524</v>
      </c>
      <c r="AN742" s="965" t="s">
        <v>1772</v>
      </c>
      <c r="AO742" s="966" t="s">
        <v>1521</v>
      </c>
      <c r="AP742" s="936"/>
      <c r="AQ742" s="967"/>
      <c r="AR742" s="968"/>
      <c r="AS742" s="936"/>
    </row>
    <row r="743" ht="15.75" customHeight="1">
      <c r="A743" s="936"/>
      <c r="B743" s="948" t="s">
        <v>3070</v>
      </c>
      <c r="C743" s="950" t="s">
        <v>3071</v>
      </c>
      <c r="D743" s="950" t="s">
        <v>3071</v>
      </c>
      <c r="E743" s="952" t="s">
        <v>3071</v>
      </c>
      <c r="F743" s="940"/>
      <c r="G743" s="953"/>
      <c r="H743" s="969"/>
      <c r="I743" s="956" t="s">
        <v>3072</v>
      </c>
      <c r="J743" s="1196" t="s">
        <v>203</v>
      </c>
      <c r="K743" s="1001" t="s">
        <v>128</v>
      </c>
      <c r="L743" s="959">
        <v>55.0</v>
      </c>
      <c r="M743" s="960">
        <v>75.0</v>
      </c>
      <c r="N743" s="960">
        <v>60.0</v>
      </c>
      <c r="O743" s="960">
        <v>75.0</v>
      </c>
      <c r="P743" s="960">
        <v>60.0</v>
      </c>
      <c r="Q743" s="960">
        <v>103.0</v>
      </c>
      <c r="R743" s="960">
        <v>242.0</v>
      </c>
      <c r="S743" s="960">
        <v>305.0</v>
      </c>
      <c r="T743" s="960">
        <v>335.0</v>
      </c>
      <c r="U743" s="960">
        <f t="array" ref="U743">HLOOKUP($J743,'Type Chart'!$C$2:$T$20,2,false)*HLOOKUP($K743,'Type Chart'!$C$2:$U$20,2,false)</f>
        <v>1</v>
      </c>
      <c r="V743" s="960">
        <f t="array" ref="V743">HLOOKUP($J743,'Type Chart'!$C$2:$T$20,3,false)*HLOOKUP($K743,'Type Chart'!$C$2:$U$20,3,false)</f>
        <v>0.5</v>
      </c>
      <c r="W743" s="960">
        <f t="array" ref="W743">HLOOKUP($J743,'Type Chart'!$C$2:$T$20,4,false)*HLOOKUP($K743,'Type Chart'!$C$2:$U$20,4,false)</f>
        <v>0.5</v>
      </c>
      <c r="X743" s="960">
        <f t="array" ref="X743">HLOOKUP($J743,'Type Chart'!$C$2:$T$20,5,false)*HLOOKUP($K743,'Type Chart'!$C$2:$U$20,5,false)</f>
        <v>1</v>
      </c>
      <c r="Y743" s="960">
        <f t="array" ref="Y743">HLOOKUP($J743,'Type Chart'!$C$2:$T$20,6,false)*HLOOKUP($K743,'Type Chart'!$C$2:$U$20,6,false)</f>
        <v>0</v>
      </c>
      <c r="Z743" s="960">
        <f t="array" ref="Z743">HLOOKUP($J743,'Type Chart'!$C$2:$T$20,7,false)*HLOOKUP($K743,'Type Chart'!$C$2:$U$20,7,false)</f>
        <v>2</v>
      </c>
      <c r="AA743" s="960">
        <f t="array" ref="AA743">HLOOKUP($J743,'Type Chart'!$C$2:$T$20,8,false)*HLOOKUP($K743,'Type Chart'!$C$2:$U$20,8,false)</f>
        <v>0.5</v>
      </c>
      <c r="AB743" s="960">
        <f t="array" ref="AB743">HLOOKUP($J743,'Type Chart'!$C$2:$T$20,9,false)*HLOOKUP($K743,'Type Chart'!$C$2:$U$20,9,false)</f>
        <v>1</v>
      </c>
      <c r="AC743" s="960">
        <f t="array" ref="AC743">HLOOKUP($J743,'Type Chart'!$C$2:$T$20,10,false)*HLOOKUP($K743,'Type Chart'!$C$2:$U$20,10,false)</f>
        <v>0.5</v>
      </c>
      <c r="AD743" s="960">
        <f t="array" ref="AD743">HLOOKUP($J743,'Type Chart'!$C$2:$T$20,11,false)*HLOOKUP($K743,'Type Chart'!$C$2:$U$20,11,false)</f>
        <v>1</v>
      </c>
      <c r="AE743" s="960">
        <f t="array" ref="AE743">HLOOKUP($J743,'Type Chart'!$C$2:$T$20,12,false)*HLOOKUP($K743,'Type Chart'!$C$2:$U$20,12,false)</f>
        <v>1</v>
      </c>
      <c r="AF743" s="960">
        <f t="array" ref="AF743">HLOOKUP($J743,'Type Chart'!$C$2:$T$20,13,false)*HLOOKUP($K743,'Type Chart'!$C$2:$U$20,13,false)</f>
        <v>0.5</v>
      </c>
      <c r="AG743" s="960">
        <f t="array" ref="AG743">HLOOKUP($J743,'Type Chart'!$C$2:$T$20,14,false)*HLOOKUP($K743,'Type Chart'!$C$2:$U$20,14,false)</f>
        <v>1</v>
      </c>
      <c r="AH743" s="960">
        <f t="array" ref="AH743">HLOOKUP($J743,'Type Chart'!$C$2:$T$20,15,false)*HLOOKUP($K743,'Type Chart'!$C$2:$U$20,15,false)</f>
        <v>1</v>
      </c>
      <c r="AI743" s="960">
        <f t="array" ref="AI743">HLOOKUP($J743,'Type Chart'!$C$2:$T$20,16,false)*HLOOKUP($K743,'Type Chart'!$C$2:$U$20,16,false)</f>
        <v>2</v>
      </c>
      <c r="AJ743" s="960">
        <f t="array" ref="AJ743">HLOOKUP($J743,'Type Chart'!$C$2:$T$20,17,false)*HLOOKUP($K743,'Type Chart'!$C$2:$U$20,17,false)</f>
        <v>1</v>
      </c>
      <c r="AK743" s="960">
        <f t="array" ref="AK743">HLOOKUP($J743,'Type Chart'!$C$2:$T$20,18,false)*HLOOKUP($K743,'Type Chart'!$C$2:$U$20,18,false)</f>
        <v>1</v>
      </c>
      <c r="AL743" s="960">
        <f t="array" ref="AL743">HLOOKUP($J743,'Type Chart'!$C$2:$T$20,19,false)*HLOOKUP($K743,'Type Chart'!$C$2:$U$20,19,false)</f>
        <v>1</v>
      </c>
      <c r="AM743" s="964" t="s">
        <v>1067</v>
      </c>
      <c r="AN743" s="965"/>
      <c r="AO743" s="966" t="s">
        <v>2663</v>
      </c>
      <c r="AP743" s="936"/>
      <c r="AQ743" s="967"/>
      <c r="AR743" s="968"/>
      <c r="AS743" s="936"/>
    </row>
    <row r="744" ht="15.75" customHeight="1">
      <c r="A744" s="936"/>
      <c r="B744" s="948" t="s">
        <v>3073</v>
      </c>
      <c r="C744" s="950" t="s">
        <v>3074</v>
      </c>
      <c r="D744" s="950" t="s">
        <v>3074</v>
      </c>
      <c r="E744" s="952" t="s">
        <v>3074</v>
      </c>
      <c r="F744" s="940"/>
      <c r="G744" s="953"/>
      <c r="H744" s="969"/>
      <c r="I744" s="956" t="s">
        <v>3075</v>
      </c>
      <c r="J744" s="1180" t="s">
        <v>343</v>
      </c>
      <c r="K744" s="984" t="s">
        <v>216</v>
      </c>
      <c r="L744" s="959">
        <v>50.0</v>
      </c>
      <c r="M744" s="960">
        <v>75.0</v>
      </c>
      <c r="N744" s="960">
        <v>45.0</v>
      </c>
      <c r="O744" s="960">
        <v>40.0</v>
      </c>
      <c r="P744" s="960">
        <v>45.0</v>
      </c>
      <c r="Q744" s="960">
        <v>60.0</v>
      </c>
      <c r="R744" s="960">
        <v>156.0</v>
      </c>
      <c r="S744" s="960">
        <v>219.0</v>
      </c>
      <c r="T744" s="960">
        <v>240.0</v>
      </c>
      <c r="U744" s="960">
        <f t="array" ref="U744">HLOOKUP($J744,'Type Chart'!$C$2:$T$20,2,false)*HLOOKUP($K744,'Type Chart'!$C$2:$U$20,2,false)</f>
        <v>1</v>
      </c>
      <c r="V744" s="960">
        <f t="array" ref="V744">HLOOKUP($J744,'Type Chart'!$C$2:$T$20,3,false)*HLOOKUP($K744,'Type Chart'!$C$2:$U$20,3,false)</f>
        <v>0.5</v>
      </c>
      <c r="W744" s="960">
        <f t="array" ref="W744">HLOOKUP($J744,'Type Chart'!$C$2:$T$20,4,false)*HLOOKUP($K744,'Type Chart'!$C$2:$U$20,4,false)</f>
        <v>2</v>
      </c>
      <c r="X744" s="960">
        <f t="array" ref="X744">HLOOKUP($J744,'Type Chart'!$C$2:$T$20,5,false)*HLOOKUP($K744,'Type Chart'!$C$2:$U$20,5,false)</f>
        <v>1</v>
      </c>
      <c r="Y744" s="960">
        <f t="array" ref="Y744">HLOOKUP($J744,'Type Chart'!$C$2:$T$20,6,false)*HLOOKUP($K744,'Type Chart'!$C$2:$U$20,6,false)</f>
        <v>0.5</v>
      </c>
      <c r="Z744" s="960">
        <f t="array" ref="Z744">HLOOKUP($J744,'Type Chart'!$C$2:$T$20,7,false)*HLOOKUP($K744,'Type Chart'!$C$2:$U$20,7,false)</f>
        <v>2</v>
      </c>
      <c r="AA744" s="960">
        <f t="array" ref="AA744">HLOOKUP($J744,'Type Chart'!$C$2:$T$20,8,false)*HLOOKUP($K744,'Type Chart'!$C$2:$U$20,8,false)</f>
        <v>1</v>
      </c>
      <c r="AB744" s="960">
        <f t="array" ref="AB744">HLOOKUP($J744,'Type Chart'!$C$2:$T$20,9,false)*HLOOKUP($K744,'Type Chart'!$C$2:$U$20,9,false)</f>
        <v>1</v>
      </c>
      <c r="AC744" s="960">
        <f t="array" ref="AC744">HLOOKUP($J744,'Type Chart'!$C$2:$T$20,10,false)*HLOOKUP($K744,'Type Chart'!$C$2:$U$20,10,false)</f>
        <v>1</v>
      </c>
      <c r="AD744" s="960">
        <f t="array" ref="AD744">HLOOKUP($J744,'Type Chart'!$C$2:$T$20,11,false)*HLOOKUP($K744,'Type Chart'!$C$2:$U$20,11,false)</f>
        <v>2</v>
      </c>
      <c r="AE744" s="960">
        <f t="array" ref="AE744">HLOOKUP($J744,'Type Chart'!$C$2:$T$20,12,false)*HLOOKUP($K744,'Type Chart'!$C$2:$U$20,12,false)</f>
        <v>1</v>
      </c>
      <c r="AF744" s="960">
        <f t="array" ref="AF744">HLOOKUP($J744,'Type Chart'!$C$2:$T$20,13,false)*HLOOKUP($K744,'Type Chart'!$C$2:$U$20,13,false)</f>
        <v>0.5</v>
      </c>
      <c r="AG744" s="960">
        <f t="array" ref="AG744">HLOOKUP($J744,'Type Chart'!$C$2:$T$20,14,false)*HLOOKUP($K744,'Type Chart'!$C$2:$U$20,14,false)</f>
        <v>1</v>
      </c>
      <c r="AH744" s="960">
        <f t="array" ref="AH744">HLOOKUP($J744,'Type Chart'!$C$2:$T$20,15,false)*HLOOKUP($K744,'Type Chart'!$C$2:$U$20,15,false)</f>
        <v>1</v>
      </c>
      <c r="AI744" s="960">
        <f t="array" ref="AI744">HLOOKUP($J744,'Type Chart'!$C$2:$T$20,16,false)*HLOOKUP($K744,'Type Chart'!$C$2:$U$20,16,false)</f>
        <v>1</v>
      </c>
      <c r="AJ744" s="960">
        <f t="array" ref="AJ744">HLOOKUP($J744,'Type Chart'!$C$2:$T$20,17,false)*HLOOKUP($K744,'Type Chart'!$C$2:$U$20,17,false)</f>
        <v>1</v>
      </c>
      <c r="AK744" s="960">
        <f t="array" ref="AK744">HLOOKUP($J744,'Type Chart'!$C$2:$T$20,18,false)*HLOOKUP($K744,'Type Chart'!$C$2:$U$20,18,false)</f>
        <v>1</v>
      </c>
      <c r="AL744" s="960">
        <f t="array" ref="AL744">HLOOKUP($J744,'Type Chart'!$C$2:$T$20,19,false)*HLOOKUP($K744,'Type Chart'!$C$2:$U$20,19,false)</f>
        <v>1</v>
      </c>
      <c r="AM744" s="964" t="s">
        <v>1013</v>
      </c>
      <c r="AN744" s="965" t="s">
        <v>998</v>
      </c>
      <c r="AO744" s="966" t="s">
        <v>1034</v>
      </c>
      <c r="AP744" s="936"/>
      <c r="AQ744" s="967"/>
      <c r="AR744" s="968"/>
      <c r="AS744" s="936"/>
    </row>
    <row r="745" ht="15.75" customHeight="1">
      <c r="A745" s="936"/>
      <c r="B745" s="948" t="s">
        <v>3076</v>
      </c>
      <c r="C745" s="950" t="s">
        <v>3077</v>
      </c>
      <c r="D745" s="950" t="s">
        <v>3077</v>
      </c>
      <c r="E745" s="952" t="s">
        <v>3077</v>
      </c>
      <c r="F745" s="940"/>
      <c r="G745" s="953"/>
      <c r="H745" s="969"/>
      <c r="I745" s="956" t="s">
        <v>3078</v>
      </c>
      <c r="J745" s="1180" t="s">
        <v>343</v>
      </c>
      <c r="K745" s="1206" t="s">
        <v>82</v>
      </c>
      <c r="L745" s="959">
        <v>70.0</v>
      </c>
      <c r="M745" s="960">
        <v>135.0</v>
      </c>
      <c r="N745" s="960">
        <v>105.0</v>
      </c>
      <c r="O745" s="960">
        <v>60.0</v>
      </c>
      <c r="P745" s="960">
        <v>105.0</v>
      </c>
      <c r="Q745" s="960">
        <v>20.0</v>
      </c>
      <c r="R745" s="960">
        <v>76.0</v>
      </c>
      <c r="S745" s="960">
        <v>139.0</v>
      </c>
      <c r="T745" s="960">
        <v>152.0</v>
      </c>
      <c r="U745" s="960">
        <f t="array" ref="U745">HLOOKUP($J745,'Type Chart'!$C$2:$T$20,2,false)*HLOOKUP($K745,'Type Chart'!$C$2:$U$20,2,false)</f>
        <v>0.5</v>
      </c>
      <c r="V745" s="960">
        <f t="array" ref="V745">HLOOKUP($J745,'Type Chart'!$C$2:$T$20,3,false)*HLOOKUP($K745,'Type Chart'!$C$2:$U$20,3,false)</f>
        <v>1</v>
      </c>
      <c r="W745" s="960">
        <f t="array" ref="W745">HLOOKUP($J745,'Type Chart'!$C$2:$T$20,4,false)*HLOOKUP($K745,'Type Chart'!$C$2:$U$20,4,false)</f>
        <v>1</v>
      </c>
      <c r="X745" s="960">
        <f t="array" ref="X745">HLOOKUP($J745,'Type Chart'!$C$2:$T$20,5,false)*HLOOKUP($K745,'Type Chart'!$C$2:$U$20,5,false)</f>
        <v>0</v>
      </c>
      <c r="Y745" s="960">
        <f t="array" ref="Y745">HLOOKUP($J745,'Type Chart'!$C$2:$T$20,6,false)*HLOOKUP($K745,'Type Chart'!$C$2:$U$20,6,false)</f>
        <v>1</v>
      </c>
      <c r="Z745" s="960">
        <f t="array" ref="Z745">HLOOKUP($J745,'Type Chart'!$C$2:$T$20,7,false)*HLOOKUP($K745,'Type Chart'!$C$2:$U$20,7,false)</f>
        <v>1</v>
      </c>
      <c r="AA745" s="960">
        <f t="array" ref="AA745">HLOOKUP($J745,'Type Chart'!$C$2:$T$20,8,false)*HLOOKUP($K745,'Type Chart'!$C$2:$U$20,8,false)</f>
        <v>0.5</v>
      </c>
      <c r="AB745" s="960">
        <f t="array" ref="AB745">HLOOKUP($J745,'Type Chart'!$C$2:$T$20,9,false)*HLOOKUP($K745,'Type Chart'!$C$2:$U$20,9,false)</f>
        <v>1</v>
      </c>
      <c r="AC745" s="960">
        <f t="array" ref="AC745">HLOOKUP($J745,'Type Chart'!$C$2:$T$20,10,false)*HLOOKUP($K745,'Type Chart'!$C$2:$U$20,10,false)</f>
        <v>0.5</v>
      </c>
      <c r="AD745" s="960">
        <f t="array" ref="AD745">HLOOKUP($J745,'Type Chart'!$C$2:$T$20,11,false)*HLOOKUP($K745,'Type Chart'!$C$2:$U$20,11,false)</f>
        <v>4</v>
      </c>
      <c r="AE745" s="960">
        <f t="array" ref="AE745">HLOOKUP($J745,'Type Chart'!$C$2:$T$20,12,false)*HLOOKUP($K745,'Type Chart'!$C$2:$U$20,12,false)</f>
        <v>1</v>
      </c>
      <c r="AF745" s="960">
        <f t="array" ref="AF745">HLOOKUP($J745,'Type Chart'!$C$2:$T$20,13,false)*HLOOKUP($K745,'Type Chart'!$C$2:$U$20,13,false)</f>
        <v>0.25</v>
      </c>
      <c r="AG745" s="960">
        <f t="array" ref="AG745">HLOOKUP($J745,'Type Chart'!$C$2:$T$20,14,false)*HLOOKUP($K745,'Type Chart'!$C$2:$U$20,14,false)</f>
        <v>1</v>
      </c>
      <c r="AH745" s="960">
        <f t="array" ref="AH745">HLOOKUP($J745,'Type Chart'!$C$2:$T$20,15,false)*HLOOKUP($K745,'Type Chart'!$C$2:$U$20,15,false)</f>
        <v>0.5</v>
      </c>
      <c r="AI745" s="960">
        <f t="array" ref="AI745">HLOOKUP($J745,'Type Chart'!$C$2:$T$20,16,false)*HLOOKUP($K745,'Type Chart'!$C$2:$U$20,16,false)</f>
        <v>0.5</v>
      </c>
      <c r="AJ745" s="960">
        <f t="array" ref="AJ745">HLOOKUP($J745,'Type Chart'!$C$2:$T$20,17,false)*HLOOKUP($K745,'Type Chart'!$C$2:$U$20,17,false)</f>
        <v>0.5</v>
      </c>
      <c r="AK745" s="960">
        <f t="array" ref="AK745">HLOOKUP($J745,'Type Chart'!$C$2:$T$20,18,false)*HLOOKUP($K745,'Type Chart'!$C$2:$U$20,18,false)</f>
        <v>1</v>
      </c>
      <c r="AL745" s="960">
        <f t="array" ref="AL745">HLOOKUP($J745,'Type Chart'!$C$2:$T$20,19,false)*HLOOKUP($K745,'Type Chart'!$C$2:$U$20,19,false)</f>
        <v>0.5</v>
      </c>
      <c r="AM745" s="964" t="s">
        <v>1013</v>
      </c>
      <c r="AN745" s="965" t="s">
        <v>1385</v>
      </c>
      <c r="AO745" s="966" t="s">
        <v>1431</v>
      </c>
      <c r="AP745" s="936"/>
      <c r="AQ745" s="967"/>
      <c r="AR745" s="968"/>
      <c r="AS745" s="936"/>
    </row>
    <row r="746" ht="15.75" customHeight="1">
      <c r="A746" s="1099"/>
      <c r="B746" s="948" t="s">
        <v>3079</v>
      </c>
      <c r="C746" s="1197" t="s">
        <v>3080</v>
      </c>
      <c r="D746" s="1197" t="s">
        <v>3080</v>
      </c>
      <c r="E746" s="1147" t="s">
        <v>3080</v>
      </c>
      <c r="F746" s="940"/>
      <c r="G746" s="953"/>
      <c r="H746" s="969"/>
      <c r="I746" s="998" t="s">
        <v>3081</v>
      </c>
      <c r="J746" s="1228" t="s">
        <v>209</v>
      </c>
      <c r="K746" s="1209" t="s">
        <v>178</v>
      </c>
      <c r="L746" s="1200">
        <v>69.0</v>
      </c>
      <c r="M746" s="1201">
        <v>55.0</v>
      </c>
      <c r="N746" s="1201">
        <v>45.0</v>
      </c>
      <c r="O746" s="1201">
        <v>55.0</v>
      </c>
      <c r="P746" s="1201">
        <v>55.0</v>
      </c>
      <c r="Q746" s="1201">
        <v>15.0</v>
      </c>
      <c r="R746" s="960">
        <v>66.0</v>
      </c>
      <c r="S746" s="960">
        <v>129.0</v>
      </c>
      <c r="T746" s="960">
        <v>141.0</v>
      </c>
      <c r="U746" s="960">
        <f t="array" ref="U746">HLOOKUP($J746,'Type Chart'!$C$2:$T$20,2,false)*HLOOKUP($K746,'Type Chart'!$C$2:$U$20,2,false)</f>
        <v>1</v>
      </c>
      <c r="V746" s="960">
        <f t="array" ref="V746">HLOOKUP($J746,'Type Chart'!$C$2:$T$20,3,false)*HLOOKUP($K746,'Type Chart'!$C$2:$U$20,3,false)</f>
        <v>0.5</v>
      </c>
      <c r="W746" s="960">
        <f t="array" ref="W746">HLOOKUP($J746,'Type Chart'!$C$2:$T$20,4,false)*HLOOKUP($K746,'Type Chart'!$C$2:$U$20,4,false)</f>
        <v>2</v>
      </c>
      <c r="X746" s="960">
        <f t="array" ref="X746">HLOOKUP($J746,'Type Chart'!$C$2:$T$20,5,false)*HLOOKUP($K746,'Type Chart'!$C$2:$U$20,5,false)</f>
        <v>1</v>
      </c>
      <c r="Y746" s="960">
        <f t="array" ref="Y746">HLOOKUP($J746,'Type Chart'!$C$2:$T$20,6,false)*HLOOKUP($K746,'Type Chart'!$C$2:$U$20,6,false)</f>
        <v>1</v>
      </c>
      <c r="Z746" s="960">
        <f t="array" ref="Z746">HLOOKUP($J746,'Type Chart'!$C$2:$T$20,7,false)*HLOOKUP($K746,'Type Chart'!$C$2:$U$20,7,false)</f>
        <v>1</v>
      </c>
      <c r="AA746" s="960">
        <f t="array" ref="AA746">HLOOKUP($J746,'Type Chart'!$C$2:$T$20,8,false)*HLOOKUP($K746,'Type Chart'!$C$2:$U$20,8,false)</f>
        <v>1</v>
      </c>
      <c r="AB746" s="960">
        <f t="array" ref="AB746">HLOOKUP($J746,'Type Chart'!$C$2:$T$20,9,false)*HLOOKUP($K746,'Type Chart'!$C$2:$U$20,9,false)</f>
        <v>1</v>
      </c>
      <c r="AC746" s="960">
        <f t="array" ref="AC746">HLOOKUP($J746,'Type Chart'!$C$2:$T$20,10,false)*HLOOKUP($K746,'Type Chart'!$C$2:$U$20,10,false)</f>
        <v>1</v>
      </c>
      <c r="AD746" s="960">
        <f t="array" ref="AD746">HLOOKUP($J746,'Type Chart'!$C$2:$T$20,11,false)*HLOOKUP($K746,'Type Chart'!$C$2:$U$20,11,false)</f>
        <v>2</v>
      </c>
      <c r="AE746" s="960">
        <f t="array" ref="AE746">HLOOKUP($J746,'Type Chart'!$C$2:$T$20,12,false)*HLOOKUP($K746,'Type Chart'!$C$2:$U$20,12,false)</f>
        <v>0.5</v>
      </c>
      <c r="AF746" s="960">
        <f t="array" ref="AF746">HLOOKUP($J746,'Type Chart'!$C$2:$T$20,13,false)*HLOOKUP($K746,'Type Chart'!$C$2:$U$20,13,false)</f>
        <v>0.25</v>
      </c>
      <c r="AG746" s="960">
        <f t="array" ref="AG746">HLOOKUP($J746,'Type Chart'!$C$2:$T$20,14,false)*HLOOKUP($K746,'Type Chart'!$C$2:$U$20,14,false)</f>
        <v>0.5</v>
      </c>
      <c r="AH746" s="960">
        <f t="array" ref="AH746">HLOOKUP($J746,'Type Chart'!$C$2:$T$20,15,false)*HLOOKUP($K746,'Type Chart'!$C$2:$U$20,15,false)</f>
        <v>2</v>
      </c>
      <c r="AI746" s="960">
        <f t="array" ref="AI746">HLOOKUP($J746,'Type Chart'!$C$2:$T$20,16,false)*HLOOKUP($K746,'Type Chart'!$C$2:$U$20,16,false)</f>
        <v>2</v>
      </c>
      <c r="AJ746" s="960">
        <f t="array" ref="AJ746">HLOOKUP($J746,'Type Chart'!$C$2:$T$20,17,false)*HLOOKUP($K746,'Type Chart'!$C$2:$U$20,17,false)</f>
        <v>1</v>
      </c>
      <c r="AK746" s="960">
        <f t="array" ref="AK746">HLOOKUP($J746,'Type Chart'!$C$2:$T$20,18,false)*HLOOKUP($K746,'Type Chart'!$C$2:$U$20,18,false)</f>
        <v>1</v>
      </c>
      <c r="AL746" s="960">
        <f t="array" ref="AL746">HLOOKUP($J746,'Type Chart'!$C$2:$T$20,19,false)*HLOOKUP($K746,'Type Chart'!$C$2:$U$20,19,false)</f>
        <v>0.5</v>
      </c>
      <c r="AM746" s="1145" t="s">
        <v>1206</v>
      </c>
      <c r="AN746" s="1202"/>
      <c r="AO746" s="1146" t="s">
        <v>1371</v>
      </c>
      <c r="AP746" s="936"/>
      <c r="AQ746" s="967"/>
      <c r="AR746" s="968"/>
      <c r="AS746" s="936"/>
    </row>
    <row r="747" ht="15.75" customHeight="1">
      <c r="A747" s="1099"/>
      <c r="B747" s="948" t="s">
        <v>3082</v>
      </c>
      <c r="C747" s="1197" t="s">
        <v>3083</v>
      </c>
      <c r="D747" s="1197" t="s">
        <v>3083</v>
      </c>
      <c r="E747" s="1147" t="s">
        <v>3083</v>
      </c>
      <c r="F747" s="940"/>
      <c r="G747" s="953"/>
      <c r="H747" s="969"/>
      <c r="I747" s="998" t="s">
        <v>523</v>
      </c>
      <c r="J747" s="1228" t="s">
        <v>209</v>
      </c>
      <c r="K747" s="1209" t="s">
        <v>178</v>
      </c>
      <c r="L747" s="1200">
        <v>114.0</v>
      </c>
      <c r="M747" s="1201">
        <v>85.0</v>
      </c>
      <c r="N747" s="1201">
        <v>70.0</v>
      </c>
      <c r="O747" s="1201">
        <v>85.0</v>
      </c>
      <c r="P747" s="1201">
        <v>80.0</v>
      </c>
      <c r="Q747" s="1201">
        <v>30.0</v>
      </c>
      <c r="R747" s="960">
        <v>96.0</v>
      </c>
      <c r="S747" s="960">
        <v>159.0</v>
      </c>
      <c r="T747" s="960">
        <v>174.0</v>
      </c>
      <c r="U747" s="960">
        <f t="array" ref="U747">HLOOKUP($J747,'Type Chart'!$C$2:$T$20,2,false)*HLOOKUP($K747,'Type Chart'!$C$2:$U$20,2,false)</f>
        <v>1</v>
      </c>
      <c r="V747" s="960">
        <f t="array" ref="V747">HLOOKUP($J747,'Type Chart'!$C$2:$T$20,3,false)*HLOOKUP($K747,'Type Chart'!$C$2:$U$20,3,false)</f>
        <v>0.5</v>
      </c>
      <c r="W747" s="960">
        <f t="array" ref="W747">HLOOKUP($J747,'Type Chart'!$C$2:$T$20,4,false)*HLOOKUP($K747,'Type Chart'!$C$2:$U$20,4,false)</f>
        <v>2</v>
      </c>
      <c r="X747" s="960">
        <f t="array" ref="X747">HLOOKUP($J747,'Type Chart'!$C$2:$T$20,5,false)*HLOOKUP($K747,'Type Chart'!$C$2:$U$20,5,false)</f>
        <v>1</v>
      </c>
      <c r="Y747" s="960">
        <f t="array" ref="Y747">HLOOKUP($J747,'Type Chart'!$C$2:$T$20,6,false)*HLOOKUP($K747,'Type Chart'!$C$2:$U$20,6,false)</f>
        <v>1</v>
      </c>
      <c r="Z747" s="960">
        <f t="array" ref="Z747">HLOOKUP($J747,'Type Chart'!$C$2:$T$20,7,false)*HLOOKUP($K747,'Type Chart'!$C$2:$U$20,7,false)</f>
        <v>1</v>
      </c>
      <c r="AA747" s="960">
        <f t="array" ref="AA747">HLOOKUP($J747,'Type Chart'!$C$2:$T$20,8,false)*HLOOKUP($K747,'Type Chart'!$C$2:$U$20,8,false)</f>
        <v>1</v>
      </c>
      <c r="AB747" s="960">
        <f t="array" ref="AB747">HLOOKUP($J747,'Type Chart'!$C$2:$T$20,9,false)*HLOOKUP($K747,'Type Chart'!$C$2:$U$20,9,false)</f>
        <v>1</v>
      </c>
      <c r="AC747" s="960">
        <f t="array" ref="AC747">HLOOKUP($J747,'Type Chart'!$C$2:$T$20,10,false)*HLOOKUP($K747,'Type Chart'!$C$2:$U$20,10,false)</f>
        <v>1</v>
      </c>
      <c r="AD747" s="960">
        <f t="array" ref="AD747">HLOOKUP($J747,'Type Chart'!$C$2:$T$20,11,false)*HLOOKUP($K747,'Type Chart'!$C$2:$U$20,11,false)</f>
        <v>2</v>
      </c>
      <c r="AE747" s="960">
        <f t="array" ref="AE747">HLOOKUP($J747,'Type Chart'!$C$2:$T$20,12,false)*HLOOKUP($K747,'Type Chart'!$C$2:$U$20,12,false)</f>
        <v>0.5</v>
      </c>
      <c r="AF747" s="960">
        <f t="array" ref="AF747">HLOOKUP($J747,'Type Chart'!$C$2:$T$20,13,false)*HLOOKUP($K747,'Type Chart'!$C$2:$U$20,13,false)</f>
        <v>0.25</v>
      </c>
      <c r="AG747" s="960">
        <f t="array" ref="AG747">HLOOKUP($J747,'Type Chart'!$C$2:$T$20,14,false)*HLOOKUP($K747,'Type Chart'!$C$2:$U$20,14,false)</f>
        <v>0.5</v>
      </c>
      <c r="AH747" s="960">
        <f t="array" ref="AH747">HLOOKUP($J747,'Type Chart'!$C$2:$T$20,15,false)*HLOOKUP($K747,'Type Chart'!$C$2:$U$20,15,false)</f>
        <v>2</v>
      </c>
      <c r="AI747" s="960">
        <f t="array" ref="AI747">HLOOKUP($J747,'Type Chart'!$C$2:$T$20,16,false)*HLOOKUP($K747,'Type Chart'!$C$2:$U$20,16,false)</f>
        <v>2</v>
      </c>
      <c r="AJ747" s="960">
        <f t="array" ref="AJ747">HLOOKUP($J747,'Type Chart'!$C$2:$T$20,17,false)*HLOOKUP($K747,'Type Chart'!$C$2:$U$20,17,false)</f>
        <v>1</v>
      </c>
      <c r="AK747" s="960">
        <f t="array" ref="AK747">HLOOKUP($J747,'Type Chart'!$C$2:$T$20,18,false)*HLOOKUP($K747,'Type Chart'!$C$2:$U$20,18,false)</f>
        <v>1</v>
      </c>
      <c r="AL747" s="960">
        <f t="array" ref="AL747">HLOOKUP($J747,'Type Chart'!$C$2:$T$20,19,false)*HLOOKUP($K747,'Type Chart'!$C$2:$U$20,19,false)</f>
        <v>0.5</v>
      </c>
      <c r="AM747" s="1145" t="s">
        <v>1206</v>
      </c>
      <c r="AN747" s="1202"/>
      <c r="AO747" s="1146" t="s">
        <v>1371</v>
      </c>
      <c r="AP747" s="936"/>
      <c r="AQ747" s="967"/>
      <c r="AR747" s="968"/>
      <c r="AS747" s="936"/>
    </row>
    <row r="748" ht="15.75" customHeight="1">
      <c r="A748" s="936"/>
      <c r="B748" s="948" t="s">
        <v>3084</v>
      </c>
      <c r="C748" s="950" t="s">
        <v>3085</v>
      </c>
      <c r="D748" s="950" t="s">
        <v>3085</v>
      </c>
      <c r="E748" s="952" t="s">
        <v>3085</v>
      </c>
      <c r="F748" s="940"/>
      <c r="G748" s="953"/>
      <c r="H748" s="969"/>
      <c r="I748" s="956" t="s">
        <v>3086</v>
      </c>
      <c r="J748" s="1056" t="s">
        <v>81</v>
      </c>
      <c r="K748" s="1220" t="s">
        <v>215</v>
      </c>
      <c r="L748" s="959">
        <v>55.0</v>
      </c>
      <c r="M748" s="960">
        <v>40.0</v>
      </c>
      <c r="N748" s="960">
        <v>50.0</v>
      </c>
      <c r="O748" s="960">
        <v>65.0</v>
      </c>
      <c r="P748" s="960">
        <v>85.0</v>
      </c>
      <c r="Q748" s="960">
        <v>40.0</v>
      </c>
      <c r="R748" s="960">
        <v>116.0</v>
      </c>
      <c r="S748" s="960">
        <v>179.0</v>
      </c>
      <c r="T748" s="960">
        <v>196.0</v>
      </c>
      <c r="U748" s="960">
        <f t="array" ref="U748">HLOOKUP($J748,'Type Chart'!$C$2:$T$20,2,false)*HLOOKUP($K748,'Type Chart'!$C$2:$U$20,2,false)</f>
        <v>0</v>
      </c>
      <c r="V748" s="960">
        <f t="array" ref="V748">HLOOKUP($J748,'Type Chart'!$C$2:$T$20,3,false)*HLOOKUP($K748,'Type Chart'!$C$2:$U$20,3,false)</f>
        <v>0</v>
      </c>
      <c r="W748" s="960">
        <f t="array" ref="W748">HLOOKUP($J748,'Type Chart'!$C$2:$T$20,4,false)*HLOOKUP($K748,'Type Chart'!$C$2:$U$20,4,false)</f>
        <v>1</v>
      </c>
      <c r="X748" s="960">
        <f t="array" ref="X748">HLOOKUP($J748,'Type Chart'!$C$2:$T$20,5,false)*HLOOKUP($K748,'Type Chart'!$C$2:$U$20,5,false)</f>
        <v>0.5</v>
      </c>
      <c r="Y748" s="960">
        <f t="array" ref="Y748">HLOOKUP($J748,'Type Chart'!$C$2:$T$20,6,false)*HLOOKUP($K748,'Type Chart'!$C$2:$U$20,6,false)</f>
        <v>1</v>
      </c>
      <c r="Z748" s="960">
        <f t="array" ref="Z748">HLOOKUP($J748,'Type Chart'!$C$2:$T$20,7,false)*HLOOKUP($K748,'Type Chart'!$C$2:$U$20,7,false)</f>
        <v>1</v>
      </c>
      <c r="AA748" s="960">
        <f t="array" ref="AA748">HLOOKUP($J748,'Type Chart'!$C$2:$T$20,8,false)*HLOOKUP($K748,'Type Chart'!$C$2:$U$20,8,false)</f>
        <v>0.5</v>
      </c>
      <c r="AB748" s="960">
        <f t="array" ref="AB748">HLOOKUP($J748,'Type Chart'!$C$2:$T$20,9,false)*HLOOKUP($K748,'Type Chart'!$C$2:$U$20,9,false)</f>
        <v>2</v>
      </c>
      <c r="AC748" s="960">
        <f t="array" ref="AC748">HLOOKUP($J748,'Type Chart'!$C$2:$T$20,10,false)*HLOOKUP($K748,'Type Chart'!$C$2:$U$20,10,false)</f>
        <v>0.5</v>
      </c>
      <c r="AD748" s="960">
        <f t="array" ref="AD748">HLOOKUP($J748,'Type Chart'!$C$2:$T$20,11,false)*HLOOKUP($K748,'Type Chart'!$C$2:$U$20,11,false)</f>
        <v>0.5</v>
      </c>
      <c r="AE748" s="960">
        <f t="array" ref="AE748">HLOOKUP($J748,'Type Chart'!$C$2:$T$20,12,false)*HLOOKUP($K748,'Type Chart'!$C$2:$U$20,12,false)</f>
        <v>0.5</v>
      </c>
      <c r="AF748" s="960">
        <f t="array" ref="AF748">HLOOKUP($J748,'Type Chart'!$C$2:$T$20,13,false)*HLOOKUP($K748,'Type Chart'!$C$2:$U$20,13,false)</f>
        <v>2</v>
      </c>
      <c r="AG748" s="960">
        <f t="array" ref="AG748">HLOOKUP($J748,'Type Chart'!$C$2:$T$20,14,false)*HLOOKUP($K748,'Type Chart'!$C$2:$U$20,14,false)</f>
        <v>2</v>
      </c>
      <c r="AH748" s="960">
        <f t="array" ref="AH748">HLOOKUP($J748,'Type Chart'!$C$2:$T$20,15,false)*HLOOKUP($K748,'Type Chart'!$C$2:$U$20,15,false)</f>
        <v>1</v>
      </c>
      <c r="AI748" s="960">
        <f t="array" ref="AI748">HLOOKUP($J748,'Type Chart'!$C$2:$T$20,16,false)*HLOOKUP($K748,'Type Chart'!$C$2:$U$20,16,false)</f>
        <v>0.5</v>
      </c>
      <c r="AJ748" s="960">
        <f t="array" ref="AJ748">HLOOKUP($J748,'Type Chart'!$C$2:$T$20,17,false)*HLOOKUP($K748,'Type Chart'!$C$2:$U$20,17,false)</f>
        <v>1</v>
      </c>
      <c r="AK748" s="960">
        <f t="array" ref="AK748">HLOOKUP($J748,'Type Chart'!$C$2:$T$20,18,false)*HLOOKUP($K748,'Type Chart'!$C$2:$U$20,18,false)</f>
        <v>2</v>
      </c>
      <c r="AL748" s="960">
        <f t="array" ref="AL748">HLOOKUP($J748,'Type Chart'!$C$2:$T$20,19,false)*HLOOKUP($K748,'Type Chart'!$C$2:$U$20,19,false)</f>
        <v>1</v>
      </c>
      <c r="AM748" s="964" t="s">
        <v>1283</v>
      </c>
      <c r="AN748" s="965" t="s">
        <v>1442</v>
      </c>
      <c r="AO748" s="966" t="s">
        <v>1211</v>
      </c>
      <c r="AP748" s="936"/>
      <c r="AQ748" s="967"/>
      <c r="AR748" s="968"/>
      <c r="AS748" s="936"/>
    </row>
    <row r="749" ht="15.75" customHeight="1">
      <c r="A749" s="936"/>
      <c r="B749" s="948" t="s">
        <v>3087</v>
      </c>
      <c r="C749" s="950" t="s">
        <v>3088</v>
      </c>
      <c r="D749" s="950" t="s">
        <v>3088</v>
      </c>
      <c r="E749" s="952" t="s">
        <v>3088</v>
      </c>
      <c r="F749" s="940"/>
      <c r="G749" s="953"/>
      <c r="H749" s="969"/>
      <c r="I749" s="956" t="s">
        <v>3089</v>
      </c>
      <c r="J749" s="1056" t="s">
        <v>81</v>
      </c>
      <c r="K749" s="1220" t="s">
        <v>215</v>
      </c>
      <c r="L749" s="959">
        <v>100.0</v>
      </c>
      <c r="M749" s="960">
        <v>60.0</v>
      </c>
      <c r="N749" s="960">
        <v>70.0</v>
      </c>
      <c r="O749" s="960">
        <v>85.0</v>
      </c>
      <c r="P749" s="960">
        <v>105.0</v>
      </c>
      <c r="Q749" s="960">
        <v>60.0</v>
      </c>
      <c r="R749" s="960">
        <v>156.0</v>
      </c>
      <c r="S749" s="960">
        <v>219.0</v>
      </c>
      <c r="T749" s="960">
        <v>240.0</v>
      </c>
      <c r="U749" s="960">
        <f t="array" ref="U749">HLOOKUP($J749,'Type Chart'!$C$2:$T$20,2,false)*HLOOKUP($K749,'Type Chart'!$C$2:$U$20,2,false)</f>
        <v>0</v>
      </c>
      <c r="V749" s="960">
        <f t="array" ref="V749">HLOOKUP($J749,'Type Chart'!$C$2:$T$20,3,false)*HLOOKUP($K749,'Type Chart'!$C$2:$U$20,3,false)</f>
        <v>0</v>
      </c>
      <c r="W749" s="960">
        <f t="array" ref="W749">HLOOKUP($J749,'Type Chart'!$C$2:$T$20,4,false)*HLOOKUP($K749,'Type Chart'!$C$2:$U$20,4,false)</f>
        <v>1</v>
      </c>
      <c r="X749" s="960">
        <f t="array" ref="X749">HLOOKUP($J749,'Type Chart'!$C$2:$T$20,5,false)*HLOOKUP($K749,'Type Chart'!$C$2:$U$20,5,false)</f>
        <v>0.5</v>
      </c>
      <c r="Y749" s="960">
        <f t="array" ref="Y749">HLOOKUP($J749,'Type Chart'!$C$2:$T$20,6,false)*HLOOKUP($K749,'Type Chart'!$C$2:$U$20,6,false)</f>
        <v>1</v>
      </c>
      <c r="Z749" s="960">
        <f t="array" ref="Z749">HLOOKUP($J749,'Type Chart'!$C$2:$T$20,7,false)*HLOOKUP($K749,'Type Chart'!$C$2:$U$20,7,false)</f>
        <v>1</v>
      </c>
      <c r="AA749" s="960">
        <f t="array" ref="AA749">HLOOKUP($J749,'Type Chart'!$C$2:$T$20,8,false)*HLOOKUP($K749,'Type Chart'!$C$2:$U$20,8,false)</f>
        <v>0.5</v>
      </c>
      <c r="AB749" s="960">
        <f t="array" ref="AB749">HLOOKUP($J749,'Type Chart'!$C$2:$T$20,9,false)*HLOOKUP($K749,'Type Chart'!$C$2:$U$20,9,false)</f>
        <v>2</v>
      </c>
      <c r="AC749" s="960">
        <f t="array" ref="AC749">HLOOKUP($J749,'Type Chart'!$C$2:$T$20,10,false)*HLOOKUP($K749,'Type Chart'!$C$2:$U$20,10,false)</f>
        <v>0.5</v>
      </c>
      <c r="AD749" s="960">
        <f t="array" ref="AD749">HLOOKUP($J749,'Type Chart'!$C$2:$T$20,11,false)*HLOOKUP($K749,'Type Chart'!$C$2:$U$20,11,false)</f>
        <v>0.5</v>
      </c>
      <c r="AE749" s="960">
        <f t="array" ref="AE749">HLOOKUP($J749,'Type Chart'!$C$2:$T$20,12,false)*HLOOKUP($K749,'Type Chart'!$C$2:$U$20,12,false)</f>
        <v>0.5</v>
      </c>
      <c r="AF749" s="960">
        <f t="array" ref="AF749">HLOOKUP($J749,'Type Chart'!$C$2:$T$20,13,false)*HLOOKUP($K749,'Type Chart'!$C$2:$U$20,13,false)</f>
        <v>2</v>
      </c>
      <c r="AG749" s="960">
        <f t="array" ref="AG749">HLOOKUP($J749,'Type Chart'!$C$2:$T$20,14,false)*HLOOKUP($K749,'Type Chart'!$C$2:$U$20,14,false)</f>
        <v>2</v>
      </c>
      <c r="AH749" s="960">
        <f t="array" ref="AH749">HLOOKUP($J749,'Type Chart'!$C$2:$T$20,15,false)*HLOOKUP($K749,'Type Chart'!$C$2:$U$20,15,false)</f>
        <v>1</v>
      </c>
      <c r="AI749" s="960">
        <f t="array" ref="AI749">HLOOKUP($J749,'Type Chart'!$C$2:$T$20,16,false)*HLOOKUP($K749,'Type Chart'!$C$2:$U$20,16,false)</f>
        <v>0.5</v>
      </c>
      <c r="AJ749" s="960">
        <f t="array" ref="AJ749">HLOOKUP($J749,'Type Chart'!$C$2:$T$20,17,false)*HLOOKUP($K749,'Type Chart'!$C$2:$U$20,17,false)</f>
        <v>1</v>
      </c>
      <c r="AK749" s="960">
        <f t="array" ref="AK749">HLOOKUP($J749,'Type Chart'!$C$2:$T$20,18,false)*HLOOKUP($K749,'Type Chart'!$C$2:$U$20,18,false)</f>
        <v>2</v>
      </c>
      <c r="AL749" s="960">
        <f t="array" ref="AL749">HLOOKUP($J749,'Type Chart'!$C$2:$T$20,19,false)*HLOOKUP($K749,'Type Chart'!$C$2:$U$20,19,false)</f>
        <v>1</v>
      </c>
      <c r="AM749" s="964" t="s">
        <v>1283</v>
      </c>
      <c r="AN749" s="965" t="s">
        <v>1442</v>
      </c>
      <c r="AO749" s="966" t="s">
        <v>1211</v>
      </c>
      <c r="AP749" s="936"/>
      <c r="AQ749" s="967"/>
      <c r="AR749" s="968"/>
      <c r="AS749" s="936"/>
    </row>
    <row r="750" ht="15.75" customHeight="1">
      <c r="A750" s="936"/>
      <c r="B750" s="948" t="s">
        <v>3090</v>
      </c>
      <c r="C750" s="950" t="s">
        <v>3091</v>
      </c>
      <c r="D750" s="950" t="s">
        <v>3091</v>
      </c>
      <c r="E750" s="952" t="s">
        <v>3091</v>
      </c>
      <c r="F750" s="940"/>
      <c r="G750" s="953"/>
      <c r="H750" s="969"/>
      <c r="I750" s="998" t="s">
        <v>384</v>
      </c>
      <c r="J750" s="1056" t="s">
        <v>81</v>
      </c>
      <c r="K750" s="984" t="s">
        <v>216</v>
      </c>
      <c r="L750" s="959">
        <v>165.0</v>
      </c>
      <c r="M750" s="960">
        <v>75.0</v>
      </c>
      <c r="N750" s="960">
        <v>80.0</v>
      </c>
      <c r="O750" s="960">
        <v>40.0</v>
      </c>
      <c r="P750" s="960">
        <v>45.0</v>
      </c>
      <c r="Q750" s="960">
        <v>65.0</v>
      </c>
      <c r="R750" s="960">
        <v>166.0</v>
      </c>
      <c r="S750" s="960">
        <v>229.0</v>
      </c>
      <c r="T750" s="960">
        <v>251.0</v>
      </c>
      <c r="U750" s="960">
        <f t="array" ref="U750">HLOOKUP($J750,'Type Chart'!$C$2:$T$20,2,false)*HLOOKUP($K750,'Type Chart'!$C$2:$U$20,2,false)</f>
        <v>1</v>
      </c>
      <c r="V750" s="960">
        <f t="array" ref="V750">HLOOKUP($J750,'Type Chart'!$C$2:$T$20,3,false)*HLOOKUP($K750,'Type Chart'!$C$2:$U$20,3,false)</f>
        <v>1</v>
      </c>
      <c r="W750" s="960">
        <f t="array" ref="W750">HLOOKUP($J750,'Type Chart'!$C$2:$T$20,4,false)*HLOOKUP($K750,'Type Chart'!$C$2:$U$20,4,false)</f>
        <v>1</v>
      </c>
      <c r="X750" s="960">
        <f t="array" ref="X750">HLOOKUP($J750,'Type Chart'!$C$2:$T$20,5,false)*HLOOKUP($K750,'Type Chart'!$C$2:$U$20,5,false)</f>
        <v>1</v>
      </c>
      <c r="Y750" s="960">
        <f t="array" ref="Y750">HLOOKUP($J750,'Type Chart'!$C$2:$T$20,6,false)*HLOOKUP($K750,'Type Chart'!$C$2:$U$20,6,false)</f>
        <v>1</v>
      </c>
      <c r="Z750" s="960">
        <f t="array" ref="Z750">HLOOKUP($J750,'Type Chart'!$C$2:$T$20,7,false)*HLOOKUP($K750,'Type Chart'!$C$2:$U$20,7,false)</f>
        <v>1</v>
      </c>
      <c r="AA750" s="960">
        <f t="array" ref="AA750">HLOOKUP($J750,'Type Chart'!$C$2:$T$20,8,false)*HLOOKUP($K750,'Type Chart'!$C$2:$U$20,8,false)</f>
        <v>1</v>
      </c>
      <c r="AB750" s="960">
        <f t="array" ref="AB750">HLOOKUP($J750,'Type Chart'!$C$2:$T$20,9,false)*HLOOKUP($K750,'Type Chart'!$C$2:$U$20,9,false)</f>
        <v>1</v>
      </c>
      <c r="AC750" s="960">
        <f t="array" ref="AC750">HLOOKUP($J750,'Type Chart'!$C$2:$T$20,10,false)*HLOOKUP($K750,'Type Chart'!$C$2:$U$20,10,false)</f>
        <v>0.5</v>
      </c>
      <c r="AD750" s="960">
        <f t="array" ref="AD750">HLOOKUP($J750,'Type Chart'!$C$2:$T$20,11,false)*HLOOKUP($K750,'Type Chart'!$C$2:$U$20,11,false)</f>
        <v>0.5</v>
      </c>
      <c r="AE750" s="960">
        <f t="array" ref="AE750">HLOOKUP($J750,'Type Chart'!$C$2:$T$20,12,false)*HLOOKUP($K750,'Type Chart'!$C$2:$U$20,12,false)</f>
        <v>0.5</v>
      </c>
      <c r="AF750" s="960">
        <f t="array" ref="AF750">HLOOKUP($J750,'Type Chart'!$C$2:$T$20,13,false)*HLOOKUP($K750,'Type Chart'!$C$2:$U$20,13,false)</f>
        <v>2</v>
      </c>
      <c r="AG750" s="960">
        <f t="array" ref="AG750">HLOOKUP($J750,'Type Chart'!$C$2:$T$20,14,false)*HLOOKUP($K750,'Type Chart'!$C$2:$U$20,14,false)</f>
        <v>2</v>
      </c>
      <c r="AH750" s="960">
        <f t="array" ref="AH750">HLOOKUP($J750,'Type Chart'!$C$2:$T$20,15,false)*HLOOKUP($K750,'Type Chart'!$C$2:$U$20,15,false)</f>
        <v>1</v>
      </c>
      <c r="AI750" s="960">
        <f t="array" ref="AI750">HLOOKUP($J750,'Type Chart'!$C$2:$T$20,16,false)*HLOOKUP($K750,'Type Chart'!$C$2:$U$20,16,false)</f>
        <v>0.5</v>
      </c>
      <c r="AJ750" s="960">
        <f t="array" ref="AJ750">HLOOKUP($J750,'Type Chart'!$C$2:$T$20,17,false)*HLOOKUP($K750,'Type Chart'!$C$2:$U$20,17,false)</f>
        <v>1</v>
      </c>
      <c r="AK750" s="960">
        <f t="array" ref="AK750">HLOOKUP($J750,'Type Chart'!$C$2:$T$20,18,false)*HLOOKUP($K750,'Type Chart'!$C$2:$U$20,18,false)</f>
        <v>1</v>
      </c>
      <c r="AL750" s="960">
        <f t="array" ref="AL750">HLOOKUP($J750,'Type Chart'!$C$2:$T$20,19,false)*HLOOKUP($K750,'Type Chart'!$C$2:$U$20,19,false)</f>
        <v>1</v>
      </c>
      <c r="AM750" s="964" t="s">
        <v>1522</v>
      </c>
      <c r="AN750" s="965" t="s">
        <v>1409</v>
      </c>
      <c r="AO750" s="966" t="s">
        <v>1371</v>
      </c>
      <c r="AP750" s="936"/>
      <c r="AQ750" s="967"/>
      <c r="AR750" s="968"/>
      <c r="AS750" s="936"/>
    </row>
    <row r="751" ht="15.75" customHeight="1">
      <c r="A751" s="936"/>
      <c r="B751" s="948" t="s">
        <v>3092</v>
      </c>
      <c r="C751" s="1197" t="s">
        <v>3093</v>
      </c>
      <c r="D751" s="950" t="s">
        <v>3093</v>
      </c>
      <c r="E751" s="1147" t="s">
        <v>3093</v>
      </c>
      <c r="F751" s="940"/>
      <c r="G751" s="953"/>
      <c r="H751" s="969"/>
      <c r="I751" s="956" t="s">
        <v>3094</v>
      </c>
      <c r="J751" s="1180" t="s">
        <v>343</v>
      </c>
      <c r="K751" s="1196" t="s">
        <v>203</v>
      </c>
      <c r="L751" s="959">
        <v>50.0</v>
      </c>
      <c r="M751" s="960">
        <v>47.0</v>
      </c>
      <c r="N751" s="960">
        <v>50.0</v>
      </c>
      <c r="O751" s="960">
        <v>57.0</v>
      </c>
      <c r="P751" s="960">
        <v>50.0</v>
      </c>
      <c r="Q751" s="960">
        <v>65.0</v>
      </c>
      <c r="R751" s="960">
        <v>166.0</v>
      </c>
      <c r="S751" s="960">
        <v>229.0</v>
      </c>
      <c r="T751" s="960">
        <v>251.0</v>
      </c>
      <c r="U751" s="960">
        <f t="array" ref="U751">HLOOKUP($J751,'Type Chart'!$C$2:$T$20,2,false)*HLOOKUP($K751,'Type Chart'!$C$2:$U$20,2,false)</f>
        <v>1</v>
      </c>
      <c r="V751" s="960">
        <f t="array" ref="V751">HLOOKUP($J751,'Type Chart'!$C$2:$T$20,3,false)*HLOOKUP($K751,'Type Chart'!$C$2:$U$20,3,false)</f>
        <v>0.5</v>
      </c>
      <c r="W751" s="960">
        <f t="array" ref="W751">HLOOKUP($J751,'Type Chart'!$C$2:$T$20,4,false)*HLOOKUP($K751,'Type Chart'!$C$2:$U$20,4,false)</f>
        <v>1</v>
      </c>
      <c r="X751" s="960">
        <f t="array" ref="X751">HLOOKUP($J751,'Type Chart'!$C$2:$T$20,5,false)*HLOOKUP($K751,'Type Chart'!$C$2:$U$20,5,false)</f>
        <v>1</v>
      </c>
      <c r="Y751" s="960">
        <f t="array" ref="Y751">HLOOKUP($J751,'Type Chart'!$C$2:$T$20,6,false)*HLOOKUP($K751,'Type Chart'!$C$2:$U$20,6,false)</f>
        <v>1</v>
      </c>
      <c r="Z751" s="960">
        <f t="array" ref="Z751">HLOOKUP($J751,'Type Chart'!$C$2:$T$20,7,false)*HLOOKUP($K751,'Type Chart'!$C$2:$U$20,7,false)</f>
        <v>2</v>
      </c>
      <c r="AA751" s="960">
        <f t="array" ref="AA751">HLOOKUP($J751,'Type Chart'!$C$2:$T$20,8,false)*HLOOKUP($K751,'Type Chart'!$C$2:$U$20,8,false)</f>
        <v>1</v>
      </c>
      <c r="AB751" s="960">
        <f t="array" ref="AB751">HLOOKUP($J751,'Type Chart'!$C$2:$T$20,9,false)*HLOOKUP($K751,'Type Chart'!$C$2:$U$20,9,false)</f>
        <v>1</v>
      </c>
      <c r="AC751" s="960">
        <f t="array" ref="AC751">HLOOKUP($J751,'Type Chart'!$C$2:$T$20,10,false)*HLOOKUP($K751,'Type Chart'!$C$2:$U$20,10,false)</f>
        <v>0.5</v>
      </c>
      <c r="AD751" s="960">
        <f t="array" ref="AD751">HLOOKUP($J751,'Type Chart'!$C$2:$T$20,11,false)*HLOOKUP($K751,'Type Chart'!$C$2:$U$20,11,false)</f>
        <v>2</v>
      </c>
      <c r="AE751" s="960">
        <f t="array" ref="AE751">HLOOKUP($J751,'Type Chart'!$C$2:$T$20,12,false)*HLOOKUP($K751,'Type Chart'!$C$2:$U$20,12,false)</f>
        <v>1</v>
      </c>
      <c r="AF751" s="960">
        <f t="array" ref="AF751">HLOOKUP($J751,'Type Chart'!$C$2:$T$20,13,false)*HLOOKUP($K751,'Type Chart'!$C$2:$U$20,13,false)</f>
        <v>0.5</v>
      </c>
      <c r="AG751" s="960">
        <f t="array" ref="AG751">HLOOKUP($J751,'Type Chart'!$C$2:$T$20,14,false)*HLOOKUP($K751,'Type Chart'!$C$2:$U$20,14,false)</f>
        <v>0.5</v>
      </c>
      <c r="AH751" s="960">
        <f t="array" ref="AH751">HLOOKUP($J751,'Type Chart'!$C$2:$T$20,15,false)*HLOOKUP($K751,'Type Chart'!$C$2:$U$20,15,false)</f>
        <v>1</v>
      </c>
      <c r="AI751" s="960">
        <f t="array" ref="AI751">HLOOKUP($J751,'Type Chart'!$C$2:$T$20,16,false)*HLOOKUP($K751,'Type Chart'!$C$2:$U$20,16,false)</f>
        <v>1</v>
      </c>
      <c r="AJ751" s="960">
        <f t="array" ref="AJ751">HLOOKUP($J751,'Type Chart'!$C$2:$T$20,17,false)*HLOOKUP($K751,'Type Chart'!$C$2:$U$20,17,false)</f>
        <v>1</v>
      </c>
      <c r="AK751" s="960">
        <f t="array" ref="AK751">HLOOKUP($J751,'Type Chart'!$C$2:$T$20,18,false)*HLOOKUP($K751,'Type Chart'!$C$2:$U$20,18,false)</f>
        <v>1</v>
      </c>
      <c r="AL751" s="960">
        <f t="array" ref="AL751">HLOOKUP($J751,'Type Chart'!$C$2:$T$20,19,false)*HLOOKUP($K751,'Type Chart'!$C$2:$U$20,19,false)</f>
        <v>1</v>
      </c>
      <c r="AM751" s="964" t="s">
        <v>1002</v>
      </c>
      <c r="AN751" s="965" t="s">
        <v>1062</v>
      </c>
      <c r="AO751" s="966" t="s">
        <v>1013</v>
      </c>
      <c r="AP751" s="936"/>
      <c r="AQ751" s="967"/>
      <c r="AR751" s="968"/>
      <c r="AS751" s="936"/>
    </row>
    <row r="752" ht="15.75" customHeight="1">
      <c r="A752" s="936"/>
      <c r="B752" s="948" t="s">
        <v>3095</v>
      </c>
      <c r="C752" s="1197" t="s">
        <v>3096</v>
      </c>
      <c r="D752" s="950" t="s">
        <v>3096</v>
      </c>
      <c r="E752" s="1147" t="s">
        <v>3096</v>
      </c>
      <c r="F752" s="940"/>
      <c r="G752" s="953"/>
      <c r="H752" s="969"/>
      <c r="I752" s="956" t="s">
        <v>642</v>
      </c>
      <c r="J752" s="1180" t="s">
        <v>343</v>
      </c>
      <c r="K752" s="1196" t="s">
        <v>203</v>
      </c>
      <c r="L752" s="959">
        <v>70.0</v>
      </c>
      <c r="M752" s="960">
        <v>77.0</v>
      </c>
      <c r="N752" s="960">
        <v>60.0</v>
      </c>
      <c r="O752" s="960">
        <v>97.0</v>
      </c>
      <c r="P752" s="960">
        <v>60.0</v>
      </c>
      <c r="Q752" s="960">
        <v>108.0</v>
      </c>
      <c r="R752" s="960">
        <v>252.0</v>
      </c>
      <c r="S752" s="960">
        <v>315.0</v>
      </c>
      <c r="T752" s="960">
        <v>346.0</v>
      </c>
      <c r="U752" s="960">
        <f t="array" ref="U752">HLOOKUP($J752,'Type Chart'!$C$2:$T$20,2,false)*HLOOKUP($K752,'Type Chart'!$C$2:$U$20,2,false)</f>
        <v>1</v>
      </c>
      <c r="V752" s="960">
        <f t="array" ref="V752">HLOOKUP($J752,'Type Chart'!$C$2:$T$20,3,false)*HLOOKUP($K752,'Type Chart'!$C$2:$U$20,3,false)</f>
        <v>0.5</v>
      </c>
      <c r="W752" s="960">
        <f t="array" ref="W752">HLOOKUP($J752,'Type Chart'!$C$2:$T$20,4,false)*HLOOKUP($K752,'Type Chart'!$C$2:$U$20,4,false)</f>
        <v>1</v>
      </c>
      <c r="X752" s="960">
        <f t="array" ref="X752">HLOOKUP($J752,'Type Chart'!$C$2:$T$20,5,false)*HLOOKUP($K752,'Type Chart'!$C$2:$U$20,5,false)</f>
        <v>1</v>
      </c>
      <c r="Y752" s="960">
        <f t="array" ref="Y752">HLOOKUP($J752,'Type Chart'!$C$2:$T$20,6,false)*HLOOKUP($K752,'Type Chart'!$C$2:$U$20,6,false)</f>
        <v>1</v>
      </c>
      <c r="Z752" s="960">
        <f t="array" ref="Z752">HLOOKUP($J752,'Type Chart'!$C$2:$T$20,7,false)*HLOOKUP($K752,'Type Chart'!$C$2:$U$20,7,false)</f>
        <v>2</v>
      </c>
      <c r="AA752" s="960">
        <f t="array" ref="AA752">HLOOKUP($J752,'Type Chart'!$C$2:$T$20,8,false)*HLOOKUP($K752,'Type Chart'!$C$2:$U$20,8,false)</f>
        <v>1</v>
      </c>
      <c r="AB752" s="960">
        <f t="array" ref="AB752">HLOOKUP($J752,'Type Chart'!$C$2:$T$20,9,false)*HLOOKUP($K752,'Type Chart'!$C$2:$U$20,9,false)</f>
        <v>1</v>
      </c>
      <c r="AC752" s="960">
        <f t="array" ref="AC752">HLOOKUP($J752,'Type Chart'!$C$2:$T$20,10,false)*HLOOKUP($K752,'Type Chart'!$C$2:$U$20,10,false)</f>
        <v>0.5</v>
      </c>
      <c r="AD752" s="960">
        <f t="array" ref="AD752">HLOOKUP($J752,'Type Chart'!$C$2:$T$20,11,false)*HLOOKUP($K752,'Type Chart'!$C$2:$U$20,11,false)</f>
        <v>2</v>
      </c>
      <c r="AE752" s="960">
        <f t="array" ref="AE752">HLOOKUP($J752,'Type Chart'!$C$2:$T$20,12,false)*HLOOKUP($K752,'Type Chart'!$C$2:$U$20,12,false)</f>
        <v>1</v>
      </c>
      <c r="AF752" s="960">
        <f t="array" ref="AF752">HLOOKUP($J752,'Type Chart'!$C$2:$T$20,13,false)*HLOOKUP($K752,'Type Chart'!$C$2:$U$20,13,false)</f>
        <v>0.5</v>
      </c>
      <c r="AG752" s="960">
        <f t="array" ref="AG752">HLOOKUP($J752,'Type Chart'!$C$2:$T$20,14,false)*HLOOKUP($K752,'Type Chart'!$C$2:$U$20,14,false)</f>
        <v>0.5</v>
      </c>
      <c r="AH752" s="960">
        <f t="array" ref="AH752">HLOOKUP($J752,'Type Chart'!$C$2:$T$20,15,false)*HLOOKUP($K752,'Type Chart'!$C$2:$U$20,15,false)</f>
        <v>1</v>
      </c>
      <c r="AI752" s="960">
        <f t="array" ref="AI752">HLOOKUP($J752,'Type Chart'!$C$2:$T$20,16,false)*HLOOKUP($K752,'Type Chart'!$C$2:$U$20,16,false)</f>
        <v>1</v>
      </c>
      <c r="AJ752" s="960">
        <f t="array" ref="AJ752">HLOOKUP($J752,'Type Chart'!$C$2:$T$20,17,false)*HLOOKUP($K752,'Type Chart'!$C$2:$U$20,17,false)</f>
        <v>1</v>
      </c>
      <c r="AK752" s="960">
        <f t="array" ref="AK752">HLOOKUP($J752,'Type Chart'!$C$2:$T$20,18,false)*HLOOKUP($K752,'Type Chart'!$C$2:$U$20,18,false)</f>
        <v>1</v>
      </c>
      <c r="AL752" s="960">
        <f t="array" ref="AL752">HLOOKUP($J752,'Type Chart'!$C$2:$T$20,19,false)*HLOOKUP($K752,'Type Chart'!$C$2:$U$20,19,false)</f>
        <v>1</v>
      </c>
      <c r="AM752" s="964" t="s">
        <v>1002</v>
      </c>
      <c r="AN752" s="965" t="s">
        <v>1062</v>
      </c>
      <c r="AO752" s="966" t="s">
        <v>1013</v>
      </c>
      <c r="AP752" s="936"/>
      <c r="AQ752" s="967"/>
      <c r="AR752" s="968"/>
      <c r="AS752" s="936"/>
    </row>
    <row r="753" ht="15.75" customHeight="1">
      <c r="A753" s="936"/>
      <c r="B753" s="948" t="s">
        <v>3097</v>
      </c>
      <c r="C753" s="950" t="s">
        <v>3098</v>
      </c>
      <c r="D753" s="950" t="s">
        <v>3098</v>
      </c>
      <c r="E753" s="952" t="s">
        <v>3098</v>
      </c>
      <c r="F753" s="940"/>
      <c r="G753" s="953"/>
      <c r="H753" s="969"/>
      <c r="I753" s="956" t="s">
        <v>3099</v>
      </c>
      <c r="J753" s="957" t="s">
        <v>209</v>
      </c>
      <c r="K753" s="1206" t="s">
        <v>82</v>
      </c>
      <c r="L753" s="959">
        <v>44.0</v>
      </c>
      <c r="M753" s="960">
        <v>50.0</v>
      </c>
      <c r="N753" s="960">
        <v>91.0</v>
      </c>
      <c r="O753" s="960">
        <v>24.0</v>
      </c>
      <c r="P753" s="960">
        <v>86.0</v>
      </c>
      <c r="Q753" s="960">
        <v>10.0</v>
      </c>
      <c r="R753" s="960">
        <v>56.0</v>
      </c>
      <c r="S753" s="960">
        <v>119.0</v>
      </c>
      <c r="T753" s="960">
        <v>130.0</v>
      </c>
      <c r="U753" s="960">
        <f t="array" ref="U753">HLOOKUP($J753,'Type Chart'!$C$2:$T$20,2,false)*HLOOKUP($K753,'Type Chart'!$C$2:$U$20,2,false)</f>
        <v>0.5</v>
      </c>
      <c r="V753" s="960">
        <f t="array" ref="V753">HLOOKUP($J753,'Type Chart'!$C$2:$T$20,3,false)*HLOOKUP($K753,'Type Chart'!$C$2:$U$20,3,false)</f>
        <v>2</v>
      </c>
      <c r="W753" s="960">
        <f t="array" ref="W753">HLOOKUP($J753,'Type Chart'!$C$2:$T$20,4,false)*HLOOKUP($K753,'Type Chart'!$C$2:$U$20,4,false)</f>
        <v>1</v>
      </c>
      <c r="X753" s="960">
        <f t="array" ref="X753">HLOOKUP($J753,'Type Chart'!$C$2:$T$20,5,false)*HLOOKUP($K753,'Type Chart'!$C$2:$U$20,5,false)</f>
        <v>0</v>
      </c>
      <c r="Y753" s="960">
        <f t="array" ref="Y753">HLOOKUP($J753,'Type Chart'!$C$2:$T$20,6,false)*HLOOKUP($K753,'Type Chart'!$C$2:$U$20,6,false)</f>
        <v>1</v>
      </c>
      <c r="Z753" s="960">
        <f t="array" ref="Z753">HLOOKUP($J753,'Type Chart'!$C$2:$T$20,7,false)*HLOOKUP($K753,'Type Chart'!$C$2:$U$20,7,false)</f>
        <v>0.5</v>
      </c>
      <c r="AA753" s="960">
        <f t="array" ref="AA753">HLOOKUP($J753,'Type Chart'!$C$2:$T$20,8,false)*HLOOKUP($K753,'Type Chart'!$C$2:$U$20,8,false)</f>
        <v>1</v>
      </c>
      <c r="AB753" s="960">
        <f t="array" ref="AB753">HLOOKUP($J753,'Type Chart'!$C$2:$T$20,9,false)*HLOOKUP($K753,'Type Chart'!$C$2:$U$20,9,false)</f>
        <v>1</v>
      </c>
      <c r="AC753" s="960">
        <f t="array" ref="AC753">HLOOKUP($J753,'Type Chart'!$C$2:$T$20,10,false)*HLOOKUP($K753,'Type Chart'!$C$2:$U$20,10,false)</f>
        <v>0.5</v>
      </c>
      <c r="AD753" s="960">
        <f t="array" ref="AD753">HLOOKUP($J753,'Type Chart'!$C$2:$T$20,11,false)*HLOOKUP($K753,'Type Chart'!$C$2:$U$20,11,false)</f>
        <v>4</v>
      </c>
      <c r="AE753" s="960">
        <f t="array" ref="AE753">HLOOKUP($J753,'Type Chart'!$C$2:$T$20,12,false)*HLOOKUP($K753,'Type Chart'!$C$2:$U$20,12,false)</f>
        <v>0.5</v>
      </c>
      <c r="AF753" s="960">
        <f t="array" ref="AF753">HLOOKUP($J753,'Type Chart'!$C$2:$T$20,13,false)*HLOOKUP($K753,'Type Chart'!$C$2:$U$20,13,false)</f>
        <v>0.25</v>
      </c>
      <c r="AG753" s="960">
        <f t="array" ref="AG753">HLOOKUP($J753,'Type Chart'!$C$2:$T$20,14,false)*HLOOKUP($K753,'Type Chart'!$C$2:$U$20,14,false)</f>
        <v>0.5</v>
      </c>
      <c r="AH753" s="960">
        <f t="array" ref="AH753">HLOOKUP($J753,'Type Chart'!$C$2:$T$20,15,false)*HLOOKUP($K753,'Type Chart'!$C$2:$U$20,15,false)</f>
        <v>0.5</v>
      </c>
      <c r="AI753" s="960">
        <f t="array" ref="AI753">HLOOKUP($J753,'Type Chart'!$C$2:$T$20,16,false)*HLOOKUP($K753,'Type Chart'!$C$2:$U$20,16,false)</f>
        <v>1</v>
      </c>
      <c r="AJ753" s="960">
        <f t="array" ref="AJ753">HLOOKUP($J753,'Type Chart'!$C$2:$T$20,17,false)*HLOOKUP($K753,'Type Chart'!$C$2:$U$20,17,false)</f>
        <v>0.5</v>
      </c>
      <c r="AK753" s="960">
        <f t="array" ref="AK753">HLOOKUP($J753,'Type Chart'!$C$2:$T$20,18,false)*HLOOKUP($K753,'Type Chart'!$C$2:$U$20,18,false)</f>
        <v>1</v>
      </c>
      <c r="AL753" s="960">
        <f t="array" ref="AL753">HLOOKUP($J753,'Type Chart'!$C$2:$T$20,19,false)*HLOOKUP($K753,'Type Chart'!$C$2:$U$20,19,false)</f>
        <v>0.5</v>
      </c>
      <c r="AM753" s="964" t="s">
        <v>3100</v>
      </c>
      <c r="AN753" s="965"/>
      <c r="AO753" s="966"/>
      <c r="AP753" s="936"/>
      <c r="AQ753" s="967"/>
      <c r="AR753" s="968"/>
      <c r="AS753" s="936"/>
    </row>
    <row r="754" ht="15.75" customHeight="1">
      <c r="A754" s="1099"/>
      <c r="B754" s="948" t="s">
        <v>3101</v>
      </c>
      <c r="C754" s="950" t="s">
        <v>3102</v>
      </c>
      <c r="D754" s="950" t="s">
        <v>3102</v>
      </c>
      <c r="E754" s="952" t="s">
        <v>3102</v>
      </c>
      <c r="F754" s="940"/>
      <c r="G754" s="953"/>
      <c r="H754" s="969"/>
      <c r="I754" s="956" t="s">
        <v>3103</v>
      </c>
      <c r="J754" s="957" t="s">
        <v>209</v>
      </c>
      <c r="K754" s="1206" t="s">
        <v>82</v>
      </c>
      <c r="L754" s="959">
        <v>74.0</v>
      </c>
      <c r="M754" s="960">
        <v>94.0</v>
      </c>
      <c r="N754" s="960">
        <v>131.0</v>
      </c>
      <c r="O754" s="960">
        <v>54.0</v>
      </c>
      <c r="P754" s="960">
        <v>116.0</v>
      </c>
      <c r="Q754" s="960">
        <v>20.0</v>
      </c>
      <c r="R754" s="960">
        <v>76.0</v>
      </c>
      <c r="S754" s="960">
        <v>139.0</v>
      </c>
      <c r="T754" s="960">
        <v>152.0</v>
      </c>
      <c r="U754" s="960">
        <f t="array" ref="U754">HLOOKUP($J754,'Type Chart'!$C$2:$T$20,2,false)*HLOOKUP($K754,'Type Chart'!$C$2:$U$20,2,false)</f>
        <v>0.5</v>
      </c>
      <c r="V754" s="960">
        <f t="array" ref="V754">HLOOKUP($J754,'Type Chart'!$C$2:$T$20,3,false)*HLOOKUP($K754,'Type Chart'!$C$2:$U$20,3,false)</f>
        <v>2</v>
      </c>
      <c r="W754" s="960">
        <f t="array" ref="W754">HLOOKUP($J754,'Type Chart'!$C$2:$T$20,4,false)*HLOOKUP($K754,'Type Chart'!$C$2:$U$20,4,false)</f>
        <v>1</v>
      </c>
      <c r="X754" s="960">
        <f t="array" ref="X754">HLOOKUP($J754,'Type Chart'!$C$2:$T$20,5,false)*HLOOKUP($K754,'Type Chart'!$C$2:$U$20,5,false)</f>
        <v>0</v>
      </c>
      <c r="Y754" s="960">
        <f t="array" ref="Y754">HLOOKUP($J754,'Type Chart'!$C$2:$T$20,6,false)*HLOOKUP($K754,'Type Chart'!$C$2:$U$20,6,false)</f>
        <v>1</v>
      </c>
      <c r="Z754" s="960">
        <f t="array" ref="Z754">HLOOKUP($J754,'Type Chart'!$C$2:$T$20,7,false)*HLOOKUP($K754,'Type Chart'!$C$2:$U$20,7,false)</f>
        <v>0.5</v>
      </c>
      <c r="AA754" s="960">
        <f t="array" ref="AA754">HLOOKUP($J754,'Type Chart'!$C$2:$T$20,8,false)*HLOOKUP($K754,'Type Chart'!$C$2:$U$20,8,false)</f>
        <v>1</v>
      </c>
      <c r="AB754" s="960">
        <f t="array" ref="AB754">HLOOKUP($J754,'Type Chart'!$C$2:$T$20,9,false)*HLOOKUP($K754,'Type Chart'!$C$2:$U$20,9,false)</f>
        <v>1</v>
      </c>
      <c r="AC754" s="960">
        <f t="array" ref="AC754">HLOOKUP($J754,'Type Chart'!$C$2:$T$20,10,false)*HLOOKUP($K754,'Type Chart'!$C$2:$U$20,10,false)</f>
        <v>0.5</v>
      </c>
      <c r="AD754" s="960">
        <f t="array" ref="AD754">HLOOKUP($J754,'Type Chart'!$C$2:$T$20,11,false)*HLOOKUP($K754,'Type Chart'!$C$2:$U$20,11,false)</f>
        <v>4</v>
      </c>
      <c r="AE754" s="960">
        <f t="array" ref="AE754">HLOOKUP($J754,'Type Chart'!$C$2:$T$20,12,false)*HLOOKUP($K754,'Type Chart'!$C$2:$U$20,12,false)</f>
        <v>0.5</v>
      </c>
      <c r="AF754" s="960">
        <f t="array" ref="AF754">HLOOKUP($J754,'Type Chart'!$C$2:$T$20,13,false)*HLOOKUP($K754,'Type Chart'!$C$2:$U$20,13,false)</f>
        <v>0.25</v>
      </c>
      <c r="AG754" s="960">
        <f t="array" ref="AG754">HLOOKUP($J754,'Type Chart'!$C$2:$T$20,14,false)*HLOOKUP($K754,'Type Chart'!$C$2:$U$20,14,false)</f>
        <v>0.5</v>
      </c>
      <c r="AH754" s="960">
        <f t="array" ref="AH754">HLOOKUP($J754,'Type Chart'!$C$2:$T$20,15,false)*HLOOKUP($K754,'Type Chart'!$C$2:$U$20,15,false)</f>
        <v>0.5</v>
      </c>
      <c r="AI754" s="960">
        <f t="array" ref="AI754">HLOOKUP($J754,'Type Chart'!$C$2:$T$20,16,false)*HLOOKUP($K754,'Type Chart'!$C$2:$U$20,16,false)</f>
        <v>1</v>
      </c>
      <c r="AJ754" s="960">
        <f t="array" ref="AJ754">HLOOKUP($J754,'Type Chart'!$C$2:$T$20,17,false)*HLOOKUP($K754,'Type Chart'!$C$2:$U$20,17,false)</f>
        <v>0.5</v>
      </c>
      <c r="AK754" s="960">
        <f t="array" ref="AK754">HLOOKUP($J754,'Type Chart'!$C$2:$T$20,18,false)*HLOOKUP($K754,'Type Chart'!$C$2:$U$20,18,false)</f>
        <v>1</v>
      </c>
      <c r="AL754" s="960">
        <f t="array" ref="AL754">HLOOKUP($J754,'Type Chart'!$C$2:$T$20,19,false)*HLOOKUP($K754,'Type Chart'!$C$2:$U$20,19,false)</f>
        <v>0.5</v>
      </c>
      <c r="AM754" s="1145" t="s">
        <v>3100</v>
      </c>
      <c r="AN754" s="1202"/>
      <c r="AO754" s="1146" t="s">
        <v>1359</v>
      </c>
      <c r="AP754" s="936"/>
      <c r="AQ754" s="967"/>
      <c r="AR754" s="968"/>
      <c r="AS754" s="936"/>
    </row>
    <row r="755" ht="15.75" customHeight="1">
      <c r="A755" s="936"/>
      <c r="B755" s="948" t="s">
        <v>3104</v>
      </c>
      <c r="C755" s="950" t="s">
        <v>3105</v>
      </c>
      <c r="D755" s="950" t="s">
        <v>3105</v>
      </c>
      <c r="E755" s="952" t="s">
        <v>3105</v>
      </c>
      <c r="F755" s="940"/>
      <c r="G755" s="953"/>
      <c r="H755" s="969"/>
      <c r="I755" s="956" t="s">
        <v>3106</v>
      </c>
      <c r="J755" s="1206" t="s">
        <v>82</v>
      </c>
      <c r="K755" s="984" t="s">
        <v>216</v>
      </c>
      <c r="L755" s="959">
        <v>40.0</v>
      </c>
      <c r="M755" s="960">
        <v>55.0</v>
      </c>
      <c r="N755" s="960">
        <v>70.0</v>
      </c>
      <c r="O755" s="960">
        <v>45.0</v>
      </c>
      <c r="P755" s="960">
        <v>60.0</v>
      </c>
      <c r="Q755" s="960">
        <v>30.0</v>
      </c>
      <c r="R755" s="960">
        <v>96.0</v>
      </c>
      <c r="S755" s="960">
        <v>159.0</v>
      </c>
      <c r="T755" s="960">
        <v>174.0</v>
      </c>
      <c r="U755" s="960">
        <f t="array" ref="U755">HLOOKUP($J755,'Type Chart'!$C$2:$T$20,2,false)*HLOOKUP($K755,'Type Chart'!$C$2:$U$20,2,false)</f>
        <v>0.5</v>
      </c>
      <c r="V755" s="960">
        <f t="array" ref="V755">HLOOKUP($J755,'Type Chart'!$C$2:$T$20,3,false)*HLOOKUP($K755,'Type Chart'!$C$2:$U$20,3,false)</f>
        <v>2</v>
      </c>
      <c r="W755" s="960">
        <f t="array" ref="W755">HLOOKUP($J755,'Type Chart'!$C$2:$T$20,4,false)*HLOOKUP($K755,'Type Chart'!$C$2:$U$20,4,false)</f>
        <v>0.5</v>
      </c>
      <c r="X755" s="960">
        <f t="array" ref="X755">HLOOKUP($J755,'Type Chart'!$C$2:$T$20,5,false)*HLOOKUP($K755,'Type Chart'!$C$2:$U$20,5,false)</f>
        <v>0</v>
      </c>
      <c r="Y755" s="960">
        <f t="array" ref="Y755">HLOOKUP($J755,'Type Chart'!$C$2:$T$20,6,false)*HLOOKUP($K755,'Type Chart'!$C$2:$U$20,6,false)</f>
        <v>2</v>
      </c>
      <c r="Z755" s="960">
        <f t="array" ref="Z755">HLOOKUP($J755,'Type Chart'!$C$2:$T$20,7,false)*HLOOKUP($K755,'Type Chart'!$C$2:$U$20,7,false)</f>
        <v>0.5</v>
      </c>
      <c r="AA755" s="960">
        <f t="array" ref="AA755">HLOOKUP($J755,'Type Chart'!$C$2:$T$20,8,false)*HLOOKUP($K755,'Type Chart'!$C$2:$U$20,8,false)</f>
        <v>0.5</v>
      </c>
      <c r="AB755" s="960">
        <f t="array" ref="AB755">HLOOKUP($J755,'Type Chart'!$C$2:$T$20,9,false)*HLOOKUP($K755,'Type Chart'!$C$2:$U$20,9,false)</f>
        <v>1</v>
      </c>
      <c r="AC755" s="960">
        <f t="array" ref="AC755">HLOOKUP($J755,'Type Chart'!$C$2:$T$20,10,false)*HLOOKUP($K755,'Type Chart'!$C$2:$U$20,10,false)</f>
        <v>0.5</v>
      </c>
      <c r="AD755" s="960">
        <f t="array" ref="AD755">HLOOKUP($J755,'Type Chart'!$C$2:$T$20,11,false)*HLOOKUP($K755,'Type Chart'!$C$2:$U$20,11,false)</f>
        <v>2</v>
      </c>
      <c r="AE755" s="960">
        <f t="array" ref="AE755">HLOOKUP($J755,'Type Chart'!$C$2:$T$20,12,false)*HLOOKUP($K755,'Type Chart'!$C$2:$U$20,12,false)</f>
        <v>1</v>
      </c>
      <c r="AF755" s="960">
        <f t="array" ref="AF755">HLOOKUP($J755,'Type Chart'!$C$2:$T$20,13,false)*HLOOKUP($K755,'Type Chart'!$C$2:$U$20,13,false)</f>
        <v>0.5</v>
      </c>
      <c r="AG755" s="960">
        <f t="array" ref="AG755">HLOOKUP($J755,'Type Chart'!$C$2:$T$20,14,false)*HLOOKUP($K755,'Type Chart'!$C$2:$U$20,14,false)</f>
        <v>1</v>
      </c>
      <c r="AH755" s="960">
        <f t="array" ref="AH755">HLOOKUP($J755,'Type Chart'!$C$2:$T$20,15,false)*HLOOKUP($K755,'Type Chart'!$C$2:$U$20,15,false)</f>
        <v>0.5</v>
      </c>
      <c r="AI755" s="960">
        <f t="array" ref="AI755">HLOOKUP($J755,'Type Chart'!$C$2:$T$20,16,false)*HLOOKUP($K755,'Type Chart'!$C$2:$U$20,16,false)</f>
        <v>0.5</v>
      </c>
      <c r="AJ755" s="960">
        <f t="array" ref="AJ755">HLOOKUP($J755,'Type Chart'!$C$2:$T$20,17,false)*HLOOKUP($K755,'Type Chart'!$C$2:$U$20,17,false)</f>
        <v>0.5</v>
      </c>
      <c r="AK755" s="960">
        <f t="array" ref="AK755">HLOOKUP($J755,'Type Chart'!$C$2:$T$20,18,false)*HLOOKUP($K755,'Type Chart'!$C$2:$U$20,18,false)</f>
        <v>1</v>
      </c>
      <c r="AL755" s="960">
        <f t="array" ref="AL755">HLOOKUP($J755,'Type Chart'!$C$2:$T$20,19,false)*HLOOKUP($K755,'Type Chart'!$C$2:$U$20,19,false)</f>
        <v>0.5</v>
      </c>
      <c r="AM755" s="964" t="s">
        <v>1759</v>
      </c>
      <c r="AN755" s="965" t="s">
        <v>2172</v>
      </c>
      <c r="AO755" s="966" t="s">
        <v>1324</v>
      </c>
      <c r="AP755" s="936"/>
      <c r="AQ755" s="967"/>
      <c r="AR755" s="968"/>
      <c r="AS755" s="936"/>
    </row>
    <row r="756" ht="15.75" customHeight="1">
      <c r="A756" s="936"/>
      <c r="B756" s="948" t="s">
        <v>3107</v>
      </c>
      <c r="C756" s="950" t="s">
        <v>3108</v>
      </c>
      <c r="D756" s="950" t="s">
        <v>3108</v>
      </c>
      <c r="E756" s="952" t="s">
        <v>3108</v>
      </c>
      <c r="F756" s="940"/>
      <c r="G756" s="953"/>
      <c r="H756" s="969"/>
      <c r="I756" s="956" t="s">
        <v>3109</v>
      </c>
      <c r="J756" s="1206" t="s">
        <v>82</v>
      </c>
      <c r="K756" s="984" t="s">
        <v>216</v>
      </c>
      <c r="L756" s="959">
        <v>60.0</v>
      </c>
      <c r="M756" s="960">
        <v>80.0</v>
      </c>
      <c r="N756" s="960">
        <v>95.0</v>
      </c>
      <c r="O756" s="960">
        <v>70.0</v>
      </c>
      <c r="P756" s="960">
        <v>85.0</v>
      </c>
      <c r="Q756" s="960">
        <v>50.0</v>
      </c>
      <c r="R756" s="960">
        <v>136.0</v>
      </c>
      <c r="S756" s="960">
        <v>199.0</v>
      </c>
      <c r="T756" s="960">
        <v>218.0</v>
      </c>
      <c r="U756" s="960">
        <f t="array" ref="U756">HLOOKUP($J756,'Type Chart'!$C$2:$T$20,2,false)*HLOOKUP($K756,'Type Chart'!$C$2:$U$20,2,false)</f>
        <v>0.5</v>
      </c>
      <c r="V756" s="960">
        <f t="array" ref="V756">HLOOKUP($J756,'Type Chart'!$C$2:$T$20,3,false)*HLOOKUP($K756,'Type Chart'!$C$2:$U$20,3,false)</f>
        <v>2</v>
      </c>
      <c r="W756" s="960">
        <f t="array" ref="W756">HLOOKUP($J756,'Type Chart'!$C$2:$T$20,4,false)*HLOOKUP($K756,'Type Chart'!$C$2:$U$20,4,false)</f>
        <v>0.5</v>
      </c>
      <c r="X756" s="960">
        <f t="array" ref="X756">HLOOKUP($J756,'Type Chart'!$C$2:$T$20,5,false)*HLOOKUP($K756,'Type Chart'!$C$2:$U$20,5,false)</f>
        <v>0</v>
      </c>
      <c r="Y756" s="960">
        <f t="array" ref="Y756">HLOOKUP($J756,'Type Chart'!$C$2:$T$20,6,false)*HLOOKUP($K756,'Type Chart'!$C$2:$U$20,6,false)</f>
        <v>2</v>
      </c>
      <c r="Z756" s="960">
        <f t="array" ref="Z756">HLOOKUP($J756,'Type Chart'!$C$2:$T$20,7,false)*HLOOKUP($K756,'Type Chart'!$C$2:$U$20,7,false)</f>
        <v>0.5</v>
      </c>
      <c r="AA756" s="960">
        <f t="array" ref="AA756">HLOOKUP($J756,'Type Chart'!$C$2:$T$20,8,false)*HLOOKUP($K756,'Type Chart'!$C$2:$U$20,8,false)</f>
        <v>0.5</v>
      </c>
      <c r="AB756" s="960">
        <f t="array" ref="AB756">HLOOKUP($J756,'Type Chart'!$C$2:$T$20,9,false)*HLOOKUP($K756,'Type Chart'!$C$2:$U$20,9,false)</f>
        <v>1</v>
      </c>
      <c r="AC756" s="960">
        <f t="array" ref="AC756">HLOOKUP($J756,'Type Chart'!$C$2:$T$20,10,false)*HLOOKUP($K756,'Type Chart'!$C$2:$U$20,10,false)</f>
        <v>0.5</v>
      </c>
      <c r="AD756" s="960">
        <f t="array" ref="AD756">HLOOKUP($J756,'Type Chart'!$C$2:$T$20,11,false)*HLOOKUP($K756,'Type Chart'!$C$2:$U$20,11,false)</f>
        <v>2</v>
      </c>
      <c r="AE756" s="960">
        <f t="array" ref="AE756">HLOOKUP($J756,'Type Chart'!$C$2:$T$20,12,false)*HLOOKUP($K756,'Type Chart'!$C$2:$U$20,12,false)</f>
        <v>1</v>
      </c>
      <c r="AF756" s="960">
        <f t="array" ref="AF756">HLOOKUP($J756,'Type Chart'!$C$2:$T$20,13,false)*HLOOKUP($K756,'Type Chart'!$C$2:$U$20,13,false)</f>
        <v>0.5</v>
      </c>
      <c r="AG756" s="960">
        <f t="array" ref="AG756">HLOOKUP($J756,'Type Chart'!$C$2:$T$20,14,false)*HLOOKUP($K756,'Type Chart'!$C$2:$U$20,14,false)</f>
        <v>1</v>
      </c>
      <c r="AH756" s="960">
        <f t="array" ref="AH756">HLOOKUP($J756,'Type Chart'!$C$2:$T$20,15,false)*HLOOKUP($K756,'Type Chart'!$C$2:$U$20,15,false)</f>
        <v>0.5</v>
      </c>
      <c r="AI756" s="960">
        <f t="array" ref="AI756">HLOOKUP($J756,'Type Chart'!$C$2:$T$20,16,false)*HLOOKUP($K756,'Type Chart'!$C$2:$U$20,16,false)</f>
        <v>0.5</v>
      </c>
      <c r="AJ756" s="960">
        <f t="array" ref="AJ756">HLOOKUP($J756,'Type Chart'!$C$2:$T$20,17,false)*HLOOKUP($K756,'Type Chart'!$C$2:$U$20,17,false)</f>
        <v>0.5</v>
      </c>
      <c r="AK756" s="960">
        <f t="array" ref="AK756">HLOOKUP($J756,'Type Chart'!$C$2:$T$20,18,false)*HLOOKUP($K756,'Type Chart'!$C$2:$U$20,18,false)</f>
        <v>1</v>
      </c>
      <c r="AL756" s="960">
        <f t="array" ref="AL756">HLOOKUP($J756,'Type Chart'!$C$2:$T$20,19,false)*HLOOKUP($K756,'Type Chart'!$C$2:$U$20,19,false)</f>
        <v>0.5</v>
      </c>
      <c r="AM756" s="964" t="s">
        <v>1759</v>
      </c>
      <c r="AN756" s="965" t="s">
        <v>2172</v>
      </c>
      <c r="AO756" s="966" t="s">
        <v>1324</v>
      </c>
      <c r="AP756" s="936"/>
      <c r="AQ756" s="967"/>
      <c r="AR756" s="968"/>
      <c r="AS756" s="936"/>
    </row>
    <row r="757" ht="15.75" customHeight="1">
      <c r="A757" s="936"/>
      <c r="B757" s="948" t="s">
        <v>3110</v>
      </c>
      <c r="C757" s="950" t="s">
        <v>3111</v>
      </c>
      <c r="D757" s="950" t="s">
        <v>3111</v>
      </c>
      <c r="E757" s="952" t="s">
        <v>3111</v>
      </c>
      <c r="F757" s="940"/>
      <c r="G757" s="953"/>
      <c r="H757" s="969"/>
      <c r="I757" s="956" t="s">
        <v>3112</v>
      </c>
      <c r="J757" s="1206" t="s">
        <v>82</v>
      </c>
      <c r="K757" s="984" t="s">
        <v>216</v>
      </c>
      <c r="L757" s="959">
        <v>60.0</v>
      </c>
      <c r="M757" s="960">
        <v>100.0</v>
      </c>
      <c r="N757" s="960">
        <v>115.0</v>
      </c>
      <c r="O757" s="960">
        <v>70.0</v>
      </c>
      <c r="P757" s="960">
        <v>85.0</v>
      </c>
      <c r="Q757" s="960">
        <v>90.0</v>
      </c>
      <c r="R757" s="960">
        <v>216.0</v>
      </c>
      <c r="S757" s="960">
        <v>279.0</v>
      </c>
      <c r="T757" s="960">
        <v>306.0</v>
      </c>
      <c r="U757" s="960">
        <f t="array" ref="U757">HLOOKUP($J757,'Type Chart'!$C$2:$T$20,2,false)*HLOOKUP($K757,'Type Chart'!$C$2:$U$20,2,false)</f>
        <v>0.5</v>
      </c>
      <c r="V757" s="960">
        <f t="array" ref="V757">HLOOKUP($J757,'Type Chart'!$C$2:$T$20,3,false)*HLOOKUP($K757,'Type Chart'!$C$2:$U$20,3,false)</f>
        <v>2</v>
      </c>
      <c r="W757" s="960">
        <f t="array" ref="W757">HLOOKUP($J757,'Type Chart'!$C$2:$T$20,4,false)*HLOOKUP($K757,'Type Chart'!$C$2:$U$20,4,false)</f>
        <v>0.5</v>
      </c>
      <c r="X757" s="960">
        <f t="array" ref="X757">HLOOKUP($J757,'Type Chart'!$C$2:$T$20,5,false)*HLOOKUP($K757,'Type Chart'!$C$2:$U$20,5,false)</f>
        <v>0</v>
      </c>
      <c r="Y757" s="960">
        <f t="array" ref="Y757">HLOOKUP($J757,'Type Chart'!$C$2:$T$20,6,false)*HLOOKUP($K757,'Type Chart'!$C$2:$U$20,6,false)</f>
        <v>2</v>
      </c>
      <c r="Z757" s="960">
        <f t="array" ref="Z757">HLOOKUP($J757,'Type Chart'!$C$2:$T$20,7,false)*HLOOKUP($K757,'Type Chart'!$C$2:$U$20,7,false)</f>
        <v>0.5</v>
      </c>
      <c r="AA757" s="960">
        <f t="array" ref="AA757">HLOOKUP($J757,'Type Chart'!$C$2:$T$20,8,false)*HLOOKUP($K757,'Type Chart'!$C$2:$U$20,8,false)</f>
        <v>0.5</v>
      </c>
      <c r="AB757" s="960">
        <f t="array" ref="AB757">HLOOKUP($J757,'Type Chart'!$C$2:$T$20,9,false)*HLOOKUP($K757,'Type Chart'!$C$2:$U$20,9,false)</f>
        <v>1</v>
      </c>
      <c r="AC757" s="960">
        <f t="array" ref="AC757">HLOOKUP($J757,'Type Chart'!$C$2:$T$20,10,false)*HLOOKUP($K757,'Type Chart'!$C$2:$U$20,10,false)</f>
        <v>0.5</v>
      </c>
      <c r="AD757" s="960">
        <f t="array" ref="AD757">HLOOKUP($J757,'Type Chart'!$C$2:$T$20,11,false)*HLOOKUP($K757,'Type Chart'!$C$2:$U$20,11,false)</f>
        <v>2</v>
      </c>
      <c r="AE757" s="960">
        <f t="array" ref="AE757">HLOOKUP($J757,'Type Chart'!$C$2:$T$20,12,false)*HLOOKUP($K757,'Type Chart'!$C$2:$U$20,12,false)</f>
        <v>1</v>
      </c>
      <c r="AF757" s="960">
        <f t="array" ref="AF757">HLOOKUP($J757,'Type Chart'!$C$2:$T$20,13,false)*HLOOKUP($K757,'Type Chart'!$C$2:$U$20,13,false)</f>
        <v>0.5</v>
      </c>
      <c r="AG757" s="960">
        <f t="array" ref="AG757">HLOOKUP($J757,'Type Chart'!$C$2:$T$20,14,false)*HLOOKUP($K757,'Type Chart'!$C$2:$U$20,14,false)</f>
        <v>1</v>
      </c>
      <c r="AH757" s="960">
        <f t="array" ref="AH757">HLOOKUP($J757,'Type Chart'!$C$2:$T$20,15,false)*HLOOKUP($K757,'Type Chart'!$C$2:$U$20,15,false)</f>
        <v>0.5</v>
      </c>
      <c r="AI757" s="960">
        <f t="array" ref="AI757">HLOOKUP($J757,'Type Chart'!$C$2:$T$20,16,false)*HLOOKUP($K757,'Type Chart'!$C$2:$U$20,16,false)</f>
        <v>0.5</v>
      </c>
      <c r="AJ757" s="960">
        <f t="array" ref="AJ757">HLOOKUP($J757,'Type Chart'!$C$2:$T$20,17,false)*HLOOKUP($K757,'Type Chart'!$C$2:$U$20,17,false)</f>
        <v>0.5</v>
      </c>
      <c r="AK757" s="960">
        <f t="array" ref="AK757">HLOOKUP($J757,'Type Chart'!$C$2:$T$20,18,false)*HLOOKUP($K757,'Type Chart'!$C$2:$U$20,18,false)</f>
        <v>1</v>
      </c>
      <c r="AL757" s="960">
        <f t="array" ref="AL757">HLOOKUP($J757,'Type Chart'!$C$2:$T$20,19,false)*HLOOKUP($K757,'Type Chart'!$C$2:$U$20,19,false)</f>
        <v>0.5</v>
      </c>
      <c r="AM757" s="964" t="s">
        <v>1759</v>
      </c>
      <c r="AN757" s="965" t="s">
        <v>2172</v>
      </c>
      <c r="AO757" s="966" t="s">
        <v>1324</v>
      </c>
      <c r="AP757" s="936"/>
      <c r="AQ757" s="967"/>
      <c r="AR757" s="968"/>
      <c r="AS757" s="936"/>
    </row>
    <row r="758" ht="15.75" customHeight="1">
      <c r="A758" s="936"/>
      <c r="B758" s="948" t="s">
        <v>3113</v>
      </c>
      <c r="C758" s="950" t="s">
        <v>3114</v>
      </c>
      <c r="D758" s="950" t="s">
        <v>3114</v>
      </c>
      <c r="E758" s="952" t="s">
        <v>3114</v>
      </c>
      <c r="F758" s="940"/>
      <c r="G758" s="953"/>
      <c r="H758" s="969"/>
      <c r="I758" s="956" t="s">
        <v>3115</v>
      </c>
      <c r="J758" s="1196" t="s">
        <v>203</v>
      </c>
      <c r="K758" s="984" t="s">
        <v>216</v>
      </c>
      <c r="L758" s="959">
        <v>35.0</v>
      </c>
      <c r="M758" s="960">
        <v>55.0</v>
      </c>
      <c r="N758" s="960">
        <v>40.0</v>
      </c>
      <c r="O758" s="960">
        <v>45.0</v>
      </c>
      <c r="P758" s="960">
        <v>40.0</v>
      </c>
      <c r="Q758" s="960">
        <v>60.0</v>
      </c>
      <c r="R758" s="960">
        <v>156.0</v>
      </c>
      <c r="S758" s="960">
        <v>219.0</v>
      </c>
      <c r="T758" s="960">
        <v>240.0</v>
      </c>
      <c r="U758" s="960">
        <f t="array" ref="U758">HLOOKUP($J758,'Type Chart'!$C$2:$T$20,2,false)*HLOOKUP($K758,'Type Chart'!$C$2:$U$20,2,false)</f>
        <v>1</v>
      </c>
      <c r="V758" s="960">
        <f t="array" ref="V758">HLOOKUP($J758,'Type Chart'!$C$2:$T$20,3,false)*HLOOKUP($K758,'Type Chart'!$C$2:$U$20,3,false)</f>
        <v>1</v>
      </c>
      <c r="W758" s="960">
        <f t="array" ref="W758">HLOOKUP($J758,'Type Chart'!$C$2:$T$20,4,false)*HLOOKUP($K758,'Type Chart'!$C$2:$U$20,4,false)</f>
        <v>0.5</v>
      </c>
      <c r="X758" s="960">
        <f t="array" ref="X758">HLOOKUP($J758,'Type Chart'!$C$2:$T$20,5,false)*HLOOKUP($K758,'Type Chart'!$C$2:$U$20,5,false)</f>
        <v>1</v>
      </c>
      <c r="Y758" s="960">
        <f t="array" ref="Y758">HLOOKUP($J758,'Type Chart'!$C$2:$T$20,6,false)*HLOOKUP($K758,'Type Chart'!$C$2:$U$20,6,false)</f>
        <v>2</v>
      </c>
      <c r="Z758" s="960">
        <f t="array" ref="Z758">HLOOKUP($J758,'Type Chart'!$C$2:$T$20,7,false)*HLOOKUP($K758,'Type Chart'!$C$2:$U$20,7,false)</f>
        <v>1</v>
      </c>
      <c r="AA758" s="960">
        <f t="array" ref="AA758">HLOOKUP($J758,'Type Chart'!$C$2:$T$20,8,false)*HLOOKUP($K758,'Type Chart'!$C$2:$U$20,8,false)</f>
        <v>1</v>
      </c>
      <c r="AB758" s="960">
        <f t="array" ref="AB758">HLOOKUP($J758,'Type Chart'!$C$2:$T$20,9,false)*HLOOKUP($K758,'Type Chart'!$C$2:$U$20,9,false)</f>
        <v>1</v>
      </c>
      <c r="AC758" s="960">
        <f t="array" ref="AC758">HLOOKUP($J758,'Type Chart'!$C$2:$T$20,10,false)*HLOOKUP($K758,'Type Chart'!$C$2:$U$20,10,false)</f>
        <v>0.5</v>
      </c>
      <c r="AD758" s="960">
        <f t="array" ref="AD758">HLOOKUP($J758,'Type Chart'!$C$2:$T$20,11,false)*HLOOKUP($K758,'Type Chart'!$C$2:$U$20,11,false)</f>
        <v>1</v>
      </c>
      <c r="AE758" s="960">
        <f t="array" ref="AE758">HLOOKUP($J758,'Type Chart'!$C$2:$T$20,12,false)*HLOOKUP($K758,'Type Chart'!$C$2:$U$20,12,false)</f>
        <v>1</v>
      </c>
      <c r="AF758" s="960">
        <f t="array" ref="AF758">HLOOKUP($J758,'Type Chart'!$C$2:$T$20,13,false)*HLOOKUP($K758,'Type Chart'!$C$2:$U$20,13,false)</f>
        <v>1</v>
      </c>
      <c r="AG758" s="960">
        <f t="array" ref="AG758">HLOOKUP($J758,'Type Chart'!$C$2:$T$20,14,false)*HLOOKUP($K758,'Type Chart'!$C$2:$U$20,14,false)</f>
        <v>0.5</v>
      </c>
      <c r="AH758" s="960">
        <f t="array" ref="AH758">HLOOKUP($J758,'Type Chart'!$C$2:$T$20,15,false)*HLOOKUP($K758,'Type Chart'!$C$2:$U$20,15,false)</f>
        <v>1</v>
      </c>
      <c r="AI758" s="960">
        <f t="array" ref="AI758">HLOOKUP($J758,'Type Chart'!$C$2:$T$20,16,false)*HLOOKUP($K758,'Type Chart'!$C$2:$U$20,16,false)</f>
        <v>1</v>
      </c>
      <c r="AJ758" s="960">
        <f t="array" ref="AJ758">HLOOKUP($J758,'Type Chart'!$C$2:$T$20,17,false)*HLOOKUP($K758,'Type Chart'!$C$2:$U$20,17,false)</f>
        <v>1</v>
      </c>
      <c r="AK758" s="960">
        <f t="array" ref="AK758">HLOOKUP($J758,'Type Chart'!$C$2:$T$20,18,false)*HLOOKUP($K758,'Type Chart'!$C$2:$U$20,18,false)</f>
        <v>1</v>
      </c>
      <c r="AL758" s="960">
        <f t="array" ref="AL758">HLOOKUP($J758,'Type Chart'!$C$2:$T$20,19,false)*HLOOKUP($K758,'Type Chart'!$C$2:$U$20,19,false)</f>
        <v>1</v>
      </c>
      <c r="AM758" s="964" t="s">
        <v>1437</v>
      </c>
      <c r="AN758" s="965"/>
      <c r="AO758" s="966"/>
      <c r="AP758" s="936"/>
      <c r="AQ758" s="967"/>
      <c r="AR758" s="968"/>
      <c r="AS758" s="936"/>
    </row>
    <row r="759" ht="15.75" customHeight="1">
      <c r="A759" s="936"/>
      <c r="B759" s="948" t="s">
        <v>3116</v>
      </c>
      <c r="C759" s="950" t="s">
        <v>3117</v>
      </c>
      <c r="D759" s="950" t="s">
        <v>3117</v>
      </c>
      <c r="E759" s="952" t="s">
        <v>3117</v>
      </c>
      <c r="F759" s="940"/>
      <c r="G759" s="953"/>
      <c r="H759" s="969"/>
      <c r="I759" s="956" t="s">
        <v>822</v>
      </c>
      <c r="J759" s="1196" t="s">
        <v>203</v>
      </c>
      <c r="K759" s="984" t="s">
        <v>216</v>
      </c>
      <c r="L759" s="959">
        <v>65.0</v>
      </c>
      <c r="M759" s="960">
        <v>85.0</v>
      </c>
      <c r="N759" s="960">
        <v>70.0</v>
      </c>
      <c r="O759" s="960">
        <v>75.0</v>
      </c>
      <c r="P759" s="960">
        <v>70.0</v>
      </c>
      <c r="Q759" s="960">
        <v>40.0</v>
      </c>
      <c r="R759" s="960">
        <v>116.0</v>
      </c>
      <c r="S759" s="960">
        <v>179.0</v>
      </c>
      <c r="T759" s="960">
        <v>196.0</v>
      </c>
      <c r="U759" s="960">
        <f t="array" ref="U759">HLOOKUP($J759,'Type Chart'!$C$2:$T$20,2,false)*HLOOKUP($K759,'Type Chart'!$C$2:$U$20,2,false)</f>
        <v>1</v>
      </c>
      <c r="V759" s="960">
        <f t="array" ref="V759">HLOOKUP($J759,'Type Chart'!$C$2:$T$20,3,false)*HLOOKUP($K759,'Type Chart'!$C$2:$U$20,3,false)</f>
        <v>1</v>
      </c>
      <c r="W759" s="960">
        <f t="array" ref="W759">HLOOKUP($J759,'Type Chart'!$C$2:$T$20,4,false)*HLOOKUP($K759,'Type Chart'!$C$2:$U$20,4,false)</f>
        <v>0.5</v>
      </c>
      <c r="X759" s="960">
        <f t="array" ref="X759">HLOOKUP($J759,'Type Chart'!$C$2:$T$20,5,false)*HLOOKUP($K759,'Type Chart'!$C$2:$U$20,5,false)</f>
        <v>1</v>
      </c>
      <c r="Y759" s="960">
        <f t="array" ref="Y759">HLOOKUP($J759,'Type Chart'!$C$2:$T$20,6,false)*HLOOKUP($K759,'Type Chart'!$C$2:$U$20,6,false)</f>
        <v>2</v>
      </c>
      <c r="Z759" s="960">
        <f t="array" ref="Z759">HLOOKUP($J759,'Type Chart'!$C$2:$T$20,7,false)*HLOOKUP($K759,'Type Chart'!$C$2:$U$20,7,false)</f>
        <v>1</v>
      </c>
      <c r="AA759" s="960">
        <f t="array" ref="AA759">HLOOKUP($J759,'Type Chart'!$C$2:$T$20,8,false)*HLOOKUP($K759,'Type Chart'!$C$2:$U$20,8,false)</f>
        <v>1</v>
      </c>
      <c r="AB759" s="960">
        <f t="array" ref="AB759">HLOOKUP($J759,'Type Chart'!$C$2:$T$20,9,false)*HLOOKUP($K759,'Type Chart'!$C$2:$U$20,9,false)</f>
        <v>1</v>
      </c>
      <c r="AC759" s="960">
        <f t="array" ref="AC759">HLOOKUP($J759,'Type Chart'!$C$2:$T$20,10,false)*HLOOKUP($K759,'Type Chart'!$C$2:$U$20,10,false)</f>
        <v>0.5</v>
      </c>
      <c r="AD759" s="960">
        <f t="array" ref="AD759">HLOOKUP($J759,'Type Chart'!$C$2:$T$20,11,false)*HLOOKUP($K759,'Type Chart'!$C$2:$U$20,11,false)</f>
        <v>1</v>
      </c>
      <c r="AE759" s="960">
        <f t="array" ref="AE759">HLOOKUP($J759,'Type Chart'!$C$2:$T$20,12,false)*HLOOKUP($K759,'Type Chart'!$C$2:$U$20,12,false)</f>
        <v>1</v>
      </c>
      <c r="AF759" s="960">
        <f t="array" ref="AF759">HLOOKUP($J759,'Type Chart'!$C$2:$T$20,13,false)*HLOOKUP($K759,'Type Chart'!$C$2:$U$20,13,false)</f>
        <v>1</v>
      </c>
      <c r="AG759" s="960">
        <f t="array" ref="AG759">HLOOKUP($J759,'Type Chart'!$C$2:$T$20,14,false)*HLOOKUP($K759,'Type Chart'!$C$2:$U$20,14,false)</f>
        <v>0.5</v>
      </c>
      <c r="AH759" s="960">
        <f t="array" ref="AH759">HLOOKUP($J759,'Type Chart'!$C$2:$T$20,15,false)*HLOOKUP($K759,'Type Chart'!$C$2:$U$20,15,false)</f>
        <v>1</v>
      </c>
      <c r="AI759" s="960">
        <f t="array" ref="AI759">HLOOKUP($J759,'Type Chart'!$C$2:$T$20,16,false)*HLOOKUP($K759,'Type Chart'!$C$2:$U$20,16,false)</f>
        <v>1</v>
      </c>
      <c r="AJ759" s="960">
        <f t="array" ref="AJ759">HLOOKUP($J759,'Type Chart'!$C$2:$T$20,17,false)*HLOOKUP($K759,'Type Chart'!$C$2:$U$20,17,false)</f>
        <v>1</v>
      </c>
      <c r="AK759" s="960">
        <f t="array" ref="AK759">HLOOKUP($J759,'Type Chart'!$C$2:$T$20,18,false)*HLOOKUP($K759,'Type Chart'!$C$2:$U$20,18,false)</f>
        <v>1</v>
      </c>
      <c r="AL759" s="960">
        <f t="array" ref="AL759">HLOOKUP($J759,'Type Chart'!$C$2:$T$20,19,false)*HLOOKUP($K759,'Type Chart'!$C$2:$U$20,19,false)</f>
        <v>1</v>
      </c>
      <c r="AM759" s="964" t="s">
        <v>1437</v>
      </c>
      <c r="AN759" s="965"/>
      <c r="AO759" s="966"/>
      <c r="AP759" s="936"/>
      <c r="AQ759" s="967"/>
      <c r="AR759" s="968"/>
      <c r="AS759" s="936"/>
    </row>
    <row r="760" ht="15.75" customHeight="1">
      <c r="A760" s="936"/>
      <c r="B760" s="948" t="s">
        <v>3118</v>
      </c>
      <c r="C760" s="950" t="s">
        <v>3119</v>
      </c>
      <c r="D760" s="950" t="s">
        <v>3119</v>
      </c>
      <c r="E760" s="952" t="s">
        <v>3119</v>
      </c>
      <c r="F760" s="940"/>
      <c r="G760" s="953"/>
      <c r="H760" s="969"/>
      <c r="I760" s="956" t="s">
        <v>621</v>
      </c>
      <c r="J760" s="1196" t="s">
        <v>203</v>
      </c>
      <c r="K760" s="984" t="s">
        <v>216</v>
      </c>
      <c r="L760" s="959">
        <v>85.0</v>
      </c>
      <c r="M760" s="960">
        <v>115.0</v>
      </c>
      <c r="N760" s="960">
        <v>80.0</v>
      </c>
      <c r="O760" s="960">
        <v>105.0</v>
      </c>
      <c r="P760" s="960">
        <v>80.0</v>
      </c>
      <c r="Q760" s="960">
        <v>50.0</v>
      </c>
      <c r="R760" s="960">
        <v>136.0</v>
      </c>
      <c r="S760" s="960">
        <v>199.0</v>
      </c>
      <c r="T760" s="960">
        <v>218.0</v>
      </c>
      <c r="U760" s="960">
        <f t="array" ref="U760">HLOOKUP($J760,'Type Chart'!$C$2:$T$20,2,false)*HLOOKUP($K760,'Type Chart'!$C$2:$U$20,2,false)</f>
        <v>1</v>
      </c>
      <c r="V760" s="960">
        <f t="array" ref="V760">HLOOKUP($J760,'Type Chart'!$C$2:$T$20,3,false)*HLOOKUP($K760,'Type Chart'!$C$2:$U$20,3,false)</f>
        <v>1</v>
      </c>
      <c r="W760" s="960">
        <f t="array" ref="W760">HLOOKUP($J760,'Type Chart'!$C$2:$T$20,4,false)*HLOOKUP($K760,'Type Chart'!$C$2:$U$20,4,false)</f>
        <v>0.5</v>
      </c>
      <c r="X760" s="960">
        <f t="array" ref="X760">HLOOKUP($J760,'Type Chart'!$C$2:$T$20,5,false)*HLOOKUP($K760,'Type Chart'!$C$2:$U$20,5,false)</f>
        <v>1</v>
      </c>
      <c r="Y760" s="960">
        <f t="array" ref="Y760">HLOOKUP($J760,'Type Chart'!$C$2:$T$20,6,false)*HLOOKUP($K760,'Type Chart'!$C$2:$U$20,6,false)</f>
        <v>2</v>
      </c>
      <c r="Z760" s="960">
        <f t="array" ref="Z760">HLOOKUP($J760,'Type Chart'!$C$2:$T$20,7,false)*HLOOKUP($K760,'Type Chart'!$C$2:$U$20,7,false)</f>
        <v>1</v>
      </c>
      <c r="AA760" s="960">
        <f t="array" ref="AA760">HLOOKUP($J760,'Type Chart'!$C$2:$T$20,8,false)*HLOOKUP($K760,'Type Chart'!$C$2:$U$20,8,false)</f>
        <v>1</v>
      </c>
      <c r="AB760" s="960">
        <f t="array" ref="AB760">HLOOKUP($J760,'Type Chart'!$C$2:$T$20,9,false)*HLOOKUP($K760,'Type Chart'!$C$2:$U$20,9,false)</f>
        <v>1</v>
      </c>
      <c r="AC760" s="960">
        <f t="array" ref="AC760">HLOOKUP($J760,'Type Chart'!$C$2:$T$20,10,false)*HLOOKUP($K760,'Type Chart'!$C$2:$U$20,10,false)</f>
        <v>0.5</v>
      </c>
      <c r="AD760" s="960">
        <f t="array" ref="AD760">HLOOKUP($J760,'Type Chart'!$C$2:$T$20,11,false)*HLOOKUP($K760,'Type Chart'!$C$2:$U$20,11,false)</f>
        <v>1</v>
      </c>
      <c r="AE760" s="960">
        <f t="array" ref="AE760">HLOOKUP($J760,'Type Chart'!$C$2:$T$20,12,false)*HLOOKUP($K760,'Type Chart'!$C$2:$U$20,12,false)</f>
        <v>1</v>
      </c>
      <c r="AF760" s="960">
        <f t="array" ref="AF760">HLOOKUP($J760,'Type Chart'!$C$2:$T$20,13,false)*HLOOKUP($K760,'Type Chart'!$C$2:$U$20,13,false)</f>
        <v>1</v>
      </c>
      <c r="AG760" s="960">
        <f t="array" ref="AG760">HLOOKUP($J760,'Type Chart'!$C$2:$T$20,14,false)*HLOOKUP($K760,'Type Chart'!$C$2:$U$20,14,false)</f>
        <v>0.5</v>
      </c>
      <c r="AH760" s="960">
        <f t="array" ref="AH760">HLOOKUP($J760,'Type Chart'!$C$2:$T$20,15,false)*HLOOKUP($K760,'Type Chart'!$C$2:$U$20,15,false)</f>
        <v>1</v>
      </c>
      <c r="AI760" s="960">
        <f t="array" ref="AI760">HLOOKUP($J760,'Type Chart'!$C$2:$T$20,16,false)*HLOOKUP($K760,'Type Chart'!$C$2:$U$20,16,false)</f>
        <v>1</v>
      </c>
      <c r="AJ760" s="960">
        <f t="array" ref="AJ760">HLOOKUP($J760,'Type Chart'!$C$2:$T$20,17,false)*HLOOKUP($K760,'Type Chart'!$C$2:$U$20,17,false)</f>
        <v>1</v>
      </c>
      <c r="AK760" s="960">
        <f t="array" ref="AK760">HLOOKUP($J760,'Type Chart'!$C$2:$T$20,18,false)*HLOOKUP($K760,'Type Chart'!$C$2:$U$20,18,false)</f>
        <v>1</v>
      </c>
      <c r="AL760" s="960">
        <f t="array" ref="AL760">HLOOKUP($J760,'Type Chart'!$C$2:$T$20,19,false)*HLOOKUP($K760,'Type Chart'!$C$2:$U$20,19,false)</f>
        <v>1</v>
      </c>
      <c r="AM760" s="964" t="s">
        <v>1437</v>
      </c>
      <c r="AN760" s="965"/>
      <c r="AO760" s="966"/>
      <c r="AP760" s="936"/>
      <c r="AQ760" s="967"/>
      <c r="AR760" s="968"/>
      <c r="AS760" s="936"/>
    </row>
    <row r="761" ht="15.75" customHeight="1">
      <c r="A761" s="936"/>
      <c r="B761" s="948" t="s">
        <v>3120</v>
      </c>
      <c r="C761" s="950" t="s">
        <v>3121</v>
      </c>
      <c r="D761" s="950" t="s">
        <v>3121</v>
      </c>
      <c r="E761" s="952" t="s">
        <v>3121</v>
      </c>
      <c r="F761" s="940"/>
      <c r="G761" s="953"/>
      <c r="H761" s="969"/>
      <c r="I761" s="956" t="s">
        <v>3122</v>
      </c>
      <c r="J761" s="1203" t="s">
        <v>344</v>
      </c>
      <c r="K761" s="984" t="s">
        <v>216</v>
      </c>
      <c r="L761" s="959">
        <v>55.0</v>
      </c>
      <c r="M761" s="960">
        <v>55.0</v>
      </c>
      <c r="N761" s="960">
        <v>55.0</v>
      </c>
      <c r="O761" s="960">
        <v>85.0</v>
      </c>
      <c r="P761" s="960">
        <v>55.0</v>
      </c>
      <c r="Q761" s="960">
        <v>30.0</v>
      </c>
      <c r="R761" s="960">
        <v>96.0</v>
      </c>
      <c r="S761" s="960">
        <v>159.0</v>
      </c>
      <c r="T761" s="960">
        <v>174.0</v>
      </c>
      <c r="U761" s="960">
        <f t="array" ref="U761">HLOOKUP($J761,'Type Chart'!$C$2:$T$20,2,false)*HLOOKUP($K761,'Type Chart'!$C$2:$U$20,2,false)</f>
        <v>1</v>
      </c>
      <c r="V761" s="960">
        <f t="array" ref="V761">HLOOKUP($J761,'Type Chart'!$C$2:$T$20,3,false)*HLOOKUP($K761,'Type Chart'!$C$2:$U$20,3,false)</f>
        <v>0.5</v>
      </c>
      <c r="W761" s="960">
        <f t="array" ref="W761">HLOOKUP($J761,'Type Chart'!$C$2:$T$20,4,false)*HLOOKUP($K761,'Type Chart'!$C$2:$U$20,4,false)</f>
        <v>1</v>
      </c>
      <c r="X761" s="960">
        <f t="array" ref="X761">HLOOKUP($J761,'Type Chart'!$C$2:$T$20,5,false)*HLOOKUP($K761,'Type Chart'!$C$2:$U$20,5,false)</f>
        <v>1</v>
      </c>
      <c r="Y761" s="960">
        <f t="array" ref="Y761">HLOOKUP($J761,'Type Chart'!$C$2:$T$20,6,false)*HLOOKUP($K761,'Type Chart'!$C$2:$U$20,6,false)</f>
        <v>1</v>
      </c>
      <c r="Z761" s="960">
        <f t="array" ref="Z761">HLOOKUP($J761,'Type Chart'!$C$2:$T$20,7,false)*HLOOKUP($K761,'Type Chart'!$C$2:$U$20,7,false)</f>
        <v>1</v>
      </c>
      <c r="AA761" s="960">
        <f t="array" ref="AA761">HLOOKUP($J761,'Type Chart'!$C$2:$T$20,8,false)*HLOOKUP($K761,'Type Chart'!$C$2:$U$20,8,false)</f>
        <v>2</v>
      </c>
      <c r="AB761" s="960">
        <f t="array" ref="AB761">HLOOKUP($J761,'Type Chart'!$C$2:$T$20,9,false)*HLOOKUP($K761,'Type Chart'!$C$2:$U$20,9,false)</f>
        <v>2</v>
      </c>
      <c r="AC761" s="960">
        <f t="array" ref="AC761">HLOOKUP($J761,'Type Chart'!$C$2:$T$20,10,false)*HLOOKUP($K761,'Type Chart'!$C$2:$U$20,10,false)</f>
        <v>1</v>
      </c>
      <c r="AD761" s="960">
        <f t="array" ref="AD761">HLOOKUP($J761,'Type Chart'!$C$2:$T$20,11,false)*HLOOKUP($K761,'Type Chart'!$C$2:$U$20,11,false)</f>
        <v>1</v>
      </c>
      <c r="AE761" s="960">
        <f t="array" ref="AE761">HLOOKUP($J761,'Type Chart'!$C$2:$T$20,12,false)*HLOOKUP($K761,'Type Chart'!$C$2:$U$20,12,false)</f>
        <v>1</v>
      </c>
      <c r="AF761" s="960">
        <f t="array" ref="AF761">HLOOKUP($J761,'Type Chart'!$C$2:$T$20,13,false)*HLOOKUP($K761,'Type Chart'!$C$2:$U$20,13,false)</f>
        <v>1</v>
      </c>
      <c r="AG761" s="960">
        <f t="array" ref="AG761">HLOOKUP($J761,'Type Chart'!$C$2:$T$20,14,false)*HLOOKUP($K761,'Type Chart'!$C$2:$U$20,14,false)</f>
        <v>1</v>
      </c>
      <c r="AH761" s="960">
        <f t="array" ref="AH761">HLOOKUP($J761,'Type Chart'!$C$2:$T$20,15,false)*HLOOKUP($K761,'Type Chart'!$C$2:$U$20,15,false)</f>
        <v>0.5</v>
      </c>
      <c r="AI761" s="960">
        <f t="array" ref="AI761">HLOOKUP($J761,'Type Chart'!$C$2:$T$20,16,false)*HLOOKUP($K761,'Type Chart'!$C$2:$U$20,16,false)</f>
        <v>1</v>
      </c>
      <c r="AJ761" s="960">
        <f t="array" ref="AJ761">HLOOKUP($J761,'Type Chart'!$C$2:$T$20,17,false)*HLOOKUP($K761,'Type Chart'!$C$2:$U$20,17,false)</f>
        <v>1</v>
      </c>
      <c r="AK761" s="960">
        <f t="array" ref="AK761">HLOOKUP($J761,'Type Chart'!$C$2:$T$20,18,false)*HLOOKUP($K761,'Type Chart'!$C$2:$U$20,18,false)</f>
        <v>2</v>
      </c>
      <c r="AL761" s="960">
        <f t="array" ref="AL761">HLOOKUP($J761,'Type Chart'!$C$2:$T$20,19,false)*HLOOKUP($K761,'Type Chart'!$C$2:$U$20,19,false)</f>
        <v>1</v>
      </c>
      <c r="AM761" s="964" t="s">
        <v>1828</v>
      </c>
      <c r="AN761" s="965" t="s">
        <v>1292</v>
      </c>
      <c r="AO761" s="966" t="s">
        <v>1389</v>
      </c>
      <c r="AP761" s="936"/>
      <c r="AQ761" s="967"/>
      <c r="AR761" s="968"/>
      <c r="AS761" s="936"/>
    </row>
    <row r="762" ht="15.75" customHeight="1">
      <c r="A762" s="936"/>
      <c r="B762" s="948" t="s">
        <v>3123</v>
      </c>
      <c r="C762" s="950" t="s">
        <v>3124</v>
      </c>
      <c r="D762" s="950" t="s">
        <v>3124</v>
      </c>
      <c r="E762" s="952" t="s">
        <v>3124</v>
      </c>
      <c r="F762" s="940"/>
      <c r="G762" s="953"/>
      <c r="H762" s="969"/>
      <c r="I762" s="956" t="s">
        <v>3125</v>
      </c>
      <c r="J762" s="1203" t="s">
        <v>344</v>
      </c>
      <c r="K762" s="984" t="s">
        <v>216</v>
      </c>
      <c r="L762" s="959">
        <v>75.0</v>
      </c>
      <c r="M762" s="960">
        <v>75.0</v>
      </c>
      <c r="N762" s="960">
        <v>75.0</v>
      </c>
      <c r="O762" s="960">
        <v>125.0</v>
      </c>
      <c r="P762" s="960">
        <v>95.0</v>
      </c>
      <c r="Q762" s="960">
        <v>40.0</v>
      </c>
      <c r="R762" s="960">
        <v>116.0</v>
      </c>
      <c r="S762" s="960">
        <v>179.0</v>
      </c>
      <c r="T762" s="960">
        <v>196.0</v>
      </c>
      <c r="U762" s="960">
        <f t="array" ref="U762">HLOOKUP($J762,'Type Chart'!$C$2:$T$20,2,false)*HLOOKUP($K762,'Type Chart'!$C$2:$U$20,2,false)</f>
        <v>1</v>
      </c>
      <c r="V762" s="960">
        <f t="array" ref="V762">HLOOKUP($J762,'Type Chart'!$C$2:$T$20,3,false)*HLOOKUP($K762,'Type Chart'!$C$2:$U$20,3,false)</f>
        <v>0.5</v>
      </c>
      <c r="W762" s="960">
        <f t="array" ref="W762">HLOOKUP($J762,'Type Chart'!$C$2:$T$20,4,false)*HLOOKUP($K762,'Type Chart'!$C$2:$U$20,4,false)</f>
        <v>1</v>
      </c>
      <c r="X762" s="960">
        <f t="array" ref="X762">HLOOKUP($J762,'Type Chart'!$C$2:$T$20,5,false)*HLOOKUP($K762,'Type Chart'!$C$2:$U$20,5,false)</f>
        <v>1</v>
      </c>
      <c r="Y762" s="960">
        <f t="array" ref="Y762">HLOOKUP($J762,'Type Chart'!$C$2:$T$20,6,false)*HLOOKUP($K762,'Type Chart'!$C$2:$U$20,6,false)</f>
        <v>1</v>
      </c>
      <c r="Z762" s="960">
        <f t="array" ref="Z762">HLOOKUP($J762,'Type Chart'!$C$2:$T$20,7,false)*HLOOKUP($K762,'Type Chart'!$C$2:$U$20,7,false)</f>
        <v>1</v>
      </c>
      <c r="AA762" s="960">
        <f t="array" ref="AA762">HLOOKUP($J762,'Type Chart'!$C$2:$T$20,8,false)*HLOOKUP($K762,'Type Chart'!$C$2:$U$20,8,false)</f>
        <v>2</v>
      </c>
      <c r="AB762" s="960">
        <f t="array" ref="AB762">HLOOKUP($J762,'Type Chart'!$C$2:$T$20,9,false)*HLOOKUP($K762,'Type Chart'!$C$2:$U$20,9,false)</f>
        <v>2</v>
      </c>
      <c r="AC762" s="960">
        <f t="array" ref="AC762">HLOOKUP($J762,'Type Chart'!$C$2:$T$20,10,false)*HLOOKUP($K762,'Type Chart'!$C$2:$U$20,10,false)</f>
        <v>1</v>
      </c>
      <c r="AD762" s="960">
        <f t="array" ref="AD762">HLOOKUP($J762,'Type Chart'!$C$2:$T$20,11,false)*HLOOKUP($K762,'Type Chart'!$C$2:$U$20,11,false)</f>
        <v>1</v>
      </c>
      <c r="AE762" s="960">
        <f t="array" ref="AE762">HLOOKUP($J762,'Type Chart'!$C$2:$T$20,12,false)*HLOOKUP($K762,'Type Chart'!$C$2:$U$20,12,false)</f>
        <v>1</v>
      </c>
      <c r="AF762" s="960">
        <f t="array" ref="AF762">HLOOKUP($J762,'Type Chart'!$C$2:$T$20,13,false)*HLOOKUP($K762,'Type Chart'!$C$2:$U$20,13,false)</f>
        <v>1</v>
      </c>
      <c r="AG762" s="960">
        <f t="array" ref="AG762">HLOOKUP($J762,'Type Chart'!$C$2:$T$20,14,false)*HLOOKUP($K762,'Type Chart'!$C$2:$U$20,14,false)</f>
        <v>1</v>
      </c>
      <c r="AH762" s="960">
        <f t="array" ref="AH762">HLOOKUP($J762,'Type Chart'!$C$2:$T$20,15,false)*HLOOKUP($K762,'Type Chart'!$C$2:$U$20,15,false)</f>
        <v>0.5</v>
      </c>
      <c r="AI762" s="960">
        <f t="array" ref="AI762">HLOOKUP($J762,'Type Chart'!$C$2:$T$20,16,false)*HLOOKUP($K762,'Type Chart'!$C$2:$U$20,16,false)</f>
        <v>1</v>
      </c>
      <c r="AJ762" s="960">
        <f t="array" ref="AJ762">HLOOKUP($J762,'Type Chart'!$C$2:$T$20,17,false)*HLOOKUP($K762,'Type Chart'!$C$2:$U$20,17,false)</f>
        <v>1</v>
      </c>
      <c r="AK762" s="960">
        <f t="array" ref="AK762">HLOOKUP($J762,'Type Chart'!$C$2:$T$20,18,false)*HLOOKUP($K762,'Type Chart'!$C$2:$U$20,18,false)</f>
        <v>2</v>
      </c>
      <c r="AL762" s="960">
        <f t="array" ref="AL762">HLOOKUP($J762,'Type Chart'!$C$2:$T$20,19,false)*HLOOKUP($K762,'Type Chart'!$C$2:$U$20,19,false)</f>
        <v>1</v>
      </c>
      <c r="AM762" s="964" t="s">
        <v>1828</v>
      </c>
      <c r="AN762" s="965" t="s">
        <v>1292</v>
      </c>
      <c r="AO762" s="966" t="s">
        <v>1389</v>
      </c>
      <c r="AP762" s="936"/>
      <c r="AQ762" s="967"/>
      <c r="AR762" s="968"/>
      <c r="AS762" s="936"/>
    </row>
    <row r="763" ht="15.75" customHeight="1">
      <c r="A763" s="936"/>
      <c r="B763" s="948" t="s">
        <v>3126</v>
      </c>
      <c r="C763" s="950" t="s">
        <v>3127</v>
      </c>
      <c r="D763" s="950" t="s">
        <v>3127</v>
      </c>
      <c r="E763" s="952" t="s">
        <v>3127</v>
      </c>
      <c r="F763" s="940"/>
      <c r="G763" s="953"/>
      <c r="H763" s="969"/>
      <c r="I763" s="956" t="s">
        <v>3128</v>
      </c>
      <c r="J763" s="1220" t="s">
        <v>215</v>
      </c>
      <c r="K763" s="982" t="s">
        <v>150</v>
      </c>
      <c r="L763" s="959">
        <v>50.0</v>
      </c>
      <c r="M763" s="960">
        <v>30.0</v>
      </c>
      <c r="N763" s="960">
        <v>55.0</v>
      </c>
      <c r="O763" s="960">
        <v>65.0</v>
      </c>
      <c r="P763" s="960">
        <v>55.0</v>
      </c>
      <c r="Q763" s="960">
        <v>20.0</v>
      </c>
      <c r="R763" s="960">
        <v>76.0</v>
      </c>
      <c r="S763" s="960">
        <v>139.0</v>
      </c>
      <c r="T763" s="960">
        <v>152.0</v>
      </c>
      <c r="U763" s="960">
        <f t="array" ref="U763">HLOOKUP($J763,'Type Chart'!$C$2:$T$20,2,false)*HLOOKUP($K763,'Type Chart'!$C$2:$U$20,2,false)</f>
        <v>0</v>
      </c>
      <c r="V763" s="960">
        <f t="array" ref="V763">HLOOKUP($J763,'Type Chart'!$C$2:$T$20,3,false)*HLOOKUP($K763,'Type Chart'!$C$2:$U$20,3,false)</f>
        <v>0</v>
      </c>
      <c r="W763" s="960">
        <f t="array" ref="W763">HLOOKUP($J763,'Type Chart'!$C$2:$T$20,4,false)*HLOOKUP($K763,'Type Chart'!$C$2:$U$20,4,false)</f>
        <v>1</v>
      </c>
      <c r="X763" s="960">
        <f t="array" ref="X763">HLOOKUP($J763,'Type Chart'!$C$2:$T$20,5,false)*HLOOKUP($K763,'Type Chart'!$C$2:$U$20,5,false)</f>
        <v>0.5</v>
      </c>
      <c r="Y763" s="960">
        <f t="array" ref="Y763">HLOOKUP($J763,'Type Chart'!$C$2:$T$20,6,false)*HLOOKUP($K763,'Type Chart'!$C$2:$U$20,6,false)</f>
        <v>2</v>
      </c>
      <c r="Z763" s="960">
        <f t="array" ref="Z763">HLOOKUP($J763,'Type Chart'!$C$2:$T$20,7,false)*HLOOKUP($K763,'Type Chart'!$C$2:$U$20,7,false)</f>
        <v>2</v>
      </c>
      <c r="AA763" s="960">
        <f t="array" ref="AA763">HLOOKUP($J763,'Type Chart'!$C$2:$T$20,8,false)*HLOOKUP($K763,'Type Chart'!$C$2:$U$20,8,false)</f>
        <v>0.25</v>
      </c>
      <c r="AB763" s="960">
        <f t="array" ref="AB763">HLOOKUP($J763,'Type Chart'!$C$2:$T$20,9,false)*HLOOKUP($K763,'Type Chart'!$C$2:$U$20,9,false)</f>
        <v>2</v>
      </c>
      <c r="AC763" s="960">
        <f t="array" ref="AC763">HLOOKUP($J763,'Type Chart'!$C$2:$T$20,10,false)*HLOOKUP($K763,'Type Chart'!$C$2:$U$20,10,false)</f>
        <v>0.5</v>
      </c>
      <c r="AD763" s="960">
        <f t="array" ref="AD763">HLOOKUP($J763,'Type Chart'!$C$2:$T$20,11,false)*HLOOKUP($K763,'Type Chart'!$C$2:$U$20,11,false)</f>
        <v>0.5</v>
      </c>
      <c r="AE763" s="960">
        <f t="array" ref="AE763">HLOOKUP($J763,'Type Chart'!$C$2:$T$20,12,false)*HLOOKUP($K763,'Type Chart'!$C$2:$U$20,12,false)</f>
        <v>2</v>
      </c>
      <c r="AF763" s="960">
        <f t="array" ref="AF763">HLOOKUP($J763,'Type Chart'!$C$2:$T$20,13,false)*HLOOKUP($K763,'Type Chart'!$C$2:$U$20,13,false)</f>
        <v>0.5</v>
      </c>
      <c r="AG763" s="960">
        <f t="array" ref="AG763">HLOOKUP($J763,'Type Chart'!$C$2:$T$20,14,false)*HLOOKUP($K763,'Type Chart'!$C$2:$U$20,14,false)</f>
        <v>1</v>
      </c>
      <c r="AH763" s="960">
        <f t="array" ref="AH763">HLOOKUP($J763,'Type Chart'!$C$2:$T$20,15,false)*HLOOKUP($K763,'Type Chart'!$C$2:$U$20,15,false)</f>
        <v>1</v>
      </c>
      <c r="AI763" s="960">
        <f t="array" ref="AI763">HLOOKUP($J763,'Type Chart'!$C$2:$T$20,16,false)*HLOOKUP($K763,'Type Chart'!$C$2:$U$20,16,false)</f>
        <v>0.5</v>
      </c>
      <c r="AJ763" s="960">
        <f t="array" ref="AJ763">HLOOKUP($J763,'Type Chart'!$C$2:$T$20,17,false)*HLOOKUP($K763,'Type Chart'!$C$2:$U$20,17,false)</f>
        <v>1</v>
      </c>
      <c r="AK763" s="960">
        <f t="array" ref="AK763">HLOOKUP($J763,'Type Chart'!$C$2:$T$20,18,false)*HLOOKUP($K763,'Type Chart'!$C$2:$U$20,18,false)</f>
        <v>2</v>
      </c>
      <c r="AL763" s="960">
        <f t="array" ref="AL763">HLOOKUP($J763,'Type Chart'!$C$2:$T$20,19,false)*HLOOKUP($K763,'Type Chart'!$C$2:$U$20,19,false)</f>
        <v>0.5</v>
      </c>
      <c r="AM763" s="964" t="s">
        <v>1172</v>
      </c>
      <c r="AN763" s="965" t="s">
        <v>1353</v>
      </c>
      <c r="AO763" s="966" t="s">
        <v>1193</v>
      </c>
      <c r="AP763" s="936"/>
      <c r="AQ763" s="967"/>
      <c r="AR763" s="968"/>
      <c r="AS763" s="936"/>
    </row>
    <row r="764" ht="15.75" customHeight="1">
      <c r="A764" s="936"/>
      <c r="B764" s="948" t="s">
        <v>3129</v>
      </c>
      <c r="C764" s="950" t="s">
        <v>3130</v>
      </c>
      <c r="D764" s="950" t="s">
        <v>3130</v>
      </c>
      <c r="E764" s="952" t="s">
        <v>3130</v>
      </c>
      <c r="F764" s="940"/>
      <c r="G764" s="953"/>
      <c r="H764" s="969"/>
      <c r="I764" s="956" t="s">
        <v>3131</v>
      </c>
      <c r="J764" s="1220" t="s">
        <v>215</v>
      </c>
      <c r="K764" s="982" t="s">
        <v>150</v>
      </c>
      <c r="L764" s="959">
        <v>60.0</v>
      </c>
      <c r="M764" s="960">
        <v>40.0</v>
      </c>
      <c r="N764" s="960">
        <v>60.0</v>
      </c>
      <c r="O764" s="960">
        <v>95.0</v>
      </c>
      <c r="P764" s="960">
        <v>60.0</v>
      </c>
      <c r="Q764" s="960">
        <v>55.0</v>
      </c>
      <c r="R764" s="960">
        <v>146.0</v>
      </c>
      <c r="S764" s="960">
        <v>209.0</v>
      </c>
      <c r="T764" s="960">
        <v>229.0</v>
      </c>
      <c r="U764" s="960">
        <f t="array" ref="U764">HLOOKUP($J764,'Type Chart'!$C$2:$T$20,2,false)*HLOOKUP($K764,'Type Chart'!$C$2:$U$20,2,false)</f>
        <v>0</v>
      </c>
      <c r="V764" s="960">
        <f t="array" ref="V764">HLOOKUP($J764,'Type Chart'!$C$2:$T$20,3,false)*HLOOKUP($K764,'Type Chart'!$C$2:$U$20,3,false)</f>
        <v>0</v>
      </c>
      <c r="W764" s="960">
        <f t="array" ref="W764">HLOOKUP($J764,'Type Chart'!$C$2:$T$20,4,false)*HLOOKUP($K764,'Type Chart'!$C$2:$U$20,4,false)</f>
        <v>1</v>
      </c>
      <c r="X764" s="960">
        <f t="array" ref="X764">HLOOKUP($J764,'Type Chart'!$C$2:$T$20,5,false)*HLOOKUP($K764,'Type Chart'!$C$2:$U$20,5,false)</f>
        <v>0.5</v>
      </c>
      <c r="Y764" s="960">
        <f t="array" ref="Y764">HLOOKUP($J764,'Type Chart'!$C$2:$T$20,6,false)*HLOOKUP($K764,'Type Chart'!$C$2:$U$20,6,false)</f>
        <v>2</v>
      </c>
      <c r="Z764" s="960">
        <f t="array" ref="Z764">HLOOKUP($J764,'Type Chart'!$C$2:$T$20,7,false)*HLOOKUP($K764,'Type Chart'!$C$2:$U$20,7,false)</f>
        <v>2</v>
      </c>
      <c r="AA764" s="960">
        <f t="array" ref="AA764">HLOOKUP($J764,'Type Chart'!$C$2:$T$20,8,false)*HLOOKUP($K764,'Type Chart'!$C$2:$U$20,8,false)</f>
        <v>0.25</v>
      </c>
      <c r="AB764" s="960">
        <f t="array" ref="AB764">HLOOKUP($J764,'Type Chart'!$C$2:$T$20,9,false)*HLOOKUP($K764,'Type Chart'!$C$2:$U$20,9,false)</f>
        <v>2</v>
      </c>
      <c r="AC764" s="960">
        <f t="array" ref="AC764">HLOOKUP($J764,'Type Chart'!$C$2:$T$20,10,false)*HLOOKUP($K764,'Type Chart'!$C$2:$U$20,10,false)</f>
        <v>0.5</v>
      </c>
      <c r="AD764" s="960">
        <f t="array" ref="AD764">HLOOKUP($J764,'Type Chart'!$C$2:$T$20,11,false)*HLOOKUP($K764,'Type Chart'!$C$2:$U$20,11,false)</f>
        <v>0.5</v>
      </c>
      <c r="AE764" s="960">
        <f t="array" ref="AE764">HLOOKUP($J764,'Type Chart'!$C$2:$T$20,12,false)*HLOOKUP($K764,'Type Chart'!$C$2:$U$20,12,false)</f>
        <v>2</v>
      </c>
      <c r="AF764" s="960">
        <f t="array" ref="AF764">HLOOKUP($J764,'Type Chart'!$C$2:$T$20,13,false)*HLOOKUP($K764,'Type Chart'!$C$2:$U$20,13,false)</f>
        <v>0.5</v>
      </c>
      <c r="AG764" s="960">
        <f t="array" ref="AG764">HLOOKUP($J764,'Type Chart'!$C$2:$T$20,14,false)*HLOOKUP($K764,'Type Chart'!$C$2:$U$20,14,false)</f>
        <v>1</v>
      </c>
      <c r="AH764" s="960">
        <f t="array" ref="AH764">HLOOKUP($J764,'Type Chart'!$C$2:$T$20,15,false)*HLOOKUP($K764,'Type Chart'!$C$2:$U$20,15,false)</f>
        <v>1</v>
      </c>
      <c r="AI764" s="960">
        <f t="array" ref="AI764">HLOOKUP($J764,'Type Chart'!$C$2:$T$20,16,false)*HLOOKUP($K764,'Type Chart'!$C$2:$U$20,16,false)</f>
        <v>0.5</v>
      </c>
      <c r="AJ764" s="960">
        <f t="array" ref="AJ764">HLOOKUP($J764,'Type Chart'!$C$2:$T$20,17,false)*HLOOKUP($K764,'Type Chart'!$C$2:$U$20,17,false)</f>
        <v>1</v>
      </c>
      <c r="AK764" s="960">
        <f t="array" ref="AK764">HLOOKUP($J764,'Type Chart'!$C$2:$T$20,18,false)*HLOOKUP($K764,'Type Chart'!$C$2:$U$20,18,false)</f>
        <v>2</v>
      </c>
      <c r="AL764" s="960">
        <f t="array" ref="AL764">HLOOKUP($J764,'Type Chart'!$C$2:$T$20,19,false)*HLOOKUP($K764,'Type Chart'!$C$2:$U$20,19,false)</f>
        <v>0.5</v>
      </c>
      <c r="AM764" s="964" t="s">
        <v>1172</v>
      </c>
      <c r="AN764" s="965" t="s">
        <v>1353</v>
      </c>
      <c r="AO764" s="966" t="s">
        <v>1193</v>
      </c>
      <c r="AP764" s="936"/>
      <c r="AQ764" s="967"/>
      <c r="AR764" s="968"/>
      <c r="AS764" s="936"/>
    </row>
    <row r="765" ht="15.75" customHeight="1">
      <c r="A765" s="936"/>
      <c r="B765" s="948" t="s">
        <v>3132</v>
      </c>
      <c r="C765" s="950" t="s">
        <v>3133</v>
      </c>
      <c r="D765" s="950" t="s">
        <v>3133</v>
      </c>
      <c r="E765" s="952" t="s">
        <v>3133</v>
      </c>
      <c r="F765" s="940"/>
      <c r="G765" s="953"/>
      <c r="H765" s="969"/>
      <c r="I765" s="956" t="s">
        <v>605</v>
      </c>
      <c r="J765" s="1220" t="s">
        <v>215</v>
      </c>
      <c r="K765" s="982" t="s">
        <v>150</v>
      </c>
      <c r="L765" s="959">
        <v>60.0</v>
      </c>
      <c r="M765" s="960">
        <v>55.0</v>
      </c>
      <c r="N765" s="960">
        <v>90.0</v>
      </c>
      <c r="O765" s="960">
        <v>145.0</v>
      </c>
      <c r="P765" s="960">
        <v>90.0</v>
      </c>
      <c r="Q765" s="960">
        <v>80.0</v>
      </c>
      <c r="R765" s="960">
        <v>196.0</v>
      </c>
      <c r="S765" s="960">
        <v>259.0</v>
      </c>
      <c r="T765" s="960">
        <v>284.0</v>
      </c>
      <c r="U765" s="960">
        <f t="array" ref="U765">HLOOKUP($J765,'Type Chart'!$C$2:$T$20,2,false)*HLOOKUP($K765,'Type Chart'!$C$2:$U$20,2,false)</f>
        <v>0</v>
      </c>
      <c r="V765" s="960">
        <f t="array" ref="V765">HLOOKUP($J765,'Type Chart'!$C$2:$T$20,3,false)*HLOOKUP($K765,'Type Chart'!$C$2:$U$20,3,false)</f>
        <v>0</v>
      </c>
      <c r="W765" s="960">
        <f t="array" ref="W765">HLOOKUP($J765,'Type Chart'!$C$2:$T$20,4,false)*HLOOKUP($K765,'Type Chart'!$C$2:$U$20,4,false)</f>
        <v>1</v>
      </c>
      <c r="X765" s="960">
        <f t="array" ref="X765">HLOOKUP($J765,'Type Chart'!$C$2:$T$20,5,false)*HLOOKUP($K765,'Type Chart'!$C$2:$U$20,5,false)</f>
        <v>0.5</v>
      </c>
      <c r="Y765" s="960">
        <f t="array" ref="Y765">HLOOKUP($J765,'Type Chart'!$C$2:$T$20,6,false)*HLOOKUP($K765,'Type Chart'!$C$2:$U$20,6,false)</f>
        <v>2</v>
      </c>
      <c r="Z765" s="960">
        <f t="array" ref="Z765">HLOOKUP($J765,'Type Chart'!$C$2:$T$20,7,false)*HLOOKUP($K765,'Type Chart'!$C$2:$U$20,7,false)</f>
        <v>2</v>
      </c>
      <c r="AA765" s="960">
        <f t="array" ref="AA765">HLOOKUP($J765,'Type Chart'!$C$2:$T$20,8,false)*HLOOKUP($K765,'Type Chart'!$C$2:$U$20,8,false)</f>
        <v>0.25</v>
      </c>
      <c r="AB765" s="960">
        <f t="array" ref="AB765">HLOOKUP($J765,'Type Chart'!$C$2:$T$20,9,false)*HLOOKUP($K765,'Type Chart'!$C$2:$U$20,9,false)</f>
        <v>2</v>
      </c>
      <c r="AC765" s="960">
        <f t="array" ref="AC765">HLOOKUP($J765,'Type Chart'!$C$2:$T$20,10,false)*HLOOKUP($K765,'Type Chart'!$C$2:$U$20,10,false)</f>
        <v>0.5</v>
      </c>
      <c r="AD765" s="960">
        <f t="array" ref="AD765">HLOOKUP($J765,'Type Chart'!$C$2:$T$20,11,false)*HLOOKUP($K765,'Type Chart'!$C$2:$U$20,11,false)</f>
        <v>0.5</v>
      </c>
      <c r="AE765" s="960">
        <f t="array" ref="AE765">HLOOKUP($J765,'Type Chart'!$C$2:$T$20,12,false)*HLOOKUP($K765,'Type Chart'!$C$2:$U$20,12,false)</f>
        <v>2</v>
      </c>
      <c r="AF765" s="960">
        <f t="array" ref="AF765">HLOOKUP($J765,'Type Chart'!$C$2:$T$20,13,false)*HLOOKUP($K765,'Type Chart'!$C$2:$U$20,13,false)</f>
        <v>0.5</v>
      </c>
      <c r="AG765" s="960">
        <f t="array" ref="AG765">HLOOKUP($J765,'Type Chart'!$C$2:$T$20,14,false)*HLOOKUP($K765,'Type Chart'!$C$2:$U$20,14,false)</f>
        <v>1</v>
      </c>
      <c r="AH765" s="960">
        <f t="array" ref="AH765">HLOOKUP($J765,'Type Chart'!$C$2:$T$20,15,false)*HLOOKUP($K765,'Type Chart'!$C$2:$U$20,15,false)</f>
        <v>1</v>
      </c>
      <c r="AI765" s="960">
        <f t="array" ref="AI765">HLOOKUP($J765,'Type Chart'!$C$2:$T$20,16,false)*HLOOKUP($K765,'Type Chart'!$C$2:$U$20,16,false)</f>
        <v>0.5</v>
      </c>
      <c r="AJ765" s="960">
        <f t="array" ref="AJ765">HLOOKUP($J765,'Type Chart'!$C$2:$T$20,17,false)*HLOOKUP($K765,'Type Chart'!$C$2:$U$20,17,false)</f>
        <v>1</v>
      </c>
      <c r="AK765" s="960">
        <f t="array" ref="AK765">HLOOKUP($J765,'Type Chart'!$C$2:$T$20,18,false)*HLOOKUP($K765,'Type Chart'!$C$2:$U$20,18,false)</f>
        <v>2</v>
      </c>
      <c r="AL765" s="960">
        <f t="array" ref="AL765">HLOOKUP($J765,'Type Chart'!$C$2:$T$20,19,false)*HLOOKUP($K765,'Type Chart'!$C$2:$U$20,19,false)</f>
        <v>0.5</v>
      </c>
      <c r="AM765" s="964" t="s">
        <v>1172</v>
      </c>
      <c r="AN765" s="965" t="s">
        <v>1353</v>
      </c>
      <c r="AO765" s="966" t="s">
        <v>1193</v>
      </c>
      <c r="AP765" s="936"/>
      <c r="AQ765" s="967"/>
      <c r="AR765" s="968"/>
      <c r="AS765" s="936"/>
    </row>
    <row r="766" ht="15.75" customHeight="1">
      <c r="A766" s="936"/>
      <c r="B766" s="948" t="s">
        <v>3134</v>
      </c>
      <c r="C766" s="950" t="s">
        <v>3135</v>
      </c>
      <c r="D766" s="950" t="s">
        <v>3135</v>
      </c>
      <c r="E766" s="952" t="s">
        <v>3135</v>
      </c>
      <c r="F766" s="940"/>
      <c r="G766" s="953"/>
      <c r="H766" s="969"/>
      <c r="I766" s="956" t="s">
        <v>3136</v>
      </c>
      <c r="J766" s="1006" t="s">
        <v>346</v>
      </c>
      <c r="K766" s="984" t="s">
        <v>216</v>
      </c>
      <c r="L766" s="959">
        <v>46.0</v>
      </c>
      <c r="M766" s="960">
        <v>87.0</v>
      </c>
      <c r="N766" s="960">
        <v>60.0</v>
      </c>
      <c r="O766" s="960">
        <v>30.0</v>
      </c>
      <c r="P766" s="960">
        <v>40.0</v>
      </c>
      <c r="Q766" s="960">
        <v>57.0</v>
      </c>
      <c r="R766" s="960">
        <v>150.0</v>
      </c>
      <c r="S766" s="960">
        <v>213.0</v>
      </c>
      <c r="T766" s="960">
        <v>234.0</v>
      </c>
      <c r="U766" s="960">
        <f t="array" ref="U766">HLOOKUP($J766,'Type Chart'!$C$2:$T$20,2,false)*HLOOKUP($K766,'Type Chart'!$C$2:$U$20,2,false)</f>
        <v>1</v>
      </c>
      <c r="V766" s="960">
        <f t="array" ref="V766">HLOOKUP($J766,'Type Chart'!$C$2:$T$20,3,false)*HLOOKUP($K766,'Type Chart'!$C$2:$U$20,3,false)</f>
        <v>1</v>
      </c>
      <c r="W766" s="960">
        <f t="array" ref="W766">HLOOKUP($J766,'Type Chart'!$C$2:$T$20,4,false)*HLOOKUP($K766,'Type Chart'!$C$2:$U$20,4,false)</f>
        <v>1</v>
      </c>
      <c r="X766" s="960">
        <f t="array" ref="X766">HLOOKUP($J766,'Type Chart'!$C$2:$T$20,5,false)*HLOOKUP($K766,'Type Chart'!$C$2:$U$20,5,false)</f>
        <v>1</v>
      </c>
      <c r="Y766" s="960">
        <f t="array" ref="Y766">HLOOKUP($J766,'Type Chart'!$C$2:$T$20,6,false)*HLOOKUP($K766,'Type Chart'!$C$2:$U$20,6,false)</f>
        <v>1</v>
      </c>
      <c r="Z766" s="960">
        <f t="array" ref="Z766">HLOOKUP($J766,'Type Chart'!$C$2:$T$20,7,false)*HLOOKUP($K766,'Type Chart'!$C$2:$U$20,7,false)</f>
        <v>1</v>
      </c>
      <c r="AA766" s="960">
        <f t="array" ref="AA766">HLOOKUP($J766,'Type Chart'!$C$2:$T$20,8,false)*HLOOKUP($K766,'Type Chart'!$C$2:$U$20,8,false)</f>
        <v>1</v>
      </c>
      <c r="AB766" s="960">
        <f t="array" ref="AB766">HLOOKUP($J766,'Type Chart'!$C$2:$T$20,9,false)*HLOOKUP($K766,'Type Chart'!$C$2:$U$20,9,false)</f>
        <v>1</v>
      </c>
      <c r="AC766" s="960">
        <f t="array" ref="AC766">HLOOKUP($J766,'Type Chart'!$C$2:$T$20,10,false)*HLOOKUP($K766,'Type Chart'!$C$2:$U$20,10,false)</f>
        <v>1</v>
      </c>
      <c r="AD766" s="960">
        <f t="array" ref="AD766">HLOOKUP($J766,'Type Chart'!$C$2:$T$20,11,false)*HLOOKUP($K766,'Type Chart'!$C$2:$U$20,11,false)</f>
        <v>0.5</v>
      </c>
      <c r="AE766" s="960">
        <f t="array" ref="AE766">HLOOKUP($J766,'Type Chart'!$C$2:$T$20,12,false)*HLOOKUP($K766,'Type Chart'!$C$2:$U$20,12,false)</f>
        <v>0.5</v>
      </c>
      <c r="AF766" s="960">
        <f t="array" ref="AF766">HLOOKUP($J766,'Type Chart'!$C$2:$T$20,13,false)*HLOOKUP($K766,'Type Chart'!$C$2:$U$20,13,false)</f>
        <v>0.5</v>
      </c>
      <c r="AG766" s="960">
        <f t="array" ref="AG766">HLOOKUP($J766,'Type Chart'!$C$2:$T$20,14,false)*HLOOKUP($K766,'Type Chart'!$C$2:$U$20,14,false)</f>
        <v>0.5</v>
      </c>
      <c r="AH766" s="960">
        <f t="array" ref="AH766">HLOOKUP($J766,'Type Chart'!$C$2:$T$20,15,false)*HLOOKUP($K766,'Type Chart'!$C$2:$U$20,15,false)</f>
        <v>1</v>
      </c>
      <c r="AI766" s="960">
        <f t="array" ref="AI766">HLOOKUP($J766,'Type Chart'!$C$2:$T$20,16,false)*HLOOKUP($K766,'Type Chart'!$C$2:$U$20,16,false)</f>
        <v>2</v>
      </c>
      <c r="AJ766" s="960">
        <f t="array" ref="AJ766">HLOOKUP($J766,'Type Chart'!$C$2:$T$20,17,false)*HLOOKUP($K766,'Type Chart'!$C$2:$U$20,17,false)</f>
        <v>2</v>
      </c>
      <c r="AK766" s="960">
        <f t="array" ref="AK766">HLOOKUP($J766,'Type Chart'!$C$2:$T$20,18,false)*HLOOKUP($K766,'Type Chart'!$C$2:$U$20,18,false)</f>
        <v>1</v>
      </c>
      <c r="AL766" s="960">
        <f t="array" ref="AL766">HLOOKUP($J766,'Type Chart'!$C$2:$T$20,19,false)*HLOOKUP($K766,'Type Chart'!$C$2:$U$20,19,false)</f>
        <v>2</v>
      </c>
      <c r="AM766" s="964" t="s">
        <v>1147</v>
      </c>
      <c r="AN766" s="965" t="s">
        <v>1576</v>
      </c>
      <c r="AO766" s="966" t="s">
        <v>1062</v>
      </c>
      <c r="AP766" s="936"/>
      <c r="AQ766" s="967"/>
      <c r="AR766" s="968"/>
      <c r="AS766" s="936"/>
    </row>
    <row r="767" ht="15.75" customHeight="1">
      <c r="A767" s="936"/>
      <c r="B767" s="948" t="s">
        <v>3137</v>
      </c>
      <c r="C767" s="950" t="s">
        <v>3138</v>
      </c>
      <c r="D767" s="950" t="s">
        <v>3138</v>
      </c>
      <c r="E767" s="952" t="s">
        <v>3138</v>
      </c>
      <c r="F767" s="940"/>
      <c r="G767" s="953"/>
      <c r="H767" s="969"/>
      <c r="I767" s="956" t="s">
        <v>826</v>
      </c>
      <c r="J767" s="1006" t="s">
        <v>346</v>
      </c>
      <c r="K767" s="984" t="s">
        <v>216</v>
      </c>
      <c r="L767" s="959">
        <v>66.0</v>
      </c>
      <c r="M767" s="960">
        <v>117.0</v>
      </c>
      <c r="N767" s="960">
        <v>70.0</v>
      </c>
      <c r="O767" s="960">
        <v>40.0</v>
      </c>
      <c r="P767" s="960">
        <v>50.0</v>
      </c>
      <c r="Q767" s="960">
        <v>67.0</v>
      </c>
      <c r="R767" s="960">
        <v>170.0</v>
      </c>
      <c r="S767" s="960">
        <v>233.0</v>
      </c>
      <c r="T767" s="960">
        <v>256.0</v>
      </c>
      <c r="U767" s="960">
        <f t="array" ref="U767">HLOOKUP($J767,'Type Chart'!$C$2:$T$20,2,false)*HLOOKUP($K767,'Type Chart'!$C$2:$U$20,2,false)</f>
        <v>1</v>
      </c>
      <c r="V767" s="960">
        <f t="array" ref="V767">HLOOKUP($J767,'Type Chart'!$C$2:$T$20,3,false)*HLOOKUP($K767,'Type Chart'!$C$2:$U$20,3,false)</f>
        <v>1</v>
      </c>
      <c r="W767" s="960">
        <f t="array" ref="W767">HLOOKUP($J767,'Type Chart'!$C$2:$T$20,4,false)*HLOOKUP($K767,'Type Chart'!$C$2:$U$20,4,false)</f>
        <v>1</v>
      </c>
      <c r="X767" s="960">
        <f t="array" ref="X767">HLOOKUP($J767,'Type Chart'!$C$2:$T$20,5,false)*HLOOKUP($K767,'Type Chart'!$C$2:$U$20,5,false)</f>
        <v>1</v>
      </c>
      <c r="Y767" s="960">
        <f t="array" ref="Y767">HLOOKUP($J767,'Type Chart'!$C$2:$T$20,6,false)*HLOOKUP($K767,'Type Chart'!$C$2:$U$20,6,false)</f>
        <v>1</v>
      </c>
      <c r="Z767" s="960">
        <f t="array" ref="Z767">HLOOKUP($J767,'Type Chart'!$C$2:$T$20,7,false)*HLOOKUP($K767,'Type Chart'!$C$2:$U$20,7,false)</f>
        <v>1</v>
      </c>
      <c r="AA767" s="960">
        <f t="array" ref="AA767">HLOOKUP($J767,'Type Chart'!$C$2:$T$20,8,false)*HLOOKUP($K767,'Type Chart'!$C$2:$U$20,8,false)</f>
        <v>1</v>
      </c>
      <c r="AB767" s="960">
        <f t="array" ref="AB767">HLOOKUP($J767,'Type Chart'!$C$2:$T$20,9,false)*HLOOKUP($K767,'Type Chart'!$C$2:$U$20,9,false)</f>
        <v>1</v>
      </c>
      <c r="AC767" s="960">
        <f t="array" ref="AC767">HLOOKUP($J767,'Type Chart'!$C$2:$T$20,10,false)*HLOOKUP($K767,'Type Chart'!$C$2:$U$20,10,false)</f>
        <v>1</v>
      </c>
      <c r="AD767" s="960">
        <f t="array" ref="AD767">HLOOKUP($J767,'Type Chart'!$C$2:$T$20,11,false)*HLOOKUP($K767,'Type Chart'!$C$2:$U$20,11,false)</f>
        <v>0.5</v>
      </c>
      <c r="AE767" s="960">
        <f t="array" ref="AE767">HLOOKUP($J767,'Type Chart'!$C$2:$T$20,12,false)*HLOOKUP($K767,'Type Chart'!$C$2:$U$20,12,false)</f>
        <v>0.5</v>
      </c>
      <c r="AF767" s="960">
        <f t="array" ref="AF767">HLOOKUP($J767,'Type Chart'!$C$2:$T$20,13,false)*HLOOKUP($K767,'Type Chart'!$C$2:$U$20,13,false)</f>
        <v>0.5</v>
      </c>
      <c r="AG767" s="960">
        <f t="array" ref="AG767">HLOOKUP($J767,'Type Chart'!$C$2:$T$20,14,false)*HLOOKUP($K767,'Type Chart'!$C$2:$U$20,14,false)</f>
        <v>0.5</v>
      </c>
      <c r="AH767" s="960">
        <f t="array" ref="AH767">HLOOKUP($J767,'Type Chart'!$C$2:$T$20,15,false)*HLOOKUP($K767,'Type Chart'!$C$2:$U$20,15,false)</f>
        <v>1</v>
      </c>
      <c r="AI767" s="960">
        <f t="array" ref="AI767">HLOOKUP($J767,'Type Chart'!$C$2:$T$20,16,false)*HLOOKUP($K767,'Type Chart'!$C$2:$U$20,16,false)</f>
        <v>2</v>
      </c>
      <c r="AJ767" s="960">
        <f t="array" ref="AJ767">HLOOKUP($J767,'Type Chart'!$C$2:$T$20,17,false)*HLOOKUP($K767,'Type Chart'!$C$2:$U$20,17,false)</f>
        <v>2</v>
      </c>
      <c r="AK767" s="960">
        <f t="array" ref="AK767">HLOOKUP($J767,'Type Chart'!$C$2:$T$20,18,false)*HLOOKUP($K767,'Type Chart'!$C$2:$U$20,18,false)</f>
        <v>1</v>
      </c>
      <c r="AL767" s="960">
        <f t="array" ref="AL767">HLOOKUP($J767,'Type Chart'!$C$2:$T$20,19,false)*HLOOKUP($K767,'Type Chart'!$C$2:$U$20,19,false)</f>
        <v>2</v>
      </c>
      <c r="AM767" s="964" t="s">
        <v>1147</v>
      </c>
      <c r="AN767" s="965" t="s">
        <v>1576</v>
      </c>
      <c r="AO767" s="966" t="s">
        <v>1062</v>
      </c>
      <c r="AP767" s="936"/>
      <c r="AQ767" s="967"/>
      <c r="AR767" s="968"/>
      <c r="AS767" s="936"/>
    </row>
    <row r="768" ht="15.75" customHeight="1">
      <c r="A768" s="936"/>
      <c r="B768" s="948" t="s">
        <v>3139</v>
      </c>
      <c r="C768" s="950" t="s">
        <v>3140</v>
      </c>
      <c r="D768" s="950" t="s">
        <v>3140</v>
      </c>
      <c r="E768" s="952" t="s">
        <v>3140</v>
      </c>
      <c r="F768" s="940"/>
      <c r="G768" s="953"/>
      <c r="H768" s="969"/>
      <c r="I768" s="956" t="s">
        <v>494</v>
      </c>
      <c r="J768" s="1006" t="s">
        <v>346</v>
      </c>
      <c r="K768" s="984" t="s">
        <v>216</v>
      </c>
      <c r="L768" s="959">
        <v>76.0</v>
      </c>
      <c r="M768" s="960">
        <v>147.0</v>
      </c>
      <c r="N768" s="960">
        <v>90.0</v>
      </c>
      <c r="O768" s="960">
        <v>60.0</v>
      </c>
      <c r="P768" s="960">
        <v>70.0</v>
      </c>
      <c r="Q768" s="960">
        <v>97.0</v>
      </c>
      <c r="R768" s="960">
        <v>230.0</v>
      </c>
      <c r="S768" s="960">
        <v>293.0</v>
      </c>
      <c r="T768" s="960">
        <v>322.0</v>
      </c>
      <c r="U768" s="960">
        <f t="array" ref="U768">HLOOKUP($J768,'Type Chart'!$C$2:$T$20,2,false)*HLOOKUP($K768,'Type Chart'!$C$2:$U$20,2,false)</f>
        <v>1</v>
      </c>
      <c r="V768" s="960">
        <f t="array" ref="V768">HLOOKUP($J768,'Type Chart'!$C$2:$T$20,3,false)*HLOOKUP($K768,'Type Chart'!$C$2:$U$20,3,false)</f>
        <v>1</v>
      </c>
      <c r="W768" s="960">
        <f t="array" ref="W768">HLOOKUP($J768,'Type Chart'!$C$2:$T$20,4,false)*HLOOKUP($K768,'Type Chart'!$C$2:$U$20,4,false)</f>
        <v>1</v>
      </c>
      <c r="X768" s="960">
        <f t="array" ref="X768">HLOOKUP($J768,'Type Chart'!$C$2:$T$20,5,false)*HLOOKUP($K768,'Type Chart'!$C$2:$U$20,5,false)</f>
        <v>1</v>
      </c>
      <c r="Y768" s="960">
        <f t="array" ref="Y768">HLOOKUP($J768,'Type Chart'!$C$2:$T$20,6,false)*HLOOKUP($K768,'Type Chart'!$C$2:$U$20,6,false)</f>
        <v>1</v>
      </c>
      <c r="Z768" s="960">
        <f t="array" ref="Z768">HLOOKUP($J768,'Type Chart'!$C$2:$T$20,7,false)*HLOOKUP($K768,'Type Chart'!$C$2:$U$20,7,false)</f>
        <v>1</v>
      </c>
      <c r="AA768" s="960">
        <f t="array" ref="AA768">HLOOKUP($J768,'Type Chart'!$C$2:$T$20,8,false)*HLOOKUP($K768,'Type Chart'!$C$2:$U$20,8,false)</f>
        <v>1</v>
      </c>
      <c r="AB768" s="960">
        <f t="array" ref="AB768">HLOOKUP($J768,'Type Chart'!$C$2:$T$20,9,false)*HLOOKUP($K768,'Type Chart'!$C$2:$U$20,9,false)</f>
        <v>1</v>
      </c>
      <c r="AC768" s="960">
        <f t="array" ref="AC768">HLOOKUP($J768,'Type Chart'!$C$2:$T$20,10,false)*HLOOKUP($K768,'Type Chart'!$C$2:$U$20,10,false)</f>
        <v>1</v>
      </c>
      <c r="AD768" s="960">
        <f t="array" ref="AD768">HLOOKUP($J768,'Type Chart'!$C$2:$T$20,11,false)*HLOOKUP($K768,'Type Chart'!$C$2:$U$20,11,false)</f>
        <v>0.5</v>
      </c>
      <c r="AE768" s="960">
        <f t="array" ref="AE768">HLOOKUP($J768,'Type Chart'!$C$2:$T$20,12,false)*HLOOKUP($K768,'Type Chart'!$C$2:$U$20,12,false)</f>
        <v>0.5</v>
      </c>
      <c r="AF768" s="960">
        <f t="array" ref="AF768">HLOOKUP($J768,'Type Chart'!$C$2:$T$20,13,false)*HLOOKUP($K768,'Type Chart'!$C$2:$U$20,13,false)</f>
        <v>0.5</v>
      </c>
      <c r="AG768" s="960">
        <f t="array" ref="AG768">HLOOKUP($J768,'Type Chart'!$C$2:$T$20,14,false)*HLOOKUP($K768,'Type Chart'!$C$2:$U$20,14,false)</f>
        <v>0.5</v>
      </c>
      <c r="AH768" s="960">
        <f t="array" ref="AH768">HLOOKUP($J768,'Type Chart'!$C$2:$T$20,15,false)*HLOOKUP($K768,'Type Chart'!$C$2:$U$20,15,false)</f>
        <v>1</v>
      </c>
      <c r="AI768" s="960">
        <f t="array" ref="AI768">HLOOKUP($J768,'Type Chart'!$C$2:$T$20,16,false)*HLOOKUP($K768,'Type Chart'!$C$2:$U$20,16,false)</f>
        <v>2</v>
      </c>
      <c r="AJ768" s="960">
        <f t="array" ref="AJ768">HLOOKUP($J768,'Type Chart'!$C$2:$T$20,17,false)*HLOOKUP($K768,'Type Chart'!$C$2:$U$20,17,false)</f>
        <v>2</v>
      </c>
      <c r="AK768" s="960">
        <f t="array" ref="AK768">HLOOKUP($J768,'Type Chart'!$C$2:$T$20,18,false)*HLOOKUP($K768,'Type Chart'!$C$2:$U$20,18,false)</f>
        <v>1</v>
      </c>
      <c r="AL768" s="960">
        <f t="array" ref="AL768">HLOOKUP($J768,'Type Chart'!$C$2:$T$20,19,false)*HLOOKUP($K768,'Type Chart'!$C$2:$U$20,19,false)</f>
        <v>2</v>
      </c>
      <c r="AM768" s="964" t="s">
        <v>1147</v>
      </c>
      <c r="AN768" s="965" t="s">
        <v>1576</v>
      </c>
      <c r="AO768" s="966" t="s">
        <v>1062</v>
      </c>
      <c r="AP768" s="936"/>
      <c r="AQ768" s="967"/>
      <c r="AR768" s="968"/>
      <c r="AS768" s="936"/>
    </row>
    <row r="769" ht="15.75" customHeight="1">
      <c r="A769" s="936"/>
      <c r="B769" s="948" t="s">
        <v>3141</v>
      </c>
      <c r="C769" s="950" t="s">
        <v>3142</v>
      </c>
      <c r="D769" s="950" t="s">
        <v>3142</v>
      </c>
      <c r="E769" s="952" t="s">
        <v>3142</v>
      </c>
      <c r="F769" s="940"/>
      <c r="G769" s="953"/>
      <c r="H769" s="969"/>
      <c r="I769" s="956" t="s">
        <v>3143</v>
      </c>
      <c r="J769" s="1205" t="s">
        <v>345</v>
      </c>
      <c r="K769" s="984" t="s">
        <v>216</v>
      </c>
      <c r="L769" s="959">
        <v>55.0</v>
      </c>
      <c r="M769" s="960">
        <v>70.0</v>
      </c>
      <c r="N769" s="960">
        <v>40.0</v>
      </c>
      <c r="O769" s="960">
        <v>60.0</v>
      </c>
      <c r="P769" s="960">
        <v>40.0</v>
      </c>
      <c r="Q769" s="960">
        <v>40.0</v>
      </c>
      <c r="R769" s="960">
        <v>116.0</v>
      </c>
      <c r="S769" s="960">
        <v>179.0</v>
      </c>
      <c r="T769" s="960">
        <v>196.0</v>
      </c>
      <c r="U769" s="960">
        <f t="array" ref="U769">HLOOKUP($J769,'Type Chart'!$C$2:$T$20,2,false)*HLOOKUP($K769,'Type Chart'!$C$2:$U$20,2,false)</f>
        <v>1</v>
      </c>
      <c r="V769" s="960">
        <f t="array" ref="V769">HLOOKUP($J769,'Type Chart'!$C$2:$T$20,3,false)*HLOOKUP($K769,'Type Chart'!$C$2:$U$20,3,false)</f>
        <v>2</v>
      </c>
      <c r="W769" s="960">
        <f t="array" ref="W769">HLOOKUP($J769,'Type Chart'!$C$2:$T$20,4,false)*HLOOKUP($K769,'Type Chart'!$C$2:$U$20,4,false)</f>
        <v>1</v>
      </c>
      <c r="X769" s="960">
        <f t="array" ref="X769">HLOOKUP($J769,'Type Chart'!$C$2:$T$20,5,false)*HLOOKUP($K769,'Type Chart'!$C$2:$U$20,5,false)</f>
        <v>1</v>
      </c>
      <c r="Y769" s="960">
        <f t="array" ref="Y769">HLOOKUP($J769,'Type Chart'!$C$2:$T$20,6,false)*HLOOKUP($K769,'Type Chart'!$C$2:$U$20,6,false)</f>
        <v>1</v>
      </c>
      <c r="Z769" s="960">
        <f t="array" ref="Z769">HLOOKUP($J769,'Type Chart'!$C$2:$T$20,7,false)*HLOOKUP($K769,'Type Chart'!$C$2:$U$20,7,false)</f>
        <v>2</v>
      </c>
      <c r="AA769" s="960">
        <f t="array" ref="AA769">HLOOKUP($J769,'Type Chart'!$C$2:$T$20,8,false)*HLOOKUP($K769,'Type Chart'!$C$2:$U$20,8,false)</f>
        <v>1</v>
      </c>
      <c r="AB769" s="960">
        <f t="array" ref="AB769">HLOOKUP($J769,'Type Chart'!$C$2:$T$20,9,false)*HLOOKUP($K769,'Type Chart'!$C$2:$U$20,9,false)</f>
        <v>1</v>
      </c>
      <c r="AC769" s="960">
        <f t="array" ref="AC769">HLOOKUP($J769,'Type Chart'!$C$2:$T$20,10,false)*HLOOKUP($K769,'Type Chart'!$C$2:$U$20,10,false)</f>
        <v>2</v>
      </c>
      <c r="AD769" s="960">
        <f t="array" ref="AD769">HLOOKUP($J769,'Type Chart'!$C$2:$T$20,11,false)*HLOOKUP($K769,'Type Chart'!$C$2:$U$20,11,false)</f>
        <v>2</v>
      </c>
      <c r="AE769" s="960">
        <f t="array" ref="AE769">HLOOKUP($J769,'Type Chart'!$C$2:$T$20,12,false)*HLOOKUP($K769,'Type Chart'!$C$2:$U$20,12,false)</f>
        <v>1</v>
      </c>
      <c r="AF769" s="960">
        <f t="array" ref="AF769">HLOOKUP($J769,'Type Chart'!$C$2:$T$20,13,false)*HLOOKUP($K769,'Type Chart'!$C$2:$U$20,13,false)</f>
        <v>1</v>
      </c>
      <c r="AG769" s="960">
        <f t="array" ref="AG769">HLOOKUP($J769,'Type Chart'!$C$2:$T$20,14,false)*HLOOKUP($K769,'Type Chart'!$C$2:$U$20,14,false)</f>
        <v>1</v>
      </c>
      <c r="AH769" s="960">
        <f t="array" ref="AH769">HLOOKUP($J769,'Type Chart'!$C$2:$T$20,15,false)*HLOOKUP($K769,'Type Chart'!$C$2:$U$20,15,false)</f>
        <v>1</v>
      </c>
      <c r="AI769" s="960">
        <f t="array" ref="AI769">HLOOKUP($J769,'Type Chart'!$C$2:$T$20,16,false)*HLOOKUP($K769,'Type Chart'!$C$2:$U$20,16,false)</f>
        <v>0.5</v>
      </c>
      <c r="AJ769" s="960">
        <f t="array" ref="AJ769">HLOOKUP($J769,'Type Chart'!$C$2:$T$20,17,false)*HLOOKUP($K769,'Type Chart'!$C$2:$U$20,17,false)</f>
        <v>1</v>
      </c>
      <c r="AK769" s="960">
        <f t="array" ref="AK769">HLOOKUP($J769,'Type Chart'!$C$2:$T$20,18,false)*HLOOKUP($K769,'Type Chart'!$C$2:$U$20,18,false)</f>
        <v>1</v>
      </c>
      <c r="AL769" s="960">
        <f t="array" ref="AL769">HLOOKUP($J769,'Type Chart'!$C$2:$T$20,19,false)*HLOOKUP($K769,'Type Chart'!$C$2:$U$20,19,false)</f>
        <v>1</v>
      </c>
      <c r="AM769" s="964" t="s">
        <v>1135</v>
      </c>
      <c r="AN769" s="965" t="s">
        <v>1136</v>
      </c>
      <c r="AO769" s="966" t="s">
        <v>1243</v>
      </c>
      <c r="AP769" s="936"/>
      <c r="AQ769" s="967"/>
      <c r="AR769" s="968"/>
      <c r="AS769" s="936"/>
    </row>
    <row r="770" ht="15.75" customHeight="1">
      <c r="A770" s="936"/>
      <c r="B770" s="948" t="s">
        <v>3144</v>
      </c>
      <c r="C770" s="950" t="s">
        <v>3145</v>
      </c>
      <c r="D770" s="950" t="s">
        <v>3145</v>
      </c>
      <c r="E770" s="952" t="s">
        <v>3145</v>
      </c>
      <c r="F770" s="940"/>
      <c r="G770" s="953"/>
      <c r="H770" s="969"/>
      <c r="I770" s="956" t="s">
        <v>744</v>
      </c>
      <c r="J770" s="1205" t="s">
        <v>345</v>
      </c>
      <c r="K770" s="984" t="s">
        <v>216</v>
      </c>
      <c r="L770" s="959">
        <v>95.0</v>
      </c>
      <c r="M770" s="960">
        <v>130.0</v>
      </c>
      <c r="N770" s="960">
        <v>80.0</v>
      </c>
      <c r="O770" s="960">
        <v>70.0</v>
      </c>
      <c r="P770" s="960">
        <v>80.0</v>
      </c>
      <c r="Q770" s="960">
        <v>50.0</v>
      </c>
      <c r="R770" s="960">
        <v>136.0</v>
      </c>
      <c r="S770" s="960">
        <v>199.0</v>
      </c>
      <c r="T770" s="960">
        <v>218.0</v>
      </c>
      <c r="U770" s="960">
        <f t="array" ref="U770">HLOOKUP($J770,'Type Chart'!$C$2:$T$20,2,false)*HLOOKUP($K770,'Type Chart'!$C$2:$U$20,2,false)</f>
        <v>1</v>
      </c>
      <c r="V770" s="960">
        <f t="array" ref="V770">HLOOKUP($J770,'Type Chart'!$C$2:$T$20,3,false)*HLOOKUP($K770,'Type Chart'!$C$2:$U$20,3,false)</f>
        <v>2</v>
      </c>
      <c r="W770" s="960">
        <f t="array" ref="W770">HLOOKUP($J770,'Type Chart'!$C$2:$T$20,4,false)*HLOOKUP($K770,'Type Chart'!$C$2:$U$20,4,false)</f>
        <v>1</v>
      </c>
      <c r="X770" s="960">
        <f t="array" ref="X770">HLOOKUP($J770,'Type Chart'!$C$2:$T$20,5,false)*HLOOKUP($K770,'Type Chart'!$C$2:$U$20,5,false)</f>
        <v>1</v>
      </c>
      <c r="Y770" s="960">
        <f t="array" ref="Y770">HLOOKUP($J770,'Type Chart'!$C$2:$T$20,6,false)*HLOOKUP($K770,'Type Chart'!$C$2:$U$20,6,false)</f>
        <v>1</v>
      </c>
      <c r="Z770" s="960">
        <f t="array" ref="Z770">HLOOKUP($J770,'Type Chart'!$C$2:$T$20,7,false)*HLOOKUP($K770,'Type Chart'!$C$2:$U$20,7,false)</f>
        <v>2</v>
      </c>
      <c r="AA770" s="960">
        <f t="array" ref="AA770">HLOOKUP($J770,'Type Chart'!$C$2:$T$20,8,false)*HLOOKUP($K770,'Type Chart'!$C$2:$U$20,8,false)</f>
        <v>1</v>
      </c>
      <c r="AB770" s="960">
        <f t="array" ref="AB770">HLOOKUP($J770,'Type Chart'!$C$2:$T$20,9,false)*HLOOKUP($K770,'Type Chart'!$C$2:$U$20,9,false)</f>
        <v>1</v>
      </c>
      <c r="AC770" s="960">
        <f t="array" ref="AC770">HLOOKUP($J770,'Type Chart'!$C$2:$T$20,10,false)*HLOOKUP($K770,'Type Chart'!$C$2:$U$20,10,false)</f>
        <v>2</v>
      </c>
      <c r="AD770" s="960">
        <f t="array" ref="AD770">HLOOKUP($J770,'Type Chart'!$C$2:$T$20,11,false)*HLOOKUP($K770,'Type Chart'!$C$2:$U$20,11,false)</f>
        <v>2</v>
      </c>
      <c r="AE770" s="960">
        <f t="array" ref="AE770">HLOOKUP($J770,'Type Chart'!$C$2:$T$20,12,false)*HLOOKUP($K770,'Type Chart'!$C$2:$U$20,12,false)</f>
        <v>1</v>
      </c>
      <c r="AF770" s="960">
        <f t="array" ref="AF770">HLOOKUP($J770,'Type Chart'!$C$2:$T$20,13,false)*HLOOKUP($K770,'Type Chart'!$C$2:$U$20,13,false)</f>
        <v>1</v>
      </c>
      <c r="AG770" s="960">
        <f t="array" ref="AG770">HLOOKUP($J770,'Type Chart'!$C$2:$T$20,14,false)*HLOOKUP($K770,'Type Chart'!$C$2:$U$20,14,false)</f>
        <v>1</v>
      </c>
      <c r="AH770" s="960">
        <f t="array" ref="AH770">HLOOKUP($J770,'Type Chart'!$C$2:$T$20,15,false)*HLOOKUP($K770,'Type Chart'!$C$2:$U$20,15,false)</f>
        <v>1</v>
      </c>
      <c r="AI770" s="960">
        <f t="array" ref="AI770">HLOOKUP($J770,'Type Chart'!$C$2:$T$20,16,false)*HLOOKUP($K770,'Type Chart'!$C$2:$U$20,16,false)</f>
        <v>0.5</v>
      </c>
      <c r="AJ770" s="960">
        <f t="array" ref="AJ770">HLOOKUP($J770,'Type Chart'!$C$2:$T$20,17,false)*HLOOKUP($K770,'Type Chart'!$C$2:$U$20,17,false)</f>
        <v>1</v>
      </c>
      <c r="AK770" s="960">
        <f t="array" ref="AK770">HLOOKUP($J770,'Type Chart'!$C$2:$T$20,18,false)*HLOOKUP($K770,'Type Chart'!$C$2:$U$20,18,false)</f>
        <v>1</v>
      </c>
      <c r="AL770" s="960">
        <f t="array" ref="AL770">HLOOKUP($J770,'Type Chart'!$C$2:$T$20,19,false)*HLOOKUP($K770,'Type Chart'!$C$2:$U$20,19,false)</f>
        <v>1</v>
      </c>
      <c r="AM770" s="964" t="s">
        <v>1135</v>
      </c>
      <c r="AN770" s="965" t="s">
        <v>1136</v>
      </c>
      <c r="AO770" s="966" t="s">
        <v>1259</v>
      </c>
      <c r="AP770" s="936"/>
      <c r="AQ770" s="967"/>
      <c r="AR770" s="968"/>
      <c r="AS770" s="936"/>
    </row>
    <row r="771" ht="15.75" customHeight="1">
      <c r="A771" s="1099"/>
      <c r="B771" s="948" t="s">
        <v>3146</v>
      </c>
      <c r="C771" s="1197" t="s">
        <v>3147</v>
      </c>
      <c r="D771" s="1197" t="s">
        <v>3147</v>
      </c>
      <c r="E771" s="1147" t="s">
        <v>3147</v>
      </c>
      <c r="F771" s="940"/>
      <c r="G771" s="953"/>
      <c r="H771" s="969"/>
      <c r="I771" s="998" t="s">
        <v>675</v>
      </c>
      <c r="J771" s="1224" t="s">
        <v>345</v>
      </c>
      <c r="K771" s="1199" t="s">
        <v>216</v>
      </c>
      <c r="L771" s="1200">
        <v>80.0</v>
      </c>
      <c r="M771" s="1201">
        <v>50.0</v>
      </c>
      <c r="N771" s="1201">
        <v>50.0</v>
      </c>
      <c r="O771" s="1201">
        <v>95.0</v>
      </c>
      <c r="P771" s="1201">
        <v>135.0</v>
      </c>
      <c r="Q771" s="1201">
        <v>105.0</v>
      </c>
      <c r="R771" s="960">
        <v>246.0</v>
      </c>
      <c r="S771" s="960">
        <v>309.0</v>
      </c>
      <c r="T771" s="960">
        <v>339.0</v>
      </c>
      <c r="U771" s="960">
        <f t="array" ref="U771">HLOOKUP($J771,'Type Chart'!$C$2:$T$20,2,false)*HLOOKUP($K771,'Type Chart'!$C$2:$U$20,2,false)</f>
        <v>1</v>
      </c>
      <c r="V771" s="960">
        <f t="array" ref="V771">HLOOKUP($J771,'Type Chart'!$C$2:$T$20,3,false)*HLOOKUP($K771,'Type Chart'!$C$2:$U$20,3,false)</f>
        <v>2</v>
      </c>
      <c r="W771" s="960">
        <f t="array" ref="W771">HLOOKUP($J771,'Type Chart'!$C$2:$T$20,4,false)*HLOOKUP($K771,'Type Chart'!$C$2:$U$20,4,false)</f>
        <v>1</v>
      </c>
      <c r="X771" s="960">
        <f t="array" ref="X771">HLOOKUP($J771,'Type Chart'!$C$2:$T$20,5,false)*HLOOKUP($K771,'Type Chart'!$C$2:$U$20,5,false)</f>
        <v>1</v>
      </c>
      <c r="Y771" s="960">
        <f t="array" ref="Y771">HLOOKUP($J771,'Type Chart'!$C$2:$T$20,6,false)*HLOOKUP($K771,'Type Chart'!$C$2:$U$20,6,false)</f>
        <v>1</v>
      </c>
      <c r="Z771" s="960">
        <f t="array" ref="Z771">HLOOKUP($J771,'Type Chart'!$C$2:$T$20,7,false)*HLOOKUP($K771,'Type Chart'!$C$2:$U$20,7,false)</f>
        <v>2</v>
      </c>
      <c r="AA771" s="960">
        <f t="array" ref="AA771">HLOOKUP($J771,'Type Chart'!$C$2:$T$20,8,false)*HLOOKUP($K771,'Type Chart'!$C$2:$U$20,8,false)</f>
        <v>1</v>
      </c>
      <c r="AB771" s="960">
        <f t="array" ref="AB771">HLOOKUP($J771,'Type Chart'!$C$2:$T$20,9,false)*HLOOKUP($K771,'Type Chart'!$C$2:$U$20,9,false)</f>
        <v>1</v>
      </c>
      <c r="AC771" s="960">
        <f t="array" ref="AC771">HLOOKUP($J771,'Type Chart'!$C$2:$T$20,10,false)*HLOOKUP($K771,'Type Chart'!$C$2:$U$20,10,false)</f>
        <v>2</v>
      </c>
      <c r="AD771" s="960">
        <f t="array" ref="AD771">HLOOKUP($J771,'Type Chart'!$C$2:$T$20,11,false)*HLOOKUP($K771,'Type Chart'!$C$2:$U$20,11,false)</f>
        <v>2</v>
      </c>
      <c r="AE771" s="960">
        <f t="array" ref="AE771">HLOOKUP($J771,'Type Chart'!$C$2:$T$20,12,false)*HLOOKUP($K771,'Type Chart'!$C$2:$U$20,12,false)</f>
        <v>1</v>
      </c>
      <c r="AF771" s="960">
        <f t="array" ref="AF771">HLOOKUP($J771,'Type Chart'!$C$2:$T$20,13,false)*HLOOKUP($K771,'Type Chart'!$C$2:$U$20,13,false)</f>
        <v>1</v>
      </c>
      <c r="AG771" s="960">
        <f t="array" ref="AG771">HLOOKUP($J771,'Type Chart'!$C$2:$T$20,14,false)*HLOOKUP($K771,'Type Chart'!$C$2:$U$20,14,false)</f>
        <v>1</v>
      </c>
      <c r="AH771" s="960">
        <f t="array" ref="AH771">HLOOKUP($J771,'Type Chart'!$C$2:$T$20,15,false)*HLOOKUP($K771,'Type Chart'!$C$2:$U$20,15,false)</f>
        <v>1</v>
      </c>
      <c r="AI771" s="960">
        <f t="array" ref="AI771">HLOOKUP($J771,'Type Chart'!$C$2:$T$20,16,false)*HLOOKUP($K771,'Type Chart'!$C$2:$U$20,16,false)</f>
        <v>0.5</v>
      </c>
      <c r="AJ771" s="960">
        <f t="array" ref="AJ771">HLOOKUP($J771,'Type Chart'!$C$2:$T$20,17,false)*HLOOKUP($K771,'Type Chart'!$C$2:$U$20,17,false)</f>
        <v>1</v>
      </c>
      <c r="AK771" s="960">
        <f t="array" ref="AK771">HLOOKUP($J771,'Type Chart'!$C$2:$T$20,18,false)*HLOOKUP($K771,'Type Chart'!$C$2:$U$20,18,false)</f>
        <v>1</v>
      </c>
      <c r="AL771" s="960">
        <f t="array" ref="AL771">HLOOKUP($J771,'Type Chart'!$C$2:$T$20,19,false)*HLOOKUP($K771,'Type Chart'!$C$2:$U$20,19,false)</f>
        <v>1</v>
      </c>
      <c r="AM771" s="1145" t="s">
        <v>1437</v>
      </c>
      <c r="AN771" s="965"/>
      <c r="AO771" s="1146"/>
      <c r="AP771" s="936"/>
      <c r="AQ771" s="967"/>
      <c r="AR771" s="968"/>
      <c r="AS771" s="936"/>
    </row>
    <row r="772" ht="15.75" customHeight="1">
      <c r="A772" s="1099"/>
      <c r="B772" s="948" t="s">
        <v>3148</v>
      </c>
      <c r="C772" s="950" t="s">
        <v>3149</v>
      </c>
      <c r="D772" s="950" t="s">
        <v>3149</v>
      </c>
      <c r="E772" s="952" t="s">
        <v>3149</v>
      </c>
      <c r="F772" s="940"/>
      <c r="G772" s="953"/>
      <c r="H772" s="969"/>
      <c r="I772" s="956" t="s">
        <v>3150</v>
      </c>
      <c r="J772" s="1180" t="s">
        <v>343</v>
      </c>
      <c r="K772" s="984" t="s">
        <v>216</v>
      </c>
      <c r="L772" s="959">
        <v>50.0</v>
      </c>
      <c r="M772" s="960">
        <v>40.0</v>
      </c>
      <c r="N772" s="960">
        <v>85.0</v>
      </c>
      <c r="O772" s="960">
        <v>40.0</v>
      </c>
      <c r="P772" s="960">
        <v>65.0</v>
      </c>
      <c r="Q772" s="960">
        <v>25.0</v>
      </c>
      <c r="R772" s="960">
        <v>86.0</v>
      </c>
      <c r="S772" s="960">
        <v>149.0</v>
      </c>
      <c r="T772" s="960">
        <v>163.0</v>
      </c>
      <c r="U772" s="960">
        <f t="array" ref="U772">HLOOKUP($J772,'Type Chart'!$C$2:$T$20,2,false)*HLOOKUP($K772,'Type Chart'!$C$2:$U$20,2,false)</f>
        <v>1</v>
      </c>
      <c r="V772" s="960">
        <f t="array" ref="V772">HLOOKUP($J772,'Type Chart'!$C$2:$T$20,3,false)*HLOOKUP($K772,'Type Chart'!$C$2:$U$20,3,false)</f>
        <v>0.5</v>
      </c>
      <c r="W772" s="960">
        <f t="array" ref="W772">HLOOKUP($J772,'Type Chart'!$C$2:$T$20,4,false)*HLOOKUP($K772,'Type Chart'!$C$2:$U$20,4,false)</f>
        <v>2</v>
      </c>
      <c r="X772" s="960">
        <f t="array" ref="X772">HLOOKUP($J772,'Type Chart'!$C$2:$T$20,5,false)*HLOOKUP($K772,'Type Chart'!$C$2:$U$20,5,false)</f>
        <v>1</v>
      </c>
      <c r="Y772" s="960">
        <f t="array" ref="Y772">HLOOKUP($J772,'Type Chart'!$C$2:$T$20,6,false)*HLOOKUP($K772,'Type Chart'!$C$2:$U$20,6,false)</f>
        <v>0.5</v>
      </c>
      <c r="Z772" s="960">
        <f t="array" ref="Z772">HLOOKUP($J772,'Type Chart'!$C$2:$T$20,7,false)*HLOOKUP($K772,'Type Chart'!$C$2:$U$20,7,false)</f>
        <v>2</v>
      </c>
      <c r="AA772" s="960">
        <f t="array" ref="AA772">HLOOKUP($J772,'Type Chart'!$C$2:$T$20,8,false)*HLOOKUP($K772,'Type Chart'!$C$2:$U$20,8,false)</f>
        <v>1</v>
      </c>
      <c r="AB772" s="960">
        <f t="array" ref="AB772">HLOOKUP($J772,'Type Chart'!$C$2:$T$20,9,false)*HLOOKUP($K772,'Type Chart'!$C$2:$U$20,9,false)</f>
        <v>1</v>
      </c>
      <c r="AC772" s="960">
        <f t="array" ref="AC772">HLOOKUP($J772,'Type Chart'!$C$2:$T$20,10,false)*HLOOKUP($K772,'Type Chart'!$C$2:$U$20,10,false)</f>
        <v>1</v>
      </c>
      <c r="AD772" s="960">
        <f t="array" ref="AD772">HLOOKUP($J772,'Type Chart'!$C$2:$T$20,11,false)*HLOOKUP($K772,'Type Chart'!$C$2:$U$20,11,false)</f>
        <v>2</v>
      </c>
      <c r="AE772" s="960">
        <f t="array" ref="AE772">HLOOKUP($J772,'Type Chart'!$C$2:$T$20,12,false)*HLOOKUP($K772,'Type Chart'!$C$2:$U$20,12,false)</f>
        <v>1</v>
      </c>
      <c r="AF772" s="960">
        <f t="array" ref="AF772">HLOOKUP($J772,'Type Chart'!$C$2:$T$20,13,false)*HLOOKUP($K772,'Type Chart'!$C$2:$U$20,13,false)</f>
        <v>0.5</v>
      </c>
      <c r="AG772" s="960">
        <f t="array" ref="AG772">HLOOKUP($J772,'Type Chart'!$C$2:$T$20,14,false)*HLOOKUP($K772,'Type Chart'!$C$2:$U$20,14,false)</f>
        <v>1</v>
      </c>
      <c r="AH772" s="960">
        <f t="array" ref="AH772">HLOOKUP($J772,'Type Chart'!$C$2:$T$20,15,false)*HLOOKUP($K772,'Type Chart'!$C$2:$U$20,15,false)</f>
        <v>1</v>
      </c>
      <c r="AI772" s="960">
        <f t="array" ref="AI772">HLOOKUP($J772,'Type Chart'!$C$2:$T$20,16,false)*HLOOKUP($K772,'Type Chart'!$C$2:$U$20,16,false)</f>
        <v>1</v>
      </c>
      <c r="AJ772" s="960">
        <f t="array" ref="AJ772">HLOOKUP($J772,'Type Chart'!$C$2:$T$20,17,false)*HLOOKUP($K772,'Type Chart'!$C$2:$U$20,17,false)</f>
        <v>1</v>
      </c>
      <c r="AK772" s="960">
        <f t="array" ref="AK772">HLOOKUP($J772,'Type Chart'!$C$2:$T$20,18,false)*HLOOKUP($K772,'Type Chart'!$C$2:$U$20,18,false)</f>
        <v>1</v>
      </c>
      <c r="AL772" s="960">
        <f t="array" ref="AL772">HLOOKUP($J772,'Type Chart'!$C$2:$T$20,19,false)*HLOOKUP($K772,'Type Chart'!$C$2:$U$20,19,false)</f>
        <v>1</v>
      </c>
      <c r="AM772" s="1145" t="s">
        <v>1409</v>
      </c>
      <c r="AN772" s="1202" t="s">
        <v>1385</v>
      </c>
      <c r="AO772" s="1146" t="s">
        <v>1431</v>
      </c>
      <c r="AP772" s="936"/>
      <c r="AQ772" s="967"/>
      <c r="AR772" s="968"/>
      <c r="AS772" s="936"/>
    </row>
    <row r="773" ht="15.75" customHeight="1">
      <c r="A773" s="936"/>
      <c r="B773" s="948" t="s">
        <v>3151</v>
      </c>
      <c r="C773" s="950" t="s">
        <v>3152</v>
      </c>
      <c r="D773" s="950" t="s">
        <v>3152</v>
      </c>
      <c r="E773" s="952" t="s">
        <v>3152</v>
      </c>
      <c r="F773" s="940"/>
      <c r="G773" s="953"/>
      <c r="H773" s="969"/>
      <c r="I773" s="956" t="s">
        <v>3153</v>
      </c>
      <c r="J773" s="1180" t="s">
        <v>343</v>
      </c>
      <c r="K773" s="984" t="s">
        <v>216</v>
      </c>
      <c r="L773" s="959">
        <v>80.0</v>
      </c>
      <c r="M773" s="960">
        <v>70.0</v>
      </c>
      <c r="N773" s="960">
        <v>40.0</v>
      </c>
      <c r="O773" s="960">
        <v>100.0</v>
      </c>
      <c r="P773" s="960">
        <v>60.0</v>
      </c>
      <c r="Q773" s="960">
        <v>145.0</v>
      </c>
      <c r="R773" s="960">
        <v>326.0</v>
      </c>
      <c r="S773" s="960">
        <v>389.0</v>
      </c>
      <c r="T773" s="960">
        <v>427.0</v>
      </c>
      <c r="U773" s="960">
        <f t="array" ref="U773">HLOOKUP($J773,'Type Chart'!$C$2:$T$20,2,false)*HLOOKUP($K773,'Type Chart'!$C$2:$U$20,2,false)</f>
        <v>1</v>
      </c>
      <c r="V773" s="960">
        <f t="array" ref="V773">HLOOKUP($J773,'Type Chart'!$C$2:$T$20,3,false)*HLOOKUP($K773,'Type Chart'!$C$2:$U$20,3,false)</f>
        <v>0.5</v>
      </c>
      <c r="W773" s="960">
        <f t="array" ref="W773">HLOOKUP($J773,'Type Chart'!$C$2:$T$20,4,false)*HLOOKUP($K773,'Type Chart'!$C$2:$U$20,4,false)</f>
        <v>2</v>
      </c>
      <c r="X773" s="960">
        <f t="array" ref="X773">HLOOKUP($J773,'Type Chart'!$C$2:$T$20,5,false)*HLOOKUP($K773,'Type Chart'!$C$2:$U$20,5,false)</f>
        <v>1</v>
      </c>
      <c r="Y773" s="960">
        <f t="array" ref="Y773">HLOOKUP($J773,'Type Chart'!$C$2:$T$20,6,false)*HLOOKUP($K773,'Type Chart'!$C$2:$U$20,6,false)</f>
        <v>0.5</v>
      </c>
      <c r="Z773" s="960">
        <f t="array" ref="Z773">HLOOKUP($J773,'Type Chart'!$C$2:$T$20,7,false)*HLOOKUP($K773,'Type Chart'!$C$2:$U$20,7,false)</f>
        <v>2</v>
      </c>
      <c r="AA773" s="960">
        <f t="array" ref="AA773">HLOOKUP($J773,'Type Chart'!$C$2:$T$20,8,false)*HLOOKUP($K773,'Type Chart'!$C$2:$U$20,8,false)</f>
        <v>1</v>
      </c>
      <c r="AB773" s="960">
        <f t="array" ref="AB773">HLOOKUP($J773,'Type Chart'!$C$2:$T$20,9,false)*HLOOKUP($K773,'Type Chart'!$C$2:$U$20,9,false)</f>
        <v>1</v>
      </c>
      <c r="AC773" s="960">
        <f t="array" ref="AC773">HLOOKUP($J773,'Type Chart'!$C$2:$T$20,10,false)*HLOOKUP($K773,'Type Chart'!$C$2:$U$20,10,false)</f>
        <v>1</v>
      </c>
      <c r="AD773" s="960">
        <f t="array" ref="AD773">HLOOKUP($J773,'Type Chart'!$C$2:$T$20,11,false)*HLOOKUP($K773,'Type Chart'!$C$2:$U$20,11,false)</f>
        <v>2</v>
      </c>
      <c r="AE773" s="960">
        <f t="array" ref="AE773">HLOOKUP($J773,'Type Chart'!$C$2:$T$20,12,false)*HLOOKUP($K773,'Type Chart'!$C$2:$U$20,12,false)</f>
        <v>1</v>
      </c>
      <c r="AF773" s="960">
        <f t="array" ref="AF773">HLOOKUP($J773,'Type Chart'!$C$2:$T$20,13,false)*HLOOKUP($K773,'Type Chart'!$C$2:$U$20,13,false)</f>
        <v>0.5</v>
      </c>
      <c r="AG773" s="960">
        <f t="array" ref="AG773">HLOOKUP($J773,'Type Chart'!$C$2:$T$20,14,false)*HLOOKUP($K773,'Type Chart'!$C$2:$U$20,14,false)</f>
        <v>1</v>
      </c>
      <c r="AH773" s="960">
        <f t="array" ref="AH773">HLOOKUP($J773,'Type Chart'!$C$2:$T$20,15,false)*HLOOKUP($K773,'Type Chart'!$C$2:$U$20,15,false)</f>
        <v>1</v>
      </c>
      <c r="AI773" s="960">
        <f t="array" ref="AI773">HLOOKUP($J773,'Type Chart'!$C$2:$T$20,16,false)*HLOOKUP($K773,'Type Chart'!$C$2:$U$20,16,false)</f>
        <v>1</v>
      </c>
      <c r="AJ773" s="960">
        <f t="array" ref="AJ773">HLOOKUP($J773,'Type Chart'!$C$2:$T$20,17,false)*HLOOKUP($K773,'Type Chart'!$C$2:$U$20,17,false)</f>
        <v>1</v>
      </c>
      <c r="AK773" s="960">
        <f t="array" ref="AK773">HLOOKUP($J773,'Type Chart'!$C$2:$T$20,18,false)*HLOOKUP($K773,'Type Chart'!$C$2:$U$20,18,false)</f>
        <v>1</v>
      </c>
      <c r="AL773" s="960">
        <f t="array" ref="AL773">HLOOKUP($J773,'Type Chart'!$C$2:$T$20,19,false)*HLOOKUP($K773,'Type Chart'!$C$2:$U$20,19,false)</f>
        <v>1</v>
      </c>
      <c r="AM773" s="964" t="s">
        <v>1409</v>
      </c>
      <c r="AN773" s="965" t="s">
        <v>1416</v>
      </c>
      <c r="AO773" s="966" t="s">
        <v>1498</v>
      </c>
      <c r="AP773" s="936"/>
      <c r="AQ773" s="967"/>
      <c r="AR773" s="968"/>
      <c r="AS773" s="936"/>
    </row>
    <row r="774" ht="15.75" customHeight="1">
      <c r="A774" s="936"/>
      <c r="B774" s="948" t="s">
        <v>3154</v>
      </c>
      <c r="C774" s="950" t="s">
        <v>3155</v>
      </c>
      <c r="D774" s="950" t="s">
        <v>3155</v>
      </c>
      <c r="E774" s="952" t="s">
        <v>3155</v>
      </c>
      <c r="F774" s="940"/>
      <c r="G774" s="953"/>
      <c r="H774" s="969"/>
      <c r="I774" s="956" t="s">
        <v>3156</v>
      </c>
      <c r="J774" s="1204" t="s">
        <v>80</v>
      </c>
      <c r="K774" s="1196" t="s">
        <v>203</v>
      </c>
      <c r="L774" s="959">
        <v>109.0</v>
      </c>
      <c r="M774" s="960">
        <v>66.0</v>
      </c>
      <c r="N774" s="960">
        <v>84.0</v>
      </c>
      <c r="O774" s="960">
        <v>81.0</v>
      </c>
      <c r="P774" s="960">
        <v>99.0</v>
      </c>
      <c r="Q774" s="960">
        <v>32.0</v>
      </c>
      <c r="R774" s="960">
        <v>100.0</v>
      </c>
      <c r="S774" s="960">
        <v>163.0</v>
      </c>
      <c r="T774" s="960">
        <v>179.0</v>
      </c>
      <c r="U774" s="960">
        <f t="array" ref="U774">HLOOKUP($J774,'Type Chart'!$C$2:$T$20,2,false)*HLOOKUP($K774,'Type Chart'!$C$2:$U$20,2,false)</f>
        <v>1</v>
      </c>
      <c r="V774" s="960">
        <f t="array" ref="V774">HLOOKUP($J774,'Type Chart'!$C$2:$T$20,3,false)*HLOOKUP($K774,'Type Chart'!$C$2:$U$20,3,false)</f>
        <v>1</v>
      </c>
      <c r="W774" s="960">
        <f t="array" ref="W774">HLOOKUP($J774,'Type Chart'!$C$2:$T$20,4,false)*HLOOKUP($K774,'Type Chart'!$C$2:$U$20,4,false)</f>
        <v>0.5</v>
      </c>
      <c r="X774" s="960">
        <f t="array" ref="X774">HLOOKUP($J774,'Type Chart'!$C$2:$T$20,5,false)*HLOOKUP($K774,'Type Chart'!$C$2:$U$20,5,false)</f>
        <v>0.5</v>
      </c>
      <c r="Y774" s="960">
        <f t="array" ref="Y774">HLOOKUP($J774,'Type Chart'!$C$2:$T$20,6,false)*HLOOKUP($K774,'Type Chart'!$C$2:$U$20,6,false)</f>
        <v>2</v>
      </c>
      <c r="Z774" s="960">
        <f t="array" ref="Z774">HLOOKUP($J774,'Type Chart'!$C$2:$T$20,7,false)*HLOOKUP($K774,'Type Chart'!$C$2:$U$20,7,false)</f>
        <v>0.5</v>
      </c>
      <c r="AA774" s="960">
        <f t="array" ref="AA774">HLOOKUP($J774,'Type Chart'!$C$2:$T$20,8,false)*HLOOKUP($K774,'Type Chart'!$C$2:$U$20,8,false)</f>
        <v>1</v>
      </c>
      <c r="AB774" s="960">
        <f t="array" ref="AB774">HLOOKUP($J774,'Type Chart'!$C$2:$T$20,9,false)*HLOOKUP($K774,'Type Chart'!$C$2:$U$20,9,false)</f>
        <v>1</v>
      </c>
      <c r="AC774" s="960">
        <f t="array" ref="AC774">HLOOKUP($J774,'Type Chart'!$C$2:$T$20,10,false)*HLOOKUP($K774,'Type Chart'!$C$2:$U$20,10,false)</f>
        <v>0.5</v>
      </c>
      <c r="AD774" s="960">
        <f t="array" ref="AD774">HLOOKUP($J774,'Type Chart'!$C$2:$T$20,11,false)*HLOOKUP($K774,'Type Chart'!$C$2:$U$20,11,false)</f>
        <v>1</v>
      </c>
      <c r="AE774" s="960">
        <f t="array" ref="AE774">HLOOKUP($J774,'Type Chart'!$C$2:$T$20,12,false)*HLOOKUP($K774,'Type Chart'!$C$2:$U$20,12,false)</f>
        <v>2</v>
      </c>
      <c r="AF774" s="960">
        <f t="array" ref="AF774">HLOOKUP($J774,'Type Chart'!$C$2:$T$20,13,false)*HLOOKUP($K774,'Type Chart'!$C$2:$U$20,13,false)</f>
        <v>2</v>
      </c>
      <c r="AG774" s="960">
        <f t="array" ref="AG774">HLOOKUP($J774,'Type Chart'!$C$2:$T$20,14,false)*HLOOKUP($K774,'Type Chart'!$C$2:$U$20,14,false)</f>
        <v>0</v>
      </c>
      <c r="AH774" s="960">
        <f t="array" ref="AH774">HLOOKUP($J774,'Type Chart'!$C$2:$T$20,15,false)*HLOOKUP($K774,'Type Chart'!$C$2:$U$20,15,false)</f>
        <v>1</v>
      </c>
      <c r="AI774" s="960">
        <f t="array" ref="AI774">HLOOKUP($J774,'Type Chart'!$C$2:$T$20,16,false)*HLOOKUP($K774,'Type Chart'!$C$2:$U$20,16,false)</f>
        <v>2</v>
      </c>
      <c r="AJ774" s="960">
        <f t="array" ref="AJ774">HLOOKUP($J774,'Type Chart'!$C$2:$T$20,17,false)*HLOOKUP($K774,'Type Chart'!$C$2:$U$20,17,false)</f>
        <v>1</v>
      </c>
      <c r="AK774" s="960">
        <f t="array" ref="AK774">HLOOKUP($J774,'Type Chart'!$C$2:$T$20,18,false)*HLOOKUP($K774,'Type Chart'!$C$2:$U$20,18,false)</f>
        <v>1</v>
      </c>
      <c r="AL774" s="960">
        <f t="array" ref="AL774">HLOOKUP($J774,'Type Chart'!$C$2:$T$20,19,false)*HLOOKUP($K774,'Type Chart'!$C$2:$U$20,19,false)</f>
        <v>1</v>
      </c>
      <c r="AM774" s="964" t="s">
        <v>1067</v>
      </c>
      <c r="AN774" s="965" t="s">
        <v>1250</v>
      </c>
      <c r="AO774" s="966" t="s">
        <v>1129</v>
      </c>
      <c r="AP774" s="936"/>
      <c r="AQ774" s="967"/>
      <c r="AR774" s="968"/>
      <c r="AS774" s="936"/>
    </row>
    <row r="775" ht="15.75" customHeight="1">
      <c r="A775" s="1099"/>
      <c r="B775" s="948" t="s">
        <v>3157</v>
      </c>
      <c r="C775" s="1197" t="s">
        <v>3158</v>
      </c>
      <c r="D775" s="1197" t="s">
        <v>3158</v>
      </c>
      <c r="E775" s="1147" t="s">
        <v>3159</v>
      </c>
      <c r="F775" s="940"/>
      <c r="G775" s="953"/>
      <c r="H775" s="969"/>
      <c r="I775" s="998" t="s">
        <v>3160</v>
      </c>
      <c r="J775" s="1223" t="s">
        <v>80</v>
      </c>
      <c r="K775" s="1233" t="s">
        <v>82</v>
      </c>
      <c r="L775" s="1200">
        <v>109.0</v>
      </c>
      <c r="M775" s="1201">
        <v>81.0</v>
      </c>
      <c r="N775" s="1201">
        <v>99.0</v>
      </c>
      <c r="O775" s="1201">
        <v>66.0</v>
      </c>
      <c r="P775" s="1201">
        <v>84.0</v>
      </c>
      <c r="Q775" s="1201">
        <v>32.0</v>
      </c>
      <c r="R775" s="960">
        <v>100.0</v>
      </c>
      <c r="S775" s="960">
        <v>163.0</v>
      </c>
      <c r="T775" s="960">
        <v>179.0</v>
      </c>
      <c r="U775" s="960">
        <f t="array" ref="U775">HLOOKUP($J775,'Type Chart'!$C$2:$T$20,2,false)*HLOOKUP($K775,'Type Chart'!$C$2:$U$20,2,false)</f>
        <v>0.5</v>
      </c>
      <c r="V775" s="960">
        <f t="array" ref="V775">HLOOKUP($J775,'Type Chart'!$C$2:$T$20,3,false)*HLOOKUP($K775,'Type Chart'!$C$2:$U$20,3,false)</f>
        <v>2</v>
      </c>
      <c r="W775" s="960">
        <f t="array" ref="W775">HLOOKUP($J775,'Type Chart'!$C$2:$T$20,4,false)*HLOOKUP($K775,'Type Chart'!$C$2:$U$20,4,false)</f>
        <v>0.5</v>
      </c>
      <c r="X775" s="960">
        <f t="array" ref="X775">HLOOKUP($J775,'Type Chart'!$C$2:$T$20,5,false)*HLOOKUP($K775,'Type Chart'!$C$2:$U$20,5,false)</f>
        <v>0</v>
      </c>
      <c r="Y775" s="960">
        <f t="array" ref="Y775">HLOOKUP($J775,'Type Chart'!$C$2:$T$20,6,false)*HLOOKUP($K775,'Type Chart'!$C$2:$U$20,6,false)</f>
        <v>2</v>
      </c>
      <c r="Z775" s="960">
        <f t="array" ref="Z775">HLOOKUP($J775,'Type Chart'!$C$2:$T$20,7,false)*HLOOKUP($K775,'Type Chart'!$C$2:$U$20,7,false)</f>
        <v>0.25</v>
      </c>
      <c r="AA775" s="960">
        <f t="array" ref="AA775">HLOOKUP($J775,'Type Chart'!$C$2:$T$20,8,false)*HLOOKUP($K775,'Type Chart'!$C$2:$U$20,8,false)</f>
        <v>0.5</v>
      </c>
      <c r="AB775" s="960">
        <f t="array" ref="AB775">HLOOKUP($J775,'Type Chart'!$C$2:$T$20,9,false)*HLOOKUP($K775,'Type Chart'!$C$2:$U$20,9,false)</f>
        <v>1</v>
      </c>
      <c r="AC775" s="960">
        <f t="array" ref="AC775">HLOOKUP($J775,'Type Chart'!$C$2:$T$20,10,false)*HLOOKUP($K775,'Type Chart'!$C$2:$U$20,10,false)</f>
        <v>0.5</v>
      </c>
      <c r="AD775" s="960">
        <f t="array" ref="AD775">HLOOKUP($J775,'Type Chart'!$C$2:$T$20,11,false)*HLOOKUP($K775,'Type Chart'!$C$2:$U$20,11,false)</f>
        <v>2</v>
      </c>
      <c r="AE775" s="960">
        <f t="array" ref="AE775">HLOOKUP($J775,'Type Chart'!$C$2:$T$20,12,false)*HLOOKUP($K775,'Type Chart'!$C$2:$U$20,12,false)</f>
        <v>2</v>
      </c>
      <c r="AF775" s="960">
        <f t="array" ref="AF775">HLOOKUP($J775,'Type Chart'!$C$2:$T$20,13,false)*HLOOKUP($K775,'Type Chart'!$C$2:$U$20,13,false)</f>
        <v>1</v>
      </c>
      <c r="AG775" s="960">
        <f t="array" ref="AG775">HLOOKUP($J775,'Type Chart'!$C$2:$T$20,14,false)*HLOOKUP($K775,'Type Chart'!$C$2:$U$20,14,false)</f>
        <v>0</v>
      </c>
      <c r="AH775" s="960">
        <f t="array" ref="AH775">HLOOKUP($J775,'Type Chart'!$C$2:$T$20,15,false)*HLOOKUP($K775,'Type Chart'!$C$2:$U$20,15,false)</f>
        <v>0.5</v>
      </c>
      <c r="AI775" s="960">
        <f t="array" ref="AI775">HLOOKUP($J775,'Type Chart'!$C$2:$T$20,16,false)*HLOOKUP($K775,'Type Chart'!$C$2:$U$20,16,false)</f>
        <v>1</v>
      </c>
      <c r="AJ775" s="960">
        <f t="array" ref="AJ775">HLOOKUP($J775,'Type Chart'!$C$2:$T$20,17,false)*HLOOKUP($K775,'Type Chart'!$C$2:$U$20,17,false)</f>
        <v>0.5</v>
      </c>
      <c r="AK775" s="960">
        <f t="array" ref="AK775">HLOOKUP($J775,'Type Chart'!$C$2:$T$20,18,false)*HLOOKUP($K775,'Type Chart'!$C$2:$U$20,18,false)</f>
        <v>1</v>
      </c>
      <c r="AL775" s="960">
        <f t="array" ref="AL775">HLOOKUP($J775,'Type Chart'!$C$2:$T$20,19,false)*HLOOKUP($K775,'Type Chart'!$C$2:$U$20,19,false)</f>
        <v>0.5</v>
      </c>
      <c r="AM775" s="1145" t="s">
        <v>3161</v>
      </c>
      <c r="AN775" s="1202"/>
      <c r="AO775" s="1146"/>
      <c r="AP775" s="936"/>
      <c r="AQ775" s="967"/>
      <c r="AR775" s="968"/>
      <c r="AS775" s="936"/>
    </row>
    <row r="776" ht="15.75" customHeight="1">
      <c r="A776" s="1099"/>
      <c r="B776" s="948" t="s">
        <v>3162</v>
      </c>
      <c r="C776" s="1197" t="s">
        <v>3163</v>
      </c>
      <c r="D776" s="1197" t="s">
        <v>3163</v>
      </c>
      <c r="E776" s="1147" t="s">
        <v>3163</v>
      </c>
      <c r="F776" s="940"/>
      <c r="G776" s="953"/>
      <c r="H776" s="969"/>
      <c r="I776" s="998" t="s">
        <v>3164</v>
      </c>
      <c r="J776" s="1212" t="s">
        <v>341</v>
      </c>
      <c r="K776" s="1199" t="s">
        <v>216</v>
      </c>
      <c r="L776" s="1200">
        <v>45.0</v>
      </c>
      <c r="M776" s="1201">
        <v>85.0</v>
      </c>
      <c r="N776" s="1201">
        <v>50.0</v>
      </c>
      <c r="O776" s="1201">
        <v>55.0</v>
      </c>
      <c r="P776" s="1201">
        <v>50.0</v>
      </c>
      <c r="Q776" s="1201">
        <v>65.0</v>
      </c>
      <c r="R776" s="960">
        <v>166.0</v>
      </c>
      <c r="S776" s="960">
        <v>229.0</v>
      </c>
      <c r="T776" s="960">
        <v>251.0</v>
      </c>
      <c r="U776" s="960">
        <f t="array" ref="U776">HLOOKUP($J776,'Type Chart'!$C$2:$T$20,2,false)*HLOOKUP($K776,'Type Chart'!$C$2:$U$20,2,false)</f>
        <v>1</v>
      </c>
      <c r="V776" s="960">
        <f t="array" ref="V776">HLOOKUP($J776,'Type Chart'!$C$2:$T$20,3,false)*HLOOKUP($K776,'Type Chart'!$C$2:$U$20,3,false)</f>
        <v>1</v>
      </c>
      <c r="W776" s="960">
        <f t="array" ref="W776">HLOOKUP($J776,'Type Chart'!$C$2:$T$20,4,false)*HLOOKUP($K776,'Type Chart'!$C$2:$U$20,4,false)</f>
        <v>2</v>
      </c>
      <c r="X776" s="960">
        <f t="array" ref="X776">HLOOKUP($J776,'Type Chart'!$C$2:$T$20,5,false)*HLOOKUP($K776,'Type Chart'!$C$2:$U$20,5,false)</f>
        <v>1</v>
      </c>
      <c r="Y776" s="960">
        <f t="array" ref="Y776">HLOOKUP($J776,'Type Chart'!$C$2:$T$20,6,false)*HLOOKUP($K776,'Type Chart'!$C$2:$U$20,6,false)</f>
        <v>1</v>
      </c>
      <c r="Z776" s="960">
        <f t="array" ref="Z776">HLOOKUP($J776,'Type Chart'!$C$2:$T$20,7,false)*HLOOKUP($K776,'Type Chart'!$C$2:$U$20,7,false)</f>
        <v>0.5</v>
      </c>
      <c r="AA776" s="960">
        <f t="array" ref="AA776">HLOOKUP($J776,'Type Chart'!$C$2:$T$20,8,false)*HLOOKUP($K776,'Type Chart'!$C$2:$U$20,8,false)</f>
        <v>0.5</v>
      </c>
      <c r="AB776" s="960">
        <f t="array" ref="AB776">HLOOKUP($J776,'Type Chart'!$C$2:$T$20,9,false)*HLOOKUP($K776,'Type Chart'!$C$2:$U$20,9,false)</f>
        <v>1</v>
      </c>
      <c r="AC776" s="960">
        <f t="array" ref="AC776">HLOOKUP($J776,'Type Chart'!$C$2:$T$20,10,false)*HLOOKUP($K776,'Type Chart'!$C$2:$U$20,10,false)</f>
        <v>1</v>
      </c>
      <c r="AD776" s="960">
        <f t="array" ref="AD776">HLOOKUP($J776,'Type Chart'!$C$2:$T$20,11,false)*HLOOKUP($K776,'Type Chart'!$C$2:$U$20,11,false)</f>
        <v>1</v>
      </c>
      <c r="AE776" s="960">
        <f t="array" ref="AE776">HLOOKUP($J776,'Type Chart'!$C$2:$T$20,12,false)*HLOOKUP($K776,'Type Chart'!$C$2:$U$20,12,false)</f>
        <v>1</v>
      </c>
      <c r="AF776" s="960">
        <f t="array" ref="AF776">HLOOKUP($J776,'Type Chart'!$C$2:$T$20,13,false)*HLOOKUP($K776,'Type Chart'!$C$2:$U$20,13,false)</f>
        <v>1</v>
      </c>
      <c r="AG776" s="960">
        <f t="array" ref="AG776">HLOOKUP($J776,'Type Chart'!$C$2:$T$20,14,false)*HLOOKUP($K776,'Type Chart'!$C$2:$U$20,14,false)</f>
        <v>1</v>
      </c>
      <c r="AH776" s="960">
        <f t="array" ref="AH776">HLOOKUP($J776,'Type Chart'!$C$2:$T$20,15,false)*HLOOKUP($K776,'Type Chart'!$C$2:$U$20,15,false)</f>
        <v>2</v>
      </c>
      <c r="AI776" s="960">
        <f t="array" ref="AI776">HLOOKUP($J776,'Type Chart'!$C$2:$T$20,16,false)*HLOOKUP($K776,'Type Chart'!$C$2:$U$20,16,false)</f>
        <v>1</v>
      </c>
      <c r="AJ776" s="960">
        <f t="array" ref="AJ776">HLOOKUP($J776,'Type Chart'!$C$2:$T$20,17,false)*HLOOKUP($K776,'Type Chart'!$C$2:$U$20,17,false)</f>
        <v>1</v>
      </c>
      <c r="AK776" s="960">
        <f t="array" ref="AK776">HLOOKUP($J776,'Type Chart'!$C$2:$T$20,18,false)*HLOOKUP($K776,'Type Chart'!$C$2:$U$20,18,false)</f>
        <v>0.5</v>
      </c>
      <c r="AL776" s="960">
        <f t="array" ref="AL776">HLOOKUP($J776,'Type Chart'!$C$2:$T$20,19,false)*HLOOKUP($K776,'Type Chart'!$C$2:$U$20,19,false)</f>
        <v>2</v>
      </c>
      <c r="AM776" s="1145" t="s">
        <v>1192</v>
      </c>
      <c r="AN776" s="1202" t="s">
        <v>1371</v>
      </c>
      <c r="AO776" s="1146" t="s">
        <v>1497</v>
      </c>
      <c r="AP776" s="936"/>
      <c r="AQ776" s="967"/>
      <c r="AR776" s="968"/>
      <c r="AS776" s="936"/>
    </row>
    <row r="777" ht="15.75" customHeight="1">
      <c r="A777" s="936"/>
      <c r="B777" s="948" t="s">
        <v>3165</v>
      </c>
      <c r="C777" s="950" t="s">
        <v>3166</v>
      </c>
      <c r="D777" s="950" t="s">
        <v>3166</v>
      </c>
      <c r="E777" s="952" t="s">
        <v>3166</v>
      </c>
      <c r="F777" s="940"/>
      <c r="G777" s="953"/>
      <c r="H777" s="969"/>
      <c r="I777" s="956" t="s">
        <v>485</v>
      </c>
      <c r="J777" s="1213" t="s">
        <v>341</v>
      </c>
      <c r="K777" s="984" t="s">
        <v>216</v>
      </c>
      <c r="L777" s="959">
        <v>65.0</v>
      </c>
      <c r="M777" s="960">
        <v>125.0</v>
      </c>
      <c r="N777" s="960">
        <v>60.0</v>
      </c>
      <c r="O777" s="960">
        <v>95.0</v>
      </c>
      <c r="P777" s="960">
        <v>60.0</v>
      </c>
      <c r="Q777" s="960">
        <v>105.0</v>
      </c>
      <c r="R777" s="960">
        <v>246.0</v>
      </c>
      <c r="S777" s="960">
        <v>309.0</v>
      </c>
      <c r="T777" s="960">
        <v>339.0</v>
      </c>
      <c r="U777" s="960">
        <f t="array" ref="U777">HLOOKUP($J777,'Type Chart'!$C$2:$T$20,2,false)*HLOOKUP($K777,'Type Chart'!$C$2:$U$20,2,false)</f>
        <v>1</v>
      </c>
      <c r="V777" s="960">
        <f t="array" ref="V777">HLOOKUP($J777,'Type Chart'!$C$2:$T$20,3,false)*HLOOKUP($K777,'Type Chart'!$C$2:$U$20,3,false)</f>
        <v>1</v>
      </c>
      <c r="W777" s="960">
        <f t="array" ref="W777">HLOOKUP($J777,'Type Chart'!$C$2:$T$20,4,false)*HLOOKUP($K777,'Type Chart'!$C$2:$U$20,4,false)</f>
        <v>2</v>
      </c>
      <c r="X777" s="960">
        <f t="array" ref="X777">HLOOKUP($J777,'Type Chart'!$C$2:$T$20,5,false)*HLOOKUP($K777,'Type Chart'!$C$2:$U$20,5,false)</f>
        <v>1</v>
      </c>
      <c r="Y777" s="960">
        <f t="array" ref="Y777">HLOOKUP($J777,'Type Chart'!$C$2:$T$20,6,false)*HLOOKUP($K777,'Type Chart'!$C$2:$U$20,6,false)</f>
        <v>1</v>
      </c>
      <c r="Z777" s="960">
        <f t="array" ref="Z777">HLOOKUP($J777,'Type Chart'!$C$2:$T$20,7,false)*HLOOKUP($K777,'Type Chart'!$C$2:$U$20,7,false)</f>
        <v>0.5</v>
      </c>
      <c r="AA777" s="960">
        <f t="array" ref="AA777">HLOOKUP($J777,'Type Chart'!$C$2:$T$20,8,false)*HLOOKUP($K777,'Type Chart'!$C$2:$U$20,8,false)</f>
        <v>0.5</v>
      </c>
      <c r="AB777" s="960">
        <f t="array" ref="AB777">HLOOKUP($J777,'Type Chart'!$C$2:$T$20,9,false)*HLOOKUP($K777,'Type Chart'!$C$2:$U$20,9,false)</f>
        <v>1</v>
      </c>
      <c r="AC777" s="960">
        <f t="array" ref="AC777">HLOOKUP($J777,'Type Chart'!$C$2:$T$20,10,false)*HLOOKUP($K777,'Type Chart'!$C$2:$U$20,10,false)</f>
        <v>1</v>
      </c>
      <c r="AD777" s="960">
        <f t="array" ref="AD777">HLOOKUP($J777,'Type Chart'!$C$2:$T$20,11,false)*HLOOKUP($K777,'Type Chart'!$C$2:$U$20,11,false)</f>
        <v>1</v>
      </c>
      <c r="AE777" s="960">
        <f t="array" ref="AE777">HLOOKUP($J777,'Type Chart'!$C$2:$T$20,12,false)*HLOOKUP($K777,'Type Chart'!$C$2:$U$20,12,false)</f>
        <v>1</v>
      </c>
      <c r="AF777" s="960">
        <f t="array" ref="AF777">HLOOKUP($J777,'Type Chart'!$C$2:$T$20,13,false)*HLOOKUP($K777,'Type Chart'!$C$2:$U$20,13,false)</f>
        <v>1</v>
      </c>
      <c r="AG777" s="960">
        <f t="array" ref="AG777">HLOOKUP($J777,'Type Chart'!$C$2:$T$20,14,false)*HLOOKUP($K777,'Type Chart'!$C$2:$U$20,14,false)</f>
        <v>1</v>
      </c>
      <c r="AH777" s="960">
        <f t="array" ref="AH777">HLOOKUP($J777,'Type Chart'!$C$2:$T$20,15,false)*HLOOKUP($K777,'Type Chart'!$C$2:$U$20,15,false)</f>
        <v>2</v>
      </c>
      <c r="AI777" s="960">
        <f t="array" ref="AI777">HLOOKUP($J777,'Type Chart'!$C$2:$T$20,16,false)*HLOOKUP($K777,'Type Chart'!$C$2:$U$20,16,false)</f>
        <v>1</v>
      </c>
      <c r="AJ777" s="960">
        <f t="array" ref="AJ777">HLOOKUP($J777,'Type Chart'!$C$2:$T$20,17,false)*HLOOKUP($K777,'Type Chart'!$C$2:$U$20,17,false)</f>
        <v>1</v>
      </c>
      <c r="AK777" s="960">
        <f t="array" ref="AK777">HLOOKUP($J777,'Type Chart'!$C$2:$T$20,18,false)*HLOOKUP($K777,'Type Chart'!$C$2:$U$20,18,false)</f>
        <v>0.5</v>
      </c>
      <c r="AL777" s="960">
        <f t="array" ref="AL777">HLOOKUP($J777,'Type Chart'!$C$2:$T$20,19,false)*HLOOKUP($K777,'Type Chart'!$C$2:$U$20,19,false)</f>
        <v>2</v>
      </c>
      <c r="AM777" s="964" t="s">
        <v>1192</v>
      </c>
      <c r="AN777" s="965" t="s">
        <v>1371</v>
      </c>
      <c r="AO777" s="966" t="s">
        <v>1497</v>
      </c>
      <c r="AP777" s="936"/>
      <c r="AQ777" s="967"/>
      <c r="AR777" s="968"/>
      <c r="AS777" s="936"/>
    </row>
    <row r="778" ht="15.75" customHeight="1">
      <c r="A778" s="936"/>
      <c r="B778" s="948" t="s">
        <v>3167</v>
      </c>
      <c r="C778" s="950" t="s">
        <v>3168</v>
      </c>
      <c r="D778" s="950" t="s">
        <v>3168</v>
      </c>
      <c r="E778" s="952" t="s">
        <v>3168</v>
      </c>
      <c r="F778" s="940"/>
      <c r="G778" s="953"/>
      <c r="H778" s="969"/>
      <c r="I778" s="956" t="s">
        <v>3169</v>
      </c>
      <c r="J778" s="1006" t="s">
        <v>346</v>
      </c>
      <c r="K778" s="984" t="s">
        <v>216</v>
      </c>
      <c r="L778" s="959">
        <v>77.0</v>
      </c>
      <c r="M778" s="960">
        <v>120.0</v>
      </c>
      <c r="N778" s="960">
        <v>90.0</v>
      </c>
      <c r="O778" s="960">
        <v>60.0</v>
      </c>
      <c r="P778" s="960">
        <v>90.0</v>
      </c>
      <c r="Q778" s="960">
        <v>48.0</v>
      </c>
      <c r="R778" s="960">
        <v>132.0</v>
      </c>
      <c r="S778" s="960">
        <v>195.0</v>
      </c>
      <c r="T778" s="960">
        <v>214.0</v>
      </c>
      <c r="U778" s="960">
        <f t="array" ref="U778">HLOOKUP($J778,'Type Chart'!$C$2:$T$20,2,false)*HLOOKUP($K778,'Type Chart'!$C$2:$U$20,2,false)</f>
        <v>1</v>
      </c>
      <c r="V778" s="960">
        <f t="array" ref="V778">HLOOKUP($J778,'Type Chart'!$C$2:$T$20,3,false)*HLOOKUP($K778,'Type Chart'!$C$2:$U$20,3,false)</f>
        <v>1</v>
      </c>
      <c r="W778" s="960">
        <f t="array" ref="W778">HLOOKUP($J778,'Type Chart'!$C$2:$T$20,4,false)*HLOOKUP($K778,'Type Chart'!$C$2:$U$20,4,false)</f>
        <v>1</v>
      </c>
      <c r="X778" s="960">
        <f t="array" ref="X778">HLOOKUP($J778,'Type Chart'!$C$2:$T$20,5,false)*HLOOKUP($K778,'Type Chart'!$C$2:$U$20,5,false)</f>
        <v>1</v>
      </c>
      <c r="Y778" s="960">
        <f t="array" ref="Y778">HLOOKUP($J778,'Type Chart'!$C$2:$T$20,6,false)*HLOOKUP($K778,'Type Chart'!$C$2:$U$20,6,false)</f>
        <v>1</v>
      </c>
      <c r="Z778" s="960">
        <f t="array" ref="Z778">HLOOKUP($J778,'Type Chart'!$C$2:$T$20,7,false)*HLOOKUP($K778,'Type Chart'!$C$2:$U$20,7,false)</f>
        <v>1</v>
      </c>
      <c r="AA778" s="960">
        <f t="array" ref="AA778">HLOOKUP($J778,'Type Chart'!$C$2:$T$20,8,false)*HLOOKUP($K778,'Type Chart'!$C$2:$U$20,8,false)</f>
        <v>1</v>
      </c>
      <c r="AB778" s="960">
        <f t="array" ref="AB778">HLOOKUP($J778,'Type Chart'!$C$2:$T$20,9,false)*HLOOKUP($K778,'Type Chart'!$C$2:$U$20,9,false)</f>
        <v>1</v>
      </c>
      <c r="AC778" s="960">
        <f t="array" ref="AC778">HLOOKUP($J778,'Type Chart'!$C$2:$T$20,10,false)*HLOOKUP($K778,'Type Chart'!$C$2:$U$20,10,false)</f>
        <v>1</v>
      </c>
      <c r="AD778" s="960">
        <f t="array" ref="AD778">HLOOKUP($J778,'Type Chart'!$C$2:$T$20,11,false)*HLOOKUP($K778,'Type Chart'!$C$2:$U$20,11,false)</f>
        <v>0.5</v>
      </c>
      <c r="AE778" s="960">
        <f t="array" ref="AE778">HLOOKUP($J778,'Type Chart'!$C$2:$T$20,12,false)*HLOOKUP($K778,'Type Chart'!$C$2:$U$20,12,false)</f>
        <v>0.5</v>
      </c>
      <c r="AF778" s="960">
        <f t="array" ref="AF778">HLOOKUP($J778,'Type Chart'!$C$2:$T$20,13,false)*HLOOKUP($K778,'Type Chart'!$C$2:$U$20,13,false)</f>
        <v>0.5</v>
      </c>
      <c r="AG778" s="960">
        <f t="array" ref="AG778">HLOOKUP($J778,'Type Chart'!$C$2:$T$20,14,false)*HLOOKUP($K778,'Type Chart'!$C$2:$U$20,14,false)</f>
        <v>0.5</v>
      </c>
      <c r="AH778" s="960">
        <f t="array" ref="AH778">HLOOKUP($J778,'Type Chart'!$C$2:$T$20,15,false)*HLOOKUP($K778,'Type Chart'!$C$2:$U$20,15,false)</f>
        <v>1</v>
      </c>
      <c r="AI778" s="960">
        <f t="array" ref="AI778">HLOOKUP($J778,'Type Chart'!$C$2:$T$20,16,false)*HLOOKUP($K778,'Type Chart'!$C$2:$U$20,16,false)</f>
        <v>2</v>
      </c>
      <c r="AJ778" s="960">
        <f t="array" ref="AJ778">HLOOKUP($J778,'Type Chart'!$C$2:$T$20,17,false)*HLOOKUP($K778,'Type Chart'!$C$2:$U$20,17,false)</f>
        <v>2</v>
      </c>
      <c r="AK778" s="960">
        <f t="array" ref="AK778">HLOOKUP($J778,'Type Chart'!$C$2:$T$20,18,false)*HLOOKUP($K778,'Type Chart'!$C$2:$U$20,18,false)</f>
        <v>1</v>
      </c>
      <c r="AL778" s="960">
        <f t="array" ref="AL778">HLOOKUP($J778,'Type Chart'!$C$2:$T$20,19,false)*HLOOKUP($K778,'Type Chart'!$C$2:$U$20,19,false)</f>
        <v>2</v>
      </c>
      <c r="AM778" s="964" t="s">
        <v>2198</v>
      </c>
      <c r="AN778" s="965" t="s">
        <v>1153</v>
      </c>
      <c r="AO778" s="966" t="s">
        <v>1576</v>
      </c>
      <c r="AP778" s="936"/>
      <c r="AQ778" s="967"/>
      <c r="AR778" s="968"/>
      <c r="AS778" s="936"/>
    </row>
    <row r="779" ht="15.75" customHeight="1">
      <c r="A779" s="936"/>
      <c r="B779" s="948" t="s">
        <v>3170</v>
      </c>
      <c r="C779" s="950" t="s">
        <v>3171</v>
      </c>
      <c r="D779" s="950" t="s">
        <v>3171</v>
      </c>
      <c r="E779" s="952" t="s">
        <v>3171</v>
      </c>
      <c r="F779" s="940"/>
      <c r="G779" s="953"/>
      <c r="H779" s="969"/>
      <c r="I779" s="956" t="s">
        <v>3172</v>
      </c>
      <c r="J779" s="1204" t="s">
        <v>80</v>
      </c>
      <c r="K779" s="1220" t="s">
        <v>215</v>
      </c>
      <c r="L779" s="959">
        <v>59.0</v>
      </c>
      <c r="M779" s="960">
        <v>74.0</v>
      </c>
      <c r="N779" s="960">
        <v>50.0</v>
      </c>
      <c r="O779" s="960">
        <v>35.0</v>
      </c>
      <c r="P779" s="960">
        <v>50.0</v>
      </c>
      <c r="Q779" s="960">
        <v>35.0</v>
      </c>
      <c r="R779" s="960">
        <v>106.0</v>
      </c>
      <c r="S779" s="960">
        <v>169.0</v>
      </c>
      <c r="T779" s="960">
        <v>185.0</v>
      </c>
      <c r="U779" s="960">
        <f t="array" ref="U779">HLOOKUP($J779,'Type Chart'!$C$2:$T$20,2,false)*HLOOKUP($K779,'Type Chart'!$C$2:$U$20,2,false)</f>
        <v>0</v>
      </c>
      <c r="V779" s="960">
        <f t="array" ref="V779">HLOOKUP($J779,'Type Chart'!$C$2:$T$20,3,false)*HLOOKUP($K779,'Type Chart'!$C$2:$U$20,3,false)</f>
        <v>0</v>
      </c>
      <c r="W779" s="960">
        <f t="array" ref="W779">HLOOKUP($J779,'Type Chart'!$C$2:$T$20,4,false)*HLOOKUP($K779,'Type Chart'!$C$2:$U$20,4,false)</f>
        <v>1</v>
      </c>
      <c r="X779" s="960">
        <f t="array" ref="X779">HLOOKUP($J779,'Type Chart'!$C$2:$T$20,5,false)*HLOOKUP($K779,'Type Chart'!$C$2:$U$20,5,false)</f>
        <v>0.25</v>
      </c>
      <c r="Y779" s="960">
        <f t="array" ref="Y779">HLOOKUP($J779,'Type Chart'!$C$2:$T$20,6,false)*HLOOKUP($K779,'Type Chart'!$C$2:$U$20,6,false)</f>
        <v>1</v>
      </c>
      <c r="Z779" s="960">
        <f t="array" ref="Z779">HLOOKUP($J779,'Type Chart'!$C$2:$T$20,7,false)*HLOOKUP($K779,'Type Chart'!$C$2:$U$20,7,false)</f>
        <v>0.5</v>
      </c>
      <c r="AA779" s="960">
        <f t="array" ref="AA779">HLOOKUP($J779,'Type Chart'!$C$2:$T$20,8,false)*HLOOKUP($K779,'Type Chart'!$C$2:$U$20,8,false)</f>
        <v>0.5</v>
      </c>
      <c r="AB779" s="960">
        <f t="array" ref="AB779">HLOOKUP($J779,'Type Chart'!$C$2:$T$20,9,false)*HLOOKUP($K779,'Type Chart'!$C$2:$U$20,9,false)</f>
        <v>2</v>
      </c>
      <c r="AC779" s="960">
        <f t="array" ref="AC779">HLOOKUP($J779,'Type Chart'!$C$2:$T$20,10,false)*HLOOKUP($K779,'Type Chart'!$C$2:$U$20,10,false)</f>
        <v>1</v>
      </c>
      <c r="AD779" s="960">
        <f t="array" ref="AD779">HLOOKUP($J779,'Type Chart'!$C$2:$T$20,11,false)*HLOOKUP($K779,'Type Chart'!$C$2:$U$20,11,false)</f>
        <v>1</v>
      </c>
      <c r="AE779" s="960">
        <f t="array" ref="AE779">HLOOKUP($J779,'Type Chart'!$C$2:$T$20,12,false)*HLOOKUP($K779,'Type Chart'!$C$2:$U$20,12,false)</f>
        <v>2</v>
      </c>
      <c r="AF779" s="960">
        <f t="array" ref="AF779">HLOOKUP($J779,'Type Chart'!$C$2:$T$20,13,false)*HLOOKUP($K779,'Type Chart'!$C$2:$U$20,13,false)</f>
        <v>2</v>
      </c>
      <c r="AG779" s="960">
        <f t="array" ref="AG779">HLOOKUP($J779,'Type Chart'!$C$2:$T$20,14,false)*HLOOKUP($K779,'Type Chart'!$C$2:$U$20,14,false)</f>
        <v>0</v>
      </c>
      <c r="AH779" s="960">
        <f t="array" ref="AH779">HLOOKUP($J779,'Type Chart'!$C$2:$T$20,15,false)*HLOOKUP($K779,'Type Chart'!$C$2:$U$20,15,false)</f>
        <v>1</v>
      </c>
      <c r="AI779" s="960">
        <f t="array" ref="AI779">HLOOKUP($J779,'Type Chart'!$C$2:$T$20,16,false)*HLOOKUP($K779,'Type Chart'!$C$2:$U$20,16,false)</f>
        <v>2</v>
      </c>
      <c r="AJ779" s="960">
        <f t="array" ref="AJ779">HLOOKUP($J779,'Type Chart'!$C$2:$T$20,17,false)*HLOOKUP($K779,'Type Chart'!$C$2:$U$20,17,false)</f>
        <v>1</v>
      </c>
      <c r="AK779" s="960">
        <f t="array" ref="AK779">HLOOKUP($J779,'Type Chart'!$C$2:$T$20,18,false)*HLOOKUP($K779,'Type Chart'!$C$2:$U$20,18,false)</f>
        <v>2</v>
      </c>
      <c r="AL779" s="960">
        <f t="array" ref="AL779">HLOOKUP($J779,'Type Chart'!$C$2:$T$20,19,false)*HLOOKUP($K779,'Type Chart'!$C$2:$U$20,19,false)</f>
        <v>1</v>
      </c>
      <c r="AM779" s="964" t="s">
        <v>1501</v>
      </c>
      <c r="AN779" s="965" t="s">
        <v>2552</v>
      </c>
      <c r="AO779" s="966" t="s">
        <v>1034</v>
      </c>
      <c r="AP779" s="936"/>
      <c r="AQ779" s="967"/>
      <c r="AR779" s="968"/>
      <c r="AS779" s="936"/>
    </row>
    <row r="780" ht="15.75" customHeight="1">
      <c r="A780" s="936"/>
      <c r="B780" s="948" t="s">
        <v>3173</v>
      </c>
      <c r="C780" s="950" t="s">
        <v>3174</v>
      </c>
      <c r="D780" s="950" t="s">
        <v>3174</v>
      </c>
      <c r="E780" s="952" t="s">
        <v>3174</v>
      </c>
      <c r="F780" s="940"/>
      <c r="G780" s="953"/>
      <c r="H780" s="969"/>
      <c r="I780" s="956" t="s">
        <v>666</v>
      </c>
      <c r="J780" s="1204" t="s">
        <v>80</v>
      </c>
      <c r="K780" s="1220" t="s">
        <v>215</v>
      </c>
      <c r="L780" s="959">
        <v>89.0</v>
      </c>
      <c r="M780" s="960">
        <v>124.0</v>
      </c>
      <c r="N780" s="960">
        <v>80.0</v>
      </c>
      <c r="O780" s="960">
        <v>55.0</v>
      </c>
      <c r="P780" s="960">
        <v>80.0</v>
      </c>
      <c r="Q780" s="960">
        <v>55.0</v>
      </c>
      <c r="R780" s="960">
        <v>146.0</v>
      </c>
      <c r="S780" s="960">
        <v>209.0</v>
      </c>
      <c r="T780" s="960">
        <v>229.0</v>
      </c>
      <c r="U780" s="960">
        <f t="array" ref="U780">HLOOKUP($J780,'Type Chart'!$C$2:$T$20,2,false)*HLOOKUP($K780,'Type Chart'!$C$2:$U$20,2,false)</f>
        <v>0</v>
      </c>
      <c r="V780" s="960">
        <f t="array" ref="V780">HLOOKUP($J780,'Type Chart'!$C$2:$T$20,3,false)*HLOOKUP($K780,'Type Chart'!$C$2:$U$20,3,false)</f>
        <v>0</v>
      </c>
      <c r="W780" s="960">
        <f t="array" ref="W780">HLOOKUP($J780,'Type Chart'!$C$2:$T$20,4,false)*HLOOKUP($K780,'Type Chart'!$C$2:$U$20,4,false)</f>
        <v>1</v>
      </c>
      <c r="X780" s="960">
        <f t="array" ref="X780">HLOOKUP($J780,'Type Chart'!$C$2:$T$20,5,false)*HLOOKUP($K780,'Type Chart'!$C$2:$U$20,5,false)</f>
        <v>0.25</v>
      </c>
      <c r="Y780" s="960">
        <f t="array" ref="Y780">HLOOKUP($J780,'Type Chart'!$C$2:$T$20,6,false)*HLOOKUP($K780,'Type Chart'!$C$2:$U$20,6,false)</f>
        <v>1</v>
      </c>
      <c r="Z780" s="960">
        <f t="array" ref="Z780">HLOOKUP($J780,'Type Chart'!$C$2:$T$20,7,false)*HLOOKUP($K780,'Type Chart'!$C$2:$U$20,7,false)</f>
        <v>0.5</v>
      </c>
      <c r="AA780" s="960">
        <f t="array" ref="AA780">HLOOKUP($J780,'Type Chart'!$C$2:$T$20,8,false)*HLOOKUP($K780,'Type Chart'!$C$2:$U$20,8,false)</f>
        <v>0.5</v>
      </c>
      <c r="AB780" s="960">
        <f t="array" ref="AB780">HLOOKUP($J780,'Type Chart'!$C$2:$T$20,9,false)*HLOOKUP($K780,'Type Chart'!$C$2:$U$20,9,false)</f>
        <v>2</v>
      </c>
      <c r="AC780" s="960">
        <f t="array" ref="AC780">HLOOKUP($J780,'Type Chart'!$C$2:$T$20,10,false)*HLOOKUP($K780,'Type Chart'!$C$2:$U$20,10,false)</f>
        <v>1</v>
      </c>
      <c r="AD780" s="960">
        <f t="array" ref="AD780">HLOOKUP($J780,'Type Chart'!$C$2:$T$20,11,false)*HLOOKUP($K780,'Type Chart'!$C$2:$U$20,11,false)</f>
        <v>1</v>
      </c>
      <c r="AE780" s="960">
        <f t="array" ref="AE780">HLOOKUP($J780,'Type Chart'!$C$2:$T$20,12,false)*HLOOKUP($K780,'Type Chart'!$C$2:$U$20,12,false)</f>
        <v>2</v>
      </c>
      <c r="AF780" s="960">
        <f t="array" ref="AF780">HLOOKUP($J780,'Type Chart'!$C$2:$T$20,13,false)*HLOOKUP($K780,'Type Chart'!$C$2:$U$20,13,false)</f>
        <v>2</v>
      </c>
      <c r="AG780" s="960">
        <f t="array" ref="AG780">HLOOKUP($J780,'Type Chart'!$C$2:$T$20,14,false)*HLOOKUP($K780,'Type Chart'!$C$2:$U$20,14,false)</f>
        <v>0</v>
      </c>
      <c r="AH780" s="960">
        <f t="array" ref="AH780">HLOOKUP($J780,'Type Chart'!$C$2:$T$20,15,false)*HLOOKUP($K780,'Type Chart'!$C$2:$U$20,15,false)</f>
        <v>1</v>
      </c>
      <c r="AI780" s="960">
        <f t="array" ref="AI780">HLOOKUP($J780,'Type Chart'!$C$2:$T$20,16,false)*HLOOKUP($K780,'Type Chart'!$C$2:$U$20,16,false)</f>
        <v>2</v>
      </c>
      <c r="AJ780" s="960">
        <f t="array" ref="AJ780">HLOOKUP($J780,'Type Chart'!$C$2:$T$20,17,false)*HLOOKUP($K780,'Type Chart'!$C$2:$U$20,17,false)</f>
        <v>1</v>
      </c>
      <c r="AK780" s="960">
        <f t="array" ref="AK780">HLOOKUP($J780,'Type Chart'!$C$2:$T$20,18,false)*HLOOKUP($K780,'Type Chart'!$C$2:$U$20,18,false)</f>
        <v>2</v>
      </c>
      <c r="AL780" s="960">
        <f t="array" ref="AL780">HLOOKUP($J780,'Type Chart'!$C$2:$T$20,19,false)*HLOOKUP($K780,'Type Chart'!$C$2:$U$20,19,false)</f>
        <v>1</v>
      </c>
      <c r="AM780" s="964" t="s">
        <v>1501</v>
      </c>
      <c r="AN780" s="965" t="s">
        <v>2552</v>
      </c>
      <c r="AO780" s="966" t="s">
        <v>1034</v>
      </c>
      <c r="AP780" s="936"/>
      <c r="AQ780" s="967"/>
      <c r="AR780" s="968"/>
      <c r="AS780" s="936"/>
    </row>
    <row r="781" ht="15.75" customHeight="1">
      <c r="A781" s="1099"/>
      <c r="B781" s="948" t="s">
        <v>3175</v>
      </c>
      <c r="C781" s="950" t="s">
        <v>3176</v>
      </c>
      <c r="D781" s="950" t="s">
        <v>3176</v>
      </c>
      <c r="E781" s="952" t="s">
        <v>3176</v>
      </c>
      <c r="F781" s="940"/>
      <c r="G781" s="953"/>
      <c r="H781" s="969"/>
      <c r="I781" s="956" t="s">
        <v>852</v>
      </c>
      <c r="J781" s="1195" t="s">
        <v>193</v>
      </c>
      <c r="K781" s="1206" t="s">
        <v>82</v>
      </c>
      <c r="L781" s="959">
        <v>45.0</v>
      </c>
      <c r="M781" s="960">
        <v>85.0</v>
      </c>
      <c r="N781" s="960">
        <v>70.0</v>
      </c>
      <c r="O781" s="960">
        <v>40.0</v>
      </c>
      <c r="P781" s="960">
        <v>40.0</v>
      </c>
      <c r="Q781" s="960">
        <v>60.0</v>
      </c>
      <c r="R781" s="960">
        <v>156.0</v>
      </c>
      <c r="S781" s="960">
        <v>219.0</v>
      </c>
      <c r="T781" s="960">
        <v>240.0</v>
      </c>
      <c r="U781" s="960">
        <f t="array" ref="U781">HLOOKUP($J781,'Type Chart'!$C$2:$T$20,2,false)*HLOOKUP($K781,'Type Chart'!$C$2:$U$20,2,false)</f>
        <v>0.5</v>
      </c>
      <c r="V781" s="960">
        <f t="array" ref="V781">HLOOKUP($J781,'Type Chart'!$C$2:$T$20,3,false)*HLOOKUP($K781,'Type Chart'!$C$2:$U$20,3,false)</f>
        <v>4</v>
      </c>
      <c r="W781" s="960">
        <f t="array" ref="W781">HLOOKUP($J781,'Type Chart'!$C$2:$T$20,4,false)*HLOOKUP($K781,'Type Chart'!$C$2:$U$20,4,false)</f>
        <v>0.5</v>
      </c>
      <c r="X781" s="960">
        <f t="array" ref="X781">HLOOKUP($J781,'Type Chart'!$C$2:$T$20,5,false)*HLOOKUP($K781,'Type Chart'!$C$2:$U$20,5,false)</f>
        <v>0</v>
      </c>
      <c r="Y781" s="960">
        <f t="array" ref="Y781">HLOOKUP($J781,'Type Chart'!$C$2:$T$20,6,false)*HLOOKUP($K781,'Type Chart'!$C$2:$U$20,6,false)</f>
        <v>2</v>
      </c>
      <c r="Z781" s="960">
        <f t="array" ref="Z781">HLOOKUP($J781,'Type Chart'!$C$2:$T$20,7,false)*HLOOKUP($K781,'Type Chart'!$C$2:$U$20,7,false)</f>
        <v>0.5</v>
      </c>
      <c r="AA781" s="960">
        <f t="array" ref="AA781">HLOOKUP($J781,'Type Chart'!$C$2:$T$20,8,false)*HLOOKUP($K781,'Type Chart'!$C$2:$U$20,8,false)</f>
        <v>1</v>
      </c>
      <c r="AB781" s="960">
        <f t="array" ref="AB781">HLOOKUP($J781,'Type Chart'!$C$2:$T$20,9,false)*HLOOKUP($K781,'Type Chart'!$C$2:$U$20,9,false)</f>
        <v>0.5</v>
      </c>
      <c r="AC781" s="960">
        <f t="array" ref="AC781">HLOOKUP($J781,'Type Chart'!$C$2:$T$20,10,false)*HLOOKUP($K781,'Type Chart'!$C$2:$U$20,10,false)</f>
        <v>0.5</v>
      </c>
      <c r="AD781" s="960">
        <f t="array" ref="AD781">HLOOKUP($J781,'Type Chart'!$C$2:$T$20,11,false)*HLOOKUP($K781,'Type Chart'!$C$2:$U$20,11,false)</f>
        <v>2</v>
      </c>
      <c r="AE781" s="960">
        <f t="array" ref="AE781">HLOOKUP($J781,'Type Chart'!$C$2:$T$20,12,false)*HLOOKUP($K781,'Type Chart'!$C$2:$U$20,12,false)</f>
        <v>1</v>
      </c>
      <c r="AF781" s="960">
        <f t="array" ref="AF781">HLOOKUP($J781,'Type Chart'!$C$2:$T$20,13,false)*HLOOKUP($K781,'Type Chart'!$C$2:$U$20,13,false)</f>
        <v>0.5</v>
      </c>
      <c r="AG781" s="960">
        <f t="array" ref="AG781">HLOOKUP($J781,'Type Chart'!$C$2:$T$20,14,false)*HLOOKUP($K781,'Type Chart'!$C$2:$U$20,14,false)</f>
        <v>1</v>
      </c>
      <c r="AH781" s="960">
        <f t="array" ref="AH781">HLOOKUP($J781,'Type Chart'!$C$2:$T$20,15,false)*HLOOKUP($K781,'Type Chart'!$C$2:$U$20,15,false)</f>
        <v>0</v>
      </c>
      <c r="AI781" s="960">
        <f t="array" ref="AI781">HLOOKUP($J781,'Type Chart'!$C$2:$T$20,16,false)*HLOOKUP($K781,'Type Chart'!$C$2:$U$20,16,false)</f>
        <v>0.5</v>
      </c>
      <c r="AJ781" s="960">
        <f t="array" ref="AJ781">HLOOKUP($J781,'Type Chart'!$C$2:$T$20,17,false)*HLOOKUP($K781,'Type Chart'!$C$2:$U$20,17,false)</f>
        <v>0.5</v>
      </c>
      <c r="AK781" s="960">
        <f t="array" ref="AK781">HLOOKUP($J781,'Type Chart'!$C$2:$T$20,18,false)*HLOOKUP($K781,'Type Chart'!$C$2:$U$20,18,false)</f>
        <v>0.5</v>
      </c>
      <c r="AL781" s="960">
        <f t="array" ref="AL781">HLOOKUP($J781,'Type Chart'!$C$2:$T$20,19,false)*HLOOKUP($K781,'Type Chart'!$C$2:$U$20,19,false)</f>
        <v>1</v>
      </c>
      <c r="AM781" s="1145" t="s">
        <v>1267</v>
      </c>
      <c r="AN781" s="1202" t="s">
        <v>1192</v>
      </c>
      <c r="AO781" s="1146" t="s">
        <v>1636</v>
      </c>
      <c r="AP781" s="936"/>
      <c r="AQ781" s="967"/>
      <c r="AR781" s="968"/>
      <c r="AS781" s="936"/>
    </row>
    <row r="782" ht="15.75" customHeight="1">
      <c r="A782" s="936"/>
      <c r="B782" s="948" t="s">
        <v>3177</v>
      </c>
      <c r="C782" s="950" t="s">
        <v>3178</v>
      </c>
      <c r="D782" s="950" t="s">
        <v>3178</v>
      </c>
      <c r="E782" s="952" t="s">
        <v>3178</v>
      </c>
      <c r="F782" s="940"/>
      <c r="G782" s="953"/>
      <c r="H782" s="969"/>
      <c r="I782" s="998" t="s">
        <v>581</v>
      </c>
      <c r="J782" s="1195" t="s">
        <v>193</v>
      </c>
      <c r="K782" s="1206" t="s">
        <v>82</v>
      </c>
      <c r="L782" s="959">
        <v>65.0</v>
      </c>
      <c r="M782" s="960">
        <v>125.0</v>
      </c>
      <c r="N782" s="960">
        <v>100.0</v>
      </c>
      <c r="O782" s="960">
        <v>60.0</v>
      </c>
      <c r="P782" s="960">
        <v>70.0</v>
      </c>
      <c r="Q782" s="960">
        <v>70.0</v>
      </c>
      <c r="R782" s="960">
        <v>176.0</v>
      </c>
      <c r="S782" s="960">
        <v>239.0</v>
      </c>
      <c r="T782" s="960">
        <v>262.0</v>
      </c>
      <c r="U782" s="960">
        <f t="array" ref="U782">HLOOKUP($J782,'Type Chart'!$C$2:$T$20,2,false)*HLOOKUP($K782,'Type Chart'!$C$2:$U$20,2,false)</f>
        <v>0.5</v>
      </c>
      <c r="V782" s="960">
        <f t="array" ref="V782">HLOOKUP($J782,'Type Chart'!$C$2:$T$20,3,false)*HLOOKUP($K782,'Type Chart'!$C$2:$U$20,3,false)</f>
        <v>4</v>
      </c>
      <c r="W782" s="960">
        <f t="array" ref="W782">HLOOKUP($J782,'Type Chart'!$C$2:$T$20,4,false)*HLOOKUP($K782,'Type Chart'!$C$2:$U$20,4,false)</f>
        <v>0.5</v>
      </c>
      <c r="X782" s="960">
        <f t="array" ref="X782">HLOOKUP($J782,'Type Chart'!$C$2:$T$20,5,false)*HLOOKUP($K782,'Type Chart'!$C$2:$U$20,5,false)</f>
        <v>0</v>
      </c>
      <c r="Y782" s="960">
        <f t="array" ref="Y782">HLOOKUP($J782,'Type Chart'!$C$2:$T$20,6,false)*HLOOKUP($K782,'Type Chart'!$C$2:$U$20,6,false)</f>
        <v>2</v>
      </c>
      <c r="Z782" s="960">
        <f t="array" ref="Z782">HLOOKUP($J782,'Type Chart'!$C$2:$T$20,7,false)*HLOOKUP($K782,'Type Chart'!$C$2:$U$20,7,false)</f>
        <v>0.5</v>
      </c>
      <c r="AA782" s="960">
        <f t="array" ref="AA782">HLOOKUP($J782,'Type Chart'!$C$2:$T$20,8,false)*HLOOKUP($K782,'Type Chart'!$C$2:$U$20,8,false)</f>
        <v>1</v>
      </c>
      <c r="AB782" s="960">
        <f t="array" ref="AB782">HLOOKUP($J782,'Type Chart'!$C$2:$T$20,9,false)*HLOOKUP($K782,'Type Chart'!$C$2:$U$20,9,false)</f>
        <v>0.5</v>
      </c>
      <c r="AC782" s="960">
        <f t="array" ref="AC782">HLOOKUP($J782,'Type Chart'!$C$2:$T$20,10,false)*HLOOKUP($K782,'Type Chart'!$C$2:$U$20,10,false)</f>
        <v>0.5</v>
      </c>
      <c r="AD782" s="960">
        <f t="array" ref="AD782">HLOOKUP($J782,'Type Chart'!$C$2:$T$20,11,false)*HLOOKUP($K782,'Type Chart'!$C$2:$U$20,11,false)</f>
        <v>2</v>
      </c>
      <c r="AE782" s="960">
        <f t="array" ref="AE782">HLOOKUP($J782,'Type Chart'!$C$2:$T$20,12,false)*HLOOKUP($K782,'Type Chart'!$C$2:$U$20,12,false)</f>
        <v>1</v>
      </c>
      <c r="AF782" s="960">
        <f t="array" ref="AF782">HLOOKUP($J782,'Type Chart'!$C$2:$T$20,13,false)*HLOOKUP($K782,'Type Chart'!$C$2:$U$20,13,false)</f>
        <v>0.5</v>
      </c>
      <c r="AG782" s="960">
        <f t="array" ref="AG782">HLOOKUP($J782,'Type Chart'!$C$2:$T$20,14,false)*HLOOKUP($K782,'Type Chart'!$C$2:$U$20,14,false)</f>
        <v>1</v>
      </c>
      <c r="AH782" s="960">
        <f t="array" ref="AH782">HLOOKUP($J782,'Type Chart'!$C$2:$T$20,15,false)*HLOOKUP($K782,'Type Chart'!$C$2:$U$20,15,false)</f>
        <v>0</v>
      </c>
      <c r="AI782" s="960">
        <f t="array" ref="AI782">HLOOKUP($J782,'Type Chart'!$C$2:$T$20,16,false)*HLOOKUP($K782,'Type Chart'!$C$2:$U$20,16,false)</f>
        <v>0.5</v>
      </c>
      <c r="AJ782" s="960">
        <f t="array" ref="AJ782">HLOOKUP($J782,'Type Chart'!$C$2:$T$20,17,false)*HLOOKUP($K782,'Type Chart'!$C$2:$U$20,17,false)</f>
        <v>0.5</v>
      </c>
      <c r="AK782" s="960">
        <f t="array" ref="AK782">HLOOKUP($J782,'Type Chart'!$C$2:$T$20,18,false)*HLOOKUP($K782,'Type Chart'!$C$2:$U$20,18,false)</f>
        <v>0.5</v>
      </c>
      <c r="AL782" s="960">
        <f t="array" ref="AL782">HLOOKUP($J782,'Type Chart'!$C$2:$T$20,19,false)*HLOOKUP($K782,'Type Chart'!$C$2:$U$20,19,false)</f>
        <v>1</v>
      </c>
      <c r="AM782" s="964" t="s">
        <v>1267</v>
      </c>
      <c r="AN782" s="965" t="s">
        <v>1192</v>
      </c>
      <c r="AO782" s="966" t="s">
        <v>1636</v>
      </c>
      <c r="AP782" s="936"/>
      <c r="AQ782" s="967"/>
      <c r="AR782" s="968"/>
      <c r="AS782" s="936"/>
    </row>
    <row r="783" ht="15.75" customHeight="1">
      <c r="A783" s="936"/>
      <c r="B783" s="948" t="s">
        <v>3179</v>
      </c>
      <c r="C783" s="950" t="s">
        <v>3180</v>
      </c>
      <c r="D783" s="950" t="s">
        <v>3180</v>
      </c>
      <c r="E783" s="952" t="s">
        <v>3180</v>
      </c>
      <c r="F783" s="940"/>
      <c r="G783" s="953"/>
      <c r="H783" s="969"/>
      <c r="I783" s="998" t="s">
        <v>3181</v>
      </c>
      <c r="J783" s="1194" t="s">
        <v>136</v>
      </c>
      <c r="K783" s="984" t="s">
        <v>216</v>
      </c>
      <c r="L783" s="959">
        <v>95.0</v>
      </c>
      <c r="M783" s="960">
        <v>110.0</v>
      </c>
      <c r="N783" s="960">
        <v>95.0</v>
      </c>
      <c r="O783" s="960">
        <v>40.0</v>
      </c>
      <c r="P783" s="960">
        <v>95.0</v>
      </c>
      <c r="Q783" s="960">
        <v>55.0</v>
      </c>
      <c r="R783" s="960">
        <v>146.0</v>
      </c>
      <c r="S783" s="960">
        <v>209.0</v>
      </c>
      <c r="T783" s="960">
        <v>229.0</v>
      </c>
      <c r="U783" s="960">
        <f t="array" ref="U783">HLOOKUP($J783,'Type Chart'!$C$2:$T$20,2,false)*HLOOKUP($K783,'Type Chart'!$C$2:$U$20,2,false)</f>
        <v>1</v>
      </c>
      <c r="V783" s="960">
        <f t="array" ref="V783">HLOOKUP($J783,'Type Chart'!$C$2:$T$20,3,false)*HLOOKUP($K783,'Type Chart'!$C$2:$U$20,3,false)</f>
        <v>2</v>
      </c>
      <c r="W783" s="960">
        <f t="array" ref="W783">HLOOKUP($J783,'Type Chart'!$C$2:$T$20,4,false)*HLOOKUP($K783,'Type Chart'!$C$2:$U$20,4,false)</f>
        <v>1</v>
      </c>
      <c r="X783" s="960">
        <f t="array" ref="X783">HLOOKUP($J783,'Type Chart'!$C$2:$T$20,5,false)*HLOOKUP($K783,'Type Chart'!$C$2:$U$20,5,false)</f>
        <v>1</v>
      </c>
      <c r="Y783" s="960">
        <f t="array" ref="Y783">HLOOKUP($J783,'Type Chart'!$C$2:$T$20,6,false)*HLOOKUP($K783,'Type Chart'!$C$2:$U$20,6,false)</f>
        <v>1</v>
      </c>
      <c r="Z783" s="960">
        <f t="array" ref="Z783">HLOOKUP($J783,'Type Chart'!$C$2:$T$20,7,false)*HLOOKUP($K783,'Type Chart'!$C$2:$U$20,7,false)</f>
        <v>1</v>
      </c>
      <c r="AA783" s="960">
        <f t="array" ref="AA783">HLOOKUP($J783,'Type Chart'!$C$2:$T$20,8,false)*HLOOKUP($K783,'Type Chart'!$C$2:$U$20,8,false)</f>
        <v>1</v>
      </c>
      <c r="AB783" s="960">
        <f t="array" ref="AB783">HLOOKUP($J783,'Type Chart'!$C$2:$T$20,9,false)*HLOOKUP($K783,'Type Chart'!$C$2:$U$20,9,false)</f>
        <v>0</v>
      </c>
      <c r="AC783" s="960">
        <f t="array" ref="AC783">HLOOKUP($J783,'Type Chart'!$C$2:$T$20,10,false)*HLOOKUP($K783,'Type Chart'!$C$2:$U$20,10,false)</f>
        <v>1</v>
      </c>
      <c r="AD783" s="960">
        <f t="array" ref="AD783">HLOOKUP($J783,'Type Chart'!$C$2:$T$20,11,false)*HLOOKUP($K783,'Type Chart'!$C$2:$U$20,11,false)</f>
        <v>1</v>
      </c>
      <c r="AE783" s="960">
        <f t="array" ref="AE783">HLOOKUP($J783,'Type Chart'!$C$2:$T$20,12,false)*HLOOKUP($K783,'Type Chart'!$C$2:$U$20,12,false)</f>
        <v>1</v>
      </c>
      <c r="AF783" s="960">
        <f t="array" ref="AF783">HLOOKUP($J783,'Type Chart'!$C$2:$T$20,13,false)*HLOOKUP($K783,'Type Chart'!$C$2:$U$20,13,false)</f>
        <v>1</v>
      </c>
      <c r="AG783" s="960">
        <f t="array" ref="AG783">HLOOKUP($J783,'Type Chart'!$C$2:$T$20,14,false)*HLOOKUP($K783,'Type Chart'!$C$2:$U$20,14,false)</f>
        <v>1</v>
      </c>
      <c r="AH783" s="960">
        <f t="array" ref="AH783">HLOOKUP($J783,'Type Chart'!$C$2:$T$20,15,false)*HLOOKUP($K783,'Type Chart'!$C$2:$U$20,15,false)</f>
        <v>1</v>
      </c>
      <c r="AI783" s="960">
        <f t="array" ref="AI783">HLOOKUP($J783,'Type Chart'!$C$2:$T$20,16,false)*HLOOKUP($K783,'Type Chart'!$C$2:$U$20,16,false)</f>
        <v>1</v>
      </c>
      <c r="AJ783" s="960">
        <f t="array" ref="AJ783">HLOOKUP($J783,'Type Chart'!$C$2:$T$20,17,false)*HLOOKUP($K783,'Type Chart'!$C$2:$U$20,17,false)</f>
        <v>1</v>
      </c>
      <c r="AK783" s="960">
        <f t="array" ref="AK783">HLOOKUP($J783,'Type Chart'!$C$2:$T$20,18,false)*HLOOKUP($K783,'Type Chart'!$C$2:$U$20,18,false)</f>
        <v>1</v>
      </c>
      <c r="AL783" s="960">
        <f t="array" ref="AL783">HLOOKUP($J783,'Type Chart'!$C$2:$T$20,19,false)*HLOOKUP($K783,'Type Chart'!$C$2:$U$20,19,false)</f>
        <v>1</v>
      </c>
      <c r="AM783" s="964" t="s">
        <v>1497</v>
      </c>
      <c r="AN783" s="965" t="s">
        <v>1772</v>
      </c>
      <c r="AO783" s="966" t="s">
        <v>1468</v>
      </c>
      <c r="AP783" s="936"/>
      <c r="AQ783" s="967"/>
      <c r="AR783" s="968"/>
      <c r="AS783" s="936"/>
    </row>
    <row r="784" ht="15.75" customHeight="1">
      <c r="A784" s="936"/>
      <c r="B784" s="948" t="s">
        <v>3182</v>
      </c>
      <c r="C784" s="950" t="s">
        <v>3183</v>
      </c>
      <c r="D784" s="950" t="s">
        <v>3183</v>
      </c>
      <c r="E784" s="952" t="s">
        <v>3183</v>
      </c>
      <c r="F784" s="940"/>
      <c r="G784" s="953"/>
      <c r="H784" s="969"/>
      <c r="I784" s="998" t="s">
        <v>858</v>
      </c>
      <c r="J784" s="1194" t="s">
        <v>136</v>
      </c>
      <c r="K784" s="1001" t="s">
        <v>128</v>
      </c>
      <c r="L784" s="959">
        <v>70.0</v>
      </c>
      <c r="M784" s="960">
        <v>83.0</v>
      </c>
      <c r="N784" s="960">
        <v>50.0</v>
      </c>
      <c r="O784" s="960">
        <v>37.0</v>
      </c>
      <c r="P784" s="960">
        <v>50.0</v>
      </c>
      <c r="Q784" s="960">
        <v>60.0</v>
      </c>
      <c r="R784" s="960">
        <v>156.0</v>
      </c>
      <c r="S784" s="960">
        <v>219.0</v>
      </c>
      <c r="T784" s="960">
        <v>240.0</v>
      </c>
      <c r="U784" s="960">
        <f t="array" ref="U784">HLOOKUP($J784,'Type Chart'!$C$2:$T$20,2,false)*HLOOKUP($K784,'Type Chart'!$C$2:$U$20,2,false)</f>
        <v>1</v>
      </c>
      <c r="V784" s="960">
        <f t="array" ref="V784">HLOOKUP($J784,'Type Chart'!$C$2:$T$20,3,false)*HLOOKUP($K784,'Type Chart'!$C$2:$U$20,3,false)</f>
        <v>1</v>
      </c>
      <c r="W784" s="960">
        <f t="array" ref="W784">HLOOKUP($J784,'Type Chart'!$C$2:$T$20,4,false)*HLOOKUP($K784,'Type Chart'!$C$2:$U$20,4,false)</f>
        <v>1</v>
      </c>
      <c r="X784" s="960">
        <f t="array" ref="X784">HLOOKUP($J784,'Type Chart'!$C$2:$T$20,5,false)*HLOOKUP($K784,'Type Chart'!$C$2:$U$20,5,false)</f>
        <v>1</v>
      </c>
      <c r="Y784" s="960">
        <f t="array" ref="Y784">HLOOKUP($J784,'Type Chart'!$C$2:$T$20,6,false)*HLOOKUP($K784,'Type Chart'!$C$2:$U$20,6,false)</f>
        <v>0</v>
      </c>
      <c r="Z784" s="960">
        <f t="array" ref="Z784">HLOOKUP($J784,'Type Chart'!$C$2:$T$20,7,false)*HLOOKUP($K784,'Type Chart'!$C$2:$U$20,7,false)</f>
        <v>2</v>
      </c>
      <c r="AA784" s="960">
        <f t="array" ref="AA784">HLOOKUP($J784,'Type Chart'!$C$2:$T$20,8,false)*HLOOKUP($K784,'Type Chart'!$C$2:$U$20,8,false)</f>
        <v>0.5</v>
      </c>
      <c r="AB784" s="960">
        <f t="array" ref="AB784">HLOOKUP($J784,'Type Chart'!$C$2:$T$20,9,false)*HLOOKUP($K784,'Type Chart'!$C$2:$U$20,9,false)</f>
        <v>0</v>
      </c>
      <c r="AC784" s="960">
        <f t="array" ref="AC784">HLOOKUP($J784,'Type Chart'!$C$2:$T$20,10,false)*HLOOKUP($K784,'Type Chart'!$C$2:$U$20,10,false)</f>
        <v>1</v>
      </c>
      <c r="AD784" s="960">
        <f t="array" ref="AD784">HLOOKUP($J784,'Type Chart'!$C$2:$T$20,11,false)*HLOOKUP($K784,'Type Chart'!$C$2:$U$20,11,false)</f>
        <v>1</v>
      </c>
      <c r="AE784" s="960">
        <f t="array" ref="AE784">HLOOKUP($J784,'Type Chart'!$C$2:$T$20,12,false)*HLOOKUP($K784,'Type Chart'!$C$2:$U$20,12,false)</f>
        <v>1</v>
      </c>
      <c r="AF784" s="960">
        <f t="array" ref="AF784">HLOOKUP($J784,'Type Chart'!$C$2:$T$20,13,false)*HLOOKUP($K784,'Type Chart'!$C$2:$U$20,13,false)</f>
        <v>0.5</v>
      </c>
      <c r="AG784" s="960">
        <f t="array" ref="AG784">HLOOKUP($J784,'Type Chart'!$C$2:$T$20,14,false)*HLOOKUP($K784,'Type Chart'!$C$2:$U$20,14,false)</f>
        <v>2</v>
      </c>
      <c r="AH784" s="960">
        <f t="array" ref="AH784">HLOOKUP($J784,'Type Chart'!$C$2:$T$20,15,false)*HLOOKUP($K784,'Type Chart'!$C$2:$U$20,15,false)</f>
        <v>1</v>
      </c>
      <c r="AI784" s="960">
        <f t="array" ref="AI784">HLOOKUP($J784,'Type Chart'!$C$2:$T$20,16,false)*HLOOKUP($K784,'Type Chart'!$C$2:$U$20,16,false)</f>
        <v>2</v>
      </c>
      <c r="AJ784" s="960">
        <f t="array" ref="AJ784">HLOOKUP($J784,'Type Chart'!$C$2:$T$20,17,false)*HLOOKUP($K784,'Type Chart'!$C$2:$U$20,17,false)</f>
        <v>1</v>
      </c>
      <c r="AK784" s="960">
        <f t="array" ref="AK784">HLOOKUP($J784,'Type Chart'!$C$2:$T$20,18,false)*HLOOKUP($K784,'Type Chart'!$C$2:$U$20,18,false)</f>
        <v>1</v>
      </c>
      <c r="AL784" s="960">
        <f t="array" ref="AL784">HLOOKUP($J784,'Type Chart'!$C$2:$T$20,19,false)*HLOOKUP($K784,'Type Chart'!$C$2:$U$20,19,false)</f>
        <v>1</v>
      </c>
      <c r="AM784" s="964" t="s">
        <v>1022</v>
      </c>
      <c r="AN784" s="965" t="s">
        <v>1153</v>
      </c>
      <c r="AO784" s="966" t="s">
        <v>1039</v>
      </c>
      <c r="AP784" s="936"/>
      <c r="AQ784" s="967"/>
      <c r="AR784" s="968"/>
      <c r="AS784" s="936"/>
    </row>
    <row r="785" ht="15.75" customHeight="1">
      <c r="A785" s="936"/>
      <c r="B785" s="948" t="s">
        <v>3184</v>
      </c>
      <c r="C785" s="950" t="s">
        <v>3185</v>
      </c>
      <c r="D785" s="950" t="s">
        <v>3185</v>
      </c>
      <c r="E785" s="952" t="s">
        <v>3185</v>
      </c>
      <c r="F785" s="940"/>
      <c r="G785" s="953"/>
      <c r="H785" s="969"/>
      <c r="I785" s="998" t="s">
        <v>556</v>
      </c>
      <c r="J785" s="1194" t="s">
        <v>136</v>
      </c>
      <c r="K785" s="1001" t="s">
        <v>128</v>
      </c>
      <c r="L785" s="959">
        <v>100.0</v>
      </c>
      <c r="M785" s="960">
        <v>123.0</v>
      </c>
      <c r="N785" s="960">
        <v>75.0</v>
      </c>
      <c r="O785" s="960">
        <v>57.0</v>
      </c>
      <c r="P785" s="960">
        <v>75.0</v>
      </c>
      <c r="Q785" s="960">
        <v>80.0</v>
      </c>
      <c r="R785" s="960">
        <v>196.0</v>
      </c>
      <c r="S785" s="960">
        <v>259.0</v>
      </c>
      <c r="T785" s="960">
        <v>284.0</v>
      </c>
      <c r="U785" s="960">
        <f t="array" ref="U785">HLOOKUP($J785,'Type Chart'!$C$2:$T$20,2,false)*HLOOKUP($K785,'Type Chart'!$C$2:$U$20,2,false)</f>
        <v>1</v>
      </c>
      <c r="V785" s="960">
        <f t="array" ref="V785">HLOOKUP($J785,'Type Chart'!$C$2:$T$20,3,false)*HLOOKUP($K785,'Type Chart'!$C$2:$U$20,3,false)</f>
        <v>1</v>
      </c>
      <c r="W785" s="960">
        <f t="array" ref="W785">HLOOKUP($J785,'Type Chart'!$C$2:$T$20,4,false)*HLOOKUP($K785,'Type Chart'!$C$2:$U$20,4,false)</f>
        <v>1</v>
      </c>
      <c r="X785" s="960">
        <f t="array" ref="X785">HLOOKUP($J785,'Type Chart'!$C$2:$T$20,5,false)*HLOOKUP($K785,'Type Chart'!$C$2:$U$20,5,false)</f>
        <v>1</v>
      </c>
      <c r="Y785" s="960">
        <f t="array" ref="Y785">HLOOKUP($J785,'Type Chart'!$C$2:$T$20,6,false)*HLOOKUP($K785,'Type Chart'!$C$2:$U$20,6,false)</f>
        <v>0</v>
      </c>
      <c r="Z785" s="960">
        <f t="array" ref="Z785">HLOOKUP($J785,'Type Chart'!$C$2:$T$20,7,false)*HLOOKUP($K785,'Type Chart'!$C$2:$U$20,7,false)</f>
        <v>2</v>
      </c>
      <c r="AA785" s="960">
        <f t="array" ref="AA785">HLOOKUP($J785,'Type Chart'!$C$2:$T$20,8,false)*HLOOKUP($K785,'Type Chart'!$C$2:$U$20,8,false)</f>
        <v>0.5</v>
      </c>
      <c r="AB785" s="960">
        <f t="array" ref="AB785">HLOOKUP($J785,'Type Chart'!$C$2:$T$20,9,false)*HLOOKUP($K785,'Type Chart'!$C$2:$U$20,9,false)</f>
        <v>0</v>
      </c>
      <c r="AC785" s="960">
        <f t="array" ref="AC785">HLOOKUP($J785,'Type Chart'!$C$2:$T$20,10,false)*HLOOKUP($K785,'Type Chart'!$C$2:$U$20,10,false)</f>
        <v>1</v>
      </c>
      <c r="AD785" s="960">
        <f t="array" ref="AD785">HLOOKUP($J785,'Type Chart'!$C$2:$T$20,11,false)*HLOOKUP($K785,'Type Chart'!$C$2:$U$20,11,false)</f>
        <v>1</v>
      </c>
      <c r="AE785" s="960">
        <f t="array" ref="AE785">HLOOKUP($J785,'Type Chart'!$C$2:$T$20,12,false)*HLOOKUP($K785,'Type Chart'!$C$2:$U$20,12,false)</f>
        <v>1</v>
      </c>
      <c r="AF785" s="960">
        <f t="array" ref="AF785">HLOOKUP($J785,'Type Chart'!$C$2:$T$20,13,false)*HLOOKUP($K785,'Type Chart'!$C$2:$U$20,13,false)</f>
        <v>0.5</v>
      </c>
      <c r="AG785" s="960">
        <f t="array" ref="AG785">HLOOKUP($J785,'Type Chart'!$C$2:$T$20,14,false)*HLOOKUP($K785,'Type Chart'!$C$2:$U$20,14,false)</f>
        <v>2</v>
      </c>
      <c r="AH785" s="960">
        <f t="array" ref="AH785">HLOOKUP($J785,'Type Chart'!$C$2:$T$20,15,false)*HLOOKUP($K785,'Type Chart'!$C$2:$U$20,15,false)</f>
        <v>1</v>
      </c>
      <c r="AI785" s="960">
        <f t="array" ref="AI785">HLOOKUP($J785,'Type Chart'!$C$2:$T$20,16,false)*HLOOKUP($K785,'Type Chart'!$C$2:$U$20,16,false)</f>
        <v>2</v>
      </c>
      <c r="AJ785" s="960">
        <f t="array" ref="AJ785">HLOOKUP($J785,'Type Chart'!$C$2:$T$20,17,false)*HLOOKUP($K785,'Type Chart'!$C$2:$U$20,17,false)</f>
        <v>1</v>
      </c>
      <c r="AK785" s="960">
        <f t="array" ref="AK785">HLOOKUP($J785,'Type Chart'!$C$2:$T$20,18,false)*HLOOKUP($K785,'Type Chart'!$C$2:$U$20,18,false)</f>
        <v>1</v>
      </c>
      <c r="AL785" s="960">
        <f t="array" ref="AL785">HLOOKUP($J785,'Type Chart'!$C$2:$T$20,19,false)*HLOOKUP($K785,'Type Chart'!$C$2:$U$20,19,false)</f>
        <v>1</v>
      </c>
      <c r="AM785" s="964" t="s">
        <v>1022</v>
      </c>
      <c r="AN785" s="965" t="s">
        <v>1153</v>
      </c>
      <c r="AO785" s="966" t="s">
        <v>1267</v>
      </c>
      <c r="AP785" s="936"/>
      <c r="AQ785" s="967"/>
      <c r="AR785" s="968"/>
      <c r="AS785" s="936"/>
    </row>
    <row r="786" ht="15.75" customHeight="1">
      <c r="A786" s="1099"/>
      <c r="B786" s="948" t="s">
        <v>3186</v>
      </c>
      <c r="C786" s="1197" t="str">
        <f t="shared" ref="C786:E786" si="13">C785&amp;"-hisui"</f>
        <v>braviary-hisui</v>
      </c>
      <c r="D786" s="1197" t="str">
        <f t="shared" si="13"/>
        <v>braviary-hisui</v>
      </c>
      <c r="E786" s="1147" t="str">
        <f t="shared" si="13"/>
        <v>braviary-hisui</v>
      </c>
      <c r="F786" s="940"/>
      <c r="G786" s="953"/>
      <c r="H786" s="969"/>
      <c r="I786" s="998" t="s">
        <v>557</v>
      </c>
      <c r="J786" s="1215" t="s">
        <v>344</v>
      </c>
      <c r="K786" s="1210" t="s">
        <v>128</v>
      </c>
      <c r="L786" s="1200">
        <v>110.0</v>
      </c>
      <c r="M786" s="1201">
        <v>83.0</v>
      </c>
      <c r="N786" s="1201">
        <v>70.0</v>
      </c>
      <c r="O786" s="1201">
        <v>112.0</v>
      </c>
      <c r="P786" s="1201">
        <v>70.0</v>
      </c>
      <c r="Q786" s="1201">
        <v>65.0</v>
      </c>
      <c r="R786" s="960">
        <v>166.0</v>
      </c>
      <c r="S786" s="960">
        <v>229.0</v>
      </c>
      <c r="T786" s="960">
        <v>251.0</v>
      </c>
      <c r="U786" s="960">
        <f t="array" ref="U786">HLOOKUP($J786,'Type Chart'!$C$2:$T$20,2,false)*HLOOKUP($K786,'Type Chart'!$C$2:$U$20,2,false)</f>
        <v>1</v>
      </c>
      <c r="V786" s="960">
        <f t="array" ref="V786">HLOOKUP($J786,'Type Chart'!$C$2:$T$20,3,false)*HLOOKUP($K786,'Type Chart'!$C$2:$U$20,3,false)</f>
        <v>0.25</v>
      </c>
      <c r="W786" s="960">
        <f t="array" ref="W786">HLOOKUP($J786,'Type Chart'!$C$2:$T$20,4,false)*HLOOKUP($K786,'Type Chart'!$C$2:$U$20,4,false)</f>
        <v>1</v>
      </c>
      <c r="X786" s="960">
        <f t="array" ref="X786">HLOOKUP($J786,'Type Chart'!$C$2:$T$20,5,false)*HLOOKUP($K786,'Type Chart'!$C$2:$U$20,5,false)</f>
        <v>1</v>
      </c>
      <c r="Y786" s="960">
        <f t="array" ref="Y786">HLOOKUP($J786,'Type Chart'!$C$2:$T$20,6,false)*HLOOKUP($K786,'Type Chart'!$C$2:$U$20,6,false)</f>
        <v>0</v>
      </c>
      <c r="Z786" s="960">
        <f t="array" ref="Z786">HLOOKUP($J786,'Type Chart'!$C$2:$T$20,7,false)*HLOOKUP($K786,'Type Chart'!$C$2:$U$20,7,false)</f>
        <v>2</v>
      </c>
      <c r="AA786" s="960">
        <f t="array" ref="AA786">HLOOKUP($J786,'Type Chart'!$C$2:$T$20,8,false)*HLOOKUP($K786,'Type Chart'!$C$2:$U$20,8,false)</f>
        <v>1</v>
      </c>
      <c r="AB786" s="960">
        <f t="array" ref="AB786">HLOOKUP($J786,'Type Chart'!$C$2:$T$20,9,false)*HLOOKUP($K786,'Type Chart'!$C$2:$U$20,9,false)</f>
        <v>2</v>
      </c>
      <c r="AC786" s="960">
        <f t="array" ref="AC786">HLOOKUP($J786,'Type Chart'!$C$2:$T$20,10,false)*HLOOKUP($K786,'Type Chart'!$C$2:$U$20,10,false)</f>
        <v>1</v>
      </c>
      <c r="AD786" s="960">
        <f t="array" ref="AD786">HLOOKUP($J786,'Type Chart'!$C$2:$T$20,11,false)*HLOOKUP($K786,'Type Chart'!$C$2:$U$20,11,false)</f>
        <v>1</v>
      </c>
      <c r="AE786" s="960">
        <f t="array" ref="AE786">HLOOKUP($J786,'Type Chart'!$C$2:$T$20,12,false)*HLOOKUP($K786,'Type Chart'!$C$2:$U$20,12,false)</f>
        <v>1</v>
      </c>
      <c r="AF786" s="960">
        <f t="array" ref="AF786">HLOOKUP($J786,'Type Chart'!$C$2:$T$20,13,false)*HLOOKUP($K786,'Type Chart'!$C$2:$U$20,13,false)</f>
        <v>0.5</v>
      </c>
      <c r="AG786" s="960">
        <f t="array" ref="AG786">HLOOKUP($J786,'Type Chart'!$C$2:$T$20,14,false)*HLOOKUP($K786,'Type Chart'!$C$2:$U$20,14,false)</f>
        <v>2</v>
      </c>
      <c r="AH786" s="960">
        <f t="array" ref="AH786">HLOOKUP($J786,'Type Chart'!$C$2:$T$20,15,false)*HLOOKUP($K786,'Type Chart'!$C$2:$U$20,15,false)</f>
        <v>0.5</v>
      </c>
      <c r="AI786" s="960">
        <f t="array" ref="AI786">HLOOKUP($J786,'Type Chart'!$C$2:$T$20,16,false)*HLOOKUP($K786,'Type Chart'!$C$2:$U$20,16,false)</f>
        <v>2</v>
      </c>
      <c r="AJ786" s="960">
        <f t="array" ref="AJ786">HLOOKUP($J786,'Type Chart'!$C$2:$T$20,17,false)*HLOOKUP($K786,'Type Chart'!$C$2:$U$20,17,false)</f>
        <v>1</v>
      </c>
      <c r="AK786" s="960">
        <f t="array" ref="AK786">HLOOKUP($J786,'Type Chart'!$C$2:$T$20,18,false)*HLOOKUP($K786,'Type Chart'!$C$2:$U$20,18,false)</f>
        <v>2</v>
      </c>
      <c r="AL786" s="960">
        <f t="array" ref="AL786">HLOOKUP($J786,'Type Chart'!$C$2:$T$20,19,false)*HLOOKUP($K786,'Type Chart'!$C$2:$U$20,19,false)</f>
        <v>1</v>
      </c>
      <c r="AM786" s="1145" t="s">
        <v>1022</v>
      </c>
      <c r="AN786" s="965" t="s">
        <v>1153</v>
      </c>
      <c r="AO786" s="1146" t="s">
        <v>1003</v>
      </c>
      <c r="AP786" s="936"/>
      <c r="AQ786" s="967"/>
      <c r="AR786" s="968"/>
      <c r="AS786" s="936"/>
    </row>
    <row r="787" ht="15.75" customHeight="1">
      <c r="A787" s="936"/>
      <c r="B787" s="948" t="s">
        <v>3187</v>
      </c>
      <c r="C787" s="950" t="s">
        <v>3188</v>
      </c>
      <c r="D787" s="950" t="s">
        <v>3188</v>
      </c>
      <c r="E787" s="952" t="s">
        <v>3188</v>
      </c>
      <c r="F787" s="940"/>
      <c r="G787" s="953"/>
      <c r="H787" s="969"/>
      <c r="I787" s="956" t="s">
        <v>886</v>
      </c>
      <c r="J787" s="1195" t="s">
        <v>193</v>
      </c>
      <c r="K787" s="1001" t="s">
        <v>128</v>
      </c>
      <c r="L787" s="959">
        <v>70.0</v>
      </c>
      <c r="M787" s="960">
        <v>55.0</v>
      </c>
      <c r="N787" s="960">
        <v>75.0</v>
      </c>
      <c r="O787" s="960">
        <v>45.0</v>
      </c>
      <c r="P787" s="960">
        <v>65.0</v>
      </c>
      <c r="Q787" s="960">
        <v>60.0</v>
      </c>
      <c r="R787" s="960">
        <v>156.0</v>
      </c>
      <c r="S787" s="960">
        <v>219.0</v>
      </c>
      <c r="T787" s="960">
        <v>240.0</v>
      </c>
      <c r="U787" s="960">
        <f t="array" ref="U787">HLOOKUP($J787,'Type Chart'!$C$2:$T$20,2,false)*HLOOKUP($K787,'Type Chart'!$C$2:$U$20,2,false)</f>
        <v>1</v>
      </c>
      <c r="V787" s="960">
        <f t="array" ref="V787">HLOOKUP($J787,'Type Chart'!$C$2:$T$20,3,false)*HLOOKUP($K787,'Type Chart'!$C$2:$U$20,3,false)</f>
        <v>1</v>
      </c>
      <c r="W787" s="960">
        <f t="array" ref="W787">HLOOKUP($J787,'Type Chart'!$C$2:$T$20,4,false)*HLOOKUP($K787,'Type Chart'!$C$2:$U$20,4,false)</f>
        <v>1</v>
      </c>
      <c r="X787" s="960">
        <f t="array" ref="X787">HLOOKUP($J787,'Type Chart'!$C$2:$T$20,5,false)*HLOOKUP($K787,'Type Chart'!$C$2:$U$20,5,false)</f>
        <v>1</v>
      </c>
      <c r="Y787" s="960">
        <f t="array" ref="Y787">HLOOKUP($J787,'Type Chart'!$C$2:$T$20,6,false)*HLOOKUP($K787,'Type Chart'!$C$2:$U$20,6,false)</f>
        <v>0</v>
      </c>
      <c r="Z787" s="960">
        <f t="array" ref="Z787">HLOOKUP($J787,'Type Chart'!$C$2:$T$20,7,false)*HLOOKUP($K787,'Type Chart'!$C$2:$U$20,7,false)</f>
        <v>2</v>
      </c>
      <c r="AA787" s="960">
        <f t="array" ref="AA787">HLOOKUP($J787,'Type Chart'!$C$2:$T$20,8,false)*HLOOKUP($K787,'Type Chart'!$C$2:$U$20,8,false)</f>
        <v>1</v>
      </c>
      <c r="AB787" s="960">
        <f t="array" ref="AB787">HLOOKUP($J787,'Type Chart'!$C$2:$T$20,9,false)*HLOOKUP($K787,'Type Chart'!$C$2:$U$20,9,false)</f>
        <v>0.5</v>
      </c>
      <c r="AC787" s="960">
        <f t="array" ref="AC787">HLOOKUP($J787,'Type Chart'!$C$2:$T$20,10,false)*HLOOKUP($K787,'Type Chart'!$C$2:$U$20,10,false)</f>
        <v>1</v>
      </c>
      <c r="AD787" s="960">
        <f t="array" ref="AD787">HLOOKUP($J787,'Type Chart'!$C$2:$T$20,11,false)*HLOOKUP($K787,'Type Chart'!$C$2:$U$20,11,false)</f>
        <v>1</v>
      </c>
      <c r="AE787" s="960">
        <f t="array" ref="AE787">HLOOKUP($J787,'Type Chart'!$C$2:$T$20,12,false)*HLOOKUP($K787,'Type Chart'!$C$2:$U$20,12,false)</f>
        <v>1</v>
      </c>
      <c r="AF787" s="960">
        <f t="array" ref="AF787">HLOOKUP($J787,'Type Chart'!$C$2:$T$20,13,false)*HLOOKUP($K787,'Type Chart'!$C$2:$U$20,13,false)</f>
        <v>0.5</v>
      </c>
      <c r="AG787" s="960">
        <f t="array" ref="AG787">HLOOKUP($J787,'Type Chart'!$C$2:$T$20,14,false)*HLOOKUP($K787,'Type Chart'!$C$2:$U$20,14,false)</f>
        <v>2</v>
      </c>
      <c r="AH787" s="960">
        <f t="array" ref="AH787">HLOOKUP($J787,'Type Chart'!$C$2:$T$20,15,false)*HLOOKUP($K787,'Type Chart'!$C$2:$U$20,15,false)</f>
        <v>0</v>
      </c>
      <c r="AI787" s="960">
        <f t="array" ref="AI787">HLOOKUP($J787,'Type Chart'!$C$2:$T$20,16,false)*HLOOKUP($K787,'Type Chart'!$C$2:$U$20,16,false)</f>
        <v>2</v>
      </c>
      <c r="AJ787" s="960">
        <f t="array" ref="AJ787">HLOOKUP($J787,'Type Chart'!$C$2:$T$20,17,false)*HLOOKUP($K787,'Type Chart'!$C$2:$U$20,17,false)</f>
        <v>1</v>
      </c>
      <c r="AK787" s="960">
        <f t="array" ref="AK787">HLOOKUP($J787,'Type Chart'!$C$2:$T$20,18,false)*HLOOKUP($K787,'Type Chart'!$C$2:$U$20,18,false)</f>
        <v>0.5</v>
      </c>
      <c r="AL787" s="960">
        <f t="array" ref="AL787">HLOOKUP($J787,'Type Chart'!$C$2:$T$20,19,false)*HLOOKUP($K787,'Type Chart'!$C$2:$U$20,19,false)</f>
        <v>2</v>
      </c>
      <c r="AM787" s="964" t="s">
        <v>1024</v>
      </c>
      <c r="AN787" s="965" t="s">
        <v>1431</v>
      </c>
      <c r="AO787" s="966" t="s">
        <v>1450</v>
      </c>
      <c r="AP787" s="936"/>
      <c r="AQ787" s="967"/>
      <c r="AR787" s="968"/>
      <c r="AS787" s="936"/>
    </row>
    <row r="788" ht="15.75" customHeight="1">
      <c r="A788" s="1099"/>
      <c r="B788" s="948" t="s">
        <v>3189</v>
      </c>
      <c r="C788" s="1197" t="s">
        <v>3190</v>
      </c>
      <c r="D788" s="1197" t="s">
        <v>3190</v>
      </c>
      <c r="E788" s="1147" t="s">
        <v>3190</v>
      </c>
      <c r="F788" s="940"/>
      <c r="G788" s="953"/>
      <c r="H788" s="969"/>
      <c r="I788" s="998" t="s">
        <v>550</v>
      </c>
      <c r="J788" s="1229" t="s">
        <v>193</v>
      </c>
      <c r="K788" s="1210" t="s">
        <v>128</v>
      </c>
      <c r="L788" s="1200">
        <v>110.0</v>
      </c>
      <c r="M788" s="1201">
        <v>65.0</v>
      </c>
      <c r="N788" s="1201">
        <v>105.0</v>
      </c>
      <c r="O788" s="1201">
        <v>55.0</v>
      </c>
      <c r="P788" s="1201">
        <v>95.0</v>
      </c>
      <c r="Q788" s="1201">
        <v>80.0</v>
      </c>
      <c r="R788" s="960">
        <v>196.0</v>
      </c>
      <c r="S788" s="960">
        <v>259.0</v>
      </c>
      <c r="T788" s="960">
        <v>284.0</v>
      </c>
      <c r="U788" s="960">
        <f t="array" ref="U788">HLOOKUP($J788,'Type Chart'!$C$2:$T$20,2,false)*HLOOKUP($K788,'Type Chart'!$C$2:$U$20,2,false)</f>
        <v>1</v>
      </c>
      <c r="V788" s="960">
        <f t="array" ref="V788">HLOOKUP($J788,'Type Chart'!$C$2:$T$20,3,false)*HLOOKUP($K788,'Type Chart'!$C$2:$U$20,3,false)</f>
        <v>1</v>
      </c>
      <c r="W788" s="960">
        <f t="array" ref="W788">HLOOKUP($J788,'Type Chart'!$C$2:$T$20,4,false)*HLOOKUP($K788,'Type Chart'!$C$2:$U$20,4,false)</f>
        <v>1</v>
      </c>
      <c r="X788" s="960">
        <f t="array" ref="X788">HLOOKUP($J788,'Type Chart'!$C$2:$T$20,5,false)*HLOOKUP($K788,'Type Chart'!$C$2:$U$20,5,false)</f>
        <v>1</v>
      </c>
      <c r="Y788" s="960">
        <f t="array" ref="Y788">HLOOKUP($J788,'Type Chart'!$C$2:$T$20,6,false)*HLOOKUP($K788,'Type Chart'!$C$2:$U$20,6,false)</f>
        <v>0</v>
      </c>
      <c r="Z788" s="960">
        <f t="array" ref="Z788">HLOOKUP($J788,'Type Chart'!$C$2:$T$20,7,false)*HLOOKUP($K788,'Type Chart'!$C$2:$U$20,7,false)</f>
        <v>2</v>
      </c>
      <c r="AA788" s="960">
        <f t="array" ref="AA788">HLOOKUP($J788,'Type Chart'!$C$2:$T$20,8,false)*HLOOKUP($K788,'Type Chart'!$C$2:$U$20,8,false)</f>
        <v>1</v>
      </c>
      <c r="AB788" s="960">
        <f t="array" ref="AB788">HLOOKUP($J788,'Type Chart'!$C$2:$T$20,9,false)*HLOOKUP($K788,'Type Chart'!$C$2:$U$20,9,false)</f>
        <v>0.5</v>
      </c>
      <c r="AC788" s="960">
        <f t="array" ref="AC788">HLOOKUP($J788,'Type Chart'!$C$2:$T$20,10,false)*HLOOKUP($K788,'Type Chart'!$C$2:$U$20,10,false)</f>
        <v>1</v>
      </c>
      <c r="AD788" s="960">
        <f t="array" ref="AD788">HLOOKUP($J788,'Type Chart'!$C$2:$T$20,11,false)*HLOOKUP($K788,'Type Chart'!$C$2:$U$20,11,false)</f>
        <v>1</v>
      </c>
      <c r="AE788" s="960">
        <f t="array" ref="AE788">HLOOKUP($J788,'Type Chart'!$C$2:$T$20,12,false)*HLOOKUP($K788,'Type Chart'!$C$2:$U$20,12,false)</f>
        <v>1</v>
      </c>
      <c r="AF788" s="960">
        <f t="array" ref="AF788">HLOOKUP($J788,'Type Chart'!$C$2:$T$20,13,false)*HLOOKUP($K788,'Type Chart'!$C$2:$U$20,13,false)</f>
        <v>0.5</v>
      </c>
      <c r="AG788" s="960">
        <f t="array" ref="AG788">HLOOKUP($J788,'Type Chart'!$C$2:$T$20,14,false)*HLOOKUP($K788,'Type Chart'!$C$2:$U$20,14,false)</f>
        <v>2</v>
      </c>
      <c r="AH788" s="960">
        <f t="array" ref="AH788">HLOOKUP($J788,'Type Chart'!$C$2:$T$20,15,false)*HLOOKUP($K788,'Type Chart'!$C$2:$U$20,15,false)</f>
        <v>0</v>
      </c>
      <c r="AI788" s="960">
        <f t="array" ref="AI788">HLOOKUP($J788,'Type Chart'!$C$2:$T$20,16,false)*HLOOKUP($K788,'Type Chart'!$C$2:$U$20,16,false)</f>
        <v>2</v>
      </c>
      <c r="AJ788" s="960">
        <f t="array" ref="AJ788">HLOOKUP($J788,'Type Chart'!$C$2:$T$20,17,false)*HLOOKUP($K788,'Type Chart'!$C$2:$U$20,17,false)</f>
        <v>1</v>
      </c>
      <c r="AK788" s="960">
        <f t="array" ref="AK788">HLOOKUP($J788,'Type Chart'!$C$2:$T$20,18,false)*HLOOKUP($K788,'Type Chart'!$C$2:$U$20,18,false)</f>
        <v>0.5</v>
      </c>
      <c r="AL788" s="960">
        <f t="array" ref="AL788">HLOOKUP($J788,'Type Chart'!$C$2:$T$20,19,false)*HLOOKUP($K788,'Type Chart'!$C$2:$U$20,19,false)</f>
        <v>2</v>
      </c>
      <c r="AM788" s="1145" t="s">
        <v>1024</v>
      </c>
      <c r="AN788" s="1202" t="s">
        <v>1431</v>
      </c>
      <c r="AO788" s="1146" t="s">
        <v>1450</v>
      </c>
      <c r="AP788" s="936"/>
      <c r="AQ788" s="967"/>
      <c r="AR788" s="968"/>
      <c r="AS788" s="936"/>
    </row>
    <row r="789" ht="15.75" customHeight="1">
      <c r="A789" s="936"/>
      <c r="B789" s="948" t="s">
        <v>3191</v>
      </c>
      <c r="C789" s="950" t="s">
        <v>3192</v>
      </c>
      <c r="D789" s="950" t="s">
        <v>3192</v>
      </c>
      <c r="E789" s="952" t="s">
        <v>3192</v>
      </c>
      <c r="F789" s="940"/>
      <c r="G789" s="953"/>
      <c r="H789" s="969"/>
      <c r="I789" s="956" t="s">
        <v>3193</v>
      </c>
      <c r="J789" s="982" t="s">
        <v>150</v>
      </c>
      <c r="K789" s="984" t="s">
        <v>216</v>
      </c>
      <c r="L789" s="959">
        <v>85.0</v>
      </c>
      <c r="M789" s="960">
        <v>97.0</v>
      </c>
      <c r="N789" s="960">
        <v>66.0</v>
      </c>
      <c r="O789" s="960">
        <v>105.0</v>
      </c>
      <c r="P789" s="960">
        <v>66.0</v>
      </c>
      <c r="Q789" s="960">
        <v>65.0</v>
      </c>
      <c r="R789" s="960">
        <v>166.0</v>
      </c>
      <c r="S789" s="960">
        <v>229.0</v>
      </c>
      <c r="T789" s="960">
        <v>251.0</v>
      </c>
      <c r="U789" s="960">
        <f t="array" ref="U789">HLOOKUP($J789,'Type Chart'!$C$2:$T$20,2,false)*HLOOKUP($K789,'Type Chart'!$C$2:$U$20,2,false)</f>
        <v>1</v>
      </c>
      <c r="V789" s="960">
        <f t="array" ref="V789">HLOOKUP($J789,'Type Chart'!$C$2:$T$20,3,false)*HLOOKUP($K789,'Type Chart'!$C$2:$U$20,3,false)</f>
        <v>1</v>
      </c>
      <c r="W789" s="960">
        <f t="array" ref="W789">HLOOKUP($J789,'Type Chart'!$C$2:$T$20,4,false)*HLOOKUP($K789,'Type Chart'!$C$2:$U$20,4,false)</f>
        <v>1</v>
      </c>
      <c r="X789" s="960">
        <f t="array" ref="X789">HLOOKUP($J789,'Type Chart'!$C$2:$T$20,5,false)*HLOOKUP($K789,'Type Chart'!$C$2:$U$20,5,false)</f>
        <v>1</v>
      </c>
      <c r="Y789" s="960">
        <f t="array" ref="Y789">HLOOKUP($J789,'Type Chart'!$C$2:$T$20,6,false)*HLOOKUP($K789,'Type Chart'!$C$2:$U$20,6,false)</f>
        <v>2</v>
      </c>
      <c r="Z789" s="960">
        <f t="array" ref="Z789">HLOOKUP($J789,'Type Chart'!$C$2:$T$20,7,false)*HLOOKUP($K789,'Type Chart'!$C$2:$U$20,7,false)</f>
        <v>2</v>
      </c>
      <c r="AA789" s="960">
        <f t="array" ref="AA789">HLOOKUP($J789,'Type Chart'!$C$2:$T$20,8,false)*HLOOKUP($K789,'Type Chart'!$C$2:$U$20,8,false)</f>
        <v>0.5</v>
      </c>
      <c r="AB789" s="960">
        <f t="array" ref="AB789">HLOOKUP($J789,'Type Chart'!$C$2:$T$20,9,false)*HLOOKUP($K789,'Type Chart'!$C$2:$U$20,9,false)</f>
        <v>1</v>
      </c>
      <c r="AC789" s="960">
        <f t="array" ref="AC789">HLOOKUP($J789,'Type Chart'!$C$2:$T$20,10,false)*HLOOKUP($K789,'Type Chart'!$C$2:$U$20,10,false)</f>
        <v>0.5</v>
      </c>
      <c r="AD789" s="960">
        <f t="array" ref="AD789">HLOOKUP($J789,'Type Chart'!$C$2:$T$20,11,false)*HLOOKUP($K789,'Type Chart'!$C$2:$U$20,11,false)</f>
        <v>0.5</v>
      </c>
      <c r="AE789" s="960">
        <f t="array" ref="AE789">HLOOKUP($J789,'Type Chart'!$C$2:$T$20,12,false)*HLOOKUP($K789,'Type Chart'!$C$2:$U$20,12,false)</f>
        <v>2</v>
      </c>
      <c r="AF789" s="960">
        <f t="array" ref="AF789">HLOOKUP($J789,'Type Chart'!$C$2:$T$20,13,false)*HLOOKUP($K789,'Type Chart'!$C$2:$U$20,13,false)</f>
        <v>0.5</v>
      </c>
      <c r="AG789" s="960">
        <f t="array" ref="AG789">HLOOKUP($J789,'Type Chart'!$C$2:$T$20,14,false)*HLOOKUP($K789,'Type Chart'!$C$2:$U$20,14,false)</f>
        <v>1</v>
      </c>
      <c r="AH789" s="960">
        <f t="array" ref="AH789">HLOOKUP($J789,'Type Chart'!$C$2:$T$20,15,false)*HLOOKUP($K789,'Type Chart'!$C$2:$U$20,15,false)</f>
        <v>1</v>
      </c>
      <c r="AI789" s="960">
        <f t="array" ref="AI789">HLOOKUP($J789,'Type Chart'!$C$2:$T$20,16,false)*HLOOKUP($K789,'Type Chart'!$C$2:$U$20,16,false)</f>
        <v>0.5</v>
      </c>
      <c r="AJ789" s="960">
        <f t="array" ref="AJ789">HLOOKUP($J789,'Type Chart'!$C$2:$T$20,17,false)*HLOOKUP($K789,'Type Chart'!$C$2:$U$20,17,false)</f>
        <v>1</v>
      </c>
      <c r="AK789" s="960">
        <f t="array" ref="AK789">HLOOKUP($J789,'Type Chart'!$C$2:$T$20,18,false)*HLOOKUP($K789,'Type Chart'!$C$2:$U$20,18,false)</f>
        <v>1</v>
      </c>
      <c r="AL789" s="960">
        <f t="array" ref="AL789">HLOOKUP($J789,'Type Chart'!$C$2:$T$20,19,false)*HLOOKUP($K789,'Type Chart'!$C$2:$U$20,19,false)</f>
        <v>0.5</v>
      </c>
      <c r="AM789" s="964" t="s">
        <v>1044</v>
      </c>
      <c r="AN789" s="965" t="s">
        <v>1172</v>
      </c>
      <c r="AO789" s="966" t="s">
        <v>2224</v>
      </c>
      <c r="AP789" s="936"/>
      <c r="AQ789" s="967"/>
      <c r="AR789" s="968"/>
      <c r="AS789" s="936"/>
    </row>
    <row r="790" ht="15.75" customHeight="1">
      <c r="A790" s="1099"/>
      <c r="B790" s="948" t="s">
        <v>3194</v>
      </c>
      <c r="C790" s="1197" t="s">
        <v>3195</v>
      </c>
      <c r="D790" s="1197" t="s">
        <v>3195</v>
      </c>
      <c r="E790" s="1147" t="s">
        <v>3195</v>
      </c>
      <c r="F790" s="940"/>
      <c r="G790" s="953"/>
      <c r="H790" s="969"/>
      <c r="I790" s="998" t="s">
        <v>3196</v>
      </c>
      <c r="J790" s="1225" t="s">
        <v>343</v>
      </c>
      <c r="K790" s="1233" t="s">
        <v>82</v>
      </c>
      <c r="L790" s="1200">
        <v>58.0</v>
      </c>
      <c r="M790" s="1201">
        <v>109.0</v>
      </c>
      <c r="N790" s="1201">
        <v>112.0</v>
      </c>
      <c r="O790" s="1201">
        <v>48.0</v>
      </c>
      <c r="P790" s="1201">
        <v>48.0</v>
      </c>
      <c r="Q790" s="1201">
        <v>109.0</v>
      </c>
      <c r="R790" s="960">
        <v>254.0</v>
      </c>
      <c r="S790" s="960">
        <v>317.0</v>
      </c>
      <c r="T790" s="960">
        <v>348.0</v>
      </c>
      <c r="U790" s="960">
        <f t="array" ref="U790">HLOOKUP($J790,'Type Chart'!$C$2:$T$20,2,false)*HLOOKUP($K790,'Type Chart'!$C$2:$U$20,2,false)</f>
        <v>0.5</v>
      </c>
      <c r="V790" s="960">
        <f t="array" ref="V790">HLOOKUP($J790,'Type Chart'!$C$2:$T$20,3,false)*HLOOKUP($K790,'Type Chart'!$C$2:$U$20,3,false)</f>
        <v>1</v>
      </c>
      <c r="W790" s="960">
        <f t="array" ref="W790">HLOOKUP($J790,'Type Chart'!$C$2:$T$20,4,false)*HLOOKUP($K790,'Type Chart'!$C$2:$U$20,4,false)</f>
        <v>1</v>
      </c>
      <c r="X790" s="960">
        <f t="array" ref="X790">HLOOKUP($J790,'Type Chart'!$C$2:$T$20,5,false)*HLOOKUP($K790,'Type Chart'!$C$2:$U$20,5,false)</f>
        <v>0</v>
      </c>
      <c r="Y790" s="960">
        <f t="array" ref="Y790">HLOOKUP($J790,'Type Chart'!$C$2:$T$20,6,false)*HLOOKUP($K790,'Type Chart'!$C$2:$U$20,6,false)</f>
        <v>1</v>
      </c>
      <c r="Z790" s="960">
        <f t="array" ref="Z790">HLOOKUP($J790,'Type Chart'!$C$2:$T$20,7,false)*HLOOKUP($K790,'Type Chart'!$C$2:$U$20,7,false)</f>
        <v>1</v>
      </c>
      <c r="AA790" s="960">
        <f t="array" ref="AA790">HLOOKUP($J790,'Type Chart'!$C$2:$T$20,8,false)*HLOOKUP($K790,'Type Chart'!$C$2:$U$20,8,false)</f>
        <v>0.5</v>
      </c>
      <c r="AB790" s="960">
        <f t="array" ref="AB790">HLOOKUP($J790,'Type Chart'!$C$2:$T$20,9,false)*HLOOKUP($K790,'Type Chart'!$C$2:$U$20,9,false)</f>
        <v>1</v>
      </c>
      <c r="AC790" s="960">
        <f t="array" ref="AC790">HLOOKUP($J790,'Type Chart'!$C$2:$T$20,10,false)*HLOOKUP($K790,'Type Chart'!$C$2:$U$20,10,false)</f>
        <v>0.5</v>
      </c>
      <c r="AD790" s="960">
        <f t="array" ref="AD790">HLOOKUP($J790,'Type Chart'!$C$2:$T$20,11,false)*HLOOKUP($K790,'Type Chart'!$C$2:$U$20,11,false)</f>
        <v>4</v>
      </c>
      <c r="AE790" s="960">
        <f t="array" ref="AE790">HLOOKUP($J790,'Type Chart'!$C$2:$T$20,12,false)*HLOOKUP($K790,'Type Chart'!$C$2:$U$20,12,false)</f>
        <v>1</v>
      </c>
      <c r="AF790" s="960">
        <f t="array" ref="AF790">HLOOKUP($J790,'Type Chart'!$C$2:$T$20,13,false)*HLOOKUP($K790,'Type Chart'!$C$2:$U$20,13,false)</f>
        <v>0.25</v>
      </c>
      <c r="AG790" s="960">
        <f t="array" ref="AG790">HLOOKUP($J790,'Type Chart'!$C$2:$T$20,14,false)*HLOOKUP($K790,'Type Chart'!$C$2:$U$20,14,false)</f>
        <v>1</v>
      </c>
      <c r="AH790" s="960">
        <f t="array" ref="AH790">HLOOKUP($J790,'Type Chart'!$C$2:$T$20,15,false)*HLOOKUP($K790,'Type Chart'!$C$2:$U$20,15,false)</f>
        <v>0.5</v>
      </c>
      <c r="AI790" s="960">
        <f t="array" ref="AI790">HLOOKUP($J790,'Type Chart'!$C$2:$T$20,16,false)*HLOOKUP($K790,'Type Chart'!$C$2:$U$20,16,false)</f>
        <v>0.5</v>
      </c>
      <c r="AJ790" s="960">
        <f t="array" ref="AJ790">HLOOKUP($J790,'Type Chart'!$C$2:$T$20,17,false)*HLOOKUP($K790,'Type Chart'!$C$2:$U$20,17,false)</f>
        <v>0.5</v>
      </c>
      <c r="AK790" s="960">
        <f t="array" ref="AK790">HLOOKUP($J790,'Type Chart'!$C$2:$T$20,18,false)*HLOOKUP($K790,'Type Chart'!$C$2:$U$20,18,false)</f>
        <v>1</v>
      </c>
      <c r="AL790" s="960">
        <f t="array" ref="AL790">HLOOKUP($J790,'Type Chart'!$C$2:$T$20,19,false)*HLOOKUP($K790,'Type Chart'!$C$2:$U$20,19,false)</f>
        <v>0.5</v>
      </c>
      <c r="AM790" s="1145" t="s">
        <v>1013</v>
      </c>
      <c r="AN790" s="965" t="s">
        <v>1039</v>
      </c>
      <c r="AO790" s="1146" t="s">
        <v>2094</v>
      </c>
      <c r="AP790" s="936"/>
      <c r="AQ790" s="967"/>
      <c r="AR790" s="968"/>
      <c r="AS790" s="936"/>
    </row>
    <row r="791" ht="15.75" customHeight="1">
      <c r="A791" s="1099"/>
      <c r="B791" s="948" t="s">
        <v>3197</v>
      </c>
      <c r="C791" s="1197" t="s">
        <v>3198</v>
      </c>
      <c r="D791" s="1197" t="s">
        <v>3198</v>
      </c>
      <c r="E791" s="1147" t="s">
        <v>3198</v>
      </c>
      <c r="F791" s="940"/>
      <c r="G791" s="953"/>
      <c r="H791" s="969"/>
      <c r="I791" s="998" t="s">
        <v>3199</v>
      </c>
      <c r="J791" s="1229" t="s">
        <v>193</v>
      </c>
      <c r="K791" s="1231" t="s">
        <v>346</v>
      </c>
      <c r="L791" s="1200">
        <v>52.0</v>
      </c>
      <c r="M791" s="1201">
        <v>65.0</v>
      </c>
      <c r="N791" s="1201">
        <v>50.0</v>
      </c>
      <c r="O791" s="1201">
        <v>45.0</v>
      </c>
      <c r="P791" s="1201">
        <v>50.0</v>
      </c>
      <c r="Q791" s="1201">
        <v>38.0</v>
      </c>
      <c r="R791" s="960">
        <v>112.0</v>
      </c>
      <c r="S791" s="960">
        <v>175.0</v>
      </c>
      <c r="T791" s="960">
        <v>192.0</v>
      </c>
      <c r="U791" s="960">
        <f t="array" ref="U791">HLOOKUP($J791,'Type Chart'!$C$2:$T$20,2,false)*HLOOKUP($K791,'Type Chart'!$C$2:$U$20,2,false)</f>
        <v>1</v>
      </c>
      <c r="V791" s="960">
        <f t="array" ref="V791">HLOOKUP($J791,'Type Chart'!$C$2:$T$20,3,false)*HLOOKUP($K791,'Type Chart'!$C$2:$U$20,3,false)</f>
        <v>2</v>
      </c>
      <c r="W791" s="960">
        <f t="array" ref="W791">HLOOKUP($J791,'Type Chart'!$C$2:$T$20,4,false)*HLOOKUP($K791,'Type Chart'!$C$2:$U$20,4,false)</f>
        <v>1</v>
      </c>
      <c r="X791" s="960">
        <f t="array" ref="X791">HLOOKUP($J791,'Type Chart'!$C$2:$T$20,5,false)*HLOOKUP($K791,'Type Chart'!$C$2:$U$20,5,false)</f>
        <v>1</v>
      </c>
      <c r="Y791" s="960">
        <f t="array" ref="Y791">HLOOKUP($J791,'Type Chart'!$C$2:$T$20,6,false)*HLOOKUP($K791,'Type Chart'!$C$2:$U$20,6,false)</f>
        <v>1</v>
      </c>
      <c r="Z791" s="960">
        <f t="array" ref="Z791">HLOOKUP($J791,'Type Chart'!$C$2:$T$20,7,false)*HLOOKUP($K791,'Type Chart'!$C$2:$U$20,7,false)</f>
        <v>1</v>
      </c>
      <c r="AA791" s="960">
        <f t="array" ref="AA791">HLOOKUP($J791,'Type Chart'!$C$2:$T$20,8,false)*HLOOKUP($K791,'Type Chart'!$C$2:$U$20,8,false)</f>
        <v>2</v>
      </c>
      <c r="AB791" s="960">
        <f t="array" ref="AB791">HLOOKUP($J791,'Type Chart'!$C$2:$T$20,9,false)*HLOOKUP($K791,'Type Chart'!$C$2:$U$20,9,false)</f>
        <v>0.5</v>
      </c>
      <c r="AC791" s="960">
        <f t="array" ref="AC791">HLOOKUP($J791,'Type Chart'!$C$2:$T$20,10,false)*HLOOKUP($K791,'Type Chart'!$C$2:$U$20,10,false)</f>
        <v>1</v>
      </c>
      <c r="AD791" s="960">
        <f t="array" ref="AD791">HLOOKUP($J791,'Type Chart'!$C$2:$T$20,11,false)*HLOOKUP($K791,'Type Chart'!$C$2:$U$20,11,false)</f>
        <v>0.5</v>
      </c>
      <c r="AE791" s="960">
        <f t="array" ref="AE791">HLOOKUP($J791,'Type Chart'!$C$2:$T$20,12,false)*HLOOKUP($K791,'Type Chart'!$C$2:$U$20,12,false)</f>
        <v>0.5</v>
      </c>
      <c r="AF791" s="960">
        <f t="array" ref="AF791">HLOOKUP($J791,'Type Chart'!$C$2:$T$20,13,false)*HLOOKUP($K791,'Type Chart'!$C$2:$U$20,13,false)</f>
        <v>0.5</v>
      </c>
      <c r="AG791" s="960">
        <f t="array" ref="AG791">HLOOKUP($J791,'Type Chart'!$C$2:$T$20,14,false)*HLOOKUP($K791,'Type Chart'!$C$2:$U$20,14,false)</f>
        <v>0.5</v>
      </c>
      <c r="AH791" s="960">
        <f t="array" ref="AH791">HLOOKUP($J791,'Type Chart'!$C$2:$T$20,15,false)*HLOOKUP($K791,'Type Chart'!$C$2:$U$20,15,false)</f>
        <v>0</v>
      </c>
      <c r="AI791" s="960">
        <f t="array" ref="AI791">HLOOKUP($J791,'Type Chart'!$C$2:$T$20,16,false)*HLOOKUP($K791,'Type Chart'!$C$2:$U$20,16,false)</f>
        <v>2</v>
      </c>
      <c r="AJ791" s="960">
        <f t="array" ref="AJ791">HLOOKUP($J791,'Type Chart'!$C$2:$T$20,17,false)*HLOOKUP($K791,'Type Chart'!$C$2:$U$20,17,false)</f>
        <v>2</v>
      </c>
      <c r="AK791" s="960">
        <f t="array" ref="AK791">HLOOKUP($J791,'Type Chart'!$C$2:$T$20,18,false)*HLOOKUP($K791,'Type Chart'!$C$2:$U$20,18,false)</f>
        <v>0.5</v>
      </c>
      <c r="AL791" s="960">
        <f t="array" ref="AL791">HLOOKUP($J791,'Type Chart'!$C$2:$T$20,19,false)*HLOOKUP($K791,'Type Chart'!$C$2:$U$20,19,false)</f>
        <v>4</v>
      </c>
      <c r="AM791" s="1145" t="s">
        <v>1039</v>
      </c>
      <c r="AN791" s="965"/>
      <c r="AO791" s="966"/>
      <c r="AP791" s="936"/>
      <c r="AQ791" s="967"/>
      <c r="AR791" s="968"/>
      <c r="AS791" s="936"/>
    </row>
    <row r="792" ht="15.75" customHeight="1">
      <c r="A792" s="936"/>
      <c r="B792" s="948" t="s">
        <v>3200</v>
      </c>
      <c r="C792" s="1197" t="s">
        <v>100</v>
      </c>
      <c r="D792" s="1197" t="s">
        <v>100</v>
      </c>
      <c r="E792" s="952" t="s">
        <v>100</v>
      </c>
      <c r="F792" s="940"/>
      <c r="G792" s="953"/>
      <c r="H792" s="969"/>
      <c r="I792" s="998" t="s">
        <v>199</v>
      </c>
      <c r="J792" s="1229" t="s">
        <v>193</v>
      </c>
      <c r="K792" s="1006" t="s">
        <v>346</v>
      </c>
      <c r="L792" s="1200">
        <v>72.0</v>
      </c>
      <c r="M792" s="1201">
        <v>85.0</v>
      </c>
      <c r="N792" s="1201">
        <v>70.0</v>
      </c>
      <c r="O792" s="1201">
        <v>65.0</v>
      </c>
      <c r="P792" s="1201">
        <v>70.0</v>
      </c>
      <c r="Q792" s="1201">
        <v>58.0</v>
      </c>
      <c r="R792" s="960">
        <v>152.0</v>
      </c>
      <c r="S792" s="960">
        <v>215.0</v>
      </c>
      <c r="T792" s="960">
        <v>236.0</v>
      </c>
      <c r="U792" s="960">
        <f t="array" ref="U792">HLOOKUP($J792,'Type Chart'!$C$2:$T$20,2,false)*HLOOKUP($K792,'Type Chart'!$C$2:$U$20,2,false)</f>
        <v>1</v>
      </c>
      <c r="V792" s="960">
        <f t="array" ref="V792">HLOOKUP($J792,'Type Chart'!$C$2:$T$20,3,false)*HLOOKUP($K792,'Type Chart'!$C$2:$U$20,3,false)</f>
        <v>2</v>
      </c>
      <c r="W792" s="960">
        <f t="array" ref="W792">HLOOKUP($J792,'Type Chart'!$C$2:$T$20,4,false)*HLOOKUP($K792,'Type Chart'!$C$2:$U$20,4,false)</f>
        <v>1</v>
      </c>
      <c r="X792" s="960">
        <f t="array" ref="X792">HLOOKUP($J792,'Type Chart'!$C$2:$T$20,5,false)*HLOOKUP($K792,'Type Chart'!$C$2:$U$20,5,false)</f>
        <v>1</v>
      </c>
      <c r="Y792" s="960">
        <f t="array" ref="Y792">HLOOKUP($J792,'Type Chart'!$C$2:$T$20,6,false)*HLOOKUP($K792,'Type Chart'!$C$2:$U$20,6,false)</f>
        <v>1</v>
      </c>
      <c r="Z792" s="960">
        <f t="array" ref="Z792">HLOOKUP($J792,'Type Chart'!$C$2:$T$20,7,false)*HLOOKUP($K792,'Type Chart'!$C$2:$U$20,7,false)</f>
        <v>1</v>
      </c>
      <c r="AA792" s="960">
        <f t="array" ref="AA792">HLOOKUP($J792,'Type Chart'!$C$2:$T$20,8,false)*HLOOKUP($K792,'Type Chart'!$C$2:$U$20,8,false)</f>
        <v>2</v>
      </c>
      <c r="AB792" s="960">
        <f t="array" ref="AB792">HLOOKUP($J792,'Type Chart'!$C$2:$T$20,9,false)*HLOOKUP($K792,'Type Chart'!$C$2:$U$20,9,false)</f>
        <v>0.5</v>
      </c>
      <c r="AC792" s="960">
        <f t="array" ref="AC792">HLOOKUP($J792,'Type Chart'!$C$2:$T$20,10,false)*HLOOKUP($K792,'Type Chart'!$C$2:$U$20,10,false)</f>
        <v>1</v>
      </c>
      <c r="AD792" s="960">
        <f t="array" ref="AD792">HLOOKUP($J792,'Type Chart'!$C$2:$T$20,11,false)*HLOOKUP($K792,'Type Chart'!$C$2:$U$20,11,false)</f>
        <v>0.5</v>
      </c>
      <c r="AE792" s="960">
        <f t="array" ref="AE792">HLOOKUP($J792,'Type Chart'!$C$2:$T$20,12,false)*HLOOKUP($K792,'Type Chart'!$C$2:$U$20,12,false)</f>
        <v>0.5</v>
      </c>
      <c r="AF792" s="960">
        <f t="array" ref="AF792">HLOOKUP($J792,'Type Chart'!$C$2:$T$20,13,false)*HLOOKUP($K792,'Type Chart'!$C$2:$U$20,13,false)</f>
        <v>0.5</v>
      </c>
      <c r="AG792" s="960">
        <f t="array" ref="AG792">HLOOKUP($J792,'Type Chart'!$C$2:$T$20,14,false)*HLOOKUP($K792,'Type Chart'!$C$2:$U$20,14,false)</f>
        <v>0.5</v>
      </c>
      <c r="AH792" s="960">
        <f t="array" ref="AH792">HLOOKUP($J792,'Type Chart'!$C$2:$T$20,15,false)*HLOOKUP($K792,'Type Chart'!$C$2:$U$20,15,false)</f>
        <v>0</v>
      </c>
      <c r="AI792" s="960">
        <f t="array" ref="AI792">HLOOKUP($J792,'Type Chart'!$C$2:$T$20,16,false)*HLOOKUP($K792,'Type Chart'!$C$2:$U$20,16,false)</f>
        <v>2</v>
      </c>
      <c r="AJ792" s="960">
        <f t="array" ref="AJ792">HLOOKUP($J792,'Type Chart'!$C$2:$T$20,17,false)*HLOOKUP($K792,'Type Chart'!$C$2:$U$20,17,false)</f>
        <v>2</v>
      </c>
      <c r="AK792" s="960">
        <f t="array" ref="AK792">HLOOKUP($J792,'Type Chart'!$C$2:$T$20,18,false)*HLOOKUP($K792,'Type Chart'!$C$2:$U$20,18,false)</f>
        <v>0.5</v>
      </c>
      <c r="AL792" s="960">
        <f t="array" ref="AL792">HLOOKUP($J792,'Type Chart'!$C$2:$T$20,19,false)*HLOOKUP($K792,'Type Chart'!$C$2:$U$20,19,false)</f>
        <v>4</v>
      </c>
      <c r="AM792" s="964" t="s">
        <v>1039</v>
      </c>
      <c r="AN792" s="965"/>
      <c r="AO792" s="966"/>
      <c r="AP792" s="936"/>
      <c r="AQ792" s="967"/>
      <c r="AR792" s="968"/>
      <c r="AS792" s="936"/>
    </row>
    <row r="793" ht="15.75" customHeight="1">
      <c r="A793" s="936"/>
      <c r="B793" s="948" t="s">
        <v>3201</v>
      </c>
      <c r="C793" s="1197" t="s">
        <v>3202</v>
      </c>
      <c r="D793" s="1197" t="s">
        <v>3202</v>
      </c>
      <c r="E793" s="952" t="s">
        <v>3202</v>
      </c>
      <c r="F793" s="940"/>
      <c r="G793" s="953"/>
      <c r="H793" s="969"/>
      <c r="I793" s="998" t="s">
        <v>477</v>
      </c>
      <c r="J793" s="1229" t="s">
        <v>193</v>
      </c>
      <c r="K793" s="1231" t="s">
        <v>346</v>
      </c>
      <c r="L793" s="1200">
        <v>92.0</v>
      </c>
      <c r="M793" s="1201">
        <v>105.0</v>
      </c>
      <c r="N793" s="1201">
        <v>90.0</v>
      </c>
      <c r="O793" s="1201">
        <v>125.0</v>
      </c>
      <c r="P793" s="1201">
        <v>90.0</v>
      </c>
      <c r="Q793" s="1201">
        <v>98.0</v>
      </c>
      <c r="R793" s="960">
        <v>232.0</v>
      </c>
      <c r="S793" s="960">
        <v>295.0</v>
      </c>
      <c r="T793" s="960">
        <v>324.0</v>
      </c>
      <c r="U793" s="960">
        <f t="array" ref="U793">HLOOKUP($J793,'Type Chart'!$C$2:$T$20,2,false)*HLOOKUP($K793,'Type Chart'!$C$2:$U$20,2,false)</f>
        <v>1</v>
      </c>
      <c r="V793" s="960">
        <f t="array" ref="V793">HLOOKUP($J793,'Type Chart'!$C$2:$T$20,3,false)*HLOOKUP($K793,'Type Chart'!$C$2:$U$20,3,false)</f>
        <v>2</v>
      </c>
      <c r="W793" s="960">
        <f t="array" ref="W793">HLOOKUP($J793,'Type Chart'!$C$2:$T$20,4,false)*HLOOKUP($K793,'Type Chart'!$C$2:$U$20,4,false)</f>
        <v>1</v>
      </c>
      <c r="X793" s="960">
        <f t="array" ref="X793">HLOOKUP($J793,'Type Chart'!$C$2:$T$20,5,false)*HLOOKUP($K793,'Type Chart'!$C$2:$U$20,5,false)</f>
        <v>1</v>
      </c>
      <c r="Y793" s="960">
        <f t="array" ref="Y793">HLOOKUP($J793,'Type Chart'!$C$2:$T$20,6,false)*HLOOKUP($K793,'Type Chart'!$C$2:$U$20,6,false)</f>
        <v>1</v>
      </c>
      <c r="Z793" s="960">
        <f t="array" ref="Z793">HLOOKUP($J793,'Type Chart'!$C$2:$T$20,7,false)*HLOOKUP($K793,'Type Chart'!$C$2:$U$20,7,false)</f>
        <v>1</v>
      </c>
      <c r="AA793" s="960">
        <f t="array" ref="AA793">HLOOKUP($J793,'Type Chart'!$C$2:$T$20,8,false)*HLOOKUP($K793,'Type Chart'!$C$2:$U$20,8,false)</f>
        <v>2</v>
      </c>
      <c r="AB793" s="960">
        <f t="array" ref="AB793">HLOOKUP($J793,'Type Chart'!$C$2:$T$20,9,false)*HLOOKUP($K793,'Type Chart'!$C$2:$U$20,9,false)</f>
        <v>0.5</v>
      </c>
      <c r="AC793" s="960">
        <f t="array" ref="AC793">HLOOKUP($J793,'Type Chart'!$C$2:$T$20,10,false)*HLOOKUP($K793,'Type Chart'!$C$2:$U$20,10,false)</f>
        <v>1</v>
      </c>
      <c r="AD793" s="960">
        <f t="array" ref="AD793">HLOOKUP($J793,'Type Chart'!$C$2:$T$20,11,false)*HLOOKUP($K793,'Type Chart'!$C$2:$U$20,11,false)</f>
        <v>0.5</v>
      </c>
      <c r="AE793" s="960">
        <f t="array" ref="AE793">HLOOKUP($J793,'Type Chart'!$C$2:$T$20,12,false)*HLOOKUP($K793,'Type Chart'!$C$2:$U$20,12,false)</f>
        <v>0.5</v>
      </c>
      <c r="AF793" s="960">
        <f t="array" ref="AF793">HLOOKUP($J793,'Type Chart'!$C$2:$T$20,13,false)*HLOOKUP($K793,'Type Chart'!$C$2:$U$20,13,false)</f>
        <v>0.5</v>
      </c>
      <c r="AG793" s="960">
        <f t="array" ref="AG793">HLOOKUP($J793,'Type Chart'!$C$2:$T$20,14,false)*HLOOKUP($K793,'Type Chart'!$C$2:$U$20,14,false)</f>
        <v>0.5</v>
      </c>
      <c r="AH793" s="960">
        <f t="array" ref="AH793">HLOOKUP($J793,'Type Chart'!$C$2:$T$20,15,false)*HLOOKUP($K793,'Type Chart'!$C$2:$U$20,15,false)</f>
        <v>0</v>
      </c>
      <c r="AI793" s="960">
        <f t="array" ref="AI793">HLOOKUP($J793,'Type Chart'!$C$2:$T$20,16,false)*HLOOKUP($K793,'Type Chart'!$C$2:$U$20,16,false)</f>
        <v>2</v>
      </c>
      <c r="AJ793" s="960">
        <f t="array" ref="AJ793">HLOOKUP($J793,'Type Chart'!$C$2:$T$20,17,false)*HLOOKUP($K793,'Type Chart'!$C$2:$U$20,17,false)</f>
        <v>2</v>
      </c>
      <c r="AK793" s="960">
        <f t="array" ref="AK793">HLOOKUP($J793,'Type Chart'!$C$2:$T$20,18,false)*HLOOKUP($K793,'Type Chart'!$C$2:$U$20,18,false)</f>
        <v>0.5</v>
      </c>
      <c r="AL793" s="960">
        <f t="array" ref="AL793">HLOOKUP($J793,'Type Chart'!$C$2:$T$20,19,false)*HLOOKUP($K793,'Type Chart'!$C$2:$U$20,19,false)</f>
        <v>4</v>
      </c>
      <c r="AM793" s="964" t="s">
        <v>1437</v>
      </c>
      <c r="AN793" s="965"/>
      <c r="AO793" s="966"/>
      <c r="AP793" s="936"/>
      <c r="AQ793" s="967"/>
      <c r="AR793" s="968"/>
      <c r="AS793" s="936"/>
    </row>
    <row r="794" ht="15.75" customHeight="1">
      <c r="A794" s="936"/>
      <c r="B794" s="948" t="s">
        <v>3203</v>
      </c>
      <c r="C794" s="1197" t="s">
        <v>3204</v>
      </c>
      <c r="D794" s="1197" t="s">
        <v>3204</v>
      </c>
      <c r="E794" s="952" t="s">
        <v>3204</v>
      </c>
      <c r="F794" s="940"/>
      <c r="G794" s="953"/>
      <c r="H794" s="969"/>
      <c r="I794" s="998" t="s">
        <v>3205</v>
      </c>
      <c r="J794" s="1225" t="s">
        <v>343</v>
      </c>
      <c r="K794" s="1208" t="s">
        <v>150</v>
      </c>
      <c r="L794" s="1200">
        <v>55.0</v>
      </c>
      <c r="M794" s="1201">
        <v>85.0</v>
      </c>
      <c r="N794" s="1201">
        <v>55.0</v>
      </c>
      <c r="O794" s="1201">
        <v>50.0</v>
      </c>
      <c r="P794" s="1201">
        <v>55.0</v>
      </c>
      <c r="Q794" s="1201">
        <v>60.0</v>
      </c>
      <c r="R794" s="960">
        <v>156.0</v>
      </c>
      <c r="S794" s="960">
        <v>219.0</v>
      </c>
      <c r="T794" s="960">
        <v>240.0</v>
      </c>
      <c r="U794" s="960">
        <f t="array" ref="U794">HLOOKUP($J794,'Type Chart'!$C$2:$T$20,2,false)*HLOOKUP($K794,'Type Chart'!$C$2:$U$20,2,false)</f>
        <v>1</v>
      </c>
      <c r="V794" s="960">
        <f t="array" ref="V794">HLOOKUP($J794,'Type Chart'!$C$2:$T$20,3,false)*HLOOKUP($K794,'Type Chart'!$C$2:$U$20,3,false)</f>
        <v>0.5</v>
      </c>
      <c r="W794" s="960">
        <f t="array" ref="W794">HLOOKUP($J794,'Type Chart'!$C$2:$T$20,4,false)*HLOOKUP($K794,'Type Chart'!$C$2:$U$20,4,false)</f>
        <v>2</v>
      </c>
      <c r="X794" s="960">
        <f t="array" ref="X794">HLOOKUP($J794,'Type Chart'!$C$2:$T$20,5,false)*HLOOKUP($K794,'Type Chart'!$C$2:$U$20,5,false)</f>
        <v>1</v>
      </c>
      <c r="Y794" s="960">
        <f t="array" ref="Y794">HLOOKUP($J794,'Type Chart'!$C$2:$T$20,6,false)*HLOOKUP($K794,'Type Chart'!$C$2:$U$20,6,false)</f>
        <v>1</v>
      </c>
      <c r="Z794" s="960">
        <f t="array" ref="Z794">HLOOKUP($J794,'Type Chart'!$C$2:$T$20,7,false)*HLOOKUP($K794,'Type Chart'!$C$2:$U$20,7,false)</f>
        <v>4</v>
      </c>
      <c r="AA794" s="960">
        <f t="array" ref="AA794">HLOOKUP($J794,'Type Chart'!$C$2:$T$20,8,false)*HLOOKUP($K794,'Type Chart'!$C$2:$U$20,8,false)</f>
        <v>0.5</v>
      </c>
      <c r="AB794" s="960">
        <f t="array" ref="AB794">HLOOKUP($J794,'Type Chart'!$C$2:$T$20,9,false)*HLOOKUP($K794,'Type Chart'!$C$2:$U$20,9,false)</f>
        <v>1</v>
      </c>
      <c r="AC794" s="960">
        <f t="array" ref="AC794">HLOOKUP($J794,'Type Chart'!$C$2:$T$20,10,false)*HLOOKUP($K794,'Type Chart'!$C$2:$U$20,10,false)</f>
        <v>0.5</v>
      </c>
      <c r="AD794" s="960">
        <f t="array" ref="AD794">HLOOKUP($J794,'Type Chart'!$C$2:$T$20,11,false)*HLOOKUP($K794,'Type Chart'!$C$2:$U$20,11,false)</f>
        <v>1</v>
      </c>
      <c r="AE794" s="960">
        <f t="array" ref="AE794">HLOOKUP($J794,'Type Chart'!$C$2:$T$20,12,false)*HLOOKUP($K794,'Type Chart'!$C$2:$U$20,12,false)</f>
        <v>2</v>
      </c>
      <c r="AF794" s="960">
        <f t="array" ref="AF794">HLOOKUP($J794,'Type Chart'!$C$2:$T$20,13,false)*HLOOKUP($K794,'Type Chart'!$C$2:$U$20,13,false)</f>
        <v>0.25</v>
      </c>
      <c r="AG794" s="960">
        <f t="array" ref="AG794">HLOOKUP($J794,'Type Chart'!$C$2:$T$20,14,false)*HLOOKUP($K794,'Type Chart'!$C$2:$U$20,14,false)</f>
        <v>1</v>
      </c>
      <c r="AH794" s="960">
        <f t="array" ref="AH794">HLOOKUP($J794,'Type Chart'!$C$2:$T$20,15,false)*HLOOKUP($K794,'Type Chart'!$C$2:$U$20,15,false)</f>
        <v>1</v>
      </c>
      <c r="AI794" s="960">
        <f t="array" ref="AI794">HLOOKUP($J794,'Type Chart'!$C$2:$T$20,16,false)*HLOOKUP($K794,'Type Chart'!$C$2:$U$20,16,false)</f>
        <v>0.5</v>
      </c>
      <c r="AJ794" s="960">
        <f t="array" ref="AJ794">HLOOKUP($J794,'Type Chart'!$C$2:$T$20,17,false)*HLOOKUP($K794,'Type Chart'!$C$2:$U$20,17,false)</f>
        <v>1</v>
      </c>
      <c r="AK794" s="960">
        <f t="array" ref="AK794">HLOOKUP($J794,'Type Chart'!$C$2:$T$20,18,false)*HLOOKUP($K794,'Type Chart'!$C$2:$U$20,18,false)</f>
        <v>1</v>
      </c>
      <c r="AL794" s="960">
        <f t="array" ref="AL794">HLOOKUP($J794,'Type Chart'!$C$2:$T$20,19,false)*HLOOKUP($K794,'Type Chart'!$C$2:$U$20,19,false)</f>
        <v>0.5</v>
      </c>
      <c r="AM794" s="964" t="s">
        <v>1353</v>
      </c>
      <c r="AN794" s="965"/>
      <c r="AO794" s="966" t="s">
        <v>1013</v>
      </c>
      <c r="AP794" s="936"/>
      <c r="AQ794" s="967"/>
      <c r="AR794" s="968"/>
      <c r="AS794" s="936"/>
    </row>
    <row r="795" ht="15.75" customHeight="1">
      <c r="A795" s="936"/>
      <c r="B795" s="948" t="s">
        <v>3206</v>
      </c>
      <c r="C795" s="950" t="s">
        <v>3207</v>
      </c>
      <c r="D795" s="950" t="s">
        <v>3207</v>
      </c>
      <c r="E795" s="952" t="s">
        <v>3207</v>
      </c>
      <c r="F795" s="940"/>
      <c r="G795" s="953"/>
      <c r="H795" s="969"/>
      <c r="I795" s="998" t="s">
        <v>431</v>
      </c>
      <c r="J795" s="1225" t="s">
        <v>343</v>
      </c>
      <c r="K795" s="1208" t="s">
        <v>150</v>
      </c>
      <c r="L795" s="1200">
        <v>85.0</v>
      </c>
      <c r="M795" s="1201">
        <v>60.0</v>
      </c>
      <c r="N795" s="1201">
        <v>65.0</v>
      </c>
      <c r="O795" s="1201">
        <v>135.0</v>
      </c>
      <c r="P795" s="1201">
        <v>105.0</v>
      </c>
      <c r="Q795" s="1201">
        <v>100.0</v>
      </c>
      <c r="R795" s="960">
        <v>236.0</v>
      </c>
      <c r="S795" s="960">
        <v>299.0</v>
      </c>
      <c r="T795" s="960">
        <v>328.0</v>
      </c>
      <c r="U795" s="960">
        <f t="array" ref="U795">HLOOKUP($J795,'Type Chart'!$C$2:$T$20,2,false)*HLOOKUP($K795,'Type Chart'!$C$2:$U$20,2,false)</f>
        <v>1</v>
      </c>
      <c r="V795" s="960">
        <f t="array" ref="V795">HLOOKUP($J795,'Type Chart'!$C$2:$T$20,3,false)*HLOOKUP($K795,'Type Chart'!$C$2:$U$20,3,false)</f>
        <v>0.5</v>
      </c>
      <c r="W795" s="960">
        <f t="array" ref="W795">HLOOKUP($J795,'Type Chart'!$C$2:$T$20,4,false)*HLOOKUP($K795,'Type Chart'!$C$2:$U$20,4,false)</f>
        <v>2</v>
      </c>
      <c r="X795" s="960">
        <f t="array" ref="X795">HLOOKUP($J795,'Type Chart'!$C$2:$T$20,5,false)*HLOOKUP($K795,'Type Chart'!$C$2:$U$20,5,false)</f>
        <v>1</v>
      </c>
      <c r="Y795" s="960">
        <f t="array" ref="Y795">HLOOKUP($J795,'Type Chart'!$C$2:$T$20,6,false)*HLOOKUP($K795,'Type Chart'!$C$2:$U$20,6,false)</f>
        <v>1</v>
      </c>
      <c r="Z795" s="960">
        <f t="array" ref="Z795">HLOOKUP($J795,'Type Chart'!$C$2:$T$20,7,false)*HLOOKUP($K795,'Type Chart'!$C$2:$U$20,7,false)</f>
        <v>4</v>
      </c>
      <c r="AA795" s="960">
        <f t="array" ref="AA795">HLOOKUP($J795,'Type Chart'!$C$2:$T$20,8,false)*HLOOKUP($K795,'Type Chart'!$C$2:$U$20,8,false)</f>
        <v>0.5</v>
      </c>
      <c r="AB795" s="960">
        <f t="array" ref="AB795">HLOOKUP($J795,'Type Chart'!$C$2:$T$20,9,false)*HLOOKUP($K795,'Type Chart'!$C$2:$U$20,9,false)</f>
        <v>1</v>
      </c>
      <c r="AC795" s="960">
        <f t="array" ref="AC795">HLOOKUP($J795,'Type Chart'!$C$2:$T$20,10,false)*HLOOKUP($K795,'Type Chart'!$C$2:$U$20,10,false)</f>
        <v>0.5</v>
      </c>
      <c r="AD795" s="960">
        <f t="array" ref="AD795">HLOOKUP($J795,'Type Chart'!$C$2:$T$20,11,false)*HLOOKUP($K795,'Type Chart'!$C$2:$U$20,11,false)</f>
        <v>1</v>
      </c>
      <c r="AE795" s="960">
        <f t="array" ref="AE795">HLOOKUP($J795,'Type Chart'!$C$2:$T$20,12,false)*HLOOKUP($K795,'Type Chart'!$C$2:$U$20,12,false)</f>
        <v>2</v>
      </c>
      <c r="AF795" s="960">
        <f t="array" ref="AF795">HLOOKUP($J795,'Type Chart'!$C$2:$T$20,13,false)*HLOOKUP($K795,'Type Chart'!$C$2:$U$20,13,false)</f>
        <v>0.25</v>
      </c>
      <c r="AG795" s="960">
        <f t="array" ref="AG795">HLOOKUP($J795,'Type Chart'!$C$2:$T$20,14,false)*HLOOKUP($K795,'Type Chart'!$C$2:$U$20,14,false)</f>
        <v>1</v>
      </c>
      <c r="AH795" s="960">
        <f t="array" ref="AH795">HLOOKUP($J795,'Type Chart'!$C$2:$T$20,15,false)*HLOOKUP($K795,'Type Chart'!$C$2:$U$20,15,false)</f>
        <v>1</v>
      </c>
      <c r="AI795" s="960">
        <f t="array" ref="AI795">HLOOKUP($J795,'Type Chart'!$C$2:$T$20,16,false)*HLOOKUP($K795,'Type Chart'!$C$2:$U$20,16,false)</f>
        <v>0.5</v>
      </c>
      <c r="AJ795" s="960">
        <f t="array" ref="AJ795">HLOOKUP($J795,'Type Chart'!$C$2:$T$20,17,false)*HLOOKUP($K795,'Type Chart'!$C$2:$U$20,17,false)</f>
        <v>1</v>
      </c>
      <c r="AK795" s="960">
        <f t="array" ref="AK795">HLOOKUP($J795,'Type Chart'!$C$2:$T$20,18,false)*HLOOKUP($K795,'Type Chart'!$C$2:$U$20,18,false)</f>
        <v>1</v>
      </c>
      <c r="AL795" s="960">
        <f t="array" ref="AL795">HLOOKUP($J795,'Type Chart'!$C$2:$T$20,19,false)*HLOOKUP($K795,'Type Chart'!$C$2:$U$20,19,false)</f>
        <v>0.5</v>
      </c>
      <c r="AM795" s="1145" t="s">
        <v>1353</v>
      </c>
      <c r="AN795" s="965"/>
      <c r="AO795" s="966" t="s">
        <v>1013</v>
      </c>
      <c r="AP795" s="936"/>
      <c r="AQ795" s="967"/>
      <c r="AR795" s="968"/>
      <c r="AS795" s="936"/>
    </row>
    <row r="796" ht="15.75" customHeight="1">
      <c r="A796" s="936"/>
      <c r="B796" s="948" t="s">
        <v>3208</v>
      </c>
      <c r="C796" s="950" t="s">
        <v>94</v>
      </c>
      <c r="D796" s="950" t="s">
        <v>94</v>
      </c>
      <c r="E796" s="952" t="s">
        <v>94</v>
      </c>
      <c r="F796" s="940"/>
      <c r="G796" s="953"/>
      <c r="H796" s="969"/>
      <c r="I796" s="956" t="s">
        <v>146</v>
      </c>
      <c r="J796" s="1206" t="s">
        <v>82</v>
      </c>
      <c r="K796" s="1213" t="s">
        <v>341</v>
      </c>
      <c r="L796" s="959">
        <v>91.0</v>
      </c>
      <c r="M796" s="960">
        <v>90.0</v>
      </c>
      <c r="N796" s="960">
        <v>129.0</v>
      </c>
      <c r="O796" s="960">
        <v>90.0</v>
      </c>
      <c r="P796" s="960">
        <v>72.0</v>
      </c>
      <c r="Q796" s="960">
        <v>108.0</v>
      </c>
      <c r="R796" s="960">
        <v>252.0</v>
      </c>
      <c r="S796" s="960">
        <v>315.0</v>
      </c>
      <c r="T796" s="960">
        <v>346.0</v>
      </c>
      <c r="U796" s="960">
        <f t="array" ref="U796">HLOOKUP($J796,'Type Chart'!$C$2:$T$20,2,false)*HLOOKUP($K796,'Type Chart'!$C$2:$U$20,2,false)</f>
        <v>0.5</v>
      </c>
      <c r="V796" s="960">
        <f t="array" ref="V796">HLOOKUP($J796,'Type Chart'!$C$2:$T$20,3,false)*HLOOKUP($K796,'Type Chart'!$C$2:$U$20,3,false)</f>
        <v>2</v>
      </c>
      <c r="W796" s="960">
        <f t="array" ref="W796">HLOOKUP($J796,'Type Chart'!$C$2:$T$20,4,false)*HLOOKUP($K796,'Type Chart'!$C$2:$U$20,4,false)</f>
        <v>1</v>
      </c>
      <c r="X796" s="960">
        <f t="array" ref="X796">HLOOKUP($J796,'Type Chart'!$C$2:$T$20,5,false)*HLOOKUP($K796,'Type Chart'!$C$2:$U$20,5,false)</f>
        <v>0</v>
      </c>
      <c r="Y796" s="960">
        <f t="array" ref="Y796">HLOOKUP($J796,'Type Chart'!$C$2:$T$20,6,false)*HLOOKUP($K796,'Type Chart'!$C$2:$U$20,6,false)</f>
        <v>2</v>
      </c>
      <c r="Z796" s="960">
        <f t="array" ref="Z796">HLOOKUP($J796,'Type Chart'!$C$2:$T$20,7,false)*HLOOKUP($K796,'Type Chart'!$C$2:$U$20,7,false)</f>
        <v>0.25</v>
      </c>
      <c r="AA796" s="960">
        <f t="array" ref="AA796">HLOOKUP($J796,'Type Chart'!$C$2:$T$20,8,false)*HLOOKUP($K796,'Type Chart'!$C$2:$U$20,8,false)</f>
        <v>0.25</v>
      </c>
      <c r="AB796" s="960">
        <f t="array" ref="AB796">HLOOKUP($J796,'Type Chart'!$C$2:$T$20,9,false)*HLOOKUP($K796,'Type Chart'!$C$2:$U$20,9,false)</f>
        <v>1</v>
      </c>
      <c r="AC796" s="960">
        <f t="array" ref="AC796">HLOOKUP($J796,'Type Chart'!$C$2:$T$20,10,false)*HLOOKUP($K796,'Type Chart'!$C$2:$U$20,10,false)</f>
        <v>0.5</v>
      </c>
      <c r="AD796" s="960">
        <f t="array" ref="AD796">HLOOKUP($J796,'Type Chart'!$C$2:$T$20,11,false)*HLOOKUP($K796,'Type Chart'!$C$2:$U$20,11,false)</f>
        <v>2</v>
      </c>
      <c r="AE796" s="960">
        <f t="array" ref="AE796">HLOOKUP($J796,'Type Chart'!$C$2:$T$20,12,false)*HLOOKUP($K796,'Type Chart'!$C$2:$U$20,12,false)</f>
        <v>1</v>
      </c>
      <c r="AF796" s="960">
        <f t="array" ref="AF796">HLOOKUP($J796,'Type Chart'!$C$2:$T$20,13,false)*HLOOKUP($K796,'Type Chart'!$C$2:$U$20,13,false)</f>
        <v>0.5</v>
      </c>
      <c r="AG796" s="960">
        <f t="array" ref="AG796">HLOOKUP($J796,'Type Chart'!$C$2:$T$20,14,false)*HLOOKUP($K796,'Type Chart'!$C$2:$U$20,14,false)</f>
        <v>1</v>
      </c>
      <c r="AH796" s="960">
        <f t="array" ref="AH796">HLOOKUP($J796,'Type Chart'!$C$2:$T$20,15,false)*HLOOKUP($K796,'Type Chart'!$C$2:$U$20,15,false)</f>
        <v>1</v>
      </c>
      <c r="AI796" s="960">
        <f t="array" ref="AI796">HLOOKUP($J796,'Type Chart'!$C$2:$T$20,16,false)*HLOOKUP($K796,'Type Chart'!$C$2:$U$20,16,false)</f>
        <v>0.5</v>
      </c>
      <c r="AJ796" s="960">
        <f t="array" ref="AJ796">HLOOKUP($J796,'Type Chart'!$C$2:$T$20,17,false)*HLOOKUP($K796,'Type Chart'!$C$2:$U$20,17,false)</f>
        <v>0.5</v>
      </c>
      <c r="AK796" s="960">
        <f t="array" ref="AK796">HLOOKUP($J796,'Type Chart'!$C$2:$T$20,18,false)*HLOOKUP($K796,'Type Chart'!$C$2:$U$20,18,false)</f>
        <v>0.5</v>
      </c>
      <c r="AL796" s="960">
        <f t="array" ref="AL796">HLOOKUP($J796,'Type Chart'!$C$2:$T$20,19,false)*HLOOKUP($K796,'Type Chart'!$C$2:$U$20,19,false)</f>
        <v>1</v>
      </c>
      <c r="AM796" s="964" t="s">
        <v>1273</v>
      </c>
      <c r="AN796" s="965"/>
      <c r="AO796" s="966"/>
      <c r="AP796" s="936"/>
      <c r="AQ796" s="967"/>
      <c r="AR796" s="968"/>
      <c r="AS796" s="936"/>
    </row>
    <row r="797" ht="15.75" customHeight="1">
      <c r="A797" s="936"/>
      <c r="B797" s="948" t="s">
        <v>3209</v>
      </c>
      <c r="C797" s="950" t="s">
        <v>3210</v>
      </c>
      <c r="D797" s="950" t="s">
        <v>3210</v>
      </c>
      <c r="E797" s="952" t="s">
        <v>3210</v>
      </c>
      <c r="F797" s="940"/>
      <c r="G797" s="953"/>
      <c r="H797" s="969"/>
      <c r="I797" s="998" t="s">
        <v>502</v>
      </c>
      <c r="J797" s="1214" t="s">
        <v>342</v>
      </c>
      <c r="K797" s="1213" t="s">
        <v>341</v>
      </c>
      <c r="L797" s="1200">
        <v>91.0</v>
      </c>
      <c r="M797" s="1201">
        <v>129.0</v>
      </c>
      <c r="N797" s="1201">
        <v>90.0</v>
      </c>
      <c r="O797" s="1201">
        <v>72.0</v>
      </c>
      <c r="P797" s="1201">
        <v>90.0</v>
      </c>
      <c r="Q797" s="1201">
        <v>108.0</v>
      </c>
      <c r="R797" s="960">
        <v>252.0</v>
      </c>
      <c r="S797" s="960">
        <v>315.0</v>
      </c>
      <c r="T797" s="960">
        <v>346.0</v>
      </c>
      <c r="U797" s="960">
        <f t="array" ref="U797">HLOOKUP($J797,'Type Chart'!$C$2:$T$20,2,false)*HLOOKUP($K797,'Type Chart'!$C$2:$U$20,2,false)</f>
        <v>0.5</v>
      </c>
      <c r="V797" s="960">
        <f t="array" ref="V797">HLOOKUP($J797,'Type Chart'!$C$2:$T$20,3,false)*HLOOKUP($K797,'Type Chart'!$C$2:$U$20,3,false)</f>
        <v>2</v>
      </c>
      <c r="W797" s="960">
        <f t="array" ref="W797">HLOOKUP($J797,'Type Chart'!$C$2:$T$20,4,false)*HLOOKUP($K797,'Type Chart'!$C$2:$U$20,4,false)</f>
        <v>1</v>
      </c>
      <c r="X797" s="960">
        <f t="array" ref="X797">HLOOKUP($J797,'Type Chart'!$C$2:$T$20,5,false)*HLOOKUP($K797,'Type Chart'!$C$2:$U$20,5,false)</f>
        <v>0.5</v>
      </c>
      <c r="Y797" s="960">
        <f t="array" ref="Y797">HLOOKUP($J797,'Type Chart'!$C$2:$T$20,6,false)*HLOOKUP($K797,'Type Chart'!$C$2:$U$20,6,false)</f>
        <v>2</v>
      </c>
      <c r="Z797" s="960">
        <f t="array" ref="Z797">HLOOKUP($J797,'Type Chart'!$C$2:$T$20,7,false)*HLOOKUP($K797,'Type Chart'!$C$2:$U$20,7,false)</f>
        <v>0.5</v>
      </c>
      <c r="AA797" s="960">
        <f t="array" ref="AA797">HLOOKUP($J797,'Type Chart'!$C$2:$T$20,8,false)*HLOOKUP($K797,'Type Chart'!$C$2:$U$20,8,false)</f>
        <v>0.5</v>
      </c>
      <c r="AB797" s="960">
        <f t="array" ref="AB797">HLOOKUP($J797,'Type Chart'!$C$2:$T$20,9,false)*HLOOKUP($K797,'Type Chart'!$C$2:$U$20,9,false)</f>
        <v>1</v>
      </c>
      <c r="AC797" s="960">
        <f t="array" ref="AC797">HLOOKUP($J797,'Type Chart'!$C$2:$T$20,10,false)*HLOOKUP($K797,'Type Chart'!$C$2:$U$20,10,false)</f>
        <v>2</v>
      </c>
      <c r="AD797" s="960">
        <f t="array" ref="AD797">HLOOKUP($J797,'Type Chart'!$C$2:$T$20,11,false)*HLOOKUP($K797,'Type Chart'!$C$2:$U$20,11,false)</f>
        <v>0.5</v>
      </c>
      <c r="AE797" s="960">
        <f t="array" ref="AE797">HLOOKUP($J797,'Type Chart'!$C$2:$T$20,12,false)*HLOOKUP($K797,'Type Chart'!$C$2:$U$20,12,false)</f>
        <v>2</v>
      </c>
      <c r="AF797" s="960">
        <f t="array" ref="AF797">HLOOKUP($J797,'Type Chart'!$C$2:$T$20,13,false)*HLOOKUP($K797,'Type Chart'!$C$2:$U$20,13,false)</f>
        <v>2</v>
      </c>
      <c r="AG797" s="960">
        <f t="array" ref="AG797">HLOOKUP($J797,'Type Chart'!$C$2:$T$20,14,false)*HLOOKUP($K797,'Type Chart'!$C$2:$U$20,14,false)</f>
        <v>1</v>
      </c>
      <c r="AH797" s="960">
        <f t="array" ref="AH797">HLOOKUP($J797,'Type Chart'!$C$2:$T$20,15,false)*HLOOKUP($K797,'Type Chart'!$C$2:$U$20,15,false)</f>
        <v>2</v>
      </c>
      <c r="AI797" s="960">
        <f t="array" ref="AI797">HLOOKUP($J797,'Type Chart'!$C$2:$T$20,16,false)*HLOOKUP($K797,'Type Chart'!$C$2:$U$20,16,false)</f>
        <v>1</v>
      </c>
      <c r="AJ797" s="960">
        <f t="array" ref="AJ797">HLOOKUP($J797,'Type Chart'!$C$2:$T$20,17,false)*HLOOKUP($K797,'Type Chart'!$C$2:$U$20,17,false)</f>
        <v>1</v>
      </c>
      <c r="AK797" s="960">
        <f t="array" ref="AK797">HLOOKUP($J797,'Type Chart'!$C$2:$T$20,18,false)*HLOOKUP($K797,'Type Chart'!$C$2:$U$20,18,false)</f>
        <v>0.5</v>
      </c>
      <c r="AL797" s="960">
        <f t="array" ref="AL797">HLOOKUP($J797,'Type Chart'!$C$2:$T$20,19,false)*HLOOKUP($K797,'Type Chart'!$C$2:$U$20,19,false)</f>
        <v>2</v>
      </c>
      <c r="AM797" s="964" t="s">
        <v>1273</v>
      </c>
      <c r="AN797" s="965"/>
      <c r="AO797" s="966"/>
      <c r="AP797" s="936"/>
      <c r="AQ797" s="967"/>
      <c r="AR797" s="968"/>
      <c r="AS797" s="936"/>
    </row>
    <row r="798" ht="15.75" customHeight="1">
      <c r="A798" s="936"/>
      <c r="B798" s="948" t="s">
        <v>3211</v>
      </c>
      <c r="C798" s="950" t="s">
        <v>3212</v>
      </c>
      <c r="D798" s="950" t="s">
        <v>3212</v>
      </c>
      <c r="E798" s="952" t="s">
        <v>3212</v>
      </c>
      <c r="F798" s="940"/>
      <c r="G798" s="953"/>
      <c r="H798" s="969"/>
      <c r="I798" s="956" t="s">
        <v>643</v>
      </c>
      <c r="J798" s="957" t="s">
        <v>209</v>
      </c>
      <c r="K798" s="1213" t="s">
        <v>341</v>
      </c>
      <c r="L798" s="959">
        <v>91.0</v>
      </c>
      <c r="M798" s="960">
        <v>90.0</v>
      </c>
      <c r="N798" s="960">
        <v>72.0</v>
      </c>
      <c r="O798" s="960">
        <v>90.0</v>
      </c>
      <c r="P798" s="960">
        <v>129.0</v>
      </c>
      <c r="Q798" s="960">
        <v>108.0</v>
      </c>
      <c r="R798" s="960">
        <v>252.0</v>
      </c>
      <c r="S798" s="960">
        <v>315.0</v>
      </c>
      <c r="T798" s="960">
        <v>346.0</v>
      </c>
      <c r="U798" s="960">
        <f t="array" ref="U798">HLOOKUP($J798,'Type Chart'!$C$2:$T$20,2,false)*HLOOKUP($K798,'Type Chart'!$C$2:$U$20,2,false)</f>
        <v>1</v>
      </c>
      <c r="V798" s="960">
        <f t="array" ref="V798">HLOOKUP($J798,'Type Chart'!$C$2:$T$20,3,false)*HLOOKUP($K798,'Type Chart'!$C$2:$U$20,3,false)</f>
        <v>1</v>
      </c>
      <c r="W798" s="960">
        <f t="array" ref="W798">HLOOKUP($J798,'Type Chart'!$C$2:$T$20,4,false)*HLOOKUP($K798,'Type Chart'!$C$2:$U$20,4,false)</f>
        <v>4</v>
      </c>
      <c r="X798" s="960">
        <f t="array" ref="X798">HLOOKUP($J798,'Type Chart'!$C$2:$T$20,5,false)*HLOOKUP($K798,'Type Chart'!$C$2:$U$20,5,false)</f>
        <v>2</v>
      </c>
      <c r="Y798" s="960">
        <f t="array" ref="Y798">HLOOKUP($J798,'Type Chart'!$C$2:$T$20,6,false)*HLOOKUP($K798,'Type Chart'!$C$2:$U$20,6,false)</f>
        <v>0.5</v>
      </c>
      <c r="Z798" s="960">
        <f t="array" ref="Z798">HLOOKUP($J798,'Type Chart'!$C$2:$T$20,7,false)*HLOOKUP($K798,'Type Chart'!$C$2:$U$20,7,false)</f>
        <v>0.5</v>
      </c>
      <c r="AA798" s="960">
        <f t="array" ref="AA798">HLOOKUP($J798,'Type Chart'!$C$2:$T$20,8,false)*HLOOKUP($K798,'Type Chart'!$C$2:$U$20,8,false)</f>
        <v>1</v>
      </c>
      <c r="AB798" s="960">
        <f t="array" ref="AB798">HLOOKUP($J798,'Type Chart'!$C$2:$T$20,9,false)*HLOOKUP($K798,'Type Chart'!$C$2:$U$20,9,false)</f>
        <v>1</v>
      </c>
      <c r="AC798" s="960">
        <f t="array" ref="AC798">HLOOKUP($J798,'Type Chart'!$C$2:$T$20,10,false)*HLOOKUP($K798,'Type Chart'!$C$2:$U$20,10,false)</f>
        <v>1</v>
      </c>
      <c r="AD798" s="960">
        <f t="array" ref="AD798">HLOOKUP($J798,'Type Chart'!$C$2:$T$20,11,false)*HLOOKUP($K798,'Type Chart'!$C$2:$U$20,11,false)</f>
        <v>2</v>
      </c>
      <c r="AE798" s="960">
        <f t="array" ref="AE798">HLOOKUP($J798,'Type Chart'!$C$2:$T$20,12,false)*HLOOKUP($K798,'Type Chart'!$C$2:$U$20,12,false)</f>
        <v>0.5</v>
      </c>
      <c r="AF798" s="960">
        <f t="array" ref="AF798">HLOOKUP($J798,'Type Chart'!$C$2:$T$20,13,false)*HLOOKUP($K798,'Type Chart'!$C$2:$U$20,13,false)</f>
        <v>0.5</v>
      </c>
      <c r="AG798" s="960">
        <f t="array" ref="AG798">HLOOKUP($J798,'Type Chart'!$C$2:$T$20,14,false)*HLOOKUP($K798,'Type Chart'!$C$2:$U$20,14,false)</f>
        <v>0.5</v>
      </c>
      <c r="AH798" s="960">
        <f t="array" ref="AH798">HLOOKUP($J798,'Type Chart'!$C$2:$T$20,15,false)*HLOOKUP($K798,'Type Chart'!$C$2:$U$20,15,false)</f>
        <v>2</v>
      </c>
      <c r="AI798" s="960">
        <f t="array" ref="AI798">HLOOKUP($J798,'Type Chart'!$C$2:$T$20,16,false)*HLOOKUP($K798,'Type Chart'!$C$2:$U$20,16,false)</f>
        <v>2</v>
      </c>
      <c r="AJ798" s="960">
        <f t="array" ref="AJ798">HLOOKUP($J798,'Type Chart'!$C$2:$T$20,17,false)*HLOOKUP($K798,'Type Chart'!$C$2:$U$20,17,false)</f>
        <v>1</v>
      </c>
      <c r="AK798" s="960">
        <f t="array" ref="AK798">HLOOKUP($J798,'Type Chart'!$C$2:$T$20,18,false)*HLOOKUP($K798,'Type Chart'!$C$2:$U$20,18,false)</f>
        <v>0.5</v>
      </c>
      <c r="AL798" s="960">
        <f t="array" ref="AL798">HLOOKUP($J798,'Type Chart'!$C$2:$T$20,19,false)*HLOOKUP($K798,'Type Chart'!$C$2:$U$20,19,false)</f>
        <v>2</v>
      </c>
      <c r="AM798" s="964" t="s">
        <v>1273</v>
      </c>
      <c r="AN798" s="965"/>
      <c r="AO798" s="966"/>
      <c r="AP798" s="936"/>
      <c r="AQ798" s="967"/>
      <c r="AR798" s="968"/>
      <c r="AS798" s="936"/>
    </row>
    <row r="799" ht="15.75" customHeight="1">
      <c r="A799" s="936"/>
      <c r="B799" s="948" t="s">
        <v>3213</v>
      </c>
      <c r="C799" s="950" t="s">
        <v>3214</v>
      </c>
      <c r="D799" s="950" t="s">
        <v>3214</v>
      </c>
      <c r="E799" s="952" t="s">
        <v>3214</v>
      </c>
      <c r="F799" s="940"/>
      <c r="G799" s="953"/>
      <c r="H799" s="969"/>
      <c r="I799" s="956" t="s">
        <v>329</v>
      </c>
      <c r="J799" s="1001" t="s">
        <v>128</v>
      </c>
      <c r="K799" s="984" t="s">
        <v>216</v>
      </c>
      <c r="L799" s="959">
        <v>79.0</v>
      </c>
      <c r="M799" s="960">
        <v>115.0</v>
      </c>
      <c r="N799" s="960">
        <v>70.0</v>
      </c>
      <c r="O799" s="960">
        <v>125.0</v>
      </c>
      <c r="P799" s="960">
        <v>80.0</v>
      </c>
      <c r="Q799" s="960">
        <v>111.0</v>
      </c>
      <c r="R799" s="960">
        <v>258.0</v>
      </c>
      <c r="S799" s="960">
        <v>321.0</v>
      </c>
      <c r="T799" s="960">
        <v>353.0</v>
      </c>
      <c r="U799" s="960">
        <f t="array" ref="U799">HLOOKUP($J799,'Type Chart'!$C$2:$T$20,2,false)*HLOOKUP($K799,'Type Chart'!$C$2:$U$20,2,false)</f>
        <v>1</v>
      </c>
      <c r="V799" s="960">
        <f t="array" ref="V799">HLOOKUP($J799,'Type Chart'!$C$2:$T$20,3,false)*HLOOKUP($K799,'Type Chart'!$C$2:$U$20,3,false)</f>
        <v>0.5</v>
      </c>
      <c r="W799" s="960">
        <f t="array" ref="W799">HLOOKUP($J799,'Type Chart'!$C$2:$T$20,4,false)*HLOOKUP($K799,'Type Chart'!$C$2:$U$20,4,false)</f>
        <v>1</v>
      </c>
      <c r="X799" s="960">
        <f t="array" ref="X799">HLOOKUP($J799,'Type Chart'!$C$2:$T$20,5,false)*HLOOKUP($K799,'Type Chart'!$C$2:$U$20,5,false)</f>
        <v>1</v>
      </c>
      <c r="Y799" s="960">
        <f t="array" ref="Y799">HLOOKUP($J799,'Type Chart'!$C$2:$T$20,6,false)*HLOOKUP($K799,'Type Chart'!$C$2:$U$20,6,false)</f>
        <v>0</v>
      </c>
      <c r="Z799" s="960">
        <f t="array" ref="Z799">HLOOKUP($J799,'Type Chart'!$C$2:$T$20,7,false)*HLOOKUP($K799,'Type Chart'!$C$2:$U$20,7,false)</f>
        <v>2</v>
      </c>
      <c r="AA799" s="960">
        <f t="array" ref="AA799">HLOOKUP($J799,'Type Chart'!$C$2:$T$20,8,false)*HLOOKUP($K799,'Type Chart'!$C$2:$U$20,8,false)</f>
        <v>0.5</v>
      </c>
      <c r="AB799" s="960">
        <f t="array" ref="AB799">HLOOKUP($J799,'Type Chart'!$C$2:$T$20,9,false)*HLOOKUP($K799,'Type Chart'!$C$2:$U$20,9,false)</f>
        <v>1</v>
      </c>
      <c r="AC799" s="960">
        <f t="array" ref="AC799">HLOOKUP($J799,'Type Chart'!$C$2:$T$20,10,false)*HLOOKUP($K799,'Type Chart'!$C$2:$U$20,10,false)</f>
        <v>1</v>
      </c>
      <c r="AD799" s="960">
        <f t="array" ref="AD799">HLOOKUP($J799,'Type Chart'!$C$2:$T$20,11,false)*HLOOKUP($K799,'Type Chart'!$C$2:$U$20,11,false)</f>
        <v>1</v>
      </c>
      <c r="AE799" s="960">
        <f t="array" ref="AE799">HLOOKUP($J799,'Type Chart'!$C$2:$T$20,12,false)*HLOOKUP($K799,'Type Chart'!$C$2:$U$20,12,false)</f>
        <v>1</v>
      </c>
      <c r="AF799" s="960">
        <f t="array" ref="AF799">HLOOKUP($J799,'Type Chart'!$C$2:$T$20,13,false)*HLOOKUP($K799,'Type Chart'!$C$2:$U$20,13,false)</f>
        <v>0.5</v>
      </c>
      <c r="AG799" s="960">
        <f t="array" ref="AG799">HLOOKUP($J799,'Type Chart'!$C$2:$T$20,14,false)*HLOOKUP($K799,'Type Chart'!$C$2:$U$20,14,false)</f>
        <v>2</v>
      </c>
      <c r="AH799" s="960">
        <f t="array" ref="AH799">HLOOKUP($J799,'Type Chart'!$C$2:$T$20,15,false)*HLOOKUP($K799,'Type Chart'!$C$2:$U$20,15,false)</f>
        <v>1</v>
      </c>
      <c r="AI799" s="960">
        <f t="array" ref="AI799">HLOOKUP($J799,'Type Chart'!$C$2:$T$20,16,false)*HLOOKUP($K799,'Type Chart'!$C$2:$U$20,16,false)</f>
        <v>2</v>
      </c>
      <c r="AJ799" s="960">
        <f t="array" ref="AJ799">HLOOKUP($J799,'Type Chart'!$C$2:$T$20,17,false)*HLOOKUP($K799,'Type Chart'!$C$2:$U$20,17,false)</f>
        <v>1</v>
      </c>
      <c r="AK799" s="960">
        <f t="array" ref="AK799">HLOOKUP($J799,'Type Chart'!$C$2:$T$20,18,false)*HLOOKUP($K799,'Type Chart'!$C$2:$U$20,18,false)</f>
        <v>1</v>
      </c>
      <c r="AL799" s="960">
        <f t="array" ref="AL799">HLOOKUP($J799,'Type Chart'!$C$2:$T$20,19,false)*HLOOKUP($K799,'Type Chart'!$C$2:$U$20,19,false)</f>
        <v>1</v>
      </c>
      <c r="AM799" s="964" t="s">
        <v>1813</v>
      </c>
      <c r="AN799" s="965"/>
      <c r="AO799" s="966" t="s">
        <v>1267</v>
      </c>
      <c r="AP799" s="936"/>
      <c r="AQ799" s="967"/>
      <c r="AR799" s="968"/>
      <c r="AS799" s="936"/>
    </row>
    <row r="800" ht="15.75" customHeight="1">
      <c r="A800" s="936"/>
      <c r="B800" s="948" t="s">
        <v>3215</v>
      </c>
      <c r="C800" s="950" t="s">
        <v>143</v>
      </c>
      <c r="D800" s="950" t="s">
        <v>143</v>
      </c>
      <c r="E800" s="952" t="s">
        <v>143</v>
      </c>
      <c r="F800" s="940"/>
      <c r="G800" s="953"/>
      <c r="H800" s="969"/>
      <c r="I800" s="956" t="s">
        <v>355</v>
      </c>
      <c r="J800" s="1001" t="s">
        <v>128</v>
      </c>
      <c r="K800" s="984" t="s">
        <v>216</v>
      </c>
      <c r="L800" s="959">
        <v>79.0</v>
      </c>
      <c r="M800" s="960">
        <v>100.0</v>
      </c>
      <c r="N800" s="960">
        <v>80.0</v>
      </c>
      <c r="O800" s="960">
        <v>110.0</v>
      </c>
      <c r="P800" s="960">
        <v>90.0</v>
      </c>
      <c r="Q800" s="960">
        <v>121.0</v>
      </c>
      <c r="R800" s="960">
        <v>278.0</v>
      </c>
      <c r="S800" s="960">
        <v>341.0</v>
      </c>
      <c r="T800" s="960">
        <v>375.0</v>
      </c>
      <c r="U800" s="960">
        <f t="array" ref="U800">HLOOKUP($J800,'Type Chart'!$C$2:$T$20,2,false)*HLOOKUP($K800,'Type Chart'!$C$2:$U$20,2,false)</f>
        <v>1</v>
      </c>
      <c r="V800" s="960">
        <f t="array" ref="V800">HLOOKUP($J800,'Type Chart'!$C$2:$T$20,3,false)*HLOOKUP($K800,'Type Chart'!$C$2:$U$20,3,false)</f>
        <v>0.5</v>
      </c>
      <c r="W800" s="960">
        <f t="array" ref="W800">HLOOKUP($J800,'Type Chart'!$C$2:$T$20,4,false)*HLOOKUP($K800,'Type Chart'!$C$2:$U$20,4,false)</f>
        <v>1</v>
      </c>
      <c r="X800" s="960">
        <f t="array" ref="X800">HLOOKUP($J800,'Type Chart'!$C$2:$T$20,5,false)*HLOOKUP($K800,'Type Chart'!$C$2:$U$20,5,false)</f>
        <v>1</v>
      </c>
      <c r="Y800" s="960">
        <f t="array" ref="Y800">HLOOKUP($J800,'Type Chart'!$C$2:$T$20,6,false)*HLOOKUP($K800,'Type Chart'!$C$2:$U$20,6,false)</f>
        <v>0</v>
      </c>
      <c r="Z800" s="960">
        <f t="array" ref="Z800">HLOOKUP($J800,'Type Chart'!$C$2:$T$20,7,false)*HLOOKUP($K800,'Type Chart'!$C$2:$U$20,7,false)</f>
        <v>2</v>
      </c>
      <c r="AA800" s="960">
        <f t="array" ref="AA800">HLOOKUP($J800,'Type Chart'!$C$2:$T$20,8,false)*HLOOKUP($K800,'Type Chart'!$C$2:$U$20,8,false)</f>
        <v>0.5</v>
      </c>
      <c r="AB800" s="960">
        <f t="array" ref="AB800">HLOOKUP($J800,'Type Chart'!$C$2:$T$20,9,false)*HLOOKUP($K800,'Type Chart'!$C$2:$U$20,9,false)</f>
        <v>1</v>
      </c>
      <c r="AC800" s="960">
        <f t="array" ref="AC800">HLOOKUP($J800,'Type Chart'!$C$2:$T$20,10,false)*HLOOKUP($K800,'Type Chart'!$C$2:$U$20,10,false)</f>
        <v>1</v>
      </c>
      <c r="AD800" s="960">
        <f t="array" ref="AD800">HLOOKUP($J800,'Type Chart'!$C$2:$T$20,11,false)*HLOOKUP($K800,'Type Chart'!$C$2:$U$20,11,false)</f>
        <v>1</v>
      </c>
      <c r="AE800" s="960">
        <f t="array" ref="AE800">HLOOKUP($J800,'Type Chart'!$C$2:$T$20,12,false)*HLOOKUP($K800,'Type Chart'!$C$2:$U$20,12,false)</f>
        <v>1</v>
      </c>
      <c r="AF800" s="960">
        <f t="array" ref="AF800">HLOOKUP($J800,'Type Chart'!$C$2:$T$20,13,false)*HLOOKUP($K800,'Type Chart'!$C$2:$U$20,13,false)</f>
        <v>0.5</v>
      </c>
      <c r="AG800" s="960">
        <f t="array" ref="AG800">HLOOKUP($J800,'Type Chart'!$C$2:$T$20,14,false)*HLOOKUP($K800,'Type Chart'!$C$2:$U$20,14,false)</f>
        <v>2</v>
      </c>
      <c r="AH800" s="960">
        <f t="array" ref="AH800">HLOOKUP($J800,'Type Chart'!$C$2:$T$20,15,false)*HLOOKUP($K800,'Type Chart'!$C$2:$U$20,15,false)</f>
        <v>1</v>
      </c>
      <c r="AI800" s="960">
        <f t="array" ref="AI800">HLOOKUP($J800,'Type Chart'!$C$2:$T$20,16,false)*HLOOKUP($K800,'Type Chart'!$C$2:$U$20,16,false)</f>
        <v>2</v>
      </c>
      <c r="AJ800" s="960">
        <f t="array" ref="AJ800">HLOOKUP($J800,'Type Chart'!$C$2:$T$20,17,false)*HLOOKUP($K800,'Type Chart'!$C$2:$U$20,17,false)</f>
        <v>1</v>
      </c>
      <c r="AK800" s="960">
        <f t="array" ref="AK800">HLOOKUP($J800,'Type Chart'!$C$2:$T$20,18,false)*HLOOKUP($K800,'Type Chart'!$C$2:$U$20,18,false)</f>
        <v>1</v>
      </c>
      <c r="AL800" s="960">
        <f t="array" ref="AL800">HLOOKUP($J800,'Type Chart'!$C$2:$T$20,19,false)*HLOOKUP($K800,'Type Chart'!$C$2:$U$20,19,false)</f>
        <v>1</v>
      </c>
      <c r="AM800" s="964" t="s">
        <v>1371</v>
      </c>
      <c r="AN800" s="965"/>
      <c r="AO800" s="966"/>
      <c r="AP800" s="936"/>
      <c r="AQ800" s="967"/>
      <c r="AR800" s="968"/>
      <c r="AS800" s="936"/>
    </row>
    <row r="801" ht="15.75" customHeight="1">
      <c r="A801" s="936"/>
      <c r="B801" s="948" t="s">
        <v>3216</v>
      </c>
      <c r="C801" s="950" t="s">
        <v>3217</v>
      </c>
      <c r="D801" s="950" t="s">
        <v>3217</v>
      </c>
      <c r="E801" s="952" t="s">
        <v>3217</v>
      </c>
      <c r="F801" s="940"/>
      <c r="G801" s="953"/>
      <c r="H801" s="969"/>
      <c r="I801" s="956" t="s">
        <v>245</v>
      </c>
      <c r="J801" s="1196" t="s">
        <v>203</v>
      </c>
      <c r="K801" s="1001" t="s">
        <v>128</v>
      </c>
      <c r="L801" s="959">
        <v>79.0</v>
      </c>
      <c r="M801" s="960">
        <v>115.0</v>
      </c>
      <c r="N801" s="960">
        <v>70.0</v>
      </c>
      <c r="O801" s="960">
        <v>125.0</v>
      </c>
      <c r="P801" s="960">
        <v>80.0</v>
      </c>
      <c r="Q801" s="960">
        <v>111.0</v>
      </c>
      <c r="R801" s="960">
        <v>258.0</v>
      </c>
      <c r="S801" s="960">
        <v>321.0</v>
      </c>
      <c r="T801" s="960">
        <v>353.0</v>
      </c>
      <c r="U801" s="960">
        <f t="array" ref="U801">HLOOKUP($J801,'Type Chart'!$C$2:$T$20,2,false)*HLOOKUP($K801,'Type Chart'!$C$2:$U$20,2,false)</f>
        <v>1</v>
      </c>
      <c r="V801" s="960">
        <f t="array" ref="V801">HLOOKUP($J801,'Type Chart'!$C$2:$T$20,3,false)*HLOOKUP($K801,'Type Chart'!$C$2:$U$20,3,false)</f>
        <v>0.5</v>
      </c>
      <c r="W801" s="960">
        <f t="array" ref="W801">HLOOKUP($J801,'Type Chart'!$C$2:$T$20,4,false)*HLOOKUP($K801,'Type Chart'!$C$2:$U$20,4,false)</f>
        <v>0.5</v>
      </c>
      <c r="X801" s="960">
        <f t="array" ref="X801">HLOOKUP($J801,'Type Chart'!$C$2:$T$20,5,false)*HLOOKUP($K801,'Type Chart'!$C$2:$U$20,5,false)</f>
        <v>1</v>
      </c>
      <c r="Y801" s="960">
        <f t="array" ref="Y801">HLOOKUP($J801,'Type Chart'!$C$2:$T$20,6,false)*HLOOKUP($K801,'Type Chart'!$C$2:$U$20,6,false)</f>
        <v>0</v>
      </c>
      <c r="Z801" s="960">
        <f t="array" ref="Z801">HLOOKUP($J801,'Type Chart'!$C$2:$T$20,7,false)*HLOOKUP($K801,'Type Chart'!$C$2:$U$20,7,false)</f>
        <v>2</v>
      </c>
      <c r="AA801" s="960">
        <f t="array" ref="AA801">HLOOKUP($J801,'Type Chart'!$C$2:$T$20,8,false)*HLOOKUP($K801,'Type Chart'!$C$2:$U$20,8,false)</f>
        <v>0.5</v>
      </c>
      <c r="AB801" s="960">
        <f t="array" ref="AB801">HLOOKUP($J801,'Type Chart'!$C$2:$T$20,9,false)*HLOOKUP($K801,'Type Chart'!$C$2:$U$20,9,false)</f>
        <v>1</v>
      </c>
      <c r="AC801" s="960">
        <f t="array" ref="AC801">HLOOKUP($J801,'Type Chart'!$C$2:$T$20,10,false)*HLOOKUP($K801,'Type Chart'!$C$2:$U$20,10,false)</f>
        <v>0.5</v>
      </c>
      <c r="AD801" s="960">
        <f t="array" ref="AD801">HLOOKUP($J801,'Type Chart'!$C$2:$T$20,11,false)*HLOOKUP($K801,'Type Chart'!$C$2:$U$20,11,false)</f>
        <v>1</v>
      </c>
      <c r="AE801" s="960">
        <f t="array" ref="AE801">HLOOKUP($J801,'Type Chart'!$C$2:$T$20,12,false)*HLOOKUP($K801,'Type Chart'!$C$2:$U$20,12,false)</f>
        <v>1</v>
      </c>
      <c r="AF801" s="960">
        <f t="array" ref="AF801">HLOOKUP($J801,'Type Chart'!$C$2:$T$20,13,false)*HLOOKUP($K801,'Type Chart'!$C$2:$U$20,13,false)</f>
        <v>0.5</v>
      </c>
      <c r="AG801" s="960">
        <f t="array" ref="AG801">HLOOKUP($J801,'Type Chart'!$C$2:$T$20,14,false)*HLOOKUP($K801,'Type Chart'!$C$2:$U$20,14,false)</f>
        <v>1</v>
      </c>
      <c r="AH801" s="960">
        <f t="array" ref="AH801">HLOOKUP($J801,'Type Chart'!$C$2:$T$20,15,false)*HLOOKUP($K801,'Type Chart'!$C$2:$U$20,15,false)</f>
        <v>1</v>
      </c>
      <c r="AI801" s="960">
        <f t="array" ref="AI801">HLOOKUP($J801,'Type Chart'!$C$2:$T$20,16,false)*HLOOKUP($K801,'Type Chart'!$C$2:$U$20,16,false)</f>
        <v>2</v>
      </c>
      <c r="AJ801" s="960">
        <f t="array" ref="AJ801">HLOOKUP($J801,'Type Chart'!$C$2:$T$20,17,false)*HLOOKUP($K801,'Type Chart'!$C$2:$U$20,17,false)</f>
        <v>1</v>
      </c>
      <c r="AK801" s="960">
        <f t="array" ref="AK801">HLOOKUP($J801,'Type Chart'!$C$2:$T$20,18,false)*HLOOKUP($K801,'Type Chart'!$C$2:$U$20,18,false)</f>
        <v>1</v>
      </c>
      <c r="AL801" s="960">
        <f t="array" ref="AL801">HLOOKUP($J801,'Type Chart'!$C$2:$T$20,19,false)*HLOOKUP($K801,'Type Chart'!$C$2:$U$20,19,false)</f>
        <v>1</v>
      </c>
      <c r="AM801" s="964" t="s">
        <v>1813</v>
      </c>
      <c r="AN801" s="965"/>
      <c r="AO801" s="966" t="s">
        <v>1267</v>
      </c>
      <c r="AP801" s="936"/>
      <c r="AQ801" s="967"/>
      <c r="AR801" s="968"/>
      <c r="AS801" s="936"/>
    </row>
    <row r="802" ht="15.75" customHeight="1">
      <c r="A802" s="936"/>
      <c r="B802" s="948" t="s">
        <v>3218</v>
      </c>
      <c r="C802" s="950" t="s">
        <v>3219</v>
      </c>
      <c r="D802" s="950" t="s">
        <v>3219</v>
      </c>
      <c r="E802" s="952" t="s">
        <v>3219</v>
      </c>
      <c r="F802" s="940"/>
      <c r="G802" s="953"/>
      <c r="H802" s="969"/>
      <c r="I802" s="956" t="s">
        <v>429</v>
      </c>
      <c r="J802" s="1196" t="s">
        <v>203</v>
      </c>
      <c r="K802" s="1001" t="s">
        <v>128</v>
      </c>
      <c r="L802" s="959">
        <v>79.0</v>
      </c>
      <c r="M802" s="960">
        <v>105.0</v>
      </c>
      <c r="N802" s="960">
        <v>70.0</v>
      </c>
      <c r="O802" s="960">
        <v>145.0</v>
      </c>
      <c r="P802" s="960">
        <v>80.0</v>
      </c>
      <c r="Q802" s="960">
        <v>101.0</v>
      </c>
      <c r="R802" s="960">
        <v>238.0</v>
      </c>
      <c r="S802" s="960">
        <v>301.0</v>
      </c>
      <c r="T802" s="960">
        <v>331.0</v>
      </c>
      <c r="U802" s="960">
        <f t="array" ref="U802">HLOOKUP($J802,'Type Chart'!$C$2:$T$20,2,false)*HLOOKUP($K802,'Type Chart'!$C$2:$U$20,2,false)</f>
        <v>1</v>
      </c>
      <c r="V802" s="960">
        <f t="array" ref="V802">HLOOKUP($J802,'Type Chart'!$C$2:$T$20,3,false)*HLOOKUP($K802,'Type Chart'!$C$2:$U$20,3,false)</f>
        <v>0.5</v>
      </c>
      <c r="W802" s="960">
        <f t="array" ref="W802">HLOOKUP($J802,'Type Chart'!$C$2:$T$20,4,false)*HLOOKUP($K802,'Type Chart'!$C$2:$U$20,4,false)</f>
        <v>0.5</v>
      </c>
      <c r="X802" s="960">
        <f t="array" ref="X802">HLOOKUP($J802,'Type Chart'!$C$2:$T$20,5,false)*HLOOKUP($K802,'Type Chart'!$C$2:$U$20,5,false)</f>
        <v>1</v>
      </c>
      <c r="Y802" s="960">
        <f t="array" ref="Y802">HLOOKUP($J802,'Type Chart'!$C$2:$T$20,6,false)*HLOOKUP($K802,'Type Chart'!$C$2:$U$20,6,false)</f>
        <v>0</v>
      </c>
      <c r="Z802" s="960">
        <f t="array" ref="Z802">HLOOKUP($J802,'Type Chart'!$C$2:$T$20,7,false)*HLOOKUP($K802,'Type Chart'!$C$2:$U$20,7,false)</f>
        <v>2</v>
      </c>
      <c r="AA802" s="960">
        <f t="array" ref="AA802">HLOOKUP($J802,'Type Chart'!$C$2:$T$20,8,false)*HLOOKUP($K802,'Type Chart'!$C$2:$U$20,8,false)</f>
        <v>0.5</v>
      </c>
      <c r="AB802" s="960">
        <f t="array" ref="AB802">HLOOKUP($J802,'Type Chart'!$C$2:$T$20,9,false)*HLOOKUP($K802,'Type Chart'!$C$2:$U$20,9,false)</f>
        <v>1</v>
      </c>
      <c r="AC802" s="960">
        <f t="array" ref="AC802">HLOOKUP($J802,'Type Chart'!$C$2:$T$20,10,false)*HLOOKUP($K802,'Type Chart'!$C$2:$U$20,10,false)</f>
        <v>0.5</v>
      </c>
      <c r="AD802" s="960">
        <f t="array" ref="AD802">HLOOKUP($J802,'Type Chart'!$C$2:$T$20,11,false)*HLOOKUP($K802,'Type Chart'!$C$2:$U$20,11,false)</f>
        <v>1</v>
      </c>
      <c r="AE802" s="960">
        <f t="array" ref="AE802">HLOOKUP($J802,'Type Chart'!$C$2:$T$20,12,false)*HLOOKUP($K802,'Type Chart'!$C$2:$U$20,12,false)</f>
        <v>1</v>
      </c>
      <c r="AF802" s="960">
        <f t="array" ref="AF802">HLOOKUP($J802,'Type Chart'!$C$2:$T$20,13,false)*HLOOKUP($K802,'Type Chart'!$C$2:$U$20,13,false)</f>
        <v>0.5</v>
      </c>
      <c r="AG802" s="960">
        <f t="array" ref="AG802">HLOOKUP($J802,'Type Chart'!$C$2:$T$20,14,false)*HLOOKUP($K802,'Type Chart'!$C$2:$U$20,14,false)</f>
        <v>1</v>
      </c>
      <c r="AH802" s="960">
        <f t="array" ref="AH802">HLOOKUP($J802,'Type Chart'!$C$2:$T$20,15,false)*HLOOKUP($K802,'Type Chart'!$C$2:$U$20,15,false)</f>
        <v>1</v>
      </c>
      <c r="AI802" s="960">
        <f t="array" ref="AI802">HLOOKUP($J802,'Type Chart'!$C$2:$T$20,16,false)*HLOOKUP($K802,'Type Chart'!$C$2:$U$20,16,false)</f>
        <v>2</v>
      </c>
      <c r="AJ802" s="960">
        <f t="array" ref="AJ802">HLOOKUP($J802,'Type Chart'!$C$2:$T$20,17,false)*HLOOKUP($K802,'Type Chart'!$C$2:$U$20,17,false)</f>
        <v>1</v>
      </c>
      <c r="AK802" s="960">
        <f t="array" ref="AK802">HLOOKUP($J802,'Type Chart'!$C$2:$T$20,18,false)*HLOOKUP($K802,'Type Chart'!$C$2:$U$20,18,false)</f>
        <v>1</v>
      </c>
      <c r="AL802" s="960">
        <f t="array" ref="AL802">HLOOKUP($J802,'Type Chart'!$C$2:$T$20,19,false)*HLOOKUP($K802,'Type Chart'!$C$2:$U$20,19,false)</f>
        <v>1</v>
      </c>
      <c r="AM802" s="964" t="s">
        <v>1614</v>
      </c>
      <c r="AN802" s="965"/>
      <c r="AO802" s="966"/>
      <c r="AP802" s="936"/>
      <c r="AQ802" s="967"/>
      <c r="AR802" s="968"/>
      <c r="AS802" s="936"/>
    </row>
    <row r="803" ht="15.75" customHeight="1">
      <c r="A803" s="936"/>
      <c r="B803" s="948" t="s">
        <v>3220</v>
      </c>
      <c r="C803" s="950" t="s">
        <v>3221</v>
      </c>
      <c r="D803" s="950" t="s">
        <v>3221</v>
      </c>
      <c r="E803" s="952" t="s">
        <v>3221</v>
      </c>
      <c r="F803" s="940"/>
      <c r="G803" s="953"/>
      <c r="H803" s="969"/>
      <c r="I803" s="956" t="s">
        <v>277</v>
      </c>
      <c r="J803" s="1006" t="s">
        <v>346</v>
      </c>
      <c r="K803" s="982" t="s">
        <v>150</v>
      </c>
      <c r="L803" s="959">
        <v>100.0</v>
      </c>
      <c r="M803" s="960">
        <v>120.0</v>
      </c>
      <c r="N803" s="960">
        <v>100.0</v>
      </c>
      <c r="O803" s="960">
        <v>150.0</v>
      </c>
      <c r="P803" s="960">
        <v>120.0</v>
      </c>
      <c r="Q803" s="960">
        <v>90.0</v>
      </c>
      <c r="R803" s="960">
        <v>216.0</v>
      </c>
      <c r="S803" s="960">
        <v>279.0</v>
      </c>
      <c r="T803" s="960">
        <v>306.0</v>
      </c>
      <c r="U803" s="960">
        <f t="array" ref="U803">HLOOKUP($J803,'Type Chart'!$C$2:$T$20,2,false)*HLOOKUP($K803,'Type Chart'!$C$2:$U$20,2,false)</f>
        <v>1</v>
      </c>
      <c r="V803" s="960">
        <f t="array" ref="V803">HLOOKUP($J803,'Type Chart'!$C$2:$T$20,3,false)*HLOOKUP($K803,'Type Chart'!$C$2:$U$20,3,false)</f>
        <v>1</v>
      </c>
      <c r="W803" s="960">
        <f t="array" ref="W803">HLOOKUP($J803,'Type Chart'!$C$2:$T$20,4,false)*HLOOKUP($K803,'Type Chart'!$C$2:$U$20,4,false)</f>
        <v>1</v>
      </c>
      <c r="X803" s="960">
        <f t="array" ref="X803">HLOOKUP($J803,'Type Chart'!$C$2:$T$20,5,false)*HLOOKUP($K803,'Type Chart'!$C$2:$U$20,5,false)</f>
        <v>1</v>
      </c>
      <c r="Y803" s="960">
        <f t="array" ref="Y803">HLOOKUP($J803,'Type Chart'!$C$2:$T$20,6,false)*HLOOKUP($K803,'Type Chart'!$C$2:$U$20,6,false)</f>
        <v>2</v>
      </c>
      <c r="Z803" s="960">
        <f t="array" ref="Z803">HLOOKUP($J803,'Type Chart'!$C$2:$T$20,7,false)*HLOOKUP($K803,'Type Chart'!$C$2:$U$20,7,false)</f>
        <v>2</v>
      </c>
      <c r="AA803" s="960">
        <f t="array" ref="AA803">HLOOKUP($J803,'Type Chart'!$C$2:$T$20,8,false)*HLOOKUP($K803,'Type Chart'!$C$2:$U$20,8,false)</f>
        <v>0.5</v>
      </c>
      <c r="AB803" s="960">
        <f t="array" ref="AB803">HLOOKUP($J803,'Type Chart'!$C$2:$T$20,9,false)*HLOOKUP($K803,'Type Chart'!$C$2:$U$20,9,false)</f>
        <v>1</v>
      </c>
      <c r="AC803" s="960">
        <f t="array" ref="AC803">HLOOKUP($J803,'Type Chart'!$C$2:$T$20,10,false)*HLOOKUP($K803,'Type Chart'!$C$2:$U$20,10,false)</f>
        <v>0.5</v>
      </c>
      <c r="AD803" s="960">
        <f t="array" ref="AD803">HLOOKUP($J803,'Type Chart'!$C$2:$T$20,11,false)*HLOOKUP($K803,'Type Chart'!$C$2:$U$20,11,false)</f>
        <v>0.25</v>
      </c>
      <c r="AE803" s="960">
        <f t="array" ref="AE803">HLOOKUP($J803,'Type Chart'!$C$2:$T$20,12,false)*HLOOKUP($K803,'Type Chart'!$C$2:$U$20,12,false)</f>
        <v>1</v>
      </c>
      <c r="AF803" s="960">
        <f t="array" ref="AF803">HLOOKUP($J803,'Type Chart'!$C$2:$T$20,13,false)*HLOOKUP($K803,'Type Chart'!$C$2:$U$20,13,false)</f>
        <v>0.25</v>
      </c>
      <c r="AG803" s="960">
        <f t="array" ref="AG803">HLOOKUP($J803,'Type Chart'!$C$2:$T$20,14,false)*HLOOKUP($K803,'Type Chart'!$C$2:$U$20,14,false)</f>
        <v>0.5</v>
      </c>
      <c r="AH803" s="960">
        <f t="array" ref="AH803">HLOOKUP($J803,'Type Chart'!$C$2:$T$20,15,false)*HLOOKUP($K803,'Type Chart'!$C$2:$U$20,15,false)</f>
        <v>1</v>
      </c>
      <c r="AI803" s="960">
        <f t="array" ref="AI803">HLOOKUP($J803,'Type Chart'!$C$2:$T$20,16,false)*HLOOKUP($K803,'Type Chart'!$C$2:$U$20,16,false)</f>
        <v>1</v>
      </c>
      <c r="AJ803" s="960">
        <f t="array" ref="AJ803">HLOOKUP($J803,'Type Chart'!$C$2:$T$20,17,false)*HLOOKUP($K803,'Type Chart'!$C$2:$U$20,17,false)</f>
        <v>2</v>
      </c>
      <c r="AK803" s="960">
        <f t="array" ref="AK803">HLOOKUP($J803,'Type Chart'!$C$2:$T$20,18,false)*HLOOKUP($K803,'Type Chart'!$C$2:$U$20,18,false)</f>
        <v>1</v>
      </c>
      <c r="AL803" s="960">
        <f t="array" ref="AL803">HLOOKUP($J803,'Type Chart'!$C$2:$T$20,19,false)*HLOOKUP($K803,'Type Chart'!$C$2:$U$20,19,false)</f>
        <v>1</v>
      </c>
      <c r="AM803" s="964" t="s">
        <v>3222</v>
      </c>
      <c r="AN803" s="965"/>
      <c r="AO803" s="966"/>
      <c r="AP803" s="936"/>
      <c r="AQ803" s="967"/>
      <c r="AR803" s="968"/>
      <c r="AS803" s="936"/>
    </row>
    <row r="804" ht="15.75" customHeight="1">
      <c r="A804" s="936"/>
      <c r="B804" s="948" t="s">
        <v>3223</v>
      </c>
      <c r="C804" s="950" t="s">
        <v>3224</v>
      </c>
      <c r="D804" s="950" t="s">
        <v>3224</v>
      </c>
      <c r="E804" s="952" t="s">
        <v>3224</v>
      </c>
      <c r="F804" s="940"/>
      <c r="G804" s="953"/>
      <c r="H804" s="969"/>
      <c r="I804" s="956" t="s">
        <v>292</v>
      </c>
      <c r="J804" s="1006" t="s">
        <v>346</v>
      </c>
      <c r="K804" s="1196" t="s">
        <v>203</v>
      </c>
      <c r="L804" s="959">
        <v>100.0</v>
      </c>
      <c r="M804" s="960">
        <v>150.0</v>
      </c>
      <c r="N804" s="960">
        <v>120.0</v>
      </c>
      <c r="O804" s="960">
        <v>120.0</v>
      </c>
      <c r="P804" s="960">
        <v>100.0</v>
      </c>
      <c r="Q804" s="960">
        <v>90.0</v>
      </c>
      <c r="R804" s="960">
        <v>216.0</v>
      </c>
      <c r="S804" s="960">
        <v>279.0</v>
      </c>
      <c r="T804" s="960">
        <v>306.0</v>
      </c>
      <c r="U804" s="960">
        <f t="array" ref="U804">HLOOKUP($J804,'Type Chart'!$C$2:$T$20,2,false)*HLOOKUP($K804,'Type Chart'!$C$2:$U$20,2,false)</f>
        <v>1</v>
      </c>
      <c r="V804" s="960">
        <f t="array" ref="V804">HLOOKUP($J804,'Type Chart'!$C$2:$T$20,3,false)*HLOOKUP($K804,'Type Chart'!$C$2:$U$20,3,false)</f>
        <v>1</v>
      </c>
      <c r="W804" s="960">
        <f t="array" ref="W804">HLOOKUP($J804,'Type Chart'!$C$2:$T$20,4,false)*HLOOKUP($K804,'Type Chart'!$C$2:$U$20,4,false)</f>
        <v>0.5</v>
      </c>
      <c r="X804" s="960">
        <f t="array" ref="X804">HLOOKUP($J804,'Type Chart'!$C$2:$T$20,5,false)*HLOOKUP($K804,'Type Chart'!$C$2:$U$20,5,false)</f>
        <v>1</v>
      </c>
      <c r="Y804" s="960">
        <f t="array" ref="Y804">HLOOKUP($J804,'Type Chart'!$C$2:$T$20,6,false)*HLOOKUP($K804,'Type Chart'!$C$2:$U$20,6,false)</f>
        <v>2</v>
      </c>
      <c r="Z804" s="960">
        <f t="array" ref="Z804">HLOOKUP($J804,'Type Chart'!$C$2:$T$20,7,false)*HLOOKUP($K804,'Type Chart'!$C$2:$U$20,7,false)</f>
        <v>1</v>
      </c>
      <c r="AA804" s="960">
        <f t="array" ref="AA804">HLOOKUP($J804,'Type Chart'!$C$2:$T$20,8,false)*HLOOKUP($K804,'Type Chart'!$C$2:$U$20,8,false)</f>
        <v>1</v>
      </c>
      <c r="AB804" s="960">
        <f t="array" ref="AB804">HLOOKUP($J804,'Type Chart'!$C$2:$T$20,9,false)*HLOOKUP($K804,'Type Chart'!$C$2:$U$20,9,false)</f>
        <v>1</v>
      </c>
      <c r="AC804" s="960">
        <f t="array" ref="AC804">HLOOKUP($J804,'Type Chart'!$C$2:$T$20,10,false)*HLOOKUP($K804,'Type Chart'!$C$2:$U$20,10,false)</f>
        <v>0.5</v>
      </c>
      <c r="AD804" s="960">
        <f t="array" ref="AD804">HLOOKUP($J804,'Type Chart'!$C$2:$T$20,11,false)*HLOOKUP($K804,'Type Chart'!$C$2:$U$20,11,false)</f>
        <v>0.5</v>
      </c>
      <c r="AE804" s="960">
        <f t="array" ref="AE804">HLOOKUP($J804,'Type Chart'!$C$2:$T$20,12,false)*HLOOKUP($K804,'Type Chart'!$C$2:$U$20,12,false)</f>
        <v>0.5</v>
      </c>
      <c r="AF804" s="960">
        <f t="array" ref="AF804">HLOOKUP($J804,'Type Chart'!$C$2:$T$20,13,false)*HLOOKUP($K804,'Type Chart'!$C$2:$U$20,13,false)</f>
        <v>0.5</v>
      </c>
      <c r="AG804" s="960">
        <f t="array" ref="AG804">HLOOKUP($J804,'Type Chart'!$C$2:$T$20,14,false)*HLOOKUP($K804,'Type Chart'!$C$2:$U$20,14,false)</f>
        <v>0.25</v>
      </c>
      <c r="AH804" s="960">
        <f t="array" ref="AH804">HLOOKUP($J804,'Type Chart'!$C$2:$T$20,15,false)*HLOOKUP($K804,'Type Chart'!$C$2:$U$20,15,false)</f>
        <v>1</v>
      </c>
      <c r="AI804" s="960">
        <f t="array" ref="AI804">HLOOKUP($J804,'Type Chart'!$C$2:$T$20,16,false)*HLOOKUP($K804,'Type Chart'!$C$2:$U$20,16,false)</f>
        <v>2</v>
      </c>
      <c r="AJ804" s="960">
        <f t="array" ref="AJ804">HLOOKUP($J804,'Type Chart'!$C$2:$T$20,17,false)*HLOOKUP($K804,'Type Chart'!$C$2:$U$20,17,false)</f>
        <v>2</v>
      </c>
      <c r="AK804" s="960">
        <f t="array" ref="AK804">HLOOKUP($J804,'Type Chart'!$C$2:$T$20,18,false)*HLOOKUP($K804,'Type Chart'!$C$2:$U$20,18,false)</f>
        <v>1</v>
      </c>
      <c r="AL804" s="960">
        <f t="array" ref="AL804">HLOOKUP($J804,'Type Chart'!$C$2:$T$20,19,false)*HLOOKUP($K804,'Type Chart'!$C$2:$U$20,19,false)</f>
        <v>2</v>
      </c>
      <c r="AM804" s="964" t="s">
        <v>3225</v>
      </c>
      <c r="AN804" s="965"/>
      <c r="AO804" s="966"/>
      <c r="AP804" s="936"/>
      <c r="AQ804" s="967"/>
      <c r="AR804" s="968"/>
      <c r="AS804" s="936"/>
    </row>
    <row r="805" ht="15.75" customHeight="1">
      <c r="A805" s="936"/>
      <c r="B805" s="948" t="s">
        <v>3226</v>
      </c>
      <c r="C805" s="950" t="s">
        <v>3227</v>
      </c>
      <c r="D805" s="950" t="s">
        <v>3227</v>
      </c>
      <c r="E805" s="952" t="s">
        <v>3227</v>
      </c>
      <c r="F805" s="940"/>
      <c r="G805" s="953"/>
      <c r="H805" s="969"/>
      <c r="I805" s="956" t="s">
        <v>109</v>
      </c>
      <c r="J805" s="1204" t="s">
        <v>80</v>
      </c>
      <c r="K805" s="1001" t="s">
        <v>128</v>
      </c>
      <c r="L805" s="959">
        <v>89.0</v>
      </c>
      <c r="M805" s="960">
        <v>125.0</v>
      </c>
      <c r="N805" s="960">
        <v>90.0</v>
      </c>
      <c r="O805" s="960">
        <v>115.0</v>
      </c>
      <c r="P805" s="960">
        <v>80.0</v>
      </c>
      <c r="Q805" s="960">
        <v>101.0</v>
      </c>
      <c r="R805" s="960">
        <v>238.0</v>
      </c>
      <c r="S805" s="960">
        <v>301.0</v>
      </c>
      <c r="T805" s="960">
        <v>331.0</v>
      </c>
      <c r="U805" s="960">
        <f t="array" ref="U805">HLOOKUP($J805,'Type Chart'!$C$2:$T$20,2,false)*HLOOKUP($K805,'Type Chart'!$C$2:$U$20,2,false)</f>
        <v>1</v>
      </c>
      <c r="V805" s="960">
        <f t="array" ref="V805">HLOOKUP($J805,'Type Chart'!$C$2:$T$20,3,false)*HLOOKUP($K805,'Type Chart'!$C$2:$U$20,3,false)</f>
        <v>0.5</v>
      </c>
      <c r="W805" s="960">
        <f t="array" ref="W805">HLOOKUP($J805,'Type Chart'!$C$2:$T$20,4,false)*HLOOKUP($K805,'Type Chart'!$C$2:$U$20,4,false)</f>
        <v>1</v>
      </c>
      <c r="X805" s="960">
        <f t="array" ref="X805">HLOOKUP($J805,'Type Chart'!$C$2:$T$20,5,false)*HLOOKUP($K805,'Type Chart'!$C$2:$U$20,5,false)</f>
        <v>0.5</v>
      </c>
      <c r="Y805" s="960">
        <f t="array" ref="Y805">HLOOKUP($J805,'Type Chart'!$C$2:$T$20,6,false)*HLOOKUP($K805,'Type Chart'!$C$2:$U$20,6,false)</f>
        <v>0</v>
      </c>
      <c r="Z805" s="960">
        <f t="array" ref="Z805">HLOOKUP($J805,'Type Chart'!$C$2:$T$20,7,false)*HLOOKUP($K805,'Type Chart'!$C$2:$U$20,7,false)</f>
        <v>1</v>
      </c>
      <c r="AA805" s="960">
        <f t="array" ref="AA805">HLOOKUP($J805,'Type Chart'!$C$2:$T$20,8,false)*HLOOKUP($K805,'Type Chart'!$C$2:$U$20,8,false)</f>
        <v>0.5</v>
      </c>
      <c r="AB805" s="960">
        <f t="array" ref="AB805">HLOOKUP($J805,'Type Chart'!$C$2:$T$20,9,false)*HLOOKUP($K805,'Type Chart'!$C$2:$U$20,9,false)</f>
        <v>1</v>
      </c>
      <c r="AC805" s="960">
        <f t="array" ref="AC805">HLOOKUP($J805,'Type Chart'!$C$2:$T$20,10,false)*HLOOKUP($K805,'Type Chart'!$C$2:$U$20,10,false)</f>
        <v>1</v>
      </c>
      <c r="AD805" s="960">
        <f t="array" ref="AD805">HLOOKUP($J805,'Type Chart'!$C$2:$T$20,11,false)*HLOOKUP($K805,'Type Chart'!$C$2:$U$20,11,false)</f>
        <v>1</v>
      </c>
      <c r="AE805" s="960">
        <f t="array" ref="AE805">HLOOKUP($J805,'Type Chart'!$C$2:$T$20,12,false)*HLOOKUP($K805,'Type Chart'!$C$2:$U$20,12,false)</f>
        <v>2</v>
      </c>
      <c r="AF805" s="960">
        <f t="array" ref="AF805">HLOOKUP($J805,'Type Chart'!$C$2:$T$20,13,false)*HLOOKUP($K805,'Type Chart'!$C$2:$U$20,13,false)</f>
        <v>1</v>
      </c>
      <c r="AG805" s="960">
        <f t="array" ref="AG805">HLOOKUP($J805,'Type Chart'!$C$2:$T$20,14,false)*HLOOKUP($K805,'Type Chart'!$C$2:$U$20,14,false)</f>
        <v>0</v>
      </c>
      <c r="AH805" s="960">
        <f t="array" ref="AH805">HLOOKUP($J805,'Type Chart'!$C$2:$T$20,15,false)*HLOOKUP($K805,'Type Chart'!$C$2:$U$20,15,false)</f>
        <v>1</v>
      </c>
      <c r="AI805" s="960">
        <f t="array" ref="AI805">HLOOKUP($J805,'Type Chart'!$C$2:$T$20,16,false)*HLOOKUP($K805,'Type Chart'!$C$2:$U$20,16,false)</f>
        <v>4</v>
      </c>
      <c r="AJ805" s="960">
        <f t="array" ref="AJ805">HLOOKUP($J805,'Type Chart'!$C$2:$T$20,17,false)*HLOOKUP($K805,'Type Chart'!$C$2:$U$20,17,false)</f>
        <v>1</v>
      </c>
      <c r="AK805" s="960">
        <f t="array" ref="AK805">HLOOKUP($J805,'Type Chart'!$C$2:$T$20,18,false)*HLOOKUP($K805,'Type Chart'!$C$2:$U$20,18,false)</f>
        <v>1</v>
      </c>
      <c r="AL805" s="960">
        <f t="array" ref="AL805">HLOOKUP($J805,'Type Chart'!$C$2:$T$20,19,false)*HLOOKUP($K805,'Type Chart'!$C$2:$U$20,19,false)</f>
        <v>1</v>
      </c>
      <c r="AM805" s="964" t="s">
        <v>1224</v>
      </c>
      <c r="AN805" s="965"/>
      <c r="AO805" s="966" t="s">
        <v>1153</v>
      </c>
      <c r="AP805" s="936"/>
      <c r="AQ805" s="967"/>
      <c r="AR805" s="968"/>
      <c r="AS805" s="936"/>
    </row>
    <row r="806" ht="15.75" customHeight="1">
      <c r="A806" s="936"/>
      <c r="B806" s="948" t="s">
        <v>3228</v>
      </c>
      <c r="C806" s="950" t="s">
        <v>3229</v>
      </c>
      <c r="D806" s="950" t="s">
        <v>3229</v>
      </c>
      <c r="E806" s="952" t="s">
        <v>3229</v>
      </c>
      <c r="F806" s="940"/>
      <c r="G806" s="953"/>
      <c r="H806" s="969"/>
      <c r="I806" s="956" t="s">
        <v>414</v>
      </c>
      <c r="J806" s="1204" t="s">
        <v>80</v>
      </c>
      <c r="K806" s="1001" t="s">
        <v>128</v>
      </c>
      <c r="L806" s="959">
        <v>89.0</v>
      </c>
      <c r="M806" s="960">
        <v>145.0</v>
      </c>
      <c r="N806" s="960">
        <v>90.0</v>
      </c>
      <c r="O806" s="960">
        <v>105.0</v>
      </c>
      <c r="P806" s="960">
        <v>80.0</v>
      </c>
      <c r="Q806" s="960">
        <v>91.0</v>
      </c>
      <c r="R806" s="960">
        <v>218.0</v>
      </c>
      <c r="S806" s="960">
        <v>281.0</v>
      </c>
      <c r="T806" s="960">
        <v>309.0</v>
      </c>
      <c r="U806" s="960">
        <f t="array" ref="U806">HLOOKUP($J806,'Type Chart'!$C$2:$T$20,2,false)*HLOOKUP($K806,'Type Chart'!$C$2:$U$20,2,false)</f>
        <v>1</v>
      </c>
      <c r="V806" s="960">
        <f t="array" ref="V806">HLOOKUP($J806,'Type Chart'!$C$2:$T$20,3,false)*HLOOKUP($K806,'Type Chart'!$C$2:$U$20,3,false)</f>
        <v>0.5</v>
      </c>
      <c r="W806" s="960">
        <f t="array" ref="W806">HLOOKUP($J806,'Type Chart'!$C$2:$T$20,4,false)*HLOOKUP($K806,'Type Chart'!$C$2:$U$20,4,false)</f>
        <v>1</v>
      </c>
      <c r="X806" s="960">
        <f t="array" ref="X806">HLOOKUP($J806,'Type Chart'!$C$2:$T$20,5,false)*HLOOKUP($K806,'Type Chart'!$C$2:$U$20,5,false)</f>
        <v>0.5</v>
      </c>
      <c r="Y806" s="960">
        <f t="array" ref="Y806">HLOOKUP($J806,'Type Chart'!$C$2:$T$20,6,false)*HLOOKUP($K806,'Type Chart'!$C$2:$U$20,6,false)</f>
        <v>0</v>
      </c>
      <c r="Z806" s="960">
        <f t="array" ref="Z806">HLOOKUP($J806,'Type Chart'!$C$2:$T$20,7,false)*HLOOKUP($K806,'Type Chart'!$C$2:$U$20,7,false)</f>
        <v>1</v>
      </c>
      <c r="AA806" s="960">
        <f t="array" ref="AA806">HLOOKUP($J806,'Type Chart'!$C$2:$T$20,8,false)*HLOOKUP($K806,'Type Chart'!$C$2:$U$20,8,false)</f>
        <v>0.5</v>
      </c>
      <c r="AB806" s="960">
        <f t="array" ref="AB806">HLOOKUP($J806,'Type Chart'!$C$2:$T$20,9,false)*HLOOKUP($K806,'Type Chart'!$C$2:$U$20,9,false)</f>
        <v>1</v>
      </c>
      <c r="AC806" s="960">
        <f t="array" ref="AC806">HLOOKUP($J806,'Type Chart'!$C$2:$T$20,10,false)*HLOOKUP($K806,'Type Chart'!$C$2:$U$20,10,false)</f>
        <v>1</v>
      </c>
      <c r="AD806" s="960">
        <f t="array" ref="AD806">HLOOKUP($J806,'Type Chart'!$C$2:$T$20,11,false)*HLOOKUP($K806,'Type Chart'!$C$2:$U$20,11,false)</f>
        <v>1</v>
      </c>
      <c r="AE806" s="960">
        <f t="array" ref="AE806">HLOOKUP($J806,'Type Chart'!$C$2:$T$20,12,false)*HLOOKUP($K806,'Type Chart'!$C$2:$U$20,12,false)</f>
        <v>2</v>
      </c>
      <c r="AF806" s="960">
        <f t="array" ref="AF806">HLOOKUP($J806,'Type Chart'!$C$2:$T$20,13,false)*HLOOKUP($K806,'Type Chart'!$C$2:$U$20,13,false)</f>
        <v>1</v>
      </c>
      <c r="AG806" s="960">
        <f t="array" ref="AG806">HLOOKUP($J806,'Type Chart'!$C$2:$T$20,14,false)*HLOOKUP($K806,'Type Chart'!$C$2:$U$20,14,false)</f>
        <v>0</v>
      </c>
      <c r="AH806" s="960">
        <f t="array" ref="AH806">HLOOKUP($J806,'Type Chart'!$C$2:$T$20,15,false)*HLOOKUP($K806,'Type Chart'!$C$2:$U$20,15,false)</f>
        <v>1</v>
      </c>
      <c r="AI806" s="960">
        <f t="array" ref="AI806">HLOOKUP($J806,'Type Chart'!$C$2:$T$20,16,false)*HLOOKUP($K806,'Type Chart'!$C$2:$U$20,16,false)</f>
        <v>4</v>
      </c>
      <c r="AJ806" s="960">
        <f t="array" ref="AJ806">HLOOKUP($J806,'Type Chart'!$C$2:$T$20,17,false)*HLOOKUP($K806,'Type Chart'!$C$2:$U$20,17,false)</f>
        <v>1</v>
      </c>
      <c r="AK806" s="960">
        <f t="array" ref="AK806">HLOOKUP($J806,'Type Chart'!$C$2:$T$20,18,false)*HLOOKUP($K806,'Type Chart'!$C$2:$U$20,18,false)</f>
        <v>1</v>
      </c>
      <c r="AL806" s="960">
        <f t="array" ref="AL806">HLOOKUP($J806,'Type Chart'!$C$2:$T$20,19,false)*HLOOKUP($K806,'Type Chart'!$C$2:$U$20,19,false)</f>
        <v>1</v>
      </c>
      <c r="AM806" s="964" t="s">
        <v>1061</v>
      </c>
      <c r="AN806" s="965"/>
      <c r="AO806" s="966"/>
      <c r="AP806" s="936"/>
      <c r="AQ806" s="967"/>
      <c r="AR806" s="968"/>
      <c r="AS806" s="936"/>
    </row>
    <row r="807" ht="15.75" customHeight="1">
      <c r="A807" s="936"/>
      <c r="B807" s="948" t="s">
        <v>3230</v>
      </c>
      <c r="C807" s="950" t="s">
        <v>3231</v>
      </c>
      <c r="D807" s="950" t="s">
        <v>3231</v>
      </c>
      <c r="E807" s="952" t="s">
        <v>3231</v>
      </c>
      <c r="F807" s="940"/>
      <c r="G807" s="953"/>
      <c r="H807" s="969"/>
      <c r="I807" s="956" t="s">
        <v>155</v>
      </c>
      <c r="J807" s="1006" t="s">
        <v>346</v>
      </c>
      <c r="K807" s="1205" t="s">
        <v>345</v>
      </c>
      <c r="L807" s="959">
        <v>125.0</v>
      </c>
      <c r="M807" s="960">
        <v>130.0</v>
      </c>
      <c r="N807" s="960">
        <v>90.0</v>
      </c>
      <c r="O807" s="960">
        <v>130.0</v>
      </c>
      <c r="P807" s="960">
        <v>90.0</v>
      </c>
      <c r="Q807" s="960">
        <v>95.0</v>
      </c>
      <c r="R807" s="960">
        <v>226.0</v>
      </c>
      <c r="S807" s="960">
        <v>289.0</v>
      </c>
      <c r="T807" s="960">
        <v>317.0</v>
      </c>
      <c r="U807" s="960">
        <f t="array" ref="U807">HLOOKUP($J807,'Type Chart'!$C$2:$T$20,2,false)*HLOOKUP($K807,'Type Chart'!$C$2:$U$20,2,false)</f>
        <v>1</v>
      </c>
      <c r="V807" s="960">
        <f t="array" ref="V807">HLOOKUP($J807,'Type Chart'!$C$2:$T$20,3,false)*HLOOKUP($K807,'Type Chart'!$C$2:$U$20,3,false)</f>
        <v>2</v>
      </c>
      <c r="W807" s="960">
        <f t="array" ref="W807">HLOOKUP($J807,'Type Chart'!$C$2:$T$20,4,false)*HLOOKUP($K807,'Type Chart'!$C$2:$U$20,4,false)</f>
        <v>1</v>
      </c>
      <c r="X807" s="960">
        <f t="array" ref="X807">HLOOKUP($J807,'Type Chart'!$C$2:$T$20,5,false)*HLOOKUP($K807,'Type Chart'!$C$2:$U$20,5,false)</f>
        <v>1</v>
      </c>
      <c r="Y807" s="960">
        <f t="array" ref="Y807">HLOOKUP($J807,'Type Chart'!$C$2:$T$20,6,false)*HLOOKUP($K807,'Type Chart'!$C$2:$U$20,6,false)</f>
        <v>1</v>
      </c>
      <c r="Z807" s="960">
        <f t="array" ref="Z807">HLOOKUP($J807,'Type Chart'!$C$2:$T$20,7,false)*HLOOKUP($K807,'Type Chart'!$C$2:$U$20,7,false)</f>
        <v>2</v>
      </c>
      <c r="AA807" s="960">
        <f t="array" ref="AA807">HLOOKUP($J807,'Type Chart'!$C$2:$T$20,8,false)*HLOOKUP($K807,'Type Chart'!$C$2:$U$20,8,false)</f>
        <v>1</v>
      </c>
      <c r="AB807" s="960">
        <f t="array" ref="AB807">HLOOKUP($J807,'Type Chart'!$C$2:$T$20,9,false)*HLOOKUP($K807,'Type Chart'!$C$2:$U$20,9,false)</f>
        <v>1</v>
      </c>
      <c r="AC807" s="960">
        <f t="array" ref="AC807">HLOOKUP($J807,'Type Chart'!$C$2:$T$20,10,false)*HLOOKUP($K807,'Type Chart'!$C$2:$U$20,10,false)</f>
        <v>2</v>
      </c>
      <c r="AD807" s="960">
        <f t="array" ref="AD807">HLOOKUP($J807,'Type Chart'!$C$2:$T$20,11,false)*HLOOKUP($K807,'Type Chart'!$C$2:$U$20,11,false)</f>
        <v>1</v>
      </c>
      <c r="AE807" s="960">
        <f t="array" ref="AE807">HLOOKUP($J807,'Type Chart'!$C$2:$T$20,12,false)*HLOOKUP($K807,'Type Chart'!$C$2:$U$20,12,false)</f>
        <v>0.5</v>
      </c>
      <c r="AF807" s="960">
        <f t="array" ref="AF807">HLOOKUP($J807,'Type Chart'!$C$2:$T$20,13,false)*HLOOKUP($K807,'Type Chart'!$C$2:$U$20,13,false)</f>
        <v>0.5</v>
      </c>
      <c r="AG807" s="960">
        <f t="array" ref="AG807">HLOOKUP($J807,'Type Chart'!$C$2:$T$20,14,false)*HLOOKUP($K807,'Type Chart'!$C$2:$U$20,14,false)</f>
        <v>0.5</v>
      </c>
      <c r="AH807" s="960">
        <f t="array" ref="AH807">HLOOKUP($J807,'Type Chart'!$C$2:$T$20,15,false)*HLOOKUP($K807,'Type Chart'!$C$2:$U$20,15,false)</f>
        <v>1</v>
      </c>
      <c r="AI807" s="960">
        <f t="array" ref="AI807">HLOOKUP($J807,'Type Chart'!$C$2:$T$20,16,false)*HLOOKUP($K807,'Type Chart'!$C$2:$U$20,16,false)</f>
        <v>1</v>
      </c>
      <c r="AJ807" s="960">
        <f t="array" ref="AJ807">HLOOKUP($J807,'Type Chart'!$C$2:$T$20,17,false)*HLOOKUP($K807,'Type Chart'!$C$2:$U$20,17,false)</f>
        <v>2</v>
      </c>
      <c r="AK807" s="960">
        <f t="array" ref="AK807">HLOOKUP($J807,'Type Chart'!$C$2:$T$20,18,false)*HLOOKUP($K807,'Type Chart'!$C$2:$U$20,18,false)</f>
        <v>1</v>
      </c>
      <c r="AL807" s="960">
        <f t="array" ref="AL807">HLOOKUP($J807,'Type Chart'!$C$2:$T$20,19,false)*HLOOKUP($K807,'Type Chart'!$C$2:$U$20,19,false)</f>
        <v>2</v>
      </c>
      <c r="AM807" s="964" t="s">
        <v>1636</v>
      </c>
      <c r="AN807" s="965"/>
      <c r="AO807" s="966"/>
      <c r="AP807" s="936"/>
      <c r="AQ807" s="967"/>
      <c r="AR807" s="968"/>
      <c r="AS807" s="936"/>
    </row>
    <row r="808" ht="15.75" customHeight="1">
      <c r="A808" s="936"/>
      <c r="B808" s="948" t="s">
        <v>3232</v>
      </c>
      <c r="C808" s="950" t="s">
        <v>3233</v>
      </c>
      <c r="D808" s="950" t="s">
        <v>3233</v>
      </c>
      <c r="E808" s="952" t="s">
        <v>3233</v>
      </c>
      <c r="F808" s="940"/>
      <c r="G808" s="953"/>
      <c r="H808" s="969"/>
      <c r="I808" s="956" t="s">
        <v>104</v>
      </c>
      <c r="J808" s="1006" t="s">
        <v>346</v>
      </c>
      <c r="K808" s="1205" t="s">
        <v>345</v>
      </c>
      <c r="L808" s="959">
        <v>125.0</v>
      </c>
      <c r="M808" s="960">
        <v>170.0</v>
      </c>
      <c r="N808" s="960">
        <v>100.0</v>
      </c>
      <c r="O808" s="960">
        <v>120.0</v>
      </c>
      <c r="P808" s="960">
        <v>90.0</v>
      </c>
      <c r="Q808" s="960">
        <v>95.0</v>
      </c>
      <c r="R808" s="960">
        <v>226.0</v>
      </c>
      <c r="S808" s="960">
        <v>289.0</v>
      </c>
      <c r="T808" s="960">
        <v>317.0</v>
      </c>
      <c r="U808" s="960">
        <f t="array" ref="U808">HLOOKUP($J808,'Type Chart'!$C$2:$T$20,2,false)*HLOOKUP($K808,'Type Chart'!$C$2:$U$20,2,false)</f>
        <v>1</v>
      </c>
      <c r="V808" s="960">
        <f t="array" ref="V808">HLOOKUP($J808,'Type Chart'!$C$2:$T$20,3,false)*HLOOKUP($K808,'Type Chart'!$C$2:$U$20,3,false)</f>
        <v>2</v>
      </c>
      <c r="W808" s="960">
        <f t="array" ref="W808">HLOOKUP($J808,'Type Chart'!$C$2:$T$20,4,false)*HLOOKUP($K808,'Type Chart'!$C$2:$U$20,4,false)</f>
        <v>1</v>
      </c>
      <c r="X808" s="960">
        <f t="array" ref="X808">HLOOKUP($J808,'Type Chart'!$C$2:$T$20,5,false)*HLOOKUP($K808,'Type Chart'!$C$2:$U$20,5,false)</f>
        <v>1</v>
      </c>
      <c r="Y808" s="960">
        <f t="array" ref="Y808">HLOOKUP($J808,'Type Chart'!$C$2:$T$20,6,false)*HLOOKUP($K808,'Type Chart'!$C$2:$U$20,6,false)</f>
        <v>1</v>
      </c>
      <c r="Z808" s="960">
        <f t="array" ref="Z808">HLOOKUP($J808,'Type Chart'!$C$2:$T$20,7,false)*HLOOKUP($K808,'Type Chart'!$C$2:$U$20,7,false)</f>
        <v>2</v>
      </c>
      <c r="AA808" s="960">
        <f t="array" ref="AA808">HLOOKUP($J808,'Type Chart'!$C$2:$T$20,8,false)*HLOOKUP($K808,'Type Chart'!$C$2:$U$20,8,false)</f>
        <v>1</v>
      </c>
      <c r="AB808" s="960">
        <f t="array" ref="AB808">HLOOKUP($J808,'Type Chart'!$C$2:$T$20,9,false)*HLOOKUP($K808,'Type Chart'!$C$2:$U$20,9,false)</f>
        <v>1</v>
      </c>
      <c r="AC808" s="960">
        <f t="array" ref="AC808">HLOOKUP($J808,'Type Chart'!$C$2:$T$20,10,false)*HLOOKUP($K808,'Type Chart'!$C$2:$U$20,10,false)</f>
        <v>2</v>
      </c>
      <c r="AD808" s="960">
        <f t="array" ref="AD808">HLOOKUP($J808,'Type Chart'!$C$2:$T$20,11,false)*HLOOKUP($K808,'Type Chart'!$C$2:$U$20,11,false)</f>
        <v>1</v>
      </c>
      <c r="AE808" s="960">
        <f t="array" ref="AE808">HLOOKUP($J808,'Type Chart'!$C$2:$T$20,12,false)*HLOOKUP($K808,'Type Chart'!$C$2:$U$20,12,false)</f>
        <v>0.5</v>
      </c>
      <c r="AF808" s="960">
        <f t="array" ref="AF808">HLOOKUP($J808,'Type Chart'!$C$2:$T$20,13,false)*HLOOKUP($K808,'Type Chart'!$C$2:$U$20,13,false)</f>
        <v>0.5</v>
      </c>
      <c r="AG808" s="960">
        <f t="array" ref="AG808">HLOOKUP($J808,'Type Chart'!$C$2:$T$20,14,false)*HLOOKUP($K808,'Type Chart'!$C$2:$U$20,14,false)</f>
        <v>0.5</v>
      </c>
      <c r="AH808" s="960">
        <f t="array" ref="AH808">HLOOKUP($J808,'Type Chart'!$C$2:$T$20,15,false)*HLOOKUP($K808,'Type Chart'!$C$2:$U$20,15,false)</f>
        <v>1</v>
      </c>
      <c r="AI808" s="960">
        <f t="array" ref="AI808">HLOOKUP($J808,'Type Chart'!$C$2:$T$20,16,false)*HLOOKUP($K808,'Type Chart'!$C$2:$U$20,16,false)</f>
        <v>1</v>
      </c>
      <c r="AJ808" s="960">
        <f t="array" ref="AJ808">HLOOKUP($J808,'Type Chart'!$C$2:$T$20,17,false)*HLOOKUP($K808,'Type Chart'!$C$2:$U$20,17,false)</f>
        <v>2</v>
      </c>
      <c r="AK808" s="960">
        <f t="array" ref="AK808">HLOOKUP($J808,'Type Chart'!$C$2:$T$20,18,false)*HLOOKUP($K808,'Type Chart'!$C$2:$U$20,18,false)</f>
        <v>1</v>
      </c>
      <c r="AL808" s="960">
        <f t="array" ref="AL808">HLOOKUP($J808,'Type Chart'!$C$2:$T$20,19,false)*HLOOKUP($K808,'Type Chart'!$C$2:$U$20,19,false)</f>
        <v>2</v>
      </c>
      <c r="AM808" s="964" t="s">
        <v>3225</v>
      </c>
      <c r="AN808" s="965"/>
      <c r="AO808" s="966"/>
      <c r="AP808" s="936"/>
      <c r="AQ808" s="967"/>
      <c r="AR808" s="968"/>
      <c r="AS808" s="936"/>
    </row>
    <row r="809" ht="15.75" customHeight="1">
      <c r="A809" s="1099"/>
      <c r="B809" s="948" t="s">
        <v>3234</v>
      </c>
      <c r="C809" s="1197" t="s">
        <v>3235</v>
      </c>
      <c r="D809" s="1197" t="s">
        <v>3235</v>
      </c>
      <c r="E809" s="1147" t="s">
        <v>3235</v>
      </c>
      <c r="F809" s="940"/>
      <c r="G809" s="953"/>
      <c r="H809" s="969"/>
      <c r="I809" s="998" t="s">
        <v>257</v>
      </c>
      <c r="J809" s="1231" t="s">
        <v>346</v>
      </c>
      <c r="K809" s="1224" t="s">
        <v>345</v>
      </c>
      <c r="L809" s="1200">
        <v>125.0</v>
      </c>
      <c r="M809" s="1201">
        <v>120.0</v>
      </c>
      <c r="N809" s="1201">
        <v>90.0</v>
      </c>
      <c r="O809" s="1201">
        <v>170.0</v>
      </c>
      <c r="P809" s="1201">
        <v>100.0</v>
      </c>
      <c r="Q809" s="1201">
        <v>95.0</v>
      </c>
      <c r="R809" s="960">
        <v>226.0</v>
      </c>
      <c r="S809" s="960">
        <v>289.0</v>
      </c>
      <c r="T809" s="960">
        <v>317.0</v>
      </c>
      <c r="U809" s="960">
        <f t="array" ref="U809">HLOOKUP($J809,'Type Chart'!$C$2:$T$20,2,false)*HLOOKUP($K809,'Type Chart'!$C$2:$U$20,2,false)</f>
        <v>1</v>
      </c>
      <c r="V809" s="960">
        <f t="array" ref="V809">HLOOKUP($J809,'Type Chart'!$C$2:$T$20,3,false)*HLOOKUP($K809,'Type Chart'!$C$2:$U$20,3,false)</f>
        <v>2</v>
      </c>
      <c r="W809" s="960">
        <f t="array" ref="W809">HLOOKUP($J809,'Type Chart'!$C$2:$T$20,4,false)*HLOOKUP($K809,'Type Chart'!$C$2:$U$20,4,false)</f>
        <v>1</v>
      </c>
      <c r="X809" s="960">
        <f t="array" ref="X809">HLOOKUP($J809,'Type Chart'!$C$2:$T$20,5,false)*HLOOKUP($K809,'Type Chart'!$C$2:$U$20,5,false)</f>
        <v>1</v>
      </c>
      <c r="Y809" s="960">
        <f t="array" ref="Y809">HLOOKUP($J809,'Type Chart'!$C$2:$T$20,6,false)*HLOOKUP($K809,'Type Chart'!$C$2:$U$20,6,false)</f>
        <v>1</v>
      </c>
      <c r="Z809" s="960">
        <f t="array" ref="Z809">HLOOKUP($J809,'Type Chart'!$C$2:$T$20,7,false)*HLOOKUP($K809,'Type Chart'!$C$2:$U$20,7,false)</f>
        <v>2</v>
      </c>
      <c r="AA809" s="960">
        <f t="array" ref="AA809">HLOOKUP($J809,'Type Chart'!$C$2:$T$20,8,false)*HLOOKUP($K809,'Type Chart'!$C$2:$U$20,8,false)</f>
        <v>1</v>
      </c>
      <c r="AB809" s="960">
        <f t="array" ref="AB809">HLOOKUP($J809,'Type Chart'!$C$2:$T$20,9,false)*HLOOKUP($K809,'Type Chart'!$C$2:$U$20,9,false)</f>
        <v>1</v>
      </c>
      <c r="AC809" s="960">
        <f t="array" ref="AC809">HLOOKUP($J809,'Type Chart'!$C$2:$T$20,10,false)*HLOOKUP($K809,'Type Chart'!$C$2:$U$20,10,false)</f>
        <v>2</v>
      </c>
      <c r="AD809" s="960">
        <f t="array" ref="AD809">HLOOKUP($J809,'Type Chart'!$C$2:$T$20,11,false)*HLOOKUP($K809,'Type Chart'!$C$2:$U$20,11,false)</f>
        <v>1</v>
      </c>
      <c r="AE809" s="960">
        <f t="array" ref="AE809">HLOOKUP($J809,'Type Chart'!$C$2:$T$20,12,false)*HLOOKUP($K809,'Type Chart'!$C$2:$U$20,12,false)</f>
        <v>0.5</v>
      </c>
      <c r="AF809" s="960">
        <f t="array" ref="AF809">HLOOKUP($J809,'Type Chart'!$C$2:$T$20,13,false)*HLOOKUP($K809,'Type Chart'!$C$2:$U$20,13,false)</f>
        <v>0.5</v>
      </c>
      <c r="AG809" s="960">
        <f t="array" ref="AG809">HLOOKUP($J809,'Type Chart'!$C$2:$T$20,14,false)*HLOOKUP($K809,'Type Chart'!$C$2:$U$20,14,false)</f>
        <v>0.5</v>
      </c>
      <c r="AH809" s="960">
        <f t="array" ref="AH809">HLOOKUP($J809,'Type Chart'!$C$2:$T$20,15,false)*HLOOKUP($K809,'Type Chart'!$C$2:$U$20,15,false)</f>
        <v>1</v>
      </c>
      <c r="AI809" s="960">
        <f t="array" ref="AI809">HLOOKUP($J809,'Type Chart'!$C$2:$T$20,16,false)*HLOOKUP($K809,'Type Chart'!$C$2:$U$20,16,false)</f>
        <v>1</v>
      </c>
      <c r="AJ809" s="960">
        <f t="array" ref="AJ809">HLOOKUP($J809,'Type Chart'!$C$2:$T$20,17,false)*HLOOKUP($K809,'Type Chart'!$C$2:$U$20,17,false)</f>
        <v>2</v>
      </c>
      <c r="AK809" s="960">
        <f t="array" ref="AK809">HLOOKUP($J809,'Type Chart'!$C$2:$T$20,18,false)*HLOOKUP($K809,'Type Chart'!$C$2:$U$20,18,false)</f>
        <v>1</v>
      </c>
      <c r="AL809" s="960">
        <f t="array" ref="AL809">HLOOKUP($J809,'Type Chart'!$C$2:$T$20,19,false)*HLOOKUP($K809,'Type Chart'!$C$2:$U$20,19,false)</f>
        <v>2</v>
      </c>
      <c r="AM809" s="1145" t="s">
        <v>3222</v>
      </c>
      <c r="AN809" s="1202"/>
      <c r="AO809" s="1146"/>
      <c r="AP809" s="936"/>
      <c r="AQ809" s="967"/>
      <c r="AR809" s="968"/>
      <c r="AS809" s="936"/>
    </row>
    <row r="810" ht="15.75" customHeight="1">
      <c r="A810" s="1099"/>
      <c r="B810" s="948" t="s">
        <v>3236</v>
      </c>
      <c r="C810" s="1197" t="s">
        <v>110</v>
      </c>
      <c r="D810" s="1197" t="s">
        <v>110</v>
      </c>
      <c r="E810" s="1147" t="s">
        <v>110</v>
      </c>
      <c r="F810" s="940"/>
      <c r="G810" s="953"/>
      <c r="H810" s="969"/>
      <c r="I810" s="998" t="s">
        <v>102</v>
      </c>
      <c r="J810" s="1211" t="s">
        <v>81</v>
      </c>
      <c r="K810" s="1212" t="s">
        <v>341</v>
      </c>
      <c r="L810" s="1200">
        <v>91.0</v>
      </c>
      <c r="M810" s="1201">
        <v>72.0</v>
      </c>
      <c r="N810" s="1201">
        <v>90.0</v>
      </c>
      <c r="O810" s="1201">
        <v>129.0</v>
      </c>
      <c r="P810" s="1201">
        <v>90.0</v>
      </c>
      <c r="Q810" s="1201">
        <v>108.0</v>
      </c>
      <c r="R810" s="960">
        <v>252.0</v>
      </c>
      <c r="S810" s="960">
        <v>315.0</v>
      </c>
      <c r="T810" s="960">
        <v>346.0</v>
      </c>
      <c r="U810" s="960">
        <f t="array" ref="U810">HLOOKUP($J810,'Type Chart'!$C$2:$T$20,2,false)*HLOOKUP($K810,'Type Chart'!$C$2:$U$20,2,false)</f>
        <v>1</v>
      </c>
      <c r="V810" s="960">
        <f t="array" ref="V810">HLOOKUP($J810,'Type Chart'!$C$2:$T$20,3,false)*HLOOKUP($K810,'Type Chart'!$C$2:$U$20,3,false)</f>
        <v>1</v>
      </c>
      <c r="W810" s="960">
        <f t="array" ref="W810">HLOOKUP($J810,'Type Chart'!$C$2:$T$20,4,false)*HLOOKUP($K810,'Type Chart'!$C$2:$U$20,4,false)</f>
        <v>2</v>
      </c>
      <c r="X810" s="960">
        <f t="array" ref="X810">HLOOKUP($J810,'Type Chart'!$C$2:$T$20,5,false)*HLOOKUP($K810,'Type Chart'!$C$2:$U$20,5,false)</f>
        <v>1</v>
      </c>
      <c r="Y810" s="960">
        <f t="array" ref="Y810">HLOOKUP($J810,'Type Chart'!$C$2:$T$20,6,false)*HLOOKUP($K810,'Type Chart'!$C$2:$U$20,6,false)</f>
        <v>1</v>
      </c>
      <c r="Z810" s="960">
        <f t="array" ref="Z810">HLOOKUP($J810,'Type Chart'!$C$2:$T$20,7,false)*HLOOKUP($K810,'Type Chart'!$C$2:$U$20,7,false)</f>
        <v>0.5</v>
      </c>
      <c r="AA810" s="960">
        <f t="array" ref="AA810">HLOOKUP($J810,'Type Chart'!$C$2:$T$20,8,false)*HLOOKUP($K810,'Type Chart'!$C$2:$U$20,8,false)</f>
        <v>0.5</v>
      </c>
      <c r="AB810" s="960">
        <f t="array" ref="AB810">HLOOKUP($J810,'Type Chart'!$C$2:$T$20,9,false)*HLOOKUP($K810,'Type Chart'!$C$2:$U$20,9,false)</f>
        <v>1</v>
      </c>
      <c r="AC810" s="960">
        <f t="array" ref="AC810">HLOOKUP($J810,'Type Chart'!$C$2:$T$20,10,false)*HLOOKUP($K810,'Type Chart'!$C$2:$U$20,10,false)</f>
        <v>0.5</v>
      </c>
      <c r="AD810" s="960">
        <f t="array" ref="AD810">HLOOKUP($J810,'Type Chart'!$C$2:$T$20,11,false)*HLOOKUP($K810,'Type Chart'!$C$2:$U$20,11,false)</f>
        <v>0.5</v>
      </c>
      <c r="AE810" s="960">
        <f t="array" ref="AE810">HLOOKUP($J810,'Type Chart'!$C$2:$T$20,12,false)*HLOOKUP($K810,'Type Chart'!$C$2:$U$20,12,false)</f>
        <v>0.5</v>
      </c>
      <c r="AF810" s="960">
        <f t="array" ref="AF810">HLOOKUP($J810,'Type Chart'!$C$2:$T$20,13,false)*HLOOKUP($K810,'Type Chart'!$C$2:$U$20,13,false)</f>
        <v>2</v>
      </c>
      <c r="AG810" s="960">
        <f t="array" ref="AG810">HLOOKUP($J810,'Type Chart'!$C$2:$T$20,14,false)*HLOOKUP($K810,'Type Chart'!$C$2:$U$20,14,false)</f>
        <v>2</v>
      </c>
      <c r="AH810" s="960">
        <f t="array" ref="AH810">HLOOKUP($J810,'Type Chart'!$C$2:$T$20,15,false)*HLOOKUP($K810,'Type Chart'!$C$2:$U$20,15,false)</f>
        <v>2</v>
      </c>
      <c r="AI810" s="960">
        <f t="array" ref="AI810">HLOOKUP($J810,'Type Chart'!$C$2:$T$20,16,false)*HLOOKUP($K810,'Type Chart'!$C$2:$U$20,16,false)</f>
        <v>0.5</v>
      </c>
      <c r="AJ810" s="960">
        <f t="array" ref="AJ810">HLOOKUP($J810,'Type Chart'!$C$2:$T$20,17,false)*HLOOKUP($K810,'Type Chart'!$C$2:$U$20,17,false)</f>
        <v>1</v>
      </c>
      <c r="AK810" s="960">
        <f t="array" ref="AK810">HLOOKUP($J810,'Type Chart'!$C$2:$T$20,18,false)*HLOOKUP($K810,'Type Chart'!$C$2:$U$20,18,false)</f>
        <v>0.5</v>
      </c>
      <c r="AL810" s="960">
        <f t="array" ref="AL810">HLOOKUP($J810,'Type Chart'!$C$2:$T$20,19,false)*HLOOKUP($K810,'Type Chart'!$C$2:$U$20,19,false)</f>
        <v>2</v>
      </c>
      <c r="AM810" s="1145" t="s">
        <v>1273</v>
      </c>
      <c r="AN810" s="1202"/>
      <c r="AO810" s="1146"/>
      <c r="AP810" s="936"/>
      <c r="AQ810" s="967"/>
      <c r="AR810" s="968"/>
      <c r="AS810" s="936"/>
    </row>
    <row r="811" ht="15.75" customHeight="1">
      <c r="A811" s="1099"/>
      <c r="B811" s="948" t="s">
        <v>3237</v>
      </c>
      <c r="C811" s="1197" t="s">
        <v>3238</v>
      </c>
      <c r="D811" s="1197" t="s">
        <v>3238</v>
      </c>
      <c r="E811" s="1147" t="s">
        <v>3238</v>
      </c>
      <c r="F811" s="940"/>
      <c r="G811" s="953"/>
      <c r="H811" s="969"/>
      <c r="I811" s="998" t="s">
        <v>3239</v>
      </c>
      <c r="J811" s="1211" t="s">
        <v>81</v>
      </c>
      <c r="K811" s="1212" t="s">
        <v>341</v>
      </c>
      <c r="L811" s="1200">
        <v>91.0</v>
      </c>
      <c r="M811" s="1201">
        <v>72.0</v>
      </c>
      <c r="N811" s="1201">
        <v>90.0</v>
      </c>
      <c r="O811" s="1201">
        <v>129.0</v>
      </c>
      <c r="P811" s="1201">
        <v>90.0</v>
      </c>
      <c r="Q811" s="1201">
        <v>108.0</v>
      </c>
      <c r="R811" s="960">
        <v>252.0</v>
      </c>
      <c r="S811" s="960">
        <v>315.0</v>
      </c>
      <c r="T811" s="960">
        <v>346.0</v>
      </c>
      <c r="U811" s="960">
        <f t="array" ref="U811">HLOOKUP($J811,'Type Chart'!$C$2:$T$20,2,false)*HLOOKUP($K811,'Type Chart'!$C$2:$U$20,2,false)</f>
        <v>1</v>
      </c>
      <c r="V811" s="960">
        <f t="array" ref="V811">HLOOKUP($J811,'Type Chart'!$C$2:$T$20,3,false)*HLOOKUP($K811,'Type Chart'!$C$2:$U$20,3,false)</f>
        <v>1</v>
      </c>
      <c r="W811" s="960">
        <f t="array" ref="W811">HLOOKUP($J811,'Type Chart'!$C$2:$T$20,4,false)*HLOOKUP($K811,'Type Chart'!$C$2:$U$20,4,false)</f>
        <v>2</v>
      </c>
      <c r="X811" s="960">
        <f t="array" ref="X811">HLOOKUP($J811,'Type Chart'!$C$2:$T$20,5,false)*HLOOKUP($K811,'Type Chart'!$C$2:$U$20,5,false)</f>
        <v>1</v>
      </c>
      <c r="Y811" s="960">
        <f t="array" ref="Y811">HLOOKUP($J811,'Type Chart'!$C$2:$T$20,6,false)*HLOOKUP($K811,'Type Chart'!$C$2:$U$20,6,false)</f>
        <v>1</v>
      </c>
      <c r="Z811" s="960">
        <f t="array" ref="Z811">HLOOKUP($J811,'Type Chart'!$C$2:$T$20,7,false)*HLOOKUP($K811,'Type Chart'!$C$2:$U$20,7,false)</f>
        <v>0.5</v>
      </c>
      <c r="AA811" s="960">
        <f t="array" ref="AA811">HLOOKUP($J811,'Type Chart'!$C$2:$T$20,8,false)*HLOOKUP($K811,'Type Chart'!$C$2:$U$20,8,false)</f>
        <v>0.5</v>
      </c>
      <c r="AB811" s="960">
        <f t="array" ref="AB811">HLOOKUP($J811,'Type Chart'!$C$2:$T$20,9,false)*HLOOKUP($K811,'Type Chart'!$C$2:$U$20,9,false)</f>
        <v>1</v>
      </c>
      <c r="AC811" s="960">
        <f t="array" ref="AC811">HLOOKUP($J811,'Type Chart'!$C$2:$T$20,10,false)*HLOOKUP($K811,'Type Chart'!$C$2:$U$20,10,false)</f>
        <v>0.5</v>
      </c>
      <c r="AD811" s="960">
        <f t="array" ref="AD811">HLOOKUP($J811,'Type Chart'!$C$2:$T$20,11,false)*HLOOKUP($K811,'Type Chart'!$C$2:$U$20,11,false)</f>
        <v>0.5</v>
      </c>
      <c r="AE811" s="960">
        <f t="array" ref="AE811">HLOOKUP($J811,'Type Chart'!$C$2:$T$20,12,false)*HLOOKUP($K811,'Type Chart'!$C$2:$U$20,12,false)</f>
        <v>0.5</v>
      </c>
      <c r="AF811" s="960">
        <f t="array" ref="AF811">HLOOKUP($J811,'Type Chart'!$C$2:$T$20,13,false)*HLOOKUP($K811,'Type Chart'!$C$2:$U$20,13,false)</f>
        <v>2</v>
      </c>
      <c r="AG811" s="960">
        <f t="array" ref="AG811">HLOOKUP($J811,'Type Chart'!$C$2:$T$20,14,false)*HLOOKUP($K811,'Type Chart'!$C$2:$U$20,14,false)</f>
        <v>2</v>
      </c>
      <c r="AH811" s="960">
        <f t="array" ref="AH811">HLOOKUP($J811,'Type Chart'!$C$2:$T$20,15,false)*HLOOKUP($K811,'Type Chart'!$C$2:$U$20,15,false)</f>
        <v>2</v>
      </c>
      <c r="AI811" s="960">
        <f t="array" ref="AI811">HLOOKUP($J811,'Type Chart'!$C$2:$T$20,16,false)*HLOOKUP($K811,'Type Chart'!$C$2:$U$20,16,false)</f>
        <v>0.5</v>
      </c>
      <c r="AJ811" s="960">
        <f t="array" ref="AJ811">HLOOKUP($J811,'Type Chart'!$C$2:$T$20,17,false)*HLOOKUP($K811,'Type Chart'!$C$2:$U$20,17,false)</f>
        <v>1</v>
      </c>
      <c r="AK811" s="960">
        <f t="array" ref="AK811">HLOOKUP($J811,'Type Chart'!$C$2:$T$20,18,false)*HLOOKUP($K811,'Type Chart'!$C$2:$U$20,18,false)</f>
        <v>0.5</v>
      </c>
      <c r="AL811" s="960">
        <f t="array" ref="AL811">HLOOKUP($J811,'Type Chart'!$C$2:$T$20,19,false)*HLOOKUP($K811,'Type Chart'!$C$2:$U$20,19,false)</f>
        <v>2</v>
      </c>
      <c r="AM811" s="1145" t="s">
        <v>1273</v>
      </c>
      <c r="AN811" s="1202"/>
      <c r="AO811" s="1146"/>
      <c r="AP811" s="936"/>
      <c r="AQ811" s="967"/>
      <c r="AR811" s="968"/>
      <c r="AS811" s="936"/>
    </row>
    <row r="812" ht="15.75" customHeight="1">
      <c r="A812" s="936"/>
      <c r="B812" s="948" t="s">
        <v>3240</v>
      </c>
      <c r="C812" s="950" t="s">
        <v>3241</v>
      </c>
      <c r="D812" s="950" t="s">
        <v>3241</v>
      </c>
      <c r="E812" s="952" t="s">
        <v>3241</v>
      </c>
      <c r="F812" s="940"/>
      <c r="G812" s="953"/>
      <c r="H812" s="969"/>
      <c r="I812" s="956" t="s">
        <v>541</v>
      </c>
      <c r="J812" s="1194" t="s">
        <v>136</v>
      </c>
      <c r="K812" s="1203" t="s">
        <v>344</v>
      </c>
      <c r="L812" s="959">
        <v>100.0</v>
      </c>
      <c r="M812" s="960">
        <v>77.0</v>
      </c>
      <c r="N812" s="960">
        <v>77.0</v>
      </c>
      <c r="O812" s="960">
        <v>128.0</v>
      </c>
      <c r="P812" s="960">
        <v>128.0</v>
      </c>
      <c r="Q812" s="960">
        <v>90.0</v>
      </c>
      <c r="R812" s="960">
        <v>216.0</v>
      </c>
      <c r="S812" s="960">
        <v>279.0</v>
      </c>
      <c r="T812" s="960">
        <v>306.0</v>
      </c>
      <c r="U812" s="960">
        <f t="array" ref="U812">HLOOKUP($J812,'Type Chart'!$C$2:$T$20,2,false)*HLOOKUP($K812,'Type Chart'!$C$2:$U$20,2,false)</f>
        <v>1</v>
      </c>
      <c r="V812" s="960">
        <f t="array" ref="V812">HLOOKUP($J812,'Type Chart'!$C$2:$T$20,3,false)*HLOOKUP($K812,'Type Chart'!$C$2:$U$20,3,false)</f>
        <v>1</v>
      </c>
      <c r="W812" s="960">
        <f t="array" ref="W812">HLOOKUP($J812,'Type Chart'!$C$2:$T$20,4,false)*HLOOKUP($K812,'Type Chart'!$C$2:$U$20,4,false)</f>
        <v>1</v>
      </c>
      <c r="X812" s="960">
        <f t="array" ref="X812">HLOOKUP($J812,'Type Chart'!$C$2:$T$20,5,false)*HLOOKUP($K812,'Type Chart'!$C$2:$U$20,5,false)</f>
        <v>1</v>
      </c>
      <c r="Y812" s="960">
        <f t="array" ref="Y812">HLOOKUP($J812,'Type Chart'!$C$2:$T$20,6,false)*HLOOKUP($K812,'Type Chart'!$C$2:$U$20,6,false)</f>
        <v>1</v>
      </c>
      <c r="Z812" s="960">
        <f t="array" ref="Z812">HLOOKUP($J812,'Type Chart'!$C$2:$T$20,7,false)*HLOOKUP($K812,'Type Chart'!$C$2:$U$20,7,false)</f>
        <v>1</v>
      </c>
      <c r="AA812" s="960">
        <f t="array" ref="AA812">HLOOKUP($J812,'Type Chart'!$C$2:$T$20,8,false)*HLOOKUP($K812,'Type Chart'!$C$2:$U$20,8,false)</f>
        <v>2</v>
      </c>
      <c r="AB812" s="960">
        <f t="array" ref="AB812">HLOOKUP($J812,'Type Chart'!$C$2:$T$20,9,false)*HLOOKUP($K812,'Type Chart'!$C$2:$U$20,9,false)</f>
        <v>0</v>
      </c>
      <c r="AC812" s="960">
        <f t="array" ref="AC812">HLOOKUP($J812,'Type Chart'!$C$2:$T$20,10,false)*HLOOKUP($K812,'Type Chart'!$C$2:$U$20,10,false)</f>
        <v>1</v>
      </c>
      <c r="AD812" s="960">
        <f t="array" ref="AD812">HLOOKUP($J812,'Type Chart'!$C$2:$T$20,11,false)*HLOOKUP($K812,'Type Chart'!$C$2:$U$20,11,false)</f>
        <v>1</v>
      </c>
      <c r="AE812" s="960">
        <f t="array" ref="AE812">HLOOKUP($J812,'Type Chart'!$C$2:$T$20,12,false)*HLOOKUP($K812,'Type Chart'!$C$2:$U$20,12,false)</f>
        <v>1</v>
      </c>
      <c r="AF812" s="960">
        <f t="array" ref="AF812">HLOOKUP($J812,'Type Chart'!$C$2:$T$20,13,false)*HLOOKUP($K812,'Type Chart'!$C$2:$U$20,13,false)</f>
        <v>1</v>
      </c>
      <c r="AG812" s="960">
        <f t="array" ref="AG812">HLOOKUP($J812,'Type Chart'!$C$2:$T$20,14,false)*HLOOKUP($K812,'Type Chart'!$C$2:$U$20,14,false)</f>
        <v>1</v>
      </c>
      <c r="AH812" s="960">
        <f t="array" ref="AH812">HLOOKUP($J812,'Type Chart'!$C$2:$T$20,15,false)*HLOOKUP($K812,'Type Chart'!$C$2:$U$20,15,false)</f>
        <v>0.5</v>
      </c>
      <c r="AI812" s="960">
        <f t="array" ref="AI812">HLOOKUP($J812,'Type Chart'!$C$2:$T$20,16,false)*HLOOKUP($K812,'Type Chart'!$C$2:$U$20,16,false)</f>
        <v>1</v>
      </c>
      <c r="AJ812" s="960">
        <f t="array" ref="AJ812">HLOOKUP($J812,'Type Chart'!$C$2:$T$20,17,false)*HLOOKUP($K812,'Type Chart'!$C$2:$U$20,17,false)</f>
        <v>1</v>
      </c>
      <c r="AK812" s="960">
        <f t="array" ref="AK812">HLOOKUP($J812,'Type Chart'!$C$2:$T$20,18,false)*HLOOKUP($K812,'Type Chart'!$C$2:$U$20,18,false)</f>
        <v>2</v>
      </c>
      <c r="AL812" s="960">
        <f t="array" ref="AL812">HLOOKUP($J812,'Type Chart'!$C$2:$T$20,19,false)*HLOOKUP($K812,'Type Chart'!$C$2:$U$20,19,false)</f>
        <v>1</v>
      </c>
      <c r="AM812" s="964" t="s">
        <v>1521</v>
      </c>
      <c r="AN812" s="965"/>
      <c r="AO812" s="966"/>
      <c r="AP812" s="936"/>
      <c r="AQ812" s="967"/>
      <c r="AR812" s="968"/>
      <c r="AS812" s="936"/>
    </row>
    <row r="813" ht="15.75" customHeight="1">
      <c r="A813" s="936"/>
      <c r="B813" s="948" t="s">
        <v>3242</v>
      </c>
      <c r="C813" s="950" t="s">
        <v>3243</v>
      </c>
      <c r="D813" s="950" t="s">
        <v>3243</v>
      </c>
      <c r="E813" s="952" t="s">
        <v>3243</v>
      </c>
      <c r="F813" s="940"/>
      <c r="G813" s="953"/>
      <c r="H813" s="969"/>
      <c r="I813" s="956" t="s">
        <v>3244</v>
      </c>
      <c r="J813" s="1194" t="s">
        <v>136</v>
      </c>
      <c r="K813" s="1213" t="s">
        <v>341</v>
      </c>
      <c r="L813" s="959">
        <v>100.0</v>
      </c>
      <c r="M813" s="960">
        <v>128.0</v>
      </c>
      <c r="N813" s="960">
        <v>90.0</v>
      </c>
      <c r="O813" s="960">
        <v>77.0</v>
      </c>
      <c r="P813" s="960">
        <v>77.0</v>
      </c>
      <c r="Q813" s="960">
        <v>128.0</v>
      </c>
      <c r="R813" s="960">
        <v>292.0</v>
      </c>
      <c r="S813" s="960">
        <v>355.0</v>
      </c>
      <c r="T813" s="960">
        <v>390.0</v>
      </c>
      <c r="U813" s="960">
        <f t="array" ref="U813">HLOOKUP($J813,'Type Chart'!$C$2:$T$20,2,false)*HLOOKUP($K813,'Type Chart'!$C$2:$U$20,2,false)</f>
        <v>1</v>
      </c>
      <c r="V813" s="960">
        <f t="array" ref="V813">HLOOKUP($J813,'Type Chart'!$C$2:$T$20,3,false)*HLOOKUP($K813,'Type Chart'!$C$2:$U$20,3,false)</f>
        <v>2</v>
      </c>
      <c r="W813" s="960">
        <f t="array" ref="W813">HLOOKUP($J813,'Type Chart'!$C$2:$T$20,4,false)*HLOOKUP($K813,'Type Chart'!$C$2:$U$20,4,false)</f>
        <v>2</v>
      </c>
      <c r="X813" s="960">
        <f t="array" ref="X813">HLOOKUP($J813,'Type Chart'!$C$2:$T$20,5,false)*HLOOKUP($K813,'Type Chart'!$C$2:$U$20,5,false)</f>
        <v>1</v>
      </c>
      <c r="Y813" s="960">
        <f t="array" ref="Y813">HLOOKUP($J813,'Type Chart'!$C$2:$T$20,6,false)*HLOOKUP($K813,'Type Chart'!$C$2:$U$20,6,false)</f>
        <v>1</v>
      </c>
      <c r="Z813" s="960">
        <f t="array" ref="Z813">HLOOKUP($J813,'Type Chart'!$C$2:$T$20,7,false)*HLOOKUP($K813,'Type Chart'!$C$2:$U$20,7,false)</f>
        <v>0.5</v>
      </c>
      <c r="AA813" s="960">
        <f t="array" ref="AA813">HLOOKUP($J813,'Type Chart'!$C$2:$T$20,8,false)*HLOOKUP($K813,'Type Chart'!$C$2:$U$20,8,false)</f>
        <v>0.5</v>
      </c>
      <c r="AB813" s="960">
        <f t="array" ref="AB813">HLOOKUP($J813,'Type Chart'!$C$2:$T$20,9,false)*HLOOKUP($K813,'Type Chart'!$C$2:$U$20,9,false)</f>
        <v>0</v>
      </c>
      <c r="AC813" s="960">
        <f t="array" ref="AC813">HLOOKUP($J813,'Type Chart'!$C$2:$T$20,10,false)*HLOOKUP($K813,'Type Chart'!$C$2:$U$20,10,false)</f>
        <v>1</v>
      </c>
      <c r="AD813" s="960">
        <f t="array" ref="AD813">HLOOKUP($J813,'Type Chart'!$C$2:$T$20,11,false)*HLOOKUP($K813,'Type Chart'!$C$2:$U$20,11,false)</f>
        <v>1</v>
      </c>
      <c r="AE813" s="960">
        <f t="array" ref="AE813">HLOOKUP($J813,'Type Chart'!$C$2:$T$20,12,false)*HLOOKUP($K813,'Type Chart'!$C$2:$U$20,12,false)</f>
        <v>1</v>
      </c>
      <c r="AF813" s="960">
        <f t="array" ref="AF813">HLOOKUP($J813,'Type Chart'!$C$2:$T$20,13,false)*HLOOKUP($K813,'Type Chart'!$C$2:$U$20,13,false)</f>
        <v>1</v>
      </c>
      <c r="AG813" s="960">
        <f t="array" ref="AG813">HLOOKUP($J813,'Type Chart'!$C$2:$T$20,14,false)*HLOOKUP($K813,'Type Chart'!$C$2:$U$20,14,false)</f>
        <v>1</v>
      </c>
      <c r="AH813" s="960">
        <f t="array" ref="AH813">HLOOKUP($J813,'Type Chart'!$C$2:$T$20,15,false)*HLOOKUP($K813,'Type Chart'!$C$2:$U$20,15,false)</f>
        <v>2</v>
      </c>
      <c r="AI813" s="960">
        <f t="array" ref="AI813">HLOOKUP($J813,'Type Chart'!$C$2:$T$20,16,false)*HLOOKUP($K813,'Type Chart'!$C$2:$U$20,16,false)</f>
        <v>1</v>
      </c>
      <c r="AJ813" s="960">
        <f t="array" ref="AJ813">HLOOKUP($J813,'Type Chart'!$C$2:$T$20,17,false)*HLOOKUP($K813,'Type Chart'!$C$2:$U$20,17,false)</f>
        <v>1</v>
      </c>
      <c r="AK813" s="960">
        <f t="array" ref="AK813">HLOOKUP($J813,'Type Chart'!$C$2:$T$20,18,false)*HLOOKUP($K813,'Type Chart'!$C$2:$U$20,18,false)</f>
        <v>0.5</v>
      </c>
      <c r="AL813" s="960">
        <f t="array" ref="AL813">HLOOKUP($J813,'Type Chart'!$C$2:$T$20,19,false)*HLOOKUP($K813,'Type Chart'!$C$2:$U$20,19,false)</f>
        <v>2</v>
      </c>
      <c r="AM813" s="964" t="s">
        <v>1521</v>
      </c>
      <c r="AN813" s="965"/>
      <c r="AO813" s="966"/>
      <c r="AP813" s="936"/>
      <c r="AQ813" s="967"/>
      <c r="AR813" s="968"/>
      <c r="AS813" s="936"/>
    </row>
    <row r="814" ht="15.75" customHeight="1">
      <c r="A814" s="1099"/>
      <c r="B814" s="948" t="s">
        <v>3245</v>
      </c>
      <c r="C814" s="950" t="s">
        <v>3246</v>
      </c>
      <c r="D814" s="950" t="s">
        <v>3246</v>
      </c>
      <c r="E814" s="952" t="s">
        <v>3246</v>
      </c>
      <c r="F814" s="940"/>
      <c r="G814" s="953"/>
      <c r="H814" s="969"/>
      <c r="I814" s="956" t="s">
        <v>3247</v>
      </c>
      <c r="J814" s="1180" t="s">
        <v>343</v>
      </c>
      <c r="K814" s="1206" t="s">
        <v>82</v>
      </c>
      <c r="L814" s="959">
        <v>71.0</v>
      </c>
      <c r="M814" s="960">
        <v>120.0</v>
      </c>
      <c r="N814" s="960">
        <v>95.0</v>
      </c>
      <c r="O814" s="960">
        <v>120.0</v>
      </c>
      <c r="P814" s="960">
        <v>95.0</v>
      </c>
      <c r="Q814" s="960">
        <v>99.0</v>
      </c>
      <c r="R814" s="960">
        <v>234.0</v>
      </c>
      <c r="S814" s="960">
        <v>297.0</v>
      </c>
      <c r="T814" s="960">
        <v>326.0</v>
      </c>
      <c r="U814" s="960">
        <f t="array" ref="U814">HLOOKUP($J814,'Type Chart'!$C$2:$T$20,2,false)*HLOOKUP($K814,'Type Chart'!$C$2:$U$20,2,false)</f>
        <v>0.5</v>
      </c>
      <c r="V814" s="960">
        <f t="array" ref="V814">HLOOKUP($J814,'Type Chart'!$C$2:$T$20,3,false)*HLOOKUP($K814,'Type Chart'!$C$2:$U$20,3,false)</f>
        <v>1</v>
      </c>
      <c r="W814" s="960">
        <f t="array" ref="W814">HLOOKUP($J814,'Type Chart'!$C$2:$T$20,4,false)*HLOOKUP($K814,'Type Chart'!$C$2:$U$20,4,false)</f>
        <v>1</v>
      </c>
      <c r="X814" s="960">
        <f t="array" ref="X814">HLOOKUP($J814,'Type Chart'!$C$2:$T$20,5,false)*HLOOKUP($K814,'Type Chart'!$C$2:$U$20,5,false)</f>
        <v>0</v>
      </c>
      <c r="Y814" s="960">
        <f t="array" ref="Y814">HLOOKUP($J814,'Type Chart'!$C$2:$T$20,6,false)*HLOOKUP($K814,'Type Chart'!$C$2:$U$20,6,false)</f>
        <v>1</v>
      </c>
      <c r="Z814" s="960">
        <f t="array" ref="Z814">HLOOKUP($J814,'Type Chart'!$C$2:$T$20,7,false)*HLOOKUP($K814,'Type Chart'!$C$2:$U$20,7,false)</f>
        <v>1</v>
      </c>
      <c r="AA814" s="960">
        <f t="array" ref="AA814">HLOOKUP($J814,'Type Chart'!$C$2:$T$20,8,false)*HLOOKUP($K814,'Type Chart'!$C$2:$U$20,8,false)</f>
        <v>0.5</v>
      </c>
      <c r="AB814" s="960">
        <f t="array" ref="AB814">HLOOKUP($J814,'Type Chart'!$C$2:$T$20,9,false)*HLOOKUP($K814,'Type Chart'!$C$2:$U$20,9,false)</f>
        <v>1</v>
      </c>
      <c r="AC814" s="960">
        <f t="array" ref="AC814">HLOOKUP($J814,'Type Chart'!$C$2:$T$20,10,false)*HLOOKUP($K814,'Type Chart'!$C$2:$U$20,10,false)</f>
        <v>0.5</v>
      </c>
      <c r="AD814" s="960">
        <f t="array" ref="AD814">HLOOKUP($J814,'Type Chart'!$C$2:$T$20,11,false)*HLOOKUP($K814,'Type Chart'!$C$2:$U$20,11,false)</f>
        <v>4</v>
      </c>
      <c r="AE814" s="960">
        <f t="array" ref="AE814">HLOOKUP($J814,'Type Chart'!$C$2:$T$20,12,false)*HLOOKUP($K814,'Type Chart'!$C$2:$U$20,12,false)</f>
        <v>1</v>
      </c>
      <c r="AF814" s="960">
        <f t="array" ref="AF814">HLOOKUP($J814,'Type Chart'!$C$2:$T$20,13,false)*HLOOKUP($K814,'Type Chart'!$C$2:$U$20,13,false)</f>
        <v>0.25</v>
      </c>
      <c r="AG814" s="960">
        <f t="array" ref="AG814">HLOOKUP($J814,'Type Chart'!$C$2:$T$20,14,false)*HLOOKUP($K814,'Type Chart'!$C$2:$U$20,14,false)</f>
        <v>1</v>
      </c>
      <c r="AH814" s="960">
        <f t="array" ref="AH814">HLOOKUP($J814,'Type Chart'!$C$2:$T$20,15,false)*HLOOKUP($K814,'Type Chart'!$C$2:$U$20,15,false)</f>
        <v>0.5</v>
      </c>
      <c r="AI814" s="960">
        <f t="array" ref="AI814">HLOOKUP($J814,'Type Chart'!$C$2:$T$20,16,false)*HLOOKUP($K814,'Type Chart'!$C$2:$U$20,16,false)</f>
        <v>0.5</v>
      </c>
      <c r="AJ814" s="960">
        <f t="array" ref="AJ814">HLOOKUP($J814,'Type Chart'!$C$2:$T$20,17,false)*HLOOKUP($K814,'Type Chart'!$C$2:$U$20,17,false)</f>
        <v>0.5</v>
      </c>
      <c r="AK814" s="960">
        <f t="array" ref="AK814">HLOOKUP($J814,'Type Chart'!$C$2:$T$20,18,false)*HLOOKUP($K814,'Type Chart'!$C$2:$U$20,18,false)</f>
        <v>1</v>
      </c>
      <c r="AL814" s="960">
        <f t="array" ref="AL814">HLOOKUP($J814,'Type Chart'!$C$2:$T$20,19,false)*HLOOKUP($K814,'Type Chart'!$C$2:$U$20,19,false)</f>
        <v>0.5</v>
      </c>
      <c r="AM814" s="1145" t="s">
        <v>1620</v>
      </c>
      <c r="AN814" s="1202"/>
      <c r="AO814" s="1146"/>
      <c r="AP814" s="936"/>
      <c r="AQ814" s="967"/>
      <c r="AR814" s="968"/>
      <c r="AS814" s="936"/>
    </row>
    <row r="815" ht="15.75" customHeight="1">
      <c r="A815" s="936"/>
      <c r="B815" s="948" t="s">
        <v>3245</v>
      </c>
      <c r="C815" s="950" t="s">
        <v>3248</v>
      </c>
      <c r="D815" s="950" t="s">
        <v>3248</v>
      </c>
      <c r="E815" s="952" t="s">
        <v>3248</v>
      </c>
      <c r="F815" s="940"/>
      <c r="G815" s="953"/>
      <c r="H815" s="969"/>
      <c r="I815" s="956" t="s">
        <v>3249</v>
      </c>
      <c r="J815" s="1180" t="s">
        <v>343</v>
      </c>
      <c r="K815" s="1206" t="s">
        <v>82</v>
      </c>
      <c r="L815" s="959">
        <v>71.0</v>
      </c>
      <c r="M815" s="960">
        <v>120.0</v>
      </c>
      <c r="N815" s="960">
        <v>95.0</v>
      </c>
      <c r="O815" s="960">
        <v>120.0</v>
      </c>
      <c r="P815" s="960">
        <v>95.0</v>
      </c>
      <c r="Q815" s="960">
        <v>99.0</v>
      </c>
      <c r="R815" s="960">
        <v>234.0</v>
      </c>
      <c r="S815" s="960">
        <v>297.0</v>
      </c>
      <c r="T815" s="960">
        <v>326.0</v>
      </c>
      <c r="U815" s="960">
        <f t="array" ref="U815">HLOOKUP($J815,'Type Chart'!$C$2:$T$20,2,false)*HLOOKUP($K815,'Type Chart'!$C$2:$U$20,2,false)</f>
        <v>0.5</v>
      </c>
      <c r="V815" s="960">
        <f t="array" ref="V815">HLOOKUP($J815,'Type Chart'!$C$2:$T$20,3,false)*HLOOKUP($K815,'Type Chart'!$C$2:$U$20,3,false)</f>
        <v>1</v>
      </c>
      <c r="W815" s="960">
        <f t="array" ref="W815">HLOOKUP($J815,'Type Chart'!$C$2:$T$20,4,false)*HLOOKUP($K815,'Type Chart'!$C$2:$U$20,4,false)</f>
        <v>1</v>
      </c>
      <c r="X815" s="960">
        <f t="array" ref="X815">HLOOKUP($J815,'Type Chart'!$C$2:$T$20,5,false)*HLOOKUP($K815,'Type Chart'!$C$2:$U$20,5,false)</f>
        <v>0</v>
      </c>
      <c r="Y815" s="960">
        <f t="array" ref="Y815">HLOOKUP($J815,'Type Chart'!$C$2:$T$20,6,false)*HLOOKUP($K815,'Type Chart'!$C$2:$U$20,6,false)</f>
        <v>1</v>
      </c>
      <c r="Z815" s="960">
        <f t="array" ref="Z815">HLOOKUP($J815,'Type Chart'!$C$2:$T$20,7,false)*HLOOKUP($K815,'Type Chart'!$C$2:$U$20,7,false)</f>
        <v>1</v>
      </c>
      <c r="AA815" s="960">
        <f t="array" ref="AA815">HLOOKUP($J815,'Type Chart'!$C$2:$T$20,8,false)*HLOOKUP($K815,'Type Chart'!$C$2:$U$20,8,false)</f>
        <v>0.5</v>
      </c>
      <c r="AB815" s="960">
        <f t="array" ref="AB815">HLOOKUP($J815,'Type Chart'!$C$2:$T$20,9,false)*HLOOKUP($K815,'Type Chart'!$C$2:$U$20,9,false)</f>
        <v>1</v>
      </c>
      <c r="AC815" s="960">
        <f t="array" ref="AC815">HLOOKUP($J815,'Type Chart'!$C$2:$T$20,10,false)*HLOOKUP($K815,'Type Chart'!$C$2:$U$20,10,false)</f>
        <v>0.5</v>
      </c>
      <c r="AD815" s="960">
        <f t="array" ref="AD815">HLOOKUP($J815,'Type Chart'!$C$2:$T$20,11,false)*HLOOKUP($K815,'Type Chart'!$C$2:$U$20,11,false)</f>
        <v>4</v>
      </c>
      <c r="AE815" s="960">
        <f t="array" ref="AE815">HLOOKUP($J815,'Type Chart'!$C$2:$T$20,12,false)*HLOOKUP($K815,'Type Chart'!$C$2:$U$20,12,false)</f>
        <v>1</v>
      </c>
      <c r="AF815" s="960">
        <f t="array" ref="AF815">HLOOKUP($J815,'Type Chart'!$C$2:$T$20,13,false)*HLOOKUP($K815,'Type Chart'!$C$2:$U$20,13,false)</f>
        <v>0.25</v>
      </c>
      <c r="AG815" s="960">
        <f t="array" ref="AG815">HLOOKUP($J815,'Type Chart'!$C$2:$T$20,14,false)*HLOOKUP($K815,'Type Chart'!$C$2:$U$20,14,false)</f>
        <v>1</v>
      </c>
      <c r="AH815" s="960">
        <f t="array" ref="AH815">HLOOKUP($J815,'Type Chart'!$C$2:$T$20,15,false)*HLOOKUP($K815,'Type Chart'!$C$2:$U$20,15,false)</f>
        <v>0.5</v>
      </c>
      <c r="AI815" s="960">
        <f t="array" ref="AI815">HLOOKUP($J815,'Type Chart'!$C$2:$T$20,16,false)*HLOOKUP($K815,'Type Chart'!$C$2:$U$20,16,false)</f>
        <v>0.5</v>
      </c>
      <c r="AJ815" s="960">
        <f t="array" ref="AJ815">HLOOKUP($J815,'Type Chart'!$C$2:$T$20,17,false)*HLOOKUP($K815,'Type Chart'!$C$2:$U$20,17,false)</f>
        <v>0.5</v>
      </c>
      <c r="AK815" s="960">
        <f t="array" ref="AK815">HLOOKUP($J815,'Type Chart'!$C$2:$T$20,18,false)*HLOOKUP($K815,'Type Chart'!$C$2:$U$20,18,false)</f>
        <v>1</v>
      </c>
      <c r="AL815" s="960">
        <f t="array" ref="AL815">HLOOKUP($J815,'Type Chart'!$C$2:$T$20,19,false)*HLOOKUP($K815,'Type Chart'!$C$2:$U$20,19,false)</f>
        <v>0.5</v>
      </c>
      <c r="AM815" s="964" t="s">
        <v>1620</v>
      </c>
      <c r="AN815" s="965"/>
      <c r="AO815" s="966"/>
      <c r="AP815" s="936"/>
      <c r="AQ815" s="967"/>
      <c r="AR815" s="968"/>
      <c r="AS815" s="936"/>
    </row>
    <row r="816" ht="15.75" customHeight="1">
      <c r="A816" s="936"/>
      <c r="B816" s="948" t="s">
        <v>3245</v>
      </c>
      <c r="C816" s="950" t="s">
        <v>3250</v>
      </c>
      <c r="D816" s="950" t="s">
        <v>3250</v>
      </c>
      <c r="E816" s="952" t="s">
        <v>3250</v>
      </c>
      <c r="F816" s="940"/>
      <c r="G816" s="953"/>
      <c r="H816" s="969"/>
      <c r="I816" s="956" t="s">
        <v>3251</v>
      </c>
      <c r="J816" s="1180" t="s">
        <v>343</v>
      </c>
      <c r="K816" s="1206" t="s">
        <v>82</v>
      </c>
      <c r="L816" s="959">
        <v>71.0</v>
      </c>
      <c r="M816" s="960">
        <v>120.0</v>
      </c>
      <c r="N816" s="960">
        <v>95.0</v>
      </c>
      <c r="O816" s="960">
        <v>120.0</v>
      </c>
      <c r="P816" s="960">
        <v>95.0</v>
      </c>
      <c r="Q816" s="960">
        <v>99.0</v>
      </c>
      <c r="R816" s="960">
        <v>234.0</v>
      </c>
      <c r="S816" s="960">
        <v>297.0</v>
      </c>
      <c r="T816" s="960">
        <v>326.0</v>
      </c>
      <c r="U816" s="960">
        <f t="array" ref="U816">HLOOKUP($J816,'Type Chart'!$C$2:$T$20,2,false)*HLOOKUP($K816,'Type Chart'!$C$2:$U$20,2,false)</f>
        <v>0.5</v>
      </c>
      <c r="V816" s="960">
        <f t="array" ref="V816">HLOOKUP($J816,'Type Chart'!$C$2:$T$20,3,false)*HLOOKUP($K816,'Type Chart'!$C$2:$U$20,3,false)</f>
        <v>1</v>
      </c>
      <c r="W816" s="960">
        <f t="array" ref="W816">HLOOKUP($J816,'Type Chart'!$C$2:$T$20,4,false)*HLOOKUP($K816,'Type Chart'!$C$2:$U$20,4,false)</f>
        <v>1</v>
      </c>
      <c r="X816" s="960">
        <f t="array" ref="X816">HLOOKUP($J816,'Type Chart'!$C$2:$T$20,5,false)*HLOOKUP($K816,'Type Chart'!$C$2:$U$20,5,false)</f>
        <v>0</v>
      </c>
      <c r="Y816" s="960">
        <f t="array" ref="Y816">HLOOKUP($J816,'Type Chart'!$C$2:$T$20,6,false)*HLOOKUP($K816,'Type Chart'!$C$2:$U$20,6,false)</f>
        <v>1</v>
      </c>
      <c r="Z816" s="960">
        <f t="array" ref="Z816">HLOOKUP($J816,'Type Chart'!$C$2:$T$20,7,false)*HLOOKUP($K816,'Type Chart'!$C$2:$U$20,7,false)</f>
        <v>1</v>
      </c>
      <c r="AA816" s="960">
        <f t="array" ref="AA816">HLOOKUP($J816,'Type Chart'!$C$2:$T$20,8,false)*HLOOKUP($K816,'Type Chart'!$C$2:$U$20,8,false)</f>
        <v>0.5</v>
      </c>
      <c r="AB816" s="960">
        <f t="array" ref="AB816">HLOOKUP($J816,'Type Chart'!$C$2:$T$20,9,false)*HLOOKUP($K816,'Type Chart'!$C$2:$U$20,9,false)</f>
        <v>1</v>
      </c>
      <c r="AC816" s="960">
        <f t="array" ref="AC816">HLOOKUP($J816,'Type Chart'!$C$2:$T$20,10,false)*HLOOKUP($K816,'Type Chart'!$C$2:$U$20,10,false)</f>
        <v>0.5</v>
      </c>
      <c r="AD816" s="960">
        <f t="array" ref="AD816">HLOOKUP($J816,'Type Chart'!$C$2:$T$20,11,false)*HLOOKUP($K816,'Type Chart'!$C$2:$U$20,11,false)</f>
        <v>4</v>
      </c>
      <c r="AE816" s="960">
        <f t="array" ref="AE816">HLOOKUP($J816,'Type Chart'!$C$2:$T$20,12,false)*HLOOKUP($K816,'Type Chart'!$C$2:$U$20,12,false)</f>
        <v>1</v>
      </c>
      <c r="AF816" s="960">
        <f t="array" ref="AF816">HLOOKUP($J816,'Type Chart'!$C$2:$T$20,13,false)*HLOOKUP($K816,'Type Chart'!$C$2:$U$20,13,false)</f>
        <v>0.25</v>
      </c>
      <c r="AG816" s="960">
        <f t="array" ref="AG816">HLOOKUP($J816,'Type Chart'!$C$2:$T$20,14,false)*HLOOKUP($K816,'Type Chart'!$C$2:$U$20,14,false)</f>
        <v>1</v>
      </c>
      <c r="AH816" s="960">
        <f t="array" ref="AH816">HLOOKUP($J816,'Type Chart'!$C$2:$T$20,15,false)*HLOOKUP($K816,'Type Chart'!$C$2:$U$20,15,false)</f>
        <v>0.5</v>
      </c>
      <c r="AI816" s="960">
        <f t="array" ref="AI816">HLOOKUP($J816,'Type Chart'!$C$2:$T$20,16,false)*HLOOKUP($K816,'Type Chart'!$C$2:$U$20,16,false)</f>
        <v>0.5</v>
      </c>
      <c r="AJ816" s="960">
        <f t="array" ref="AJ816">HLOOKUP($J816,'Type Chart'!$C$2:$T$20,17,false)*HLOOKUP($K816,'Type Chart'!$C$2:$U$20,17,false)</f>
        <v>0.5</v>
      </c>
      <c r="AK816" s="960">
        <f t="array" ref="AK816">HLOOKUP($J816,'Type Chart'!$C$2:$T$20,18,false)*HLOOKUP($K816,'Type Chart'!$C$2:$U$20,18,false)</f>
        <v>1</v>
      </c>
      <c r="AL816" s="960">
        <f t="array" ref="AL816">HLOOKUP($J816,'Type Chart'!$C$2:$T$20,19,false)*HLOOKUP($K816,'Type Chart'!$C$2:$U$20,19,false)</f>
        <v>0.5</v>
      </c>
      <c r="AM816" s="964" t="s">
        <v>1620</v>
      </c>
      <c r="AN816" s="965"/>
      <c r="AO816" s="966"/>
      <c r="AP816" s="936"/>
      <c r="AQ816" s="967"/>
      <c r="AR816" s="968"/>
      <c r="AS816" s="936"/>
    </row>
    <row r="817" ht="15.75" customHeight="1">
      <c r="A817" s="936"/>
      <c r="B817" s="948" t="s">
        <v>3245</v>
      </c>
      <c r="C817" s="950" t="s">
        <v>3252</v>
      </c>
      <c r="D817" s="950" t="s">
        <v>3252</v>
      </c>
      <c r="E817" s="952" t="s">
        <v>3252</v>
      </c>
      <c r="F817" s="940"/>
      <c r="G817" s="953"/>
      <c r="H817" s="969"/>
      <c r="I817" s="956" t="s">
        <v>3253</v>
      </c>
      <c r="J817" s="1180" t="s">
        <v>343</v>
      </c>
      <c r="K817" s="1206" t="s">
        <v>82</v>
      </c>
      <c r="L817" s="959">
        <v>71.0</v>
      </c>
      <c r="M817" s="960">
        <v>120.0</v>
      </c>
      <c r="N817" s="960">
        <v>95.0</v>
      </c>
      <c r="O817" s="960">
        <v>120.0</v>
      </c>
      <c r="P817" s="960">
        <v>95.0</v>
      </c>
      <c r="Q817" s="960">
        <v>99.0</v>
      </c>
      <c r="R817" s="960">
        <v>234.0</v>
      </c>
      <c r="S817" s="960">
        <v>297.0</v>
      </c>
      <c r="T817" s="960">
        <v>326.0</v>
      </c>
      <c r="U817" s="960">
        <f t="array" ref="U817">HLOOKUP($J817,'Type Chart'!$C$2:$T$20,2,false)*HLOOKUP($K817,'Type Chart'!$C$2:$U$20,2,false)</f>
        <v>0.5</v>
      </c>
      <c r="V817" s="960">
        <f t="array" ref="V817">HLOOKUP($J817,'Type Chart'!$C$2:$T$20,3,false)*HLOOKUP($K817,'Type Chart'!$C$2:$U$20,3,false)</f>
        <v>1</v>
      </c>
      <c r="W817" s="960">
        <f t="array" ref="W817">HLOOKUP($J817,'Type Chart'!$C$2:$T$20,4,false)*HLOOKUP($K817,'Type Chart'!$C$2:$U$20,4,false)</f>
        <v>1</v>
      </c>
      <c r="X817" s="960">
        <f t="array" ref="X817">HLOOKUP($J817,'Type Chart'!$C$2:$T$20,5,false)*HLOOKUP($K817,'Type Chart'!$C$2:$U$20,5,false)</f>
        <v>0</v>
      </c>
      <c r="Y817" s="960">
        <f t="array" ref="Y817">HLOOKUP($J817,'Type Chart'!$C$2:$T$20,6,false)*HLOOKUP($K817,'Type Chart'!$C$2:$U$20,6,false)</f>
        <v>1</v>
      </c>
      <c r="Z817" s="960">
        <f t="array" ref="Z817">HLOOKUP($J817,'Type Chart'!$C$2:$T$20,7,false)*HLOOKUP($K817,'Type Chart'!$C$2:$U$20,7,false)</f>
        <v>1</v>
      </c>
      <c r="AA817" s="960">
        <f t="array" ref="AA817">HLOOKUP($J817,'Type Chart'!$C$2:$T$20,8,false)*HLOOKUP($K817,'Type Chart'!$C$2:$U$20,8,false)</f>
        <v>0.5</v>
      </c>
      <c r="AB817" s="960">
        <f t="array" ref="AB817">HLOOKUP($J817,'Type Chart'!$C$2:$T$20,9,false)*HLOOKUP($K817,'Type Chart'!$C$2:$U$20,9,false)</f>
        <v>1</v>
      </c>
      <c r="AC817" s="960">
        <f t="array" ref="AC817">HLOOKUP($J817,'Type Chart'!$C$2:$T$20,10,false)*HLOOKUP($K817,'Type Chart'!$C$2:$U$20,10,false)</f>
        <v>0.5</v>
      </c>
      <c r="AD817" s="960">
        <f t="array" ref="AD817">HLOOKUP($J817,'Type Chart'!$C$2:$T$20,11,false)*HLOOKUP($K817,'Type Chart'!$C$2:$U$20,11,false)</f>
        <v>4</v>
      </c>
      <c r="AE817" s="960">
        <f t="array" ref="AE817">HLOOKUP($J817,'Type Chart'!$C$2:$T$20,12,false)*HLOOKUP($K817,'Type Chart'!$C$2:$U$20,12,false)</f>
        <v>1</v>
      </c>
      <c r="AF817" s="960">
        <f t="array" ref="AF817">HLOOKUP($J817,'Type Chart'!$C$2:$T$20,13,false)*HLOOKUP($K817,'Type Chart'!$C$2:$U$20,13,false)</f>
        <v>0.25</v>
      </c>
      <c r="AG817" s="960">
        <f t="array" ref="AG817">HLOOKUP($J817,'Type Chart'!$C$2:$T$20,14,false)*HLOOKUP($K817,'Type Chart'!$C$2:$U$20,14,false)</f>
        <v>1</v>
      </c>
      <c r="AH817" s="960">
        <f t="array" ref="AH817">HLOOKUP($J817,'Type Chart'!$C$2:$T$20,15,false)*HLOOKUP($K817,'Type Chart'!$C$2:$U$20,15,false)</f>
        <v>0.5</v>
      </c>
      <c r="AI817" s="960">
        <f t="array" ref="AI817">HLOOKUP($J817,'Type Chart'!$C$2:$T$20,16,false)*HLOOKUP($K817,'Type Chart'!$C$2:$U$20,16,false)</f>
        <v>0.5</v>
      </c>
      <c r="AJ817" s="960">
        <f t="array" ref="AJ817">HLOOKUP($J817,'Type Chart'!$C$2:$T$20,17,false)*HLOOKUP($K817,'Type Chart'!$C$2:$U$20,17,false)</f>
        <v>0.5</v>
      </c>
      <c r="AK817" s="960">
        <f t="array" ref="AK817">HLOOKUP($J817,'Type Chart'!$C$2:$T$20,18,false)*HLOOKUP($K817,'Type Chart'!$C$2:$U$20,18,false)</f>
        <v>1</v>
      </c>
      <c r="AL817" s="960">
        <f t="array" ref="AL817">HLOOKUP($J817,'Type Chart'!$C$2:$T$20,19,false)*HLOOKUP($K817,'Type Chart'!$C$2:$U$20,19,false)</f>
        <v>0.5</v>
      </c>
      <c r="AM817" s="964" t="s">
        <v>1620</v>
      </c>
      <c r="AN817" s="965"/>
      <c r="AO817" s="966"/>
      <c r="AP817" s="936"/>
      <c r="AQ817" s="967"/>
      <c r="AR817" s="968"/>
      <c r="AS817" s="936"/>
    </row>
    <row r="818" ht="15.75" customHeight="1">
      <c r="A818" s="936"/>
      <c r="B818" s="948" t="s">
        <v>3245</v>
      </c>
      <c r="C818" s="950" t="s">
        <v>3254</v>
      </c>
      <c r="D818" s="950" t="s">
        <v>3254</v>
      </c>
      <c r="E818" s="952" t="s">
        <v>3254</v>
      </c>
      <c r="F818" s="940"/>
      <c r="G818" s="953"/>
      <c r="H818" s="969"/>
      <c r="I818" s="956" t="s">
        <v>3255</v>
      </c>
      <c r="J818" s="1180" t="s">
        <v>343</v>
      </c>
      <c r="K818" s="1206" t="s">
        <v>82</v>
      </c>
      <c r="L818" s="959">
        <v>71.0</v>
      </c>
      <c r="M818" s="960">
        <v>120.0</v>
      </c>
      <c r="N818" s="960">
        <v>95.0</v>
      </c>
      <c r="O818" s="960">
        <v>120.0</v>
      </c>
      <c r="P818" s="960">
        <v>95.0</v>
      </c>
      <c r="Q818" s="960">
        <v>99.0</v>
      </c>
      <c r="R818" s="960">
        <v>234.0</v>
      </c>
      <c r="S818" s="960">
        <v>297.0</v>
      </c>
      <c r="T818" s="960">
        <v>326.0</v>
      </c>
      <c r="U818" s="960">
        <f t="array" ref="U818">HLOOKUP($J818,'Type Chart'!$C$2:$T$20,2,false)*HLOOKUP($K818,'Type Chart'!$C$2:$U$20,2,false)</f>
        <v>0.5</v>
      </c>
      <c r="V818" s="960">
        <f t="array" ref="V818">HLOOKUP($J818,'Type Chart'!$C$2:$T$20,3,false)*HLOOKUP($K818,'Type Chart'!$C$2:$U$20,3,false)</f>
        <v>1</v>
      </c>
      <c r="W818" s="960">
        <f t="array" ref="W818">HLOOKUP($J818,'Type Chart'!$C$2:$T$20,4,false)*HLOOKUP($K818,'Type Chart'!$C$2:$U$20,4,false)</f>
        <v>1</v>
      </c>
      <c r="X818" s="960">
        <f t="array" ref="X818">HLOOKUP($J818,'Type Chart'!$C$2:$T$20,5,false)*HLOOKUP($K818,'Type Chart'!$C$2:$U$20,5,false)</f>
        <v>0</v>
      </c>
      <c r="Y818" s="960">
        <f t="array" ref="Y818">HLOOKUP($J818,'Type Chart'!$C$2:$T$20,6,false)*HLOOKUP($K818,'Type Chart'!$C$2:$U$20,6,false)</f>
        <v>1</v>
      </c>
      <c r="Z818" s="960">
        <f t="array" ref="Z818">HLOOKUP($J818,'Type Chart'!$C$2:$T$20,7,false)*HLOOKUP($K818,'Type Chart'!$C$2:$U$20,7,false)</f>
        <v>1</v>
      </c>
      <c r="AA818" s="960">
        <f t="array" ref="AA818">HLOOKUP($J818,'Type Chart'!$C$2:$T$20,8,false)*HLOOKUP($K818,'Type Chart'!$C$2:$U$20,8,false)</f>
        <v>0.5</v>
      </c>
      <c r="AB818" s="960">
        <f t="array" ref="AB818">HLOOKUP($J818,'Type Chart'!$C$2:$T$20,9,false)*HLOOKUP($K818,'Type Chart'!$C$2:$U$20,9,false)</f>
        <v>1</v>
      </c>
      <c r="AC818" s="960">
        <f t="array" ref="AC818">HLOOKUP($J818,'Type Chart'!$C$2:$T$20,10,false)*HLOOKUP($K818,'Type Chart'!$C$2:$U$20,10,false)</f>
        <v>0.5</v>
      </c>
      <c r="AD818" s="960">
        <f t="array" ref="AD818">HLOOKUP($J818,'Type Chart'!$C$2:$T$20,11,false)*HLOOKUP($K818,'Type Chart'!$C$2:$U$20,11,false)</f>
        <v>4</v>
      </c>
      <c r="AE818" s="960">
        <f t="array" ref="AE818">HLOOKUP($J818,'Type Chart'!$C$2:$T$20,12,false)*HLOOKUP($K818,'Type Chart'!$C$2:$U$20,12,false)</f>
        <v>1</v>
      </c>
      <c r="AF818" s="960">
        <f t="array" ref="AF818">HLOOKUP($J818,'Type Chart'!$C$2:$T$20,13,false)*HLOOKUP($K818,'Type Chart'!$C$2:$U$20,13,false)</f>
        <v>0.25</v>
      </c>
      <c r="AG818" s="960">
        <f t="array" ref="AG818">HLOOKUP($J818,'Type Chart'!$C$2:$T$20,14,false)*HLOOKUP($K818,'Type Chart'!$C$2:$U$20,14,false)</f>
        <v>1</v>
      </c>
      <c r="AH818" s="960">
        <f t="array" ref="AH818">HLOOKUP($J818,'Type Chart'!$C$2:$T$20,15,false)*HLOOKUP($K818,'Type Chart'!$C$2:$U$20,15,false)</f>
        <v>0.5</v>
      </c>
      <c r="AI818" s="960">
        <f t="array" ref="AI818">HLOOKUP($J818,'Type Chart'!$C$2:$T$20,16,false)*HLOOKUP($K818,'Type Chart'!$C$2:$U$20,16,false)</f>
        <v>0.5</v>
      </c>
      <c r="AJ818" s="960">
        <f t="array" ref="AJ818">HLOOKUP($J818,'Type Chart'!$C$2:$T$20,17,false)*HLOOKUP($K818,'Type Chart'!$C$2:$U$20,17,false)</f>
        <v>0.5</v>
      </c>
      <c r="AK818" s="960">
        <f t="array" ref="AK818">HLOOKUP($J818,'Type Chart'!$C$2:$T$20,18,false)*HLOOKUP($K818,'Type Chart'!$C$2:$U$20,18,false)</f>
        <v>1</v>
      </c>
      <c r="AL818" s="960">
        <f t="array" ref="AL818">HLOOKUP($J818,'Type Chart'!$C$2:$T$20,19,false)*HLOOKUP($K818,'Type Chart'!$C$2:$U$20,19,false)</f>
        <v>0.5</v>
      </c>
      <c r="AM818" s="964" t="s">
        <v>1620</v>
      </c>
      <c r="AN818" s="965"/>
      <c r="AO818" s="966"/>
      <c r="AP818" s="936"/>
      <c r="AQ818" s="967"/>
      <c r="AR818" s="968"/>
      <c r="AS818" s="936"/>
    </row>
    <row r="819" ht="15.75" customHeight="1">
      <c r="A819" s="936"/>
      <c r="B819" s="948" t="s">
        <v>3256</v>
      </c>
      <c r="C819" s="950" t="s">
        <v>3257</v>
      </c>
      <c r="D819" s="950" t="s">
        <v>3257</v>
      </c>
      <c r="E819" s="952" t="s">
        <v>3257</v>
      </c>
      <c r="F819" s="940"/>
      <c r="G819" s="953"/>
      <c r="H819" s="969"/>
      <c r="I819" s="956" t="s">
        <v>3258</v>
      </c>
      <c r="J819" s="957" t="s">
        <v>209</v>
      </c>
      <c r="K819" s="984" t="s">
        <v>216</v>
      </c>
      <c r="L819" s="959">
        <v>56.0</v>
      </c>
      <c r="M819" s="960">
        <v>61.0</v>
      </c>
      <c r="N819" s="960">
        <v>65.0</v>
      </c>
      <c r="O819" s="960">
        <v>48.0</v>
      </c>
      <c r="P819" s="960">
        <v>45.0</v>
      </c>
      <c r="Q819" s="960">
        <v>38.0</v>
      </c>
      <c r="R819" s="960">
        <v>112.0</v>
      </c>
      <c r="S819" s="960">
        <v>175.0</v>
      </c>
      <c r="T819" s="960">
        <v>192.0</v>
      </c>
      <c r="U819" s="960">
        <f t="array" ref="U819">HLOOKUP($J819,'Type Chart'!$C$2:$T$20,2,false)*HLOOKUP($K819,'Type Chart'!$C$2:$U$20,2,false)</f>
        <v>1</v>
      </c>
      <c r="V819" s="960">
        <f t="array" ref="V819">HLOOKUP($J819,'Type Chart'!$C$2:$T$20,3,false)*HLOOKUP($K819,'Type Chart'!$C$2:$U$20,3,false)</f>
        <v>1</v>
      </c>
      <c r="W819" s="960">
        <f t="array" ref="W819">HLOOKUP($J819,'Type Chart'!$C$2:$T$20,4,false)*HLOOKUP($K819,'Type Chart'!$C$2:$U$20,4,false)</f>
        <v>2</v>
      </c>
      <c r="X819" s="960">
        <f t="array" ref="X819">HLOOKUP($J819,'Type Chart'!$C$2:$T$20,5,false)*HLOOKUP($K819,'Type Chart'!$C$2:$U$20,5,false)</f>
        <v>2</v>
      </c>
      <c r="Y819" s="960">
        <f t="array" ref="Y819">HLOOKUP($J819,'Type Chart'!$C$2:$T$20,6,false)*HLOOKUP($K819,'Type Chart'!$C$2:$U$20,6,false)</f>
        <v>0.5</v>
      </c>
      <c r="Z819" s="960">
        <f t="array" ref="Z819">HLOOKUP($J819,'Type Chart'!$C$2:$T$20,7,false)*HLOOKUP($K819,'Type Chart'!$C$2:$U$20,7,false)</f>
        <v>1</v>
      </c>
      <c r="AA819" s="960">
        <f t="array" ref="AA819">HLOOKUP($J819,'Type Chart'!$C$2:$T$20,8,false)*HLOOKUP($K819,'Type Chart'!$C$2:$U$20,8,false)</f>
        <v>2</v>
      </c>
      <c r="AB819" s="960">
        <f t="array" ref="AB819">HLOOKUP($J819,'Type Chart'!$C$2:$T$20,9,false)*HLOOKUP($K819,'Type Chart'!$C$2:$U$20,9,false)</f>
        <v>1</v>
      </c>
      <c r="AC819" s="960">
        <f t="array" ref="AC819">HLOOKUP($J819,'Type Chart'!$C$2:$T$20,10,false)*HLOOKUP($K819,'Type Chart'!$C$2:$U$20,10,false)</f>
        <v>1</v>
      </c>
      <c r="AD819" s="960">
        <f t="array" ref="AD819">HLOOKUP($J819,'Type Chart'!$C$2:$T$20,11,false)*HLOOKUP($K819,'Type Chart'!$C$2:$U$20,11,false)</f>
        <v>2</v>
      </c>
      <c r="AE819" s="960">
        <f t="array" ref="AE819">HLOOKUP($J819,'Type Chart'!$C$2:$T$20,12,false)*HLOOKUP($K819,'Type Chart'!$C$2:$U$20,12,false)</f>
        <v>0.5</v>
      </c>
      <c r="AF819" s="960">
        <f t="array" ref="AF819">HLOOKUP($J819,'Type Chart'!$C$2:$T$20,13,false)*HLOOKUP($K819,'Type Chart'!$C$2:$U$20,13,false)</f>
        <v>0.5</v>
      </c>
      <c r="AG819" s="960">
        <f t="array" ref="AG819">HLOOKUP($J819,'Type Chart'!$C$2:$T$20,14,false)*HLOOKUP($K819,'Type Chart'!$C$2:$U$20,14,false)</f>
        <v>0.5</v>
      </c>
      <c r="AH819" s="960">
        <f t="array" ref="AH819">HLOOKUP($J819,'Type Chart'!$C$2:$T$20,15,false)*HLOOKUP($K819,'Type Chart'!$C$2:$U$20,15,false)</f>
        <v>1</v>
      </c>
      <c r="AI819" s="960">
        <f t="array" ref="AI819">HLOOKUP($J819,'Type Chart'!$C$2:$T$20,16,false)*HLOOKUP($K819,'Type Chart'!$C$2:$U$20,16,false)</f>
        <v>2</v>
      </c>
      <c r="AJ819" s="960">
        <f t="array" ref="AJ819">HLOOKUP($J819,'Type Chart'!$C$2:$T$20,17,false)*HLOOKUP($K819,'Type Chart'!$C$2:$U$20,17,false)</f>
        <v>1</v>
      </c>
      <c r="AK819" s="960">
        <f t="array" ref="AK819">HLOOKUP($J819,'Type Chart'!$C$2:$T$20,18,false)*HLOOKUP($K819,'Type Chart'!$C$2:$U$20,18,false)</f>
        <v>1</v>
      </c>
      <c r="AL819" s="960">
        <f t="array" ref="AL819">HLOOKUP($J819,'Type Chart'!$C$2:$T$20,19,false)*HLOOKUP($K819,'Type Chart'!$C$2:$U$20,19,false)</f>
        <v>1</v>
      </c>
      <c r="AM819" s="964" t="s">
        <v>522</v>
      </c>
      <c r="AN819" s="965"/>
      <c r="AO819" s="966" t="s">
        <v>3259</v>
      </c>
      <c r="AP819" s="936"/>
      <c r="AQ819" s="967"/>
      <c r="AR819" s="968"/>
      <c r="AS819" s="936"/>
    </row>
    <row r="820" ht="15.75" customHeight="1">
      <c r="A820" s="936"/>
      <c r="B820" s="948" t="s">
        <v>3260</v>
      </c>
      <c r="C820" s="950" t="s">
        <v>3261</v>
      </c>
      <c r="D820" s="950" t="s">
        <v>3261</v>
      </c>
      <c r="E820" s="952" t="s">
        <v>3261</v>
      </c>
      <c r="F820" s="940"/>
      <c r="G820" s="953"/>
      <c r="H820" s="969"/>
      <c r="I820" s="956" t="s">
        <v>678</v>
      </c>
      <c r="J820" s="957" t="s">
        <v>209</v>
      </c>
      <c r="K820" s="984" t="s">
        <v>216</v>
      </c>
      <c r="L820" s="959">
        <v>61.0</v>
      </c>
      <c r="M820" s="960">
        <v>78.0</v>
      </c>
      <c r="N820" s="960">
        <v>95.0</v>
      </c>
      <c r="O820" s="960">
        <v>56.0</v>
      </c>
      <c r="P820" s="960">
        <v>58.0</v>
      </c>
      <c r="Q820" s="960">
        <v>57.0</v>
      </c>
      <c r="R820" s="960">
        <v>150.0</v>
      </c>
      <c r="S820" s="960">
        <v>213.0</v>
      </c>
      <c r="T820" s="960">
        <v>234.0</v>
      </c>
      <c r="U820" s="960">
        <f t="array" ref="U820">HLOOKUP($J820,'Type Chart'!$C$2:$T$20,2,false)*HLOOKUP($K820,'Type Chart'!$C$2:$U$20,2,false)</f>
        <v>1</v>
      </c>
      <c r="V820" s="960">
        <f t="array" ref="V820">HLOOKUP($J820,'Type Chart'!$C$2:$T$20,3,false)*HLOOKUP($K820,'Type Chart'!$C$2:$U$20,3,false)</f>
        <v>1</v>
      </c>
      <c r="W820" s="960">
        <f t="array" ref="W820">HLOOKUP($J820,'Type Chart'!$C$2:$T$20,4,false)*HLOOKUP($K820,'Type Chart'!$C$2:$U$20,4,false)</f>
        <v>2</v>
      </c>
      <c r="X820" s="960">
        <f t="array" ref="X820">HLOOKUP($J820,'Type Chart'!$C$2:$T$20,5,false)*HLOOKUP($K820,'Type Chart'!$C$2:$U$20,5,false)</f>
        <v>2</v>
      </c>
      <c r="Y820" s="960">
        <f t="array" ref="Y820">HLOOKUP($J820,'Type Chart'!$C$2:$T$20,6,false)*HLOOKUP($K820,'Type Chart'!$C$2:$U$20,6,false)</f>
        <v>0.5</v>
      </c>
      <c r="Z820" s="960">
        <f t="array" ref="Z820">HLOOKUP($J820,'Type Chart'!$C$2:$T$20,7,false)*HLOOKUP($K820,'Type Chart'!$C$2:$U$20,7,false)</f>
        <v>1</v>
      </c>
      <c r="AA820" s="960">
        <f t="array" ref="AA820">HLOOKUP($J820,'Type Chart'!$C$2:$T$20,8,false)*HLOOKUP($K820,'Type Chart'!$C$2:$U$20,8,false)</f>
        <v>2</v>
      </c>
      <c r="AB820" s="960">
        <f t="array" ref="AB820">HLOOKUP($J820,'Type Chart'!$C$2:$T$20,9,false)*HLOOKUP($K820,'Type Chart'!$C$2:$U$20,9,false)</f>
        <v>1</v>
      </c>
      <c r="AC820" s="960">
        <f t="array" ref="AC820">HLOOKUP($J820,'Type Chart'!$C$2:$T$20,10,false)*HLOOKUP($K820,'Type Chart'!$C$2:$U$20,10,false)</f>
        <v>1</v>
      </c>
      <c r="AD820" s="960">
        <f t="array" ref="AD820">HLOOKUP($J820,'Type Chart'!$C$2:$T$20,11,false)*HLOOKUP($K820,'Type Chart'!$C$2:$U$20,11,false)</f>
        <v>2</v>
      </c>
      <c r="AE820" s="960">
        <f t="array" ref="AE820">HLOOKUP($J820,'Type Chart'!$C$2:$T$20,12,false)*HLOOKUP($K820,'Type Chart'!$C$2:$U$20,12,false)</f>
        <v>0.5</v>
      </c>
      <c r="AF820" s="960">
        <f t="array" ref="AF820">HLOOKUP($J820,'Type Chart'!$C$2:$T$20,13,false)*HLOOKUP($K820,'Type Chart'!$C$2:$U$20,13,false)</f>
        <v>0.5</v>
      </c>
      <c r="AG820" s="960">
        <f t="array" ref="AG820">HLOOKUP($J820,'Type Chart'!$C$2:$T$20,14,false)*HLOOKUP($K820,'Type Chart'!$C$2:$U$20,14,false)</f>
        <v>0.5</v>
      </c>
      <c r="AH820" s="960">
        <f t="array" ref="AH820">HLOOKUP($J820,'Type Chart'!$C$2:$T$20,15,false)*HLOOKUP($K820,'Type Chart'!$C$2:$U$20,15,false)</f>
        <v>1</v>
      </c>
      <c r="AI820" s="960">
        <f t="array" ref="AI820">HLOOKUP($J820,'Type Chart'!$C$2:$T$20,16,false)*HLOOKUP($K820,'Type Chart'!$C$2:$U$20,16,false)</f>
        <v>2</v>
      </c>
      <c r="AJ820" s="960">
        <f t="array" ref="AJ820">HLOOKUP($J820,'Type Chart'!$C$2:$T$20,17,false)*HLOOKUP($K820,'Type Chart'!$C$2:$U$20,17,false)</f>
        <v>1</v>
      </c>
      <c r="AK820" s="960">
        <f t="array" ref="AK820">HLOOKUP($J820,'Type Chart'!$C$2:$T$20,18,false)*HLOOKUP($K820,'Type Chart'!$C$2:$U$20,18,false)</f>
        <v>1</v>
      </c>
      <c r="AL820" s="960">
        <f t="array" ref="AL820">HLOOKUP($J820,'Type Chart'!$C$2:$T$20,19,false)*HLOOKUP($K820,'Type Chart'!$C$2:$U$20,19,false)</f>
        <v>1</v>
      </c>
      <c r="AM820" s="964" t="s">
        <v>522</v>
      </c>
      <c r="AN820" s="965"/>
      <c r="AO820" s="966" t="s">
        <v>3259</v>
      </c>
      <c r="AP820" s="936"/>
      <c r="AQ820" s="967"/>
      <c r="AR820" s="968"/>
      <c r="AS820" s="936"/>
    </row>
    <row r="821" ht="15.75" customHeight="1">
      <c r="A821" s="936"/>
      <c r="B821" s="948" t="s">
        <v>3262</v>
      </c>
      <c r="C821" s="950" t="s">
        <v>3263</v>
      </c>
      <c r="D821" s="950" t="s">
        <v>3263</v>
      </c>
      <c r="E821" s="952" t="s">
        <v>3263</v>
      </c>
      <c r="F821" s="940"/>
      <c r="G821" s="953"/>
      <c r="H821" s="969"/>
      <c r="I821" s="998" t="s">
        <v>559</v>
      </c>
      <c r="J821" s="957" t="s">
        <v>209</v>
      </c>
      <c r="K821" s="1213" t="s">
        <v>341</v>
      </c>
      <c r="L821" s="959">
        <v>88.0</v>
      </c>
      <c r="M821" s="960">
        <v>107.0</v>
      </c>
      <c r="N821" s="960">
        <v>122.0</v>
      </c>
      <c r="O821" s="960">
        <v>74.0</v>
      </c>
      <c r="P821" s="960">
        <v>75.0</v>
      </c>
      <c r="Q821" s="960">
        <v>64.0</v>
      </c>
      <c r="R821" s="960">
        <v>164.0</v>
      </c>
      <c r="S821" s="960">
        <v>227.0</v>
      </c>
      <c r="T821" s="960">
        <v>249.0</v>
      </c>
      <c r="U821" s="960">
        <f t="array" ref="U821">HLOOKUP($J821,'Type Chart'!$C$2:$T$20,2,false)*HLOOKUP($K821,'Type Chart'!$C$2:$U$20,2,false)</f>
        <v>1</v>
      </c>
      <c r="V821" s="960">
        <f t="array" ref="V821">HLOOKUP($J821,'Type Chart'!$C$2:$T$20,3,false)*HLOOKUP($K821,'Type Chart'!$C$2:$U$20,3,false)</f>
        <v>1</v>
      </c>
      <c r="W821" s="960">
        <f t="array" ref="W821">HLOOKUP($J821,'Type Chart'!$C$2:$T$20,4,false)*HLOOKUP($K821,'Type Chart'!$C$2:$U$20,4,false)</f>
        <v>4</v>
      </c>
      <c r="X821" s="960">
        <f t="array" ref="X821">HLOOKUP($J821,'Type Chart'!$C$2:$T$20,5,false)*HLOOKUP($K821,'Type Chart'!$C$2:$U$20,5,false)</f>
        <v>2</v>
      </c>
      <c r="Y821" s="960">
        <f t="array" ref="Y821">HLOOKUP($J821,'Type Chart'!$C$2:$T$20,6,false)*HLOOKUP($K821,'Type Chart'!$C$2:$U$20,6,false)</f>
        <v>0.5</v>
      </c>
      <c r="Z821" s="960">
        <f t="array" ref="Z821">HLOOKUP($J821,'Type Chart'!$C$2:$T$20,7,false)*HLOOKUP($K821,'Type Chart'!$C$2:$U$20,7,false)</f>
        <v>0.5</v>
      </c>
      <c r="AA821" s="960">
        <f t="array" ref="AA821">HLOOKUP($J821,'Type Chart'!$C$2:$T$20,8,false)*HLOOKUP($K821,'Type Chart'!$C$2:$U$20,8,false)</f>
        <v>1</v>
      </c>
      <c r="AB821" s="960">
        <f t="array" ref="AB821">HLOOKUP($J821,'Type Chart'!$C$2:$T$20,9,false)*HLOOKUP($K821,'Type Chart'!$C$2:$U$20,9,false)</f>
        <v>1</v>
      </c>
      <c r="AC821" s="960">
        <f t="array" ref="AC821">HLOOKUP($J821,'Type Chart'!$C$2:$T$20,10,false)*HLOOKUP($K821,'Type Chart'!$C$2:$U$20,10,false)</f>
        <v>1</v>
      </c>
      <c r="AD821" s="960">
        <f t="array" ref="AD821">HLOOKUP($J821,'Type Chart'!$C$2:$T$20,11,false)*HLOOKUP($K821,'Type Chart'!$C$2:$U$20,11,false)</f>
        <v>2</v>
      </c>
      <c r="AE821" s="960">
        <f t="array" ref="AE821">HLOOKUP($J821,'Type Chart'!$C$2:$T$20,12,false)*HLOOKUP($K821,'Type Chart'!$C$2:$U$20,12,false)</f>
        <v>0.5</v>
      </c>
      <c r="AF821" s="960">
        <f t="array" ref="AF821">HLOOKUP($J821,'Type Chart'!$C$2:$T$20,13,false)*HLOOKUP($K821,'Type Chart'!$C$2:$U$20,13,false)</f>
        <v>0.5</v>
      </c>
      <c r="AG821" s="960">
        <f t="array" ref="AG821">HLOOKUP($J821,'Type Chart'!$C$2:$T$20,14,false)*HLOOKUP($K821,'Type Chart'!$C$2:$U$20,14,false)</f>
        <v>0.5</v>
      </c>
      <c r="AH821" s="960">
        <f t="array" ref="AH821">HLOOKUP($J821,'Type Chart'!$C$2:$T$20,15,false)*HLOOKUP($K821,'Type Chart'!$C$2:$U$20,15,false)</f>
        <v>2</v>
      </c>
      <c r="AI821" s="960">
        <f t="array" ref="AI821">HLOOKUP($J821,'Type Chart'!$C$2:$T$20,16,false)*HLOOKUP($K821,'Type Chart'!$C$2:$U$20,16,false)</f>
        <v>2</v>
      </c>
      <c r="AJ821" s="960">
        <f t="array" ref="AJ821">HLOOKUP($J821,'Type Chart'!$C$2:$T$20,17,false)*HLOOKUP($K821,'Type Chart'!$C$2:$U$20,17,false)</f>
        <v>1</v>
      </c>
      <c r="AK821" s="960">
        <f t="array" ref="AK821">HLOOKUP($J821,'Type Chart'!$C$2:$T$20,18,false)*HLOOKUP($K821,'Type Chart'!$C$2:$U$20,18,false)</f>
        <v>0.5</v>
      </c>
      <c r="AL821" s="960">
        <f t="array" ref="AL821">HLOOKUP($J821,'Type Chart'!$C$2:$T$20,19,false)*HLOOKUP($K821,'Type Chart'!$C$2:$U$20,19,false)</f>
        <v>2</v>
      </c>
      <c r="AM821" s="1145" t="s">
        <v>522</v>
      </c>
      <c r="AN821" s="965"/>
      <c r="AO821" s="1146" t="s">
        <v>3259</v>
      </c>
      <c r="AP821" s="936"/>
      <c r="AQ821" s="967"/>
      <c r="AR821" s="968"/>
      <c r="AS821" s="936"/>
    </row>
    <row r="822" ht="15.75" customHeight="1">
      <c r="A822" s="936"/>
      <c r="B822" s="948" t="s">
        <v>3264</v>
      </c>
      <c r="C822" s="950" t="s">
        <v>3265</v>
      </c>
      <c r="D822" s="950" t="s">
        <v>3265</v>
      </c>
      <c r="E822" s="1147" t="s">
        <v>3265</v>
      </c>
      <c r="F822" s="940"/>
      <c r="G822" s="953"/>
      <c r="H822" s="969"/>
      <c r="I822" s="998" t="s">
        <v>996</v>
      </c>
      <c r="J822" s="982" t="s">
        <v>150</v>
      </c>
      <c r="K822" s="984" t="s">
        <v>216</v>
      </c>
      <c r="L822" s="959">
        <v>40.0</v>
      </c>
      <c r="M822" s="960">
        <v>45.0</v>
      </c>
      <c r="N822" s="960">
        <v>40.0</v>
      </c>
      <c r="O822" s="960">
        <v>62.0</v>
      </c>
      <c r="P822" s="960">
        <v>60.0</v>
      </c>
      <c r="Q822" s="960">
        <v>60.0</v>
      </c>
      <c r="R822" s="960">
        <v>156.0</v>
      </c>
      <c r="S822" s="960">
        <v>219.0</v>
      </c>
      <c r="T822" s="960">
        <v>240.0</v>
      </c>
      <c r="U822" s="960">
        <f t="array" ref="U822">HLOOKUP($J822,'Type Chart'!$C$2:$T$20,2,false)*HLOOKUP($K822,'Type Chart'!$C$2:$U$20,2,false)</f>
        <v>1</v>
      </c>
      <c r="V822" s="960">
        <f t="array" ref="V822">HLOOKUP($J822,'Type Chart'!$C$2:$T$20,3,false)*HLOOKUP($K822,'Type Chart'!$C$2:$U$20,3,false)</f>
        <v>1</v>
      </c>
      <c r="W822" s="960">
        <f t="array" ref="W822">HLOOKUP($J822,'Type Chart'!$C$2:$T$20,4,false)*HLOOKUP($K822,'Type Chart'!$C$2:$U$20,4,false)</f>
        <v>1</v>
      </c>
      <c r="X822" s="960">
        <f t="array" ref="X822">HLOOKUP($J822,'Type Chart'!$C$2:$T$20,5,false)*HLOOKUP($K822,'Type Chart'!$C$2:$U$20,5,false)</f>
        <v>1</v>
      </c>
      <c r="Y822" s="960">
        <f t="array" ref="Y822">HLOOKUP($J822,'Type Chart'!$C$2:$T$20,6,false)*HLOOKUP($K822,'Type Chart'!$C$2:$U$20,6,false)</f>
        <v>2</v>
      </c>
      <c r="Z822" s="960">
        <f t="array" ref="Z822">HLOOKUP($J822,'Type Chart'!$C$2:$T$20,7,false)*HLOOKUP($K822,'Type Chart'!$C$2:$U$20,7,false)</f>
        <v>2</v>
      </c>
      <c r="AA822" s="960">
        <f t="array" ref="AA822">HLOOKUP($J822,'Type Chart'!$C$2:$T$20,8,false)*HLOOKUP($K822,'Type Chart'!$C$2:$U$20,8,false)</f>
        <v>0.5</v>
      </c>
      <c r="AB822" s="960">
        <f t="array" ref="AB822">HLOOKUP($J822,'Type Chart'!$C$2:$T$20,9,false)*HLOOKUP($K822,'Type Chart'!$C$2:$U$20,9,false)</f>
        <v>1</v>
      </c>
      <c r="AC822" s="960">
        <f t="array" ref="AC822">HLOOKUP($J822,'Type Chart'!$C$2:$T$20,10,false)*HLOOKUP($K822,'Type Chart'!$C$2:$U$20,10,false)</f>
        <v>0.5</v>
      </c>
      <c r="AD822" s="960">
        <f t="array" ref="AD822">HLOOKUP($J822,'Type Chart'!$C$2:$T$20,11,false)*HLOOKUP($K822,'Type Chart'!$C$2:$U$20,11,false)</f>
        <v>0.5</v>
      </c>
      <c r="AE822" s="960">
        <f t="array" ref="AE822">HLOOKUP($J822,'Type Chart'!$C$2:$T$20,12,false)*HLOOKUP($K822,'Type Chart'!$C$2:$U$20,12,false)</f>
        <v>2</v>
      </c>
      <c r="AF822" s="960">
        <f t="array" ref="AF822">HLOOKUP($J822,'Type Chart'!$C$2:$T$20,13,false)*HLOOKUP($K822,'Type Chart'!$C$2:$U$20,13,false)</f>
        <v>0.5</v>
      </c>
      <c r="AG822" s="960">
        <f t="array" ref="AG822">HLOOKUP($J822,'Type Chart'!$C$2:$T$20,14,false)*HLOOKUP($K822,'Type Chart'!$C$2:$U$20,14,false)</f>
        <v>1</v>
      </c>
      <c r="AH822" s="960">
        <f t="array" ref="AH822">HLOOKUP($J822,'Type Chart'!$C$2:$T$20,15,false)*HLOOKUP($K822,'Type Chart'!$C$2:$U$20,15,false)</f>
        <v>1</v>
      </c>
      <c r="AI822" s="960">
        <f t="array" ref="AI822">HLOOKUP($J822,'Type Chart'!$C$2:$T$20,16,false)*HLOOKUP($K822,'Type Chart'!$C$2:$U$20,16,false)</f>
        <v>0.5</v>
      </c>
      <c r="AJ822" s="960">
        <f t="array" ref="AJ822">HLOOKUP($J822,'Type Chart'!$C$2:$T$20,17,false)*HLOOKUP($K822,'Type Chart'!$C$2:$U$20,17,false)</f>
        <v>1</v>
      </c>
      <c r="AK822" s="960">
        <f t="array" ref="AK822">HLOOKUP($J822,'Type Chart'!$C$2:$T$20,18,false)*HLOOKUP($K822,'Type Chart'!$C$2:$U$20,18,false)</f>
        <v>1</v>
      </c>
      <c r="AL822" s="960">
        <f t="array" ref="AL822">HLOOKUP($J822,'Type Chart'!$C$2:$T$20,19,false)*HLOOKUP($K822,'Type Chart'!$C$2:$U$20,19,false)</f>
        <v>0.5</v>
      </c>
      <c r="AM822" s="1145" t="s">
        <v>830</v>
      </c>
      <c r="AN822" s="965"/>
      <c r="AO822" s="1146" t="s">
        <v>3266</v>
      </c>
      <c r="AP822" s="936"/>
      <c r="AQ822" s="967"/>
      <c r="AR822" s="968"/>
      <c r="AS822" s="936"/>
    </row>
    <row r="823" ht="15.75" customHeight="1">
      <c r="A823" s="936"/>
      <c r="B823" s="948" t="s">
        <v>3267</v>
      </c>
      <c r="C823" s="950" t="s">
        <v>3268</v>
      </c>
      <c r="D823" s="950" t="s">
        <v>3268</v>
      </c>
      <c r="E823" s="952" t="s">
        <v>3268</v>
      </c>
      <c r="F823" s="940"/>
      <c r="G823" s="953"/>
      <c r="H823" s="969"/>
      <c r="I823" s="956" t="s">
        <v>3269</v>
      </c>
      <c r="J823" s="982" t="s">
        <v>150</v>
      </c>
      <c r="K823" s="984" t="s">
        <v>216</v>
      </c>
      <c r="L823" s="959">
        <v>59.0</v>
      </c>
      <c r="M823" s="960">
        <v>59.0</v>
      </c>
      <c r="N823" s="960">
        <v>58.0</v>
      </c>
      <c r="O823" s="960">
        <v>90.0</v>
      </c>
      <c r="P823" s="960">
        <v>70.0</v>
      </c>
      <c r="Q823" s="960">
        <v>73.0</v>
      </c>
      <c r="R823" s="960">
        <v>182.0</v>
      </c>
      <c r="S823" s="960">
        <v>245.0</v>
      </c>
      <c r="T823" s="960">
        <v>269.0</v>
      </c>
      <c r="U823" s="960">
        <f t="array" ref="U823">HLOOKUP($J823,'Type Chart'!$C$2:$T$20,2,false)*HLOOKUP($K823,'Type Chart'!$C$2:$U$20,2,false)</f>
        <v>1</v>
      </c>
      <c r="V823" s="960">
        <f t="array" ref="V823">HLOOKUP($J823,'Type Chart'!$C$2:$T$20,3,false)*HLOOKUP($K823,'Type Chart'!$C$2:$U$20,3,false)</f>
        <v>1</v>
      </c>
      <c r="W823" s="960">
        <f t="array" ref="W823">HLOOKUP($J823,'Type Chart'!$C$2:$T$20,4,false)*HLOOKUP($K823,'Type Chart'!$C$2:$U$20,4,false)</f>
        <v>1</v>
      </c>
      <c r="X823" s="960">
        <f t="array" ref="X823">HLOOKUP($J823,'Type Chart'!$C$2:$T$20,5,false)*HLOOKUP($K823,'Type Chart'!$C$2:$U$20,5,false)</f>
        <v>1</v>
      </c>
      <c r="Y823" s="960">
        <f t="array" ref="Y823">HLOOKUP($J823,'Type Chart'!$C$2:$T$20,6,false)*HLOOKUP($K823,'Type Chart'!$C$2:$U$20,6,false)</f>
        <v>2</v>
      </c>
      <c r="Z823" s="960">
        <f t="array" ref="Z823">HLOOKUP($J823,'Type Chart'!$C$2:$T$20,7,false)*HLOOKUP($K823,'Type Chart'!$C$2:$U$20,7,false)</f>
        <v>2</v>
      </c>
      <c r="AA823" s="960">
        <f t="array" ref="AA823">HLOOKUP($J823,'Type Chart'!$C$2:$T$20,8,false)*HLOOKUP($K823,'Type Chart'!$C$2:$U$20,8,false)</f>
        <v>0.5</v>
      </c>
      <c r="AB823" s="960">
        <f t="array" ref="AB823">HLOOKUP($J823,'Type Chart'!$C$2:$T$20,9,false)*HLOOKUP($K823,'Type Chart'!$C$2:$U$20,9,false)</f>
        <v>1</v>
      </c>
      <c r="AC823" s="960">
        <f t="array" ref="AC823">HLOOKUP($J823,'Type Chart'!$C$2:$T$20,10,false)*HLOOKUP($K823,'Type Chart'!$C$2:$U$20,10,false)</f>
        <v>0.5</v>
      </c>
      <c r="AD823" s="960">
        <f t="array" ref="AD823">HLOOKUP($J823,'Type Chart'!$C$2:$T$20,11,false)*HLOOKUP($K823,'Type Chart'!$C$2:$U$20,11,false)</f>
        <v>0.5</v>
      </c>
      <c r="AE823" s="960">
        <f t="array" ref="AE823">HLOOKUP($J823,'Type Chart'!$C$2:$T$20,12,false)*HLOOKUP($K823,'Type Chart'!$C$2:$U$20,12,false)</f>
        <v>2</v>
      </c>
      <c r="AF823" s="960">
        <f t="array" ref="AF823">HLOOKUP($J823,'Type Chart'!$C$2:$T$20,13,false)*HLOOKUP($K823,'Type Chart'!$C$2:$U$20,13,false)</f>
        <v>0.5</v>
      </c>
      <c r="AG823" s="960">
        <f t="array" ref="AG823">HLOOKUP($J823,'Type Chart'!$C$2:$T$20,14,false)*HLOOKUP($K823,'Type Chart'!$C$2:$U$20,14,false)</f>
        <v>1</v>
      </c>
      <c r="AH823" s="960">
        <f t="array" ref="AH823">HLOOKUP($J823,'Type Chart'!$C$2:$T$20,15,false)*HLOOKUP($K823,'Type Chart'!$C$2:$U$20,15,false)</f>
        <v>1</v>
      </c>
      <c r="AI823" s="960">
        <f t="array" ref="AI823">HLOOKUP($J823,'Type Chart'!$C$2:$T$20,16,false)*HLOOKUP($K823,'Type Chart'!$C$2:$U$20,16,false)</f>
        <v>0.5</v>
      </c>
      <c r="AJ823" s="960">
        <f t="array" ref="AJ823">HLOOKUP($J823,'Type Chart'!$C$2:$T$20,17,false)*HLOOKUP($K823,'Type Chart'!$C$2:$U$20,17,false)</f>
        <v>1</v>
      </c>
      <c r="AK823" s="960">
        <f t="array" ref="AK823">HLOOKUP($J823,'Type Chart'!$C$2:$T$20,18,false)*HLOOKUP($K823,'Type Chart'!$C$2:$U$20,18,false)</f>
        <v>1</v>
      </c>
      <c r="AL823" s="960">
        <f t="array" ref="AL823">HLOOKUP($J823,'Type Chart'!$C$2:$T$20,19,false)*HLOOKUP($K823,'Type Chart'!$C$2:$U$20,19,false)</f>
        <v>0.5</v>
      </c>
      <c r="AM823" s="964" t="s">
        <v>830</v>
      </c>
      <c r="AN823" s="965"/>
      <c r="AO823" s="966" t="s">
        <v>3266</v>
      </c>
      <c r="AP823" s="936"/>
      <c r="AQ823" s="967"/>
      <c r="AR823" s="968"/>
      <c r="AS823" s="936"/>
    </row>
    <row r="824" ht="15.75" customHeight="1">
      <c r="A824" s="936"/>
      <c r="B824" s="948" t="s">
        <v>3270</v>
      </c>
      <c r="C824" s="950" t="s">
        <v>3271</v>
      </c>
      <c r="D824" s="950" t="s">
        <v>3271</v>
      </c>
      <c r="E824" s="952" t="s">
        <v>3271</v>
      </c>
      <c r="F824" s="940"/>
      <c r="G824" s="953"/>
      <c r="H824" s="969"/>
      <c r="I824" s="956" t="s">
        <v>561</v>
      </c>
      <c r="J824" s="982" t="s">
        <v>150</v>
      </c>
      <c r="K824" s="1203" t="s">
        <v>344</v>
      </c>
      <c r="L824" s="959">
        <v>75.0</v>
      </c>
      <c r="M824" s="960">
        <v>69.0</v>
      </c>
      <c r="N824" s="960">
        <v>72.0</v>
      </c>
      <c r="O824" s="960">
        <v>114.0</v>
      </c>
      <c r="P824" s="960">
        <v>100.0</v>
      </c>
      <c r="Q824" s="960">
        <v>104.0</v>
      </c>
      <c r="R824" s="960">
        <v>244.0</v>
      </c>
      <c r="S824" s="960">
        <v>307.0</v>
      </c>
      <c r="T824" s="960">
        <v>337.0</v>
      </c>
      <c r="U824" s="960">
        <f t="array" ref="U824">HLOOKUP($J824,'Type Chart'!$C$2:$T$20,2,false)*HLOOKUP($K824,'Type Chart'!$C$2:$U$20,2,false)</f>
        <v>1</v>
      </c>
      <c r="V824" s="960">
        <f t="array" ref="V824">HLOOKUP($J824,'Type Chart'!$C$2:$T$20,3,false)*HLOOKUP($K824,'Type Chart'!$C$2:$U$20,3,false)</f>
        <v>0.5</v>
      </c>
      <c r="W824" s="960">
        <f t="array" ref="W824">HLOOKUP($J824,'Type Chart'!$C$2:$T$20,4,false)*HLOOKUP($K824,'Type Chart'!$C$2:$U$20,4,false)</f>
        <v>1</v>
      </c>
      <c r="X824" s="960">
        <f t="array" ref="X824">HLOOKUP($J824,'Type Chart'!$C$2:$T$20,5,false)*HLOOKUP($K824,'Type Chart'!$C$2:$U$20,5,false)</f>
        <v>1</v>
      </c>
      <c r="Y824" s="960">
        <f t="array" ref="Y824">HLOOKUP($J824,'Type Chart'!$C$2:$T$20,6,false)*HLOOKUP($K824,'Type Chart'!$C$2:$U$20,6,false)</f>
        <v>2</v>
      </c>
      <c r="Z824" s="960">
        <f t="array" ref="Z824">HLOOKUP($J824,'Type Chart'!$C$2:$T$20,7,false)*HLOOKUP($K824,'Type Chart'!$C$2:$U$20,7,false)</f>
        <v>2</v>
      </c>
      <c r="AA824" s="960">
        <f t="array" ref="AA824">HLOOKUP($J824,'Type Chart'!$C$2:$T$20,8,false)*HLOOKUP($K824,'Type Chart'!$C$2:$U$20,8,false)</f>
        <v>1</v>
      </c>
      <c r="AB824" s="960">
        <f t="array" ref="AB824">HLOOKUP($J824,'Type Chart'!$C$2:$T$20,9,false)*HLOOKUP($K824,'Type Chart'!$C$2:$U$20,9,false)</f>
        <v>2</v>
      </c>
      <c r="AC824" s="960">
        <f t="array" ref="AC824">HLOOKUP($J824,'Type Chart'!$C$2:$T$20,10,false)*HLOOKUP($K824,'Type Chart'!$C$2:$U$20,10,false)</f>
        <v>0.5</v>
      </c>
      <c r="AD824" s="960">
        <f t="array" ref="AD824">HLOOKUP($J824,'Type Chart'!$C$2:$T$20,11,false)*HLOOKUP($K824,'Type Chart'!$C$2:$U$20,11,false)</f>
        <v>0.5</v>
      </c>
      <c r="AE824" s="960">
        <f t="array" ref="AE824">HLOOKUP($J824,'Type Chart'!$C$2:$T$20,12,false)*HLOOKUP($K824,'Type Chart'!$C$2:$U$20,12,false)</f>
        <v>2</v>
      </c>
      <c r="AF824" s="960">
        <f t="array" ref="AF824">HLOOKUP($J824,'Type Chart'!$C$2:$T$20,13,false)*HLOOKUP($K824,'Type Chart'!$C$2:$U$20,13,false)</f>
        <v>0.5</v>
      </c>
      <c r="AG824" s="960">
        <f t="array" ref="AG824">HLOOKUP($J824,'Type Chart'!$C$2:$T$20,14,false)*HLOOKUP($K824,'Type Chart'!$C$2:$U$20,14,false)</f>
        <v>1</v>
      </c>
      <c r="AH824" s="960">
        <f t="array" ref="AH824">HLOOKUP($J824,'Type Chart'!$C$2:$T$20,15,false)*HLOOKUP($K824,'Type Chart'!$C$2:$U$20,15,false)</f>
        <v>0.5</v>
      </c>
      <c r="AI824" s="960">
        <f t="array" ref="AI824">HLOOKUP($J824,'Type Chart'!$C$2:$T$20,16,false)*HLOOKUP($K824,'Type Chart'!$C$2:$U$20,16,false)</f>
        <v>0.5</v>
      </c>
      <c r="AJ824" s="960">
        <f t="array" ref="AJ824">HLOOKUP($J824,'Type Chart'!$C$2:$T$20,17,false)*HLOOKUP($K824,'Type Chart'!$C$2:$U$20,17,false)</f>
        <v>1</v>
      </c>
      <c r="AK824" s="960">
        <f t="array" ref="AK824">HLOOKUP($J824,'Type Chart'!$C$2:$T$20,18,false)*HLOOKUP($K824,'Type Chart'!$C$2:$U$20,18,false)</f>
        <v>2</v>
      </c>
      <c r="AL824" s="960">
        <f t="array" ref="AL824">HLOOKUP($J824,'Type Chart'!$C$2:$T$20,19,false)*HLOOKUP($K824,'Type Chart'!$C$2:$U$20,19,false)</f>
        <v>0.5</v>
      </c>
      <c r="AM824" s="964" t="s">
        <v>830</v>
      </c>
      <c r="AN824" s="965"/>
      <c r="AO824" s="966" t="s">
        <v>3266</v>
      </c>
      <c r="AP824" s="936"/>
      <c r="AQ824" s="967"/>
      <c r="AR824" s="968"/>
      <c r="AS824" s="936"/>
    </row>
    <row r="825" ht="15.75" customHeight="1">
      <c r="A825" s="936"/>
      <c r="B825" s="948" t="s">
        <v>3272</v>
      </c>
      <c r="C825" s="950" t="s">
        <v>3273</v>
      </c>
      <c r="D825" s="950" t="s">
        <v>3273</v>
      </c>
      <c r="E825" s="952" t="s">
        <v>3273</v>
      </c>
      <c r="F825" s="940"/>
      <c r="G825" s="953"/>
      <c r="H825" s="969"/>
      <c r="I825" s="956" t="s">
        <v>3274</v>
      </c>
      <c r="J825" s="1056" t="s">
        <v>81</v>
      </c>
      <c r="K825" s="984" t="s">
        <v>216</v>
      </c>
      <c r="L825" s="959">
        <v>41.0</v>
      </c>
      <c r="M825" s="960">
        <v>56.0</v>
      </c>
      <c r="N825" s="960">
        <v>40.0</v>
      </c>
      <c r="O825" s="960">
        <v>62.0</v>
      </c>
      <c r="P825" s="960">
        <v>44.0</v>
      </c>
      <c r="Q825" s="960">
        <v>71.0</v>
      </c>
      <c r="R825" s="960">
        <v>178.0</v>
      </c>
      <c r="S825" s="960">
        <v>241.0</v>
      </c>
      <c r="T825" s="960">
        <v>265.0</v>
      </c>
      <c r="U825" s="960">
        <f t="array" ref="U825">HLOOKUP($J825,'Type Chart'!$C$2:$T$20,2,false)*HLOOKUP($K825,'Type Chart'!$C$2:$U$20,2,false)</f>
        <v>1</v>
      </c>
      <c r="V825" s="960">
        <f t="array" ref="V825">HLOOKUP($J825,'Type Chart'!$C$2:$T$20,3,false)*HLOOKUP($K825,'Type Chart'!$C$2:$U$20,3,false)</f>
        <v>1</v>
      </c>
      <c r="W825" s="960">
        <f t="array" ref="W825">HLOOKUP($J825,'Type Chart'!$C$2:$T$20,4,false)*HLOOKUP($K825,'Type Chart'!$C$2:$U$20,4,false)</f>
        <v>1</v>
      </c>
      <c r="X825" s="960">
        <f t="array" ref="X825">HLOOKUP($J825,'Type Chart'!$C$2:$T$20,5,false)*HLOOKUP($K825,'Type Chart'!$C$2:$U$20,5,false)</f>
        <v>1</v>
      </c>
      <c r="Y825" s="960">
        <f t="array" ref="Y825">HLOOKUP($J825,'Type Chart'!$C$2:$T$20,6,false)*HLOOKUP($K825,'Type Chart'!$C$2:$U$20,6,false)</f>
        <v>1</v>
      </c>
      <c r="Z825" s="960">
        <f t="array" ref="Z825">HLOOKUP($J825,'Type Chart'!$C$2:$T$20,7,false)*HLOOKUP($K825,'Type Chart'!$C$2:$U$20,7,false)</f>
        <v>1</v>
      </c>
      <c r="AA825" s="960">
        <f t="array" ref="AA825">HLOOKUP($J825,'Type Chart'!$C$2:$T$20,8,false)*HLOOKUP($K825,'Type Chart'!$C$2:$U$20,8,false)</f>
        <v>1</v>
      </c>
      <c r="AB825" s="960">
        <f t="array" ref="AB825">HLOOKUP($J825,'Type Chart'!$C$2:$T$20,9,false)*HLOOKUP($K825,'Type Chart'!$C$2:$U$20,9,false)</f>
        <v>1</v>
      </c>
      <c r="AC825" s="960">
        <f t="array" ref="AC825">HLOOKUP($J825,'Type Chart'!$C$2:$T$20,10,false)*HLOOKUP($K825,'Type Chart'!$C$2:$U$20,10,false)</f>
        <v>0.5</v>
      </c>
      <c r="AD825" s="960">
        <f t="array" ref="AD825">HLOOKUP($J825,'Type Chart'!$C$2:$T$20,11,false)*HLOOKUP($K825,'Type Chart'!$C$2:$U$20,11,false)</f>
        <v>0.5</v>
      </c>
      <c r="AE825" s="960">
        <f t="array" ref="AE825">HLOOKUP($J825,'Type Chart'!$C$2:$T$20,12,false)*HLOOKUP($K825,'Type Chart'!$C$2:$U$20,12,false)</f>
        <v>0.5</v>
      </c>
      <c r="AF825" s="960">
        <f t="array" ref="AF825">HLOOKUP($J825,'Type Chart'!$C$2:$T$20,13,false)*HLOOKUP($K825,'Type Chart'!$C$2:$U$20,13,false)</f>
        <v>2</v>
      </c>
      <c r="AG825" s="960">
        <f t="array" ref="AG825">HLOOKUP($J825,'Type Chart'!$C$2:$T$20,14,false)*HLOOKUP($K825,'Type Chart'!$C$2:$U$20,14,false)</f>
        <v>2</v>
      </c>
      <c r="AH825" s="960">
        <f t="array" ref="AH825">HLOOKUP($J825,'Type Chart'!$C$2:$T$20,15,false)*HLOOKUP($K825,'Type Chart'!$C$2:$U$20,15,false)</f>
        <v>1</v>
      </c>
      <c r="AI825" s="960">
        <f t="array" ref="AI825">HLOOKUP($J825,'Type Chart'!$C$2:$T$20,16,false)*HLOOKUP($K825,'Type Chart'!$C$2:$U$20,16,false)</f>
        <v>0.5</v>
      </c>
      <c r="AJ825" s="960">
        <f t="array" ref="AJ825">HLOOKUP($J825,'Type Chart'!$C$2:$T$20,17,false)*HLOOKUP($K825,'Type Chart'!$C$2:$U$20,17,false)</f>
        <v>1</v>
      </c>
      <c r="AK825" s="960">
        <f t="array" ref="AK825">HLOOKUP($J825,'Type Chart'!$C$2:$T$20,18,false)*HLOOKUP($K825,'Type Chart'!$C$2:$U$20,18,false)</f>
        <v>1</v>
      </c>
      <c r="AL825" s="960">
        <f t="array" ref="AL825">HLOOKUP($J825,'Type Chart'!$C$2:$T$20,19,false)*HLOOKUP($K825,'Type Chart'!$C$2:$U$20,19,false)</f>
        <v>1</v>
      </c>
      <c r="AM825" s="964" t="s">
        <v>959</v>
      </c>
      <c r="AN825" s="965"/>
      <c r="AO825" s="966" t="s">
        <v>2314</v>
      </c>
      <c r="AP825" s="936"/>
      <c r="AQ825" s="967"/>
      <c r="AR825" s="968"/>
      <c r="AS825" s="936"/>
    </row>
    <row r="826" ht="15.75" customHeight="1">
      <c r="A826" s="936"/>
      <c r="B826" s="948" t="s">
        <v>3275</v>
      </c>
      <c r="C826" s="950" t="s">
        <v>3276</v>
      </c>
      <c r="D826" s="950" t="s">
        <v>3276</v>
      </c>
      <c r="E826" s="952" t="s">
        <v>3276</v>
      </c>
      <c r="F826" s="940"/>
      <c r="G826" s="953"/>
      <c r="H826" s="969"/>
      <c r="I826" s="956" t="s">
        <v>752</v>
      </c>
      <c r="J826" s="1056" t="s">
        <v>81</v>
      </c>
      <c r="K826" s="984" t="s">
        <v>216</v>
      </c>
      <c r="L826" s="959">
        <v>54.0</v>
      </c>
      <c r="M826" s="960">
        <v>63.0</v>
      </c>
      <c r="N826" s="960">
        <v>52.0</v>
      </c>
      <c r="O826" s="960">
        <v>83.0</v>
      </c>
      <c r="P826" s="960">
        <v>56.0</v>
      </c>
      <c r="Q826" s="960">
        <v>97.0</v>
      </c>
      <c r="R826" s="960">
        <v>230.0</v>
      </c>
      <c r="S826" s="960">
        <v>293.0</v>
      </c>
      <c r="T826" s="960">
        <v>322.0</v>
      </c>
      <c r="U826" s="960">
        <f t="array" ref="U826">HLOOKUP($J826,'Type Chart'!$C$2:$T$20,2,false)*HLOOKUP($K826,'Type Chart'!$C$2:$U$20,2,false)</f>
        <v>1</v>
      </c>
      <c r="V826" s="960">
        <f t="array" ref="V826">HLOOKUP($J826,'Type Chart'!$C$2:$T$20,3,false)*HLOOKUP($K826,'Type Chart'!$C$2:$U$20,3,false)</f>
        <v>1</v>
      </c>
      <c r="W826" s="960">
        <f t="array" ref="W826">HLOOKUP($J826,'Type Chart'!$C$2:$T$20,4,false)*HLOOKUP($K826,'Type Chart'!$C$2:$U$20,4,false)</f>
        <v>1</v>
      </c>
      <c r="X826" s="960">
        <f t="array" ref="X826">HLOOKUP($J826,'Type Chart'!$C$2:$T$20,5,false)*HLOOKUP($K826,'Type Chart'!$C$2:$U$20,5,false)</f>
        <v>1</v>
      </c>
      <c r="Y826" s="960">
        <f t="array" ref="Y826">HLOOKUP($J826,'Type Chart'!$C$2:$T$20,6,false)*HLOOKUP($K826,'Type Chart'!$C$2:$U$20,6,false)</f>
        <v>1</v>
      </c>
      <c r="Z826" s="960">
        <f t="array" ref="Z826">HLOOKUP($J826,'Type Chart'!$C$2:$T$20,7,false)*HLOOKUP($K826,'Type Chart'!$C$2:$U$20,7,false)</f>
        <v>1</v>
      </c>
      <c r="AA826" s="960">
        <f t="array" ref="AA826">HLOOKUP($J826,'Type Chart'!$C$2:$T$20,8,false)*HLOOKUP($K826,'Type Chart'!$C$2:$U$20,8,false)</f>
        <v>1</v>
      </c>
      <c r="AB826" s="960">
        <f t="array" ref="AB826">HLOOKUP($J826,'Type Chart'!$C$2:$T$20,9,false)*HLOOKUP($K826,'Type Chart'!$C$2:$U$20,9,false)</f>
        <v>1</v>
      </c>
      <c r="AC826" s="960">
        <f t="array" ref="AC826">HLOOKUP($J826,'Type Chart'!$C$2:$T$20,10,false)*HLOOKUP($K826,'Type Chart'!$C$2:$U$20,10,false)</f>
        <v>0.5</v>
      </c>
      <c r="AD826" s="960">
        <f t="array" ref="AD826">HLOOKUP($J826,'Type Chart'!$C$2:$T$20,11,false)*HLOOKUP($K826,'Type Chart'!$C$2:$U$20,11,false)</f>
        <v>0.5</v>
      </c>
      <c r="AE826" s="960">
        <f t="array" ref="AE826">HLOOKUP($J826,'Type Chart'!$C$2:$T$20,12,false)*HLOOKUP($K826,'Type Chart'!$C$2:$U$20,12,false)</f>
        <v>0.5</v>
      </c>
      <c r="AF826" s="960">
        <f t="array" ref="AF826">HLOOKUP($J826,'Type Chart'!$C$2:$T$20,13,false)*HLOOKUP($K826,'Type Chart'!$C$2:$U$20,13,false)</f>
        <v>2</v>
      </c>
      <c r="AG826" s="960">
        <f t="array" ref="AG826">HLOOKUP($J826,'Type Chart'!$C$2:$T$20,14,false)*HLOOKUP($K826,'Type Chart'!$C$2:$U$20,14,false)</f>
        <v>2</v>
      </c>
      <c r="AH826" s="960">
        <f t="array" ref="AH826">HLOOKUP($J826,'Type Chart'!$C$2:$T$20,15,false)*HLOOKUP($K826,'Type Chart'!$C$2:$U$20,15,false)</f>
        <v>1</v>
      </c>
      <c r="AI826" s="960">
        <f t="array" ref="AI826">HLOOKUP($J826,'Type Chart'!$C$2:$T$20,16,false)*HLOOKUP($K826,'Type Chart'!$C$2:$U$20,16,false)</f>
        <v>0.5</v>
      </c>
      <c r="AJ826" s="960">
        <f t="array" ref="AJ826">HLOOKUP($J826,'Type Chart'!$C$2:$T$20,17,false)*HLOOKUP($K826,'Type Chart'!$C$2:$U$20,17,false)</f>
        <v>1</v>
      </c>
      <c r="AK826" s="960">
        <f t="array" ref="AK826">HLOOKUP($J826,'Type Chart'!$C$2:$T$20,18,false)*HLOOKUP($K826,'Type Chart'!$C$2:$U$20,18,false)</f>
        <v>1</v>
      </c>
      <c r="AL826" s="960">
        <f t="array" ref="AL826">HLOOKUP($J826,'Type Chart'!$C$2:$T$20,19,false)*HLOOKUP($K826,'Type Chart'!$C$2:$U$20,19,false)</f>
        <v>1</v>
      </c>
      <c r="AM826" s="964" t="s">
        <v>959</v>
      </c>
      <c r="AN826" s="965"/>
      <c r="AO826" s="966" t="s">
        <v>2314</v>
      </c>
      <c r="AP826" s="936"/>
      <c r="AQ826" s="967"/>
      <c r="AR826" s="968"/>
      <c r="AS826" s="936"/>
    </row>
    <row r="827" ht="15.75" customHeight="1">
      <c r="A827" s="936"/>
      <c r="B827" s="948" t="s">
        <v>3277</v>
      </c>
      <c r="C827" s="950" t="s">
        <v>3278</v>
      </c>
      <c r="D827" s="950" t="s">
        <v>3278</v>
      </c>
      <c r="E827" s="952" t="s">
        <v>3278</v>
      </c>
      <c r="F827" s="940"/>
      <c r="G827" s="953"/>
      <c r="H827" s="969"/>
      <c r="I827" s="956" t="s">
        <v>320</v>
      </c>
      <c r="J827" s="1056" t="s">
        <v>81</v>
      </c>
      <c r="K827" s="1195" t="s">
        <v>193</v>
      </c>
      <c r="L827" s="959">
        <v>72.0</v>
      </c>
      <c r="M827" s="960">
        <v>95.0</v>
      </c>
      <c r="N827" s="960">
        <v>67.0</v>
      </c>
      <c r="O827" s="960">
        <v>103.0</v>
      </c>
      <c r="P827" s="960">
        <v>71.0</v>
      </c>
      <c r="Q827" s="960">
        <v>122.0</v>
      </c>
      <c r="R827" s="960">
        <v>280.0</v>
      </c>
      <c r="S827" s="960">
        <v>343.0</v>
      </c>
      <c r="T827" s="960">
        <v>377.0</v>
      </c>
      <c r="U827" s="960">
        <f t="array" ref="U827">HLOOKUP($J827,'Type Chart'!$C$2:$T$20,2,false)*HLOOKUP($K827,'Type Chart'!$C$2:$U$20,2,false)</f>
        <v>1</v>
      </c>
      <c r="V827" s="960">
        <f t="array" ref="V827">HLOOKUP($J827,'Type Chart'!$C$2:$T$20,3,false)*HLOOKUP($K827,'Type Chart'!$C$2:$U$20,3,false)</f>
        <v>2</v>
      </c>
      <c r="W827" s="960">
        <f t="array" ref="W827">HLOOKUP($J827,'Type Chart'!$C$2:$T$20,4,false)*HLOOKUP($K827,'Type Chart'!$C$2:$U$20,4,false)</f>
        <v>1</v>
      </c>
      <c r="X827" s="960">
        <f t="array" ref="X827">HLOOKUP($J827,'Type Chart'!$C$2:$T$20,5,false)*HLOOKUP($K827,'Type Chart'!$C$2:$U$20,5,false)</f>
        <v>1</v>
      </c>
      <c r="Y827" s="960">
        <f t="array" ref="Y827">HLOOKUP($J827,'Type Chart'!$C$2:$T$20,6,false)*HLOOKUP($K827,'Type Chart'!$C$2:$U$20,6,false)</f>
        <v>1</v>
      </c>
      <c r="Z827" s="960">
        <f t="array" ref="Z827">HLOOKUP($J827,'Type Chart'!$C$2:$T$20,7,false)*HLOOKUP($K827,'Type Chart'!$C$2:$U$20,7,false)</f>
        <v>1</v>
      </c>
      <c r="AA827" s="960">
        <f t="array" ref="AA827">HLOOKUP($J827,'Type Chart'!$C$2:$T$20,8,false)*HLOOKUP($K827,'Type Chart'!$C$2:$U$20,8,false)</f>
        <v>2</v>
      </c>
      <c r="AB827" s="960">
        <f t="array" ref="AB827">HLOOKUP($J827,'Type Chart'!$C$2:$T$20,9,false)*HLOOKUP($K827,'Type Chart'!$C$2:$U$20,9,false)</f>
        <v>0.5</v>
      </c>
      <c r="AC827" s="960">
        <f t="array" ref="AC827">HLOOKUP($J827,'Type Chart'!$C$2:$T$20,10,false)*HLOOKUP($K827,'Type Chart'!$C$2:$U$20,10,false)</f>
        <v>0.5</v>
      </c>
      <c r="AD827" s="960">
        <f t="array" ref="AD827">HLOOKUP($J827,'Type Chart'!$C$2:$T$20,11,false)*HLOOKUP($K827,'Type Chart'!$C$2:$U$20,11,false)</f>
        <v>0.5</v>
      </c>
      <c r="AE827" s="960">
        <f t="array" ref="AE827">HLOOKUP($J827,'Type Chart'!$C$2:$T$20,12,false)*HLOOKUP($K827,'Type Chart'!$C$2:$U$20,12,false)</f>
        <v>0.5</v>
      </c>
      <c r="AF827" s="960">
        <f t="array" ref="AF827">HLOOKUP($J827,'Type Chart'!$C$2:$T$20,13,false)*HLOOKUP($K827,'Type Chart'!$C$2:$U$20,13,false)</f>
        <v>2</v>
      </c>
      <c r="AG827" s="960">
        <f t="array" ref="AG827">HLOOKUP($J827,'Type Chart'!$C$2:$T$20,14,false)*HLOOKUP($K827,'Type Chart'!$C$2:$U$20,14,false)</f>
        <v>2</v>
      </c>
      <c r="AH827" s="960">
        <f t="array" ref="AH827">HLOOKUP($J827,'Type Chart'!$C$2:$T$20,15,false)*HLOOKUP($K827,'Type Chart'!$C$2:$U$20,15,false)</f>
        <v>0</v>
      </c>
      <c r="AI827" s="960">
        <f t="array" ref="AI827">HLOOKUP($J827,'Type Chart'!$C$2:$T$20,16,false)*HLOOKUP($K827,'Type Chart'!$C$2:$U$20,16,false)</f>
        <v>0.5</v>
      </c>
      <c r="AJ827" s="960">
        <f t="array" ref="AJ827">HLOOKUP($J827,'Type Chart'!$C$2:$T$20,17,false)*HLOOKUP($K827,'Type Chart'!$C$2:$U$20,17,false)</f>
        <v>1</v>
      </c>
      <c r="AK827" s="960">
        <f t="array" ref="AK827">HLOOKUP($J827,'Type Chart'!$C$2:$T$20,18,false)*HLOOKUP($K827,'Type Chart'!$C$2:$U$20,18,false)</f>
        <v>0.5</v>
      </c>
      <c r="AL827" s="960">
        <f t="array" ref="AL827">HLOOKUP($J827,'Type Chart'!$C$2:$T$20,19,false)*HLOOKUP($K827,'Type Chart'!$C$2:$U$20,19,false)</f>
        <v>2</v>
      </c>
      <c r="AM827" s="964" t="s">
        <v>959</v>
      </c>
      <c r="AN827" s="965"/>
      <c r="AO827" s="966" t="s">
        <v>2314</v>
      </c>
      <c r="AP827" s="936"/>
      <c r="AQ827" s="967"/>
      <c r="AR827" s="968"/>
      <c r="AS827" s="936"/>
    </row>
    <row r="828" ht="15.75" customHeight="1">
      <c r="A828" s="936"/>
      <c r="B828" s="948" t="s">
        <v>3279</v>
      </c>
      <c r="C828" s="950" t="s">
        <v>3280</v>
      </c>
      <c r="D828" s="950" t="s">
        <v>3280</v>
      </c>
      <c r="E828" s="952" t="s">
        <v>3280</v>
      </c>
      <c r="F828" s="940"/>
      <c r="G828" s="953"/>
      <c r="H828" s="969"/>
      <c r="I828" s="998" t="s">
        <v>3281</v>
      </c>
      <c r="J828" s="1056" t="s">
        <v>81</v>
      </c>
      <c r="K828" s="1195" t="s">
        <v>193</v>
      </c>
      <c r="L828" s="959">
        <v>72.0</v>
      </c>
      <c r="M828" s="960">
        <v>145.0</v>
      </c>
      <c r="N828" s="960">
        <v>67.0</v>
      </c>
      <c r="O828" s="960">
        <v>153.0</v>
      </c>
      <c r="P828" s="960">
        <v>71.0</v>
      </c>
      <c r="Q828" s="960">
        <v>132.0</v>
      </c>
      <c r="R828" s="960">
        <v>300.0</v>
      </c>
      <c r="S828" s="960">
        <v>363.0</v>
      </c>
      <c r="T828" s="960">
        <v>399.0</v>
      </c>
      <c r="U828" s="960">
        <f t="array" ref="U828">HLOOKUP($J828,'Type Chart'!$C$2:$T$20,2,false)*HLOOKUP($K828,'Type Chart'!$C$2:$U$20,2,false)</f>
        <v>1</v>
      </c>
      <c r="V828" s="960">
        <f t="array" ref="V828">HLOOKUP($J828,'Type Chart'!$C$2:$T$20,3,false)*HLOOKUP($K828,'Type Chart'!$C$2:$U$20,3,false)</f>
        <v>2</v>
      </c>
      <c r="W828" s="960">
        <f t="array" ref="W828">HLOOKUP($J828,'Type Chart'!$C$2:$T$20,4,false)*HLOOKUP($K828,'Type Chart'!$C$2:$U$20,4,false)</f>
        <v>1</v>
      </c>
      <c r="X828" s="960">
        <f t="array" ref="X828">HLOOKUP($J828,'Type Chart'!$C$2:$T$20,5,false)*HLOOKUP($K828,'Type Chart'!$C$2:$U$20,5,false)</f>
        <v>1</v>
      </c>
      <c r="Y828" s="960">
        <f t="array" ref="Y828">HLOOKUP($J828,'Type Chart'!$C$2:$T$20,6,false)*HLOOKUP($K828,'Type Chart'!$C$2:$U$20,6,false)</f>
        <v>1</v>
      </c>
      <c r="Z828" s="960">
        <f t="array" ref="Z828">HLOOKUP($J828,'Type Chart'!$C$2:$T$20,7,false)*HLOOKUP($K828,'Type Chart'!$C$2:$U$20,7,false)</f>
        <v>1</v>
      </c>
      <c r="AA828" s="960">
        <f t="array" ref="AA828">HLOOKUP($J828,'Type Chart'!$C$2:$T$20,8,false)*HLOOKUP($K828,'Type Chart'!$C$2:$U$20,8,false)</f>
        <v>2</v>
      </c>
      <c r="AB828" s="960">
        <f t="array" ref="AB828">HLOOKUP($J828,'Type Chart'!$C$2:$T$20,9,false)*HLOOKUP($K828,'Type Chart'!$C$2:$U$20,9,false)</f>
        <v>0.5</v>
      </c>
      <c r="AC828" s="960">
        <f t="array" ref="AC828">HLOOKUP($J828,'Type Chart'!$C$2:$T$20,10,false)*HLOOKUP($K828,'Type Chart'!$C$2:$U$20,10,false)</f>
        <v>0.5</v>
      </c>
      <c r="AD828" s="960">
        <f t="array" ref="AD828">HLOOKUP($J828,'Type Chart'!$C$2:$T$20,11,false)*HLOOKUP($K828,'Type Chart'!$C$2:$U$20,11,false)</f>
        <v>0.5</v>
      </c>
      <c r="AE828" s="960">
        <f t="array" ref="AE828">HLOOKUP($J828,'Type Chart'!$C$2:$T$20,12,false)*HLOOKUP($K828,'Type Chart'!$C$2:$U$20,12,false)</f>
        <v>0.5</v>
      </c>
      <c r="AF828" s="960">
        <f t="array" ref="AF828">HLOOKUP($J828,'Type Chart'!$C$2:$T$20,13,false)*HLOOKUP($K828,'Type Chart'!$C$2:$U$20,13,false)</f>
        <v>2</v>
      </c>
      <c r="AG828" s="960">
        <f t="array" ref="AG828">HLOOKUP($J828,'Type Chart'!$C$2:$T$20,14,false)*HLOOKUP($K828,'Type Chart'!$C$2:$U$20,14,false)</f>
        <v>2</v>
      </c>
      <c r="AH828" s="960">
        <f t="array" ref="AH828">HLOOKUP($J828,'Type Chart'!$C$2:$T$20,15,false)*HLOOKUP($K828,'Type Chart'!$C$2:$U$20,15,false)</f>
        <v>0</v>
      </c>
      <c r="AI828" s="960">
        <f t="array" ref="AI828">HLOOKUP($J828,'Type Chart'!$C$2:$T$20,16,false)*HLOOKUP($K828,'Type Chart'!$C$2:$U$20,16,false)</f>
        <v>0.5</v>
      </c>
      <c r="AJ828" s="960">
        <f t="array" ref="AJ828">HLOOKUP($J828,'Type Chart'!$C$2:$T$20,17,false)*HLOOKUP($K828,'Type Chart'!$C$2:$U$20,17,false)</f>
        <v>1</v>
      </c>
      <c r="AK828" s="960">
        <f t="array" ref="AK828">HLOOKUP($J828,'Type Chart'!$C$2:$T$20,18,false)*HLOOKUP($K828,'Type Chart'!$C$2:$U$20,18,false)</f>
        <v>0.5</v>
      </c>
      <c r="AL828" s="960">
        <f t="array" ref="AL828">HLOOKUP($J828,'Type Chart'!$C$2:$T$20,19,false)*HLOOKUP($K828,'Type Chart'!$C$2:$U$20,19,false)</f>
        <v>2</v>
      </c>
      <c r="AM828" s="964" t="s">
        <v>3282</v>
      </c>
      <c r="AN828" s="965"/>
      <c r="AO828" s="966"/>
      <c r="AP828" s="936"/>
      <c r="AQ828" s="967"/>
      <c r="AR828" s="968"/>
      <c r="AS828" s="936"/>
    </row>
    <row r="829" ht="15.75" customHeight="1">
      <c r="A829" s="936"/>
      <c r="B829" s="948" t="s">
        <v>3283</v>
      </c>
      <c r="C829" s="950" t="s">
        <v>3284</v>
      </c>
      <c r="D829" s="950" t="s">
        <v>3284</v>
      </c>
      <c r="E829" s="1147" t="s">
        <v>3284</v>
      </c>
      <c r="F829" s="1217"/>
      <c r="G829" s="953"/>
      <c r="H829" s="969"/>
      <c r="I829" s="998" t="s">
        <v>3285</v>
      </c>
      <c r="J829" s="1194" t="s">
        <v>136</v>
      </c>
      <c r="K829" s="984" t="s">
        <v>216</v>
      </c>
      <c r="L829" s="959">
        <v>38.0</v>
      </c>
      <c r="M829" s="960">
        <v>36.0</v>
      </c>
      <c r="N829" s="960">
        <v>38.0</v>
      </c>
      <c r="O829" s="960">
        <v>32.0</v>
      </c>
      <c r="P829" s="960">
        <v>36.0</v>
      </c>
      <c r="Q829" s="960">
        <v>57.0</v>
      </c>
      <c r="R829" s="960">
        <v>150.0</v>
      </c>
      <c r="S829" s="960">
        <v>213.0</v>
      </c>
      <c r="T829" s="960">
        <v>234.0</v>
      </c>
      <c r="U829" s="960">
        <f t="array" ref="U829">HLOOKUP($J829,'Type Chart'!$C$2:$T$20,2,false)*HLOOKUP($K829,'Type Chart'!$C$2:$U$20,2,false)</f>
        <v>1</v>
      </c>
      <c r="V829" s="960">
        <f t="array" ref="V829">HLOOKUP($J829,'Type Chart'!$C$2:$T$20,3,false)*HLOOKUP($K829,'Type Chart'!$C$2:$U$20,3,false)</f>
        <v>2</v>
      </c>
      <c r="W829" s="960">
        <f t="array" ref="W829">HLOOKUP($J829,'Type Chart'!$C$2:$T$20,4,false)*HLOOKUP($K829,'Type Chart'!$C$2:$U$20,4,false)</f>
        <v>1</v>
      </c>
      <c r="X829" s="960">
        <f t="array" ref="X829">HLOOKUP($J829,'Type Chart'!$C$2:$T$20,5,false)*HLOOKUP($K829,'Type Chart'!$C$2:$U$20,5,false)</f>
        <v>1</v>
      </c>
      <c r="Y829" s="960">
        <f t="array" ref="Y829">HLOOKUP($J829,'Type Chart'!$C$2:$T$20,6,false)*HLOOKUP($K829,'Type Chart'!$C$2:$U$20,6,false)</f>
        <v>1</v>
      </c>
      <c r="Z829" s="960">
        <f t="array" ref="Z829">HLOOKUP($J829,'Type Chart'!$C$2:$T$20,7,false)*HLOOKUP($K829,'Type Chart'!$C$2:$U$20,7,false)</f>
        <v>1</v>
      </c>
      <c r="AA829" s="960">
        <f t="array" ref="AA829">HLOOKUP($J829,'Type Chart'!$C$2:$T$20,8,false)*HLOOKUP($K829,'Type Chart'!$C$2:$U$20,8,false)</f>
        <v>1</v>
      </c>
      <c r="AB829" s="960">
        <f t="array" ref="AB829">HLOOKUP($J829,'Type Chart'!$C$2:$T$20,9,false)*HLOOKUP($K829,'Type Chart'!$C$2:$U$20,9,false)</f>
        <v>0</v>
      </c>
      <c r="AC829" s="960">
        <f t="array" ref="AC829">HLOOKUP($J829,'Type Chart'!$C$2:$T$20,10,false)*HLOOKUP($K829,'Type Chart'!$C$2:$U$20,10,false)</f>
        <v>1</v>
      </c>
      <c r="AD829" s="960">
        <f t="array" ref="AD829">HLOOKUP($J829,'Type Chart'!$C$2:$T$20,11,false)*HLOOKUP($K829,'Type Chart'!$C$2:$U$20,11,false)</f>
        <v>1</v>
      </c>
      <c r="AE829" s="960">
        <f t="array" ref="AE829">HLOOKUP($J829,'Type Chart'!$C$2:$T$20,12,false)*HLOOKUP($K829,'Type Chart'!$C$2:$U$20,12,false)</f>
        <v>1</v>
      </c>
      <c r="AF829" s="960">
        <f t="array" ref="AF829">HLOOKUP($J829,'Type Chart'!$C$2:$T$20,13,false)*HLOOKUP($K829,'Type Chart'!$C$2:$U$20,13,false)</f>
        <v>1</v>
      </c>
      <c r="AG829" s="960">
        <f t="array" ref="AG829">HLOOKUP($J829,'Type Chart'!$C$2:$T$20,14,false)*HLOOKUP($K829,'Type Chart'!$C$2:$U$20,14,false)</f>
        <v>1</v>
      </c>
      <c r="AH829" s="960">
        <f t="array" ref="AH829">HLOOKUP($J829,'Type Chart'!$C$2:$T$20,15,false)*HLOOKUP($K829,'Type Chart'!$C$2:$U$20,15,false)</f>
        <v>1</v>
      </c>
      <c r="AI829" s="960">
        <f t="array" ref="AI829">HLOOKUP($J829,'Type Chart'!$C$2:$T$20,16,false)*HLOOKUP($K829,'Type Chart'!$C$2:$U$20,16,false)</f>
        <v>1</v>
      </c>
      <c r="AJ829" s="960">
        <f t="array" ref="AJ829">HLOOKUP($J829,'Type Chart'!$C$2:$T$20,17,false)*HLOOKUP($K829,'Type Chart'!$C$2:$U$20,17,false)</f>
        <v>1</v>
      </c>
      <c r="AK829" s="960">
        <f t="array" ref="AK829">HLOOKUP($J829,'Type Chart'!$C$2:$T$20,18,false)*HLOOKUP($K829,'Type Chart'!$C$2:$U$20,18,false)</f>
        <v>1</v>
      </c>
      <c r="AL829" s="960">
        <f t="array" ref="AL829">HLOOKUP($J829,'Type Chart'!$C$2:$T$20,19,false)*HLOOKUP($K829,'Type Chart'!$C$2:$U$20,19,false)</f>
        <v>1</v>
      </c>
      <c r="AM829" s="964" t="s">
        <v>1238</v>
      </c>
      <c r="AN829" s="965" t="s">
        <v>3286</v>
      </c>
      <c r="AO829" s="966" t="s">
        <v>1771</v>
      </c>
      <c r="AP829" s="936"/>
      <c r="AQ829" s="967"/>
      <c r="AR829" s="968"/>
      <c r="AS829" s="936"/>
    </row>
    <row r="830" ht="15.75" customHeight="1">
      <c r="A830" s="936"/>
      <c r="B830" s="948" t="s">
        <v>3287</v>
      </c>
      <c r="C830" s="950" t="s">
        <v>3288</v>
      </c>
      <c r="D830" s="950" t="s">
        <v>3288</v>
      </c>
      <c r="E830" s="952" t="s">
        <v>3288</v>
      </c>
      <c r="F830" s="940"/>
      <c r="G830" s="953"/>
      <c r="H830" s="969"/>
      <c r="I830" s="998" t="s">
        <v>3289</v>
      </c>
      <c r="J830" s="1194" t="s">
        <v>136</v>
      </c>
      <c r="K830" s="1204" t="s">
        <v>80</v>
      </c>
      <c r="L830" s="959">
        <v>85.0</v>
      </c>
      <c r="M830" s="960">
        <v>56.0</v>
      </c>
      <c r="N830" s="960">
        <v>77.0</v>
      </c>
      <c r="O830" s="960">
        <v>50.0</v>
      </c>
      <c r="P830" s="960">
        <v>77.0</v>
      </c>
      <c r="Q830" s="960">
        <v>78.0</v>
      </c>
      <c r="R830" s="960">
        <v>192.0</v>
      </c>
      <c r="S830" s="960">
        <v>255.0</v>
      </c>
      <c r="T830" s="960">
        <v>280.0</v>
      </c>
      <c r="U830" s="960">
        <f t="array" ref="U830">HLOOKUP($J830,'Type Chart'!$C$2:$T$20,2,false)*HLOOKUP($K830,'Type Chart'!$C$2:$U$20,2,false)</f>
        <v>1</v>
      </c>
      <c r="V830" s="960">
        <f t="array" ref="V830">HLOOKUP($J830,'Type Chart'!$C$2:$T$20,3,false)*HLOOKUP($K830,'Type Chart'!$C$2:$U$20,3,false)</f>
        <v>2</v>
      </c>
      <c r="W830" s="960">
        <f t="array" ref="W830">HLOOKUP($J830,'Type Chart'!$C$2:$T$20,4,false)*HLOOKUP($K830,'Type Chart'!$C$2:$U$20,4,false)</f>
        <v>1</v>
      </c>
      <c r="X830" s="960">
        <f t="array" ref="X830">HLOOKUP($J830,'Type Chart'!$C$2:$T$20,5,false)*HLOOKUP($K830,'Type Chart'!$C$2:$U$20,5,false)</f>
        <v>0.5</v>
      </c>
      <c r="Y830" s="960">
        <f t="array" ref="Y830">HLOOKUP($J830,'Type Chart'!$C$2:$T$20,6,false)*HLOOKUP($K830,'Type Chart'!$C$2:$U$20,6,false)</f>
        <v>1</v>
      </c>
      <c r="Z830" s="960">
        <f t="array" ref="Z830">HLOOKUP($J830,'Type Chart'!$C$2:$T$20,7,false)*HLOOKUP($K830,'Type Chart'!$C$2:$U$20,7,false)</f>
        <v>0.5</v>
      </c>
      <c r="AA830" s="960">
        <f t="array" ref="AA830">HLOOKUP($J830,'Type Chart'!$C$2:$T$20,8,false)*HLOOKUP($K830,'Type Chart'!$C$2:$U$20,8,false)</f>
        <v>1</v>
      </c>
      <c r="AB830" s="960">
        <f t="array" ref="AB830">HLOOKUP($J830,'Type Chart'!$C$2:$T$20,9,false)*HLOOKUP($K830,'Type Chart'!$C$2:$U$20,9,false)</f>
        <v>0</v>
      </c>
      <c r="AC830" s="960">
        <f t="array" ref="AC830">HLOOKUP($J830,'Type Chart'!$C$2:$T$20,10,false)*HLOOKUP($K830,'Type Chart'!$C$2:$U$20,10,false)</f>
        <v>1</v>
      </c>
      <c r="AD830" s="960">
        <f t="array" ref="AD830">HLOOKUP($J830,'Type Chart'!$C$2:$T$20,11,false)*HLOOKUP($K830,'Type Chart'!$C$2:$U$20,11,false)</f>
        <v>1</v>
      </c>
      <c r="AE830" s="960">
        <f t="array" ref="AE830">HLOOKUP($J830,'Type Chart'!$C$2:$T$20,12,false)*HLOOKUP($K830,'Type Chart'!$C$2:$U$20,12,false)</f>
        <v>2</v>
      </c>
      <c r="AF830" s="960">
        <f t="array" ref="AF830">HLOOKUP($J830,'Type Chart'!$C$2:$T$20,13,false)*HLOOKUP($K830,'Type Chart'!$C$2:$U$20,13,false)</f>
        <v>2</v>
      </c>
      <c r="AG830" s="960">
        <f t="array" ref="AG830">HLOOKUP($J830,'Type Chart'!$C$2:$T$20,14,false)*HLOOKUP($K830,'Type Chart'!$C$2:$U$20,14,false)</f>
        <v>0</v>
      </c>
      <c r="AH830" s="960">
        <f t="array" ref="AH830">HLOOKUP($J830,'Type Chart'!$C$2:$T$20,15,false)*HLOOKUP($K830,'Type Chart'!$C$2:$U$20,15,false)</f>
        <v>1</v>
      </c>
      <c r="AI830" s="960">
        <f t="array" ref="AI830">HLOOKUP($J830,'Type Chart'!$C$2:$T$20,16,false)*HLOOKUP($K830,'Type Chart'!$C$2:$U$20,16,false)</f>
        <v>2</v>
      </c>
      <c r="AJ830" s="960">
        <f t="array" ref="AJ830">HLOOKUP($J830,'Type Chart'!$C$2:$T$20,17,false)*HLOOKUP($K830,'Type Chart'!$C$2:$U$20,17,false)</f>
        <v>1</v>
      </c>
      <c r="AK830" s="960">
        <f t="array" ref="AK830">HLOOKUP($J830,'Type Chart'!$C$2:$T$20,18,false)*HLOOKUP($K830,'Type Chart'!$C$2:$U$20,18,false)</f>
        <v>1</v>
      </c>
      <c r="AL830" s="960">
        <f t="array" ref="AL830">HLOOKUP($J830,'Type Chart'!$C$2:$T$20,19,false)*HLOOKUP($K830,'Type Chart'!$C$2:$U$20,19,false)</f>
        <v>1</v>
      </c>
      <c r="AM830" s="964" t="s">
        <v>1238</v>
      </c>
      <c r="AN830" s="965" t="s">
        <v>3286</v>
      </c>
      <c r="AO830" s="966" t="s">
        <v>1771</v>
      </c>
      <c r="AP830" s="936"/>
      <c r="AQ830" s="967"/>
      <c r="AR830" s="968"/>
      <c r="AS830" s="936"/>
    </row>
    <row r="831" ht="15.75" customHeight="1">
      <c r="A831" s="936"/>
      <c r="B831" s="948" t="s">
        <v>3290</v>
      </c>
      <c r="C831" s="950" t="s">
        <v>3291</v>
      </c>
      <c r="D831" s="950" t="s">
        <v>3291</v>
      </c>
      <c r="E831" s="952" t="s">
        <v>3291</v>
      </c>
      <c r="F831" s="940"/>
      <c r="G831" s="953"/>
      <c r="H831" s="969"/>
      <c r="I831" s="998" t="s">
        <v>3292</v>
      </c>
      <c r="J831" s="1194" t="s">
        <v>136</v>
      </c>
      <c r="K831" s="1001" t="s">
        <v>128</v>
      </c>
      <c r="L831" s="959">
        <v>45.0</v>
      </c>
      <c r="M831" s="960">
        <v>50.0</v>
      </c>
      <c r="N831" s="960">
        <v>43.0</v>
      </c>
      <c r="O831" s="960">
        <v>40.0</v>
      </c>
      <c r="P831" s="960">
        <v>38.0</v>
      </c>
      <c r="Q831" s="960">
        <v>62.0</v>
      </c>
      <c r="R831" s="960">
        <v>160.0</v>
      </c>
      <c r="S831" s="960">
        <v>223.0</v>
      </c>
      <c r="T831" s="960">
        <v>245.0</v>
      </c>
      <c r="U831" s="960">
        <f t="array" ref="U831">HLOOKUP($J831,'Type Chart'!$C$2:$T$20,2,false)*HLOOKUP($K831,'Type Chart'!$C$2:$U$20,2,false)</f>
        <v>1</v>
      </c>
      <c r="V831" s="960">
        <f t="array" ref="V831">HLOOKUP($J831,'Type Chart'!$C$2:$T$20,3,false)*HLOOKUP($K831,'Type Chart'!$C$2:$U$20,3,false)</f>
        <v>1</v>
      </c>
      <c r="W831" s="960">
        <f t="array" ref="W831">HLOOKUP($J831,'Type Chart'!$C$2:$T$20,4,false)*HLOOKUP($K831,'Type Chart'!$C$2:$U$20,4,false)</f>
        <v>1</v>
      </c>
      <c r="X831" s="960">
        <f t="array" ref="X831">HLOOKUP($J831,'Type Chart'!$C$2:$T$20,5,false)*HLOOKUP($K831,'Type Chart'!$C$2:$U$20,5,false)</f>
        <v>1</v>
      </c>
      <c r="Y831" s="960">
        <f t="array" ref="Y831">HLOOKUP($J831,'Type Chart'!$C$2:$T$20,6,false)*HLOOKUP($K831,'Type Chart'!$C$2:$U$20,6,false)</f>
        <v>0</v>
      </c>
      <c r="Z831" s="960">
        <f t="array" ref="Z831">HLOOKUP($J831,'Type Chart'!$C$2:$T$20,7,false)*HLOOKUP($K831,'Type Chart'!$C$2:$U$20,7,false)</f>
        <v>2</v>
      </c>
      <c r="AA831" s="960">
        <f t="array" ref="AA831">HLOOKUP($J831,'Type Chart'!$C$2:$T$20,8,false)*HLOOKUP($K831,'Type Chart'!$C$2:$U$20,8,false)</f>
        <v>0.5</v>
      </c>
      <c r="AB831" s="960">
        <f t="array" ref="AB831">HLOOKUP($J831,'Type Chart'!$C$2:$T$20,9,false)*HLOOKUP($K831,'Type Chart'!$C$2:$U$20,9,false)</f>
        <v>0</v>
      </c>
      <c r="AC831" s="960">
        <f t="array" ref="AC831">HLOOKUP($J831,'Type Chart'!$C$2:$T$20,10,false)*HLOOKUP($K831,'Type Chart'!$C$2:$U$20,10,false)</f>
        <v>1</v>
      </c>
      <c r="AD831" s="960">
        <f t="array" ref="AD831">HLOOKUP($J831,'Type Chart'!$C$2:$T$20,11,false)*HLOOKUP($K831,'Type Chart'!$C$2:$U$20,11,false)</f>
        <v>1</v>
      </c>
      <c r="AE831" s="960">
        <f t="array" ref="AE831">HLOOKUP($J831,'Type Chart'!$C$2:$T$20,12,false)*HLOOKUP($K831,'Type Chart'!$C$2:$U$20,12,false)</f>
        <v>1</v>
      </c>
      <c r="AF831" s="960">
        <f t="array" ref="AF831">HLOOKUP($J831,'Type Chart'!$C$2:$T$20,13,false)*HLOOKUP($K831,'Type Chart'!$C$2:$U$20,13,false)</f>
        <v>0.5</v>
      </c>
      <c r="AG831" s="960">
        <f t="array" ref="AG831">HLOOKUP($J831,'Type Chart'!$C$2:$T$20,14,false)*HLOOKUP($K831,'Type Chart'!$C$2:$U$20,14,false)</f>
        <v>2</v>
      </c>
      <c r="AH831" s="960">
        <f t="array" ref="AH831">HLOOKUP($J831,'Type Chart'!$C$2:$T$20,15,false)*HLOOKUP($K831,'Type Chart'!$C$2:$U$20,15,false)</f>
        <v>1</v>
      </c>
      <c r="AI831" s="960">
        <f t="array" ref="AI831">HLOOKUP($J831,'Type Chart'!$C$2:$T$20,16,false)*HLOOKUP($K831,'Type Chart'!$C$2:$U$20,16,false)</f>
        <v>2</v>
      </c>
      <c r="AJ831" s="960">
        <f t="array" ref="AJ831">HLOOKUP($J831,'Type Chart'!$C$2:$T$20,17,false)*HLOOKUP($K831,'Type Chart'!$C$2:$U$20,17,false)</f>
        <v>1</v>
      </c>
      <c r="AK831" s="960">
        <f t="array" ref="AK831">HLOOKUP($J831,'Type Chart'!$C$2:$T$20,18,false)*HLOOKUP($K831,'Type Chart'!$C$2:$U$20,18,false)</f>
        <v>1</v>
      </c>
      <c r="AL831" s="960">
        <f t="array" ref="AL831">HLOOKUP($J831,'Type Chart'!$C$2:$T$20,19,false)*HLOOKUP($K831,'Type Chart'!$C$2:$U$20,19,false)</f>
        <v>1</v>
      </c>
      <c r="AM831" s="964" t="s">
        <v>1024</v>
      </c>
      <c r="AN831" s="965"/>
      <c r="AO831" s="966" t="s">
        <v>3293</v>
      </c>
      <c r="AP831" s="936"/>
      <c r="AQ831" s="967"/>
      <c r="AR831" s="968"/>
      <c r="AS831" s="936"/>
    </row>
    <row r="832" ht="15.75" customHeight="1">
      <c r="A832" s="936"/>
      <c r="B832" s="948" t="s">
        <v>3294</v>
      </c>
      <c r="C832" s="950" t="s">
        <v>3295</v>
      </c>
      <c r="D832" s="950" t="s">
        <v>3295</v>
      </c>
      <c r="E832" s="952" t="s">
        <v>3295</v>
      </c>
      <c r="F832" s="940"/>
      <c r="G832" s="953"/>
      <c r="H832" s="969"/>
      <c r="I832" s="998" t="s">
        <v>825</v>
      </c>
      <c r="J832" s="982" t="s">
        <v>150</v>
      </c>
      <c r="K832" s="1001" t="s">
        <v>128</v>
      </c>
      <c r="L832" s="959">
        <v>62.0</v>
      </c>
      <c r="M832" s="960">
        <v>73.0</v>
      </c>
      <c r="N832" s="960">
        <v>55.0</v>
      </c>
      <c r="O832" s="960">
        <v>56.0</v>
      </c>
      <c r="P832" s="960">
        <v>52.0</v>
      </c>
      <c r="Q832" s="960">
        <v>84.0</v>
      </c>
      <c r="R832" s="960">
        <v>204.0</v>
      </c>
      <c r="S832" s="960">
        <v>267.0</v>
      </c>
      <c r="T832" s="960">
        <v>293.0</v>
      </c>
      <c r="U832" s="960">
        <f t="array" ref="U832">HLOOKUP($J832,'Type Chart'!$C$2:$T$20,2,false)*HLOOKUP($K832,'Type Chart'!$C$2:$U$20,2,false)</f>
        <v>1</v>
      </c>
      <c r="V832" s="960">
        <f t="array" ref="V832">HLOOKUP($J832,'Type Chart'!$C$2:$T$20,3,false)*HLOOKUP($K832,'Type Chart'!$C$2:$U$20,3,false)</f>
        <v>0.5</v>
      </c>
      <c r="W832" s="960">
        <f t="array" ref="W832">HLOOKUP($J832,'Type Chart'!$C$2:$T$20,4,false)*HLOOKUP($K832,'Type Chart'!$C$2:$U$20,4,false)</f>
        <v>1</v>
      </c>
      <c r="X832" s="960">
        <f t="array" ref="X832">HLOOKUP($J832,'Type Chart'!$C$2:$T$20,5,false)*HLOOKUP($K832,'Type Chart'!$C$2:$U$20,5,false)</f>
        <v>1</v>
      </c>
      <c r="Y832" s="960">
        <f t="array" ref="Y832">HLOOKUP($J832,'Type Chart'!$C$2:$T$20,6,false)*HLOOKUP($K832,'Type Chart'!$C$2:$U$20,6,false)</f>
        <v>0</v>
      </c>
      <c r="Z832" s="960">
        <f t="array" ref="Z832">HLOOKUP($J832,'Type Chart'!$C$2:$T$20,7,false)*HLOOKUP($K832,'Type Chart'!$C$2:$U$20,7,false)</f>
        <v>4</v>
      </c>
      <c r="AA832" s="960">
        <f t="array" ref="AA832">HLOOKUP($J832,'Type Chart'!$C$2:$T$20,8,false)*HLOOKUP($K832,'Type Chart'!$C$2:$U$20,8,false)</f>
        <v>0.25</v>
      </c>
      <c r="AB832" s="960">
        <f t="array" ref="AB832">HLOOKUP($J832,'Type Chart'!$C$2:$T$20,9,false)*HLOOKUP($K832,'Type Chart'!$C$2:$U$20,9,false)</f>
        <v>1</v>
      </c>
      <c r="AC832" s="960">
        <f t="array" ref="AC832">HLOOKUP($J832,'Type Chart'!$C$2:$T$20,10,false)*HLOOKUP($K832,'Type Chart'!$C$2:$U$20,10,false)</f>
        <v>0.5</v>
      </c>
      <c r="AD832" s="960">
        <f t="array" ref="AD832">HLOOKUP($J832,'Type Chart'!$C$2:$T$20,11,false)*HLOOKUP($K832,'Type Chart'!$C$2:$U$20,11,false)</f>
        <v>0.5</v>
      </c>
      <c r="AE832" s="960">
        <f t="array" ref="AE832">HLOOKUP($J832,'Type Chart'!$C$2:$T$20,12,false)*HLOOKUP($K832,'Type Chart'!$C$2:$U$20,12,false)</f>
        <v>2</v>
      </c>
      <c r="AF832" s="960">
        <f t="array" ref="AF832">HLOOKUP($J832,'Type Chart'!$C$2:$T$20,13,false)*HLOOKUP($K832,'Type Chart'!$C$2:$U$20,13,false)</f>
        <v>0.25</v>
      </c>
      <c r="AG832" s="960">
        <f t="array" ref="AG832">HLOOKUP($J832,'Type Chart'!$C$2:$T$20,14,false)*HLOOKUP($K832,'Type Chart'!$C$2:$U$20,14,false)</f>
        <v>2</v>
      </c>
      <c r="AH832" s="960">
        <f t="array" ref="AH832">HLOOKUP($J832,'Type Chart'!$C$2:$T$20,15,false)*HLOOKUP($K832,'Type Chart'!$C$2:$U$20,15,false)</f>
        <v>1</v>
      </c>
      <c r="AI832" s="960">
        <f t="array" ref="AI832">HLOOKUP($J832,'Type Chart'!$C$2:$T$20,16,false)*HLOOKUP($K832,'Type Chart'!$C$2:$U$20,16,false)</f>
        <v>1</v>
      </c>
      <c r="AJ832" s="960">
        <f t="array" ref="AJ832">HLOOKUP($J832,'Type Chart'!$C$2:$T$20,17,false)*HLOOKUP($K832,'Type Chart'!$C$2:$U$20,17,false)</f>
        <v>1</v>
      </c>
      <c r="AK832" s="960">
        <f t="array" ref="AK832">HLOOKUP($J832,'Type Chart'!$C$2:$T$20,18,false)*HLOOKUP($K832,'Type Chart'!$C$2:$U$20,18,false)</f>
        <v>1</v>
      </c>
      <c r="AL832" s="960">
        <f t="array" ref="AL832">HLOOKUP($J832,'Type Chart'!$C$2:$T$20,19,false)*HLOOKUP($K832,'Type Chart'!$C$2:$U$20,19,false)</f>
        <v>0.5</v>
      </c>
      <c r="AM832" s="964" t="s">
        <v>1353</v>
      </c>
      <c r="AN832" s="965"/>
      <c r="AO832" s="966" t="s">
        <v>3293</v>
      </c>
      <c r="AP832" s="936"/>
      <c r="AQ832" s="967"/>
      <c r="AR832" s="968"/>
      <c r="AS832" s="936"/>
    </row>
    <row r="833" ht="15.75" customHeight="1">
      <c r="A833" s="936"/>
      <c r="B833" s="948" t="s">
        <v>3296</v>
      </c>
      <c r="C833" s="950" t="s">
        <v>3297</v>
      </c>
      <c r="D833" s="950" t="s">
        <v>3297</v>
      </c>
      <c r="E833" s="952" t="s">
        <v>3297</v>
      </c>
      <c r="F833" s="940"/>
      <c r="G833" s="953"/>
      <c r="H833" s="969"/>
      <c r="I833" s="998" t="s">
        <v>512</v>
      </c>
      <c r="J833" s="982" t="s">
        <v>150</v>
      </c>
      <c r="K833" s="1001" t="s">
        <v>128</v>
      </c>
      <c r="L833" s="959">
        <v>78.0</v>
      </c>
      <c r="M833" s="960">
        <v>81.0</v>
      </c>
      <c r="N833" s="960">
        <v>71.0</v>
      </c>
      <c r="O833" s="960">
        <v>74.0</v>
      </c>
      <c r="P833" s="960">
        <v>69.0</v>
      </c>
      <c r="Q833" s="960">
        <v>126.0</v>
      </c>
      <c r="R833" s="960">
        <v>288.0</v>
      </c>
      <c r="S833" s="960">
        <v>351.0</v>
      </c>
      <c r="T833" s="960">
        <v>386.0</v>
      </c>
      <c r="U833" s="960">
        <f t="array" ref="U833">HLOOKUP($J833,'Type Chart'!$C$2:$T$20,2,false)*HLOOKUP($K833,'Type Chart'!$C$2:$U$20,2,false)</f>
        <v>1</v>
      </c>
      <c r="V833" s="960">
        <f t="array" ref="V833">HLOOKUP($J833,'Type Chart'!$C$2:$T$20,3,false)*HLOOKUP($K833,'Type Chart'!$C$2:$U$20,3,false)</f>
        <v>0.5</v>
      </c>
      <c r="W833" s="960">
        <f t="array" ref="W833">HLOOKUP($J833,'Type Chart'!$C$2:$T$20,4,false)*HLOOKUP($K833,'Type Chart'!$C$2:$U$20,4,false)</f>
        <v>1</v>
      </c>
      <c r="X833" s="960">
        <f t="array" ref="X833">HLOOKUP($J833,'Type Chart'!$C$2:$T$20,5,false)*HLOOKUP($K833,'Type Chart'!$C$2:$U$20,5,false)</f>
        <v>1</v>
      </c>
      <c r="Y833" s="960">
        <f t="array" ref="Y833">HLOOKUP($J833,'Type Chart'!$C$2:$T$20,6,false)*HLOOKUP($K833,'Type Chart'!$C$2:$U$20,6,false)</f>
        <v>0</v>
      </c>
      <c r="Z833" s="960">
        <f t="array" ref="Z833">HLOOKUP($J833,'Type Chart'!$C$2:$T$20,7,false)*HLOOKUP($K833,'Type Chart'!$C$2:$U$20,7,false)</f>
        <v>4</v>
      </c>
      <c r="AA833" s="960">
        <f t="array" ref="AA833">HLOOKUP($J833,'Type Chart'!$C$2:$T$20,8,false)*HLOOKUP($K833,'Type Chart'!$C$2:$U$20,8,false)</f>
        <v>0.25</v>
      </c>
      <c r="AB833" s="960">
        <f t="array" ref="AB833">HLOOKUP($J833,'Type Chart'!$C$2:$T$20,9,false)*HLOOKUP($K833,'Type Chart'!$C$2:$U$20,9,false)</f>
        <v>1</v>
      </c>
      <c r="AC833" s="960">
        <f t="array" ref="AC833">HLOOKUP($J833,'Type Chart'!$C$2:$T$20,10,false)*HLOOKUP($K833,'Type Chart'!$C$2:$U$20,10,false)</f>
        <v>0.5</v>
      </c>
      <c r="AD833" s="960">
        <f t="array" ref="AD833">HLOOKUP($J833,'Type Chart'!$C$2:$T$20,11,false)*HLOOKUP($K833,'Type Chart'!$C$2:$U$20,11,false)</f>
        <v>0.5</v>
      </c>
      <c r="AE833" s="960">
        <f t="array" ref="AE833">HLOOKUP($J833,'Type Chart'!$C$2:$T$20,12,false)*HLOOKUP($K833,'Type Chart'!$C$2:$U$20,12,false)</f>
        <v>2</v>
      </c>
      <c r="AF833" s="960">
        <f t="array" ref="AF833">HLOOKUP($J833,'Type Chart'!$C$2:$T$20,13,false)*HLOOKUP($K833,'Type Chart'!$C$2:$U$20,13,false)</f>
        <v>0.25</v>
      </c>
      <c r="AG833" s="960">
        <f t="array" ref="AG833">HLOOKUP($J833,'Type Chart'!$C$2:$T$20,14,false)*HLOOKUP($K833,'Type Chart'!$C$2:$U$20,14,false)</f>
        <v>2</v>
      </c>
      <c r="AH833" s="960">
        <f t="array" ref="AH833">HLOOKUP($J833,'Type Chart'!$C$2:$T$20,15,false)*HLOOKUP($K833,'Type Chart'!$C$2:$U$20,15,false)</f>
        <v>1</v>
      </c>
      <c r="AI833" s="960">
        <f t="array" ref="AI833">HLOOKUP($J833,'Type Chart'!$C$2:$T$20,16,false)*HLOOKUP($K833,'Type Chart'!$C$2:$U$20,16,false)</f>
        <v>1</v>
      </c>
      <c r="AJ833" s="960">
        <f t="array" ref="AJ833">HLOOKUP($J833,'Type Chart'!$C$2:$T$20,17,false)*HLOOKUP($K833,'Type Chart'!$C$2:$U$20,17,false)</f>
        <v>1</v>
      </c>
      <c r="AK833" s="960">
        <f t="array" ref="AK833">HLOOKUP($J833,'Type Chart'!$C$2:$T$20,18,false)*HLOOKUP($K833,'Type Chart'!$C$2:$U$20,18,false)</f>
        <v>1</v>
      </c>
      <c r="AL833" s="960">
        <f t="array" ref="AL833">HLOOKUP($J833,'Type Chart'!$C$2:$T$20,19,false)*HLOOKUP($K833,'Type Chart'!$C$2:$U$20,19,false)</f>
        <v>0.5</v>
      </c>
      <c r="AM833" s="964" t="s">
        <v>1353</v>
      </c>
      <c r="AN833" s="965"/>
      <c r="AO833" s="966" t="s">
        <v>3293</v>
      </c>
      <c r="AP833" s="936"/>
      <c r="AQ833" s="967"/>
      <c r="AR833" s="968"/>
      <c r="AS833" s="936"/>
    </row>
    <row r="834" ht="15.75" customHeight="1">
      <c r="A834" s="936"/>
      <c r="B834" s="948" t="s">
        <v>3298</v>
      </c>
      <c r="C834" s="950" t="s">
        <v>3299</v>
      </c>
      <c r="D834" s="950" t="s">
        <v>3299</v>
      </c>
      <c r="E834" s="952" t="s">
        <v>3299</v>
      </c>
      <c r="F834" s="940"/>
      <c r="G834" s="953"/>
      <c r="H834" s="969"/>
      <c r="I834" s="998" t="s">
        <v>3300</v>
      </c>
      <c r="J834" s="1180" t="s">
        <v>343</v>
      </c>
      <c r="K834" s="984" t="s">
        <v>216</v>
      </c>
      <c r="L834" s="959">
        <v>38.0</v>
      </c>
      <c r="M834" s="960">
        <v>35.0</v>
      </c>
      <c r="N834" s="960">
        <v>40.0</v>
      </c>
      <c r="O834" s="960">
        <v>27.0</v>
      </c>
      <c r="P834" s="960">
        <v>25.0</v>
      </c>
      <c r="Q834" s="960">
        <v>35.0</v>
      </c>
      <c r="R834" s="960">
        <v>106.0</v>
      </c>
      <c r="S834" s="960">
        <v>169.0</v>
      </c>
      <c r="T834" s="960">
        <v>185.0</v>
      </c>
      <c r="U834" s="960">
        <f t="array" ref="U834">HLOOKUP($J834,'Type Chart'!$C$2:$T$20,2,false)*HLOOKUP($K834,'Type Chart'!$C$2:$U$20,2,false)</f>
        <v>1</v>
      </c>
      <c r="V834" s="960">
        <f t="array" ref="V834">HLOOKUP($J834,'Type Chart'!$C$2:$T$20,3,false)*HLOOKUP($K834,'Type Chart'!$C$2:$U$20,3,false)</f>
        <v>0.5</v>
      </c>
      <c r="W834" s="960">
        <f t="array" ref="W834">HLOOKUP($J834,'Type Chart'!$C$2:$T$20,4,false)*HLOOKUP($K834,'Type Chart'!$C$2:$U$20,4,false)</f>
        <v>2</v>
      </c>
      <c r="X834" s="960">
        <f t="array" ref="X834">HLOOKUP($J834,'Type Chart'!$C$2:$T$20,5,false)*HLOOKUP($K834,'Type Chart'!$C$2:$U$20,5,false)</f>
        <v>1</v>
      </c>
      <c r="Y834" s="960">
        <f t="array" ref="Y834">HLOOKUP($J834,'Type Chart'!$C$2:$T$20,6,false)*HLOOKUP($K834,'Type Chart'!$C$2:$U$20,6,false)</f>
        <v>0.5</v>
      </c>
      <c r="Z834" s="960">
        <f t="array" ref="Z834">HLOOKUP($J834,'Type Chart'!$C$2:$T$20,7,false)*HLOOKUP($K834,'Type Chart'!$C$2:$U$20,7,false)</f>
        <v>2</v>
      </c>
      <c r="AA834" s="960">
        <f t="array" ref="AA834">HLOOKUP($J834,'Type Chart'!$C$2:$T$20,8,false)*HLOOKUP($K834,'Type Chart'!$C$2:$U$20,8,false)</f>
        <v>1</v>
      </c>
      <c r="AB834" s="960">
        <f t="array" ref="AB834">HLOOKUP($J834,'Type Chart'!$C$2:$T$20,9,false)*HLOOKUP($K834,'Type Chart'!$C$2:$U$20,9,false)</f>
        <v>1</v>
      </c>
      <c r="AC834" s="960">
        <f t="array" ref="AC834">HLOOKUP($J834,'Type Chart'!$C$2:$T$20,10,false)*HLOOKUP($K834,'Type Chart'!$C$2:$U$20,10,false)</f>
        <v>1</v>
      </c>
      <c r="AD834" s="960">
        <f t="array" ref="AD834">HLOOKUP($J834,'Type Chart'!$C$2:$T$20,11,false)*HLOOKUP($K834,'Type Chart'!$C$2:$U$20,11,false)</f>
        <v>2</v>
      </c>
      <c r="AE834" s="960">
        <f t="array" ref="AE834">HLOOKUP($J834,'Type Chart'!$C$2:$T$20,12,false)*HLOOKUP($K834,'Type Chart'!$C$2:$U$20,12,false)</f>
        <v>1</v>
      </c>
      <c r="AF834" s="960">
        <f t="array" ref="AF834">HLOOKUP($J834,'Type Chart'!$C$2:$T$20,13,false)*HLOOKUP($K834,'Type Chart'!$C$2:$U$20,13,false)</f>
        <v>0.5</v>
      </c>
      <c r="AG834" s="960">
        <f t="array" ref="AG834">HLOOKUP($J834,'Type Chart'!$C$2:$T$20,14,false)*HLOOKUP($K834,'Type Chart'!$C$2:$U$20,14,false)</f>
        <v>1</v>
      </c>
      <c r="AH834" s="960">
        <f t="array" ref="AH834">HLOOKUP($J834,'Type Chart'!$C$2:$T$20,15,false)*HLOOKUP($K834,'Type Chart'!$C$2:$U$20,15,false)</f>
        <v>1</v>
      </c>
      <c r="AI834" s="960">
        <f t="array" ref="AI834">HLOOKUP($J834,'Type Chart'!$C$2:$T$20,16,false)*HLOOKUP($K834,'Type Chart'!$C$2:$U$20,16,false)</f>
        <v>1</v>
      </c>
      <c r="AJ834" s="960">
        <f t="array" ref="AJ834">HLOOKUP($J834,'Type Chart'!$C$2:$T$20,17,false)*HLOOKUP($K834,'Type Chart'!$C$2:$U$20,17,false)</f>
        <v>1</v>
      </c>
      <c r="AK834" s="960">
        <f t="array" ref="AK834">HLOOKUP($J834,'Type Chart'!$C$2:$T$20,18,false)*HLOOKUP($K834,'Type Chart'!$C$2:$U$20,18,false)</f>
        <v>1</v>
      </c>
      <c r="AL834" s="960">
        <f t="array" ref="AL834">HLOOKUP($J834,'Type Chart'!$C$2:$T$20,19,false)*HLOOKUP($K834,'Type Chart'!$C$2:$U$20,19,false)</f>
        <v>1</v>
      </c>
      <c r="AM834" s="964" t="s">
        <v>987</v>
      </c>
      <c r="AN834" s="965" t="s">
        <v>1002</v>
      </c>
      <c r="AO834" s="966" t="s">
        <v>1167</v>
      </c>
      <c r="AP834" s="936"/>
      <c r="AQ834" s="967"/>
      <c r="AR834" s="968"/>
      <c r="AS834" s="936"/>
    </row>
    <row r="835" ht="15.75" customHeight="1">
      <c r="A835" s="936"/>
      <c r="B835" s="948" t="s">
        <v>3301</v>
      </c>
      <c r="C835" s="950" t="s">
        <v>3302</v>
      </c>
      <c r="D835" s="950" t="s">
        <v>3302</v>
      </c>
      <c r="E835" s="952" t="s">
        <v>3302</v>
      </c>
      <c r="F835" s="940"/>
      <c r="G835" s="953"/>
      <c r="H835" s="969"/>
      <c r="I835" s="998" t="s">
        <v>3303</v>
      </c>
      <c r="J835" s="1180" t="s">
        <v>343</v>
      </c>
      <c r="K835" s="984" t="s">
        <v>216</v>
      </c>
      <c r="L835" s="959">
        <v>45.0</v>
      </c>
      <c r="M835" s="960">
        <v>22.0</v>
      </c>
      <c r="N835" s="960">
        <v>60.0</v>
      </c>
      <c r="O835" s="960">
        <v>27.0</v>
      </c>
      <c r="P835" s="960">
        <v>30.0</v>
      </c>
      <c r="Q835" s="960">
        <v>29.0</v>
      </c>
      <c r="R835" s="960">
        <v>94.0</v>
      </c>
      <c r="S835" s="960">
        <v>157.0</v>
      </c>
      <c r="T835" s="960">
        <v>172.0</v>
      </c>
      <c r="U835" s="960">
        <f t="array" ref="U835">HLOOKUP($J835,'Type Chart'!$C$2:$T$20,2,false)*HLOOKUP($K835,'Type Chart'!$C$2:$U$20,2,false)</f>
        <v>1</v>
      </c>
      <c r="V835" s="960">
        <f t="array" ref="V835">HLOOKUP($J835,'Type Chart'!$C$2:$T$20,3,false)*HLOOKUP($K835,'Type Chart'!$C$2:$U$20,3,false)</f>
        <v>0.5</v>
      </c>
      <c r="W835" s="960">
        <f t="array" ref="W835">HLOOKUP($J835,'Type Chart'!$C$2:$T$20,4,false)*HLOOKUP($K835,'Type Chart'!$C$2:$U$20,4,false)</f>
        <v>2</v>
      </c>
      <c r="X835" s="960">
        <f t="array" ref="X835">HLOOKUP($J835,'Type Chart'!$C$2:$T$20,5,false)*HLOOKUP($K835,'Type Chart'!$C$2:$U$20,5,false)</f>
        <v>1</v>
      </c>
      <c r="Y835" s="960">
        <f t="array" ref="Y835">HLOOKUP($J835,'Type Chart'!$C$2:$T$20,6,false)*HLOOKUP($K835,'Type Chart'!$C$2:$U$20,6,false)</f>
        <v>0.5</v>
      </c>
      <c r="Z835" s="960">
        <f t="array" ref="Z835">HLOOKUP($J835,'Type Chart'!$C$2:$T$20,7,false)*HLOOKUP($K835,'Type Chart'!$C$2:$U$20,7,false)</f>
        <v>2</v>
      </c>
      <c r="AA835" s="960">
        <f t="array" ref="AA835">HLOOKUP($J835,'Type Chart'!$C$2:$T$20,8,false)*HLOOKUP($K835,'Type Chart'!$C$2:$U$20,8,false)</f>
        <v>1</v>
      </c>
      <c r="AB835" s="960">
        <f t="array" ref="AB835">HLOOKUP($J835,'Type Chart'!$C$2:$T$20,9,false)*HLOOKUP($K835,'Type Chart'!$C$2:$U$20,9,false)</f>
        <v>1</v>
      </c>
      <c r="AC835" s="960">
        <f t="array" ref="AC835">HLOOKUP($J835,'Type Chart'!$C$2:$T$20,10,false)*HLOOKUP($K835,'Type Chart'!$C$2:$U$20,10,false)</f>
        <v>1</v>
      </c>
      <c r="AD835" s="960">
        <f t="array" ref="AD835">HLOOKUP($J835,'Type Chart'!$C$2:$T$20,11,false)*HLOOKUP($K835,'Type Chart'!$C$2:$U$20,11,false)</f>
        <v>2</v>
      </c>
      <c r="AE835" s="960">
        <f t="array" ref="AE835">HLOOKUP($J835,'Type Chart'!$C$2:$T$20,12,false)*HLOOKUP($K835,'Type Chart'!$C$2:$U$20,12,false)</f>
        <v>1</v>
      </c>
      <c r="AF835" s="960">
        <f t="array" ref="AF835">HLOOKUP($J835,'Type Chart'!$C$2:$T$20,13,false)*HLOOKUP($K835,'Type Chart'!$C$2:$U$20,13,false)</f>
        <v>0.5</v>
      </c>
      <c r="AG835" s="960">
        <f t="array" ref="AG835">HLOOKUP($J835,'Type Chart'!$C$2:$T$20,14,false)*HLOOKUP($K835,'Type Chart'!$C$2:$U$20,14,false)</f>
        <v>1</v>
      </c>
      <c r="AH835" s="960">
        <f t="array" ref="AH835">HLOOKUP($J835,'Type Chart'!$C$2:$T$20,15,false)*HLOOKUP($K835,'Type Chart'!$C$2:$U$20,15,false)</f>
        <v>1</v>
      </c>
      <c r="AI835" s="960">
        <f t="array" ref="AI835">HLOOKUP($J835,'Type Chart'!$C$2:$T$20,16,false)*HLOOKUP($K835,'Type Chart'!$C$2:$U$20,16,false)</f>
        <v>1</v>
      </c>
      <c r="AJ835" s="960">
        <f t="array" ref="AJ835">HLOOKUP($J835,'Type Chart'!$C$2:$T$20,17,false)*HLOOKUP($K835,'Type Chart'!$C$2:$U$20,17,false)</f>
        <v>1</v>
      </c>
      <c r="AK835" s="960">
        <f t="array" ref="AK835">HLOOKUP($J835,'Type Chart'!$C$2:$T$20,18,false)*HLOOKUP($K835,'Type Chart'!$C$2:$U$20,18,false)</f>
        <v>1</v>
      </c>
      <c r="AL835" s="960">
        <f t="array" ref="AL835">HLOOKUP($J835,'Type Chart'!$C$2:$T$20,19,false)*HLOOKUP($K835,'Type Chart'!$C$2:$U$20,19,false)</f>
        <v>1</v>
      </c>
      <c r="AM835" s="964" t="s">
        <v>998</v>
      </c>
      <c r="AN835" s="965"/>
      <c r="AO835" s="966" t="s">
        <v>1167</v>
      </c>
      <c r="AP835" s="936"/>
      <c r="AQ835" s="967"/>
      <c r="AR835" s="968"/>
      <c r="AS835" s="936"/>
    </row>
    <row r="836" ht="15.75" customHeight="1">
      <c r="A836" s="936"/>
      <c r="B836" s="948" t="s">
        <v>3304</v>
      </c>
      <c r="C836" s="950" t="s">
        <v>3305</v>
      </c>
      <c r="D836" s="950" t="s">
        <v>3305</v>
      </c>
      <c r="E836" s="952" t="s">
        <v>3305</v>
      </c>
      <c r="F836" s="940"/>
      <c r="G836" s="953"/>
      <c r="H836" s="969"/>
      <c r="I836" s="998" t="s">
        <v>777</v>
      </c>
      <c r="J836" s="1180" t="s">
        <v>343</v>
      </c>
      <c r="K836" s="1001" t="s">
        <v>128</v>
      </c>
      <c r="L836" s="959">
        <v>80.0</v>
      </c>
      <c r="M836" s="960">
        <v>52.0</v>
      </c>
      <c r="N836" s="960">
        <v>50.0</v>
      </c>
      <c r="O836" s="960">
        <v>90.0</v>
      </c>
      <c r="P836" s="960">
        <v>50.0</v>
      </c>
      <c r="Q836" s="960">
        <v>89.0</v>
      </c>
      <c r="R836" s="960">
        <v>214.0</v>
      </c>
      <c r="S836" s="960">
        <v>277.0</v>
      </c>
      <c r="T836" s="960">
        <v>304.0</v>
      </c>
      <c r="U836" s="960">
        <f t="array" ref="U836">HLOOKUP($J836,'Type Chart'!$C$2:$T$20,2,false)*HLOOKUP($K836,'Type Chart'!$C$2:$U$20,2,false)</f>
        <v>1</v>
      </c>
      <c r="V836" s="960">
        <f t="array" ref="V836">HLOOKUP($J836,'Type Chart'!$C$2:$T$20,3,false)*HLOOKUP($K836,'Type Chart'!$C$2:$U$20,3,false)</f>
        <v>0.25</v>
      </c>
      <c r="W836" s="960">
        <f t="array" ref="W836">HLOOKUP($J836,'Type Chart'!$C$2:$T$20,4,false)*HLOOKUP($K836,'Type Chart'!$C$2:$U$20,4,false)</f>
        <v>2</v>
      </c>
      <c r="X836" s="960">
        <f t="array" ref="X836">HLOOKUP($J836,'Type Chart'!$C$2:$T$20,5,false)*HLOOKUP($K836,'Type Chart'!$C$2:$U$20,5,false)</f>
        <v>1</v>
      </c>
      <c r="Y836" s="960">
        <f t="array" ref="Y836">HLOOKUP($J836,'Type Chart'!$C$2:$T$20,6,false)*HLOOKUP($K836,'Type Chart'!$C$2:$U$20,6,false)</f>
        <v>0</v>
      </c>
      <c r="Z836" s="960">
        <f t="array" ref="Z836">HLOOKUP($J836,'Type Chart'!$C$2:$T$20,7,false)*HLOOKUP($K836,'Type Chart'!$C$2:$U$20,7,false)</f>
        <v>4</v>
      </c>
      <c r="AA836" s="960">
        <f t="array" ref="AA836">HLOOKUP($J836,'Type Chart'!$C$2:$T$20,8,false)*HLOOKUP($K836,'Type Chart'!$C$2:$U$20,8,false)</f>
        <v>0.5</v>
      </c>
      <c r="AB836" s="960">
        <f t="array" ref="AB836">HLOOKUP($J836,'Type Chart'!$C$2:$T$20,9,false)*HLOOKUP($K836,'Type Chart'!$C$2:$U$20,9,false)</f>
        <v>1</v>
      </c>
      <c r="AC836" s="960">
        <f t="array" ref="AC836">HLOOKUP($J836,'Type Chart'!$C$2:$T$20,10,false)*HLOOKUP($K836,'Type Chart'!$C$2:$U$20,10,false)</f>
        <v>1</v>
      </c>
      <c r="AD836" s="960">
        <f t="array" ref="AD836">HLOOKUP($J836,'Type Chart'!$C$2:$T$20,11,false)*HLOOKUP($K836,'Type Chart'!$C$2:$U$20,11,false)</f>
        <v>2</v>
      </c>
      <c r="AE836" s="960">
        <f t="array" ref="AE836">HLOOKUP($J836,'Type Chart'!$C$2:$T$20,12,false)*HLOOKUP($K836,'Type Chart'!$C$2:$U$20,12,false)</f>
        <v>1</v>
      </c>
      <c r="AF836" s="960">
        <f t="array" ref="AF836">HLOOKUP($J836,'Type Chart'!$C$2:$T$20,13,false)*HLOOKUP($K836,'Type Chart'!$C$2:$U$20,13,false)</f>
        <v>0.25</v>
      </c>
      <c r="AG836" s="960">
        <f t="array" ref="AG836">HLOOKUP($J836,'Type Chart'!$C$2:$T$20,14,false)*HLOOKUP($K836,'Type Chart'!$C$2:$U$20,14,false)</f>
        <v>2</v>
      </c>
      <c r="AH836" s="960">
        <f t="array" ref="AH836">HLOOKUP($J836,'Type Chart'!$C$2:$T$20,15,false)*HLOOKUP($K836,'Type Chart'!$C$2:$U$20,15,false)</f>
        <v>1</v>
      </c>
      <c r="AI836" s="960">
        <f t="array" ref="AI836">HLOOKUP($J836,'Type Chart'!$C$2:$T$20,16,false)*HLOOKUP($K836,'Type Chart'!$C$2:$U$20,16,false)</f>
        <v>2</v>
      </c>
      <c r="AJ836" s="960">
        <f t="array" ref="AJ836">HLOOKUP($J836,'Type Chart'!$C$2:$T$20,17,false)*HLOOKUP($K836,'Type Chart'!$C$2:$U$20,17,false)</f>
        <v>1</v>
      </c>
      <c r="AK836" s="960">
        <f t="array" ref="AK836">HLOOKUP($J836,'Type Chart'!$C$2:$T$20,18,false)*HLOOKUP($K836,'Type Chart'!$C$2:$U$20,18,false)</f>
        <v>1</v>
      </c>
      <c r="AL836" s="960">
        <f t="array" ref="AL836">HLOOKUP($J836,'Type Chart'!$C$2:$T$20,19,false)*HLOOKUP($K836,'Type Chart'!$C$2:$U$20,19,false)</f>
        <v>1</v>
      </c>
      <c r="AM836" s="964" t="s">
        <v>987</v>
      </c>
      <c r="AN836" s="965" t="s">
        <v>1002</v>
      </c>
      <c r="AO836" s="966" t="s">
        <v>1167</v>
      </c>
      <c r="AP836" s="936"/>
      <c r="AQ836" s="967"/>
      <c r="AR836" s="968"/>
      <c r="AS836" s="936"/>
    </row>
    <row r="837" ht="15.75" customHeight="1">
      <c r="A837" s="936"/>
      <c r="B837" s="948" t="s">
        <v>3306</v>
      </c>
      <c r="C837" s="950" t="s">
        <v>3307</v>
      </c>
      <c r="D837" s="950" t="s">
        <v>3307</v>
      </c>
      <c r="E837" s="952" t="s">
        <v>3307</v>
      </c>
      <c r="F837" s="940"/>
      <c r="G837" s="953"/>
      <c r="H837" s="969"/>
      <c r="I837" s="998" t="s">
        <v>3308</v>
      </c>
      <c r="J837" s="1180" t="s">
        <v>343</v>
      </c>
      <c r="K837" s="1001" t="s">
        <v>128</v>
      </c>
      <c r="L837" s="959">
        <v>80.0</v>
      </c>
      <c r="M837" s="960">
        <v>52.0</v>
      </c>
      <c r="N837" s="960">
        <v>50.0</v>
      </c>
      <c r="O837" s="960">
        <v>90.0</v>
      </c>
      <c r="P837" s="960">
        <v>50.0</v>
      </c>
      <c r="Q837" s="960">
        <v>89.0</v>
      </c>
      <c r="R837" s="960">
        <v>214.0</v>
      </c>
      <c r="S837" s="960">
        <v>277.0</v>
      </c>
      <c r="T837" s="960">
        <v>304.0</v>
      </c>
      <c r="U837" s="960">
        <f t="array" ref="U837">HLOOKUP($J837,'Type Chart'!$C$2:$T$20,2,false)*HLOOKUP($K837,'Type Chart'!$C$2:$U$20,2,false)</f>
        <v>1</v>
      </c>
      <c r="V837" s="960">
        <f t="array" ref="V837">HLOOKUP($J837,'Type Chart'!$C$2:$T$20,3,false)*HLOOKUP($K837,'Type Chart'!$C$2:$U$20,3,false)</f>
        <v>0.25</v>
      </c>
      <c r="W837" s="960">
        <f t="array" ref="W837">HLOOKUP($J837,'Type Chart'!$C$2:$T$20,4,false)*HLOOKUP($K837,'Type Chart'!$C$2:$U$20,4,false)</f>
        <v>2</v>
      </c>
      <c r="X837" s="960">
        <f t="array" ref="X837">HLOOKUP($J837,'Type Chart'!$C$2:$T$20,5,false)*HLOOKUP($K837,'Type Chart'!$C$2:$U$20,5,false)</f>
        <v>1</v>
      </c>
      <c r="Y837" s="960">
        <f t="array" ref="Y837">HLOOKUP($J837,'Type Chart'!$C$2:$T$20,6,false)*HLOOKUP($K837,'Type Chart'!$C$2:$U$20,6,false)</f>
        <v>0</v>
      </c>
      <c r="Z837" s="960">
        <f t="array" ref="Z837">HLOOKUP($J837,'Type Chart'!$C$2:$T$20,7,false)*HLOOKUP($K837,'Type Chart'!$C$2:$U$20,7,false)</f>
        <v>4</v>
      </c>
      <c r="AA837" s="960">
        <f t="array" ref="AA837">HLOOKUP($J837,'Type Chart'!$C$2:$T$20,8,false)*HLOOKUP($K837,'Type Chart'!$C$2:$U$20,8,false)</f>
        <v>0.5</v>
      </c>
      <c r="AB837" s="960">
        <f t="array" ref="AB837">HLOOKUP($J837,'Type Chart'!$C$2:$T$20,9,false)*HLOOKUP($K837,'Type Chart'!$C$2:$U$20,9,false)</f>
        <v>1</v>
      </c>
      <c r="AC837" s="960">
        <f t="array" ref="AC837">HLOOKUP($J837,'Type Chart'!$C$2:$T$20,10,false)*HLOOKUP($K837,'Type Chart'!$C$2:$U$20,10,false)</f>
        <v>1</v>
      </c>
      <c r="AD837" s="960">
        <f t="array" ref="AD837">HLOOKUP($J837,'Type Chart'!$C$2:$T$20,11,false)*HLOOKUP($K837,'Type Chart'!$C$2:$U$20,11,false)</f>
        <v>2</v>
      </c>
      <c r="AE837" s="960">
        <f t="array" ref="AE837">HLOOKUP($J837,'Type Chart'!$C$2:$T$20,12,false)*HLOOKUP($K837,'Type Chart'!$C$2:$U$20,12,false)</f>
        <v>1</v>
      </c>
      <c r="AF837" s="960">
        <f t="array" ref="AF837">HLOOKUP($J837,'Type Chart'!$C$2:$T$20,13,false)*HLOOKUP($K837,'Type Chart'!$C$2:$U$20,13,false)</f>
        <v>0.25</v>
      </c>
      <c r="AG837" s="960">
        <f t="array" ref="AG837">HLOOKUP($J837,'Type Chart'!$C$2:$T$20,14,false)*HLOOKUP($K837,'Type Chart'!$C$2:$U$20,14,false)</f>
        <v>2</v>
      </c>
      <c r="AH837" s="960">
        <f t="array" ref="AH837">HLOOKUP($J837,'Type Chart'!$C$2:$T$20,15,false)*HLOOKUP($K837,'Type Chart'!$C$2:$U$20,15,false)</f>
        <v>1</v>
      </c>
      <c r="AI837" s="960">
        <f t="array" ref="AI837">HLOOKUP($J837,'Type Chart'!$C$2:$T$20,16,false)*HLOOKUP($K837,'Type Chart'!$C$2:$U$20,16,false)</f>
        <v>2</v>
      </c>
      <c r="AJ837" s="960">
        <f t="array" ref="AJ837">HLOOKUP($J837,'Type Chart'!$C$2:$T$20,17,false)*HLOOKUP($K837,'Type Chart'!$C$2:$U$20,17,false)</f>
        <v>1</v>
      </c>
      <c r="AK837" s="960">
        <f t="array" ref="AK837">HLOOKUP($J837,'Type Chart'!$C$2:$T$20,18,false)*HLOOKUP($K837,'Type Chart'!$C$2:$U$20,18,false)</f>
        <v>1</v>
      </c>
      <c r="AL837" s="960">
        <f t="array" ref="AL837">HLOOKUP($J837,'Type Chart'!$C$2:$T$20,19,false)*HLOOKUP($K837,'Type Chart'!$C$2:$U$20,19,false)</f>
        <v>1</v>
      </c>
      <c r="AM837" s="964" t="s">
        <v>987</v>
      </c>
      <c r="AN837" s="965" t="s">
        <v>1002</v>
      </c>
      <c r="AO837" s="966" t="s">
        <v>1167</v>
      </c>
      <c r="AP837" s="936"/>
      <c r="AQ837" s="967"/>
      <c r="AR837" s="968"/>
      <c r="AS837" s="936"/>
    </row>
    <row r="838" ht="15.75" customHeight="1">
      <c r="A838" s="936"/>
      <c r="B838" s="948" t="s">
        <v>3309</v>
      </c>
      <c r="C838" s="950" t="s">
        <v>3310</v>
      </c>
      <c r="D838" s="950" t="s">
        <v>3311</v>
      </c>
      <c r="E838" s="952" t="s">
        <v>3310</v>
      </c>
      <c r="F838" s="940"/>
      <c r="G838" s="953"/>
      <c r="H838" s="969"/>
      <c r="I838" s="998" t="s">
        <v>3312</v>
      </c>
      <c r="J838" s="1180" t="s">
        <v>343</v>
      </c>
      <c r="K838" s="1001" t="s">
        <v>128</v>
      </c>
      <c r="L838" s="959">
        <v>80.0</v>
      </c>
      <c r="M838" s="960">
        <v>52.0</v>
      </c>
      <c r="N838" s="960">
        <v>50.0</v>
      </c>
      <c r="O838" s="960">
        <v>90.0</v>
      </c>
      <c r="P838" s="960">
        <v>50.0</v>
      </c>
      <c r="Q838" s="960">
        <v>89.0</v>
      </c>
      <c r="R838" s="960">
        <v>214.0</v>
      </c>
      <c r="S838" s="960">
        <v>277.0</v>
      </c>
      <c r="T838" s="960">
        <v>304.0</v>
      </c>
      <c r="U838" s="960">
        <f t="array" ref="U838">HLOOKUP($J838,'Type Chart'!$C$2:$T$20,2,false)*HLOOKUP($K838,'Type Chart'!$C$2:$U$20,2,false)</f>
        <v>1</v>
      </c>
      <c r="V838" s="960">
        <f t="array" ref="V838">HLOOKUP($J838,'Type Chart'!$C$2:$T$20,3,false)*HLOOKUP($K838,'Type Chart'!$C$2:$U$20,3,false)</f>
        <v>0.25</v>
      </c>
      <c r="W838" s="960">
        <f t="array" ref="W838">HLOOKUP($J838,'Type Chart'!$C$2:$T$20,4,false)*HLOOKUP($K838,'Type Chart'!$C$2:$U$20,4,false)</f>
        <v>2</v>
      </c>
      <c r="X838" s="960">
        <f t="array" ref="X838">HLOOKUP($J838,'Type Chart'!$C$2:$T$20,5,false)*HLOOKUP($K838,'Type Chart'!$C$2:$U$20,5,false)</f>
        <v>1</v>
      </c>
      <c r="Y838" s="960">
        <f t="array" ref="Y838">HLOOKUP($J838,'Type Chart'!$C$2:$T$20,6,false)*HLOOKUP($K838,'Type Chart'!$C$2:$U$20,6,false)</f>
        <v>0</v>
      </c>
      <c r="Z838" s="960">
        <f t="array" ref="Z838">HLOOKUP($J838,'Type Chart'!$C$2:$T$20,7,false)*HLOOKUP($K838,'Type Chart'!$C$2:$U$20,7,false)</f>
        <v>4</v>
      </c>
      <c r="AA838" s="960">
        <f t="array" ref="AA838">HLOOKUP($J838,'Type Chart'!$C$2:$T$20,8,false)*HLOOKUP($K838,'Type Chart'!$C$2:$U$20,8,false)</f>
        <v>0.5</v>
      </c>
      <c r="AB838" s="960">
        <f t="array" ref="AB838">HLOOKUP($J838,'Type Chart'!$C$2:$T$20,9,false)*HLOOKUP($K838,'Type Chart'!$C$2:$U$20,9,false)</f>
        <v>1</v>
      </c>
      <c r="AC838" s="960">
        <f t="array" ref="AC838">HLOOKUP($J838,'Type Chart'!$C$2:$T$20,10,false)*HLOOKUP($K838,'Type Chart'!$C$2:$U$20,10,false)</f>
        <v>1</v>
      </c>
      <c r="AD838" s="960">
        <f t="array" ref="AD838">HLOOKUP($J838,'Type Chart'!$C$2:$T$20,11,false)*HLOOKUP($K838,'Type Chart'!$C$2:$U$20,11,false)</f>
        <v>2</v>
      </c>
      <c r="AE838" s="960">
        <f t="array" ref="AE838">HLOOKUP($J838,'Type Chart'!$C$2:$T$20,12,false)*HLOOKUP($K838,'Type Chart'!$C$2:$U$20,12,false)</f>
        <v>1</v>
      </c>
      <c r="AF838" s="960">
        <f t="array" ref="AF838">HLOOKUP($J838,'Type Chart'!$C$2:$T$20,13,false)*HLOOKUP($K838,'Type Chart'!$C$2:$U$20,13,false)</f>
        <v>0.25</v>
      </c>
      <c r="AG838" s="960">
        <f t="array" ref="AG838">HLOOKUP($J838,'Type Chart'!$C$2:$T$20,14,false)*HLOOKUP($K838,'Type Chart'!$C$2:$U$20,14,false)</f>
        <v>2</v>
      </c>
      <c r="AH838" s="960">
        <f t="array" ref="AH838">HLOOKUP($J838,'Type Chart'!$C$2:$T$20,15,false)*HLOOKUP($K838,'Type Chart'!$C$2:$U$20,15,false)</f>
        <v>1</v>
      </c>
      <c r="AI838" s="960">
        <f t="array" ref="AI838">HLOOKUP($J838,'Type Chart'!$C$2:$T$20,16,false)*HLOOKUP($K838,'Type Chart'!$C$2:$U$20,16,false)</f>
        <v>2</v>
      </c>
      <c r="AJ838" s="960">
        <f t="array" ref="AJ838">HLOOKUP($J838,'Type Chart'!$C$2:$T$20,17,false)*HLOOKUP($K838,'Type Chart'!$C$2:$U$20,17,false)</f>
        <v>1</v>
      </c>
      <c r="AK838" s="960">
        <f t="array" ref="AK838">HLOOKUP($J838,'Type Chart'!$C$2:$T$20,18,false)*HLOOKUP($K838,'Type Chart'!$C$2:$U$20,18,false)</f>
        <v>1</v>
      </c>
      <c r="AL838" s="960">
        <f t="array" ref="AL838">HLOOKUP($J838,'Type Chart'!$C$2:$T$20,19,false)*HLOOKUP($K838,'Type Chart'!$C$2:$U$20,19,false)</f>
        <v>1</v>
      </c>
      <c r="AM838" s="964" t="s">
        <v>987</v>
      </c>
      <c r="AN838" s="965" t="s">
        <v>1002</v>
      </c>
      <c r="AO838" s="966" t="s">
        <v>1167</v>
      </c>
      <c r="AP838" s="936"/>
      <c r="AQ838" s="967"/>
      <c r="AR838" s="968"/>
      <c r="AS838" s="936"/>
    </row>
    <row r="839" ht="15.75" customHeight="1">
      <c r="A839" s="936"/>
      <c r="B839" s="948" t="s">
        <v>3313</v>
      </c>
      <c r="C839" s="950" t="s">
        <v>3314</v>
      </c>
      <c r="D839" s="950" t="s">
        <v>3314</v>
      </c>
      <c r="E839" s="952" t="s">
        <v>3314</v>
      </c>
      <c r="F839" s="940"/>
      <c r="G839" s="953"/>
      <c r="H839" s="969"/>
      <c r="I839" s="998" t="s">
        <v>3315</v>
      </c>
      <c r="J839" s="982" t="s">
        <v>150</v>
      </c>
      <c r="K839" s="1194" t="s">
        <v>136</v>
      </c>
      <c r="L839" s="959">
        <v>62.0</v>
      </c>
      <c r="M839" s="960">
        <v>50.0</v>
      </c>
      <c r="N839" s="960">
        <v>58.0</v>
      </c>
      <c r="O839" s="960">
        <v>73.0</v>
      </c>
      <c r="P839" s="960">
        <v>54.0</v>
      </c>
      <c r="Q839" s="960">
        <v>72.0</v>
      </c>
      <c r="R839" s="960">
        <v>180.0</v>
      </c>
      <c r="S839" s="960">
        <v>243.0</v>
      </c>
      <c r="T839" s="960">
        <v>267.0</v>
      </c>
      <c r="U839" s="960">
        <f t="array" ref="U839">HLOOKUP($J839,'Type Chart'!$C$2:$T$20,2,false)*HLOOKUP($K839,'Type Chart'!$C$2:$U$20,2,false)</f>
        <v>1</v>
      </c>
      <c r="V839" s="960">
        <f t="array" ref="V839">HLOOKUP($J839,'Type Chart'!$C$2:$T$20,3,false)*HLOOKUP($K839,'Type Chart'!$C$2:$U$20,3,false)</f>
        <v>2</v>
      </c>
      <c r="W839" s="960">
        <f t="array" ref="W839">HLOOKUP($J839,'Type Chart'!$C$2:$T$20,4,false)*HLOOKUP($K839,'Type Chart'!$C$2:$U$20,4,false)</f>
        <v>1</v>
      </c>
      <c r="X839" s="960">
        <f t="array" ref="X839">HLOOKUP($J839,'Type Chart'!$C$2:$T$20,5,false)*HLOOKUP($K839,'Type Chart'!$C$2:$U$20,5,false)</f>
        <v>1</v>
      </c>
      <c r="Y839" s="960">
        <f t="array" ref="Y839">HLOOKUP($J839,'Type Chart'!$C$2:$T$20,6,false)*HLOOKUP($K839,'Type Chart'!$C$2:$U$20,6,false)</f>
        <v>2</v>
      </c>
      <c r="Z839" s="960">
        <f t="array" ref="Z839">HLOOKUP($J839,'Type Chart'!$C$2:$T$20,7,false)*HLOOKUP($K839,'Type Chart'!$C$2:$U$20,7,false)</f>
        <v>2</v>
      </c>
      <c r="AA839" s="960">
        <f t="array" ref="AA839">HLOOKUP($J839,'Type Chart'!$C$2:$T$20,8,false)*HLOOKUP($K839,'Type Chart'!$C$2:$U$20,8,false)</f>
        <v>0.5</v>
      </c>
      <c r="AB839" s="960">
        <f t="array" ref="AB839">HLOOKUP($J839,'Type Chart'!$C$2:$T$20,9,false)*HLOOKUP($K839,'Type Chart'!$C$2:$U$20,9,false)</f>
        <v>0</v>
      </c>
      <c r="AC839" s="960">
        <f t="array" ref="AC839">HLOOKUP($J839,'Type Chart'!$C$2:$T$20,10,false)*HLOOKUP($K839,'Type Chart'!$C$2:$U$20,10,false)</f>
        <v>0.5</v>
      </c>
      <c r="AD839" s="960">
        <f t="array" ref="AD839">HLOOKUP($J839,'Type Chart'!$C$2:$T$20,11,false)*HLOOKUP($K839,'Type Chart'!$C$2:$U$20,11,false)</f>
        <v>0.5</v>
      </c>
      <c r="AE839" s="960">
        <f t="array" ref="AE839">HLOOKUP($J839,'Type Chart'!$C$2:$T$20,12,false)*HLOOKUP($K839,'Type Chart'!$C$2:$U$20,12,false)</f>
        <v>2</v>
      </c>
      <c r="AF839" s="960">
        <f t="array" ref="AF839">HLOOKUP($J839,'Type Chart'!$C$2:$T$20,13,false)*HLOOKUP($K839,'Type Chart'!$C$2:$U$20,13,false)</f>
        <v>0.5</v>
      </c>
      <c r="AG839" s="960">
        <f t="array" ref="AG839">HLOOKUP($J839,'Type Chart'!$C$2:$T$20,14,false)*HLOOKUP($K839,'Type Chart'!$C$2:$U$20,14,false)</f>
        <v>1</v>
      </c>
      <c r="AH839" s="960">
        <f t="array" ref="AH839">HLOOKUP($J839,'Type Chart'!$C$2:$T$20,15,false)*HLOOKUP($K839,'Type Chart'!$C$2:$U$20,15,false)</f>
        <v>1</v>
      </c>
      <c r="AI839" s="960">
        <f t="array" ref="AI839">HLOOKUP($J839,'Type Chart'!$C$2:$T$20,16,false)*HLOOKUP($K839,'Type Chart'!$C$2:$U$20,16,false)</f>
        <v>0.5</v>
      </c>
      <c r="AJ839" s="960">
        <f t="array" ref="AJ839">HLOOKUP($J839,'Type Chart'!$C$2:$T$20,17,false)*HLOOKUP($K839,'Type Chart'!$C$2:$U$20,17,false)</f>
        <v>1</v>
      </c>
      <c r="AK839" s="960">
        <f t="array" ref="AK839">HLOOKUP($J839,'Type Chart'!$C$2:$T$20,18,false)*HLOOKUP($K839,'Type Chart'!$C$2:$U$20,18,false)</f>
        <v>1</v>
      </c>
      <c r="AL839" s="960">
        <f t="array" ref="AL839">HLOOKUP($J839,'Type Chart'!$C$2:$T$20,19,false)*HLOOKUP($K839,'Type Chart'!$C$2:$U$20,19,false)</f>
        <v>0.5</v>
      </c>
      <c r="AM839" s="964" t="s">
        <v>1147</v>
      </c>
      <c r="AN839" s="965" t="s">
        <v>1062</v>
      </c>
      <c r="AO839" s="966" t="s">
        <v>1577</v>
      </c>
      <c r="AP839" s="936"/>
      <c r="AQ839" s="967"/>
      <c r="AR839" s="968"/>
      <c r="AS839" s="936"/>
    </row>
    <row r="840" ht="15.75" customHeight="1">
      <c r="A840" s="936"/>
      <c r="B840" s="948" t="s">
        <v>3316</v>
      </c>
      <c r="C840" s="950" t="s">
        <v>3317</v>
      </c>
      <c r="D840" s="950" t="s">
        <v>3317</v>
      </c>
      <c r="E840" s="952" t="s">
        <v>3317</v>
      </c>
      <c r="F840" s="940"/>
      <c r="G840" s="953"/>
      <c r="H840" s="969"/>
      <c r="I840" s="998" t="s">
        <v>720</v>
      </c>
      <c r="J840" s="982" t="s">
        <v>150</v>
      </c>
      <c r="K840" s="1194" t="s">
        <v>136</v>
      </c>
      <c r="L840" s="959">
        <v>86.0</v>
      </c>
      <c r="M840" s="960">
        <v>68.0</v>
      </c>
      <c r="N840" s="960">
        <v>72.0</v>
      </c>
      <c r="O840" s="960">
        <v>109.0</v>
      </c>
      <c r="P840" s="960">
        <v>66.0</v>
      </c>
      <c r="Q840" s="960">
        <v>106.0</v>
      </c>
      <c r="R840" s="960">
        <v>248.0</v>
      </c>
      <c r="S840" s="960">
        <v>311.0</v>
      </c>
      <c r="T840" s="960">
        <v>342.0</v>
      </c>
      <c r="U840" s="960">
        <f t="array" ref="U840">HLOOKUP($J840,'Type Chart'!$C$2:$T$20,2,false)*HLOOKUP($K840,'Type Chart'!$C$2:$U$20,2,false)</f>
        <v>1</v>
      </c>
      <c r="V840" s="960">
        <f t="array" ref="V840">HLOOKUP($J840,'Type Chart'!$C$2:$T$20,3,false)*HLOOKUP($K840,'Type Chart'!$C$2:$U$20,3,false)</f>
        <v>2</v>
      </c>
      <c r="W840" s="960">
        <f t="array" ref="W840">HLOOKUP($J840,'Type Chart'!$C$2:$T$20,4,false)*HLOOKUP($K840,'Type Chart'!$C$2:$U$20,4,false)</f>
        <v>1</v>
      </c>
      <c r="X840" s="960">
        <f t="array" ref="X840">HLOOKUP($J840,'Type Chart'!$C$2:$T$20,5,false)*HLOOKUP($K840,'Type Chart'!$C$2:$U$20,5,false)</f>
        <v>1</v>
      </c>
      <c r="Y840" s="960">
        <f t="array" ref="Y840">HLOOKUP($J840,'Type Chart'!$C$2:$T$20,6,false)*HLOOKUP($K840,'Type Chart'!$C$2:$U$20,6,false)</f>
        <v>2</v>
      </c>
      <c r="Z840" s="960">
        <f t="array" ref="Z840">HLOOKUP($J840,'Type Chart'!$C$2:$T$20,7,false)*HLOOKUP($K840,'Type Chart'!$C$2:$U$20,7,false)</f>
        <v>2</v>
      </c>
      <c r="AA840" s="960">
        <f t="array" ref="AA840">HLOOKUP($J840,'Type Chart'!$C$2:$T$20,8,false)*HLOOKUP($K840,'Type Chart'!$C$2:$U$20,8,false)</f>
        <v>0.5</v>
      </c>
      <c r="AB840" s="960">
        <f t="array" ref="AB840">HLOOKUP($J840,'Type Chart'!$C$2:$T$20,9,false)*HLOOKUP($K840,'Type Chart'!$C$2:$U$20,9,false)</f>
        <v>0</v>
      </c>
      <c r="AC840" s="960">
        <f t="array" ref="AC840">HLOOKUP($J840,'Type Chart'!$C$2:$T$20,10,false)*HLOOKUP($K840,'Type Chart'!$C$2:$U$20,10,false)</f>
        <v>0.5</v>
      </c>
      <c r="AD840" s="960">
        <f t="array" ref="AD840">HLOOKUP($J840,'Type Chart'!$C$2:$T$20,11,false)*HLOOKUP($K840,'Type Chart'!$C$2:$U$20,11,false)</f>
        <v>0.5</v>
      </c>
      <c r="AE840" s="960">
        <f t="array" ref="AE840">HLOOKUP($J840,'Type Chart'!$C$2:$T$20,12,false)*HLOOKUP($K840,'Type Chart'!$C$2:$U$20,12,false)</f>
        <v>2</v>
      </c>
      <c r="AF840" s="960">
        <f t="array" ref="AF840">HLOOKUP($J840,'Type Chart'!$C$2:$T$20,13,false)*HLOOKUP($K840,'Type Chart'!$C$2:$U$20,13,false)</f>
        <v>0.5</v>
      </c>
      <c r="AG840" s="960">
        <f t="array" ref="AG840">HLOOKUP($J840,'Type Chart'!$C$2:$T$20,14,false)*HLOOKUP($K840,'Type Chart'!$C$2:$U$20,14,false)</f>
        <v>1</v>
      </c>
      <c r="AH840" s="960">
        <f t="array" ref="AH840">HLOOKUP($J840,'Type Chart'!$C$2:$T$20,15,false)*HLOOKUP($K840,'Type Chart'!$C$2:$U$20,15,false)</f>
        <v>1</v>
      </c>
      <c r="AI840" s="960">
        <f t="array" ref="AI840">HLOOKUP($J840,'Type Chart'!$C$2:$T$20,16,false)*HLOOKUP($K840,'Type Chart'!$C$2:$U$20,16,false)</f>
        <v>0.5</v>
      </c>
      <c r="AJ840" s="960">
        <f t="array" ref="AJ840">HLOOKUP($J840,'Type Chart'!$C$2:$T$20,17,false)*HLOOKUP($K840,'Type Chart'!$C$2:$U$20,17,false)</f>
        <v>1</v>
      </c>
      <c r="AK840" s="960">
        <f t="array" ref="AK840">HLOOKUP($J840,'Type Chart'!$C$2:$T$20,18,false)*HLOOKUP($K840,'Type Chart'!$C$2:$U$20,18,false)</f>
        <v>1</v>
      </c>
      <c r="AL840" s="960">
        <f t="array" ref="AL840">HLOOKUP($J840,'Type Chart'!$C$2:$T$20,19,false)*HLOOKUP($K840,'Type Chart'!$C$2:$U$20,19,false)</f>
        <v>0.5</v>
      </c>
      <c r="AM840" s="964" t="s">
        <v>1147</v>
      </c>
      <c r="AN840" s="965" t="s">
        <v>1062</v>
      </c>
      <c r="AO840" s="966" t="s">
        <v>1577</v>
      </c>
      <c r="AP840" s="936"/>
      <c r="AQ840" s="967"/>
      <c r="AR840" s="968"/>
      <c r="AS840" s="936"/>
    </row>
    <row r="841" ht="15.75" customHeight="1">
      <c r="A841" s="936"/>
      <c r="B841" s="948" t="s">
        <v>3318</v>
      </c>
      <c r="C841" s="950" t="s">
        <v>3319</v>
      </c>
      <c r="D841" s="950" t="s">
        <v>3319</v>
      </c>
      <c r="E841" s="952" t="s">
        <v>3319</v>
      </c>
      <c r="F841" s="940"/>
      <c r="G841" s="953"/>
      <c r="H841" s="969"/>
      <c r="I841" s="998" t="s">
        <v>3320</v>
      </c>
      <c r="J841" s="1207" t="s">
        <v>127</v>
      </c>
      <c r="K841" s="984" t="s">
        <v>216</v>
      </c>
      <c r="L841" s="959">
        <v>44.0</v>
      </c>
      <c r="M841" s="960">
        <v>38.0</v>
      </c>
      <c r="N841" s="960">
        <v>39.0</v>
      </c>
      <c r="O841" s="960">
        <v>61.0</v>
      </c>
      <c r="P841" s="960">
        <v>79.0</v>
      </c>
      <c r="Q841" s="960">
        <v>42.0</v>
      </c>
      <c r="R841" s="960">
        <v>120.0</v>
      </c>
      <c r="S841" s="960">
        <v>183.0</v>
      </c>
      <c r="T841" s="960">
        <v>201.0</v>
      </c>
      <c r="U841" s="960">
        <f t="array" ref="U841">HLOOKUP($J841,'Type Chart'!$C$2:$T$20,2,false)*HLOOKUP($K841,'Type Chart'!$C$2:$U$20,2,false)</f>
        <v>1</v>
      </c>
      <c r="V841" s="960">
        <f t="array" ref="V841">HLOOKUP($J841,'Type Chart'!$C$2:$T$20,3,false)*HLOOKUP($K841,'Type Chart'!$C$2:$U$20,3,false)</f>
        <v>0.5</v>
      </c>
      <c r="W841" s="960">
        <f t="array" ref="W841">HLOOKUP($J841,'Type Chart'!$C$2:$T$20,4,false)*HLOOKUP($K841,'Type Chart'!$C$2:$U$20,4,false)</f>
        <v>1</v>
      </c>
      <c r="X841" s="960">
        <f t="array" ref="X841">HLOOKUP($J841,'Type Chart'!$C$2:$T$20,5,false)*HLOOKUP($K841,'Type Chart'!$C$2:$U$20,5,false)</f>
        <v>2</v>
      </c>
      <c r="Y841" s="960">
        <f t="array" ref="Y841">HLOOKUP($J841,'Type Chart'!$C$2:$T$20,6,false)*HLOOKUP($K841,'Type Chart'!$C$2:$U$20,6,false)</f>
        <v>1</v>
      </c>
      <c r="Z841" s="960">
        <f t="array" ref="Z841">HLOOKUP($J841,'Type Chart'!$C$2:$T$20,7,false)*HLOOKUP($K841,'Type Chart'!$C$2:$U$20,7,false)</f>
        <v>1</v>
      </c>
      <c r="AA841" s="960">
        <f t="array" ref="AA841">HLOOKUP($J841,'Type Chart'!$C$2:$T$20,8,false)*HLOOKUP($K841,'Type Chart'!$C$2:$U$20,8,false)</f>
        <v>0.5</v>
      </c>
      <c r="AB841" s="960">
        <f t="array" ref="AB841">HLOOKUP($J841,'Type Chart'!$C$2:$T$20,9,false)*HLOOKUP($K841,'Type Chart'!$C$2:$U$20,9,false)</f>
        <v>1</v>
      </c>
      <c r="AC841" s="960">
        <f t="array" ref="AC841">HLOOKUP($J841,'Type Chart'!$C$2:$T$20,10,false)*HLOOKUP($K841,'Type Chart'!$C$2:$U$20,10,false)</f>
        <v>2</v>
      </c>
      <c r="AD841" s="960">
        <f t="array" ref="AD841">HLOOKUP($J841,'Type Chart'!$C$2:$T$20,11,false)*HLOOKUP($K841,'Type Chart'!$C$2:$U$20,11,false)</f>
        <v>1</v>
      </c>
      <c r="AE841" s="960">
        <f t="array" ref="AE841">HLOOKUP($J841,'Type Chart'!$C$2:$T$20,12,false)*HLOOKUP($K841,'Type Chart'!$C$2:$U$20,12,false)</f>
        <v>1</v>
      </c>
      <c r="AF841" s="960">
        <f t="array" ref="AF841">HLOOKUP($J841,'Type Chart'!$C$2:$T$20,13,false)*HLOOKUP($K841,'Type Chart'!$C$2:$U$20,13,false)</f>
        <v>1</v>
      </c>
      <c r="AG841" s="960">
        <f t="array" ref="AG841">HLOOKUP($J841,'Type Chart'!$C$2:$T$20,14,false)*HLOOKUP($K841,'Type Chart'!$C$2:$U$20,14,false)</f>
        <v>1</v>
      </c>
      <c r="AH841" s="960">
        <f t="array" ref="AH841">HLOOKUP($J841,'Type Chart'!$C$2:$T$20,15,false)*HLOOKUP($K841,'Type Chart'!$C$2:$U$20,15,false)</f>
        <v>1</v>
      </c>
      <c r="AI841" s="960">
        <f t="array" ref="AI841">HLOOKUP($J841,'Type Chart'!$C$2:$T$20,16,false)*HLOOKUP($K841,'Type Chart'!$C$2:$U$20,16,false)</f>
        <v>1</v>
      </c>
      <c r="AJ841" s="960">
        <f t="array" ref="AJ841">HLOOKUP($J841,'Type Chart'!$C$2:$T$20,17,false)*HLOOKUP($K841,'Type Chart'!$C$2:$U$20,17,false)</f>
        <v>0</v>
      </c>
      <c r="AK841" s="960">
        <f t="array" ref="AK841">HLOOKUP($J841,'Type Chart'!$C$2:$T$20,18,false)*HLOOKUP($K841,'Type Chart'!$C$2:$U$20,18,false)</f>
        <v>0.5</v>
      </c>
      <c r="AL841" s="960">
        <f t="array" ref="AL841">HLOOKUP($J841,'Type Chart'!$C$2:$T$20,19,false)*HLOOKUP($K841,'Type Chart'!$C$2:$U$20,19,false)</f>
        <v>1</v>
      </c>
      <c r="AM841" s="964" t="s">
        <v>3321</v>
      </c>
      <c r="AN841" s="965"/>
      <c r="AO841" s="966" t="s">
        <v>3322</v>
      </c>
      <c r="AP841" s="936"/>
      <c r="AQ841" s="967"/>
      <c r="AR841" s="968"/>
      <c r="AS841" s="936"/>
    </row>
    <row r="842" ht="15.75" customHeight="1">
      <c r="A842" s="936"/>
      <c r="B842" s="948" t="s">
        <v>3323</v>
      </c>
      <c r="C842" s="950" t="s">
        <v>3324</v>
      </c>
      <c r="D842" s="950" t="s">
        <v>3324</v>
      </c>
      <c r="E842" s="952" t="s">
        <v>3324</v>
      </c>
      <c r="F842" s="940"/>
      <c r="G842" s="953"/>
      <c r="H842" s="969"/>
      <c r="I842" s="998" t="s">
        <v>3325</v>
      </c>
      <c r="J842" s="1207" t="s">
        <v>127</v>
      </c>
      <c r="K842" s="984" t="s">
        <v>216</v>
      </c>
      <c r="L842" s="959">
        <v>54.0</v>
      </c>
      <c r="M842" s="960">
        <v>45.0</v>
      </c>
      <c r="N842" s="960">
        <v>47.0</v>
      </c>
      <c r="O842" s="960">
        <v>75.0</v>
      </c>
      <c r="P842" s="960">
        <v>98.0</v>
      </c>
      <c r="Q842" s="960">
        <v>52.0</v>
      </c>
      <c r="R842" s="960">
        <v>140.0</v>
      </c>
      <c r="S842" s="960">
        <v>203.0</v>
      </c>
      <c r="T842" s="960">
        <v>223.0</v>
      </c>
      <c r="U842" s="960">
        <f t="array" ref="U842">HLOOKUP($J842,'Type Chart'!$C$2:$T$20,2,false)*HLOOKUP($K842,'Type Chart'!$C$2:$U$20,2,false)</f>
        <v>1</v>
      </c>
      <c r="V842" s="960">
        <f t="array" ref="V842">HLOOKUP($J842,'Type Chart'!$C$2:$T$20,3,false)*HLOOKUP($K842,'Type Chart'!$C$2:$U$20,3,false)</f>
        <v>0.5</v>
      </c>
      <c r="W842" s="960">
        <f t="array" ref="W842">HLOOKUP($J842,'Type Chart'!$C$2:$T$20,4,false)*HLOOKUP($K842,'Type Chart'!$C$2:$U$20,4,false)</f>
        <v>1</v>
      </c>
      <c r="X842" s="960">
        <f t="array" ref="X842">HLOOKUP($J842,'Type Chart'!$C$2:$T$20,5,false)*HLOOKUP($K842,'Type Chart'!$C$2:$U$20,5,false)</f>
        <v>2</v>
      </c>
      <c r="Y842" s="960">
        <f t="array" ref="Y842">HLOOKUP($J842,'Type Chart'!$C$2:$T$20,6,false)*HLOOKUP($K842,'Type Chart'!$C$2:$U$20,6,false)</f>
        <v>1</v>
      </c>
      <c r="Z842" s="960">
        <f t="array" ref="Z842">HLOOKUP($J842,'Type Chart'!$C$2:$T$20,7,false)*HLOOKUP($K842,'Type Chart'!$C$2:$U$20,7,false)</f>
        <v>1</v>
      </c>
      <c r="AA842" s="960">
        <f t="array" ref="AA842">HLOOKUP($J842,'Type Chart'!$C$2:$T$20,8,false)*HLOOKUP($K842,'Type Chart'!$C$2:$U$20,8,false)</f>
        <v>0.5</v>
      </c>
      <c r="AB842" s="960">
        <f t="array" ref="AB842">HLOOKUP($J842,'Type Chart'!$C$2:$T$20,9,false)*HLOOKUP($K842,'Type Chart'!$C$2:$U$20,9,false)</f>
        <v>1</v>
      </c>
      <c r="AC842" s="960">
        <f t="array" ref="AC842">HLOOKUP($J842,'Type Chart'!$C$2:$T$20,10,false)*HLOOKUP($K842,'Type Chart'!$C$2:$U$20,10,false)</f>
        <v>2</v>
      </c>
      <c r="AD842" s="960">
        <f t="array" ref="AD842">HLOOKUP($J842,'Type Chart'!$C$2:$T$20,11,false)*HLOOKUP($K842,'Type Chart'!$C$2:$U$20,11,false)</f>
        <v>1</v>
      </c>
      <c r="AE842" s="960">
        <f t="array" ref="AE842">HLOOKUP($J842,'Type Chart'!$C$2:$T$20,12,false)*HLOOKUP($K842,'Type Chart'!$C$2:$U$20,12,false)</f>
        <v>1</v>
      </c>
      <c r="AF842" s="960">
        <f t="array" ref="AF842">HLOOKUP($J842,'Type Chart'!$C$2:$T$20,13,false)*HLOOKUP($K842,'Type Chart'!$C$2:$U$20,13,false)</f>
        <v>1</v>
      </c>
      <c r="AG842" s="960">
        <f t="array" ref="AG842">HLOOKUP($J842,'Type Chart'!$C$2:$T$20,14,false)*HLOOKUP($K842,'Type Chart'!$C$2:$U$20,14,false)</f>
        <v>1</v>
      </c>
      <c r="AH842" s="960">
        <f t="array" ref="AH842">HLOOKUP($J842,'Type Chart'!$C$2:$T$20,15,false)*HLOOKUP($K842,'Type Chart'!$C$2:$U$20,15,false)</f>
        <v>1</v>
      </c>
      <c r="AI842" s="960">
        <f t="array" ref="AI842">HLOOKUP($J842,'Type Chart'!$C$2:$T$20,16,false)*HLOOKUP($K842,'Type Chart'!$C$2:$U$20,16,false)</f>
        <v>1</v>
      </c>
      <c r="AJ842" s="960">
        <f t="array" ref="AJ842">HLOOKUP($J842,'Type Chart'!$C$2:$T$20,17,false)*HLOOKUP($K842,'Type Chart'!$C$2:$U$20,17,false)</f>
        <v>0</v>
      </c>
      <c r="AK842" s="960">
        <f t="array" ref="AK842">HLOOKUP($J842,'Type Chart'!$C$2:$T$20,18,false)*HLOOKUP($K842,'Type Chart'!$C$2:$U$20,18,false)</f>
        <v>0.5</v>
      </c>
      <c r="AL842" s="960">
        <f t="array" ref="AL842">HLOOKUP($J842,'Type Chart'!$C$2:$T$20,19,false)*HLOOKUP($K842,'Type Chart'!$C$2:$U$20,19,false)</f>
        <v>1</v>
      </c>
      <c r="AM842" s="964" t="s">
        <v>3321</v>
      </c>
      <c r="AN842" s="965"/>
      <c r="AO842" s="966" t="s">
        <v>3322</v>
      </c>
      <c r="AP842" s="936"/>
      <c r="AQ842" s="967"/>
      <c r="AR842" s="968"/>
      <c r="AS842" s="936"/>
    </row>
    <row r="843" ht="15.75" customHeight="1">
      <c r="A843" s="936"/>
      <c r="B843" s="948" t="s">
        <v>3326</v>
      </c>
      <c r="C843" s="950" t="s">
        <v>3327</v>
      </c>
      <c r="D843" s="950" t="s">
        <v>3327</v>
      </c>
      <c r="E843" s="952" t="s">
        <v>3327</v>
      </c>
      <c r="F843" s="940"/>
      <c r="G843" s="953"/>
      <c r="H843" s="969"/>
      <c r="I843" s="956" t="s">
        <v>3328</v>
      </c>
      <c r="J843" s="1207" t="s">
        <v>127</v>
      </c>
      <c r="K843" s="984" t="s">
        <v>216</v>
      </c>
      <c r="L843" s="959">
        <v>74.0</v>
      </c>
      <c r="M843" s="960">
        <v>65.0</v>
      </c>
      <c r="N843" s="960">
        <v>67.0</v>
      </c>
      <c r="O843" s="960">
        <v>125.0</v>
      </c>
      <c r="P843" s="960">
        <v>128.0</v>
      </c>
      <c r="Q843" s="960">
        <v>92.0</v>
      </c>
      <c r="R843" s="960">
        <v>220.0</v>
      </c>
      <c r="S843" s="960">
        <v>283.0</v>
      </c>
      <c r="T843" s="960">
        <v>311.0</v>
      </c>
      <c r="U843" s="960">
        <f t="array" ref="U843">HLOOKUP($J843,'Type Chart'!$C$2:$T$20,2,false)*HLOOKUP($K843,'Type Chart'!$C$2:$U$20,2,false)</f>
        <v>1</v>
      </c>
      <c r="V843" s="960">
        <f t="array" ref="V843">HLOOKUP($J843,'Type Chart'!$C$2:$T$20,3,false)*HLOOKUP($K843,'Type Chart'!$C$2:$U$20,3,false)</f>
        <v>0.5</v>
      </c>
      <c r="W843" s="960">
        <f t="array" ref="W843">HLOOKUP($J843,'Type Chart'!$C$2:$T$20,4,false)*HLOOKUP($K843,'Type Chart'!$C$2:$U$20,4,false)</f>
        <v>1</v>
      </c>
      <c r="X843" s="960">
        <f t="array" ref="X843">HLOOKUP($J843,'Type Chart'!$C$2:$T$20,5,false)*HLOOKUP($K843,'Type Chart'!$C$2:$U$20,5,false)</f>
        <v>2</v>
      </c>
      <c r="Y843" s="960">
        <f t="array" ref="Y843">HLOOKUP($J843,'Type Chart'!$C$2:$T$20,6,false)*HLOOKUP($K843,'Type Chart'!$C$2:$U$20,6,false)</f>
        <v>1</v>
      </c>
      <c r="Z843" s="960">
        <f t="array" ref="Z843">HLOOKUP($J843,'Type Chart'!$C$2:$T$20,7,false)*HLOOKUP($K843,'Type Chart'!$C$2:$U$20,7,false)</f>
        <v>1</v>
      </c>
      <c r="AA843" s="960">
        <f t="array" ref="AA843">HLOOKUP($J843,'Type Chart'!$C$2:$T$20,8,false)*HLOOKUP($K843,'Type Chart'!$C$2:$U$20,8,false)</f>
        <v>0.5</v>
      </c>
      <c r="AB843" s="960">
        <f t="array" ref="AB843">HLOOKUP($J843,'Type Chart'!$C$2:$T$20,9,false)*HLOOKUP($K843,'Type Chart'!$C$2:$U$20,9,false)</f>
        <v>1</v>
      </c>
      <c r="AC843" s="960">
        <f t="array" ref="AC843">HLOOKUP($J843,'Type Chart'!$C$2:$T$20,10,false)*HLOOKUP($K843,'Type Chart'!$C$2:$U$20,10,false)</f>
        <v>2</v>
      </c>
      <c r="AD843" s="960">
        <f t="array" ref="AD843">HLOOKUP($J843,'Type Chart'!$C$2:$T$20,11,false)*HLOOKUP($K843,'Type Chart'!$C$2:$U$20,11,false)</f>
        <v>1</v>
      </c>
      <c r="AE843" s="960">
        <f t="array" ref="AE843">HLOOKUP($J843,'Type Chart'!$C$2:$T$20,12,false)*HLOOKUP($K843,'Type Chart'!$C$2:$U$20,12,false)</f>
        <v>1</v>
      </c>
      <c r="AF843" s="960">
        <f t="array" ref="AF843">HLOOKUP($J843,'Type Chart'!$C$2:$T$20,13,false)*HLOOKUP($K843,'Type Chart'!$C$2:$U$20,13,false)</f>
        <v>1</v>
      </c>
      <c r="AG843" s="960">
        <f t="array" ref="AG843">HLOOKUP($J843,'Type Chart'!$C$2:$T$20,14,false)*HLOOKUP($K843,'Type Chart'!$C$2:$U$20,14,false)</f>
        <v>1</v>
      </c>
      <c r="AH843" s="960">
        <f t="array" ref="AH843">HLOOKUP($J843,'Type Chart'!$C$2:$T$20,15,false)*HLOOKUP($K843,'Type Chart'!$C$2:$U$20,15,false)</f>
        <v>1</v>
      </c>
      <c r="AI843" s="960">
        <f t="array" ref="AI843">HLOOKUP($J843,'Type Chart'!$C$2:$T$20,16,false)*HLOOKUP($K843,'Type Chart'!$C$2:$U$20,16,false)</f>
        <v>1</v>
      </c>
      <c r="AJ843" s="960">
        <f t="array" ref="AJ843">HLOOKUP($J843,'Type Chart'!$C$2:$T$20,17,false)*HLOOKUP($K843,'Type Chart'!$C$2:$U$20,17,false)</f>
        <v>0</v>
      </c>
      <c r="AK843" s="960">
        <f t="array" ref="AK843">HLOOKUP($J843,'Type Chart'!$C$2:$T$20,18,false)*HLOOKUP($K843,'Type Chart'!$C$2:$U$20,18,false)</f>
        <v>0.5</v>
      </c>
      <c r="AL843" s="960">
        <f t="array" ref="AL843">HLOOKUP($J843,'Type Chart'!$C$2:$T$20,19,false)*HLOOKUP($K843,'Type Chart'!$C$2:$U$20,19,false)</f>
        <v>1</v>
      </c>
      <c r="AM843" s="964" t="s">
        <v>3321</v>
      </c>
      <c r="AN843" s="965"/>
      <c r="AO843" s="966"/>
      <c r="AP843" s="936"/>
      <c r="AQ843" s="967"/>
      <c r="AR843" s="968"/>
      <c r="AS843" s="936"/>
    </row>
    <row r="844" ht="15.75" customHeight="1">
      <c r="A844" s="936"/>
      <c r="B844" s="948" t="s">
        <v>3329</v>
      </c>
      <c r="C844" s="950" t="s">
        <v>3330</v>
      </c>
      <c r="D844" s="950" t="s">
        <v>3330</v>
      </c>
      <c r="E844" s="952" t="s">
        <v>3330</v>
      </c>
      <c r="F844" s="940"/>
      <c r="G844" s="953"/>
      <c r="H844" s="969"/>
      <c r="I844" s="956" t="s">
        <v>537</v>
      </c>
      <c r="J844" s="1207" t="s">
        <v>127</v>
      </c>
      <c r="K844" s="984" t="s">
        <v>216</v>
      </c>
      <c r="L844" s="959">
        <v>78.0</v>
      </c>
      <c r="M844" s="960">
        <v>65.0</v>
      </c>
      <c r="N844" s="960">
        <v>68.0</v>
      </c>
      <c r="O844" s="960">
        <v>112.0</v>
      </c>
      <c r="P844" s="960">
        <v>154.0</v>
      </c>
      <c r="Q844" s="960">
        <v>75.0</v>
      </c>
      <c r="R844" s="960">
        <v>186.0</v>
      </c>
      <c r="S844" s="960">
        <v>249.0</v>
      </c>
      <c r="T844" s="960">
        <v>273.0</v>
      </c>
      <c r="U844" s="960">
        <f t="array" ref="U844">HLOOKUP($J844,'Type Chart'!$C$2:$T$20,2,false)*HLOOKUP($K844,'Type Chart'!$C$2:$U$20,2,false)</f>
        <v>1</v>
      </c>
      <c r="V844" s="960">
        <f t="array" ref="V844">HLOOKUP($J844,'Type Chart'!$C$2:$T$20,3,false)*HLOOKUP($K844,'Type Chart'!$C$2:$U$20,3,false)</f>
        <v>0.5</v>
      </c>
      <c r="W844" s="960">
        <f t="array" ref="W844">HLOOKUP($J844,'Type Chart'!$C$2:$T$20,4,false)*HLOOKUP($K844,'Type Chart'!$C$2:$U$20,4,false)</f>
        <v>1</v>
      </c>
      <c r="X844" s="960">
        <f t="array" ref="X844">HLOOKUP($J844,'Type Chart'!$C$2:$T$20,5,false)*HLOOKUP($K844,'Type Chart'!$C$2:$U$20,5,false)</f>
        <v>2</v>
      </c>
      <c r="Y844" s="960">
        <f t="array" ref="Y844">HLOOKUP($J844,'Type Chart'!$C$2:$T$20,6,false)*HLOOKUP($K844,'Type Chart'!$C$2:$U$20,6,false)</f>
        <v>1</v>
      </c>
      <c r="Z844" s="960">
        <f t="array" ref="Z844">HLOOKUP($J844,'Type Chart'!$C$2:$T$20,7,false)*HLOOKUP($K844,'Type Chart'!$C$2:$U$20,7,false)</f>
        <v>1</v>
      </c>
      <c r="AA844" s="960">
        <f t="array" ref="AA844">HLOOKUP($J844,'Type Chart'!$C$2:$T$20,8,false)*HLOOKUP($K844,'Type Chart'!$C$2:$U$20,8,false)</f>
        <v>0.5</v>
      </c>
      <c r="AB844" s="960">
        <f t="array" ref="AB844">HLOOKUP($J844,'Type Chart'!$C$2:$T$20,9,false)*HLOOKUP($K844,'Type Chart'!$C$2:$U$20,9,false)</f>
        <v>1</v>
      </c>
      <c r="AC844" s="960">
        <f t="array" ref="AC844">HLOOKUP($J844,'Type Chart'!$C$2:$T$20,10,false)*HLOOKUP($K844,'Type Chart'!$C$2:$U$20,10,false)</f>
        <v>2</v>
      </c>
      <c r="AD844" s="960">
        <f t="array" ref="AD844">HLOOKUP($J844,'Type Chart'!$C$2:$T$20,11,false)*HLOOKUP($K844,'Type Chart'!$C$2:$U$20,11,false)</f>
        <v>1</v>
      </c>
      <c r="AE844" s="960">
        <f t="array" ref="AE844">HLOOKUP($J844,'Type Chart'!$C$2:$T$20,12,false)*HLOOKUP($K844,'Type Chart'!$C$2:$U$20,12,false)</f>
        <v>1</v>
      </c>
      <c r="AF844" s="960">
        <f t="array" ref="AF844">HLOOKUP($J844,'Type Chart'!$C$2:$T$20,13,false)*HLOOKUP($K844,'Type Chart'!$C$2:$U$20,13,false)</f>
        <v>1</v>
      </c>
      <c r="AG844" s="960">
        <f t="array" ref="AG844">HLOOKUP($J844,'Type Chart'!$C$2:$T$20,14,false)*HLOOKUP($K844,'Type Chart'!$C$2:$U$20,14,false)</f>
        <v>1</v>
      </c>
      <c r="AH844" s="960">
        <f t="array" ref="AH844">HLOOKUP($J844,'Type Chart'!$C$2:$T$20,15,false)*HLOOKUP($K844,'Type Chart'!$C$2:$U$20,15,false)</f>
        <v>1</v>
      </c>
      <c r="AI844" s="960">
        <f t="array" ref="AI844">HLOOKUP($J844,'Type Chart'!$C$2:$T$20,16,false)*HLOOKUP($K844,'Type Chart'!$C$2:$U$20,16,false)</f>
        <v>1</v>
      </c>
      <c r="AJ844" s="960">
        <f t="array" ref="AJ844">HLOOKUP($J844,'Type Chart'!$C$2:$T$20,17,false)*HLOOKUP($K844,'Type Chart'!$C$2:$U$20,17,false)</f>
        <v>0</v>
      </c>
      <c r="AK844" s="960">
        <f t="array" ref="AK844">HLOOKUP($J844,'Type Chart'!$C$2:$T$20,18,false)*HLOOKUP($K844,'Type Chart'!$C$2:$U$20,18,false)</f>
        <v>0.5</v>
      </c>
      <c r="AL844" s="960">
        <f t="array" ref="AL844">HLOOKUP($J844,'Type Chart'!$C$2:$T$20,19,false)*HLOOKUP($K844,'Type Chart'!$C$2:$U$20,19,false)</f>
        <v>1</v>
      </c>
      <c r="AM844" s="964" t="s">
        <v>3321</v>
      </c>
      <c r="AN844" s="965"/>
      <c r="AO844" s="966" t="s">
        <v>3322</v>
      </c>
      <c r="AP844" s="936"/>
      <c r="AQ844" s="967"/>
      <c r="AR844" s="968"/>
      <c r="AS844" s="936"/>
    </row>
    <row r="845" ht="15.75" customHeight="1">
      <c r="A845" s="1099"/>
      <c r="B845" s="948" t="s">
        <v>3331</v>
      </c>
      <c r="C845" s="950" t="s">
        <v>3332</v>
      </c>
      <c r="D845" s="950" t="s">
        <v>3332</v>
      </c>
      <c r="E845" s="952" t="s">
        <v>3332</v>
      </c>
      <c r="F845" s="940"/>
      <c r="G845" s="953"/>
      <c r="H845" s="969"/>
      <c r="I845" s="956" t="s">
        <v>3333</v>
      </c>
      <c r="J845" s="957" t="s">
        <v>209</v>
      </c>
      <c r="K845" s="984" t="s">
        <v>216</v>
      </c>
      <c r="L845" s="959">
        <v>66.0</v>
      </c>
      <c r="M845" s="960">
        <v>65.0</v>
      </c>
      <c r="N845" s="960">
        <v>48.0</v>
      </c>
      <c r="O845" s="960">
        <v>62.0</v>
      </c>
      <c r="P845" s="960">
        <v>57.0</v>
      </c>
      <c r="Q845" s="960">
        <v>52.0</v>
      </c>
      <c r="R845" s="960">
        <v>140.0</v>
      </c>
      <c r="S845" s="960">
        <v>203.0</v>
      </c>
      <c r="T845" s="960">
        <v>223.0</v>
      </c>
      <c r="U845" s="960">
        <f t="array" ref="U845">HLOOKUP($J845,'Type Chart'!$C$2:$T$20,2,false)*HLOOKUP($K845,'Type Chart'!$C$2:$U$20,2,false)</f>
        <v>1</v>
      </c>
      <c r="V845" s="960">
        <f t="array" ref="V845">HLOOKUP($J845,'Type Chart'!$C$2:$T$20,3,false)*HLOOKUP($K845,'Type Chart'!$C$2:$U$20,3,false)</f>
        <v>1</v>
      </c>
      <c r="W845" s="960">
        <f t="array" ref="W845">HLOOKUP($J845,'Type Chart'!$C$2:$T$20,4,false)*HLOOKUP($K845,'Type Chart'!$C$2:$U$20,4,false)</f>
        <v>2</v>
      </c>
      <c r="X845" s="960">
        <f t="array" ref="X845">HLOOKUP($J845,'Type Chart'!$C$2:$T$20,5,false)*HLOOKUP($K845,'Type Chart'!$C$2:$U$20,5,false)</f>
        <v>2</v>
      </c>
      <c r="Y845" s="960">
        <f t="array" ref="Y845">HLOOKUP($J845,'Type Chart'!$C$2:$T$20,6,false)*HLOOKUP($K845,'Type Chart'!$C$2:$U$20,6,false)</f>
        <v>0.5</v>
      </c>
      <c r="Z845" s="960">
        <f t="array" ref="Z845">HLOOKUP($J845,'Type Chart'!$C$2:$T$20,7,false)*HLOOKUP($K845,'Type Chart'!$C$2:$U$20,7,false)</f>
        <v>1</v>
      </c>
      <c r="AA845" s="960">
        <f t="array" ref="AA845">HLOOKUP($J845,'Type Chart'!$C$2:$T$20,8,false)*HLOOKUP($K845,'Type Chart'!$C$2:$U$20,8,false)</f>
        <v>2</v>
      </c>
      <c r="AB845" s="960">
        <f t="array" ref="AB845">HLOOKUP($J845,'Type Chart'!$C$2:$T$20,9,false)*HLOOKUP($K845,'Type Chart'!$C$2:$U$20,9,false)</f>
        <v>1</v>
      </c>
      <c r="AC845" s="960">
        <f t="array" ref="AC845">HLOOKUP($J845,'Type Chart'!$C$2:$T$20,10,false)*HLOOKUP($K845,'Type Chart'!$C$2:$U$20,10,false)</f>
        <v>1</v>
      </c>
      <c r="AD845" s="960">
        <f t="array" ref="AD845">HLOOKUP($J845,'Type Chart'!$C$2:$T$20,11,false)*HLOOKUP($K845,'Type Chart'!$C$2:$U$20,11,false)</f>
        <v>2</v>
      </c>
      <c r="AE845" s="960">
        <f t="array" ref="AE845">HLOOKUP($J845,'Type Chart'!$C$2:$T$20,12,false)*HLOOKUP($K845,'Type Chart'!$C$2:$U$20,12,false)</f>
        <v>0.5</v>
      </c>
      <c r="AF845" s="960">
        <f t="array" ref="AF845">HLOOKUP($J845,'Type Chart'!$C$2:$T$20,13,false)*HLOOKUP($K845,'Type Chart'!$C$2:$U$20,13,false)</f>
        <v>0.5</v>
      </c>
      <c r="AG845" s="960">
        <f t="array" ref="AG845">HLOOKUP($J845,'Type Chart'!$C$2:$T$20,14,false)*HLOOKUP($K845,'Type Chart'!$C$2:$U$20,14,false)</f>
        <v>0.5</v>
      </c>
      <c r="AH845" s="960">
        <f t="array" ref="AH845">HLOOKUP($J845,'Type Chart'!$C$2:$T$20,15,false)*HLOOKUP($K845,'Type Chart'!$C$2:$U$20,15,false)</f>
        <v>1</v>
      </c>
      <c r="AI845" s="960">
        <f t="array" ref="AI845">HLOOKUP($J845,'Type Chart'!$C$2:$T$20,16,false)*HLOOKUP($K845,'Type Chart'!$C$2:$U$20,16,false)</f>
        <v>2</v>
      </c>
      <c r="AJ845" s="960">
        <f t="array" ref="AJ845">HLOOKUP($J845,'Type Chart'!$C$2:$T$20,17,false)*HLOOKUP($K845,'Type Chart'!$C$2:$U$20,17,false)</f>
        <v>1</v>
      </c>
      <c r="AK845" s="960">
        <f t="array" ref="AK845">HLOOKUP($J845,'Type Chart'!$C$2:$T$20,18,false)*HLOOKUP($K845,'Type Chart'!$C$2:$U$20,18,false)</f>
        <v>1</v>
      </c>
      <c r="AL845" s="960">
        <f t="array" ref="AL845">HLOOKUP($J845,'Type Chart'!$C$2:$T$20,19,false)*HLOOKUP($K845,'Type Chart'!$C$2:$U$20,19,false)</f>
        <v>1</v>
      </c>
      <c r="AM845" s="1145" t="s">
        <v>1772</v>
      </c>
      <c r="AN845" s="965"/>
      <c r="AO845" s="1146" t="s">
        <v>3334</v>
      </c>
      <c r="AP845" s="936"/>
      <c r="AQ845" s="967"/>
      <c r="AR845" s="968"/>
      <c r="AS845" s="936"/>
    </row>
    <row r="846" ht="15.75" customHeight="1">
      <c r="A846" s="936"/>
      <c r="B846" s="948" t="s">
        <v>3335</v>
      </c>
      <c r="C846" s="950" t="s">
        <v>3336</v>
      </c>
      <c r="D846" s="950" t="s">
        <v>3336</v>
      </c>
      <c r="E846" s="952" t="s">
        <v>3336</v>
      </c>
      <c r="F846" s="940"/>
      <c r="G846" s="953"/>
      <c r="H846" s="969"/>
      <c r="I846" s="956" t="s">
        <v>754</v>
      </c>
      <c r="J846" s="957" t="s">
        <v>209</v>
      </c>
      <c r="K846" s="984" t="s">
        <v>216</v>
      </c>
      <c r="L846" s="959">
        <v>123.0</v>
      </c>
      <c r="M846" s="960">
        <v>100.0</v>
      </c>
      <c r="N846" s="960">
        <v>62.0</v>
      </c>
      <c r="O846" s="960">
        <v>97.0</v>
      </c>
      <c r="P846" s="960">
        <v>81.0</v>
      </c>
      <c r="Q846" s="960">
        <v>68.0</v>
      </c>
      <c r="R846" s="960">
        <v>172.0</v>
      </c>
      <c r="S846" s="960">
        <v>235.0</v>
      </c>
      <c r="T846" s="960">
        <v>258.0</v>
      </c>
      <c r="U846" s="960">
        <f t="array" ref="U846">HLOOKUP($J846,'Type Chart'!$C$2:$T$20,2,false)*HLOOKUP($K846,'Type Chart'!$C$2:$U$20,2,false)</f>
        <v>1</v>
      </c>
      <c r="V846" s="960">
        <f t="array" ref="V846">HLOOKUP($J846,'Type Chart'!$C$2:$T$20,3,false)*HLOOKUP($K846,'Type Chart'!$C$2:$U$20,3,false)</f>
        <v>1</v>
      </c>
      <c r="W846" s="960">
        <f t="array" ref="W846">HLOOKUP($J846,'Type Chart'!$C$2:$T$20,4,false)*HLOOKUP($K846,'Type Chart'!$C$2:$U$20,4,false)</f>
        <v>2</v>
      </c>
      <c r="X846" s="960">
        <f t="array" ref="X846">HLOOKUP($J846,'Type Chart'!$C$2:$T$20,5,false)*HLOOKUP($K846,'Type Chart'!$C$2:$U$20,5,false)</f>
        <v>2</v>
      </c>
      <c r="Y846" s="960">
        <f t="array" ref="Y846">HLOOKUP($J846,'Type Chart'!$C$2:$T$20,6,false)*HLOOKUP($K846,'Type Chart'!$C$2:$U$20,6,false)</f>
        <v>0.5</v>
      </c>
      <c r="Z846" s="960">
        <f t="array" ref="Z846">HLOOKUP($J846,'Type Chart'!$C$2:$T$20,7,false)*HLOOKUP($K846,'Type Chart'!$C$2:$U$20,7,false)</f>
        <v>1</v>
      </c>
      <c r="AA846" s="960">
        <f t="array" ref="AA846">HLOOKUP($J846,'Type Chart'!$C$2:$T$20,8,false)*HLOOKUP($K846,'Type Chart'!$C$2:$U$20,8,false)</f>
        <v>2</v>
      </c>
      <c r="AB846" s="960">
        <f t="array" ref="AB846">HLOOKUP($J846,'Type Chart'!$C$2:$T$20,9,false)*HLOOKUP($K846,'Type Chart'!$C$2:$U$20,9,false)</f>
        <v>1</v>
      </c>
      <c r="AC846" s="960">
        <f t="array" ref="AC846">HLOOKUP($J846,'Type Chart'!$C$2:$T$20,10,false)*HLOOKUP($K846,'Type Chart'!$C$2:$U$20,10,false)</f>
        <v>1</v>
      </c>
      <c r="AD846" s="960">
        <f t="array" ref="AD846">HLOOKUP($J846,'Type Chart'!$C$2:$T$20,11,false)*HLOOKUP($K846,'Type Chart'!$C$2:$U$20,11,false)</f>
        <v>2</v>
      </c>
      <c r="AE846" s="960">
        <f t="array" ref="AE846">HLOOKUP($J846,'Type Chart'!$C$2:$T$20,12,false)*HLOOKUP($K846,'Type Chart'!$C$2:$U$20,12,false)</f>
        <v>0.5</v>
      </c>
      <c r="AF846" s="960">
        <f t="array" ref="AF846">HLOOKUP($J846,'Type Chart'!$C$2:$T$20,13,false)*HLOOKUP($K846,'Type Chart'!$C$2:$U$20,13,false)</f>
        <v>0.5</v>
      </c>
      <c r="AG846" s="960">
        <f t="array" ref="AG846">HLOOKUP($J846,'Type Chart'!$C$2:$T$20,14,false)*HLOOKUP($K846,'Type Chart'!$C$2:$U$20,14,false)</f>
        <v>0.5</v>
      </c>
      <c r="AH846" s="960">
        <f t="array" ref="AH846">HLOOKUP($J846,'Type Chart'!$C$2:$T$20,15,false)*HLOOKUP($K846,'Type Chart'!$C$2:$U$20,15,false)</f>
        <v>1</v>
      </c>
      <c r="AI846" s="960">
        <f t="array" ref="AI846">HLOOKUP($J846,'Type Chart'!$C$2:$T$20,16,false)*HLOOKUP($K846,'Type Chart'!$C$2:$U$20,16,false)</f>
        <v>2</v>
      </c>
      <c r="AJ846" s="960">
        <f t="array" ref="AJ846">HLOOKUP($J846,'Type Chart'!$C$2:$T$20,17,false)*HLOOKUP($K846,'Type Chart'!$C$2:$U$20,17,false)</f>
        <v>1</v>
      </c>
      <c r="AK846" s="960">
        <f t="array" ref="AK846">HLOOKUP($J846,'Type Chart'!$C$2:$T$20,18,false)*HLOOKUP($K846,'Type Chart'!$C$2:$U$20,18,false)</f>
        <v>1</v>
      </c>
      <c r="AL846" s="960">
        <f t="array" ref="AL846">HLOOKUP($J846,'Type Chart'!$C$2:$T$20,19,false)*HLOOKUP($K846,'Type Chart'!$C$2:$U$20,19,false)</f>
        <v>1</v>
      </c>
      <c r="AM846" s="964" t="s">
        <v>1772</v>
      </c>
      <c r="AN846" s="965"/>
      <c r="AO846" s="966" t="s">
        <v>3334</v>
      </c>
      <c r="AP846" s="936"/>
      <c r="AQ846" s="967"/>
      <c r="AR846" s="968"/>
      <c r="AS846" s="936"/>
    </row>
    <row r="847" ht="15.75" customHeight="1">
      <c r="A847" s="936"/>
      <c r="B847" s="948" t="s">
        <v>3337</v>
      </c>
      <c r="C847" s="950" t="s">
        <v>3338</v>
      </c>
      <c r="D847" s="950" t="s">
        <v>3338</v>
      </c>
      <c r="E847" s="952" t="s">
        <v>3338</v>
      </c>
      <c r="F847" s="940"/>
      <c r="G847" s="953"/>
      <c r="H847" s="969"/>
      <c r="I847" s="956" t="s">
        <v>3339</v>
      </c>
      <c r="J847" s="1213" t="s">
        <v>341</v>
      </c>
      <c r="K847" s="984" t="s">
        <v>216</v>
      </c>
      <c r="L847" s="959">
        <v>67.0</v>
      </c>
      <c r="M847" s="960">
        <v>82.0</v>
      </c>
      <c r="N847" s="960">
        <v>62.0</v>
      </c>
      <c r="O847" s="960">
        <v>46.0</v>
      </c>
      <c r="P847" s="960">
        <v>48.0</v>
      </c>
      <c r="Q847" s="960">
        <v>43.0</v>
      </c>
      <c r="R847" s="960">
        <v>122.0</v>
      </c>
      <c r="S847" s="960">
        <v>185.0</v>
      </c>
      <c r="T847" s="960">
        <v>203.0</v>
      </c>
      <c r="U847" s="960">
        <f t="array" ref="U847">HLOOKUP($J847,'Type Chart'!$C$2:$T$20,2,false)*HLOOKUP($K847,'Type Chart'!$C$2:$U$20,2,false)</f>
        <v>1</v>
      </c>
      <c r="V847" s="960">
        <f t="array" ref="V847">HLOOKUP($J847,'Type Chart'!$C$2:$T$20,3,false)*HLOOKUP($K847,'Type Chart'!$C$2:$U$20,3,false)</f>
        <v>1</v>
      </c>
      <c r="W847" s="960">
        <f t="array" ref="W847">HLOOKUP($J847,'Type Chart'!$C$2:$T$20,4,false)*HLOOKUP($K847,'Type Chart'!$C$2:$U$20,4,false)</f>
        <v>2</v>
      </c>
      <c r="X847" s="960">
        <f t="array" ref="X847">HLOOKUP($J847,'Type Chart'!$C$2:$T$20,5,false)*HLOOKUP($K847,'Type Chart'!$C$2:$U$20,5,false)</f>
        <v>1</v>
      </c>
      <c r="Y847" s="960">
        <f t="array" ref="Y847">HLOOKUP($J847,'Type Chart'!$C$2:$T$20,6,false)*HLOOKUP($K847,'Type Chart'!$C$2:$U$20,6,false)</f>
        <v>1</v>
      </c>
      <c r="Z847" s="960">
        <f t="array" ref="Z847">HLOOKUP($J847,'Type Chart'!$C$2:$T$20,7,false)*HLOOKUP($K847,'Type Chart'!$C$2:$U$20,7,false)</f>
        <v>0.5</v>
      </c>
      <c r="AA847" s="960">
        <f t="array" ref="AA847">HLOOKUP($J847,'Type Chart'!$C$2:$T$20,8,false)*HLOOKUP($K847,'Type Chart'!$C$2:$U$20,8,false)</f>
        <v>0.5</v>
      </c>
      <c r="AB847" s="960">
        <f t="array" ref="AB847">HLOOKUP($J847,'Type Chart'!$C$2:$T$20,9,false)*HLOOKUP($K847,'Type Chart'!$C$2:$U$20,9,false)</f>
        <v>1</v>
      </c>
      <c r="AC847" s="960">
        <f t="array" ref="AC847">HLOOKUP($J847,'Type Chart'!$C$2:$T$20,10,false)*HLOOKUP($K847,'Type Chart'!$C$2:$U$20,10,false)</f>
        <v>1</v>
      </c>
      <c r="AD847" s="960">
        <f t="array" ref="AD847">HLOOKUP($J847,'Type Chart'!$C$2:$T$20,11,false)*HLOOKUP($K847,'Type Chart'!$C$2:$U$20,11,false)</f>
        <v>1</v>
      </c>
      <c r="AE847" s="960">
        <f t="array" ref="AE847">HLOOKUP($J847,'Type Chart'!$C$2:$T$20,12,false)*HLOOKUP($K847,'Type Chart'!$C$2:$U$20,12,false)</f>
        <v>1</v>
      </c>
      <c r="AF847" s="960">
        <f t="array" ref="AF847">HLOOKUP($J847,'Type Chart'!$C$2:$T$20,13,false)*HLOOKUP($K847,'Type Chart'!$C$2:$U$20,13,false)</f>
        <v>1</v>
      </c>
      <c r="AG847" s="960">
        <f t="array" ref="AG847">HLOOKUP($J847,'Type Chart'!$C$2:$T$20,14,false)*HLOOKUP($K847,'Type Chart'!$C$2:$U$20,14,false)</f>
        <v>1</v>
      </c>
      <c r="AH847" s="960">
        <f t="array" ref="AH847">HLOOKUP($J847,'Type Chart'!$C$2:$T$20,15,false)*HLOOKUP($K847,'Type Chart'!$C$2:$U$20,15,false)</f>
        <v>2</v>
      </c>
      <c r="AI847" s="960">
        <f t="array" ref="AI847">HLOOKUP($J847,'Type Chart'!$C$2:$T$20,16,false)*HLOOKUP($K847,'Type Chart'!$C$2:$U$20,16,false)</f>
        <v>1</v>
      </c>
      <c r="AJ847" s="960">
        <f t="array" ref="AJ847">HLOOKUP($J847,'Type Chart'!$C$2:$T$20,17,false)*HLOOKUP($K847,'Type Chart'!$C$2:$U$20,17,false)</f>
        <v>1</v>
      </c>
      <c r="AK847" s="960">
        <f t="array" ref="AK847">HLOOKUP($J847,'Type Chart'!$C$2:$T$20,18,false)*HLOOKUP($K847,'Type Chart'!$C$2:$U$20,18,false)</f>
        <v>0.5</v>
      </c>
      <c r="AL847" s="960">
        <f t="array" ref="AL847">HLOOKUP($J847,'Type Chart'!$C$2:$T$20,19,false)*HLOOKUP($K847,'Type Chart'!$C$2:$U$20,19,false)</f>
        <v>2</v>
      </c>
      <c r="AM847" s="964" t="s">
        <v>1501</v>
      </c>
      <c r="AN847" s="965" t="s">
        <v>1576</v>
      </c>
      <c r="AO847" s="966" t="s">
        <v>1399</v>
      </c>
      <c r="AP847" s="936"/>
      <c r="AQ847" s="967"/>
      <c r="AR847" s="968"/>
      <c r="AS847" s="936"/>
    </row>
    <row r="848" ht="15.75" customHeight="1">
      <c r="A848" s="936"/>
      <c r="B848" s="948" t="s">
        <v>3340</v>
      </c>
      <c r="C848" s="950" t="s">
        <v>3341</v>
      </c>
      <c r="D848" s="950" t="s">
        <v>3341</v>
      </c>
      <c r="E848" s="952" t="s">
        <v>3341</v>
      </c>
      <c r="F848" s="940"/>
      <c r="G848" s="953"/>
      <c r="H848" s="969"/>
      <c r="I848" s="956" t="s">
        <v>3342</v>
      </c>
      <c r="J848" s="1213" t="s">
        <v>341</v>
      </c>
      <c r="K848" s="1195" t="s">
        <v>193</v>
      </c>
      <c r="L848" s="959">
        <v>95.0</v>
      </c>
      <c r="M848" s="960">
        <v>124.0</v>
      </c>
      <c r="N848" s="960">
        <v>78.0</v>
      </c>
      <c r="O848" s="960">
        <v>69.0</v>
      </c>
      <c r="P848" s="960">
        <v>71.0</v>
      </c>
      <c r="Q848" s="960">
        <v>58.0</v>
      </c>
      <c r="R848" s="960">
        <v>152.0</v>
      </c>
      <c r="S848" s="960">
        <v>215.0</v>
      </c>
      <c r="T848" s="960">
        <v>236.0</v>
      </c>
      <c r="U848" s="960">
        <f t="array" ref="U848">HLOOKUP($J848,'Type Chart'!$C$2:$T$20,2,false)*HLOOKUP($K848,'Type Chart'!$C$2:$U$20,2,false)</f>
        <v>1</v>
      </c>
      <c r="V848" s="960">
        <f t="array" ref="V848">HLOOKUP($J848,'Type Chart'!$C$2:$T$20,3,false)*HLOOKUP($K848,'Type Chart'!$C$2:$U$20,3,false)</f>
        <v>2</v>
      </c>
      <c r="W848" s="960">
        <f t="array" ref="W848">HLOOKUP($J848,'Type Chart'!$C$2:$T$20,4,false)*HLOOKUP($K848,'Type Chart'!$C$2:$U$20,4,false)</f>
        <v>2</v>
      </c>
      <c r="X848" s="960">
        <f t="array" ref="X848">HLOOKUP($J848,'Type Chart'!$C$2:$T$20,5,false)*HLOOKUP($K848,'Type Chart'!$C$2:$U$20,5,false)</f>
        <v>1</v>
      </c>
      <c r="Y848" s="960">
        <f t="array" ref="Y848">HLOOKUP($J848,'Type Chart'!$C$2:$T$20,6,false)*HLOOKUP($K848,'Type Chart'!$C$2:$U$20,6,false)</f>
        <v>1</v>
      </c>
      <c r="Z848" s="960">
        <f t="array" ref="Z848">HLOOKUP($J848,'Type Chart'!$C$2:$T$20,7,false)*HLOOKUP($K848,'Type Chart'!$C$2:$U$20,7,false)</f>
        <v>0.5</v>
      </c>
      <c r="AA848" s="960">
        <f t="array" ref="AA848">HLOOKUP($J848,'Type Chart'!$C$2:$T$20,8,false)*HLOOKUP($K848,'Type Chart'!$C$2:$U$20,8,false)</f>
        <v>1</v>
      </c>
      <c r="AB848" s="960">
        <f t="array" ref="AB848">HLOOKUP($J848,'Type Chart'!$C$2:$T$20,9,false)*HLOOKUP($K848,'Type Chart'!$C$2:$U$20,9,false)</f>
        <v>0.5</v>
      </c>
      <c r="AC848" s="960">
        <f t="array" ref="AC848">HLOOKUP($J848,'Type Chart'!$C$2:$T$20,10,false)*HLOOKUP($K848,'Type Chart'!$C$2:$U$20,10,false)</f>
        <v>1</v>
      </c>
      <c r="AD848" s="960">
        <f t="array" ref="AD848">HLOOKUP($J848,'Type Chart'!$C$2:$T$20,11,false)*HLOOKUP($K848,'Type Chart'!$C$2:$U$20,11,false)</f>
        <v>1</v>
      </c>
      <c r="AE848" s="960">
        <f t="array" ref="AE848">HLOOKUP($J848,'Type Chart'!$C$2:$T$20,12,false)*HLOOKUP($K848,'Type Chart'!$C$2:$U$20,12,false)</f>
        <v>1</v>
      </c>
      <c r="AF848" s="960">
        <f t="array" ref="AF848">HLOOKUP($J848,'Type Chart'!$C$2:$T$20,13,false)*HLOOKUP($K848,'Type Chart'!$C$2:$U$20,13,false)</f>
        <v>1</v>
      </c>
      <c r="AG848" s="960">
        <f t="array" ref="AG848">HLOOKUP($J848,'Type Chart'!$C$2:$T$20,14,false)*HLOOKUP($K848,'Type Chart'!$C$2:$U$20,14,false)</f>
        <v>1</v>
      </c>
      <c r="AH848" s="960">
        <f t="array" ref="AH848">HLOOKUP($J848,'Type Chart'!$C$2:$T$20,15,false)*HLOOKUP($K848,'Type Chart'!$C$2:$U$20,15,false)</f>
        <v>0</v>
      </c>
      <c r="AI848" s="960">
        <f t="array" ref="AI848">HLOOKUP($J848,'Type Chart'!$C$2:$T$20,16,false)*HLOOKUP($K848,'Type Chart'!$C$2:$U$20,16,false)</f>
        <v>1</v>
      </c>
      <c r="AJ848" s="960">
        <f t="array" ref="AJ848">HLOOKUP($J848,'Type Chart'!$C$2:$T$20,17,false)*HLOOKUP($K848,'Type Chart'!$C$2:$U$20,17,false)</f>
        <v>1</v>
      </c>
      <c r="AK848" s="960">
        <f t="array" ref="AK848">HLOOKUP($J848,'Type Chart'!$C$2:$T$20,18,false)*HLOOKUP($K848,'Type Chart'!$C$2:$U$20,18,false)</f>
        <v>0.25</v>
      </c>
      <c r="AL848" s="960">
        <f t="array" ref="AL848">HLOOKUP($J848,'Type Chart'!$C$2:$T$20,19,false)*HLOOKUP($K848,'Type Chart'!$C$2:$U$20,19,false)</f>
        <v>4</v>
      </c>
      <c r="AM848" s="964" t="s">
        <v>1501</v>
      </c>
      <c r="AN848" s="965" t="s">
        <v>1576</v>
      </c>
      <c r="AO848" s="966" t="s">
        <v>1399</v>
      </c>
      <c r="AP848" s="936"/>
      <c r="AQ848" s="967"/>
      <c r="AR848" s="968"/>
      <c r="AS848" s="936"/>
    </row>
    <row r="849" ht="15.75" customHeight="1">
      <c r="A849" s="936"/>
      <c r="B849" s="948" t="s">
        <v>3343</v>
      </c>
      <c r="C849" s="950" t="s">
        <v>3344</v>
      </c>
      <c r="D849" s="950" t="s">
        <v>3344</v>
      </c>
      <c r="E849" s="952" t="s">
        <v>3344</v>
      </c>
      <c r="F849" s="940"/>
      <c r="G849" s="953"/>
      <c r="H849" s="969"/>
      <c r="I849" s="956" t="s">
        <v>3345</v>
      </c>
      <c r="J849" s="1194" t="s">
        <v>136</v>
      </c>
      <c r="K849" s="984" t="s">
        <v>216</v>
      </c>
      <c r="L849" s="959">
        <v>75.0</v>
      </c>
      <c r="M849" s="960">
        <v>80.0</v>
      </c>
      <c r="N849" s="960">
        <v>60.0</v>
      </c>
      <c r="O849" s="960">
        <v>65.0</v>
      </c>
      <c r="P849" s="960">
        <v>90.0</v>
      </c>
      <c r="Q849" s="960">
        <v>102.0</v>
      </c>
      <c r="R849" s="960">
        <v>240.0</v>
      </c>
      <c r="S849" s="960">
        <v>303.0</v>
      </c>
      <c r="T849" s="960">
        <v>333.0</v>
      </c>
      <c r="U849" s="960">
        <f t="array" ref="U849">HLOOKUP($J849,'Type Chart'!$C$2:$T$20,2,false)*HLOOKUP($K849,'Type Chart'!$C$2:$U$20,2,false)</f>
        <v>1</v>
      </c>
      <c r="V849" s="960">
        <f t="array" ref="V849">HLOOKUP($J849,'Type Chart'!$C$2:$T$20,3,false)*HLOOKUP($K849,'Type Chart'!$C$2:$U$20,3,false)</f>
        <v>2</v>
      </c>
      <c r="W849" s="960">
        <f t="array" ref="W849">HLOOKUP($J849,'Type Chart'!$C$2:$T$20,4,false)*HLOOKUP($K849,'Type Chart'!$C$2:$U$20,4,false)</f>
        <v>1</v>
      </c>
      <c r="X849" s="960">
        <f t="array" ref="X849">HLOOKUP($J849,'Type Chart'!$C$2:$T$20,5,false)*HLOOKUP($K849,'Type Chart'!$C$2:$U$20,5,false)</f>
        <v>1</v>
      </c>
      <c r="Y849" s="960">
        <f t="array" ref="Y849">HLOOKUP($J849,'Type Chart'!$C$2:$T$20,6,false)*HLOOKUP($K849,'Type Chart'!$C$2:$U$20,6,false)</f>
        <v>1</v>
      </c>
      <c r="Z849" s="960">
        <f t="array" ref="Z849">HLOOKUP($J849,'Type Chart'!$C$2:$T$20,7,false)*HLOOKUP($K849,'Type Chart'!$C$2:$U$20,7,false)</f>
        <v>1</v>
      </c>
      <c r="AA849" s="960">
        <f t="array" ref="AA849">HLOOKUP($J849,'Type Chart'!$C$2:$T$20,8,false)*HLOOKUP($K849,'Type Chart'!$C$2:$U$20,8,false)</f>
        <v>1</v>
      </c>
      <c r="AB849" s="960">
        <f t="array" ref="AB849">HLOOKUP($J849,'Type Chart'!$C$2:$T$20,9,false)*HLOOKUP($K849,'Type Chart'!$C$2:$U$20,9,false)</f>
        <v>0</v>
      </c>
      <c r="AC849" s="960">
        <f t="array" ref="AC849">HLOOKUP($J849,'Type Chart'!$C$2:$T$20,10,false)*HLOOKUP($K849,'Type Chart'!$C$2:$U$20,10,false)</f>
        <v>1</v>
      </c>
      <c r="AD849" s="960">
        <f t="array" ref="AD849">HLOOKUP($J849,'Type Chart'!$C$2:$T$20,11,false)*HLOOKUP($K849,'Type Chart'!$C$2:$U$20,11,false)</f>
        <v>1</v>
      </c>
      <c r="AE849" s="960">
        <f t="array" ref="AE849">HLOOKUP($J849,'Type Chart'!$C$2:$T$20,12,false)*HLOOKUP($K849,'Type Chart'!$C$2:$U$20,12,false)</f>
        <v>1</v>
      </c>
      <c r="AF849" s="960">
        <f t="array" ref="AF849">HLOOKUP($J849,'Type Chart'!$C$2:$T$20,13,false)*HLOOKUP($K849,'Type Chart'!$C$2:$U$20,13,false)</f>
        <v>1</v>
      </c>
      <c r="AG849" s="960">
        <f t="array" ref="AG849">HLOOKUP($J849,'Type Chart'!$C$2:$T$20,14,false)*HLOOKUP($K849,'Type Chart'!$C$2:$U$20,14,false)</f>
        <v>1</v>
      </c>
      <c r="AH849" s="960">
        <f t="array" ref="AH849">HLOOKUP($J849,'Type Chart'!$C$2:$T$20,15,false)*HLOOKUP($K849,'Type Chart'!$C$2:$U$20,15,false)</f>
        <v>1</v>
      </c>
      <c r="AI849" s="960">
        <f t="array" ref="AI849">HLOOKUP($J849,'Type Chart'!$C$2:$T$20,16,false)*HLOOKUP($K849,'Type Chart'!$C$2:$U$20,16,false)</f>
        <v>1</v>
      </c>
      <c r="AJ849" s="960">
        <f t="array" ref="AJ849">HLOOKUP($J849,'Type Chart'!$C$2:$T$20,17,false)*HLOOKUP($K849,'Type Chart'!$C$2:$U$20,17,false)</f>
        <v>1</v>
      </c>
      <c r="AK849" s="960">
        <f t="array" ref="AK849">HLOOKUP($J849,'Type Chart'!$C$2:$T$20,18,false)*HLOOKUP($K849,'Type Chart'!$C$2:$U$20,18,false)</f>
        <v>1</v>
      </c>
      <c r="AL849" s="960">
        <f t="array" ref="AL849">HLOOKUP($J849,'Type Chart'!$C$2:$T$20,19,false)*HLOOKUP($K849,'Type Chart'!$C$2:$U$20,19,false)</f>
        <v>1</v>
      </c>
      <c r="AM849" s="964" t="s">
        <v>1254</v>
      </c>
      <c r="AN849" s="965"/>
      <c r="AO849" s="966"/>
      <c r="AP849" s="936"/>
      <c r="AQ849" s="967"/>
      <c r="AR849" s="968"/>
      <c r="AS849" s="936"/>
    </row>
    <row r="850" ht="15.75" customHeight="1">
      <c r="A850" s="936"/>
      <c r="B850" s="948" t="s">
        <v>3346</v>
      </c>
      <c r="C850" s="950" t="s">
        <v>3347</v>
      </c>
      <c r="D850" s="950" t="s">
        <v>3347</v>
      </c>
      <c r="E850" s="952" t="s">
        <v>3347</v>
      </c>
      <c r="F850" s="940"/>
      <c r="G850" s="953"/>
      <c r="H850" s="969"/>
      <c r="I850" s="956" t="s">
        <v>3348</v>
      </c>
      <c r="J850" s="1203" t="s">
        <v>344</v>
      </c>
      <c r="K850" s="984" t="s">
        <v>216</v>
      </c>
      <c r="L850" s="959">
        <v>62.0</v>
      </c>
      <c r="M850" s="960">
        <v>48.0</v>
      </c>
      <c r="N850" s="960">
        <v>54.0</v>
      </c>
      <c r="O850" s="960">
        <v>63.0</v>
      </c>
      <c r="P850" s="960">
        <v>60.0</v>
      </c>
      <c r="Q850" s="960">
        <v>68.0</v>
      </c>
      <c r="R850" s="960">
        <v>172.0</v>
      </c>
      <c r="S850" s="960">
        <v>235.0</v>
      </c>
      <c r="T850" s="960">
        <v>258.0</v>
      </c>
      <c r="U850" s="960">
        <f t="array" ref="U850">HLOOKUP($J850,'Type Chart'!$C$2:$T$20,2,false)*HLOOKUP($K850,'Type Chart'!$C$2:$U$20,2,false)</f>
        <v>1</v>
      </c>
      <c r="V850" s="960">
        <f t="array" ref="V850">HLOOKUP($J850,'Type Chart'!$C$2:$T$20,3,false)*HLOOKUP($K850,'Type Chart'!$C$2:$U$20,3,false)</f>
        <v>0.5</v>
      </c>
      <c r="W850" s="960">
        <f t="array" ref="W850">HLOOKUP($J850,'Type Chart'!$C$2:$T$20,4,false)*HLOOKUP($K850,'Type Chart'!$C$2:$U$20,4,false)</f>
        <v>1</v>
      </c>
      <c r="X850" s="960">
        <f t="array" ref="X850">HLOOKUP($J850,'Type Chart'!$C$2:$T$20,5,false)*HLOOKUP($K850,'Type Chart'!$C$2:$U$20,5,false)</f>
        <v>1</v>
      </c>
      <c r="Y850" s="960">
        <f t="array" ref="Y850">HLOOKUP($J850,'Type Chart'!$C$2:$T$20,6,false)*HLOOKUP($K850,'Type Chart'!$C$2:$U$20,6,false)</f>
        <v>1</v>
      </c>
      <c r="Z850" s="960">
        <f t="array" ref="Z850">HLOOKUP($J850,'Type Chart'!$C$2:$T$20,7,false)*HLOOKUP($K850,'Type Chart'!$C$2:$U$20,7,false)</f>
        <v>1</v>
      </c>
      <c r="AA850" s="960">
        <f t="array" ref="AA850">HLOOKUP($J850,'Type Chart'!$C$2:$T$20,8,false)*HLOOKUP($K850,'Type Chart'!$C$2:$U$20,8,false)</f>
        <v>2</v>
      </c>
      <c r="AB850" s="960">
        <f t="array" ref="AB850">HLOOKUP($J850,'Type Chart'!$C$2:$T$20,9,false)*HLOOKUP($K850,'Type Chart'!$C$2:$U$20,9,false)</f>
        <v>2</v>
      </c>
      <c r="AC850" s="960">
        <f t="array" ref="AC850">HLOOKUP($J850,'Type Chart'!$C$2:$T$20,10,false)*HLOOKUP($K850,'Type Chart'!$C$2:$U$20,10,false)</f>
        <v>1</v>
      </c>
      <c r="AD850" s="960">
        <f t="array" ref="AD850">HLOOKUP($J850,'Type Chart'!$C$2:$T$20,11,false)*HLOOKUP($K850,'Type Chart'!$C$2:$U$20,11,false)</f>
        <v>1</v>
      </c>
      <c r="AE850" s="960">
        <f t="array" ref="AE850">HLOOKUP($J850,'Type Chart'!$C$2:$T$20,12,false)*HLOOKUP($K850,'Type Chart'!$C$2:$U$20,12,false)</f>
        <v>1</v>
      </c>
      <c r="AF850" s="960">
        <f t="array" ref="AF850">HLOOKUP($J850,'Type Chart'!$C$2:$T$20,13,false)*HLOOKUP($K850,'Type Chart'!$C$2:$U$20,13,false)</f>
        <v>1</v>
      </c>
      <c r="AG850" s="960">
        <f t="array" ref="AG850">HLOOKUP($J850,'Type Chart'!$C$2:$T$20,14,false)*HLOOKUP($K850,'Type Chart'!$C$2:$U$20,14,false)</f>
        <v>1</v>
      </c>
      <c r="AH850" s="960">
        <f t="array" ref="AH850">HLOOKUP($J850,'Type Chart'!$C$2:$T$20,15,false)*HLOOKUP($K850,'Type Chart'!$C$2:$U$20,15,false)</f>
        <v>0.5</v>
      </c>
      <c r="AI850" s="960">
        <f t="array" ref="AI850">HLOOKUP($J850,'Type Chart'!$C$2:$T$20,16,false)*HLOOKUP($K850,'Type Chart'!$C$2:$U$20,16,false)</f>
        <v>1</v>
      </c>
      <c r="AJ850" s="960">
        <f t="array" ref="AJ850">HLOOKUP($J850,'Type Chart'!$C$2:$T$20,17,false)*HLOOKUP($K850,'Type Chart'!$C$2:$U$20,17,false)</f>
        <v>1</v>
      </c>
      <c r="AK850" s="960">
        <f t="array" ref="AK850">HLOOKUP($J850,'Type Chart'!$C$2:$T$20,18,false)*HLOOKUP($K850,'Type Chart'!$C$2:$U$20,18,false)</f>
        <v>2</v>
      </c>
      <c r="AL850" s="960">
        <f t="array" ref="AL850">HLOOKUP($J850,'Type Chart'!$C$2:$T$20,19,false)*HLOOKUP($K850,'Type Chart'!$C$2:$U$20,19,false)</f>
        <v>1</v>
      </c>
      <c r="AM850" s="964" t="s">
        <v>1022</v>
      </c>
      <c r="AN850" s="965" t="s">
        <v>1193</v>
      </c>
      <c r="AO850" s="966" t="s">
        <v>1370</v>
      </c>
      <c r="AP850" s="936"/>
      <c r="AQ850" s="967"/>
      <c r="AR850" s="968"/>
      <c r="AS850" s="936"/>
    </row>
    <row r="851" ht="15.75" customHeight="1">
      <c r="A851" s="936"/>
      <c r="B851" s="948" t="s">
        <v>3349</v>
      </c>
      <c r="C851" s="950" t="s">
        <v>3350</v>
      </c>
      <c r="D851" s="950" t="s">
        <v>3350</v>
      </c>
      <c r="E851" s="952" t="s">
        <v>3351</v>
      </c>
      <c r="F851" s="940"/>
      <c r="G851" s="953"/>
      <c r="H851" s="969"/>
      <c r="I851" s="956" t="s">
        <v>3352</v>
      </c>
      <c r="J851" s="1203" t="s">
        <v>344</v>
      </c>
      <c r="K851" s="984" t="s">
        <v>216</v>
      </c>
      <c r="L851" s="959">
        <v>74.0</v>
      </c>
      <c r="M851" s="960">
        <v>48.0</v>
      </c>
      <c r="N851" s="960">
        <v>76.0</v>
      </c>
      <c r="O851" s="960">
        <v>83.0</v>
      </c>
      <c r="P851" s="960">
        <v>81.0</v>
      </c>
      <c r="Q851" s="960">
        <v>104.0</v>
      </c>
      <c r="R851" s="960">
        <v>244.0</v>
      </c>
      <c r="S851" s="960">
        <v>307.0</v>
      </c>
      <c r="T851" s="960">
        <v>337.0</v>
      </c>
      <c r="U851" s="960">
        <f t="array" ref="U851">HLOOKUP($J851,'Type Chart'!$C$2:$T$20,2,false)*HLOOKUP($K851,'Type Chart'!$C$2:$U$20,2,false)</f>
        <v>1</v>
      </c>
      <c r="V851" s="960">
        <f t="array" ref="V851">HLOOKUP($J851,'Type Chart'!$C$2:$T$20,3,false)*HLOOKUP($K851,'Type Chart'!$C$2:$U$20,3,false)</f>
        <v>0.5</v>
      </c>
      <c r="W851" s="960">
        <f t="array" ref="W851">HLOOKUP($J851,'Type Chart'!$C$2:$T$20,4,false)*HLOOKUP($K851,'Type Chart'!$C$2:$U$20,4,false)</f>
        <v>1</v>
      </c>
      <c r="X851" s="960">
        <f t="array" ref="X851">HLOOKUP($J851,'Type Chart'!$C$2:$T$20,5,false)*HLOOKUP($K851,'Type Chart'!$C$2:$U$20,5,false)</f>
        <v>1</v>
      </c>
      <c r="Y851" s="960">
        <f t="array" ref="Y851">HLOOKUP($J851,'Type Chart'!$C$2:$T$20,6,false)*HLOOKUP($K851,'Type Chart'!$C$2:$U$20,6,false)</f>
        <v>1</v>
      </c>
      <c r="Z851" s="960">
        <f t="array" ref="Z851">HLOOKUP($J851,'Type Chart'!$C$2:$T$20,7,false)*HLOOKUP($K851,'Type Chart'!$C$2:$U$20,7,false)</f>
        <v>1</v>
      </c>
      <c r="AA851" s="960">
        <f t="array" ref="AA851">HLOOKUP($J851,'Type Chart'!$C$2:$T$20,8,false)*HLOOKUP($K851,'Type Chart'!$C$2:$U$20,8,false)</f>
        <v>2</v>
      </c>
      <c r="AB851" s="960">
        <f t="array" ref="AB851">HLOOKUP($J851,'Type Chart'!$C$2:$T$20,9,false)*HLOOKUP($K851,'Type Chart'!$C$2:$U$20,9,false)</f>
        <v>2</v>
      </c>
      <c r="AC851" s="960">
        <f t="array" ref="AC851">HLOOKUP($J851,'Type Chart'!$C$2:$T$20,10,false)*HLOOKUP($K851,'Type Chart'!$C$2:$U$20,10,false)</f>
        <v>1</v>
      </c>
      <c r="AD851" s="960">
        <f t="array" ref="AD851">HLOOKUP($J851,'Type Chart'!$C$2:$T$20,11,false)*HLOOKUP($K851,'Type Chart'!$C$2:$U$20,11,false)</f>
        <v>1</v>
      </c>
      <c r="AE851" s="960">
        <f t="array" ref="AE851">HLOOKUP($J851,'Type Chart'!$C$2:$T$20,12,false)*HLOOKUP($K851,'Type Chart'!$C$2:$U$20,12,false)</f>
        <v>1</v>
      </c>
      <c r="AF851" s="960">
        <f t="array" ref="AF851">HLOOKUP($J851,'Type Chart'!$C$2:$T$20,13,false)*HLOOKUP($K851,'Type Chart'!$C$2:$U$20,13,false)</f>
        <v>1</v>
      </c>
      <c r="AG851" s="960">
        <f t="array" ref="AG851">HLOOKUP($J851,'Type Chart'!$C$2:$T$20,14,false)*HLOOKUP($K851,'Type Chart'!$C$2:$U$20,14,false)</f>
        <v>1</v>
      </c>
      <c r="AH851" s="960">
        <f t="array" ref="AH851">HLOOKUP($J851,'Type Chart'!$C$2:$T$20,15,false)*HLOOKUP($K851,'Type Chart'!$C$2:$U$20,15,false)</f>
        <v>0.5</v>
      </c>
      <c r="AI851" s="960">
        <f t="array" ref="AI851">HLOOKUP($J851,'Type Chart'!$C$2:$T$20,16,false)*HLOOKUP($K851,'Type Chart'!$C$2:$U$20,16,false)</f>
        <v>1</v>
      </c>
      <c r="AJ851" s="960">
        <f t="array" ref="AJ851">HLOOKUP($J851,'Type Chart'!$C$2:$T$20,17,false)*HLOOKUP($K851,'Type Chart'!$C$2:$U$20,17,false)</f>
        <v>1</v>
      </c>
      <c r="AK851" s="960">
        <f t="array" ref="AK851">HLOOKUP($J851,'Type Chart'!$C$2:$T$20,18,false)*HLOOKUP($K851,'Type Chart'!$C$2:$U$20,18,false)</f>
        <v>2</v>
      </c>
      <c r="AL851" s="960">
        <f t="array" ref="AL851">HLOOKUP($J851,'Type Chart'!$C$2:$T$20,19,false)*HLOOKUP($K851,'Type Chart'!$C$2:$U$20,19,false)</f>
        <v>1</v>
      </c>
      <c r="AM851" s="964" t="s">
        <v>1022</v>
      </c>
      <c r="AN851" s="965" t="s">
        <v>1193</v>
      </c>
      <c r="AO851" s="966" t="s">
        <v>1813</v>
      </c>
      <c r="AP851" s="936"/>
      <c r="AQ851" s="967"/>
      <c r="AR851" s="968"/>
      <c r="AS851" s="936"/>
    </row>
    <row r="852" ht="15.75" customHeight="1">
      <c r="A852" s="936"/>
      <c r="B852" s="948" t="s">
        <v>3353</v>
      </c>
      <c r="C852" s="950" t="s">
        <v>3354</v>
      </c>
      <c r="D852" s="950" t="s">
        <v>3354</v>
      </c>
      <c r="E852" s="952" t="s">
        <v>3355</v>
      </c>
      <c r="F852" s="940"/>
      <c r="G852" s="953"/>
      <c r="H852" s="969"/>
      <c r="I852" s="956" t="s">
        <v>3356</v>
      </c>
      <c r="J852" s="1203" t="s">
        <v>344</v>
      </c>
      <c r="K852" s="984" t="s">
        <v>216</v>
      </c>
      <c r="L852" s="959">
        <v>74.0</v>
      </c>
      <c r="M852" s="960">
        <v>48.0</v>
      </c>
      <c r="N852" s="960">
        <v>76.0</v>
      </c>
      <c r="O852" s="960">
        <v>83.0</v>
      </c>
      <c r="P852" s="960">
        <v>81.0</v>
      </c>
      <c r="Q852" s="960">
        <v>104.0</v>
      </c>
      <c r="R852" s="960">
        <v>244.0</v>
      </c>
      <c r="S852" s="960">
        <v>307.0</v>
      </c>
      <c r="T852" s="960">
        <v>337.0</v>
      </c>
      <c r="U852" s="960">
        <f t="array" ref="U852">HLOOKUP($J852,'Type Chart'!$C$2:$T$20,2,false)*HLOOKUP($K852,'Type Chart'!$C$2:$U$20,2,false)</f>
        <v>1</v>
      </c>
      <c r="V852" s="960">
        <f t="array" ref="V852">HLOOKUP($J852,'Type Chart'!$C$2:$T$20,3,false)*HLOOKUP($K852,'Type Chart'!$C$2:$U$20,3,false)</f>
        <v>0.5</v>
      </c>
      <c r="W852" s="960">
        <f t="array" ref="W852">HLOOKUP($J852,'Type Chart'!$C$2:$T$20,4,false)*HLOOKUP($K852,'Type Chart'!$C$2:$U$20,4,false)</f>
        <v>1</v>
      </c>
      <c r="X852" s="960">
        <f t="array" ref="X852">HLOOKUP($J852,'Type Chart'!$C$2:$T$20,5,false)*HLOOKUP($K852,'Type Chart'!$C$2:$U$20,5,false)</f>
        <v>1</v>
      </c>
      <c r="Y852" s="960">
        <f t="array" ref="Y852">HLOOKUP($J852,'Type Chart'!$C$2:$T$20,6,false)*HLOOKUP($K852,'Type Chart'!$C$2:$U$20,6,false)</f>
        <v>1</v>
      </c>
      <c r="Z852" s="960">
        <f t="array" ref="Z852">HLOOKUP($J852,'Type Chart'!$C$2:$T$20,7,false)*HLOOKUP($K852,'Type Chart'!$C$2:$U$20,7,false)</f>
        <v>1</v>
      </c>
      <c r="AA852" s="960">
        <f t="array" ref="AA852">HLOOKUP($J852,'Type Chart'!$C$2:$T$20,8,false)*HLOOKUP($K852,'Type Chart'!$C$2:$U$20,8,false)</f>
        <v>2</v>
      </c>
      <c r="AB852" s="960">
        <f t="array" ref="AB852">HLOOKUP($J852,'Type Chart'!$C$2:$T$20,9,false)*HLOOKUP($K852,'Type Chart'!$C$2:$U$20,9,false)</f>
        <v>2</v>
      </c>
      <c r="AC852" s="960">
        <f t="array" ref="AC852">HLOOKUP($J852,'Type Chart'!$C$2:$T$20,10,false)*HLOOKUP($K852,'Type Chart'!$C$2:$U$20,10,false)</f>
        <v>1</v>
      </c>
      <c r="AD852" s="960">
        <f t="array" ref="AD852">HLOOKUP($J852,'Type Chart'!$C$2:$T$20,11,false)*HLOOKUP($K852,'Type Chart'!$C$2:$U$20,11,false)</f>
        <v>1</v>
      </c>
      <c r="AE852" s="960">
        <f t="array" ref="AE852">HLOOKUP($J852,'Type Chart'!$C$2:$T$20,12,false)*HLOOKUP($K852,'Type Chart'!$C$2:$U$20,12,false)</f>
        <v>1</v>
      </c>
      <c r="AF852" s="960">
        <f t="array" ref="AF852">HLOOKUP($J852,'Type Chart'!$C$2:$T$20,13,false)*HLOOKUP($K852,'Type Chart'!$C$2:$U$20,13,false)</f>
        <v>1</v>
      </c>
      <c r="AG852" s="960">
        <f t="array" ref="AG852">HLOOKUP($J852,'Type Chart'!$C$2:$T$20,14,false)*HLOOKUP($K852,'Type Chart'!$C$2:$U$20,14,false)</f>
        <v>1</v>
      </c>
      <c r="AH852" s="960">
        <f t="array" ref="AH852">HLOOKUP($J852,'Type Chart'!$C$2:$T$20,15,false)*HLOOKUP($K852,'Type Chart'!$C$2:$U$20,15,false)</f>
        <v>0.5</v>
      </c>
      <c r="AI852" s="960">
        <f t="array" ref="AI852">HLOOKUP($J852,'Type Chart'!$C$2:$T$20,16,false)*HLOOKUP($K852,'Type Chart'!$C$2:$U$20,16,false)</f>
        <v>1</v>
      </c>
      <c r="AJ852" s="960">
        <f t="array" ref="AJ852">HLOOKUP($J852,'Type Chart'!$C$2:$T$20,17,false)*HLOOKUP($K852,'Type Chart'!$C$2:$U$20,17,false)</f>
        <v>1</v>
      </c>
      <c r="AK852" s="960">
        <f t="array" ref="AK852">HLOOKUP($J852,'Type Chart'!$C$2:$T$20,18,false)*HLOOKUP($K852,'Type Chart'!$C$2:$U$20,18,false)</f>
        <v>2</v>
      </c>
      <c r="AL852" s="960">
        <f t="array" ref="AL852">HLOOKUP($J852,'Type Chart'!$C$2:$T$20,19,false)*HLOOKUP($K852,'Type Chart'!$C$2:$U$20,19,false)</f>
        <v>1</v>
      </c>
      <c r="AM852" s="964" t="s">
        <v>1022</v>
      </c>
      <c r="AN852" s="965" t="s">
        <v>1193</v>
      </c>
      <c r="AO852" s="966" t="s">
        <v>1185</v>
      </c>
      <c r="AP852" s="936"/>
      <c r="AQ852" s="967"/>
      <c r="AR852" s="968"/>
      <c r="AS852" s="936"/>
    </row>
    <row r="853" ht="15.75" customHeight="1">
      <c r="A853" s="936"/>
      <c r="B853" s="948" t="s">
        <v>3357</v>
      </c>
      <c r="C853" s="950" t="s">
        <v>3358</v>
      </c>
      <c r="D853" s="950" t="s">
        <v>3358</v>
      </c>
      <c r="E853" s="952" t="s">
        <v>3358</v>
      </c>
      <c r="F853" s="940"/>
      <c r="G853" s="953"/>
      <c r="H853" s="969"/>
      <c r="I853" s="956" t="s">
        <v>3359</v>
      </c>
      <c r="J853" s="1206" t="s">
        <v>82</v>
      </c>
      <c r="K853" s="1220" t="s">
        <v>215</v>
      </c>
      <c r="L853" s="959">
        <v>45.0</v>
      </c>
      <c r="M853" s="960">
        <v>80.0</v>
      </c>
      <c r="N853" s="960">
        <v>100.0</v>
      </c>
      <c r="O853" s="960">
        <v>35.0</v>
      </c>
      <c r="P853" s="960">
        <v>37.0</v>
      </c>
      <c r="Q853" s="960">
        <v>28.0</v>
      </c>
      <c r="R853" s="960">
        <v>92.0</v>
      </c>
      <c r="S853" s="960">
        <v>155.0</v>
      </c>
      <c r="T853" s="960">
        <v>170.0</v>
      </c>
      <c r="U853" s="960">
        <f t="array" ref="U853">HLOOKUP($J853,'Type Chart'!$C$2:$T$20,2,false)*HLOOKUP($K853,'Type Chart'!$C$2:$U$20,2,false)</f>
        <v>0</v>
      </c>
      <c r="V853" s="960">
        <f t="array" ref="V853">HLOOKUP($J853,'Type Chart'!$C$2:$T$20,3,false)*HLOOKUP($K853,'Type Chart'!$C$2:$U$20,3,false)</f>
        <v>0</v>
      </c>
      <c r="W853" s="960">
        <f t="array" ref="W853">HLOOKUP($J853,'Type Chart'!$C$2:$T$20,4,false)*HLOOKUP($K853,'Type Chart'!$C$2:$U$20,4,false)</f>
        <v>0.5</v>
      </c>
      <c r="X853" s="960">
        <f t="array" ref="X853">HLOOKUP($J853,'Type Chart'!$C$2:$T$20,5,false)*HLOOKUP($K853,'Type Chart'!$C$2:$U$20,5,false)</f>
        <v>0</v>
      </c>
      <c r="Y853" s="960">
        <f t="array" ref="Y853">HLOOKUP($J853,'Type Chart'!$C$2:$T$20,6,false)*HLOOKUP($K853,'Type Chart'!$C$2:$U$20,6,false)</f>
        <v>2</v>
      </c>
      <c r="Z853" s="960">
        <f t="array" ref="Z853">HLOOKUP($J853,'Type Chart'!$C$2:$T$20,7,false)*HLOOKUP($K853,'Type Chart'!$C$2:$U$20,7,false)</f>
        <v>0.5</v>
      </c>
      <c r="AA853" s="960">
        <f t="array" ref="AA853">HLOOKUP($J853,'Type Chart'!$C$2:$T$20,8,false)*HLOOKUP($K853,'Type Chart'!$C$2:$U$20,8,false)</f>
        <v>0.25</v>
      </c>
      <c r="AB853" s="960">
        <f t="array" ref="AB853">HLOOKUP($J853,'Type Chart'!$C$2:$T$20,9,false)*HLOOKUP($K853,'Type Chart'!$C$2:$U$20,9,false)</f>
        <v>2</v>
      </c>
      <c r="AC853" s="960">
        <f t="array" ref="AC853">HLOOKUP($J853,'Type Chart'!$C$2:$T$20,10,false)*HLOOKUP($K853,'Type Chart'!$C$2:$U$20,10,false)</f>
        <v>0.5</v>
      </c>
      <c r="AD853" s="960">
        <f t="array" ref="AD853">HLOOKUP($J853,'Type Chart'!$C$2:$T$20,11,false)*HLOOKUP($K853,'Type Chart'!$C$2:$U$20,11,false)</f>
        <v>2</v>
      </c>
      <c r="AE853" s="960">
        <f t="array" ref="AE853">HLOOKUP($J853,'Type Chart'!$C$2:$T$20,12,false)*HLOOKUP($K853,'Type Chart'!$C$2:$U$20,12,false)</f>
        <v>1</v>
      </c>
      <c r="AF853" s="960">
        <f t="array" ref="AF853">HLOOKUP($J853,'Type Chart'!$C$2:$T$20,13,false)*HLOOKUP($K853,'Type Chart'!$C$2:$U$20,13,false)</f>
        <v>0.5</v>
      </c>
      <c r="AG853" s="960">
        <f t="array" ref="AG853">HLOOKUP($J853,'Type Chart'!$C$2:$T$20,14,false)*HLOOKUP($K853,'Type Chart'!$C$2:$U$20,14,false)</f>
        <v>1</v>
      </c>
      <c r="AH853" s="960">
        <f t="array" ref="AH853">HLOOKUP($J853,'Type Chart'!$C$2:$T$20,15,false)*HLOOKUP($K853,'Type Chart'!$C$2:$U$20,15,false)</f>
        <v>0.5</v>
      </c>
      <c r="AI853" s="960">
        <f t="array" ref="AI853">HLOOKUP($J853,'Type Chart'!$C$2:$T$20,16,false)*HLOOKUP($K853,'Type Chart'!$C$2:$U$20,16,false)</f>
        <v>0.5</v>
      </c>
      <c r="AJ853" s="960">
        <f t="array" ref="AJ853">HLOOKUP($J853,'Type Chart'!$C$2:$T$20,17,false)*HLOOKUP($K853,'Type Chart'!$C$2:$U$20,17,false)</f>
        <v>0.5</v>
      </c>
      <c r="AK853" s="960">
        <f t="array" ref="AK853">HLOOKUP($J853,'Type Chart'!$C$2:$T$20,18,false)*HLOOKUP($K853,'Type Chart'!$C$2:$U$20,18,false)</f>
        <v>2</v>
      </c>
      <c r="AL853" s="960">
        <f t="array" ref="AL853">HLOOKUP($J853,'Type Chart'!$C$2:$T$20,19,false)*HLOOKUP($K853,'Type Chart'!$C$2:$U$20,19,false)</f>
        <v>0.5</v>
      </c>
      <c r="AM853" s="964" t="s">
        <v>1034</v>
      </c>
      <c r="AN853" s="965"/>
      <c r="AO853" s="966"/>
      <c r="AP853" s="936"/>
      <c r="AQ853" s="967"/>
      <c r="AR853" s="968"/>
      <c r="AS853" s="936"/>
    </row>
    <row r="854" ht="15.75" customHeight="1">
      <c r="A854" s="936"/>
      <c r="B854" s="948" t="s">
        <v>3360</v>
      </c>
      <c r="C854" s="950" t="s">
        <v>3361</v>
      </c>
      <c r="D854" s="950" t="s">
        <v>3361</v>
      </c>
      <c r="E854" s="952" t="s">
        <v>3361</v>
      </c>
      <c r="F854" s="940"/>
      <c r="G854" s="953"/>
      <c r="H854" s="969"/>
      <c r="I854" s="956" t="s">
        <v>3362</v>
      </c>
      <c r="J854" s="1206" t="s">
        <v>82</v>
      </c>
      <c r="K854" s="1220" t="s">
        <v>215</v>
      </c>
      <c r="L854" s="959">
        <v>59.0</v>
      </c>
      <c r="M854" s="960">
        <v>110.0</v>
      </c>
      <c r="N854" s="960">
        <v>150.0</v>
      </c>
      <c r="O854" s="960">
        <v>45.0</v>
      </c>
      <c r="P854" s="960">
        <v>49.0</v>
      </c>
      <c r="Q854" s="960">
        <v>35.0</v>
      </c>
      <c r="R854" s="960">
        <v>106.0</v>
      </c>
      <c r="S854" s="960">
        <v>169.0</v>
      </c>
      <c r="T854" s="960">
        <v>185.0</v>
      </c>
      <c r="U854" s="960">
        <f t="array" ref="U854">HLOOKUP($J854,'Type Chart'!$C$2:$T$20,2,false)*HLOOKUP($K854,'Type Chart'!$C$2:$U$20,2,false)</f>
        <v>0</v>
      </c>
      <c r="V854" s="960">
        <f t="array" ref="V854">HLOOKUP($J854,'Type Chart'!$C$2:$T$20,3,false)*HLOOKUP($K854,'Type Chart'!$C$2:$U$20,3,false)</f>
        <v>0</v>
      </c>
      <c r="W854" s="960">
        <f t="array" ref="W854">HLOOKUP($J854,'Type Chart'!$C$2:$T$20,4,false)*HLOOKUP($K854,'Type Chart'!$C$2:$U$20,4,false)</f>
        <v>0.5</v>
      </c>
      <c r="X854" s="960">
        <f t="array" ref="X854">HLOOKUP($J854,'Type Chart'!$C$2:$T$20,5,false)*HLOOKUP($K854,'Type Chart'!$C$2:$U$20,5,false)</f>
        <v>0</v>
      </c>
      <c r="Y854" s="960">
        <f t="array" ref="Y854">HLOOKUP($J854,'Type Chart'!$C$2:$T$20,6,false)*HLOOKUP($K854,'Type Chart'!$C$2:$U$20,6,false)</f>
        <v>2</v>
      </c>
      <c r="Z854" s="960">
        <f t="array" ref="Z854">HLOOKUP($J854,'Type Chart'!$C$2:$T$20,7,false)*HLOOKUP($K854,'Type Chart'!$C$2:$U$20,7,false)</f>
        <v>0.5</v>
      </c>
      <c r="AA854" s="960">
        <f t="array" ref="AA854">HLOOKUP($J854,'Type Chart'!$C$2:$T$20,8,false)*HLOOKUP($K854,'Type Chart'!$C$2:$U$20,8,false)</f>
        <v>0.25</v>
      </c>
      <c r="AB854" s="960">
        <f t="array" ref="AB854">HLOOKUP($J854,'Type Chart'!$C$2:$T$20,9,false)*HLOOKUP($K854,'Type Chart'!$C$2:$U$20,9,false)</f>
        <v>2</v>
      </c>
      <c r="AC854" s="960">
        <f t="array" ref="AC854">HLOOKUP($J854,'Type Chart'!$C$2:$T$20,10,false)*HLOOKUP($K854,'Type Chart'!$C$2:$U$20,10,false)</f>
        <v>0.5</v>
      </c>
      <c r="AD854" s="960">
        <f t="array" ref="AD854">HLOOKUP($J854,'Type Chart'!$C$2:$T$20,11,false)*HLOOKUP($K854,'Type Chart'!$C$2:$U$20,11,false)</f>
        <v>2</v>
      </c>
      <c r="AE854" s="960">
        <f t="array" ref="AE854">HLOOKUP($J854,'Type Chart'!$C$2:$T$20,12,false)*HLOOKUP($K854,'Type Chart'!$C$2:$U$20,12,false)</f>
        <v>1</v>
      </c>
      <c r="AF854" s="960">
        <f t="array" ref="AF854">HLOOKUP($J854,'Type Chart'!$C$2:$T$20,13,false)*HLOOKUP($K854,'Type Chart'!$C$2:$U$20,13,false)</f>
        <v>0.5</v>
      </c>
      <c r="AG854" s="960">
        <f t="array" ref="AG854">HLOOKUP($J854,'Type Chart'!$C$2:$T$20,14,false)*HLOOKUP($K854,'Type Chart'!$C$2:$U$20,14,false)</f>
        <v>1</v>
      </c>
      <c r="AH854" s="960">
        <f t="array" ref="AH854">HLOOKUP($J854,'Type Chart'!$C$2:$T$20,15,false)*HLOOKUP($K854,'Type Chart'!$C$2:$U$20,15,false)</f>
        <v>0.5</v>
      </c>
      <c r="AI854" s="960">
        <f t="array" ref="AI854">HLOOKUP($J854,'Type Chart'!$C$2:$T$20,16,false)*HLOOKUP($K854,'Type Chart'!$C$2:$U$20,16,false)</f>
        <v>0.5</v>
      </c>
      <c r="AJ854" s="960">
        <f t="array" ref="AJ854">HLOOKUP($J854,'Type Chart'!$C$2:$T$20,17,false)*HLOOKUP($K854,'Type Chart'!$C$2:$U$20,17,false)</f>
        <v>0.5</v>
      </c>
      <c r="AK854" s="960">
        <f t="array" ref="AK854">HLOOKUP($J854,'Type Chart'!$C$2:$T$20,18,false)*HLOOKUP($K854,'Type Chart'!$C$2:$U$20,18,false)</f>
        <v>2</v>
      </c>
      <c r="AL854" s="960">
        <f t="array" ref="AL854">HLOOKUP($J854,'Type Chart'!$C$2:$T$20,19,false)*HLOOKUP($K854,'Type Chart'!$C$2:$U$20,19,false)</f>
        <v>0.5</v>
      </c>
      <c r="AM854" s="964" t="s">
        <v>1034</v>
      </c>
      <c r="AN854" s="965"/>
      <c r="AO854" s="966"/>
      <c r="AP854" s="936"/>
      <c r="AQ854" s="967"/>
      <c r="AR854" s="968"/>
      <c r="AS854" s="936"/>
    </row>
    <row r="855" ht="15.75" customHeight="1">
      <c r="A855" s="1099"/>
      <c r="B855" s="948" t="s">
        <v>3363</v>
      </c>
      <c r="C855" s="950" t="s">
        <v>3364</v>
      </c>
      <c r="D855" s="950" t="s">
        <v>3364</v>
      </c>
      <c r="E855" s="952" t="s">
        <v>3364</v>
      </c>
      <c r="F855" s="940"/>
      <c r="G855" s="953"/>
      <c r="H855" s="969"/>
      <c r="I855" s="956" t="s">
        <v>3365</v>
      </c>
      <c r="J855" s="1206" t="s">
        <v>82</v>
      </c>
      <c r="K855" s="1220" t="s">
        <v>215</v>
      </c>
      <c r="L855" s="959">
        <v>60.0</v>
      </c>
      <c r="M855" s="960">
        <v>50.0</v>
      </c>
      <c r="N855" s="960">
        <v>140.0</v>
      </c>
      <c r="O855" s="960">
        <v>50.0</v>
      </c>
      <c r="P855" s="960">
        <v>140.0</v>
      </c>
      <c r="Q855" s="960">
        <v>60.0</v>
      </c>
      <c r="R855" s="960">
        <v>156.0</v>
      </c>
      <c r="S855" s="960">
        <v>219.0</v>
      </c>
      <c r="T855" s="960">
        <v>240.0</v>
      </c>
      <c r="U855" s="960">
        <f t="array" ref="U855">HLOOKUP($J855,'Type Chart'!$C$2:$T$20,2,false)*HLOOKUP($K855,'Type Chart'!$C$2:$U$20,2,false)</f>
        <v>0</v>
      </c>
      <c r="V855" s="960">
        <f t="array" ref="V855">HLOOKUP($J855,'Type Chart'!$C$2:$T$20,3,false)*HLOOKUP($K855,'Type Chart'!$C$2:$U$20,3,false)</f>
        <v>0</v>
      </c>
      <c r="W855" s="960">
        <f t="array" ref="W855">HLOOKUP($J855,'Type Chart'!$C$2:$T$20,4,false)*HLOOKUP($K855,'Type Chart'!$C$2:$U$20,4,false)</f>
        <v>0.5</v>
      </c>
      <c r="X855" s="960">
        <f t="array" ref="X855">HLOOKUP($J855,'Type Chart'!$C$2:$T$20,5,false)*HLOOKUP($K855,'Type Chart'!$C$2:$U$20,5,false)</f>
        <v>0</v>
      </c>
      <c r="Y855" s="960">
        <f t="array" ref="Y855">HLOOKUP($J855,'Type Chart'!$C$2:$T$20,6,false)*HLOOKUP($K855,'Type Chart'!$C$2:$U$20,6,false)</f>
        <v>2</v>
      </c>
      <c r="Z855" s="960">
        <f t="array" ref="Z855">HLOOKUP($J855,'Type Chart'!$C$2:$T$20,7,false)*HLOOKUP($K855,'Type Chart'!$C$2:$U$20,7,false)</f>
        <v>0.5</v>
      </c>
      <c r="AA855" s="960">
        <f t="array" ref="AA855">HLOOKUP($J855,'Type Chart'!$C$2:$T$20,8,false)*HLOOKUP($K855,'Type Chart'!$C$2:$U$20,8,false)</f>
        <v>0.25</v>
      </c>
      <c r="AB855" s="960">
        <f t="array" ref="AB855">HLOOKUP($J855,'Type Chart'!$C$2:$T$20,9,false)*HLOOKUP($K855,'Type Chart'!$C$2:$U$20,9,false)</f>
        <v>2</v>
      </c>
      <c r="AC855" s="960">
        <f t="array" ref="AC855">HLOOKUP($J855,'Type Chart'!$C$2:$T$20,10,false)*HLOOKUP($K855,'Type Chart'!$C$2:$U$20,10,false)</f>
        <v>0.5</v>
      </c>
      <c r="AD855" s="960">
        <f t="array" ref="AD855">HLOOKUP($J855,'Type Chart'!$C$2:$T$20,11,false)*HLOOKUP($K855,'Type Chart'!$C$2:$U$20,11,false)</f>
        <v>2</v>
      </c>
      <c r="AE855" s="960">
        <f t="array" ref="AE855">HLOOKUP($J855,'Type Chart'!$C$2:$T$20,12,false)*HLOOKUP($K855,'Type Chart'!$C$2:$U$20,12,false)</f>
        <v>1</v>
      </c>
      <c r="AF855" s="960">
        <f t="array" ref="AF855">HLOOKUP($J855,'Type Chart'!$C$2:$T$20,13,false)*HLOOKUP($K855,'Type Chart'!$C$2:$U$20,13,false)</f>
        <v>0.5</v>
      </c>
      <c r="AG855" s="960">
        <f t="array" ref="AG855">HLOOKUP($J855,'Type Chart'!$C$2:$T$20,14,false)*HLOOKUP($K855,'Type Chart'!$C$2:$U$20,14,false)</f>
        <v>1</v>
      </c>
      <c r="AH855" s="960">
        <f t="array" ref="AH855">HLOOKUP($J855,'Type Chart'!$C$2:$T$20,15,false)*HLOOKUP($K855,'Type Chart'!$C$2:$U$20,15,false)</f>
        <v>0.5</v>
      </c>
      <c r="AI855" s="960">
        <f t="array" ref="AI855">HLOOKUP($J855,'Type Chart'!$C$2:$T$20,16,false)*HLOOKUP($K855,'Type Chart'!$C$2:$U$20,16,false)</f>
        <v>0.5</v>
      </c>
      <c r="AJ855" s="960">
        <f t="array" ref="AJ855">HLOOKUP($J855,'Type Chart'!$C$2:$T$20,17,false)*HLOOKUP($K855,'Type Chart'!$C$2:$U$20,17,false)</f>
        <v>0.5</v>
      </c>
      <c r="AK855" s="960">
        <f t="array" ref="AK855">HLOOKUP($J855,'Type Chart'!$C$2:$T$20,18,false)*HLOOKUP($K855,'Type Chart'!$C$2:$U$20,18,false)</f>
        <v>2</v>
      </c>
      <c r="AL855" s="960">
        <f t="array" ref="AL855">HLOOKUP($J855,'Type Chart'!$C$2:$T$20,19,false)*HLOOKUP($K855,'Type Chart'!$C$2:$U$20,19,false)</f>
        <v>0.5</v>
      </c>
      <c r="AM855" s="1145" t="s">
        <v>3366</v>
      </c>
      <c r="AN855" s="965"/>
      <c r="AO855" s="1146"/>
      <c r="AP855" s="936"/>
      <c r="AQ855" s="967"/>
      <c r="AR855" s="968"/>
      <c r="AS855" s="936"/>
    </row>
    <row r="856" ht="15.75" customHeight="1">
      <c r="A856" s="936"/>
      <c r="B856" s="948" t="s">
        <v>3367</v>
      </c>
      <c r="C856" s="950" t="s">
        <v>3368</v>
      </c>
      <c r="D856" s="950" t="s">
        <v>3368</v>
      </c>
      <c r="E856" s="952" t="s">
        <v>3368</v>
      </c>
      <c r="F856" s="940"/>
      <c r="G856" s="953"/>
      <c r="H856" s="969"/>
      <c r="I856" s="956" t="s">
        <v>3369</v>
      </c>
      <c r="J856" s="1206" t="s">
        <v>82</v>
      </c>
      <c r="K856" s="1220" t="s">
        <v>215</v>
      </c>
      <c r="L856" s="959">
        <v>60.0</v>
      </c>
      <c r="M856" s="960">
        <v>140.0</v>
      </c>
      <c r="N856" s="960">
        <v>50.0</v>
      </c>
      <c r="O856" s="960">
        <v>140.0</v>
      </c>
      <c r="P856" s="960">
        <v>50.0</v>
      </c>
      <c r="Q856" s="960">
        <v>60.0</v>
      </c>
      <c r="R856" s="960">
        <v>156.0</v>
      </c>
      <c r="S856" s="960">
        <v>219.0</v>
      </c>
      <c r="T856" s="960">
        <v>240.0</v>
      </c>
      <c r="U856" s="960">
        <f t="array" ref="U856">HLOOKUP($J856,'Type Chart'!$C$2:$T$20,2,false)*HLOOKUP($K856,'Type Chart'!$C$2:$U$20,2,false)</f>
        <v>0</v>
      </c>
      <c r="V856" s="960">
        <f t="array" ref="V856">HLOOKUP($J856,'Type Chart'!$C$2:$T$20,3,false)*HLOOKUP($K856,'Type Chart'!$C$2:$U$20,3,false)</f>
        <v>0</v>
      </c>
      <c r="W856" s="960">
        <f t="array" ref="W856">HLOOKUP($J856,'Type Chart'!$C$2:$T$20,4,false)*HLOOKUP($K856,'Type Chart'!$C$2:$U$20,4,false)</f>
        <v>0.5</v>
      </c>
      <c r="X856" s="960">
        <f t="array" ref="X856">HLOOKUP($J856,'Type Chart'!$C$2:$T$20,5,false)*HLOOKUP($K856,'Type Chart'!$C$2:$U$20,5,false)</f>
        <v>0</v>
      </c>
      <c r="Y856" s="960">
        <f t="array" ref="Y856">HLOOKUP($J856,'Type Chart'!$C$2:$T$20,6,false)*HLOOKUP($K856,'Type Chart'!$C$2:$U$20,6,false)</f>
        <v>2</v>
      </c>
      <c r="Z856" s="960">
        <f t="array" ref="Z856">HLOOKUP($J856,'Type Chart'!$C$2:$T$20,7,false)*HLOOKUP($K856,'Type Chart'!$C$2:$U$20,7,false)</f>
        <v>0.5</v>
      </c>
      <c r="AA856" s="960">
        <f t="array" ref="AA856">HLOOKUP($J856,'Type Chart'!$C$2:$T$20,8,false)*HLOOKUP($K856,'Type Chart'!$C$2:$U$20,8,false)</f>
        <v>0.25</v>
      </c>
      <c r="AB856" s="960">
        <f t="array" ref="AB856">HLOOKUP($J856,'Type Chart'!$C$2:$T$20,9,false)*HLOOKUP($K856,'Type Chart'!$C$2:$U$20,9,false)</f>
        <v>2</v>
      </c>
      <c r="AC856" s="960">
        <f t="array" ref="AC856">HLOOKUP($J856,'Type Chart'!$C$2:$T$20,10,false)*HLOOKUP($K856,'Type Chart'!$C$2:$U$20,10,false)</f>
        <v>0.5</v>
      </c>
      <c r="AD856" s="960">
        <f t="array" ref="AD856">HLOOKUP($J856,'Type Chart'!$C$2:$T$20,11,false)*HLOOKUP($K856,'Type Chart'!$C$2:$U$20,11,false)</f>
        <v>2</v>
      </c>
      <c r="AE856" s="960">
        <f t="array" ref="AE856">HLOOKUP($J856,'Type Chart'!$C$2:$T$20,12,false)*HLOOKUP($K856,'Type Chart'!$C$2:$U$20,12,false)</f>
        <v>1</v>
      </c>
      <c r="AF856" s="960">
        <f t="array" ref="AF856">HLOOKUP($J856,'Type Chart'!$C$2:$T$20,13,false)*HLOOKUP($K856,'Type Chart'!$C$2:$U$20,13,false)</f>
        <v>0.5</v>
      </c>
      <c r="AG856" s="960">
        <f t="array" ref="AG856">HLOOKUP($J856,'Type Chart'!$C$2:$T$20,14,false)*HLOOKUP($K856,'Type Chart'!$C$2:$U$20,14,false)</f>
        <v>1</v>
      </c>
      <c r="AH856" s="960">
        <f t="array" ref="AH856">HLOOKUP($J856,'Type Chart'!$C$2:$T$20,15,false)*HLOOKUP($K856,'Type Chart'!$C$2:$U$20,15,false)</f>
        <v>0.5</v>
      </c>
      <c r="AI856" s="960">
        <f t="array" ref="AI856">HLOOKUP($J856,'Type Chart'!$C$2:$T$20,16,false)*HLOOKUP($K856,'Type Chart'!$C$2:$U$20,16,false)</f>
        <v>0.5</v>
      </c>
      <c r="AJ856" s="960">
        <f t="array" ref="AJ856">HLOOKUP($J856,'Type Chart'!$C$2:$T$20,17,false)*HLOOKUP($K856,'Type Chart'!$C$2:$U$20,17,false)</f>
        <v>0.5</v>
      </c>
      <c r="AK856" s="960">
        <f t="array" ref="AK856">HLOOKUP($J856,'Type Chart'!$C$2:$T$20,18,false)*HLOOKUP($K856,'Type Chart'!$C$2:$U$20,18,false)</f>
        <v>2</v>
      </c>
      <c r="AL856" s="960">
        <f t="array" ref="AL856">HLOOKUP($J856,'Type Chart'!$C$2:$T$20,19,false)*HLOOKUP($K856,'Type Chart'!$C$2:$U$20,19,false)</f>
        <v>0.5</v>
      </c>
      <c r="AM856" s="964" t="s">
        <v>3366</v>
      </c>
      <c r="AN856" s="965"/>
      <c r="AO856" s="966"/>
      <c r="AP856" s="936"/>
      <c r="AQ856" s="967"/>
      <c r="AR856" s="968"/>
      <c r="AS856" s="936"/>
    </row>
    <row r="857" ht="15.75" customHeight="1">
      <c r="A857" s="936"/>
      <c r="B857" s="948" t="s">
        <v>3370</v>
      </c>
      <c r="C857" s="950" t="s">
        <v>3371</v>
      </c>
      <c r="D857" s="950" t="s">
        <v>3371</v>
      </c>
      <c r="E857" s="952" t="s">
        <v>3371</v>
      </c>
      <c r="F857" s="940"/>
      <c r="G857" s="953"/>
      <c r="H857" s="969"/>
      <c r="I857" s="956" t="s">
        <v>3372</v>
      </c>
      <c r="J857" s="1207" t="s">
        <v>127</v>
      </c>
      <c r="K857" s="984" t="s">
        <v>216</v>
      </c>
      <c r="L857" s="959">
        <v>78.0</v>
      </c>
      <c r="M857" s="960">
        <v>52.0</v>
      </c>
      <c r="N857" s="960">
        <v>60.0</v>
      </c>
      <c r="O857" s="960">
        <v>63.0</v>
      </c>
      <c r="P857" s="960">
        <v>65.0</v>
      </c>
      <c r="Q857" s="960">
        <v>23.0</v>
      </c>
      <c r="R857" s="960">
        <v>82.0</v>
      </c>
      <c r="S857" s="960">
        <v>145.0</v>
      </c>
      <c r="T857" s="960">
        <v>159.0</v>
      </c>
      <c r="U857" s="960">
        <f t="array" ref="U857">HLOOKUP($J857,'Type Chart'!$C$2:$T$20,2,false)*HLOOKUP($K857,'Type Chart'!$C$2:$U$20,2,false)</f>
        <v>1</v>
      </c>
      <c r="V857" s="960">
        <f t="array" ref="V857">HLOOKUP($J857,'Type Chart'!$C$2:$T$20,3,false)*HLOOKUP($K857,'Type Chart'!$C$2:$U$20,3,false)</f>
        <v>0.5</v>
      </c>
      <c r="W857" s="960">
        <f t="array" ref="W857">HLOOKUP($J857,'Type Chart'!$C$2:$T$20,4,false)*HLOOKUP($K857,'Type Chart'!$C$2:$U$20,4,false)</f>
        <v>1</v>
      </c>
      <c r="X857" s="960">
        <f t="array" ref="X857">HLOOKUP($J857,'Type Chart'!$C$2:$T$20,5,false)*HLOOKUP($K857,'Type Chart'!$C$2:$U$20,5,false)</f>
        <v>2</v>
      </c>
      <c r="Y857" s="960">
        <f t="array" ref="Y857">HLOOKUP($J857,'Type Chart'!$C$2:$T$20,6,false)*HLOOKUP($K857,'Type Chart'!$C$2:$U$20,6,false)</f>
        <v>1</v>
      </c>
      <c r="Z857" s="960">
        <f t="array" ref="Z857">HLOOKUP($J857,'Type Chart'!$C$2:$T$20,7,false)*HLOOKUP($K857,'Type Chart'!$C$2:$U$20,7,false)</f>
        <v>1</v>
      </c>
      <c r="AA857" s="960">
        <f t="array" ref="AA857">HLOOKUP($J857,'Type Chart'!$C$2:$T$20,8,false)*HLOOKUP($K857,'Type Chart'!$C$2:$U$20,8,false)</f>
        <v>0.5</v>
      </c>
      <c r="AB857" s="960">
        <f t="array" ref="AB857">HLOOKUP($J857,'Type Chart'!$C$2:$T$20,9,false)*HLOOKUP($K857,'Type Chart'!$C$2:$U$20,9,false)</f>
        <v>1</v>
      </c>
      <c r="AC857" s="960">
        <f t="array" ref="AC857">HLOOKUP($J857,'Type Chart'!$C$2:$T$20,10,false)*HLOOKUP($K857,'Type Chart'!$C$2:$U$20,10,false)</f>
        <v>2</v>
      </c>
      <c r="AD857" s="960">
        <f t="array" ref="AD857">HLOOKUP($J857,'Type Chart'!$C$2:$T$20,11,false)*HLOOKUP($K857,'Type Chart'!$C$2:$U$20,11,false)</f>
        <v>1</v>
      </c>
      <c r="AE857" s="960">
        <f t="array" ref="AE857">HLOOKUP($J857,'Type Chart'!$C$2:$T$20,12,false)*HLOOKUP($K857,'Type Chart'!$C$2:$U$20,12,false)</f>
        <v>1</v>
      </c>
      <c r="AF857" s="960">
        <f t="array" ref="AF857">HLOOKUP($J857,'Type Chart'!$C$2:$T$20,13,false)*HLOOKUP($K857,'Type Chart'!$C$2:$U$20,13,false)</f>
        <v>1</v>
      </c>
      <c r="AG857" s="960">
        <f t="array" ref="AG857">HLOOKUP($J857,'Type Chart'!$C$2:$T$20,14,false)*HLOOKUP($K857,'Type Chart'!$C$2:$U$20,14,false)</f>
        <v>1</v>
      </c>
      <c r="AH857" s="960">
        <f t="array" ref="AH857">HLOOKUP($J857,'Type Chart'!$C$2:$T$20,15,false)*HLOOKUP($K857,'Type Chart'!$C$2:$U$20,15,false)</f>
        <v>1</v>
      </c>
      <c r="AI857" s="960">
        <f t="array" ref="AI857">HLOOKUP($J857,'Type Chart'!$C$2:$T$20,16,false)*HLOOKUP($K857,'Type Chart'!$C$2:$U$20,16,false)</f>
        <v>1</v>
      </c>
      <c r="AJ857" s="960">
        <f t="array" ref="AJ857">HLOOKUP($J857,'Type Chart'!$C$2:$T$20,17,false)*HLOOKUP($K857,'Type Chart'!$C$2:$U$20,17,false)</f>
        <v>0</v>
      </c>
      <c r="AK857" s="960">
        <f t="array" ref="AK857">HLOOKUP($J857,'Type Chart'!$C$2:$T$20,18,false)*HLOOKUP($K857,'Type Chart'!$C$2:$U$20,18,false)</f>
        <v>0.5</v>
      </c>
      <c r="AL857" s="960">
        <f t="array" ref="AL857">HLOOKUP($J857,'Type Chart'!$C$2:$T$20,19,false)*HLOOKUP($K857,'Type Chart'!$C$2:$U$20,19,false)</f>
        <v>1</v>
      </c>
      <c r="AM857" s="964" t="s">
        <v>1522</v>
      </c>
      <c r="AN857" s="965"/>
      <c r="AO857" s="966" t="s">
        <v>3373</v>
      </c>
      <c r="AP857" s="936"/>
      <c r="AQ857" s="967"/>
      <c r="AR857" s="968"/>
      <c r="AS857" s="936"/>
    </row>
    <row r="858" ht="15.75" customHeight="1">
      <c r="A858" s="936"/>
      <c r="B858" s="948" t="s">
        <v>3374</v>
      </c>
      <c r="C858" s="950" t="s">
        <v>3375</v>
      </c>
      <c r="D858" s="950" t="s">
        <v>3375</v>
      </c>
      <c r="E858" s="952" t="s">
        <v>3375</v>
      </c>
      <c r="F858" s="940"/>
      <c r="G858" s="953"/>
      <c r="H858" s="969"/>
      <c r="I858" s="956" t="s">
        <v>3376</v>
      </c>
      <c r="J858" s="1207" t="s">
        <v>127</v>
      </c>
      <c r="K858" s="984" t="s">
        <v>216</v>
      </c>
      <c r="L858" s="959">
        <v>101.0</v>
      </c>
      <c r="M858" s="960">
        <v>72.0</v>
      </c>
      <c r="N858" s="960">
        <v>72.0</v>
      </c>
      <c r="O858" s="960">
        <v>99.0</v>
      </c>
      <c r="P858" s="960">
        <v>89.0</v>
      </c>
      <c r="Q858" s="960">
        <v>29.0</v>
      </c>
      <c r="R858" s="960">
        <v>94.0</v>
      </c>
      <c r="S858" s="960">
        <v>157.0</v>
      </c>
      <c r="T858" s="960">
        <v>172.0</v>
      </c>
      <c r="U858" s="960">
        <f t="array" ref="U858">HLOOKUP($J858,'Type Chart'!$C$2:$T$20,2,false)*HLOOKUP($K858,'Type Chart'!$C$2:$U$20,2,false)</f>
        <v>1</v>
      </c>
      <c r="V858" s="960">
        <f t="array" ref="V858">HLOOKUP($J858,'Type Chart'!$C$2:$T$20,3,false)*HLOOKUP($K858,'Type Chart'!$C$2:$U$20,3,false)</f>
        <v>0.5</v>
      </c>
      <c r="W858" s="960">
        <f t="array" ref="W858">HLOOKUP($J858,'Type Chart'!$C$2:$T$20,4,false)*HLOOKUP($K858,'Type Chart'!$C$2:$U$20,4,false)</f>
        <v>1</v>
      </c>
      <c r="X858" s="960">
        <f t="array" ref="X858">HLOOKUP($J858,'Type Chart'!$C$2:$T$20,5,false)*HLOOKUP($K858,'Type Chart'!$C$2:$U$20,5,false)</f>
        <v>2</v>
      </c>
      <c r="Y858" s="960">
        <f t="array" ref="Y858">HLOOKUP($J858,'Type Chart'!$C$2:$T$20,6,false)*HLOOKUP($K858,'Type Chart'!$C$2:$U$20,6,false)</f>
        <v>1</v>
      </c>
      <c r="Z858" s="960">
        <f t="array" ref="Z858">HLOOKUP($J858,'Type Chart'!$C$2:$T$20,7,false)*HLOOKUP($K858,'Type Chart'!$C$2:$U$20,7,false)</f>
        <v>1</v>
      </c>
      <c r="AA858" s="960">
        <f t="array" ref="AA858">HLOOKUP($J858,'Type Chart'!$C$2:$T$20,8,false)*HLOOKUP($K858,'Type Chart'!$C$2:$U$20,8,false)</f>
        <v>0.5</v>
      </c>
      <c r="AB858" s="960">
        <f t="array" ref="AB858">HLOOKUP($J858,'Type Chart'!$C$2:$T$20,9,false)*HLOOKUP($K858,'Type Chart'!$C$2:$U$20,9,false)</f>
        <v>1</v>
      </c>
      <c r="AC858" s="960">
        <f t="array" ref="AC858">HLOOKUP($J858,'Type Chart'!$C$2:$T$20,10,false)*HLOOKUP($K858,'Type Chart'!$C$2:$U$20,10,false)</f>
        <v>2</v>
      </c>
      <c r="AD858" s="960">
        <f t="array" ref="AD858">HLOOKUP($J858,'Type Chart'!$C$2:$T$20,11,false)*HLOOKUP($K858,'Type Chart'!$C$2:$U$20,11,false)</f>
        <v>1</v>
      </c>
      <c r="AE858" s="960">
        <f t="array" ref="AE858">HLOOKUP($J858,'Type Chart'!$C$2:$T$20,12,false)*HLOOKUP($K858,'Type Chart'!$C$2:$U$20,12,false)</f>
        <v>1</v>
      </c>
      <c r="AF858" s="960">
        <f t="array" ref="AF858">HLOOKUP($J858,'Type Chart'!$C$2:$T$20,13,false)*HLOOKUP($K858,'Type Chart'!$C$2:$U$20,13,false)</f>
        <v>1</v>
      </c>
      <c r="AG858" s="960">
        <f t="array" ref="AG858">HLOOKUP($J858,'Type Chart'!$C$2:$T$20,14,false)*HLOOKUP($K858,'Type Chart'!$C$2:$U$20,14,false)</f>
        <v>1</v>
      </c>
      <c r="AH858" s="960">
        <f t="array" ref="AH858">HLOOKUP($J858,'Type Chart'!$C$2:$T$20,15,false)*HLOOKUP($K858,'Type Chart'!$C$2:$U$20,15,false)</f>
        <v>1</v>
      </c>
      <c r="AI858" s="960">
        <f t="array" ref="AI858">HLOOKUP($J858,'Type Chart'!$C$2:$T$20,16,false)*HLOOKUP($K858,'Type Chart'!$C$2:$U$20,16,false)</f>
        <v>1</v>
      </c>
      <c r="AJ858" s="960">
        <f t="array" ref="AJ858">HLOOKUP($J858,'Type Chart'!$C$2:$T$20,17,false)*HLOOKUP($K858,'Type Chart'!$C$2:$U$20,17,false)</f>
        <v>0</v>
      </c>
      <c r="AK858" s="960">
        <f t="array" ref="AK858">HLOOKUP($J858,'Type Chart'!$C$2:$T$20,18,false)*HLOOKUP($K858,'Type Chart'!$C$2:$U$20,18,false)</f>
        <v>0.5</v>
      </c>
      <c r="AL858" s="960">
        <f t="array" ref="AL858">HLOOKUP($J858,'Type Chart'!$C$2:$T$20,19,false)*HLOOKUP($K858,'Type Chart'!$C$2:$U$20,19,false)</f>
        <v>1</v>
      </c>
      <c r="AM858" s="964" t="s">
        <v>1522</v>
      </c>
      <c r="AN858" s="965"/>
      <c r="AO858" s="966" t="s">
        <v>3373</v>
      </c>
      <c r="AP858" s="936"/>
      <c r="AQ858" s="967"/>
      <c r="AR858" s="968"/>
      <c r="AS858" s="936"/>
    </row>
    <row r="859" ht="15.75" customHeight="1">
      <c r="A859" s="936"/>
      <c r="B859" s="948" t="s">
        <v>3377</v>
      </c>
      <c r="C859" s="950" t="s">
        <v>3378</v>
      </c>
      <c r="D859" s="950" t="s">
        <v>3378</v>
      </c>
      <c r="E859" s="952" t="s">
        <v>3378</v>
      </c>
      <c r="F859" s="940"/>
      <c r="G859" s="953"/>
      <c r="H859" s="969"/>
      <c r="I859" s="956" t="s">
        <v>3379</v>
      </c>
      <c r="J859" s="1207" t="s">
        <v>127</v>
      </c>
      <c r="K859" s="984" t="s">
        <v>216</v>
      </c>
      <c r="L859" s="959">
        <v>62.0</v>
      </c>
      <c r="M859" s="960">
        <v>48.0</v>
      </c>
      <c r="N859" s="960">
        <v>66.0</v>
      </c>
      <c r="O859" s="960">
        <v>59.0</v>
      </c>
      <c r="P859" s="960">
        <v>57.0</v>
      </c>
      <c r="Q859" s="960">
        <v>49.0</v>
      </c>
      <c r="R859" s="960">
        <v>134.0</v>
      </c>
      <c r="S859" s="960">
        <v>197.0</v>
      </c>
      <c r="T859" s="960">
        <v>216.0</v>
      </c>
      <c r="U859" s="960">
        <f t="array" ref="U859">HLOOKUP($J859,'Type Chart'!$C$2:$T$20,2,false)*HLOOKUP($K859,'Type Chart'!$C$2:$U$20,2,false)</f>
        <v>1</v>
      </c>
      <c r="V859" s="960">
        <f t="array" ref="V859">HLOOKUP($J859,'Type Chart'!$C$2:$T$20,3,false)*HLOOKUP($K859,'Type Chart'!$C$2:$U$20,3,false)</f>
        <v>0.5</v>
      </c>
      <c r="W859" s="960">
        <f t="array" ref="W859">HLOOKUP($J859,'Type Chart'!$C$2:$T$20,4,false)*HLOOKUP($K859,'Type Chart'!$C$2:$U$20,4,false)</f>
        <v>1</v>
      </c>
      <c r="X859" s="960">
        <f t="array" ref="X859">HLOOKUP($J859,'Type Chart'!$C$2:$T$20,5,false)*HLOOKUP($K859,'Type Chart'!$C$2:$U$20,5,false)</f>
        <v>2</v>
      </c>
      <c r="Y859" s="960">
        <f t="array" ref="Y859">HLOOKUP($J859,'Type Chart'!$C$2:$T$20,6,false)*HLOOKUP($K859,'Type Chart'!$C$2:$U$20,6,false)</f>
        <v>1</v>
      </c>
      <c r="Z859" s="960">
        <f t="array" ref="Z859">HLOOKUP($J859,'Type Chart'!$C$2:$T$20,7,false)*HLOOKUP($K859,'Type Chart'!$C$2:$U$20,7,false)</f>
        <v>1</v>
      </c>
      <c r="AA859" s="960">
        <f t="array" ref="AA859">HLOOKUP($J859,'Type Chart'!$C$2:$T$20,8,false)*HLOOKUP($K859,'Type Chart'!$C$2:$U$20,8,false)</f>
        <v>0.5</v>
      </c>
      <c r="AB859" s="960">
        <f t="array" ref="AB859">HLOOKUP($J859,'Type Chart'!$C$2:$T$20,9,false)*HLOOKUP($K859,'Type Chart'!$C$2:$U$20,9,false)</f>
        <v>1</v>
      </c>
      <c r="AC859" s="960">
        <f t="array" ref="AC859">HLOOKUP($J859,'Type Chart'!$C$2:$T$20,10,false)*HLOOKUP($K859,'Type Chart'!$C$2:$U$20,10,false)</f>
        <v>2</v>
      </c>
      <c r="AD859" s="960">
        <f t="array" ref="AD859">HLOOKUP($J859,'Type Chart'!$C$2:$T$20,11,false)*HLOOKUP($K859,'Type Chart'!$C$2:$U$20,11,false)</f>
        <v>1</v>
      </c>
      <c r="AE859" s="960">
        <f t="array" ref="AE859">HLOOKUP($J859,'Type Chart'!$C$2:$T$20,12,false)*HLOOKUP($K859,'Type Chart'!$C$2:$U$20,12,false)</f>
        <v>1</v>
      </c>
      <c r="AF859" s="960">
        <f t="array" ref="AF859">HLOOKUP($J859,'Type Chart'!$C$2:$T$20,13,false)*HLOOKUP($K859,'Type Chart'!$C$2:$U$20,13,false)</f>
        <v>1</v>
      </c>
      <c r="AG859" s="960">
        <f t="array" ref="AG859">HLOOKUP($J859,'Type Chart'!$C$2:$T$20,14,false)*HLOOKUP($K859,'Type Chart'!$C$2:$U$20,14,false)</f>
        <v>1</v>
      </c>
      <c r="AH859" s="960">
        <f t="array" ref="AH859">HLOOKUP($J859,'Type Chart'!$C$2:$T$20,15,false)*HLOOKUP($K859,'Type Chart'!$C$2:$U$20,15,false)</f>
        <v>1</v>
      </c>
      <c r="AI859" s="960">
        <f t="array" ref="AI859">HLOOKUP($J859,'Type Chart'!$C$2:$T$20,16,false)*HLOOKUP($K859,'Type Chart'!$C$2:$U$20,16,false)</f>
        <v>1</v>
      </c>
      <c r="AJ859" s="960">
        <f t="array" ref="AJ859">HLOOKUP($J859,'Type Chart'!$C$2:$T$20,17,false)*HLOOKUP($K859,'Type Chart'!$C$2:$U$20,17,false)</f>
        <v>0</v>
      </c>
      <c r="AK859" s="960">
        <f t="array" ref="AK859">HLOOKUP($J859,'Type Chart'!$C$2:$T$20,18,false)*HLOOKUP($K859,'Type Chart'!$C$2:$U$20,18,false)</f>
        <v>0.5</v>
      </c>
      <c r="AL859" s="960">
        <f t="array" ref="AL859">HLOOKUP($J859,'Type Chart'!$C$2:$T$20,19,false)*HLOOKUP($K859,'Type Chart'!$C$2:$U$20,19,false)</f>
        <v>1</v>
      </c>
      <c r="AM859" s="964" t="s">
        <v>3380</v>
      </c>
      <c r="AN859" s="965"/>
      <c r="AO859" s="966" t="s">
        <v>1498</v>
      </c>
      <c r="AP859" s="936"/>
      <c r="AQ859" s="967"/>
      <c r="AR859" s="968"/>
      <c r="AS859" s="936"/>
    </row>
    <row r="860" ht="15.75" customHeight="1">
      <c r="A860" s="936"/>
      <c r="B860" s="948" t="s">
        <v>3381</v>
      </c>
      <c r="C860" s="950" t="s">
        <v>3382</v>
      </c>
      <c r="D860" s="950" t="s">
        <v>3382</v>
      </c>
      <c r="E860" s="952" t="s">
        <v>3382</v>
      </c>
      <c r="F860" s="940"/>
      <c r="G860" s="953"/>
      <c r="H860" s="969"/>
      <c r="I860" s="956" t="s">
        <v>3383</v>
      </c>
      <c r="J860" s="1207" t="s">
        <v>127</v>
      </c>
      <c r="K860" s="984" t="s">
        <v>216</v>
      </c>
      <c r="L860" s="959">
        <v>82.0</v>
      </c>
      <c r="M860" s="960">
        <v>80.0</v>
      </c>
      <c r="N860" s="960">
        <v>86.0</v>
      </c>
      <c r="O860" s="960">
        <v>85.0</v>
      </c>
      <c r="P860" s="960">
        <v>75.0</v>
      </c>
      <c r="Q860" s="960">
        <v>72.0</v>
      </c>
      <c r="R860" s="960">
        <v>180.0</v>
      </c>
      <c r="S860" s="960">
        <v>243.0</v>
      </c>
      <c r="T860" s="960">
        <v>267.0</v>
      </c>
      <c r="U860" s="960">
        <f t="array" ref="U860">HLOOKUP($J860,'Type Chart'!$C$2:$T$20,2,false)*HLOOKUP($K860,'Type Chart'!$C$2:$U$20,2,false)</f>
        <v>1</v>
      </c>
      <c r="V860" s="960">
        <f t="array" ref="V860">HLOOKUP($J860,'Type Chart'!$C$2:$T$20,3,false)*HLOOKUP($K860,'Type Chart'!$C$2:$U$20,3,false)</f>
        <v>0.5</v>
      </c>
      <c r="W860" s="960">
        <f t="array" ref="W860">HLOOKUP($J860,'Type Chart'!$C$2:$T$20,4,false)*HLOOKUP($K860,'Type Chart'!$C$2:$U$20,4,false)</f>
        <v>1</v>
      </c>
      <c r="X860" s="960">
        <f t="array" ref="X860">HLOOKUP($J860,'Type Chart'!$C$2:$T$20,5,false)*HLOOKUP($K860,'Type Chart'!$C$2:$U$20,5,false)</f>
        <v>2</v>
      </c>
      <c r="Y860" s="960">
        <f t="array" ref="Y860">HLOOKUP($J860,'Type Chart'!$C$2:$T$20,6,false)*HLOOKUP($K860,'Type Chart'!$C$2:$U$20,6,false)</f>
        <v>1</v>
      </c>
      <c r="Z860" s="960">
        <f t="array" ref="Z860">HLOOKUP($J860,'Type Chart'!$C$2:$T$20,7,false)*HLOOKUP($K860,'Type Chart'!$C$2:$U$20,7,false)</f>
        <v>1</v>
      </c>
      <c r="AA860" s="960">
        <f t="array" ref="AA860">HLOOKUP($J860,'Type Chart'!$C$2:$T$20,8,false)*HLOOKUP($K860,'Type Chart'!$C$2:$U$20,8,false)</f>
        <v>0.5</v>
      </c>
      <c r="AB860" s="960">
        <f t="array" ref="AB860">HLOOKUP($J860,'Type Chart'!$C$2:$T$20,9,false)*HLOOKUP($K860,'Type Chart'!$C$2:$U$20,9,false)</f>
        <v>1</v>
      </c>
      <c r="AC860" s="960">
        <f t="array" ref="AC860">HLOOKUP($J860,'Type Chart'!$C$2:$T$20,10,false)*HLOOKUP($K860,'Type Chart'!$C$2:$U$20,10,false)</f>
        <v>2</v>
      </c>
      <c r="AD860" s="960">
        <f t="array" ref="AD860">HLOOKUP($J860,'Type Chart'!$C$2:$T$20,11,false)*HLOOKUP($K860,'Type Chart'!$C$2:$U$20,11,false)</f>
        <v>1</v>
      </c>
      <c r="AE860" s="960">
        <f t="array" ref="AE860">HLOOKUP($J860,'Type Chart'!$C$2:$T$20,12,false)*HLOOKUP($K860,'Type Chart'!$C$2:$U$20,12,false)</f>
        <v>1</v>
      </c>
      <c r="AF860" s="960">
        <f t="array" ref="AF860">HLOOKUP($J860,'Type Chart'!$C$2:$T$20,13,false)*HLOOKUP($K860,'Type Chart'!$C$2:$U$20,13,false)</f>
        <v>1</v>
      </c>
      <c r="AG860" s="960">
        <f t="array" ref="AG860">HLOOKUP($J860,'Type Chart'!$C$2:$T$20,14,false)*HLOOKUP($K860,'Type Chart'!$C$2:$U$20,14,false)</f>
        <v>1</v>
      </c>
      <c r="AH860" s="960">
        <f t="array" ref="AH860">HLOOKUP($J860,'Type Chart'!$C$2:$T$20,15,false)*HLOOKUP($K860,'Type Chart'!$C$2:$U$20,15,false)</f>
        <v>1</v>
      </c>
      <c r="AI860" s="960">
        <f t="array" ref="AI860">HLOOKUP($J860,'Type Chart'!$C$2:$T$20,16,false)*HLOOKUP($K860,'Type Chart'!$C$2:$U$20,16,false)</f>
        <v>1</v>
      </c>
      <c r="AJ860" s="960">
        <f t="array" ref="AJ860">HLOOKUP($J860,'Type Chart'!$C$2:$T$20,17,false)*HLOOKUP($K860,'Type Chart'!$C$2:$U$20,17,false)</f>
        <v>0</v>
      </c>
      <c r="AK860" s="960">
        <f t="array" ref="AK860">HLOOKUP($J860,'Type Chart'!$C$2:$T$20,18,false)*HLOOKUP($K860,'Type Chart'!$C$2:$U$20,18,false)</f>
        <v>0.5</v>
      </c>
      <c r="AL860" s="960">
        <f t="array" ref="AL860">HLOOKUP($J860,'Type Chart'!$C$2:$T$20,19,false)*HLOOKUP($K860,'Type Chart'!$C$2:$U$20,19,false)</f>
        <v>1</v>
      </c>
      <c r="AM860" s="964" t="s">
        <v>3380</v>
      </c>
      <c r="AN860" s="965"/>
      <c r="AO860" s="966" t="s">
        <v>1498</v>
      </c>
      <c r="AP860" s="936"/>
      <c r="AQ860" s="967"/>
      <c r="AR860" s="968"/>
      <c r="AS860" s="936"/>
    </row>
    <row r="861" ht="15.75" customHeight="1">
      <c r="A861" s="936"/>
      <c r="B861" s="948" t="s">
        <v>3384</v>
      </c>
      <c r="C861" s="950" t="s">
        <v>3385</v>
      </c>
      <c r="D861" s="950" t="s">
        <v>3385</v>
      </c>
      <c r="E861" s="952" t="s">
        <v>3385</v>
      </c>
      <c r="F861" s="940"/>
      <c r="G861" s="953"/>
      <c r="H861" s="969"/>
      <c r="I861" s="956" t="s">
        <v>3386</v>
      </c>
      <c r="J861" s="1195" t="s">
        <v>193</v>
      </c>
      <c r="K861" s="1203" t="s">
        <v>344</v>
      </c>
      <c r="L861" s="959">
        <v>53.0</v>
      </c>
      <c r="M861" s="960">
        <v>54.0</v>
      </c>
      <c r="N861" s="960">
        <v>53.0</v>
      </c>
      <c r="O861" s="960">
        <v>37.0</v>
      </c>
      <c r="P861" s="960">
        <v>46.0</v>
      </c>
      <c r="Q861" s="960">
        <v>45.0</v>
      </c>
      <c r="R861" s="960">
        <v>126.0</v>
      </c>
      <c r="S861" s="960">
        <v>189.0</v>
      </c>
      <c r="T861" s="960">
        <v>207.0</v>
      </c>
      <c r="U861" s="960">
        <f t="array" ref="U861">HLOOKUP($J861,'Type Chart'!$C$2:$T$20,2,false)*HLOOKUP($K861,'Type Chart'!$C$2:$U$20,2,false)</f>
        <v>1</v>
      </c>
      <c r="V861" s="960">
        <f t="array" ref="V861">HLOOKUP($J861,'Type Chart'!$C$2:$T$20,3,false)*HLOOKUP($K861,'Type Chart'!$C$2:$U$20,3,false)</f>
        <v>1</v>
      </c>
      <c r="W861" s="960">
        <f t="array" ref="W861">HLOOKUP($J861,'Type Chart'!$C$2:$T$20,4,false)*HLOOKUP($K861,'Type Chart'!$C$2:$U$20,4,false)</f>
        <v>1</v>
      </c>
      <c r="X861" s="960">
        <f t="array" ref="X861">HLOOKUP($J861,'Type Chart'!$C$2:$T$20,5,false)*HLOOKUP($K861,'Type Chart'!$C$2:$U$20,5,false)</f>
        <v>1</v>
      </c>
      <c r="Y861" s="960">
        <f t="array" ref="Y861">HLOOKUP($J861,'Type Chart'!$C$2:$T$20,6,false)*HLOOKUP($K861,'Type Chart'!$C$2:$U$20,6,false)</f>
        <v>1</v>
      </c>
      <c r="Z861" s="960">
        <f t="array" ref="Z861">HLOOKUP($J861,'Type Chart'!$C$2:$T$20,7,false)*HLOOKUP($K861,'Type Chart'!$C$2:$U$20,7,false)</f>
        <v>1</v>
      </c>
      <c r="AA861" s="960">
        <f t="array" ref="AA861">HLOOKUP($J861,'Type Chart'!$C$2:$T$20,8,false)*HLOOKUP($K861,'Type Chart'!$C$2:$U$20,8,false)</f>
        <v>4</v>
      </c>
      <c r="AB861" s="960">
        <f t="array" ref="AB861">HLOOKUP($J861,'Type Chart'!$C$2:$T$20,9,false)*HLOOKUP($K861,'Type Chart'!$C$2:$U$20,9,false)</f>
        <v>1</v>
      </c>
      <c r="AC861" s="960">
        <f t="array" ref="AC861">HLOOKUP($J861,'Type Chart'!$C$2:$T$20,10,false)*HLOOKUP($K861,'Type Chart'!$C$2:$U$20,10,false)</f>
        <v>1</v>
      </c>
      <c r="AD861" s="960">
        <f t="array" ref="AD861">HLOOKUP($J861,'Type Chart'!$C$2:$T$20,11,false)*HLOOKUP($K861,'Type Chart'!$C$2:$U$20,11,false)</f>
        <v>1</v>
      </c>
      <c r="AE861" s="960">
        <f t="array" ref="AE861">HLOOKUP($J861,'Type Chart'!$C$2:$T$20,12,false)*HLOOKUP($K861,'Type Chart'!$C$2:$U$20,12,false)</f>
        <v>1</v>
      </c>
      <c r="AF861" s="960">
        <f t="array" ref="AF861">HLOOKUP($J861,'Type Chart'!$C$2:$T$20,13,false)*HLOOKUP($K861,'Type Chart'!$C$2:$U$20,13,false)</f>
        <v>1</v>
      </c>
      <c r="AG861" s="960">
        <f t="array" ref="AG861">HLOOKUP($J861,'Type Chart'!$C$2:$T$20,14,false)*HLOOKUP($K861,'Type Chart'!$C$2:$U$20,14,false)</f>
        <v>1</v>
      </c>
      <c r="AH861" s="960">
        <f t="array" ref="AH861">HLOOKUP($J861,'Type Chart'!$C$2:$T$20,15,false)*HLOOKUP($K861,'Type Chart'!$C$2:$U$20,15,false)</f>
        <v>0</v>
      </c>
      <c r="AI861" s="960">
        <f t="array" ref="AI861">HLOOKUP($J861,'Type Chart'!$C$2:$T$20,16,false)*HLOOKUP($K861,'Type Chart'!$C$2:$U$20,16,false)</f>
        <v>1</v>
      </c>
      <c r="AJ861" s="960">
        <f t="array" ref="AJ861">HLOOKUP($J861,'Type Chart'!$C$2:$T$20,17,false)*HLOOKUP($K861,'Type Chart'!$C$2:$U$20,17,false)</f>
        <v>1</v>
      </c>
      <c r="AK861" s="960">
        <f t="array" ref="AK861">HLOOKUP($J861,'Type Chart'!$C$2:$T$20,18,false)*HLOOKUP($K861,'Type Chart'!$C$2:$U$20,18,false)</f>
        <v>1</v>
      </c>
      <c r="AL861" s="960">
        <f t="array" ref="AL861">HLOOKUP($J861,'Type Chart'!$C$2:$T$20,19,false)*HLOOKUP($K861,'Type Chart'!$C$2:$U$20,19,false)</f>
        <v>2</v>
      </c>
      <c r="AM861" s="964" t="s">
        <v>1861</v>
      </c>
      <c r="AN861" s="965" t="s">
        <v>1902</v>
      </c>
      <c r="AO861" s="966" t="s">
        <v>1193</v>
      </c>
      <c r="AP861" s="936"/>
      <c r="AQ861" s="967"/>
      <c r="AR861" s="968"/>
      <c r="AS861" s="936"/>
    </row>
    <row r="862" ht="15.75" customHeight="1">
      <c r="A862" s="936"/>
      <c r="B862" s="948" t="s">
        <v>3387</v>
      </c>
      <c r="C862" s="950" t="s">
        <v>3388</v>
      </c>
      <c r="D862" s="950" t="s">
        <v>3388</v>
      </c>
      <c r="E862" s="952" t="s">
        <v>3388</v>
      </c>
      <c r="F862" s="940"/>
      <c r="G862" s="953"/>
      <c r="H862" s="969"/>
      <c r="I862" s="998" t="s">
        <v>806</v>
      </c>
      <c r="J862" s="1195" t="s">
        <v>193</v>
      </c>
      <c r="K862" s="1203" t="s">
        <v>344</v>
      </c>
      <c r="L862" s="959">
        <v>86.0</v>
      </c>
      <c r="M862" s="960">
        <v>92.0</v>
      </c>
      <c r="N862" s="960">
        <v>88.0</v>
      </c>
      <c r="O862" s="960">
        <v>68.0</v>
      </c>
      <c r="P862" s="960">
        <v>75.0</v>
      </c>
      <c r="Q862" s="960">
        <v>73.0</v>
      </c>
      <c r="R862" s="960">
        <v>182.0</v>
      </c>
      <c r="S862" s="960">
        <v>245.0</v>
      </c>
      <c r="T862" s="960">
        <v>269.0</v>
      </c>
      <c r="U862" s="960">
        <f t="array" ref="U862">HLOOKUP($J862,'Type Chart'!$C$2:$T$20,2,false)*HLOOKUP($K862,'Type Chart'!$C$2:$U$20,2,false)</f>
        <v>1</v>
      </c>
      <c r="V862" s="960">
        <f t="array" ref="V862">HLOOKUP($J862,'Type Chart'!$C$2:$T$20,3,false)*HLOOKUP($K862,'Type Chart'!$C$2:$U$20,3,false)</f>
        <v>1</v>
      </c>
      <c r="W862" s="960">
        <f t="array" ref="W862">HLOOKUP($J862,'Type Chart'!$C$2:$T$20,4,false)*HLOOKUP($K862,'Type Chart'!$C$2:$U$20,4,false)</f>
        <v>1</v>
      </c>
      <c r="X862" s="960">
        <f t="array" ref="X862">HLOOKUP($J862,'Type Chart'!$C$2:$T$20,5,false)*HLOOKUP($K862,'Type Chart'!$C$2:$U$20,5,false)</f>
        <v>1</v>
      </c>
      <c r="Y862" s="960">
        <f t="array" ref="Y862">HLOOKUP($J862,'Type Chart'!$C$2:$T$20,6,false)*HLOOKUP($K862,'Type Chart'!$C$2:$U$20,6,false)</f>
        <v>1</v>
      </c>
      <c r="Z862" s="960">
        <f t="array" ref="Z862">HLOOKUP($J862,'Type Chart'!$C$2:$T$20,7,false)*HLOOKUP($K862,'Type Chart'!$C$2:$U$20,7,false)</f>
        <v>1</v>
      </c>
      <c r="AA862" s="960">
        <f t="array" ref="AA862">HLOOKUP($J862,'Type Chart'!$C$2:$T$20,8,false)*HLOOKUP($K862,'Type Chart'!$C$2:$U$20,8,false)</f>
        <v>4</v>
      </c>
      <c r="AB862" s="960">
        <f t="array" ref="AB862">HLOOKUP($J862,'Type Chart'!$C$2:$T$20,9,false)*HLOOKUP($K862,'Type Chart'!$C$2:$U$20,9,false)</f>
        <v>1</v>
      </c>
      <c r="AC862" s="960">
        <f t="array" ref="AC862">HLOOKUP($J862,'Type Chart'!$C$2:$T$20,10,false)*HLOOKUP($K862,'Type Chart'!$C$2:$U$20,10,false)</f>
        <v>1</v>
      </c>
      <c r="AD862" s="960">
        <f t="array" ref="AD862">HLOOKUP($J862,'Type Chart'!$C$2:$T$20,11,false)*HLOOKUP($K862,'Type Chart'!$C$2:$U$20,11,false)</f>
        <v>1</v>
      </c>
      <c r="AE862" s="960">
        <f t="array" ref="AE862">HLOOKUP($J862,'Type Chart'!$C$2:$T$20,12,false)*HLOOKUP($K862,'Type Chart'!$C$2:$U$20,12,false)</f>
        <v>1</v>
      </c>
      <c r="AF862" s="960">
        <f t="array" ref="AF862">HLOOKUP($J862,'Type Chart'!$C$2:$T$20,13,false)*HLOOKUP($K862,'Type Chart'!$C$2:$U$20,13,false)</f>
        <v>1</v>
      </c>
      <c r="AG862" s="960">
        <f t="array" ref="AG862">HLOOKUP($J862,'Type Chart'!$C$2:$T$20,14,false)*HLOOKUP($K862,'Type Chart'!$C$2:$U$20,14,false)</f>
        <v>1</v>
      </c>
      <c r="AH862" s="960">
        <f t="array" ref="AH862">HLOOKUP($J862,'Type Chart'!$C$2:$T$20,15,false)*HLOOKUP($K862,'Type Chart'!$C$2:$U$20,15,false)</f>
        <v>0</v>
      </c>
      <c r="AI862" s="960">
        <f t="array" ref="AI862">HLOOKUP($J862,'Type Chart'!$C$2:$T$20,16,false)*HLOOKUP($K862,'Type Chart'!$C$2:$U$20,16,false)</f>
        <v>1</v>
      </c>
      <c r="AJ862" s="960">
        <f t="array" ref="AJ862">HLOOKUP($J862,'Type Chart'!$C$2:$T$20,17,false)*HLOOKUP($K862,'Type Chart'!$C$2:$U$20,17,false)</f>
        <v>1</v>
      </c>
      <c r="AK862" s="960">
        <f t="array" ref="AK862">HLOOKUP($J862,'Type Chart'!$C$2:$T$20,18,false)*HLOOKUP($K862,'Type Chart'!$C$2:$U$20,18,false)</f>
        <v>1</v>
      </c>
      <c r="AL862" s="960">
        <f t="array" ref="AL862">HLOOKUP($J862,'Type Chart'!$C$2:$T$20,19,false)*HLOOKUP($K862,'Type Chart'!$C$2:$U$20,19,false)</f>
        <v>2</v>
      </c>
      <c r="AM862" s="1145" t="s">
        <v>1861</v>
      </c>
      <c r="AN862" s="965" t="s">
        <v>1902</v>
      </c>
      <c r="AO862" s="966" t="s">
        <v>1193</v>
      </c>
      <c r="AP862" s="936"/>
      <c r="AQ862" s="967"/>
      <c r="AR862" s="968"/>
      <c r="AS862" s="936"/>
    </row>
    <row r="863" ht="15.75" customHeight="1">
      <c r="A863" s="936"/>
      <c r="B863" s="948" t="s">
        <v>3389</v>
      </c>
      <c r="C863" s="950" t="s">
        <v>3390</v>
      </c>
      <c r="D863" s="950" t="s">
        <v>3390</v>
      </c>
      <c r="E863" s="952" t="s">
        <v>3390</v>
      </c>
      <c r="F863" s="940"/>
      <c r="G863" s="953"/>
      <c r="H863" s="969"/>
      <c r="I863" s="998" t="s">
        <v>3391</v>
      </c>
      <c r="J863" s="1214" t="s">
        <v>342</v>
      </c>
      <c r="K863" s="1056" t="s">
        <v>81</v>
      </c>
      <c r="L863" s="959">
        <v>42.0</v>
      </c>
      <c r="M863" s="960">
        <v>52.0</v>
      </c>
      <c r="N863" s="960">
        <v>67.0</v>
      </c>
      <c r="O863" s="960">
        <v>39.0</v>
      </c>
      <c r="P863" s="960">
        <v>56.0</v>
      </c>
      <c r="Q863" s="960">
        <v>50.0</v>
      </c>
      <c r="R863" s="960">
        <v>136.0</v>
      </c>
      <c r="S863" s="960">
        <v>199.0</v>
      </c>
      <c r="T863" s="960">
        <v>218.0</v>
      </c>
      <c r="U863" s="960">
        <f t="array" ref="U863">HLOOKUP($J863,'Type Chart'!$C$2:$T$20,2,false)*HLOOKUP($K863,'Type Chart'!$C$2:$U$20,2,false)</f>
        <v>0.5</v>
      </c>
      <c r="V863" s="960">
        <f t="array" ref="V863">HLOOKUP($J863,'Type Chart'!$C$2:$T$20,3,false)*HLOOKUP($K863,'Type Chart'!$C$2:$U$20,3,false)</f>
        <v>2</v>
      </c>
      <c r="W863" s="960">
        <f t="array" ref="W863">HLOOKUP($J863,'Type Chart'!$C$2:$T$20,4,false)*HLOOKUP($K863,'Type Chart'!$C$2:$U$20,4,false)</f>
        <v>0.5</v>
      </c>
      <c r="X863" s="960">
        <f t="array" ref="X863">HLOOKUP($J863,'Type Chart'!$C$2:$T$20,5,false)*HLOOKUP($K863,'Type Chart'!$C$2:$U$20,5,false)</f>
        <v>0.5</v>
      </c>
      <c r="Y863" s="960">
        <f t="array" ref="Y863">HLOOKUP($J863,'Type Chart'!$C$2:$T$20,6,false)*HLOOKUP($K863,'Type Chart'!$C$2:$U$20,6,false)</f>
        <v>2</v>
      </c>
      <c r="Z863" s="960">
        <f t="array" ref="Z863">HLOOKUP($J863,'Type Chart'!$C$2:$T$20,7,false)*HLOOKUP($K863,'Type Chart'!$C$2:$U$20,7,false)</f>
        <v>1</v>
      </c>
      <c r="AA863" s="960">
        <f t="array" ref="AA863">HLOOKUP($J863,'Type Chart'!$C$2:$T$20,8,false)*HLOOKUP($K863,'Type Chart'!$C$2:$U$20,8,false)</f>
        <v>1</v>
      </c>
      <c r="AB863" s="960">
        <f t="array" ref="AB863">HLOOKUP($J863,'Type Chart'!$C$2:$T$20,9,false)*HLOOKUP($K863,'Type Chart'!$C$2:$U$20,9,false)</f>
        <v>1</v>
      </c>
      <c r="AC863" s="960">
        <f t="array" ref="AC863">HLOOKUP($J863,'Type Chart'!$C$2:$T$20,10,false)*HLOOKUP($K863,'Type Chart'!$C$2:$U$20,10,false)</f>
        <v>1</v>
      </c>
      <c r="AD863" s="960">
        <f t="array" ref="AD863">HLOOKUP($J863,'Type Chart'!$C$2:$T$20,11,false)*HLOOKUP($K863,'Type Chart'!$C$2:$U$20,11,false)</f>
        <v>0.25</v>
      </c>
      <c r="AE863" s="960">
        <f t="array" ref="AE863">HLOOKUP($J863,'Type Chart'!$C$2:$T$20,12,false)*HLOOKUP($K863,'Type Chart'!$C$2:$U$20,12,false)</f>
        <v>1</v>
      </c>
      <c r="AF863" s="960">
        <f t="array" ref="AF863">HLOOKUP($J863,'Type Chart'!$C$2:$T$20,13,false)*HLOOKUP($K863,'Type Chart'!$C$2:$U$20,13,false)</f>
        <v>4</v>
      </c>
      <c r="AG863" s="960">
        <f t="array" ref="AG863">HLOOKUP($J863,'Type Chart'!$C$2:$T$20,14,false)*HLOOKUP($K863,'Type Chart'!$C$2:$U$20,14,false)</f>
        <v>2</v>
      </c>
      <c r="AH863" s="960">
        <f t="array" ref="AH863">HLOOKUP($J863,'Type Chart'!$C$2:$T$20,15,false)*HLOOKUP($K863,'Type Chart'!$C$2:$U$20,15,false)</f>
        <v>1</v>
      </c>
      <c r="AI863" s="960">
        <f t="array" ref="AI863">HLOOKUP($J863,'Type Chart'!$C$2:$T$20,16,false)*HLOOKUP($K863,'Type Chart'!$C$2:$U$20,16,false)</f>
        <v>0.5</v>
      </c>
      <c r="AJ863" s="960">
        <f t="array" ref="AJ863">HLOOKUP($J863,'Type Chart'!$C$2:$T$20,17,false)*HLOOKUP($K863,'Type Chart'!$C$2:$U$20,17,false)</f>
        <v>1</v>
      </c>
      <c r="AK863" s="960">
        <f t="array" ref="AK863">HLOOKUP($J863,'Type Chart'!$C$2:$T$20,18,false)*HLOOKUP($K863,'Type Chart'!$C$2:$U$20,18,false)</f>
        <v>1</v>
      </c>
      <c r="AL863" s="960">
        <f t="array" ref="AL863">HLOOKUP($J863,'Type Chart'!$C$2:$T$20,19,false)*HLOOKUP($K863,'Type Chart'!$C$2:$U$20,19,false)</f>
        <v>1</v>
      </c>
      <c r="AM863" s="1145" t="s">
        <v>1014</v>
      </c>
      <c r="AN863" s="965" t="s">
        <v>932</v>
      </c>
      <c r="AO863" s="966" t="s">
        <v>1869</v>
      </c>
      <c r="AP863" s="936"/>
      <c r="AQ863" s="967"/>
      <c r="AR863" s="968"/>
      <c r="AS863" s="936"/>
    </row>
    <row r="864" ht="15.75" customHeight="1">
      <c r="A864" s="936"/>
      <c r="B864" s="948" t="s">
        <v>3392</v>
      </c>
      <c r="C864" s="950" t="s">
        <v>3393</v>
      </c>
      <c r="D864" s="950" t="s">
        <v>3393</v>
      </c>
      <c r="E864" s="952" t="s">
        <v>3393</v>
      </c>
      <c r="F864" s="940"/>
      <c r="G864" s="953"/>
      <c r="H864" s="969"/>
      <c r="I864" s="956" t="s">
        <v>3394</v>
      </c>
      <c r="J864" s="1214" t="s">
        <v>342</v>
      </c>
      <c r="K864" s="1056" t="s">
        <v>81</v>
      </c>
      <c r="L864" s="959">
        <v>72.0</v>
      </c>
      <c r="M864" s="960">
        <v>105.0</v>
      </c>
      <c r="N864" s="960">
        <v>115.0</v>
      </c>
      <c r="O864" s="960">
        <v>54.0</v>
      </c>
      <c r="P864" s="960">
        <v>86.0</v>
      </c>
      <c r="Q864" s="960">
        <v>68.0</v>
      </c>
      <c r="R864" s="960">
        <v>172.0</v>
      </c>
      <c r="S864" s="960">
        <v>235.0</v>
      </c>
      <c r="T864" s="960">
        <v>258.0</v>
      </c>
      <c r="U864" s="960">
        <f t="array" ref="U864">HLOOKUP($J864,'Type Chart'!$C$2:$T$20,2,false)*HLOOKUP($K864,'Type Chart'!$C$2:$U$20,2,false)</f>
        <v>0.5</v>
      </c>
      <c r="V864" s="960">
        <f t="array" ref="V864">HLOOKUP($J864,'Type Chart'!$C$2:$T$20,3,false)*HLOOKUP($K864,'Type Chart'!$C$2:$U$20,3,false)</f>
        <v>2</v>
      </c>
      <c r="W864" s="960">
        <f t="array" ref="W864">HLOOKUP($J864,'Type Chart'!$C$2:$T$20,4,false)*HLOOKUP($K864,'Type Chart'!$C$2:$U$20,4,false)</f>
        <v>0.5</v>
      </c>
      <c r="X864" s="960">
        <f t="array" ref="X864">HLOOKUP($J864,'Type Chart'!$C$2:$T$20,5,false)*HLOOKUP($K864,'Type Chart'!$C$2:$U$20,5,false)</f>
        <v>0.5</v>
      </c>
      <c r="Y864" s="960">
        <f t="array" ref="Y864">HLOOKUP($J864,'Type Chart'!$C$2:$T$20,6,false)*HLOOKUP($K864,'Type Chart'!$C$2:$U$20,6,false)</f>
        <v>2</v>
      </c>
      <c r="Z864" s="960">
        <f t="array" ref="Z864">HLOOKUP($J864,'Type Chart'!$C$2:$T$20,7,false)*HLOOKUP($K864,'Type Chart'!$C$2:$U$20,7,false)</f>
        <v>1</v>
      </c>
      <c r="AA864" s="960">
        <f t="array" ref="AA864">HLOOKUP($J864,'Type Chart'!$C$2:$T$20,8,false)*HLOOKUP($K864,'Type Chart'!$C$2:$U$20,8,false)</f>
        <v>1</v>
      </c>
      <c r="AB864" s="960">
        <f t="array" ref="AB864">HLOOKUP($J864,'Type Chart'!$C$2:$T$20,9,false)*HLOOKUP($K864,'Type Chart'!$C$2:$U$20,9,false)</f>
        <v>1</v>
      </c>
      <c r="AC864" s="960">
        <f t="array" ref="AC864">HLOOKUP($J864,'Type Chart'!$C$2:$T$20,10,false)*HLOOKUP($K864,'Type Chart'!$C$2:$U$20,10,false)</f>
        <v>1</v>
      </c>
      <c r="AD864" s="960">
        <f t="array" ref="AD864">HLOOKUP($J864,'Type Chart'!$C$2:$T$20,11,false)*HLOOKUP($K864,'Type Chart'!$C$2:$U$20,11,false)</f>
        <v>0.25</v>
      </c>
      <c r="AE864" s="960">
        <f t="array" ref="AE864">HLOOKUP($J864,'Type Chart'!$C$2:$T$20,12,false)*HLOOKUP($K864,'Type Chart'!$C$2:$U$20,12,false)</f>
        <v>1</v>
      </c>
      <c r="AF864" s="960">
        <f t="array" ref="AF864">HLOOKUP($J864,'Type Chart'!$C$2:$T$20,13,false)*HLOOKUP($K864,'Type Chart'!$C$2:$U$20,13,false)</f>
        <v>4</v>
      </c>
      <c r="AG864" s="960">
        <f t="array" ref="AG864">HLOOKUP($J864,'Type Chart'!$C$2:$T$20,14,false)*HLOOKUP($K864,'Type Chart'!$C$2:$U$20,14,false)</f>
        <v>2</v>
      </c>
      <c r="AH864" s="960">
        <f t="array" ref="AH864">HLOOKUP($J864,'Type Chart'!$C$2:$T$20,15,false)*HLOOKUP($K864,'Type Chart'!$C$2:$U$20,15,false)</f>
        <v>1</v>
      </c>
      <c r="AI864" s="960">
        <f t="array" ref="AI864">HLOOKUP($J864,'Type Chart'!$C$2:$T$20,16,false)*HLOOKUP($K864,'Type Chart'!$C$2:$U$20,16,false)</f>
        <v>0.5</v>
      </c>
      <c r="AJ864" s="960">
        <f t="array" ref="AJ864">HLOOKUP($J864,'Type Chart'!$C$2:$T$20,17,false)*HLOOKUP($K864,'Type Chart'!$C$2:$U$20,17,false)</f>
        <v>1</v>
      </c>
      <c r="AK864" s="960">
        <f t="array" ref="AK864">HLOOKUP($J864,'Type Chart'!$C$2:$T$20,18,false)*HLOOKUP($K864,'Type Chart'!$C$2:$U$20,18,false)</f>
        <v>1</v>
      </c>
      <c r="AL864" s="960">
        <f t="array" ref="AL864">HLOOKUP($J864,'Type Chart'!$C$2:$T$20,19,false)*HLOOKUP($K864,'Type Chart'!$C$2:$U$20,19,false)</f>
        <v>1</v>
      </c>
      <c r="AM864" s="964" t="s">
        <v>1014</v>
      </c>
      <c r="AN864" s="965" t="s">
        <v>932</v>
      </c>
      <c r="AO864" s="966" t="s">
        <v>1869</v>
      </c>
      <c r="AP864" s="936"/>
      <c r="AQ864" s="967"/>
      <c r="AR864" s="968"/>
      <c r="AS864" s="936"/>
    </row>
    <row r="865" ht="15.75" customHeight="1">
      <c r="A865" s="936"/>
      <c r="B865" s="948" t="s">
        <v>3395</v>
      </c>
      <c r="C865" s="950" t="s">
        <v>3396</v>
      </c>
      <c r="D865" s="950" t="s">
        <v>3396</v>
      </c>
      <c r="E865" s="952" t="s">
        <v>3396</v>
      </c>
      <c r="F865" s="940"/>
      <c r="G865" s="953"/>
      <c r="H865" s="969"/>
      <c r="I865" s="956" t="s">
        <v>3397</v>
      </c>
      <c r="J865" s="958" t="s">
        <v>178</v>
      </c>
      <c r="K865" s="1056" t="s">
        <v>81</v>
      </c>
      <c r="L865" s="959">
        <v>50.0</v>
      </c>
      <c r="M865" s="960">
        <v>60.0</v>
      </c>
      <c r="N865" s="960">
        <v>60.0</v>
      </c>
      <c r="O865" s="960">
        <v>60.0</v>
      </c>
      <c r="P865" s="960">
        <v>60.0</v>
      </c>
      <c r="Q865" s="960">
        <v>30.0</v>
      </c>
      <c r="R865" s="960">
        <v>96.0</v>
      </c>
      <c r="S865" s="960">
        <v>159.0</v>
      </c>
      <c r="T865" s="960">
        <v>174.0</v>
      </c>
      <c r="U865" s="960">
        <f t="array" ref="U865">HLOOKUP($J865,'Type Chart'!$C$2:$T$20,2,false)*HLOOKUP($K865,'Type Chart'!$C$2:$U$20,2,false)</f>
        <v>1</v>
      </c>
      <c r="V865" s="960">
        <f t="array" ref="V865">HLOOKUP($J865,'Type Chart'!$C$2:$T$20,3,false)*HLOOKUP($K865,'Type Chart'!$C$2:$U$20,3,false)</f>
        <v>0.5</v>
      </c>
      <c r="W865" s="960">
        <f t="array" ref="W865">HLOOKUP($J865,'Type Chart'!$C$2:$T$20,4,false)*HLOOKUP($K865,'Type Chart'!$C$2:$U$20,4,false)</f>
        <v>1</v>
      </c>
      <c r="X865" s="960">
        <f t="array" ref="X865">HLOOKUP($J865,'Type Chart'!$C$2:$T$20,5,false)*HLOOKUP($K865,'Type Chart'!$C$2:$U$20,5,false)</f>
        <v>0.5</v>
      </c>
      <c r="Y865" s="960">
        <f t="array" ref="Y865">HLOOKUP($J865,'Type Chart'!$C$2:$T$20,6,false)*HLOOKUP($K865,'Type Chart'!$C$2:$U$20,6,false)</f>
        <v>2</v>
      </c>
      <c r="Z865" s="960">
        <f t="array" ref="Z865">HLOOKUP($J865,'Type Chart'!$C$2:$T$20,7,false)*HLOOKUP($K865,'Type Chart'!$C$2:$U$20,7,false)</f>
        <v>1</v>
      </c>
      <c r="AA865" s="960">
        <f t="array" ref="AA865">HLOOKUP($J865,'Type Chart'!$C$2:$T$20,8,false)*HLOOKUP($K865,'Type Chart'!$C$2:$U$20,8,false)</f>
        <v>0.5</v>
      </c>
      <c r="AB865" s="960">
        <f t="array" ref="AB865">HLOOKUP($J865,'Type Chart'!$C$2:$T$20,9,false)*HLOOKUP($K865,'Type Chart'!$C$2:$U$20,9,false)</f>
        <v>1</v>
      </c>
      <c r="AC865" s="960">
        <f t="array" ref="AC865">HLOOKUP($J865,'Type Chart'!$C$2:$T$20,10,false)*HLOOKUP($K865,'Type Chart'!$C$2:$U$20,10,false)</f>
        <v>0.5</v>
      </c>
      <c r="AD865" s="960">
        <f t="array" ref="AD865">HLOOKUP($J865,'Type Chart'!$C$2:$T$20,11,false)*HLOOKUP($K865,'Type Chart'!$C$2:$U$20,11,false)</f>
        <v>0.5</v>
      </c>
      <c r="AE865" s="960">
        <f t="array" ref="AE865">HLOOKUP($J865,'Type Chart'!$C$2:$T$20,12,false)*HLOOKUP($K865,'Type Chart'!$C$2:$U$20,12,false)</f>
        <v>0.5</v>
      </c>
      <c r="AF865" s="960">
        <f t="array" ref="AF865">HLOOKUP($J865,'Type Chart'!$C$2:$T$20,13,false)*HLOOKUP($K865,'Type Chart'!$C$2:$U$20,13,false)</f>
        <v>1</v>
      </c>
      <c r="AG865" s="960">
        <f t="array" ref="AG865">HLOOKUP($J865,'Type Chart'!$C$2:$T$20,14,false)*HLOOKUP($K865,'Type Chart'!$C$2:$U$20,14,false)</f>
        <v>2</v>
      </c>
      <c r="AH865" s="960">
        <f t="array" ref="AH865">HLOOKUP($J865,'Type Chart'!$C$2:$T$20,15,false)*HLOOKUP($K865,'Type Chart'!$C$2:$U$20,15,false)</f>
        <v>2</v>
      </c>
      <c r="AI865" s="960">
        <f t="array" ref="AI865">HLOOKUP($J865,'Type Chart'!$C$2:$T$20,16,false)*HLOOKUP($K865,'Type Chart'!$C$2:$U$20,16,false)</f>
        <v>0.5</v>
      </c>
      <c r="AJ865" s="960">
        <f t="array" ref="AJ865">HLOOKUP($J865,'Type Chart'!$C$2:$T$20,17,false)*HLOOKUP($K865,'Type Chart'!$C$2:$U$20,17,false)</f>
        <v>1</v>
      </c>
      <c r="AK865" s="960">
        <f t="array" ref="AK865">HLOOKUP($J865,'Type Chart'!$C$2:$T$20,18,false)*HLOOKUP($K865,'Type Chart'!$C$2:$U$20,18,false)</f>
        <v>1</v>
      </c>
      <c r="AL865" s="960">
        <f t="array" ref="AL865">HLOOKUP($J865,'Type Chart'!$C$2:$T$20,19,false)*HLOOKUP($K865,'Type Chart'!$C$2:$U$20,19,false)</f>
        <v>0.5</v>
      </c>
      <c r="AM865" s="964" t="s">
        <v>1146</v>
      </c>
      <c r="AN865" s="965" t="s">
        <v>1417</v>
      </c>
      <c r="AO865" s="966" t="s">
        <v>1018</v>
      </c>
      <c r="AP865" s="936"/>
      <c r="AQ865" s="967"/>
      <c r="AR865" s="968"/>
      <c r="AS865" s="936"/>
    </row>
    <row r="866" ht="15.75" customHeight="1">
      <c r="A866" s="936"/>
      <c r="B866" s="948" t="s">
        <v>3398</v>
      </c>
      <c r="C866" s="950" t="s">
        <v>3399</v>
      </c>
      <c r="D866" s="950" t="s">
        <v>3399</v>
      </c>
      <c r="E866" s="952" t="s">
        <v>3399</v>
      </c>
      <c r="F866" s="940"/>
      <c r="G866" s="953"/>
      <c r="H866" s="969"/>
      <c r="I866" s="956" t="s">
        <v>534</v>
      </c>
      <c r="J866" s="958" t="s">
        <v>178</v>
      </c>
      <c r="K866" s="1006" t="s">
        <v>346</v>
      </c>
      <c r="L866" s="959">
        <v>65.0</v>
      </c>
      <c r="M866" s="960">
        <v>75.0</v>
      </c>
      <c r="N866" s="960">
        <v>90.0</v>
      </c>
      <c r="O866" s="960">
        <v>97.0</v>
      </c>
      <c r="P866" s="960">
        <v>123.0</v>
      </c>
      <c r="Q866" s="960">
        <v>44.0</v>
      </c>
      <c r="R866" s="960">
        <v>124.0</v>
      </c>
      <c r="S866" s="960">
        <v>187.0</v>
      </c>
      <c r="T866" s="960">
        <v>205.0</v>
      </c>
      <c r="U866" s="960">
        <f t="array" ref="U866">HLOOKUP($J866,'Type Chart'!$C$2:$T$20,2,false)*HLOOKUP($K866,'Type Chart'!$C$2:$U$20,2,false)</f>
        <v>1</v>
      </c>
      <c r="V866" s="960">
        <f t="array" ref="V866">HLOOKUP($J866,'Type Chart'!$C$2:$T$20,3,false)*HLOOKUP($K866,'Type Chart'!$C$2:$U$20,3,false)</f>
        <v>0.5</v>
      </c>
      <c r="W866" s="960">
        <f t="array" ref="W866">HLOOKUP($J866,'Type Chart'!$C$2:$T$20,4,false)*HLOOKUP($K866,'Type Chart'!$C$2:$U$20,4,false)</f>
        <v>1</v>
      </c>
      <c r="X866" s="960">
        <f t="array" ref="X866">HLOOKUP($J866,'Type Chart'!$C$2:$T$20,5,false)*HLOOKUP($K866,'Type Chart'!$C$2:$U$20,5,false)</f>
        <v>0.5</v>
      </c>
      <c r="Y866" s="960">
        <f t="array" ref="Y866">HLOOKUP($J866,'Type Chart'!$C$2:$T$20,6,false)*HLOOKUP($K866,'Type Chart'!$C$2:$U$20,6,false)</f>
        <v>2</v>
      </c>
      <c r="Z866" s="960">
        <f t="array" ref="Z866">HLOOKUP($J866,'Type Chart'!$C$2:$T$20,7,false)*HLOOKUP($K866,'Type Chart'!$C$2:$U$20,7,false)</f>
        <v>1</v>
      </c>
      <c r="AA866" s="960">
        <f t="array" ref="AA866">HLOOKUP($J866,'Type Chart'!$C$2:$T$20,8,false)*HLOOKUP($K866,'Type Chart'!$C$2:$U$20,8,false)</f>
        <v>0.5</v>
      </c>
      <c r="AB866" s="960">
        <f t="array" ref="AB866">HLOOKUP($J866,'Type Chart'!$C$2:$T$20,9,false)*HLOOKUP($K866,'Type Chart'!$C$2:$U$20,9,false)</f>
        <v>1</v>
      </c>
      <c r="AC866" s="960">
        <f t="array" ref="AC866">HLOOKUP($J866,'Type Chart'!$C$2:$T$20,10,false)*HLOOKUP($K866,'Type Chart'!$C$2:$U$20,10,false)</f>
        <v>1</v>
      </c>
      <c r="AD866" s="960">
        <f t="array" ref="AD866">HLOOKUP($J866,'Type Chart'!$C$2:$T$20,11,false)*HLOOKUP($K866,'Type Chart'!$C$2:$U$20,11,false)</f>
        <v>0.5</v>
      </c>
      <c r="AE866" s="960">
        <f t="array" ref="AE866">HLOOKUP($J866,'Type Chart'!$C$2:$T$20,12,false)*HLOOKUP($K866,'Type Chart'!$C$2:$U$20,12,false)</f>
        <v>0.5</v>
      </c>
      <c r="AF866" s="960">
        <f t="array" ref="AF866">HLOOKUP($J866,'Type Chart'!$C$2:$T$20,13,false)*HLOOKUP($K866,'Type Chart'!$C$2:$U$20,13,false)</f>
        <v>0.25</v>
      </c>
      <c r="AG866" s="960">
        <f t="array" ref="AG866">HLOOKUP($J866,'Type Chart'!$C$2:$T$20,14,false)*HLOOKUP($K866,'Type Chart'!$C$2:$U$20,14,false)</f>
        <v>0.5</v>
      </c>
      <c r="AH866" s="960">
        <f t="array" ref="AH866">HLOOKUP($J866,'Type Chart'!$C$2:$T$20,15,false)*HLOOKUP($K866,'Type Chart'!$C$2:$U$20,15,false)</f>
        <v>2</v>
      </c>
      <c r="AI866" s="960">
        <f t="array" ref="AI866">HLOOKUP($J866,'Type Chart'!$C$2:$T$20,16,false)*HLOOKUP($K866,'Type Chart'!$C$2:$U$20,16,false)</f>
        <v>2</v>
      </c>
      <c r="AJ866" s="960">
        <f t="array" ref="AJ866">HLOOKUP($J866,'Type Chart'!$C$2:$T$20,17,false)*HLOOKUP($K866,'Type Chart'!$C$2:$U$20,17,false)</f>
        <v>2</v>
      </c>
      <c r="AK866" s="960">
        <f t="array" ref="AK866">HLOOKUP($J866,'Type Chart'!$C$2:$T$20,18,false)*HLOOKUP($K866,'Type Chart'!$C$2:$U$20,18,false)</f>
        <v>1</v>
      </c>
      <c r="AL866" s="960">
        <f t="array" ref="AL866">HLOOKUP($J866,'Type Chart'!$C$2:$T$20,19,false)*HLOOKUP($K866,'Type Chart'!$C$2:$U$20,19,false)</f>
        <v>1</v>
      </c>
      <c r="AM866" s="964" t="s">
        <v>1146</v>
      </c>
      <c r="AN866" s="965" t="s">
        <v>1417</v>
      </c>
      <c r="AO866" s="966" t="s">
        <v>1018</v>
      </c>
      <c r="AP866" s="936"/>
      <c r="AQ866" s="967"/>
      <c r="AR866" s="968"/>
      <c r="AS866" s="936"/>
    </row>
    <row r="867" ht="15.75" customHeight="1">
      <c r="A867" s="936"/>
      <c r="B867" s="948" t="s">
        <v>3400</v>
      </c>
      <c r="C867" s="950" t="s">
        <v>3401</v>
      </c>
      <c r="D867" s="950" t="s">
        <v>3401</v>
      </c>
      <c r="E867" s="952" t="s">
        <v>3401</v>
      </c>
      <c r="F867" s="940"/>
      <c r="G867" s="953"/>
      <c r="H867" s="969"/>
      <c r="I867" s="956" t="s">
        <v>3402</v>
      </c>
      <c r="J867" s="1056" t="s">
        <v>81</v>
      </c>
      <c r="K867" s="984" t="s">
        <v>216</v>
      </c>
      <c r="L867" s="959">
        <v>50.0</v>
      </c>
      <c r="M867" s="960">
        <v>53.0</v>
      </c>
      <c r="N867" s="960">
        <v>62.0</v>
      </c>
      <c r="O867" s="960">
        <v>58.0</v>
      </c>
      <c r="P867" s="960">
        <v>63.0</v>
      </c>
      <c r="Q867" s="960">
        <v>44.0</v>
      </c>
      <c r="R867" s="960">
        <v>124.0</v>
      </c>
      <c r="S867" s="960">
        <v>187.0</v>
      </c>
      <c r="T867" s="960">
        <v>205.0</v>
      </c>
      <c r="U867" s="960">
        <f t="array" ref="U867">HLOOKUP($J867,'Type Chart'!$C$2:$T$20,2,false)*HLOOKUP($K867,'Type Chart'!$C$2:$U$20,2,false)</f>
        <v>1</v>
      </c>
      <c r="V867" s="960">
        <f t="array" ref="V867">HLOOKUP($J867,'Type Chart'!$C$2:$T$20,3,false)*HLOOKUP($K867,'Type Chart'!$C$2:$U$20,3,false)</f>
        <v>1</v>
      </c>
      <c r="W867" s="960">
        <f t="array" ref="W867">HLOOKUP($J867,'Type Chart'!$C$2:$T$20,4,false)*HLOOKUP($K867,'Type Chart'!$C$2:$U$20,4,false)</f>
        <v>1</v>
      </c>
      <c r="X867" s="960">
        <f t="array" ref="X867">HLOOKUP($J867,'Type Chart'!$C$2:$T$20,5,false)*HLOOKUP($K867,'Type Chart'!$C$2:$U$20,5,false)</f>
        <v>1</v>
      </c>
      <c r="Y867" s="960">
        <f t="array" ref="Y867">HLOOKUP($J867,'Type Chart'!$C$2:$T$20,6,false)*HLOOKUP($K867,'Type Chart'!$C$2:$U$20,6,false)</f>
        <v>1</v>
      </c>
      <c r="Z867" s="960">
        <f t="array" ref="Z867">HLOOKUP($J867,'Type Chart'!$C$2:$T$20,7,false)*HLOOKUP($K867,'Type Chart'!$C$2:$U$20,7,false)</f>
        <v>1</v>
      </c>
      <c r="AA867" s="960">
        <f t="array" ref="AA867">HLOOKUP($J867,'Type Chart'!$C$2:$T$20,8,false)*HLOOKUP($K867,'Type Chart'!$C$2:$U$20,8,false)</f>
        <v>1</v>
      </c>
      <c r="AB867" s="960">
        <f t="array" ref="AB867">HLOOKUP($J867,'Type Chart'!$C$2:$T$20,9,false)*HLOOKUP($K867,'Type Chart'!$C$2:$U$20,9,false)</f>
        <v>1</v>
      </c>
      <c r="AC867" s="960">
        <f t="array" ref="AC867">HLOOKUP($J867,'Type Chart'!$C$2:$T$20,10,false)*HLOOKUP($K867,'Type Chart'!$C$2:$U$20,10,false)</f>
        <v>0.5</v>
      </c>
      <c r="AD867" s="960">
        <f t="array" ref="AD867">HLOOKUP($J867,'Type Chart'!$C$2:$T$20,11,false)*HLOOKUP($K867,'Type Chart'!$C$2:$U$20,11,false)</f>
        <v>0.5</v>
      </c>
      <c r="AE867" s="960">
        <f t="array" ref="AE867">HLOOKUP($J867,'Type Chart'!$C$2:$T$20,12,false)*HLOOKUP($K867,'Type Chart'!$C$2:$U$20,12,false)</f>
        <v>0.5</v>
      </c>
      <c r="AF867" s="960">
        <f t="array" ref="AF867">HLOOKUP($J867,'Type Chart'!$C$2:$T$20,13,false)*HLOOKUP($K867,'Type Chart'!$C$2:$U$20,13,false)</f>
        <v>2</v>
      </c>
      <c r="AG867" s="960">
        <f t="array" ref="AG867">HLOOKUP($J867,'Type Chart'!$C$2:$T$20,14,false)*HLOOKUP($K867,'Type Chart'!$C$2:$U$20,14,false)</f>
        <v>2</v>
      </c>
      <c r="AH867" s="960">
        <f t="array" ref="AH867">HLOOKUP($J867,'Type Chart'!$C$2:$T$20,15,false)*HLOOKUP($K867,'Type Chart'!$C$2:$U$20,15,false)</f>
        <v>1</v>
      </c>
      <c r="AI867" s="960">
        <f t="array" ref="AI867">HLOOKUP($J867,'Type Chart'!$C$2:$T$20,16,false)*HLOOKUP($K867,'Type Chart'!$C$2:$U$20,16,false)</f>
        <v>0.5</v>
      </c>
      <c r="AJ867" s="960">
        <f t="array" ref="AJ867">HLOOKUP($J867,'Type Chart'!$C$2:$T$20,17,false)*HLOOKUP($K867,'Type Chart'!$C$2:$U$20,17,false)</f>
        <v>1</v>
      </c>
      <c r="AK867" s="960">
        <f t="array" ref="AK867">HLOOKUP($J867,'Type Chart'!$C$2:$T$20,18,false)*HLOOKUP($K867,'Type Chart'!$C$2:$U$20,18,false)</f>
        <v>1</v>
      </c>
      <c r="AL867" s="960">
        <f t="array" ref="AL867">HLOOKUP($J867,'Type Chart'!$C$2:$T$20,19,false)*HLOOKUP($K867,'Type Chart'!$C$2:$U$20,19,false)</f>
        <v>1</v>
      </c>
      <c r="AM867" s="964" t="s">
        <v>983</v>
      </c>
      <c r="AN867" s="965"/>
      <c r="AO867" s="966"/>
      <c r="AP867" s="936"/>
      <c r="AQ867" s="967"/>
      <c r="AR867" s="968"/>
      <c r="AS867" s="936"/>
    </row>
    <row r="868" ht="15.75" customHeight="1">
      <c r="A868" s="936"/>
      <c r="B868" s="948" t="s">
        <v>3403</v>
      </c>
      <c r="C868" s="950" t="s">
        <v>3404</v>
      </c>
      <c r="D868" s="950" t="s">
        <v>3404</v>
      </c>
      <c r="E868" s="952" t="s">
        <v>3404</v>
      </c>
      <c r="F868" s="940"/>
      <c r="G868" s="953"/>
      <c r="H868" s="969"/>
      <c r="I868" s="956" t="s">
        <v>707</v>
      </c>
      <c r="J868" s="1056" t="s">
        <v>81</v>
      </c>
      <c r="K868" s="984" t="s">
        <v>216</v>
      </c>
      <c r="L868" s="959">
        <v>71.0</v>
      </c>
      <c r="M868" s="960">
        <v>73.0</v>
      </c>
      <c r="N868" s="960">
        <v>88.0</v>
      </c>
      <c r="O868" s="960">
        <v>120.0</v>
      </c>
      <c r="P868" s="960">
        <v>89.0</v>
      </c>
      <c r="Q868" s="960">
        <v>59.0</v>
      </c>
      <c r="R868" s="960">
        <v>154.0</v>
      </c>
      <c r="S868" s="960">
        <v>217.0</v>
      </c>
      <c r="T868" s="960">
        <v>238.0</v>
      </c>
      <c r="U868" s="960">
        <f t="array" ref="U868">HLOOKUP($J868,'Type Chart'!$C$2:$T$20,2,false)*HLOOKUP($K868,'Type Chart'!$C$2:$U$20,2,false)</f>
        <v>1</v>
      </c>
      <c r="V868" s="960">
        <f t="array" ref="V868">HLOOKUP($J868,'Type Chart'!$C$2:$T$20,3,false)*HLOOKUP($K868,'Type Chart'!$C$2:$U$20,3,false)</f>
        <v>1</v>
      </c>
      <c r="W868" s="960">
        <f t="array" ref="W868">HLOOKUP($J868,'Type Chart'!$C$2:$T$20,4,false)*HLOOKUP($K868,'Type Chart'!$C$2:$U$20,4,false)</f>
        <v>1</v>
      </c>
      <c r="X868" s="960">
        <f t="array" ref="X868">HLOOKUP($J868,'Type Chart'!$C$2:$T$20,5,false)*HLOOKUP($K868,'Type Chart'!$C$2:$U$20,5,false)</f>
        <v>1</v>
      </c>
      <c r="Y868" s="960">
        <f t="array" ref="Y868">HLOOKUP($J868,'Type Chart'!$C$2:$T$20,6,false)*HLOOKUP($K868,'Type Chart'!$C$2:$U$20,6,false)</f>
        <v>1</v>
      </c>
      <c r="Z868" s="960">
        <f t="array" ref="Z868">HLOOKUP($J868,'Type Chart'!$C$2:$T$20,7,false)*HLOOKUP($K868,'Type Chart'!$C$2:$U$20,7,false)</f>
        <v>1</v>
      </c>
      <c r="AA868" s="960">
        <f t="array" ref="AA868">HLOOKUP($J868,'Type Chart'!$C$2:$T$20,8,false)*HLOOKUP($K868,'Type Chart'!$C$2:$U$20,8,false)</f>
        <v>1</v>
      </c>
      <c r="AB868" s="960">
        <f t="array" ref="AB868">HLOOKUP($J868,'Type Chart'!$C$2:$T$20,9,false)*HLOOKUP($K868,'Type Chart'!$C$2:$U$20,9,false)</f>
        <v>1</v>
      </c>
      <c r="AC868" s="960">
        <f t="array" ref="AC868">HLOOKUP($J868,'Type Chart'!$C$2:$T$20,10,false)*HLOOKUP($K868,'Type Chart'!$C$2:$U$20,10,false)</f>
        <v>0.5</v>
      </c>
      <c r="AD868" s="960">
        <f t="array" ref="AD868">HLOOKUP($J868,'Type Chart'!$C$2:$T$20,11,false)*HLOOKUP($K868,'Type Chart'!$C$2:$U$20,11,false)</f>
        <v>0.5</v>
      </c>
      <c r="AE868" s="960">
        <f t="array" ref="AE868">HLOOKUP($J868,'Type Chart'!$C$2:$T$20,12,false)*HLOOKUP($K868,'Type Chart'!$C$2:$U$20,12,false)</f>
        <v>0.5</v>
      </c>
      <c r="AF868" s="960">
        <f t="array" ref="AF868">HLOOKUP($J868,'Type Chart'!$C$2:$T$20,13,false)*HLOOKUP($K868,'Type Chart'!$C$2:$U$20,13,false)</f>
        <v>2</v>
      </c>
      <c r="AG868" s="960">
        <f t="array" ref="AG868">HLOOKUP($J868,'Type Chart'!$C$2:$T$20,14,false)*HLOOKUP($K868,'Type Chart'!$C$2:$U$20,14,false)</f>
        <v>2</v>
      </c>
      <c r="AH868" s="960">
        <f t="array" ref="AH868">HLOOKUP($J868,'Type Chart'!$C$2:$T$20,15,false)*HLOOKUP($K868,'Type Chart'!$C$2:$U$20,15,false)</f>
        <v>1</v>
      </c>
      <c r="AI868" s="960">
        <f t="array" ref="AI868">HLOOKUP($J868,'Type Chart'!$C$2:$T$20,16,false)*HLOOKUP($K868,'Type Chart'!$C$2:$U$20,16,false)</f>
        <v>0.5</v>
      </c>
      <c r="AJ868" s="960">
        <f t="array" ref="AJ868">HLOOKUP($J868,'Type Chart'!$C$2:$T$20,17,false)*HLOOKUP($K868,'Type Chart'!$C$2:$U$20,17,false)</f>
        <v>1</v>
      </c>
      <c r="AK868" s="960">
        <f t="array" ref="AK868">HLOOKUP($J868,'Type Chart'!$C$2:$T$20,18,false)*HLOOKUP($K868,'Type Chart'!$C$2:$U$20,18,false)</f>
        <v>1</v>
      </c>
      <c r="AL868" s="960">
        <f t="array" ref="AL868">HLOOKUP($J868,'Type Chart'!$C$2:$T$20,19,false)*HLOOKUP($K868,'Type Chart'!$C$2:$U$20,19,false)</f>
        <v>1</v>
      </c>
      <c r="AM868" s="964" t="s">
        <v>983</v>
      </c>
      <c r="AN868" s="965"/>
      <c r="AO868" s="966"/>
      <c r="AP868" s="936"/>
      <c r="AQ868" s="967"/>
      <c r="AR868" s="968"/>
      <c r="AS868" s="936"/>
    </row>
    <row r="869" ht="15.75" customHeight="1">
      <c r="A869" s="936"/>
      <c r="B869" s="948" t="s">
        <v>3405</v>
      </c>
      <c r="C869" s="950" t="s">
        <v>3406</v>
      </c>
      <c r="D869" s="950" t="s">
        <v>3406</v>
      </c>
      <c r="E869" s="952" t="s">
        <v>3406</v>
      </c>
      <c r="F869" s="940"/>
      <c r="G869" s="953"/>
      <c r="H869" s="969"/>
      <c r="I869" s="998" t="s">
        <v>3407</v>
      </c>
      <c r="J869" s="1196" t="s">
        <v>203</v>
      </c>
      <c r="K869" s="1194" t="s">
        <v>136</v>
      </c>
      <c r="L869" s="959">
        <v>44.0</v>
      </c>
      <c r="M869" s="960">
        <v>38.0</v>
      </c>
      <c r="N869" s="960">
        <v>33.0</v>
      </c>
      <c r="O869" s="960">
        <v>61.0</v>
      </c>
      <c r="P869" s="960">
        <v>43.0</v>
      </c>
      <c r="Q869" s="960">
        <v>70.0</v>
      </c>
      <c r="R869" s="960">
        <v>176.0</v>
      </c>
      <c r="S869" s="960">
        <v>239.0</v>
      </c>
      <c r="T869" s="960">
        <v>262.0</v>
      </c>
      <c r="U869" s="960">
        <f t="array" ref="U869">HLOOKUP($J869,'Type Chart'!$C$2:$T$20,2,false)*HLOOKUP($K869,'Type Chart'!$C$2:$U$20,2,false)</f>
        <v>1</v>
      </c>
      <c r="V869" s="960">
        <f t="array" ref="V869">HLOOKUP($J869,'Type Chart'!$C$2:$T$20,3,false)*HLOOKUP($K869,'Type Chart'!$C$2:$U$20,3,false)</f>
        <v>2</v>
      </c>
      <c r="W869" s="960">
        <f t="array" ref="W869">HLOOKUP($J869,'Type Chart'!$C$2:$T$20,4,false)*HLOOKUP($K869,'Type Chart'!$C$2:$U$20,4,false)</f>
        <v>0.5</v>
      </c>
      <c r="X869" s="960">
        <f t="array" ref="X869">HLOOKUP($J869,'Type Chart'!$C$2:$T$20,5,false)*HLOOKUP($K869,'Type Chart'!$C$2:$U$20,5,false)</f>
        <v>1</v>
      </c>
      <c r="Y869" s="960">
        <f t="array" ref="Y869">HLOOKUP($J869,'Type Chart'!$C$2:$T$20,6,false)*HLOOKUP($K869,'Type Chart'!$C$2:$U$20,6,false)</f>
        <v>2</v>
      </c>
      <c r="Z869" s="960">
        <f t="array" ref="Z869">HLOOKUP($J869,'Type Chart'!$C$2:$T$20,7,false)*HLOOKUP($K869,'Type Chart'!$C$2:$U$20,7,false)</f>
        <v>1</v>
      </c>
      <c r="AA869" s="960">
        <f t="array" ref="AA869">HLOOKUP($J869,'Type Chart'!$C$2:$T$20,8,false)*HLOOKUP($K869,'Type Chart'!$C$2:$U$20,8,false)</f>
        <v>1</v>
      </c>
      <c r="AB869" s="960">
        <f t="array" ref="AB869">HLOOKUP($J869,'Type Chart'!$C$2:$T$20,9,false)*HLOOKUP($K869,'Type Chart'!$C$2:$U$20,9,false)</f>
        <v>0</v>
      </c>
      <c r="AC869" s="960">
        <f t="array" ref="AC869">HLOOKUP($J869,'Type Chart'!$C$2:$T$20,10,false)*HLOOKUP($K869,'Type Chart'!$C$2:$U$20,10,false)</f>
        <v>0.5</v>
      </c>
      <c r="AD869" s="960">
        <f t="array" ref="AD869">HLOOKUP($J869,'Type Chart'!$C$2:$T$20,11,false)*HLOOKUP($K869,'Type Chart'!$C$2:$U$20,11,false)</f>
        <v>1</v>
      </c>
      <c r="AE869" s="960">
        <f t="array" ref="AE869">HLOOKUP($J869,'Type Chart'!$C$2:$T$20,12,false)*HLOOKUP($K869,'Type Chart'!$C$2:$U$20,12,false)</f>
        <v>1</v>
      </c>
      <c r="AF869" s="960">
        <f t="array" ref="AF869">HLOOKUP($J869,'Type Chart'!$C$2:$T$20,13,false)*HLOOKUP($K869,'Type Chart'!$C$2:$U$20,13,false)</f>
        <v>1</v>
      </c>
      <c r="AG869" s="960">
        <f t="array" ref="AG869">HLOOKUP($J869,'Type Chart'!$C$2:$T$20,14,false)*HLOOKUP($K869,'Type Chart'!$C$2:$U$20,14,false)</f>
        <v>0.5</v>
      </c>
      <c r="AH869" s="960">
        <f t="array" ref="AH869">HLOOKUP($J869,'Type Chart'!$C$2:$T$20,15,false)*HLOOKUP($K869,'Type Chart'!$C$2:$U$20,15,false)</f>
        <v>1</v>
      </c>
      <c r="AI869" s="960">
        <f t="array" ref="AI869">HLOOKUP($J869,'Type Chart'!$C$2:$T$20,16,false)*HLOOKUP($K869,'Type Chart'!$C$2:$U$20,16,false)</f>
        <v>1</v>
      </c>
      <c r="AJ869" s="960">
        <f t="array" ref="AJ869">HLOOKUP($J869,'Type Chart'!$C$2:$T$20,17,false)*HLOOKUP($K869,'Type Chart'!$C$2:$U$20,17,false)</f>
        <v>1</v>
      </c>
      <c r="AK869" s="960">
        <f t="array" ref="AK869">HLOOKUP($J869,'Type Chart'!$C$2:$T$20,18,false)*HLOOKUP($K869,'Type Chart'!$C$2:$U$20,18,false)</f>
        <v>1</v>
      </c>
      <c r="AL869" s="960">
        <f t="array" ref="AL869">HLOOKUP($J869,'Type Chart'!$C$2:$T$20,19,false)*HLOOKUP($K869,'Type Chart'!$C$2:$U$20,19,false)</f>
        <v>1</v>
      </c>
      <c r="AM869" s="964" t="s">
        <v>1210</v>
      </c>
      <c r="AN869" s="965" t="s">
        <v>1129</v>
      </c>
      <c r="AO869" s="966" t="s">
        <v>831</v>
      </c>
      <c r="AP869" s="936"/>
      <c r="AQ869" s="967"/>
      <c r="AR869" s="968"/>
      <c r="AS869" s="936"/>
    </row>
    <row r="870" ht="15.75" customHeight="1">
      <c r="A870" s="936"/>
      <c r="B870" s="948" t="s">
        <v>3408</v>
      </c>
      <c r="C870" s="950" t="s">
        <v>3409</v>
      </c>
      <c r="D870" s="950" t="s">
        <v>3409</v>
      </c>
      <c r="E870" s="952" t="s">
        <v>3409</v>
      </c>
      <c r="F870" s="940"/>
      <c r="G870" s="953"/>
      <c r="H870" s="969"/>
      <c r="I870" s="998" t="s">
        <v>3410</v>
      </c>
      <c r="J870" s="1196" t="s">
        <v>203</v>
      </c>
      <c r="K870" s="1194" t="s">
        <v>136</v>
      </c>
      <c r="L870" s="959">
        <v>62.0</v>
      </c>
      <c r="M870" s="960">
        <v>55.0</v>
      </c>
      <c r="N870" s="960">
        <v>52.0</v>
      </c>
      <c r="O870" s="960">
        <v>109.0</v>
      </c>
      <c r="P870" s="960">
        <v>94.0</v>
      </c>
      <c r="Q870" s="960">
        <v>109.0</v>
      </c>
      <c r="R870" s="960">
        <v>254.0</v>
      </c>
      <c r="S870" s="960">
        <v>317.0</v>
      </c>
      <c r="T870" s="960">
        <v>348.0</v>
      </c>
      <c r="U870" s="960">
        <f t="array" ref="U870">HLOOKUP($J870,'Type Chart'!$C$2:$T$20,2,false)*HLOOKUP($K870,'Type Chart'!$C$2:$U$20,2,false)</f>
        <v>1</v>
      </c>
      <c r="V870" s="960">
        <f t="array" ref="V870">HLOOKUP($J870,'Type Chart'!$C$2:$T$20,3,false)*HLOOKUP($K870,'Type Chart'!$C$2:$U$20,3,false)</f>
        <v>2</v>
      </c>
      <c r="W870" s="960">
        <f t="array" ref="W870">HLOOKUP($J870,'Type Chart'!$C$2:$T$20,4,false)*HLOOKUP($K870,'Type Chart'!$C$2:$U$20,4,false)</f>
        <v>0.5</v>
      </c>
      <c r="X870" s="960">
        <f t="array" ref="X870">HLOOKUP($J870,'Type Chart'!$C$2:$T$20,5,false)*HLOOKUP($K870,'Type Chart'!$C$2:$U$20,5,false)</f>
        <v>1</v>
      </c>
      <c r="Y870" s="960">
        <f t="array" ref="Y870">HLOOKUP($J870,'Type Chart'!$C$2:$T$20,6,false)*HLOOKUP($K870,'Type Chart'!$C$2:$U$20,6,false)</f>
        <v>2</v>
      </c>
      <c r="Z870" s="960">
        <f t="array" ref="Z870">HLOOKUP($J870,'Type Chart'!$C$2:$T$20,7,false)*HLOOKUP($K870,'Type Chart'!$C$2:$U$20,7,false)</f>
        <v>1</v>
      </c>
      <c r="AA870" s="960">
        <f t="array" ref="AA870">HLOOKUP($J870,'Type Chart'!$C$2:$T$20,8,false)*HLOOKUP($K870,'Type Chart'!$C$2:$U$20,8,false)</f>
        <v>1</v>
      </c>
      <c r="AB870" s="960">
        <f t="array" ref="AB870">HLOOKUP($J870,'Type Chart'!$C$2:$T$20,9,false)*HLOOKUP($K870,'Type Chart'!$C$2:$U$20,9,false)</f>
        <v>0</v>
      </c>
      <c r="AC870" s="960">
        <f t="array" ref="AC870">HLOOKUP($J870,'Type Chart'!$C$2:$T$20,10,false)*HLOOKUP($K870,'Type Chart'!$C$2:$U$20,10,false)</f>
        <v>0.5</v>
      </c>
      <c r="AD870" s="960">
        <f t="array" ref="AD870">HLOOKUP($J870,'Type Chart'!$C$2:$T$20,11,false)*HLOOKUP($K870,'Type Chart'!$C$2:$U$20,11,false)</f>
        <v>1</v>
      </c>
      <c r="AE870" s="960">
        <f t="array" ref="AE870">HLOOKUP($J870,'Type Chart'!$C$2:$T$20,12,false)*HLOOKUP($K870,'Type Chart'!$C$2:$U$20,12,false)</f>
        <v>1</v>
      </c>
      <c r="AF870" s="960">
        <f t="array" ref="AF870">HLOOKUP($J870,'Type Chart'!$C$2:$T$20,13,false)*HLOOKUP($K870,'Type Chart'!$C$2:$U$20,13,false)</f>
        <v>1</v>
      </c>
      <c r="AG870" s="960">
        <f t="array" ref="AG870">HLOOKUP($J870,'Type Chart'!$C$2:$T$20,14,false)*HLOOKUP($K870,'Type Chart'!$C$2:$U$20,14,false)</f>
        <v>0.5</v>
      </c>
      <c r="AH870" s="960">
        <f t="array" ref="AH870">HLOOKUP($J870,'Type Chart'!$C$2:$T$20,15,false)*HLOOKUP($K870,'Type Chart'!$C$2:$U$20,15,false)</f>
        <v>1</v>
      </c>
      <c r="AI870" s="960">
        <f t="array" ref="AI870">HLOOKUP($J870,'Type Chart'!$C$2:$T$20,16,false)*HLOOKUP($K870,'Type Chart'!$C$2:$U$20,16,false)</f>
        <v>1</v>
      </c>
      <c r="AJ870" s="960">
        <f t="array" ref="AJ870">HLOOKUP($J870,'Type Chart'!$C$2:$T$20,17,false)*HLOOKUP($K870,'Type Chart'!$C$2:$U$20,17,false)</f>
        <v>1</v>
      </c>
      <c r="AK870" s="960">
        <f t="array" ref="AK870">HLOOKUP($J870,'Type Chart'!$C$2:$T$20,18,false)*HLOOKUP($K870,'Type Chart'!$C$2:$U$20,18,false)</f>
        <v>1</v>
      </c>
      <c r="AL870" s="960">
        <f t="array" ref="AL870">HLOOKUP($J870,'Type Chart'!$C$2:$T$20,19,false)*HLOOKUP($K870,'Type Chart'!$C$2:$U$20,19,false)</f>
        <v>1</v>
      </c>
      <c r="AM870" s="964" t="s">
        <v>1210</v>
      </c>
      <c r="AN870" s="965" t="s">
        <v>1129</v>
      </c>
      <c r="AO870" s="966" t="s">
        <v>831</v>
      </c>
      <c r="AP870" s="936"/>
      <c r="AQ870" s="967"/>
      <c r="AR870" s="968"/>
      <c r="AS870" s="936"/>
    </row>
    <row r="871" ht="15.75" customHeight="1">
      <c r="A871" s="936"/>
      <c r="B871" s="948" t="s">
        <v>3411</v>
      </c>
      <c r="C871" s="950" t="s">
        <v>3412</v>
      </c>
      <c r="D871" s="950" t="s">
        <v>3412</v>
      </c>
      <c r="E871" s="952" t="s">
        <v>3412</v>
      </c>
      <c r="F871" s="940"/>
      <c r="G871" s="953"/>
      <c r="H871" s="969"/>
      <c r="I871" s="998" t="s">
        <v>3413</v>
      </c>
      <c r="J871" s="1214" t="s">
        <v>342</v>
      </c>
      <c r="K871" s="1006" t="s">
        <v>346</v>
      </c>
      <c r="L871" s="959">
        <v>58.0</v>
      </c>
      <c r="M871" s="960">
        <v>89.0</v>
      </c>
      <c r="N871" s="960">
        <v>77.0</v>
      </c>
      <c r="O871" s="960">
        <v>45.0</v>
      </c>
      <c r="P871" s="960">
        <v>45.0</v>
      </c>
      <c r="Q871" s="960">
        <v>48.0</v>
      </c>
      <c r="R871" s="960">
        <v>132.0</v>
      </c>
      <c r="S871" s="960">
        <v>195.0</v>
      </c>
      <c r="T871" s="960">
        <v>214.0</v>
      </c>
      <c r="U871" s="960">
        <f t="array" ref="U871">HLOOKUP($J871,'Type Chart'!$C$2:$T$20,2,false)*HLOOKUP($K871,'Type Chart'!$C$2:$U$20,2,false)</f>
        <v>0.5</v>
      </c>
      <c r="V871" s="960">
        <f t="array" ref="V871">HLOOKUP($J871,'Type Chart'!$C$2:$T$20,3,false)*HLOOKUP($K871,'Type Chart'!$C$2:$U$20,3,false)</f>
        <v>2</v>
      </c>
      <c r="W871" s="960">
        <f t="array" ref="W871">HLOOKUP($J871,'Type Chart'!$C$2:$T$20,4,false)*HLOOKUP($K871,'Type Chart'!$C$2:$U$20,4,false)</f>
        <v>0.5</v>
      </c>
      <c r="X871" s="960">
        <f t="array" ref="X871">HLOOKUP($J871,'Type Chart'!$C$2:$T$20,5,false)*HLOOKUP($K871,'Type Chart'!$C$2:$U$20,5,false)</f>
        <v>0.5</v>
      </c>
      <c r="Y871" s="960">
        <f t="array" ref="Y871">HLOOKUP($J871,'Type Chart'!$C$2:$T$20,6,false)*HLOOKUP($K871,'Type Chart'!$C$2:$U$20,6,false)</f>
        <v>2</v>
      </c>
      <c r="Z871" s="960">
        <f t="array" ref="Z871">HLOOKUP($J871,'Type Chart'!$C$2:$T$20,7,false)*HLOOKUP($K871,'Type Chart'!$C$2:$U$20,7,false)</f>
        <v>1</v>
      </c>
      <c r="AA871" s="960">
        <f t="array" ref="AA871">HLOOKUP($J871,'Type Chart'!$C$2:$T$20,8,false)*HLOOKUP($K871,'Type Chart'!$C$2:$U$20,8,false)</f>
        <v>1</v>
      </c>
      <c r="AB871" s="960">
        <f t="array" ref="AB871">HLOOKUP($J871,'Type Chart'!$C$2:$T$20,9,false)*HLOOKUP($K871,'Type Chart'!$C$2:$U$20,9,false)</f>
        <v>1</v>
      </c>
      <c r="AC871" s="960">
        <f t="array" ref="AC871">HLOOKUP($J871,'Type Chart'!$C$2:$T$20,10,false)*HLOOKUP($K871,'Type Chart'!$C$2:$U$20,10,false)</f>
        <v>2</v>
      </c>
      <c r="AD871" s="960">
        <f t="array" ref="AD871">HLOOKUP($J871,'Type Chart'!$C$2:$T$20,11,false)*HLOOKUP($K871,'Type Chart'!$C$2:$U$20,11,false)</f>
        <v>0.25</v>
      </c>
      <c r="AE871" s="960">
        <f t="array" ref="AE871">HLOOKUP($J871,'Type Chart'!$C$2:$T$20,12,false)*HLOOKUP($K871,'Type Chart'!$C$2:$U$20,12,false)</f>
        <v>1</v>
      </c>
      <c r="AF871" s="960">
        <f t="array" ref="AF871">HLOOKUP($J871,'Type Chart'!$C$2:$T$20,13,false)*HLOOKUP($K871,'Type Chart'!$C$2:$U$20,13,false)</f>
        <v>1</v>
      </c>
      <c r="AG871" s="960">
        <f t="array" ref="AG871">HLOOKUP($J871,'Type Chart'!$C$2:$T$20,14,false)*HLOOKUP($K871,'Type Chart'!$C$2:$U$20,14,false)</f>
        <v>0.5</v>
      </c>
      <c r="AH871" s="960">
        <f t="array" ref="AH871">HLOOKUP($J871,'Type Chart'!$C$2:$T$20,15,false)*HLOOKUP($K871,'Type Chart'!$C$2:$U$20,15,false)</f>
        <v>1</v>
      </c>
      <c r="AI871" s="960">
        <f t="array" ref="AI871">HLOOKUP($J871,'Type Chart'!$C$2:$T$20,16,false)*HLOOKUP($K871,'Type Chart'!$C$2:$U$20,16,false)</f>
        <v>2</v>
      </c>
      <c r="AJ871" s="960">
        <f t="array" ref="AJ871">HLOOKUP($J871,'Type Chart'!$C$2:$T$20,17,false)*HLOOKUP($K871,'Type Chart'!$C$2:$U$20,17,false)</f>
        <v>2</v>
      </c>
      <c r="AK871" s="960">
        <f t="array" ref="AK871">HLOOKUP($J871,'Type Chart'!$C$2:$T$20,18,false)*HLOOKUP($K871,'Type Chart'!$C$2:$U$20,18,false)</f>
        <v>1</v>
      </c>
      <c r="AL871" s="960">
        <f t="array" ref="AL871">HLOOKUP($J871,'Type Chart'!$C$2:$T$20,19,false)*HLOOKUP($K871,'Type Chart'!$C$2:$U$20,19,false)</f>
        <v>2</v>
      </c>
      <c r="AM871" s="964" t="s">
        <v>2205</v>
      </c>
      <c r="AN871" s="965"/>
      <c r="AO871" s="966" t="s">
        <v>1331</v>
      </c>
      <c r="AP871" s="936"/>
      <c r="AQ871" s="967"/>
      <c r="AR871" s="968"/>
      <c r="AS871" s="936"/>
    </row>
    <row r="872" ht="15.75" customHeight="1">
      <c r="A872" s="936"/>
      <c r="B872" s="948" t="s">
        <v>3414</v>
      </c>
      <c r="C872" s="950" t="s">
        <v>3415</v>
      </c>
      <c r="D872" s="950" t="s">
        <v>3415</v>
      </c>
      <c r="E872" s="952" t="s">
        <v>3415</v>
      </c>
      <c r="F872" s="940"/>
      <c r="G872" s="953"/>
      <c r="H872" s="969"/>
      <c r="I872" s="998" t="s">
        <v>3416</v>
      </c>
      <c r="J872" s="1214" t="s">
        <v>342</v>
      </c>
      <c r="K872" s="1006" t="s">
        <v>346</v>
      </c>
      <c r="L872" s="959">
        <v>82.0</v>
      </c>
      <c r="M872" s="960">
        <v>121.0</v>
      </c>
      <c r="N872" s="960">
        <v>119.0</v>
      </c>
      <c r="O872" s="960">
        <v>69.0</v>
      </c>
      <c r="P872" s="960">
        <v>59.0</v>
      </c>
      <c r="Q872" s="960">
        <v>71.0</v>
      </c>
      <c r="R872" s="960">
        <v>178.0</v>
      </c>
      <c r="S872" s="960">
        <v>241.0</v>
      </c>
      <c r="T872" s="960">
        <v>265.0</v>
      </c>
      <c r="U872" s="960">
        <f t="array" ref="U872">HLOOKUP($J872,'Type Chart'!$C$2:$T$20,2,false)*HLOOKUP($K872,'Type Chart'!$C$2:$U$20,2,false)</f>
        <v>0.5</v>
      </c>
      <c r="V872" s="960">
        <f t="array" ref="V872">HLOOKUP($J872,'Type Chart'!$C$2:$T$20,3,false)*HLOOKUP($K872,'Type Chart'!$C$2:$U$20,3,false)</f>
        <v>2</v>
      </c>
      <c r="W872" s="960">
        <f t="array" ref="W872">HLOOKUP($J872,'Type Chart'!$C$2:$T$20,4,false)*HLOOKUP($K872,'Type Chart'!$C$2:$U$20,4,false)</f>
        <v>0.5</v>
      </c>
      <c r="X872" s="960">
        <f t="array" ref="X872">HLOOKUP($J872,'Type Chart'!$C$2:$T$20,5,false)*HLOOKUP($K872,'Type Chart'!$C$2:$U$20,5,false)</f>
        <v>0.5</v>
      </c>
      <c r="Y872" s="960">
        <f t="array" ref="Y872">HLOOKUP($J872,'Type Chart'!$C$2:$T$20,6,false)*HLOOKUP($K872,'Type Chart'!$C$2:$U$20,6,false)</f>
        <v>2</v>
      </c>
      <c r="Z872" s="960">
        <f t="array" ref="Z872">HLOOKUP($J872,'Type Chart'!$C$2:$T$20,7,false)*HLOOKUP($K872,'Type Chart'!$C$2:$U$20,7,false)</f>
        <v>1</v>
      </c>
      <c r="AA872" s="960">
        <f t="array" ref="AA872">HLOOKUP($J872,'Type Chart'!$C$2:$T$20,8,false)*HLOOKUP($K872,'Type Chart'!$C$2:$U$20,8,false)</f>
        <v>1</v>
      </c>
      <c r="AB872" s="960">
        <f t="array" ref="AB872">HLOOKUP($J872,'Type Chart'!$C$2:$T$20,9,false)*HLOOKUP($K872,'Type Chart'!$C$2:$U$20,9,false)</f>
        <v>1</v>
      </c>
      <c r="AC872" s="960">
        <f t="array" ref="AC872">HLOOKUP($J872,'Type Chart'!$C$2:$T$20,10,false)*HLOOKUP($K872,'Type Chart'!$C$2:$U$20,10,false)</f>
        <v>2</v>
      </c>
      <c r="AD872" s="960">
        <f t="array" ref="AD872">HLOOKUP($J872,'Type Chart'!$C$2:$T$20,11,false)*HLOOKUP($K872,'Type Chart'!$C$2:$U$20,11,false)</f>
        <v>0.25</v>
      </c>
      <c r="AE872" s="960">
        <f t="array" ref="AE872">HLOOKUP($J872,'Type Chart'!$C$2:$T$20,12,false)*HLOOKUP($K872,'Type Chart'!$C$2:$U$20,12,false)</f>
        <v>1</v>
      </c>
      <c r="AF872" s="960">
        <f t="array" ref="AF872">HLOOKUP($J872,'Type Chart'!$C$2:$T$20,13,false)*HLOOKUP($K872,'Type Chart'!$C$2:$U$20,13,false)</f>
        <v>1</v>
      </c>
      <c r="AG872" s="960">
        <f t="array" ref="AG872">HLOOKUP($J872,'Type Chart'!$C$2:$T$20,14,false)*HLOOKUP($K872,'Type Chart'!$C$2:$U$20,14,false)</f>
        <v>0.5</v>
      </c>
      <c r="AH872" s="960">
        <f t="array" ref="AH872">HLOOKUP($J872,'Type Chart'!$C$2:$T$20,15,false)*HLOOKUP($K872,'Type Chart'!$C$2:$U$20,15,false)</f>
        <v>1</v>
      </c>
      <c r="AI872" s="960">
        <f t="array" ref="AI872">HLOOKUP($J872,'Type Chart'!$C$2:$T$20,16,false)*HLOOKUP($K872,'Type Chart'!$C$2:$U$20,16,false)</f>
        <v>2</v>
      </c>
      <c r="AJ872" s="960">
        <f t="array" ref="AJ872">HLOOKUP($J872,'Type Chart'!$C$2:$T$20,17,false)*HLOOKUP($K872,'Type Chart'!$C$2:$U$20,17,false)</f>
        <v>2</v>
      </c>
      <c r="AK872" s="960">
        <f t="array" ref="AK872">HLOOKUP($J872,'Type Chart'!$C$2:$T$20,18,false)*HLOOKUP($K872,'Type Chart'!$C$2:$U$20,18,false)</f>
        <v>1</v>
      </c>
      <c r="AL872" s="960">
        <f t="array" ref="AL872">HLOOKUP($J872,'Type Chart'!$C$2:$T$20,19,false)*HLOOKUP($K872,'Type Chart'!$C$2:$U$20,19,false)</f>
        <v>2</v>
      </c>
      <c r="AM872" s="964" t="s">
        <v>2205</v>
      </c>
      <c r="AN872" s="965"/>
      <c r="AO872" s="966" t="s">
        <v>1276</v>
      </c>
      <c r="AP872" s="936"/>
      <c r="AQ872" s="967"/>
      <c r="AR872" s="968"/>
      <c r="AS872" s="936"/>
    </row>
    <row r="873" ht="15.75" customHeight="1">
      <c r="A873" s="936"/>
      <c r="B873" s="948" t="s">
        <v>3417</v>
      </c>
      <c r="C873" s="950" t="s">
        <v>3418</v>
      </c>
      <c r="D873" s="950" t="s">
        <v>3418</v>
      </c>
      <c r="E873" s="952" t="s">
        <v>3418</v>
      </c>
      <c r="F873" s="940"/>
      <c r="G873" s="953"/>
      <c r="H873" s="969"/>
      <c r="I873" s="956" t="s">
        <v>3419</v>
      </c>
      <c r="J873" s="1214" t="s">
        <v>342</v>
      </c>
      <c r="K873" s="1205" t="s">
        <v>345</v>
      </c>
      <c r="L873" s="959">
        <v>77.0</v>
      </c>
      <c r="M873" s="960">
        <v>59.0</v>
      </c>
      <c r="N873" s="960">
        <v>50.0</v>
      </c>
      <c r="O873" s="960">
        <v>67.0</v>
      </c>
      <c r="P873" s="960">
        <v>63.0</v>
      </c>
      <c r="Q873" s="960">
        <v>46.0</v>
      </c>
      <c r="R873" s="960">
        <v>128.0</v>
      </c>
      <c r="S873" s="960">
        <v>191.0</v>
      </c>
      <c r="T873" s="960">
        <v>210.0</v>
      </c>
      <c r="U873" s="960">
        <f t="array" ref="U873">HLOOKUP($J873,'Type Chart'!$C$2:$T$20,2,false)*HLOOKUP($K873,'Type Chart'!$C$2:$U$20,2,false)</f>
        <v>0.5</v>
      </c>
      <c r="V873" s="960">
        <f t="array" ref="V873">HLOOKUP($J873,'Type Chart'!$C$2:$T$20,3,false)*HLOOKUP($K873,'Type Chart'!$C$2:$U$20,3,false)</f>
        <v>4</v>
      </c>
      <c r="W873" s="960">
        <f t="array" ref="W873">HLOOKUP($J873,'Type Chart'!$C$2:$T$20,4,false)*HLOOKUP($K873,'Type Chart'!$C$2:$U$20,4,false)</f>
        <v>0.5</v>
      </c>
      <c r="X873" s="960">
        <f t="array" ref="X873">HLOOKUP($J873,'Type Chart'!$C$2:$T$20,5,false)*HLOOKUP($K873,'Type Chart'!$C$2:$U$20,5,false)</f>
        <v>0.5</v>
      </c>
      <c r="Y873" s="960">
        <f t="array" ref="Y873">HLOOKUP($J873,'Type Chart'!$C$2:$T$20,6,false)*HLOOKUP($K873,'Type Chart'!$C$2:$U$20,6,false)</f>
        <v>2</v>
      </c>
      <c r="Z873" s="960">
        <f t="array" ref="Z873">HLOOKUP($J873,'Type Chart'!$C$2:$T$20,7,false)*HLOOKUP($K873,'Type Chart'!$C$2:$U$20,7,false)</f>
        <v>2</v>
      </c>
      <c r="AA873" s="960">
        <f t="array" ref="AA873">HLOOKUP($J873,'Type Chart'!$C$2:$T$20,8,false)*HLOOKUP($K873,'Type Chart'!$C$2:$U$20,8,false)</f>
        <v>1</v>
      </c>
      <c r="AB873" s="960">
        <f t="array" ref="AB873">HLOOKUP($J873,'Type Chart'!$C$2:$T$20,9,false)*HLOOKUP($K873,'Type Chart'!$C$2:$U$20,9,false)</f>
        <v>1</v>
      </c>
      <c r="AC873" s="960">
        <f t="array" ref="AC873">HLOOKUP($J873,'Type Chart'!$C$2:$T$20,10,false)*HLOOKUP($K873,'Type Chart'!$C$2:$U$20,10,false)</f>
        <v>4</v>
      </c>
      <c r="AD873" s="960">
        <f t="array" ref="AD873">HLOOKUP($J873,'Type Chart'!$C$2:$T$20,11,false)*HLOOKUP($K873,'Type Chart'!$C$2:$U$20,11,false)</f>
        <v>1</v>
      </c>
      <c r="AE873" s="960">
        <f t="array" ref="AE873">HLOOKUP($J873,'Type Chart'!$C$2:$T$20,12,false)*HLOOKUP($K873,'Type Chart'!$C$2:$U$20,12,false)</f>
        <v>2</v>
      </c>
      <c r="AF873" s="960">
        <f t="array" ref="AF873">HLOOKUP($J873,'Type Chart'!$C$2:$T$20,13,false)*HLOOKUP($K873,'Type Chart'!$C$2:$U$20,13,false)</f>
        <v>2</v>
      </c>
      <c r="AG873" s="960">
        <f t="array" ref="AG873">HLOOKUP($J873,'Type Chart'!$C$2:$T$20,14,false)*HLOOKUP($K873,'Type Chart'!$C$2:$U$20,14,false)</f>
        <v>1</v>
      </c>
      <c r="AH873" s="960">
        <f t="array" ref="AH873">HLOOKUP($J873,'Type Chart'!$C$2:$T$20,15,false)*HLOOKUP($K873,'Type Chart'!$C$2:$U$20,15,false)</f>
        <v>1</v>
      </c>
      <c r="AI873" s="960">
        <f t="array" ref="AI873">HLOOKUP($J873,'Type Chart'!$C$2:$T$20,16,false)*HLOOKUP($K873,'Type Chart'!$C$2:$U$20,16,false)</f>
        <v>0.5</v>
      </c>
      <c r="AJ873" s="960">
        <f t="array" ref="AJ873">HLOOKUP($J873,'Type Chart'!$C$2:$T$20,17,false)*HLOOKUP($K873,'Type Chart'!$C$2:$U$20,17,false)</f>
        <v>1</v>
      </c>
      <c r="AK873" s="960">
        <f t="array" ref="AK873">HLOOKUP($J873,'Type Chart'!$C$2:$T$20,18,false)*HLOOKUP($K873,'Type Chart'!$C$2:$U$20,18,false)</f>
        <v>1</v>
      </c>
      <c r="AL873" s="960">
        <f t="array" ref="AL873">HLOOKUP($J873,'Type Chart'!$C$2:$T$20,19,false)*HLOOKUP($K873,'Type Chart'!$C$2:$U$20,19,false)</f>
        <v>1</v>
      </c>
      <c r="AM873" s="964" t="s">
        <v>2348</v>
      </c>
      <c r="AN873" s="965"/>
      <c r="AO873" s="966" t="s">
        <v>1176</v>
      </c>
      <c r="AP873" s="936"/>
      <c r="AQ873" s="967"/>
      <c r="AR873" s="968"/>
      <c r="AS873" s="936"/>
    </row>
    <row r="874" ht="15.75" customHeight="1">
      <c r="A874" s="936"/>
      <c r="B874" s="948" t="s">
        <v>3420</v>
      </c>
      <c r="C874" s="950" t="s">
        <v>3421</v>
      </c>
      <c r="D874" s="950" t="s">
        <v>3421</v>
      </c>
      <c r="E874" s="952" t="s">
        <v>3421</v>
      </c>
      <c r="F874" s="940"/>
      <c r="G874" s="953"/>
      <c r="H874" s="969"/>
      <c r="I874" s="956" t="s">
        <v>3422</v>
      </c>
      <c r="J874" s="1214" t="s">
        <v>342</v>
      </c>
      <c r="K874" s="1205" t="s">
        <v>345</v>
      </c>
      <c r="L874" s="959">
        <v>123.0</v>
      </c>
      <c r="M874" s="960">
        <v>77.0</v>
      </c>
      <c r="N874" s="960">
        <v>72.0</v>
      </c>
      <c r="O874" s="960">
        <v>99.0</v>
      </c>
      <c r="P874" s="960">
        <v>92.0</v>
      </c>
      <c r="Q874" s="960">
        <v>58.0</v>
      </c>
      <c r="R874" s="960">
        <v>152.0</v>
      </c>
      <c r="S874" s="960">
        <v>215.0</v>
      </c>
      <c r="T874" s="960">
        <v>236.0</v>
      </c>
      <c r="U874" s="960">
        <f t="array" ref="U874">HLOOKUP($J874,'Type Chart'!$C$2:$T$20,2,false)*HLOOKUP($K874,'Type Chart'!$C$2:$U$20,2,false)</f>
        <v>0.5</v>
      </c>
      <c r="V874" s="960">
        <f t="array" ref="V874">HLOOKUP($J874,'Type Chart'!$C$2:$T$20,3,false)*HLOOKUP($K874,'Type Chart'!$C$2:$U$20,3,false)</f>
        <v>4</v>
      </c>
      <c r="W874" s="960">
        <f t="array" ref="W874">HLOOKUP($J874,'Type Chart'!$C$2:$T$20,4,false)*HLOOKUP($K874,'Type Chart'!$C$2:$U$20,4,false)</f>
        <v>0.5</v>
      </c>
      <c r="X874" s="960">
        <f t="array" ref="X874">HLOOKUP($J874,'Type Chart'!$C$2:$T$20,5,false)*HLOOKUP($K874,'Type Chart'!$C$2:$U$20,5,false)</f>
        <v>0.5</v>
      </c>
      <c r="Y874" s="960">
        <f t="array" ref="Y874">HLOOKUP($J874,'Type Chart'!$C$2:$T$20,6,false)*HLOOKUP($K874,'Type Chart'!$C$2:$U$20,6,false)</f>
        <v>2</v>
      </c>
      <c r="Z874" s="960">
        <f t="array" ref="Z874">HLOOKUP($J874,'Type Chart'!$C$2:$T$20,7,false)*HLOOKUP($K874,'Type Chart'!$C$2:$U$20,7,false)</f>
        <v>2</v>
      </c>
      <c r="AA874" s="960">
        <f t="array" ref="AA874">HLOOKUP($J874,'Type Chart'!$C$2:$T$20,8,false)*HLOOKUP($K874,'Type Chart'!$C$2:$U$20,8,false)</f>
        <v>1</v>
      </c>
      <c r="AB874" s="960">
        <f t="array" ref="AB874">HLOOKUP($J874,'Type Chart'!$C$2:$T$20,9,false)*HLOOKUP($K874,'Type Chart'!$C$2:$U$20,9,false)</f>
        <v>1</v>
      </c>
      <c r="AC874" s="960">
        <f t="array" ref="AC874">HLOOKUP($J874,'Type Chart'!$C$2:$T$20,10,false)*HLOOKUP($K874,'Type Chart'!$C$2:$U$20,10,false)</f>
        <v>4</v>
      </c>
      <c r="AD874" s="960">
        <f t="array" ref="AD874">HLOOKUP($J874,'Type Chart'!$C$2:$T$20,11,false)*HLOOKUP($K874,'Type Chart'!$C$2:$U$20,11,false)</f>
        <v>1</v>
      </c>
      <c r="AE874" s="960">
        <f t="array" ref="AE874">HLOOKUP($J874,'Type Chart'!$C$2:$T$20,12,false)*HLOOKUP($K874,'Type Chart'!$C$2:$U$20,12,false)</f>
        <v>2</v>
      </c>
      <c r="AF874" s="960">
        <f t="array" ref="AF874">HLOOKUP($J874,'Type Chart'!$C$2:$T$20,13,false)*HLOOKUP($K874,'Type Chart'!$C$2:$U$20,13,false)</f>
        <v>2</v>
      </c>
      <c r="AG874" s="960">
        <f t="array" ref="AG874">HLOOKUP($J874,'Type Chart'!$C$2:$T$20,14,false)*HLOOKUP($K874,'Type Chart'!$C$2:$U$20,14,false)</f>
        <v>1</v>
      </c>
      <c r="AH874" s="960">
        <f t="array" ref="AH874">HLOOKUP($J874,'Type Chart'!$C$2:$T$20,15,false)*HLOOKUP($K874,'Type Chart'!$C$2:$U$20,15,false)</f>
        <v>1</v>
      </c>
      <c r="AI874" s="960">
        <f t="array" ref="AI874">HLOOKUP($J874,'Type Chart'!$C$2:$T$20,16,false)*HLOOKUP($K874,'Type Chart'!$C$2:$U$20,16,false)</f>
        <v>0.5</v>
      </c>
      <c r="AJ874" s="960">
        <f t="array" ref="AJ874">HLOOKUP($J874,'Type Chart'!$C$2:$T$20,17,false)*HLOOKUP($K874,'Type Chart'!$C$2:$U$20,17,false)</f>
        <v>1</v>
      </c>
      <c r="AK874" s="960">
        <f t="array" ref="AK874">HLOOKUP($J874,'Type Chart'!$C$2:$T$20,18,false)*HLOOKUP($K874,'Type Chart'!$C$2:$U$20,18,false)</f>
        <v>1</v>
      </c>
      <c r="AL874" s="960">
        <f t="array" ref="AL874">HLOOKUP($J874,'Type Chart'!$C$2:$T$20,19,false)*HLOOKUP($K874,'Type Chart'!$C$2:$U$20,19,false)</f>
        <v>1</v>
      </c>
      <c r="AM874" s="964" t="s">
        <v>2348</v>
      </c>
      <c r="AN874" s="965"/>
      <c r="AO874" s="966" t="s">
        <v>1176</v>
      </c>
      <c r="AP874" s="936"/>
      <c r="AQ874" s="967"/>
      <c r="AR874" s="968"/>
      <c r="AS874" s="936"/>
    </row>
    <row r="875" ht="15.75" customHeight="1">
      <c r="A875" s="936"/>
      <c r="B875" s="948" t="s">
        <v>3423</v>
      </c>
      <c r="C875" s="950" t="s">
        <v>3424</v>
      </c>
      <c r="D875" s="950" t="s">
        <v>3424</v>
      </c>
      <c r="E875" s="952" t="s">
        <v>3424</v>
      </c>
      <c r="F875" s="940"/>
      <c r="G875" s="953"/>
      <c r="H875" s="969"/>
      <c r="I875" s="956" t="s">
        <v>572</v>
      </c>
      <c r="J875" s="1207" t="s">
        <v>127</v>
      </c>
      <c r="K875" s="984" t="s">
        <v>216</v>
      </c>
      <c r="L875" s="959">
        <v>95.0</v>
      </c>
      <c r="M875" s="960">
        <v>65.0</v>
      </c>
      <c r="N875" s="960">
        <v>65.0</v>
      </c>
      <c r="O875" s="960">
        <v>110.0</v>
      </c>
      <c r="P875" s="960">
        <v>130.0</v>
      </c>
      <c r="Q875" s="960">
        <v>60.0</v>
      </c>
      <c r="R875" s="960">
        <v>156.0</v>
      </c>
      <c r="S875" s="960">
        <v>219.0</v>
      </c>
      <c r="T875" s="960">
        <v>240.0</v>
      </c>
      <c r="U875" s="960">
        <f t="array" ref="U875">HLOOKUP($J875,'Type Chart'!$C$2:$T$20,2,false)*HLOOKUP($K875,'Type Chart'!$C$2:$U$20,2,false)</f>
        <v>1</v>
      </c>
      <c r="V875" s="960">
        <f t="array" ref="V875">HLOOKUP($J875,'Type Chart'!$C$2:$T$20,3,false)*HLOOKUP($K875,'Type Chart'!$C$2:$U$20,3,false)</f>
        <v>0.5</v>
      </c>
      <c r="W875" s="960">
        <f t="array" ref="W875">HLOOKUP($J875,'Type Chart'!$C$2:$T$20,4,false)*HLOOKUP($K875,'Type Chart'!$C$2:$U$20,4,false)</f>
        <v>1</v>
      </c>
      <c r="X875" s="960">
        <f t="array" ref="X875">HLOOKUP($J875,'Type Chart'!$C$2:$T$20,5,false)*HLOOKUP($K875,'Type Chart'!$C$2:$U$20,5,false)</f>
        <v>2</v>
      </c>
      <c r="Y875" s="960">
        <f t="array" ref="Y875">HLOOKUP($J875,'Type Chart'!$C$2:$T$20,6,false)*HLOOKUP($K875,'Type Chart'!$C$2:$U$20,6,false)</f>
        <v>1</v>
      </c>
      <c r="Z875" s="960">
        <f t="array" ref="Z875">HLOOKUP($J875,'Type Chart'!$C$2:$T$20,7,false)*HLOOKUP($K875,'Type Chart'!$C$2:$U$20,7,false)</f>
        <v>1</v>
      </c>
      <c r="AA875" s="960">
        <f t="array" ref="AA875">HLOOKUP($J875,'Type Chart'!$C$2:$T$20,8,false)*HLOOKUP($K875,'Type Chart'!$C$2:$U$20,8,false)</f>
        <v>0.5</v>
      </c>
      <c r="AB875" s="960">
        <f t="array" ref="AB875">HLOOKUP($J875,'Type Chart'!$C$2:$T$20,9,false)*HLOOKUP($K875,'Type Chart'!$C$2:$U$20,9,false)</f>
        <v>1</v>
      </c>
      <c r="AC875" s="960">
        <f t="array" ref="AC875">HLOOKUP($J875,'Type Chart'!$C$2:$T$20,10,false)*HLOOKUP($K875,'Type Chart'!$C$2:$U$20,10,false)</f>
        <v>2</v>
      </c>
      <c r="AD875" s="960">
        <f t="array" ref="AD875">HLOOKUP($J875,'Type Chart'!$C$2:$T$20,11,false)*HLOOKUP($K875,'Type Chart'!$C$2:$U$20,11,false)</f>
        <v>1</v>
      </c>
      <c r="AE875" s="960">
        <f t="array" ref="AE875">HLOOKUP($J875,'Type Chart'!$C$2:$T$20,12,false)*HLOOKUP($K875,'Type Chart'!$C$2:$U$20,12,false)</f>
        <v>1</v>
      </c>
      <c r="AF875" s="960">
        <f t="array" ref="AF875">HLOOKUP($J875,'Type Chart'!$C$2:$T$20,13,false)*HLOOKUP($K875,'Type Chart'!$C$2:$U$20,13,false)</f>
        <v>1</v>
      </c>
      <c r="AG875" s="960">
        <f t="array" ref="AG875">HLOOKUP($J875,'Type Chart'!$C$2:$T$20,14,false)*HLOOKUP($K875,'Type Chart'!$C$2:$U$20,14,false)</f>
        <v>1</v>
      </c>
      <c r="AH875" s="960">
        <f t="array" ref="AH875">HLOOKUP($J875,'Type Chart'!$C$2:$T$20,15,false)*HLOOKUP($K875,'Type Chart'!$C$2:$U$20,15,false)</f>
        <v>1</v>
      </c>
      <c r="AI875" s="960">
        <f t="array" ref="AI875">HLOOKUP($J875,'Type Chart'!$C$2:$T$20,16,false)*HLOOKUP($K875,'Type Chart'!$C$2:$U$20,16,false)</f>
        <v>1</v>
      </c>
      <c r="AJ875" s="960">
        <f t="array" ref="AJ875">HLOOKUP($J875,'Type Chart'!$C$2:$T$20,17,false)*HLOOKUP($K875,'Type Chart'!$C$2:$U$20,17,false)</f>
        <v>0</v>
      </c>
      <c r="AK875" s="960">
        <f t="array" ref="AK875">HLOOKUP($J875,'Type Chart'!$C$2:$T$20,18,false)*HLOOKUP($K875,'Type Chart'!$C$2:$U$20,18,false)</f>
        <v>0.5</v>
      </c>
      <c r="AL875" s="960">
        <f t="array" ref="AL875">HLOOKUP($J875,'Type Chart'!$C$2:$T$20,19,false)*HLOOKUP($K875,'Type Chart'!$C$2:$U$20,19,false)</f>
        <v>1</v>
      </c>
      <c r="AM875" s="964" t="s">
        <v>1165</v>
      </c>
      <c r="AN875" s="965"/>
      <c r="AO875" s="966" t="s">
        <v>2079</v>
      </c>
      <c r="AP875" s="936"/>
      <c r="AQ875" s="967"/>
      <c r="AR875" s="968"/>
      <c r="AS875" s="936"/>
    </row>
    <row r="876" ht="15.75" customHeight="1">
      <c r="A876" s="936"/>
      <c r="B876" s="948" t="s">
        <v>3425</v>
      </c>
      <c r="C876" s="950" t="s">
        <v>3426</v>
      </c>
      <c r="D876" s="950" t="s">
        <v>3426</v>
      </c>
      <c r="E876" s="952" t="s">
        <v>3426</v>
      </c>
      <c r="F876" s="940"/>
      <c r="G876" s="953"/>
      <c r="H876" s="969"/>
      <c r="I876" s="956" t="s">
        <v>493</v>
      </c>
      <c r="J876" s="1213" t="s">
        <v>341</v>
      </c>
      <c r="K876" s="1001" t="s">
        <v>128</v>
      </c>
      <c r="L876" s="959">
        <v>78.0</v>
      </c>
      <c r="M876" s="960">
        <v>92.0</v>
      </c>
      <c r="N876" s="960">
        <v>75.0</v>
      </c>
      <c r="O876" s="960">
        <v>74.0</v>
      </c>
      <c r="P876" s="960">
        <v>63.0</v>
      </c>
      <c r="Q876" s="960">
        <v>118.0</v>
      </c>
      <c r="R876" s="960">
        <v>272.0</v>
      </c>
      <c r="S876" s="960">
        <v>335.0</v>
      </c>
      <c r="T876" s="960">
        <v>368.0</v>
      </c>
      <c r="U876" s="960">
        <f t="array" ref="U876">HLOOKUP($J876,'Type Chart'!$C$2:$T$20,2,false)*HLOOKUP($K876,'Type Chart'!$C$2:$U$20,2,false)</f>
        <v>1</v>
      </c>
      <c r="V876" s="960">
        <f t="array" ref="V876">HLOOKUP($J876,'Type Chart'!$C$2:$T$20,3,false)*HLOOKUP($K876,'Type Chart'!$C$2:$U$20,3,false)</f>
        <v>0.5</v>
      </c>
      <c r="W876" s="960">
        <f t="array" ref="W876">HLOOKUP($J876,'Type Chart'!$C$2:$T$20,4,false)*HLOOKUP($K876,'Type Chart'!$C$2:$U$20,4,false)</f>
        <v>2</v>
      </c>
      <c r="X876" s="960">
        <f t="array" ref="X876">HLOOKUP($J876,'Type Chart'!$C$2:$T$20,5,false)*HLOOKUP($K876,'Type Chart'!$C$2:$U$20,5,false)</f>
        <v>1</v>
      </c>
      <c r="Y876" s="960">
        <f t="array" ref="Y876">HLOOKUP($J876,'Type Chart'!$C$2:$T$20,6,false)*HLOOKUP($K876,'Type Chart'!$C$2:$U$20,6,false)</f>
        <v>0</v>
      </c>
      <c r="Z876" s="960">
        <f t="array" ref="Z876">HLOOKUP($J876,'Type Chart'!$C$2:$T$20,7,false)*HLOOKUP($K876,'Type Chart'!$C$2:$U$20,7,false)</f>
        <v>1</v>
      </c>
      <c r="AA876" s="960">
        <f t="array" ref="AA876">HLOOKUP($J876,'Type Chart'!$C$2:$T$20,8,false)*HLOOKUP($K876,'Type Chart'!$C$2:$U$20,8,false)</f>
        <v>0.25</v>
      </c>
      <c r="AB876" s="960">
        <f t="array" ref="AB876">HLOOKUP($J876,'Type Chart'!$C$2:$T$20,9,false)*HLOOKUP($K876,'Type Chart'!$C$2:$U$20,9,false)</f>
        <v>1</v>
      </c>
      <c r="AC876" s="960">
        <f t="array" ref="AC876">HLOOKUP($J876,'Type Chart'!$C$2:$T$20,10,false)*HLOOKUP($K876,'Type Chart'!$C$2:$U$20,10,false)</f>
        <v>1</v>
      </c>
      <c r="AD876" s="960">
        <f t="array" ref="AD876">HLOOKUP($J876,'Type Chart'!$C$2:$T$20,11,false)*HLOOKUP($K876,'Type Chart'!$C$2:$U$20,11,false)</f>
        <v>1</v>
      </c>
      <c r="AE876" s="960">
        <f t="array" ref="AE876">HLOOKUP($J876,'Type Chart'!$C$2:$T$20,12,false)*HLOOKUP($K876,'Type Chart'!$C$2:$U$20,12,false)</f>
        <v>1</v>
      </c>
      <c r="AF876" s="960">
        <f t="array" ref="AF876">HLOOKUP($J876,'Type Chart'!$C$2:$T$20,13,false)*HLOOKUP($K876,'Type Chart'!$C$2:$U$20,13,false)</f>
        <v>0.5</v>
      </c>
      <c r="AG876" s="960">
        <f t="array" ref="AG876">HLOOKUP($J876,'Type Chart'!$C$2:$T$20,14,false)*HLOOKUP($K876,'Type Chart'!$C$2:$U$20,14,false)</f>
        <v>2</v>
      </c>
      <c r="AH876" s="960">
        <f t="array" ref="AH876">HLOOKUP($J876,'Type Chart'!$C$2:$T$20,15,false)*HLOOKUP($K876,'Type Chart'!$C$2:$U$20,15,false)</f>
        <v>2</v>
      </c>
      <c r="AI876" s="960">
        <f t="array" ref="AI876">HLOOKUP($J876,'Type Chart'!$C$2:$T$20,16,false)*HLOOKUP($K876,'Type Chart'!$C$2:$U$20,16,false)</f>
        <v>2</v>
      </c>
      <c r="AJ876" s="960">
        <f t="array" ref="AJ876">HLOOKUP($J876,'Type Chart'!$C$2:$T$20,17,false)*HLOOKUP($K876,'Type Chart'!$C$2:$U$20,17,false)</f>
        <v>1</v>
      </c>
      <c r="AK876" s="960">
        <f t="array" ref="AK876">HLOOKUP($J876,'Type Chart'!$C$2:$T$20,18,false)*HLOOKUP($K876,'Type Chart'!$C$2:$U$20,18,false)</f>
        <v>0.5</v>
      </c>
      <c r="AL876" s="960">
        <f t="array" ref="AL876">HLOOKUP($J876,'Type Chart'!$C$2:$T$20,19,false)*HLOOKUP($K876,'Type Chart'!$C$2:$U$20,19,false)</f>
        <v>2</v>
      </c>
      <c r="AM876" s="964" t="s">
        <v>1250</v>
      </c>
      <c r="AN876" s="965" t="s">
        <v>1498</v>
      </c>
      <c r="AO876" s="966" t="s">
        <v>1576</v>
      </c>
      <c r="AP876" s="936"/>
      <c r="AQ876" s="967"/>
      <c r="AR876" s="968"/>
      <c r="AS876" s="936"/>
    </row>
    <row r="877" ht="15.75" customHeight="1">
      <c r="A877" s="936"/>
      <c r="B877" s="948" t="s">
        <v>3427</v>
      </c>
      <c r="C877" s="950" t="s">
        <v>3428</v>
      </c>
      <c r="D877" s="950" t="s">
        <v>3428</v>
      </c>
      <c r="E877" s="952" t="s">
        <v>3428</v>
      </c>
      <c r="F877" s="940"/>
      <c r="G877" s="953"/>
      <c r="H877" s="969"/>
      <c r="I877" s="998" t="s">
        <v>817</v>
      </c>
      <c r="J877" s="1196" t="s">
        <v>203</v>
      </c>
      <c r="K877" s="1207" t="s">
        <v>127</v>
      </c>
      <c r="L877" s="959">
        <v>67.0</v>
      </c>
      <c r="M877" s="960">
        <v>58.0</v>
      </c>
      <c r="N877" s="960">
        <v>57.0</v>
      </c>
      <c r="O877" s="960">
        <v>81.0</v>
      </c>
      <c r="P877" s="960">
        <v>67.0</v>
      </c>
      <c r="Q877" s="960">
        <v>101.0</v>
      </c>
      <c r="R877" s="960">
        <v>238.0</v>
      </c>
      <c r="S877" s="960">
        <v>301.0</v>
      </c>
      <c r="T877" s="960">
        <v>331.0</v>
      </c>
      <c r="U877" s="960">
        <f t="array" ref="U877">HLOOKUP($J877,'Type Chart'!$C$2:$T$20,2,false)*HLOOKUP($K877,'Type Chart'!$C$2:$U$20,2,false)</f>
        <v>1</v>
      </c>
      <c r="V877" s="960">
        <f t="array" ref="V877">HLOOKUP($J877,'Type Chart'!$C$2:$T$20,3,false)*HLOOKUP($K877,'Type Chart'!$C$2:$U$20,3,false)</f>
        <v>0.5</v>
      </c>
      <c r="W877" s="960">
        <f t="array" ref="W877">HLOOKUP($J877,'Type Chart'!$C$2:$T$20,4,false)*HLOOKUP($K877,'Type Chart'!$C$2:$U$20,4,false)</f>
        <v>0.5</v>
      </c>
      <c r="X877" s="960">
        <f t="array" ref="X877">HLOOKUP($J877,'Type Chart'!$C$2:$T$20,5,false)*HLOOKUP($K877,'Type Chart'!$C$2:$U$20,5,false)</f>
        <v>2</v>
      </c>
      <c r="Y877" s="960">
        <f t="array" ref="Y877">HLOOKUP($J877,'Type Chart'!$C$2:$T$20,6,false)*HLOOKUP($K877,'Type Chart'!$C$2:$U$20,6,false)</f>
        <v>2</v>
      </c>
      <c r="Z877" s="960">
        <f t="array" ref="Z877">HLOOKUP($J877,'Type Chart'!$C$2:$T$20,7,false)*HLOOKUP($K877,'Type Chart'!$C$2:$U$20,7,false)</f>
        <v>1</v>
      </c>
      <c r="AA877" s="960">
        <f t="array" ref="AA877">HLOOKUP($J877,'Type Chart'!$C$2:$T$20,8,false)*HLOOKUP($K877,'Type Chart'!$C$2:$U$20,8,false)</f>
        <v>0.5</v>
      </c>
      <c r="AB877" s="960">
        <f t="array" ref="AB877">HLOOKUP($J877,'Type Chart'!$C$2:$T$20,9,false)*HLOOKUP($K877,'Type Chart'!$C$2:$U$20,9,false)</f>
        <v>1</v>
      </c>
      <c r="AC877" s="960">
        <f t="array" ref="AC877">HLOOKUP($J877,'Type Chart'!$C$2:$T$20,10,false)*HLOOKUP($K877,'Type Chart'!$C$2:$U$20,10,false)</f>
        <v>1</v>
      </c>
      <c r="AD877" s="960">
        <f t="array" ref="AD877">HLOOKUP($J877,'Type Chart'!$C$2:$T$20,11,false)*HLOOKUP($K877,'Type Chart'!$C$2:$U$20,11,false)</f>
        <v>1</v>
      </c>
      <c r="AE877" s="960">
        <f t="array" ref="AE877">HLOOKUP($J877,'Type Chart'!$C$2:$T$20,12,false)*HLOOKUP($K877,'Type Chart'!$C$2:$U$20,12,false)</f>
        <v>1</v>
      </c>
      <c r="AF877" s="960">
        <f t="array" ref="AF877">HLOOKUP($J877,'Type Chart'!$C$2:$T$20,13,false)*HLOOKUP($K877,'Type Chart'!$C$2:$U$20,13,false)</f>
        <v>1</v>
      </c>
      <c r="AG877" s="960">
        <f t="array" ref="AG877">HLOOKUP($J877,'Type Chart'!$C$2:$T$20,14,false)*HLOOKUP($K877,'Type Chart'!$C$2:$U$20,14,false)</f>
        <v>0.5</v>
      </c>
      <c r="AH877" s="960">
        <f t="array" ref="AH877">HLOOKUP($J877,'Type Chart'!$C$2:$T$20,15,false)*HLOOKUP($K877,'Type Chart'!$C$2:$U$20,15,false)</f>
        <v>1</v>
      </c>
      <c r="AI877" s="960">
        <f t="array" ref="AI877">HLOOKUP($J877,'Type Chart'!$C$2:$T$20,16,false)*HLOOKUP($K877,'Type Chart'!$C$2:$U$20,16,false)</f>
        <v>1</v>
      </c>
      <c r="AJ877" s="960">
        <f t="array" ref="AJ877">HLOOKUP($J877,'Type Chart'!$C$2:$T$20,17,false)*HLOOKUP($K877,'Type Chart'!$C$2:$U$20,17,false)</f>
        <v>0</v>
      </c>
      <c r="AK877" s="960">
        <f t="array" ref="AK877">HLOOKUP($J877,'Type Chart'!$C$2:$T$20,18,false)*HLOOKUP($K877,'Type Chart'!$C$2:$U$20,18,false)</f>
        <v>0.5</v>
      </c>
      <c r="AL877" s="960">
        <f t="array" ref="AL877">HLOOKUP($J877,'Type Chart'!$C$2:$T$20,19,false)*HLOOKUP($K877,'Type Chart'!$C$2:$U$20,19,false)</f>
        <v>1</v>
      </c>
      <c r="AM877" s="964" t="s">
        <v>3286</v>
      </c>
      <c r="AN877" s="965" t="s">
        <v>1238</v>
      </c>
      <c r="AO877" s="966" t="s">
        <v>1759</v>
      </c>
      <c r="AP877" s="936"/>
      <c r="AQ877" s="967"/>
      <c r="AR877" s="968"/>
      <c r="AS877" s="936"/>
    </row>
    <row r="878" ht="15.75" customHeight="1">
      <c r="A878" s="936"/>
      <c r="B878" s="948" t="s">
        <v>3429</v>
      </c>
      <c r="C878" s="950" t="s">
        <v>3430</v>
      </c>
      <c r="D878" s="950" t="s">
        <v>3430</v>
      </c>
      <c r="E878" s="952" t="s">
        <v>3430</v>
      </c>
      <c r="F878" s="940"/>
      <c r="G878" s="953"/>
      <c r="H878" s="969"/>
      <c r="I878" s="956" t="s">
        <v>746</v>
      </c>
      <c r="J878" s="1214" t="s">
        <v>342</v>
      </c>
      <c r="K878" s="1207" t="s">
        <v>127</v>
      </c>
      <c r="L878" s="959">
        <v>50.0</v>
      </c>
      <c r="M878" s="960">
        <v>50.0</v>
      </c>
      <c r="N878" s="960">
        <v>150.0</v>
      </c>
      <c r="O878" s="960">
        <v>50.0</v>
      </c>
      <c r="P878" s="960">
        <v>150.0</v>
      </c>
      <c r="Q878" s="960">
        <v>50.0</v>
      </c>
      <c r="R878" s="960">
        <v>136.0</v>
      </c>
      <c r="S878" s="960">
        <v>199.0</v>
      </c>
      <c r="T878" s="960">
        <v>218.0</v>
      </c>
      <c r="U878" s="960">
        <f t="array" ref="U878">HLOOKUP($J878,'Type Chart'!$C$2:$T$20,2,false)*HLOOKUP($K878,'Type Chart'!$C$2:$U$20,2,false)</f>
        <v>0.5</v>
      </c>
      <c r="V878" s="960">
        <f t="array" ref="V878">HLOOKUP($J878,'Type Chart'!$C$2:$T$20,3,false)*HLOOKUP($K878,'Type Chart'!$C$2:$U$20,3,false)</f>
        <v>1</v>
      </c>
      <c r="W878" s="960">
        <f t="array" ref="W878">HLOOKUP($J878,'Type Chart'!$C$2:$T$20,4,false)*HLOOKUP($K878,'Type Chart'!$C$2:$U$20,4,false)</f>
        <v>0.5</v>
      </c>
      <c r="X878" s="960">
        <f t="array" ref="X878">HLOOKUP($J878,'Type Chart'!$C$2:$T$20,5,false)*HLOOKUP($K878,'Type Chart'!$C$2:$U$20,5,false)</f>
        <v>1</v>
      </c>
      <c r="Y878" s="960">
        <f t="array" ref="Y878">HLOOKUP($J878,'Type Chart'!$C$2:$T$20,6,false)*HLOOKUP($K878,'Type Chart'!$C$2:$U$20,6,false)</f>
        <v>2</v>
      </c>
      <c r="Z878" s="960">
        <f t="array" ref="Z878">HLOOKUP($J878,'Type Chart'!$C$2:$T$20,7,false)*HLOOKUP($K878,'Type Chart'!$C$2:$U$20,7,false)</f>
        <v>1</v>
      </c>
      <c r="AA878" s="960">
        <f t="array" ref="AA878">HLOOKUP($J878,'Type Chart'!$C$2:$T$20,8,false)*HLOOKUP($K878,'Type Chart'!$C$2:$U$20,8,false)</f>
        <v>0.5</v>
      </c>
      <c r="AB878" s="960">
        <f t="array" ref="AB878">HLOOKUP($J878,'Type Chart'!$C$2:$T$20,9,false)*HLOOKUP($K878,'Type Chart'!$C$2:$U$20,9,false)</f>
        <v>1</v>
      </c>
      <c r="AC878" s="960">
        <f t="array" ref="AC878">HLOOKUP($J878,'Type Chart'!$C$2:$T$20,10,false)*HLOOKUP($K878,'Type Chart'!$C$2:$U$20,10,false)</f>
        <v>4</v>
      </c>
      <c r="AD878" s="960">
        <f t="array" ref="AD878">HLOOKUP($J878,'Type Chart'!$C$2:$T$20,11,false)*HLOOKUP($K878,'Type Chart'!$C$2:$U$20,11,false)</f>
        <v>0.5</v>
      </c>
      <c r="AE878" s="960">
        <f t="array" ref="AE878">HLOOKUP($J878,'Type Chart'!$C$2:$T$20,12,false)*HLOOKUP($K878,'Type Chart'!$C$2:$U$20,12,false)</f>
        <v>2</v>
      </c>
      <c r="AF878" s="960">
        <f t="array" ref="AF878">HLOOKUP($J878,'Type Chart'!$C$2:$T$20,13,false)*HLOOKUP($K878,'Type Chart'!$C$2:$U$20,13,false)</f>
        <v>2</v>
      </c>
      <c r="AG878" s="960">
        <f t="array" ref="AG878">HLOOKUP($J878,'Type Chart'!$C$2:$T$20,14,false)*HLOOKUP($K878,'Type Chart'!$C$2:$U$20,14,false)</f>
        <v>1</v>
      </c>
      <c r="AH878" s="960">
        <f t="array" ref="AH878">HLOOKUP($J878,'Type Chart'!$C$2:$T$20,15,false)*HLOOKUP($K878,'Type Chart'!$C$2:$U$20,15,false)</f>
        <v>1</v>
      </c>
      <c r="AI878" s="960">
        <f t="array" ref="AI878">HLOOKUP($J878,'Type Chart'!$C$2:$T$20,16,false)*HLOOKUP($K878,'Type Chart'!$C$2:$U$20,16,false)</f>
        <v>1</v>
      </c>
      <c r="AJ878" s="960">
        <f t="array" ref="AJ878">HLOOKUP($J878,'Type Chart'!$C$2:$T$20,17,false)*HLOOKUP($K878,'Type Chart'!$C$2:$U$20,17,false)</f>
        <v>0</v>
      </c>
      <c r="AK878" s="960">
        <f t="array" ref="AK878">HLOOKUP($J878,'Type Chart'!$C$2:$T$20,18,false)*HLOOKUP($K878,'Type Chart'!$C$2:$U$20,18,false)</f>
        <v>0.5</v>
      </c>
      <c r="AL878" s="960">
        <f t="array" ref="AL878">HLOOKUP($J878,'Type Chart'!$C$2:$T$20,19,false)*HLOOKUP($K878,'Type Chart'!$C$2:$U$20,19,false)</f>
        <v>1</v>
      </c>
      <c r="AM878" s="964" t="s">
        <v>1324</v>
      </c>
      <c r="AN878" s="965"/>
      <c r="AO878" s="966" t="s">
        <v>1331</v>
      </c>
      <c r="AP878" s="936"/>
      <c r="AQ878" s="967"/>
      <c r="AR878" s="968"/>
      <c r="AS878" s="936"/>
    </row>
    <row r="879" ht="15.75" customHeight="1">
      <c r="A879" s="1099"/>
      <c r="B879" s="948" t="s">
        <v>3431</v>
      </c>
      <c r="C879" s="1197" t="s">
        <v>3432</v>
      </c>
      <c r="D879" s="1197" t="s">
        <v>3432</v>
      </c>
      <c r="E879" s="1147" t="s">
        <v>3432</v>
      </c>
      <c r="F879" s="940"/>
      <c r="G879" s="953"/>
      <c r="H879" s="969"/>
      <c r="I879" s="998" t="s">
        <v>3433</v>
      </c>
      <c r="J879" s="1231" t="s">
        <v>346</v>
      </c>
      <c r="K879" s="1199" t="s">
        <v>216</v>
      </c>
      <c r="L879" s="1200">
        <v>45.0</v>
      </c>
      <c r="M879" s="1201">
        <v>50.0</v>
      </c>
      <c r="N879" s="1201">
        <v>35.0</v>
      </c>
      <c r="O879" s="1201">
        <v>55.0</v>
      </c>
      <c r="P879" s="1201">
        <v>75.0</v>
      </c>
      <c r="Q879" s="1201">
        <v>40.0</v>
      </c>
      <c r="R879" s="960">
        <v>116.0</v>
      </c>
      <c r="S879" s="960">
        <v>179.0</v>
      </c>
      <c r="T879" s="960">
        <v>196.0</v>
      </c>
      <c r="U879" s="960">
        <f t="array" ref="U879">HLOOKUP($J879,'Type Chart'!$C$2:$T$20,2,false)*HLOOKUP($K879,'Type Chart'!$C$2:$U$20,2,false)</f>
        <v>1</v>
      </c>
      <c r="V879" s="960">
        <f t="array" ref="V879">HLOOKUP($J879,'Type Chart'!$C$2:$T$20,3,false)*HLOOKUP($K879,'Type Chart'!$C$2:$U$20,3,false)</f>
        <v>1</v>
      </c>
      <c r="W879" s="960">
        <f t="array" ref="W879">HLOOKUP($J879,'Type Chart'!$C$2:$T$20,4,false)*HLOOKUP($K879,'Type Chart'!$C$2:$U$20,4,false)</f>
        <v>1</v>
      </c>
      <c r="X879" s="960">
        <f t="array" ref="X879">HLOOKUP($J879,'Type Chart'!$C$2:$T$20,5,false)*HLOOKUP($K879,'Type Chart'!$C$2:$U$20,5,false)</f>
        <v>1</v>
      </c>
      <c r="Y879" s="960">
        <f t="array" ref="Y879">HLOOKUP($J879,'Type Chart'!$C$2:$T$20,6,false)*HLOOKUP($K879,'Type Chart'!$C$2:$U$20,6,false)</f>
        <v>1</v>
      </c>
      <c r="Z879" s="960">
        <f t="array" ref="Z879">HLOOKUP($J879,'Type Chart'!$C$2:$T$20,7,false)*HLOOKUP($K879,'Type Chart'!$C$2:$U$20,7,false)</f>
        <v>1</v>
      </c>
      <c r="AA879" s="960">
        <f t="array" ref="AA879">HLOOKUP($J879,'Type Chart'!$C$2:$T$20,8,false)*HLOOKUP($K879,'Type Chart'!$C$2:$U$20,8,false)</f>
        <v>1</v>
      </c>
      <c r="AB879" s="960">
        <f t="array" ref="AB879">HLOOKUP($J879,'Type Chart'!$C$2:$T$20,9,false)*HLOOKUP($K879,'Type Chart'!$C$2:$U$20,9,false)</f>
        <v>1</v>
      </c>
      <c r="AC879" s="960">
        <f t="array" ref="AC879">HLOOKUP($J879,'Type Chart'!$C$2:$T$20,10,false)*HLOOKUP($K879,'Type Chart'!$C$2:$U$20,10,false)</f>
        <v>1</v>
      </c>
      <c r="AD879" s="960">
        <f t="array" ref="AD879">HLOOKUP($J879,'Type Chart'!$C$2:$T$20,11,false)*HLOOKUP($K879,'Type Chart'!$C$2:$U$20,11,false)</f>
        <v>0.5</v>
      </c>
      <c r="AE879" s="960">
        <f t="array" ref="AE879">HLOOKUP($J879,'Type Chart'!$C$2:$T$20,12,false)*HLOOKUP($K879,'Type Chart'!$C$2:$U$20,12,false)</f>
        <v>0.5</v>
      </c>
      <c r="AF879" s="960">
        <f t="array" ref="AF879">HLOOKUP($J879,'Type Chart'!$C$2:$T$20,13,false)*HLOOKUP($K879,'Type Chart'!$C$2:$U$20,13,false)</f>
        <v>0.5</v>
      </c>
      <c r="AG879" s="960">
        <f t="array" ref="AG879">HLOOKUP($J879,'Type Chart'!$C$2:$T$20,14,false)*HLOOKUP($K879,'Type Chart'!$C$2:$U$20,14,false)</f>
        <v>0.5</v>
      </c>
      <c r="AH879" s="960">
        <f t="array" ref="AH879">HLOOKUP($J879,'Type Chart'!$C$2:$T$20,15,false)*HLOOKUP($K879,'Type Chart'!$C$2:$U$20,15,false)</f>
        <v>1</v>
      </c>
      <c r="AI879" s="960">
        <f t="array" ref="AI879">HLOOKUP($J879,'Type Chart'!$C$2:$T$20,16,false)*HLOOKUP($K879,'Type Chart'!$C$2:$U$20,16,false)</f>
        <v>2</v>
      </c>
      <c r="AJ879" s="960">
        <f t="array" ref="AJ879">HLOOKUP($J879,'Type Chart'!$C$2:$T$20,17,false)*HLOOKUP($K879,'Type Chart'!$C$2:$U$20,17,false)</f>
        <v>2</v>
      </c>
      <c r="AK879" s="960">
        <f t="array" ref="AK879">HLOOKUP($J879,'Type Chart'!$C$2:$T$20,18,false)*HLOOKUP($K879,'Type Chart'!$C$2:$U$20,18,false)</f>
        <v>1</v>
      </c>
      <c r="AL879" s="960">
        <f t="array" ref="AL879">HLOOKUP($J879,'Type Chart'!$C$2:$T$20,19,false)*HLOOKUP($K879,'Type Chart'!$C$2:$U$20,19,false)</f>
        <v>2</v>
      </c>
      <c r="AM879" s="1145" t="s">
        <v>1772</v>
      </c>
      <c r="AN879" s="965" t="s">
        <v>1409</v>
      </c>
      <c r="AO879" s="1146" t="s">
        <v>3434</v>
      </c>
      <c r="AP879" s="936"/>
      <c r="AQ879" s="967"/>
      <c r="AR879" s="968"/>
      <c r="AS879" s="936"/>
    </row>
    <row r="880" ht="15.75" customHeight="1">
      <c r="A880" s="1099"/>
      <c r="B880" s="948" t="s">
        <v>3435</v>
      </c>
      <c r="C880" s="1197" t="s">
        <v>3436</v>
      </c>
      <c r="D880" s="1197" t="s">
        <v>3436</v>
      </c>
      <c r="E880" s="1147" t="s">
        <v>3436</v>
      </c>
      <c r="F880" s="940"/>
      <c r="G880" s="953"/>
      <c r="H880" s="969"/>
      <c r="I880" s="998" t="s">
        <v>861</v>
      </c>
      <c r="J880" s="1231" t="s">
        <v>346</v>
      </c>
      <c r="K880" s="1199" t="s">
        <v>216</v>
      </c>
      <c r="L880" s="1200">
        <v>68.0</v>
      </c>
      <c r="M880" s="1201">
        <v>75.0</v>
      </c>
      <c r="N880" s="1201">
        <v>53.0</v>
      </c>
      <c r="O880" s="1201">
        <v>83.0</v>
      </c>
      <c r="P880" s="1201">
        <v>113.0</v>
      </c>
      <c r="Q880" s="1201">
        <v>60.0</v>
      </c>
      <c r="R880" s="960">
        <v>156.0</v>
      </c>
      <c r="S880" s="960">
        <v>219.0</v>
      </c>
      <c r="T880" s="960">
        <v>240.0</v>
      </c>
      <c r="U880" s="960">
        <f t="array" ref="U880">HLOOKUP($J880,'Type Chart'!$C$2:$T$20,2,false)*HLOOKUP($K880,'Type Chart'!$C$2:$U$20,2,false)</f>
        <v>1</v>
      </c>
      <c r="V880" s="960">
        <f t="array" ref="V880">HLOOKUP($J880,'Type Chart'!$C$2:$T$20,3,false)*HLOOKUP($K880,'Type Chart'!$C$2:$U$20,3,false)</f>
        <v>1</v>
      </c>
      <c r="W880" s="960">
        <f t="array" ref="W880">HLOOKUP($J880,'Type Chart'!$C$2:$T$20,4,false)*HLOOKUP($K880,'Type Chart'!$C$2:$U$20,4,false)</f>
        <v>1</v>
      </c>
      <c r="X880" s="960">
        <f t="array" ref="X880">HLOOKUP($J880,'Type Chart'!$C$2:$T$20,5,false)*HLOOKUP($K880,'Type Chart'!$C$2:$U$20,5,false)</f>
        <v>1</v>
      </c>
      <c r="Y880" s="960">
        <f t="array" ref="Y880">HLOOKUP($J880,'Type Chart'!$C$2:$T$20,6,false)*HLOOKUP($K880,'Type Chart'!$C$2:$U$20,6,false)</f>
        <v>1</v>
      </c>
      <c r="Z880" s="960">
        <f t="array" ref="Z880">HLOOKUP($J880,'Type Chart'!$C$2:$T$20,7,false)*HLOOKUP($K880,'Type Chart'!$C$2:$U$20,7,false)</f>
        <v>1</v>
      </c>
      <c r="AA880" s="960">
        <f t="array" ref="AA880">HLOOKUP($J880,'Type Chart'!$C$2:$T$20,8,false)*HLOOKUP($K880,'Type Chart'!$C$2:$U$20,8,false)</f>
        <v>1</v>
      </c>
      <c r="AB880" s="960">
        <f t="array" ref="AB880">HLOOKUP($J880,'Type Chart'!$C$2:$T$20,9,false)*HLOOKUP($K880,'Type Chart'!$C$2:$U$20,9,false)</f>
        <v>1</v>
      </c>
      <c r="AC880" s="960">
        <f t="array" ref="AC880">HLOOKUP($J880,'Type Chart'!$C$2:$T$20,10,false)*HLOOKUP($K880,'Type Chart'!$C$2:$U$20,10,false)</f>
        <v>1</v>
      </c>
      <c r="AD880" s="960">
        <f t="array" ref="AD880">HLOOKUP($J880,'Type Chart'!$C$2:$T$20,11,false)*HLOOKUP($K880,'Type Chart'!$C$2:$U$20,11,false)</f>
        <v>0.5</v>
      </c>
      <c r="AE880" s="960">
        <f t="array" ref="AE880">HLOOKUP($J880,'Type Chart'!$C$2:$T$20,12,false)*HLOOKUP($K880,'Type Chart'!$C$2:$U$20,12,false)</f>
        <v>0.5</v>
      </c>
      <c r="AF880" s="960">
        <f t="array" ref="AF880">HLOOKUP($J880,'Type Chart'!$C$2:$T$20,13,false)*HLOOKUP($K880,'Type Chart'!$C$2:$U$20,13,false)</f>
        <v>0.5</v>
      </c>
      <c r="AG880" s="960">
        <f t="array" ref="AG880">HLOOKUP($J880,'Type Chart'!$C$2:$T$20,14,false)*HLOOKUP($K880,'Type Chart'!$C$2:$U$20,14,false)</f>
        <v>0.5</v>
      </c>
      <c r="AH880" s="960">
        <f t="array" ref="AH880">HLOOKUP($J880,'Type Chart'!$C$2:$T$20,15,false)*HLOOKUP($K880,'Type Chart'!$C$2:$U$20,15,false)</f>
        <v>1</v>
      </c>
      <c r="AI880" s="960">
        <f t="array" ref="AI880">HLOOKUP($J880,'Type Chart'!$C$2:$T$20,16,false)*HLOOKUP($K880,'Type Chart'!$C$2:$U$20,16,false)</f>
        <v>2</v>
      </c>
      <c r="AJ880" s="960">
        <f t="array" ref="AJ880">HLOOKUP($J880,'Type Chart'!$C$2:$T$20,17,false)*HLOOKUP($K880,'Type Chart'!$C$2:$U$20,17,false)</f>
        <v>2</v>
      </c>
      <c r="AK880" s="960">
        <f t="array" ref="AK880">HLOOKUP($J880,'Type Chart'!$C$2:$T$20,18,false)*HLOOKUP($K880,'Type Chart'!$C$2:$U$20,18,false)</f>
        <v>1</v>
      </c>
      <c r="AL880" s="960">
        <f t="array" ref="AL880">HLOOKUP($J880,'Type Chart'!$C$2:$T$20,19,false)*HLOOKUP($K880,'Type Chart'!$C$2:$U$20,19,false)</f>
        <v>2</v>
      </c>
      <c r="AM880" s="1145" t="s">
        <v>1772</v>
      </c>
      <c r="AN880" s="965" t="s">
        <v>1409</v>
      </c>
      <c r="AO880" s="1146" t="s">
        <v>3434</v>
      </c>
      <c r="AP880" s="936"/>
      <c r="AQ880" s="967"/>
      <c r="AR880" s="968"/>
      <c r="AS880" s="936"/>
    </row>
    <row r="881" ht="15.75" customHeight="1">
      <c r="A881" s="1099"/>
      <c r="B881" s="948" t="s">
        <v>3437</v>
      </c>
      <c r="C881" s="1197" t="str">
        <f t="shared" ref="C881:E881" si="14">C880&amp;"-hisui"</f>
        <v>sliggoo-hisui</v>
      </c>
      <c r="D881" s="1197" t="str">
        <f t="shared" si="14"/>
        <v>sliggoo-hisui</v>
      </c>
      <c r="E881" s="1147" t="str">
        <f t="shared" si="14"/>
        <v>sliggoo-hisui</v>
      </c>
      <c r="F881" s="940"/>
      <c r="G881" s="953"/>
      <c r="H881" s="969"/>
      <c r="I881" s="998" t="s">
        <v>862</v>
      </c>
      <c r="J881" s="1233" t="s">
        <v>82</v>
      </c>
      <c r="K881" s="1231" t="s">
        <v>346</v>
      </c>
      <c r="L881" s="1200">
        <v>58.0</v>
      </c>
      <c r="M881" s="1201">
        <v>75.0</v>
      </c>
      <c r="N881" s="1201">
        <v>83.0</v>
      </c>
      <c r="O881" s="1201">
        <v>83.0</v>
      </c>
      <c r="P881" s="1201">
        <v>113.0</v>
      </c>
      <c r="Q881" s="1201">
        <v>40.0</v>
      </c>
      <c r="R881" s="960">
        <v>116.0</v>
      </c>
      <c r="S881" s="960">
        <v>179.0</v>
      </c>
      <c r="T881" s="960">
        <v>196.0</v>
      </c>
      <c r="U881" s="960">
        <f t="array" ref="U881">HLOOKUP($J881,'Type Chart'!$C$2:$T$20,2,false)*HLOOKUP($K881,'Type Chart'!$C$2:$U$20,2,false)</f>
        <v>0.5</v>
      </c>
      <c r="V881" s="960">
        <f t="array" ref="V881">HLOOKUP($J881,'Type Chart'!$C$2:$T$20,3,false)*HLOOKUP($K881,'Type Chart'!$C$2:$U$20,3,false)</f>
        <v>2</v>
      </c>
      <c r="W881" s="960">
        <f t="array" ref="W881">HLOOKUP($J881,'Type Chart'!$C$2:$T$20,4,false)*HLOOKUP($K881,'Type Chart'!$C$2:$U$20,4,false)</f>
        <v>0.5</v>
      </c>
      <c r="X881" s="960">
        <f t="array" ref="X881">HLOOKUP($J881,'Type Chart'!$C$2:$T$20,5,false)*HLOOKUP($K881,'Type Chart'!$C$2:$U$20,5,false)</f>
        <v>0</v>
      </c>
      <c r="Y881" s="960">
        <f t="array" ref="Y881">HLOOKUP($J881,'Type Chart'!$C$2:$T$20,6,false)*HLOOKUP($K881,'Type Chart'!$C$2:$U$20,6,false)</f>
        <v>2</v>
      </c>
      <c r="Z881" s="960">
        <f t="array" ref="Z881">HLOOKUP($J881,'Type Chart'!$C$2:$T$20,7,false)*HLOOKUP($K881,'Type Chart'!$C$2:$U$20,7,false)</f>
        <v>0.5</v>
      </c>
      <c r="AA881" s="960">
        <f t="array" ref="AA881">HLOOKUP($J881,'Type Chart'!$C$2:$T$20,8,false)*HLOOKUP($K881,'Type Chart'!$C$2:$U$20,8,false)</f>
        <v>0.5</v>
      </c>
      <c r="AB881" s="960">
        <f t="array" ref="AB881">HLOOKUP($J881,'Type Chart'!$C$2:$T$20,9,false)*HLOOKUP($K881,'Type Chart'!$C$2:$U$20,9,false)</f>
        <v>1</v>
      </c>
      <c r="AC881" s="960">
        <f t="array" ref="AC881">HLOOKUP($J881,'Type Chart'!$C$2:$T$20,10,false)*HLOOKUP($K881,'Type Chart'!$C$2:$U$20,10,false)</f>
        <v>0.5</v>
      </c>
      <c r="AD881" s="960">
        <f t="array" ref="AD881">HLOOKUP($J881,'Type Chart'!$C$2:$T$20,11,false)*HLOOKUP($K881,'Type Chart'!$C$2:$U$20,11,false)</f>
        <v>1</v>
      </c>
      <c r="AE881" s="960">
        <f t="array" ref="AE881">HLOOKUP($J881,'Type Chart'!$C$2:$T$20,12,false)*HLOOKUP($K881,'Type Chart'!$C$2:$U$20,12,false)</f>
        <v>0.5</v>
      </c>
      <c r="AF881" s="960">
        <f t="array" ref="AF881">HLOOKUP($J881,'Type Chart'!$C$2:$T$20,13,false)*HLOOKUP($K881,'Type Chart'!$C$2:$U$20,13,false)</f>
        <v>0.25</v>
      </c>
      <c r="AG881" s="960">
        <f t="array" ref="AG881">HLOOKUP($J881,'Type Chart'!$C$2:$T$20,14,false)*HLOOKUP($K881,'Type Chart'!$C$2:$U$20,14,false)</f>
        <v>0.5</v>
      </c>
      <c r="AH881" s="960">
        <f t="array" ref="AH881">HLOOKUP($J881,'Type Chart'!$C$2:$T$20,15,false)*HLOOKUP($K881,'Type Chart'!$C$2:$U$20,15,false)</f>
        <v>0.5</v>
      </c>
      <c r="AI881" s="960">
        <f t="array" ref="AI881">HLOOKUP($J881,'Type Chart'!$C$2:$T$20,16,false)*HLOOKUP($K881,'Type Chart'!$C$2:$U$20,16,false)</f>
        <v>1</v>
      </c>
      <c r="AJ881" s="960">
        <f t="array" ref="AJ881">HLOOKUP($J881,'Type Chart'!$C$2:$T$20,17,false)*HLOOKUP($K881,'Type Chart'!$C$2:$U$20,17,false)</f>
        <v>1</v>
      </c>
      <c r="AK881" s="960">
        <f t="array" ref="AK881">HLOOKUP($J881,'Type Chart'!$C$2:$T$20,18,false)*HLOOKUP($K881,'Type Chart'!$C$2:$U$20,18,false)</f>
        <v>1</v>
      </c>
      <c r="AL881" s="960">
        <f t="array" ref="AL881">HLOOKUP($J881,'Type Chart'!$C$2:$T$20,19,false)*HLOOKUP($K881,'Type Chart'!$C$2:$U$20,19,false)</f>
        <v>1</v>
      </c>
      <c r="AM881" s="1145" t="s">
        <v>1772</v>
      </c>
      <c r="AN881" s="964" t="s">
        <v>1385</v>
      </c>
      <c r="AO881" s="1146" t="s">
        <v>3434</v>
      </c>
      <c r="AP881" s="936"/>
      <c r="AQ881" s="967"/>
      <c r="AR881" s="968"/>
      <c r="AS881" s="936"/>
    </row>
    <row r="882" ht="15.75" customHeight="1">
      <c r="A882" s="936"/>
      <c r="B882" s="948" t="s">
        <v>3438</v>
      </c>
      <c r="C882" s="950" t="s">
        <v>3439</v>
      </c>
      <c r="D882" s="950" t="s">
        <v>3439</v>
      </c>
      <c r="E882" s="952" t="s">
        <v>3439</v>
      </c>
      <c r="F882" s="940"/>
      <c r="G882" s="953"/>
      <c r="H882" s="969"/>
      <c r="I882" s="956" t="s">
        <v>565</v>
      </c>
      <c r="J882" s="1006" t="s">
        <v>346</v>
      </c>
      <c r="K882" s="984" t="s">
        <v>216</v>
      </c>
      <c r="L882" s="959">
        <v>90.0</v>
      </c>
      <c r="M882" s="960">
        <v>100.0</v>
      </c>
      <c r="N882" s="960">
        <v>70.0</v>
      </c>
      <c r="O882" s="960">
        <v>110.0</v>
      </c>
      <c r="P882" s="960">
        <v>150.0</v>
      </c>
      <c r="Q882" s="960">
        <v>80.0</v>
      </c>
      <c r="R882" s="960">
        <v>196.0</v>
      </c>
      <c r="S882" s="960">
        <v>259.0</v>
      </c>
      <c r="T882" s="960">
        <v>284.0</v>
      </c>
      <c r="U882" s="960">
        <f t="array" ref="U882">HLOOKUP($J882,'Type Chart'!$C$2:$T$20,2,false)*HLOOKUP($K882,'Type Chart'!$C$2:$U$20,2,false)</f>
        <v>1</v>
      </c>
      <c r="V882" s="960">
        <f t="array" ref="V882">HLOOKUP($J882,'Type Chart'!$C$2:$T$20,3,false)*HLOOKUP($K882,'Type Chart'!$C$2:$U$20,3,false)</f>
        <v>1</v>
      </c>
      <c r="W882" s="960">
        <f t="array" ref="W882">HLOOKUP($J882,'Type Chart'!$C$2:$T$20,4,false)*HLOOKUP($K882,'Type Chart'!$C$2:$U$20,4,false)</f>
        <v>1</v>
      </c>
      <c r="X882" s="960">
        <f t="array" ref="X882">HLOOKUP($J882,'Type Chart'!$C$2:$T$20,5,false)*HLOOKUP($K882,'Type Chart'!$C$2:$U$20,5,false)</f>
        <v>1</v>
      </c>
      <c r="Y882" s="960">
        <f t="array" ref="Y882">HLOOKUP($J882,'Type Chart'!$C$2:$T$20,6,false)*HLOOKUP($K882,'Type Chart'!$C$2:$U$20,6,false)</f>
        <v>1</v>
      </c>
      <c r="Z882" s="960">
        <f t="array" ref="Z882">HLOOKUP($J882,'Type Chart'!$C$2:$T$20,7,false)*HLOOKUP($K882,'Type Chart'!$C$2:$U$20,7,false)</f>
        <v>1</v>
      </c>
      <c r="AA882" s="960">
        <f t="array" ref="AA882">HLOOKUP($J882,'Type Chart'!$C$2:$T$20,8,false)*HLOOKUP($K882,'Type Chart'!$C$2:$U$20,8,false)</f>
        <v>1</v>
      </c>
      <c r="AB882" s="960">
        <f t="array" ref="AB882">HLOOKUP($J882,'Type Chart'!$C$2:$T$20,9,false)*HLOOKUP($K882,'Type Chart'!$C$2:$U$20,9,false)</f>
        <v>1</v>
      </c>
      <c r="AC882" s="960">
        <f t="array" ref="AC882">HLOOKUP($J882,'Type Chart'!$C$2:$T$20,10,false)*HLOOKUP($K882,'Type Chart'!$C$2:$U$20,10,false)</f>
        <v>1</v>
      </c>
      <c r="AD882" s="960">
        <f t="array" ref="AD882">HLOOKUP($J882,'Type Chart'!$C$2:$T$20,11,false)*HLOOKUP($K882,'Type Chart'!$C$2:$U$20,11,false)</f>
        <v>0.5</v>
      </c>
      <c r="AE882" s="960">
        <f t="array" ref="AE882">HLOOKUP($J882,'Type Chart'!$C$2:$T$20,12,false)*HLOOKUP($K882,'Type Chart'!$C$2:$U$20,12,false)</f>
        <v>0.5</v>
      </c>
      <c r="AF882" s="960">
        <f t="array" ref="AF882">HLOOKUP($J882,'Type Chart'!$C$2:$T$20,13,false)*HLOOKUP($K882,'Type Chart'!$C$2:$U$20,13,false)</f>
        <v>0.5</v>
      </c>
      <c r="AG882" s="960">
        <f t="array" ref="AG882">HLOOKUP($J882,'Type Chart'!$C$2:$T$20,14,false)*HLOOKUP($K882,'Type Chart'!$C$2:$U$20,14,false)</f>
        <v>0.5</v>
      </c>
      <c r="AH882" s="960">
        <f t="array" ref="AH882">HLOOKUP($J882,'Type Chart'!$C$2:$T$20,15,false)*HLOOKUP($K882,'Type Chart'!$C$2:$U$20,15,false)</f>
        <v>1</v>
      </c>
      <c r="AI882" s="960">
        <f t="array" ref="AI882">HLOOKUP($J882,'Type Chart'!$C$2:$T$20,16,false)*HLOOKUP($K882,'Type Chart'!$C$2:$U$20,16,false)</f>
        <v>2</v>
      </c>
      <c r="AJ882" s="960">
        <f t="array" ref="AJ882">HLOOKUP($J882,'Type Chart'!$C$2:$T$20,17,false)*HLOOKUP($K882,'Type Chart'!$C$2:$U$20,17,false)</f>
        <v>2</v>
      </c>
      <c r="AK882" s="960">
        <f t="array" ref="AK882">HLOOKUP($J882,'Type Chart'!$C$2:$T$20,18,false)*HLOOKUP($K882,'Type Chart'!$C$2:$U$20,18,false)</f>
        <v>1</v>
      </c>
      <c r="AL882" s="960">
        <f t="array" ref="AL882">HLOOKUP($J882,'Type Chart'!$C$2:$T$20,19,false)*HLOOKUP($K882,'Type Chart'!$C$2:$U$20,19,false)</f>
        <v>2</v>
      </c>
      <c r="AM882" s="964" t="s">
        <v>1772</v>
      </c>
      <c r="AN882" s="965" t="s">
        <v>1409</v>
      </c>
      <c r="AO882" s="966" t="s">
        <v>3434</v>
      </c>
      <c r="AP882" s="936"/>
      <c r="AQ882" s="967"/>
      <c r="AR882" s="968"/>
      <c r="AS882" s="936"/>
    </row>
    <row r="883" ht="15.75" customHeight="1">
      <c r="A883" s="936"/>
      <c r="B883" s="948" t="s">
        <v>3440</v>
      </c>
      <c r="C883" s="950" t="str">
        <f t="shared" ref="C883:E883" si="15">C882&amp;"-hisui"</f>
        <v>goodra-hisui</v>
      </c>
      <c r="D883" s="950" t="str">
        <f t="shared" si="15"/>
        <v>goodra-hisui</v>
      </c>
      <c r="E883" s="952" t="str">
        <f t="shared" si="15"/>
        <v>goodra-hisui</v>
      </c>
      <c r="F883" s="940"/>
      <c r="G883" s="953"/>
      <c r="H883" s="969"/>
      <c r="I883" s="956" t="s">
        <v>476</v>
      </c>
      <c r="J883" s="1206" t="s">
        <v>82</v>
      </c>
      <c r="K883" s="1006" t="s">
        <v>346</v>
      </c>
      <c r="L883" s="959">
        <v>80.0</v>
      </c>
      <c r="M883" s="960">
        <v>100.0</v>
      </c>
      <c r="N883" s="960">
        <v>100.0</v>
      </c>
      <c r="O883" s="960">
        <v>110.0</v>
      </c>
      <c r="P883" s="960">
        <v>150.0</v>
      </c>
      <c r="Q883" s="960">
        <v>60.0</v>
      </c>
      <c r="R883" s="960">
        <v>156.0</v>
      </c>
      <c r="S883" s="960">
        <v>219.0</v>
      </c>
      <c r="T883" s="960">
        <v>240.0</v>
      </c>
      <c r="U883" s="960">
        <f t="array" ref="U883">HLOOKUP($J883,'Type Chart'!$C$2:$T$20,2,false)*HLOOKUP($K883,'Type Chart'!$C$2:$U$20,2,false)</f>
        <v>0.5</v>
      </c>
      <c r="V883" s="960">
        <f t="array" ref="V883">HLOOKUP($J883,'Type Chart'!$C$2:$T$20,3,false)*HLOOKUP($K883,'Type Chart'!$C$2:$U$20,3,false)</f>
        <v>2</v>
      </c>
      <c r="W883" s="960">
        <f t="array" ref="W883">HLOOKUP($J883,'Type Chart'!$C$2:$T$20,4,false)*HLOOKUP($K883,'Type Chart'!$C$2:$U$20,4,false)</f>
        <v>0.5</v>
      </c>
      <c r="X883" s="960">
        <f t="array" ref="X883">HLOOKUP($J883,'Type Chart'!$C$2:$T$20,5,false)*HLOOKUP($K883,'Type Chart'!$C$2:$U$20,5,false)</f>
        <v>0</v>
      </c>
      <c r="Y883" s="960">
        <f t="array" ref="Y883">HLOOKUP($J883,'Type Chart'!$C$2:$T$20,6,false)*HLOOKUP($K883,'Type Chart'!$C$2:$U$20,6,false)</f>
        <v>2</v>
      </c>
      <c r="Z883" s="960">
        <f t="array" ref="Z883">HLOOKUP($J883,'Type Chart'!$C$2:$T$20,7,false)*HLOOKUP($K883,'Type Chart'!$C$2:$U$20,7,false)</f>
        <v>0.5</v>
      </c>
      <c r="AA883" s="960">
        <f t="array" ref="AA883">HLOOKUP($J883,'Type Chart'!$C$2:$T$20,8,false)*HLOOKUP($K883,'Type Chart'!$C$2:$U$20,8,false)</f>
        <v>0.5</v>
      </c>
      <c r="AB883" s="960">
        <f t="array" ref="AB883">HLOOKUP($J883,'Type Chart'!$C$2:$T$20,9,false)*HLOOKUP($K883,'Type Chart'!$C$2:$U$20,9,false)</f>
        <v>1</v>
      </c>
      <c r="AC883" s="960">
        <f t="array" ref="AC883">HLOOKUP($J883,'Type Chart'!$C$2:$T$20,10,false)*HLOOKUP($K883,'Type Chart'!$C$2:$U$20,10,false)</f>
        <v>0.5</v>
      </c>
      <c r="AD883" s="960">
        <f t="array" ref="AD883">HLOOKUP($J883,'Type Chart'!$C$2:$T$20,11,false)*HLOOKUP($K883,'Type Chart'!$C$2:$U$20,11,false)</f>
        <v>1</v>
      </c>
      <c r="AE883" s="960">
        <f t="array" ref="AE883">HLOOKUP($J883,'Type Chart'!$C$2:$T$20,12,false)*HLOOKUP($K883,'Type Chart'!$C$2:$U$20,12,false)</f>
        <v>0.5</v>
      </c>
      <c r="AF883" s="960">
        <f t="array" ref="AF883">HLOOKUP($J883,'Type Chart'!$C$2:$T$20,13,false)*HLOOKUP($K883,'Type Chart'!$C$2:$U$20,13,false)</f>
        <v>0.25</v>
      </c>
      <c r="AG883" s="960">
        <f t="array" ref="AG883">HLOOKUP($J883,'Type Chart'!$C$2:$T$20,14,false)*HLOOKUP($K883,'Type Chart'!$C$2:$U$20,14,false)</f>
        <v>0.5</v>
      </c>
      <c r="AH883" s="960">
        <f t="array" ref="AH883">HLOOKUP($J883,'Type Chart'!$C$2:$T$20,15,false)*HLOOKUP($K883,'Type Chart'!$C$2:$U$20,15,false)</f>
        <v>0.5</v>
      </c>
      <c r="AI883" s="960">
        <f t="array" ref="AI883">HLOOKUP($J883,'Type Chart'!$C$2:$T$20,16,false)*HLOOKUP($K883,'Type Chart'!$C$2:$U$20,16,false)</f>
        <v>1</v>
      </c>
      <c r="AJ883" s="960">
        <f t="array" ref="AJ883">HLOOKUP($J883,'Type Chart'!$C$2:$T$20,17,false)*HLOOKUP($K883,'Type Chart'!$C$2:$U$20,17,false)</f>
        <v>1</v>
      </c>
      <c r="AK883" s="960">
        <f t="array" ref="AK883">HLOOKUP($J883,'Type Chart'!$C$2:$T$20,18,false)*HLOOKUP($K883,'Type Chart'!$C$2:$U$20,18,false)</f>
        <v>1</v>
      </c>
      <c r="AL883" s="960">
        <f t="array" ref="AL883">HLOOKUP($J883,'Type Chart'!$C$2:$T$20,19,false)*HLOOKUP($K883,'Type Chart'!$C$2:$U$20,19,false)</f>
        <v>1</v>
      </c>
      <c r="AM883" s="964" t="s">
        <v>1772</v>
      </c>
      <c r="AN883" s="964" t="s">
        <v>1385</v>
      </c>
      <c r="AO883" s="966" t="s">
        <v>3434</v>
      </c>
      <c r="AP883" s="936"/>
      <c r="AQ883" s="967"/>
      <c r="AR883" s="968"/>
      <c r="AS883" s="936"/>
    </row>
    <row r="884" ht="15.75" customHeight="1">
      <c r="A884" s="936"/>
      <c r="B884" s="948" t="s">
        <v>3441</v>
      </c>
      <c r="C884" s="950"/>
      <c r="D884" s="950" t="s">
        <v>3442</v>
      </c>
      <c r="E884" s="952" t="s">
        <v>3442</v>
      </c>
      <c r="F884" s="940"/>
      <c r="G884" s="953"/>
      <c r="H884" s="969"/>
      <c r="I884" s="956" t="s">
        <v>495</v>
      </c>
      <c r="J884" s="1206" t="s">
        <v>82</v>
      </c>
      <c r="K884" s="1207" t="s">
        <v>127</v>
      </c>
      <c r="L884" s="959">
        <v>57.0</v>
      </c>
      <c r="M884" s="960">
        <v>80.0</v>
      </c>
      <c r="N884" s="960">
        <v>91.0</v>
      </c>
      <c r="O884" s="960">
        <v>80.0</v>
      </c>
      <c r="P884" s="960">
        <v>87.0</v>
      </c>
      <c r="Q884" s="960">
        <v>75.0</v>
      </c>
      <c r="R884" s="960">
        <v>186.0</v>
      </c>
      <c r="S884" s="960">
        <v>249.0</v>
      </c>
      <c r="T884" s="960">
        <v>273.0</v>
      </c>
      <c r="U884" s="960">
        <f t="array" ref="U884">HLOOKUP($J884,'Type Chart'!$C$2:$T$20,2,false)*HLOOKUP($K884,'Type Chart'!$C$2:$U$20,2,false)</f>
        <v>0.5</v>
      </c>
      <c r="V884" s="960">
        <f t="array" ref="V884">HLOOKUP($J884,'Type Chart'!$C$2:$T$20,3,false)*HLOOKUP($K884,'Type Chart'!$C$2:$U$20,3,false)</f>
        <v>1</v>
      </c>
      <c r="W884" s="960">
        <f t="array" ref="W884">HLOOKUP($J884,'Type Chart'!$C$2:$T$20,4,false)*HLOOKUP($K884,'Type Chart'!$C$2:$U$20,4,false)</f>
        <v>0.5</v>
      </c>
      <c r="X884" s="960">
        <f t="array" ref="X884">HLOOKUP($J884,'Type Chart'!$C$2:$T$20,5,false)*HLOOKUP($K884,'Type Chart'!$C$2:$U$20,5,false)</f>
        <v>0</v>
      </c>
      <c r="Y884" s="960">
        <f t="array" ref="Y884">HLOOKUP($J884,'Type Chart'!$C$2:$T$20,6,false)*HLOOKUP($K884,'Type Chart'!$C$2:$U$20,6,false)</f>
        <v>2</v>
      </c>
      <c r="Z884" s="960">
        <f t="array" ref="Z884">HLOOKUP($J884,'Type Chart'!$C$2:$T$20,7,false)*HLOOKUP($K884,'Type Chart'!$C$2:$U$20,7,false)</f>
        <v>0.5</v>
      </c>
      <c r="AA884" s="960">
        <f t="array" ref="AA884">HLOOKUP($J884,'Type Chart'!$C$2:$T$20,8,false)*HLOOKUP($K884,'Type Chart'!$C$2:$U$20,8,false)</f>
        <v>0.25</v>
      </c>
      <c r="AB884" s="960">
        <f t="array" ref="AB884">HLOOKUP($J884,'Type Chart'!$C$2:$T$20,9,false)*HLOOKUP($K884,'Type Chart'!$C$2:$U$20,9,false)</f>
        <v>1</v>
      </c>
      <c r="AC884" s="960">
        <f t="array" ref="AC884">HLOOKUP($J884,'Type Chart'!$C$2:$T$20,10,false)*HLOOKUP($K884,'Type Chart'!$C$2:$U$20,10,false)</f>
        <v>1</v>
      </c>
      <c r="AD884" s="960">
        <f t="array" ref="AD884">HLOOKUP($J884,'Type Chart'!$C$2:$T$20,11,false)*HLOOKUP($K884,'Type Chart'!$C$2:$U$20,11,false)</f>
        <v>2</v>
      </c>
      <c r="AE884" s="960">
        <f t="array" ref="AE884">HLOOKUP($J884,'Type Chart'!$C$2:$T$20,12,false)*HLOOKUP($K884,'Type Chart'!$C$2:$U$20,12,false)</f>
        <v>1</v>
      </c>
      <c r="AF884" s="960">
        <f t="array" ref="AF884">HLOOKUP($J884,'Type Chart'!$C$2:$T$20,13,false)*HLOOKUP($K884,'Type Chart'!$C$2:$U$20,13,false)</f>
        <v>0.5</v>
      </c>
      <c r="AG884" s="960">
        <f t="array" ref="AG884">HLOOKUP($J884,'Type Chart'!$C$2:$T$20,14,false)*HLOOKUP($K884,'Type Chart'!$C$2:$U$20,14,false)</f>
        <v>1</v>
      </c>
      <c r="AH884" s="960">
        <f t="array" ref="AH884">HLOOKUP($J884,'Type Chart'!$C$2:$T$20,15,false)*HLOOKUP($K884,'Type Chart'!$C$2:$U$20,15,false)</f>
        <v>0.5</v>
      </c>
      <c r="AI884" s="960">
        <f t="array" ref="AI884">HLOOKUP($J884,'Type Chart'!$C$2:$T$20,16,false)*HLOOKUP($K884,'Type Chart'!$C$2:$U$20,16,false)</f>
        <v>0.5</v>
      </c>
      <c r="AJ884" s="960">
        <f t="array" ref="AJ884">HLOOKUP($J884,'Type Chart'!$C$2:$T$20,17,false)*HLOOKUP($K884,'Type Chart'!$C$2:$U$20,17,false)</f>
        <v>0</v>
      </c>
      <c r="AK884" s="960">
        <f t="array" ref="AK884">HLOOKUP($J884,'Type Chart'!$C$2:$T$20,18,false)*HLOOKUP($K884,'Type Chart'!$C$2:$U$20,18,false)</f>
        <v>0.5</v>
      </c>
      <c r="AL884" s="960">
        <f t="array" ref="AL884">HLOOKUP($J884,'Type Chart'!$C$2:$T$20,19,false)*HLOOKUP($K884,'Type Chart'!$C$2:$U$20,19,false)</f>
        <v>0.5</v>
      </c>
      <c r="AM884" s="964" t="s">
        <v>1813</v>
      </c>
      <c r="AN884" s="965"/>
      <c r="AO884" s="966" t="s">
        <v>3266</v>
      </c>
      <c r="AP884" s="936"/>
      <c r="AQ884" s="967"/>
      <c r="AR884" s="968"/>
      <c r="AS884" s="936"/>
    </row>
    <row r="885" ht="15.75" customHeight="1">
      <c r="A885" s="1099"/>
      <c r="B885" s="948" t="s">
        <v>3443</v>
      </c>
      <c r="C885" s="950" t="s">
        <v>3444</v>
      </c>
      <c r="D885" s="950" t="s">
        <v>3444</v>
      </c>
      <c r="E885" s="952" t="s">
        <v>3444</v>
      </c>
      <c r="F885" s="940"/>
      <c r="G885" s="953"/>
      <c r="H885" s="969"/>
      <c r="I885" s="956" t="s">
        <v>3445</v>
      </c>
      <c r="J885" s="1220" t="s">
        <v>215</v>
      </c>
      <c r="K885" s="957" t="s">
        <v>209</v>
      </c>
      <c r="L885" s="959">
        <v>43.0</v>
      </c>
      <c r="M885" s="960">
        <v>70.0</v>
      </c>
      <c r="N885" s="960">
        <v>48.0</v>
      </c>
      <c r="O885" s="960">
        <v>50.0</v>
      </c>
      <c r="P885" s="960">
        <v>60.0</v>
      </c>
      <c r="Q885" s="960">
        <v>38.0</v>
      </c>
      <c r="R885" s="960">
        <v>112.0</v>
      </c>
      <c r="S885" s="960">
        <v>175.0</v>
      </c>
      <c r="T885" s="960">
        <v>192.0</v>
      </c>
      <c r="U885" s="960">
        <f t="array" ref="U885">HLOOKUP($J885,'Type Chart'!$C$2:$T$20,2,false)*HLOOKUP($K885,'Type Chart'!$C$2:$U$20,2,false)</f>
        <v>0</v>
      </c>
      <c r="V885" s="960">
        <f t="array" ref="V885">HLOOKUP($J885,'Type Chart'!$C$2:$T$20,3,false)*HLOOKUP($K885,'Type Chart'!$C$2:$U$20,3,false)</f>
        <v>0</v>
      </c>
      <c r="W885" s="960">
        <f t="array" ref="W885">HLOOKUP($J885,'Type Chart'!$C$2:$T$20,4,false)*HLOOKUP($K885,'Type Chart'!$C$2:$U$20,4,false)</f>
        <v>2</v>
      </c>
      <c r="X885" s="960">
        <f t="array" ref="X885">HLOOKUP($J885,'Type Chart'!$C$2:$T$20,5,false)*HLOOKUP($K885,'Type Chart'!$C$2:$U$20,5,false)</f>
        <v>1</v>
      </c>
      <c r="Y885" s="960">
        <f t="array" ref="Y885">HLOOKUP($J885,'Type Chart'!$C$2:$T$20,6,false)*HLOOKUP($K885,'Type Chart'!$C$2:$U$20,6,false)</f>
        <v>0.5</v>
      </c>
      <c r="Z885" s="960">
        <f t="array" ref="Z885">HLOOKUP($J885,'Type Chart'!$C$2:$T$20,7,false)*HLOOKUP($K885,'Type Chart'!$C$2:$U$20,7,false)</f>
        <v>1</v>
      </c>
      <c r="AA885" s="960">
        <f t="array" ref="AA885">HLOOKUP($J885,'Type Chart'!$C$2:$T$20,8,false)*HLOOKUP($K885,'Type Chart'!$C$2:$U$20,8,false)</f>
        <v>1</v>
      </c>
      <c r="AB885" s="960">
        <f t="array" ref="AB885">HLOOKUP($J885,'Type Chart'!$C$2:$T$20,9,false)*HLOOKUP($K885,'Type Chart'!$C$2:$U$20,9,false)</f>
        <v>2</v>
      </c>
      <c r="AC885" s="960">
        <f t="array" ref="AC885">HLOOKUP($J885,'Type Chart'!$C$2:$T$20,10,false)*HLOOKUP($K885,'Type Chart'!$C$2:$U$20,10,false)</f>
        <v>1</v>
      </c>
      <c r="AD885" s="960">
        <f t="array" ref="AD885">HLOOKUP($J885,'Type Chart'!$C$2:$T$20,11,false)*HLOOKUP($K885,'Type Chart'!$C$2:$U$20,11,false)</f>
        <v>2</v>
      </c>
      <c r="AE885" s="960">
        <f t="array" ref="AE885">HLOOKUP($J885,'Type Chart'!$C$2:$T$20,12,false)*HLOOKUP($K885,'Type Chart'!$C$2:$U$20,12,false)</f>
        <v>0.5</v>
      </c>
      <c r="AF885" s="960">
        <f t="array" ref="AF885">HLOOKUP($J885,'Type Chart'!$C$2:$T$20,13,false)*HLOOKUP($K885,'Type Chart'!$C$2:$U$20,13,false)</f>
        <v>0.5</v>
      </c>
      <c r="AG885" s="960">
        <f t="array" ref="AG885">HLOOKUP($J885,'Type Chart'!$C$2:$T$20,14,false)*HLOOKUP($K885,'Type Chart'!$C$2:$U$20,14,false)</f>
        <v>0.5</v>
      </c>
      <c r="AH885" s="960">
        <f t="array" ref="AH885">HLOOKUP($J885,'Type Chart'!$C$2:$T$20,15,false)*HLOOKUP($K885,'Type Chart'!$C$2:$U$20,15,false)</f>
        <v>1</v>
      </c>
      <c r="AI885" s="960">
        <f t="array" ref="AI885">HLOOKUP($J885,'Type Chart'!$C$2:$T$20,16,false)*HLOOKUP($K885,'Type Chart'!$C$2:$U$20,16,false)</f>
        <v>2</v>
      </c>
      <c r="AJ885" s="960">
        <f t="array" ref="AJ885">HLOOKUP($J885,'Type Chart'!$C$2:$T$20,17,false)*HLOOKUP($K885,'Type Chart'!$C$2:$U$20,17,false)</f>
        <v>1</v>
      </c>
      <c r="AK885" s="960">
        <f t="array" ref="AK885">HLOOKUP($J885,'Type Chart'!$C$2:$T$20,18,false)*HLOOKUP($K885,'Type Chart'!$C$2:$U$20,18,false)</f>
        <v>2</v>
      </c>
      <c r="AL885" s="960">
        <f t="array" ref="AL885">HLOOKUP($J885,'Type Chart'!$C$2:$T$20,19,false)*HLOOKUP($K885,'Type Chart'!$C$2:$U$20,19,false)</f>
        <v>1</v>
      </c>
      <c r="AM885" s="1145" t="s">
        <v>1520</v>
      </c>
      <c r="AN885" s="965" t="s">
        <v>1188</v>
      </c>
      <c r="AO885" s="1146" t="s">
        <v>1478</v>
      </c>
      <c r="AP885" s="936"/>
      <c r="AQ885" s="967"/>
      <c r="AR885" s="968"/>
      <c r="AS885" s="936"/>
    </row>
    <row r="886" ht="15.75" customHeight="1">
      <c r="A886" s="1099"/>
      <c r="B886" s="948" t="s">
        <v>3446</v>
      </c>
      <c r="C886" s="1197" t="s">
        <v>3447</v>
      </c>
      <c r="D886" s="1197" t="s">
        <v>3447</v>
      </c>
      <c r="E886" s="1147" t="s">
        <v>3447</v>
      </c>
      <c r="F886" s="940"/>
      <c r="G886" s="953"/>
      <c r="H886" s="969"/>
      <c r="I886" s="998" t="s">
        <v>793</v>
      </c>
      <c r="J886" s="1221" t="s">
        <v>215</v>
      </c>
      <c r="K886" s="1228" t="s">
        <v>209</v>
      </c>
      <c r="L886" s="1200">
        <v>85.0</v>
      </c>
      <c r="M886" s="1201">
        <v>110.0</v>
      </c>
      <c r="N886" s="1201">
        <v>76.0</v>
      </c>
      <c r="O886" s="1201">
        <v>65.0</v>
      </c>
      <c r="P886" s="1201">
        <v>82.0</v>
      </c>
      <c r="Q886" s="1201">
        <v>56.0</v>
      </c>
      <c r="R886" s="960">
        <v>148.0</v>
      </c>
      <c r="S886" s="960">
        <v>211.0</v>
      </c>
      <c r="T886" s="960">
        <v>232.0</v>
      </c>
      <c r="U886" s="960">
        <f t="array" ref="U886">HLOOKUP($J886,'Type Chart'!$C$2:$T$20,2,false)*HLOOKUP($K886,'Type Chart'!$C$2:$U$20,2,false)</f>
        <v>0</v>
      </c>
      <c r="V886" s="960">
        <f t="array" ref="V886">HLOOKUP($J886,'Type Chart'!$C$2:$T$20,3,false)*HLOOKUP($K886,'Type Chart'!$C$2:$U$20,3,false)</f>
        <v>0</v>
      </c>
      <c r="W886" s="960">
        <f t="array" ref="W886">HLOOKUP($J886,'Type Chart'!$C$2:$T$20,4,false)*HLOOKUP($K886,'Type Chart'!$C$2:$U$20,4,false)</f>
        <v>2</v>
      </c>
      <c r="X886" s="960">
        <f t="array" ref="X886">HLOOKUP($J886,'Type Chart'!$C$2:$T$20,5,false)*HLOOKUP($K886,'Type Chart'!$C$2:$U$20,5,false)</f>
        <v>1</v>
      </c>
      <c r="Y886" s="960">
        <f t="array" ref="Y886">HLOOKUP($J886,'Type Chart'!$C$2:$T$20,6,false)*HLOOKUP($K886,'Type Chart'!$C$2:$U$20,6,false)</f>
        <v>0.5</v>
      </c>
      <c r="Z886" s="960">
        <f t="array" ref="Z886">HLOOKUP($J886,'Type Chart'!$C$2:$T$20,7,false)*HLOOKUP($K886,'Type Chart'!$C$2:$U$20,7,false)</f>
        <v>1</v>
      </c>
      <c r="AA886" s="960">
        <f t="array" ref="AA886">HLOOKUP($J886,'Type Chart'!$C$2:$T$20,8,false)*HLOOKUP($K886,'Type Chart'!$C$2:$U$20,8,false)</f>
        <v>1</v>
      </c>
      <c r="AB886" s="960">
        <f t="array" ref="AB886">HLOOKUP($J886,'Type Chart'!$C$2:$T$20,9,false)*HLOOKUP($K886,'Type Chart'!$C$2:$U$20,9,false)</f>
        <v>2</v>
      </c>
      <c r="AC886" s="960">
        <f t="array" ref="AC886">HLOOKUP($J886,'Type Chart'!$C$2:$T$20,10,false)*HLOOKUP($K886,'Type Chart'!$C$2:$U$20,10,false)</f>
        <v>1</v>
      </c>
      <c r="AD886" s="960">
        <f t="array" ref="AD886">HLOOKUP($J886,'Type Chart'!$C$2:$T$20,11,false)*HLOOKUP($K886,'Type Chart'!$C$2:$U$20,11,false)</f>
        <v>2</v>
      </c>
      <c r="AE886" s="960">
        <f t="array" ref="AE886">HLOOKUP($J886,'Type Chart'!$C$2:$T$20,12,false)*HLOOKUP($K886,'Type Chart'!$C$2:$U$20,12,false)</f>
        <v>0.5</v>
      </c>
      <c r="AF886" s="960">
        <f t="array" ref="AF886">HLOOKUP($J886,'Type Chart'!$C$2:$T$20,13,false)*HLOOKUP($K886,'Type Chart'!$C$2:$U$20,13,false)</f>
        <v>0.5</v>
      </c>
      <c r="AG886" s="960">
        <f t="array" ref="AG886">HLOOKUP($J886,'Type Chart'!$C$2:$T$20,14,false)*HLOOKUP($K886,'Type Chart'!$C$2:$U$20,14,false)</f>
        <v>0.5</v>
      </c>
      <c r="AH886" s="960">
        <f t="array" ref="AH886">HLOOKUP($J886,'Type Chart'!$C$2:$T$20,15,false)*HLOOKUP($K886,'Type Chart'!$C$2:$U$20,15,false)</f>
        <v>1</v>
      </c>
      <c r="AI886" s="960">
        <f t="array" ref="AI886">HLOOKUP($J886,'Type Chart'!$C$2:$T$20,16,false)*HLOOKUP($K886,'Type Chart'!$C$2:$U$20,16,false)</f>
        <v>2</v>
      </c>
      <c r="AJ886" s="960">
        <f t="array" ref="AJ886">HLOOKUP($J886,'Type Chart'!$C$2:$T$20,17,false)*HLOOKUP($K886,'Type Chart'!$C$2:$U$20,17,false)</f>
        <v>1</v>
      </c>
      <c r="AK886" s="960">
        <f t="array" ref="AK886">HLOOKUP($J886,'Type Chart'!$C$2:$T$20,18,false)*HLOOKUP($K886,'Type Chart'!$C$2:$U$20,18,false)</f>
        <v>2</v>
      </c>
      <c r="AL886" s="960">
        <f t="array" ref="AL886">HLOOKUP($J886,'Type Chart'!$C$2:$T$20,19,false)*HLOOKUP($K886,'Type Chart'!$C$2:$U$20,19,false)</f>
        <v>1</v>
      </c>
      <c r="AM886" s="1145" t="s">
        <v>1520</v>
      </c>
      <c r="AN886" s="965" t="s">
        <v>1188</v>
      </c>
      <c r="AO886" s="1146" t="s">
        <v>1478</v>
      </c>
      <c r="AP886" s="936"/>
      <c r="AQ886" s="967"/>
      <c r="AR886" s="968"/>
      <c r="AS886" s="936"/>
    </row>
    <row r="887" ht="15.75" customHeight="1">
      <c r="A887" s="936"/>
      <c r="B887" s="948" t="s">
        <v>3448</v>
      </c>
      <c r="C887" s="950" t="s">
        <v>3449</v>
      </c>
      <c r="D887" s="950" t="s">
        <v>3449</v>
      </c>
      <c r="E887" s="952" t="s">
        <v>3449</v>
      </c>
      <c r="F887" s="940"/>
      <c r="G887" s="953"/>
      <c r="H887" s="969"/>
      <c r="I887" s="956" t="s">
        <v>3450</v>
      </c>
      <c r="J887" s="1220" t="s">
        <v>215</v>
      </c>
      <c r="K887" s="957" t="s">
        <v>209</v>
      </c>
      <c r="L887" s="959">
        <v>49.0</v>
      </c>
      <c r="M887" s="960">
        <v>66.0</v>
      </c>
      <c r="N887" s="960">
        <v>70.0</v>
      </c>
      <c r="O887" s="960">
        <v>44.0</v>
      </c>
      <c r="P887" s="960">
        <v>55.0</v>
      </c>
      <c r="Q887" s="960">
        <v>51.0</v>
      </c>
      <c r="R887" s="960">
        <v>138.0</v>
      </c>
      <c r="S887" s="960">
        <v>201.0</v>
      </c>
      <c r="T887" s="960">
        <v>221.0</v>
      </c>
      <c r="U887" s="960">
        <f t="array" ref="U887">HLOOKUP($J887,'Type Chart'!$C$2:$T$20,2,false)*HLOOKUP($K887,'Type Chart'!$C$2:$U$20,2,false)</f>
        <v>0</v>
      </c>
      <c r="V887" s="960">
        <f t="array" ref="V887">HLOOKUP($J887,'Type Chart'!$C$2:$T$20,3,false)*HLOOKUP($K887,'Type Chart'!$C$2:$U$20,3,false)</f>
        <v>0</v>
      </c>
      <c r="W887" s="960">
        <f t="array" ref="W887">HLOOKUP($J887,'Type Chart'!$C$2:$T$20,4,false)*HLOOKUP($K887,'Type Chart'!$C$2:$U$20,4,false)</f>
        <v>2</v>
      </c>
      <c r="X887" s="960">
        <f t="array" ref="X887">HLOOKUP($J887,'Type Chart'!$C$2:$T$20,5,false)*HLOOKUP($K887,'Type Chart'!$C$2:$U$20,5,false)</f>
        <v>1</v>
      </c>
      <c r="Y887" s="960">
        <f t="array" ref="Y887">HLOOKUP($J887,'Type Chart'!$C$2:$T$20,6,false)*HLOOKUP($K887,'Type Chart'!$C$2:$U$20,6,false)</f>
        <v>0.5</v>
      </c>
      <c r="Z887" s="960">
        <f t="array" ref="Z887">HLOOKUP($J887,'Type Chart'!$C$2:$T$20,7,false)*HLOOKUP($K887,'Type Chart'!$C$2:$U$20,7,false)</f>
        <v>1</v>
      </c>
      <c r="AA887" s="960">
        <f t="array" ref="AA887">HLOOKUP($J887,'Type Chart'!$C$2:$T$20,8,false)*HLOOKUP($K887,'Type Chart'!$C$2:$U$20,8,false)</f>
        <v>1</v>
      </c>
      <c r="AB887" s="960">
        <f t="array" ref="AB887">HLOOKUP($J887,'Type Chart'!$C$2:$T$20,9,false)*HLOOKUP($K887,'Type Chart'!$C$2:$U$20,9,false)</f>
        <v>2</v>
      </c>
      <c r="AC887" s="960">
        <f t="array" ref="AC887">HLOOKUP($J887,'Type Chart'!$C$2:$T$20,10,false)*HLOOKUP($K887,'Type Chart'!$C$2:$U$20,10,false)</f>
        <v>1</v>
      </c>
      <c r="AD887" s="960">
        <f t="array" ref="AD887">HLOOKUP($J887,'Type Chart'!$C$2:$T$20,11,false)*HLOOKUP($K887,'Type Chart'!$C$2:$U$20,11,false)</f>
        <v>2</v>
      </c>
      <c r="AE887" s="960">
        <f t="array" ref="AE887">HLOOKUP($J887,'Type Chart'!$C$2:$T$20,12,false)*HLOOKUP($K887,'Type Chart'!$C$2:$U$20,12,false)</f>
        <v>0.5</v>
      </c>
      <c r="AF887" s="960">
        <f t="array" ref="AF887">HLOOKUP($J887,'Type Chart'!$C$2:$T$20,13,false)*HLOOKUP($K887,'Type Chart'!$C$2:$U$20,13,false)</f>
        <v>0.5</v>
      </c>
      <c r="AG887" s="960">
        <f t="array" ref="AG887">HLOOKUP($J887,'Type Chart'!$C$2:$T$20,14,false)*HLOOKUP($K887,'Type Chart'!$C$2:$U$20,14,false)</f>
        <v>0.5</v>
      </c>
      <c r="AH887" s="960">
        <f t="array" ref="AH887">HLOOKUP($J887,'Type Chart'!$C$2:$T$20,15,false)*HLOOKUP($K887,'Type Chart'!$C$2:$U$20,15,false)</f>
        <v>1</v>
      </c>
      <c r="AI887" s="960">
        <f t="array" ref="AI887">HLOOKUP($J887,'Type Chart'!$C$2:$T$20,16,false)*HLOOKUP($K887,'Type Chart'!$C$2:$U$20,16,false)</f>
        <v>2</v>
      </c>
      <c r="AJ887" s="960">
        <f t="array" ref="AJ887">HLOOKUP($J887,'Type Chart'!$C$2:$T$20,17,false)*HLOOKUP($K887,'Type Chart'!$C$2:$U$20,17,false)</f>
        <v>1</v>
      </c>
      <c r="AK887" s="960">
        <f t="array" ref="AK887">HLOOKUP($J887,'Type Chart'!$C$2:$T$20,18,false)*HLOOKUP($K887,'Type Chart'!$C$2:$U$20,18,false)</f>
        <v>2</v>
      </c>
      <c r="AL887" s="960">
        <f t="array" ref="AL887">HLOOKUP($J887,'Type Chart'!$C$2:$T$20,19,false)*HLOOKUP($K887,'Type Chart'!$C$2:$U$20,19,false)</f>
        <v>1</v>
      </c>
      <c r="AM887" s="964" t="s">
        <v>1238</v>
      </c>
      <c r="AN887" s="965" t="s">
        <v>1188</v>
      </c>
      <c r="AO887" s="966" t="s">
        <v>1454</v>
      </c>
      <c r="AP887" s="936"/>
      <c r="AQ887" s="967"/>
      <c r="AR887" s="968"/>
      <c r="AS887" s="936"/>
    </row>
    <row r="888" ht="15.75" customHeight="1">
      <c r="A888" s="936"/>
      <c r="B888" s="948" t="s">
        <v>3451</v>
      </c>
      <c r="C888" s="950" t="s">
        <v>3452</v>
      </c>
      <c r="D888" s="950" t="s">
        <v>3452</v>
      </c>
      <c r="E888" s="952" t="s">
        <v>3452</v>
      </c>
      <c r="F888" s="940"/>
      <c r="G888" s="953"/>
      <c r="H888" s="969"/>
      <c r="I888" s="956" t="s">
        <v>3453</v>
      </c>
      <c r="J888" s="1220" t="s">
        <v>215</v>
      </c>
      <c r="K888" s="957" t="s">
        <v>209</v>
      </c>
      <c r="L888" s="959">
        <v>44.0</v>
      </c>
      <c r="M888" s="960">
        <v>66.0</v>
      </c>
      <c r="N888" s="960">
        <v>70.0</v>
      </c>
      <c r="O888" s="960">
        <v>44.0</v>
      </c>
      <c r="P888" s="960">
        <v>55.0</v>
      </c>
      <c r="Q888" s="960">
        <v>56.0</v>
      </c>
      <c r="R888" s="960">
        <v>148.0</v>
      </c>
      <c r="S888" s="960">
        <v>211.0</v>
      </c>
      <c r="T888" s="960">
        <v>232.0</v>
      </c>
      <c r="U888" s="960">
        <f t="array" ref="U888">HLOOKUP($J888,'Type Chart'!$C$2:$T$20,2,false)*HLOOKUP($K888,'Type Chart'!$C$2:$U$20,2,false)</f>
        <v>0</v>
      </c>
      <c r="V888" s="960">
        <f t="array" ref="V888">HLOOKUP($J888,'Type Chart'!$C$2:$T$20,3,false)*HLOOKUP($K888,'Type Chart'!$C$2:$U$20,3,false)</f>
        <v>0</v>
      </c>
      <c r="W888" s="960">
        <f t="array" ref="W888">HLOOKUP($J888,'Type Chart'!$C$2:$T$20,4,false)*HLOOKUP($K888,'Type Chart'!$C$2:$U$20,4,false)</f>
        <v>2</v>
      </c>
      <c r="X888" s="960">
        <f t="array" ref="X888">HLOOKUP($J888,'Type Chart'!$C$2:$T$20,5,false)*HLOOKUP($K888,'Type Chart'!$C$2:$U$20,5,false)</f>
        <v>1</v>
      </c>
      <c r="Y888" s="960">
        <f t="array" ref="Y888">HLOOKUP($J888,'Type Chart'!$C$2:$T$20,6,false)*HLOOKUP($K888,'Type Chart'!$C$2:$U$20,6,false)</f>
        <v>0.5</v>
      </c>
      <c r="Z888" s="960">
        <f t="array" ref="Z888">HLOOKUP($J888,'Type Chart'!$C$2:$T$20,7,false)*HLOOKUP($K888,'Type Chart'!$C$2:$U$20,7,false)</f>
        <v>1</v>
      </c>
      <c r="AA888" s="960">
        <f t="array" ref="AA888">HLOOKUP($J888,'Type Chart'!$C$2:$T$20,8,false)*HLOOKUP($K888,'Type Chart'!$C$2:$U$20,8,false)</f>
        <v>1</v>
      </c>
      <c r="AB888" s="960">
        <f t="array" ref="AB888">HLOOKUP($J888,'Type Chart'!$C$2:$T$20,9,false)*HLOOKUP($K888,'Type Chart'!$C$2:$U$20,9,false)</f>
        <v>2</v>
      </c>
      <c r="AC888" s="960">
        <f t="array" ref="AC888">HLOOKUP($J888,'Type Chart'!$C$2:$T$20,10,false)*HLOOKUP($K888,'Type Chart'!$C$2:$U$20,10,false)</f>
        <v>1</v>
      </c>
      <c r="AD888" s="960">
        <f t="array" ref="AD888">HLOOKUP($J888,'Type Chart'!$C$2:$T$20,11,false)*HLOOKUP($K888,'Type Chart'!$C$2:$U$20,11,false)</f>
        <v>2</v>
      </c>
      <c r="AE888" s="960">
        <f t="array" ref="AE888">HLOOKUP($J888,'Type Chart'!$C$2:$T$20,12,false)*HLOOKUP($K888,'Type Chart'!$C$2:$U$20,12,false)</f>
        <v>0.5</v>
      </c>
      <c r="AF888" s="960">
        <f t="array" ref="AF888">HLOOKUP($J888,'Type Chart'!$C$2:$T$20,13,false)*HLOOKUP($K888,'Type Chart'!$C$2:$U$20,13,false)</f>
        <v>0.5</v>
      </c>
      <c r="AG888" s="960">
        <f t="array" ref="AG888">HLOOKUP($J888,'Type Chart'!$C$2:$T$20,14,false)*HLOOKUP($K888,'Type Chart'!$C$2:$U$20,14,false)</f>
        <v>0.5</v>
      </c>
      <c r="AH888" s="960">
        <f t="array" ref="AH888">HLOOKUP($J888,'Type Chart'!$C$2:$T$20,15,false)*HLOOKUP($K888,'Type Chart'!$C$2:$U$20,15,false)</f>
        <v>1</v>
      </c>
      <c r="AI888" s="960">
        <f t="array" ref="AI888">HLOOKUP($J888,'Type Chart'!$C$2:$T$20,16,false)*HLOOKUP($K888,'Type Chart'!$C$2:$U$20,16,false)</f>
        <v>2</v>
      </c>
      <c r="AJ888" s="960">
        <f t="array" ref="AJ888">HLOOKUP($J888,'Type Chart'!$C$2:$T$20,17,false)*HLOOKUP($K888,'Type Chart'!$C$2:$U$20,17,false)</f>
        <v>1</v>
      </c>
      <c r="AK888" s="960">
        <f t="array" ref="AK888">HLOOKUP($J888,'Type Chart'!$C$2:$T$20,18,false)*HLOOKUP($K888,'Type Chart'!$C$2:$U$20,18,false)</f>
        <v>2</v>
      </c>
      <c r="AL888" s="960">
        <f t="array" ref="AL888">HLOOKUP($J888,'Type Chart'!$C$2:$T$20,19,false)*HLOOKUP($K888,'Type Chart'!$C$2:$U$20,19,false)</f>
        <v>1</v>
      </c>
      <c r="AM888" s="964" t="s">
        <v>1238</v>
      </c>
      <c r="AN888" s="965" t="s">
        <v>1188</v>
      </c>
      <c r="AO888" s="966" t="s">
        <v>1454</v>
      </c>
      <c r="AP888" s="936"/>
      <c r="AQ888" s="967"/>
      <c r="AR888" s="968"/>
      <c r="AS888" s="936"/>
    </row>
    <row r="889" ht="15.75" customHeight="1">
      <c r="A889" s="936"/>
      <c r="B889" s="948" t="s">
        <v>3454</v>
      </c>
      <c r="C889" s="950" t="s">
        <v>3455</v>
      </c>
      <c r="D889" s="950" t="s">
        <v>3455</v>
      </c>
      <c r="E889" s="952" t="s">
        <v>3455</v>
      </c>
      <c r="F889" s="940"/>
      <c r="G889" s="953"/>
      <c r="H889" s="969"/>
      <c r="I889" s="956" t="s">
        <v>3456</v>
      </c>
      <c r="J889" s="1220" t="s">
        <v>215</v>
      </c>
      <c r="K889" s="957" t="s">
        <v>209</v>
      </c>
      <c r="L889" s="959">
        <v>54.0</v>
      </c>
      <c r="M889" s="960">
        <v>66.0</v>
      </c>
      <c r="N889" s="960">
        <v>70.0</v>
      </c>
      <c r="O889" s="960">
        <v>44.0</v>
      </c>
      <c r="P889" s="960">
        <v>55.0</v>
      </c>
      <c r="Q889" s="960">
        <v>46.0</v>
      </c>
      <c r="R889" s="960">
        <v>128.0</v>
      </c>
      <c r="S889" s="960">
        <v>191.0</v>
      </c>
      <c r="T889" s="960">
        <v>210.0</v>
      </c>
      <c r="U889" s="960">
        <f t="array" ref="U889">HLOOKUP($J889,'Type Chart'!$C$2:$T$20,2,false)*HLOOKUP($K889,'Type Chart'!$C$2:$U$20,2,false)</f>
        <v>0</v>
      </c>
      <c r="V889" s="960">
        <f t="array" ref="V889">HLOOKUP($J889,'Type Chart'!$C$2:$T$20,3,false)*HLOOKUP($K889,'Type Chart'!$C$2:$U$20,3,false)</f>
        <v>0</v>
      </c>
      <c r="W889" s="960">
        <f t="array" ref="W889">HLOOKUP($J889,'Type Chart'!$C$2:$T$20,4,false)*HLOOKUP($K889,'Type Chart'!$C$2:$U$20,4,false)</f>
        <v>2</v>
      </c>
      <c r="X889" s="960">
        <f t="array" ref="X889">HLOOKUP($J889,'Type Chart'!$C$2:$T$20,5,false)*HLOOKUP($K889,'Type Chart'!$C$2:$U$20,5,false)</f>
        <v>1</v>
      </c>
      <c r="Y889" s="960">
        <f t="array" ref="Y889">HLOOKUP($J889,'Type Chart'!$C$2:$T$20,6,false)*HLOOKUP($K889,'Type Chart'!$C$2:$U$20,6,false)</f>
        <v>0.5</v>
      </c>
      <c r="Z889" s="960">
        <f t="array" ref="Z889">HLOOKUP($J889,'Type Chart'!$C$2:$T$20,7,false)*HLOOKUP($K889,'Type Chart'!$C$2:$U$20,7,false)</f>
        <v>1</v>
      </c>
      <c r="AA889" s="960">
        <f t="array" ref="AA889">HLOOKUP($J889,'Type Chart'!$C$2:$T$20,8,false)*HLOOKUP($K889,'Type Chart'!$C$2:$U$20,8,false)</f>
        <v>1</v>
      </c>
      <c r="AB889" s="960">
        <f t="array" ref="AB889">HLOOKUP($J889,'Type Chart'!$C$2:$T$20,9,false)*HLOOKUP($K889,'Type Chart'!$C$2:$U$20,9,false)</f>
        <v>2</v>
      </c>
      <c r="AC889" s="960">
        <f t="array" ref="AC889">HLOOKUP($J889,'Type Chart'!$C$2:$T$20,10,false)*HLOOKUP($K889,'Type Chart'!$C$2:$U$20,10,false)</f>
        <v>1</v>
      </c>
      <c r="AD889" s="960">
        <f t="array" ref="AD889">HLOOKUP($J889,'Type Chart'!$C$2:$T$20,11,false)*HLOOKUP($K889,'Type Chart'!$C$2:$U$20,11,false)</f>
        <v>2</v>
      </c>
      <c r="AE889" s="960">
        <f t="array" ref="AE889">HLOOKUP($J889,'Type Chart'!$C$2:$T$20,12,false)*HLOOKUP($K889,'Type Chart'!$C$2:$U$20,12,false)</f>
        <v>0.5</v>
      </c>
      <c r="AF889" s="960">
        <f t="array" ref="AF889">HLOOKUP($J889,'Type Chart'!$C$2:$T$20,13,false)*HLOOKUP($K889,'Type Chart'!$C$2:$U$20,13,false)</f>
        <v>0.5</v>
      </c>
      <c r="AG889" s="960">
        <f t="array" ref="AG889">HLOOKUP($J889,'Type Chart'!$C$2:$T$20,14,false)*HLOOKUP($K889,'Type Chart'!$C$2:$U$20,14,false)</f>
        <v>0.5</v>
      </c>
      <c r="AH889" s="960">
        <f t="array" ref="AH889">HLOOKUP($J889,'Type Chart'!$C$2:$T$20,15,false)*HLOOKUP($K889,'Type Chart'!$C$2:$U$20,15,false)</f>
        <v>1</v>
      </c>
      <c r="AI889" s="960">
        <f t="array" ref="AI889">HLOOKUP($J889,'Type Chart'!$C$2:$T$20,16,false)*HLOOKUP($K889,'Type Chart'!$C$2:$U$20,16,false)</f>
        <v>2</v>
      </c>
      <c r="AJ889" s="960">
        <f t="array" ref="AJ889">HLOOKUP($J889,'Type Chart'!$C$2:$T$20,17,false)*HLOOKUP($K889,'Type Chart'!$C$2:$U$20,17,false)</f>
        <v>1</v>
      </c>
      <c r="AK889" s="960">
        <f t="array" ref="AK889">HLOOKUP($J889,'Type Chart'!$C$2:$T$20,18,false)*HLOOKUP($K889,'Type Chart'!$C$2:$U$20,18,false)</f>
        <v>2</v>
      </c>
      <c r="AL889" s="960">
        <f t="array" ref="AL889">HLOOKUP($J889,'Type Chart'!$C$2:$T$20,19,false)*HLOOKUP($K889,'Type Chart'!$C$2:$U$20,19,false)</f>
        <v>1</v>
      </c>
      <c r="AM889" s="964" t="s">
        <v>1238</v>
      </c>
      <c r="AN889" s="965" t="s">
        <v>1188</v>
      </c>
      <c r="AO889" s="966" t="s">
        <v>1454</v>
      </c>
      <c r="AP889" s="936"/>
      <c r="AQ889" s="967"/>
      <c r="AR889" s="968"/>
      <c r="AS889" s="936"/>
    </row>
    <row r="890" ht="15.75" customHeight="1">
      <c r="A890" s="936"/>
      <c r="B890" s="948" t="s">
        <v>3457</v>
      </c>
      <c r="C890" s="950" t="s">
        <v>3458</v>
      </c>
      <c r="D890" s="950" t="s">
        <v>3458</v>
      </c>
      <c r="E890" s="952" t="s">
        <v>3458</v>
      </c>
      <c r="F890" s="940"/>
      <c r="G890" s="953"/>
      <c r="H890" s="969"/>
      <c r="I890" s="956" t="s">
        <v>3459</v>
      </c>
      <c r="J890" s="1220" t="s">
        <v>215</v>
      </c>
      <c r="K890" s="957" t="s">
        <v>209</v>
      </c>
      <c r="L890" s="959">
        <v>59.0</v>
      </c>
      <c r="M890" s="960">
        <v>66.0</v>
      </c>
      <c r="N890" s="960">
        <v>70.0</v>
      </c>
      <c r="O890" s="960">
        <v>44.0</v>
      </c>
      <c r="P890" s="960">
        <v>55.0</v>
      </c>
      <c r="Q890" s="960">
        <v>41.0</v>
      </c>
      <c r="R890" s="960">
        <v>118.0</v>
      </c>
      <c r="S890" s="960">
        <v>181.0</v>
      </c>
      <c r="T890" s="960">
        <v>199.0</v>
      </c>
      <c r="U890" s="960">
        <f t="array" ref="U890">HLOOKUP($J890,'Type Chart'!$C$2:$T$20,2,false)*HLOOKUP($K890,'Type Chart'!$C$2:$U$20,2,false)</f>
        <v>0</v>
      </c>
      <c r="V890" s="960">
        <f t="array" ref="V890">HLOOKUP($J890,'Type Chart'!$C$2:$T$20,3,false)*HLOOKUP($K890,'Type Chart'!$C$2:$U$20,3,false)</f>
        <v>0</v>
      </c>
      <c r="W890" s="960">
        <f t="array" ref="W890">HLOOKUP($J890,'Type Chart'!$C$2:$T$20,4,false)*HLOOKUP($K890,'Type Chart'!$C$2:$U$20,4,false)</f>
        <v>2</v>
      </c>
      <c r="X890" s="960">
        <f t="array" ref="X890">HLOOKUP($J890,'Type Chart'!$C$2:$T$20,5,false)*HLOOKUP($K890,'Type Chart'!$C$2:$U$20,5,false)</f>
        <v>1</v>
      </c>
      <c r="Y890" s="960">
        <f t="array" ref="Y890">HLOOKUP($J890,'Type Chart'!$C$2:$T$20,6,false)*HLOOKUP($K890,'Type Chart'!$C$2:$U$20,6,false)</f>
        <v>0.5</v>
      </c>
      <c r="Z890" s="960">
        <f t="array" ref="Z890">HLOOKUP($J890,'Type Chart'!$C$2:$T$20,7,false)*HLOOKUP($K890,'Type Chart'!$C$2:$U$20,7,false)</f>
        <v>1</v>
      </c>
      <c r="AA890" s="960">
        <f t="array" ref="AA890">HLOOKUP($J890,'Type Chart'!$C$2:$T$20,8,false)*HLOOKUP($K890,'Type Chart'!$C$2:$U$20,8,false)</f>
        <v>1</v>
      </c>
      <c r="AB890" s="960">
        <f t="array" ref="AB890">HLOOKUP($J890,'Type Chart'!$C$2:$T$20,9,false)*HLOOKUP($K890,'Type Chart'!$C$2:$U$20,9,false)</f>
        <v>2</v>
      </c>
      <c r="AC890" s="960">
        <f t="array" ref="AC890">HLOOKUP($J890,'Type Chart'!$C$2:$T$20,10,false)*HLOOKUP($K890,'Type Chart'!$C$2:$U$20,10,false)</f>
        <v>1</v>
      </c>
      <c r="AD890" s="960">
        <f t="array" ref="AD890">HLOOKUP($J890,'Type Chart'!$C$2:$T$20,11,false)*HLOOKUP($K890,'Type Chart'!$C$2:$U$20,11,false)</f>
        <v>2</v>
      </c>
      <c r="AE890" s="960">
        <f t="array" ref="AE890">HLOOKUP($J890,'Type Chart'!$C$2:$T$20,12,false)*HLOOKUP($K890,'Type Chart'!$C$2:$U$20,12,false)</f>
        <v>0.5</v>
      </c>
      <c r="AF890" s="960">
        <f t="array" ref="AF890">HLOOKUP($J890,'Type Chart'!$C$2:$T$20,13,false)*HLOOKUP($K890,'Type Chart'!$C$2:$U$20,13,false)</f>
        <v>0.5</v>
      </c>
      <c r="AG890" s="960">
        <f t="array" ref="AG890">HLOOKUP($J890,'Type Chart'!$C$2:$T$20,14,false)*HLOOKUP($K890,'Type Chart'!$C$2:$U$20,14,false)</f>
        <v>0.5</v>
      </c>
      <c r="AH890" s="960">
        <f t="array" ref="AH890">HLOOKUP($J890,'Type Chart'!$C$2:$T$20,15,false)*HLOOKUP($K890,'Type Chart'!$C$2:$U$20,15,false)</f>
        <v>1</v>
      </c>
      <c r="AI890" s="960">
        <f t="array" ref="AI890">HLOOKUP($J890,'Type Chart'!$C$2:$T$20,16,false)*HLOOKUP($K890,'Type Chart'!$C$2:$U$20,16,false)</f>
        <v>2</v>
      </c>
      <c r="AJ890" s="960">
        <f t="array" ref="AJ890">HLOOKUP($J890,'Type Chart'!$C$2:$T$20,17,false)*HLOOKUP($K890,'Type Chart'!$C$2:$U$20,17,false)</f>
        <v>1</v>
      </c>
      <c r="AK890" s="960">
        <f t="array" ref="AK890">HLOOKUP($J890,'Type Chart'!$C$2:$T$20,18,false)*HLOOKUP($K890,'Type Chart'!$C$2:$U$20,18,false)</f>
        <v>2</v>
      </c>
      <c r="AL890" s="960">
        <f t="array" ref="AL890">HLOOKUP($J890,'Type Chart'!$C$2:$T$20,19,false)*HLOOKUP($K890,'Type Chart'!$C$2:$U$20,19,false)</f>
        <v>1</v>
      </c>
      <c r="AM890" s="964" t="s">
        <v>1238</v>
      </c>
      <c r="AN890" s="965" t="s">
        <v>1188</v>
      </c>
      <c r="AO890" s="966" t="s">
        <v>1454</v>
      </c>
      <c r="AP890" s="936"/>
      <c r="AQ890" s="967"/>
      <c r="AR890" s="968"/>
      <c r="AS890" s="936"/>
    </row>
    <row r="891" ht="15.75" customHeight="1">
      <c r="A891" s="936"/>
      <c r="B891" s="948" t="s">
        <v>3460</v>
      </c>
      <c r="C891" s="950" t="s">
        <v>3461</v>
      </c>
      <c r="D891" s="950" t="s">
        <v>3461</v>
      </c>
      <c r="E891" s="952" t="s">
        <v>3461</v>
      </c>
      <c r="F891" s="940"/>
      <c r="G891" s="953"/>
      <c r="H891" s="969"/>
      <c r="I891" s="956" t="s">
        <v>3462</v>
      </c>
      <c r="J891" s="1220" t="s">
        <v>215</v>
      </c>
      <c r="K891" s="957" t="s">
        <v>209</v>
      </c>
      <c r="L891" s="959">
        <v>65.0</v>
      </c>
      <c r="M891" s="960">
        <v>90.0</v>
      </c>
      <c r="N891" s="960">
        <v>122.0</v>
      </c>
      <c r="O891" s="960">
        <v>58.0</v>
      </c>
      <c r="P891" s="960">
        <v>75.0</v>
      </c>
      <c r="Q891" s="960">
        <v>84.0</v>
      </c>
      <c r="R891" s="960">
        <v>204.0</v>
      </c>
      <c r="S891" s="960">
        <v>267.0</v>
      </c>
      <c r="T891" s="960">
        <v>293.0</v>
      </c>
      <c r="U891" s="960">
        <f t="array" ref="U891">HLOOKUP($J891,'Type Chart'!$C$2:$T$20,2,false)*HLOOKUP($K891,'Type Chart'!$C$2:$U$20,2,false)</f>
        <v>0</v>
      </c>
      <c r="V891" s="960">
        <f t="array" ref="V891">HLOOKUP($J891,'Type Chart'!$C$2:$T$20,3,false)*HLOOKUP($K891,'Type Chart'!$C$2:$U$20,3,false)</f>
        <v>0</v>
      </c>
      <c r="W891" s="960">
        <f t="array" ref="W891">HLOOKUP($J891,'Type Chart'!$C$2:$T$20,4,false)*HLOOKUP($K891,'Type Chart'!$C$2:$U$20,4,false)</f>
        <v>2</v>
      </c>
      <c r="X891" s="960">
        <f t="array" ref="X891">HLOOKUP($J891,'Type Chart'!$C$2:$T$20,5,false)*HLOOKUP($K891,'Type Chart'!$C$2:$U$20,5,false)</f>
        <v>1</v>
      </c>
      <c r="Y891" s="960">
        <f t="array" ref="Y891">HLOOKUP($J891,'Type Chart'!$C$2:$T$20,6,false)*HLOOKUP($K891,'Type Chart'!$C$2:$U$20,6,false)</f>
        <v>0.5</v>
      </c>
      <c r="Z891" s="960">
        <f t="array" ref="Z891">HLOOKUP($J891,'Type Chart'!$C$2:$T$20,7,false)*HLOOKUP($K891,'Type Chart'!$C$2:$U$20,7,false)</f>
        <v>1</v>
      </c>
      <c r="AA891" s="960">
        <f t="array" ref="AA891">HLOOKUP($J891,'Type Chart'!$C$2:$T$20,8,false)*HLOOKUP($K891,'Type Chart'!$C$2:$U$20,8,false)</f>
        <v>1</v>
      </c>
      <c r="AB891" s="960">
        <f t="array" ref="AB891">HLOOKUP($J891,'Type Chart'!$C$2:$T$20,9,false)*HLOOKUP($K891,'Type Chart'!$C$2:$U$20,9,false)</f>
        <v>2</v>
      </c>
      <c r="AC891" s="960">
        <f t="array" ref="AC891">HLOOKUP($J891,'Type Chart'!$C$2:$T$20,10,false)*HLOOKUP($K891,'Type Chart'!$C$2:$U$20,10,false)</f>
        <v>1</v>
      </c>
      <c r="AD891" s="960">
        <f t="array" ref="AD891">HLOOKUP($J891,'Type Chart'!$C$2:$T$20,11,false)*HLOOKUP($K891,'Type Chart'!$C$2:$U$20,11,false)</f>
        <v>2</v>
      </c>
      <c r="AE891" s="960">
        <f t="array" ref="AE891">HLOOKUP($J891,'Type Chart'!$C$2:$T$20,12,false)*HLOOKUP($K891,'Type Chart'!$C$2:$U$20,12,false)</f>
        <v>0.5</v>
      </c>
      <c r="AF891" s="960">
        <f t="array" ref="AF891">HLOOKUP($J891,'Type Chart'!$C$2:$T$20,13,false)*HLOOKUP($K891,'Type Chart'!$C$2:$U$20,13,false)</f>
        <v>0.5</v>
      </c>
      <c r="AG891" s="960">
        <f t="array" ref="AG891">HLOOKUP($J891,'Type Chart'!$C$2:$T$20,14,false)*HLOOKUP($K891,'Type Chart'!$C$2:$U$20,14,false)</f>
        <v>0.5</v>
      </c>
      <c r="AH891" s="960">
        <f t="array" ref="AH891">HLOOKUP($J891,'Type Chart'!$C$2:$T$20,15,false)*HLOOKUP($K891,'Type Chart'!$C$2:$U$20,15,false)</f>
        <v>1</v>
      </c>
      <c r="AI891" s="960">
        <f t="array" ref="AI891">HLOOKUP($J891,'Type Chart'!$C$2:$T$20,16,false)*HLOOKUP($K891,'Type Chart'!$C$2:$U$20,16,false)</f>
        <v>2</v>
      </c>
      <c r="AJ891" s="960">
        <f t="array" ref="AJ891">HLOOKUP($J891,'Type Chart'!$C$2:$T$20,17,false)*HLOOKUP($K891,'Type Chart'!$C$2:$U$20,17,false)</f>
        <v>1</v>
      </c>
      <c r="AK891" s="960">
        <f t="array" ref="AK891">HLOOKUP($J891,'Type Chart'!$C$2:$T$20,18,false)*HLOOKUP($K891,'Type Chart'!$C$2:$U$20,18,false)</f>
        <v>2</v>
      </c>
      <c r="AL891" s="960">
        <f t="array" ref="AL891">HLOOKUP($J891,'Type Chart'!$C$2:$T$20,19,false)*HLOOKUP($K891,'Type Chart'!$C$2:$U$20,19,false)</f>
        <v>1</v>
      </c>
      <c r="AM891" s="964" t="s">
        <v>1238</v>
      </c>
      <c r="AN891" s="965" t="s">
        <v>1188</v>
      </c>
      <c r="AO891" s="966" t="s">
        <v>1454</v>
      </c>
      <c r="AP891" s="936"/>
      <c r="AQ891" s="967"/>
      <c r="AR891" s="968"/>
      <c r="AS891" s="936"/>
    </row>
    <row r="892" ht="15.75" customHeight="1">
      <c r="A892" s="936"/>
      <c r="B892" s="948" t="s">
        <v>3463</v>
      </c>
      <c r="C892" s="950" t="s">
        <v>3464</v>
      </c>
      <c r="D892" s="950" t="s">
        <v>3464</v>
      </c>
      <c r="E892" s="952" t="s">
        <v>3464</v>
      </c>
      <c r="F892" s="940"/>
      <c r="G892" s="953"/>
      <c r="H892" s="969"/>
      <c r="I892" s="998" t="s">
        <v>3465</v>
      </c>
      <c r="J892" s="1220" t="s">
        <v>215</v>
      </c>
      <c r="K892" s="957" t="s">
        <v>209</v>
      </c>
      <c r="L892" s="959">
        <v>55.0</v>
      </c>
      <c r="M892" s="960">
        <v>85.0</v>
      </c>
      <c r="N892" s="960">
        <v>122.0</v>
      </c>
      <c r="O892" s="960">
        <v>58.0</v>
      </c>
      <c r="P892" s="960">
        <v>75.0</v>
      </c>
      <c r="Q892" s="960">
        <v>99.0</v>
      </c>
      <c r="R892" s="960">
        <v>234.0</v>
      </c>
      <c r="S892" s="960">
        <v>297.0</v>
      </c>
      <c r="T892" s="960">
        <v>326.0</v>
      </c>
      <c r="U892" s="960">
        <f t="array" ref="U892">HLOOKUP($J892,'Type Chart'!$C$2:$T$20,2,false)*HLOOKUP($K892,'Type Chart'!$C$2:$U$20,2,false)</f>
        <v>0</v>
      </c>
      <c r="V892" s="960">
        <f t="array" ref="V892">HLOOKUP($J892,'Type Chart'!$C$2:$T$20,3,false)*HLOOKUP($K892,'Type Chart'!$C$2:$U$20,3,false)</f>
        <v>0</v>
      </c>
      <c r="W892" s="960">
        <f t="array" ref="W892">HLOOKUP($J892,'Type Chart'!$C$2:$T$20,4,false)*HLOOKUP($K892,'Type Chart'!$C$2:$U$20,4,false)</f>
        <v>2</v>
      </c>
      <c r="X892" s="960">
        <f t="array" ref="X892">HLOOKUP($J892,'Type Chart'!$C$2:$T$20,5,false)*HLOOKUP($K892,'Type Chart'!$C$2:$U$20,5,false)</f>
        <v>1</v>
      </c>
      <c r="Y892" s="960">
        <f t="array" ref="Y892">HLOOKUP($J892,'Type Chart'!$C$2:$T$20,6,false)*HLOOKUP($K892,'Type Chart'!$C$2:$U$20,6,false)</f>
        <v>0.5</v>
      </c>
      <c r="Z892" s="960">
        <f t="array" ref="Z892">HLOOKUP($J892,'Type Chart'!$C$2:$T$20,7,false)*HLOOKUP($K892,'Type Chart'!$C$2:$U$20,7,false)</f>
        <v>1</v>
      </c>
      <c r="AA892" s="960">
        <f t="array" ref="AA892">HLOOKUP($J892,'Type Chart'!$C$2:$T$20,8,false)*HLOOKUP($K892,'Type Chart'!$C$2:$U$20,8,false)</f>
        <v>1</v>
      </c>
      <c r="AB892" s="960">
        <f t="array" ref="AB892">HLOOKUP($J892,'Type Chart'!$C$2:$T$20,9,false)*HLOOKUP($K892,'Type Chart'!$C$2:$U$20,9,false)</f>
        <v>2</v>
      </c>
      <c r="AC892" s="960">
        <f t="array" ref="AC892">HLOOKUP($J892,'Type Chart'!$C$2:$T$20,10,false)*HLOOKUP($K892,'Type Chart'!$C$2:$U$20,10,false)</f>
        <v>1</v>
      </c>
      <c r="AD892" s="960">
        <f t="array" ref="AD892">HLOOKUP($J892,'Type Chart'!$C$2:$T$20,11,false)*HLOOKUP($K892,'Type Chart'!$C$2:$U$20,11,false)</f>
        <v>2</v>
      </c>
      <c r="AE892" s="960">
        <f t="array" ref="AE892">HLOOKUP($J892,'Type Chart'!$C$2:$T$20,12,false)*HLOOKUP($K892,'Type Chart'!$C$2:$U$20,12,false)</f>
        <v>0.5</v>
      </c>
      <c r="AF892" s="960">
        <f t="array" ref="AF892">HLOOKUP($J892,'Type Chart'!$C$2:$T$20,13,false)*HLOOKUP($K892,'Type Chart'!$C$2:$U$20,13,false)</f>
        <v>0.5</v>
      </c>
      <c r="AG892" s="960">
        <f t="array" ref="AG892">HLOOKUP($J892,'Type Chart'!$C$2:$T$20,14,false)*HLOOKUP($K892,'Type Chart'!$C$2:$U$20,14,false)</f>
        <v>0.5</v>
      </c>
      <c r="AH892" s="960">
        <f t="array" ref="AH892">HLOOKUP($J892,'Type Chart'!$C$2:$T$20,15,false)*HLOOKUP($K892,'Type Chart'!$C$2:$U$20,15,false)</f>
        <v>1</v>
      </c>
      <c r="AI892" s="960">
        <f t="array" ref="AI892">HLOOKUP($J892,'Type Chart'!$C$2:$T$20,16,false)*HLOOKUP($K892,'Type Chart'!$C$2:$U$20,16,false)</f>
        <v>2</v>
      </c>
      <c r="AJ892" s="960">
        <f t="array" ref="AJ892">HLOOKUP($J892,'Type Chart'!$C$2:$T$20,17,false)*HLOOKUP($K892,'Type Chart'!$C$2:$U$20,17,false)</f>
        <v>1</v>
      </c>
      <c r="AK892" s="960">
        <f t="array" ref="AK892">HLOOKUP($J892,'Type Chart'!$C$2:$T$20,18,false)*HLOOKUP($K892,'Type Chart'!$C$2:$U$20,18,false)</f>
        <v>2</v>
      </c>
      <c r="AL892" s="960">
        <f t="array" ref="AL892">HLOOKUP($J892,'Type Chart'!$C$2:$T$20,19,false)*HLOOKUP($K892,'Type Chart'!$C$2:$U$20,19,false)</f>
        <v>1</v>
      </c>
      <c r="AM892" s="964" t="s">
        <v>1238</v>
      </c>
      <c r="AN892" s="965" t="s">
        <v>1188</v>
      </c>
      <c r="AO892" s="966" t="s">
        <v>1454</v>
      </c>
      <c r="AP892" s="936"/>
      <c r="AQ892" s="967"/>
      <c r="AR892" s="968"/>
      <c r="AS892" s="936"/>
    </row>
    <row r="893" ht="15.75" customHeight="1">
      <c r="A893" s="936"/>
      <c r="B893" s="948" t="s">
        <v>3466</v>
      </c>
      <c r="C893" s="950" t="s">
        <v>3467</v>
      </c>
      <c r="D893" s="950" t="s">
        <v>3467</v>
      </c>
      <c r="E893" s="952" t="s">
        <v>3467</v>
      </c>
      <c r="F893" s="940"/>
      <c r="G893" s="953"/>
      <c r="H893" s="969"/>
      <c r="I893" s="956" t="s">
        <v>3468</v>
      </c>
      <c r="J893" s="1220" t="s">
        <v>215</v>
      </c>
      <c r="K893" s="957" t="s">
        <v>209</v>
      </c>
      <c r="L893" s="959">
        <v>75.0</v>
      </c>
      <c r="M893" s="960">
        <v>95.0</v>
      </c>
      <c r="N893" s="960">
        <v>122.0</v>
      </c>
      <c r="O893" s="960">
        <v>58.0</v>
      </c>
      <c r="P893" s="960">
        <v>75.0</v>
      </c>
      <c r="Q893" s="960">
        <v>69.0</v>
      </c>
      <c r="R893" s="960">
        <v>174.0</v>
      </c>
      <c r="S893" s="960">
        <v>237.0</v>
      </c>
      <c r="T893" s="960">
        <v>260.0</v>
      </c>
      <c r="U893" s="960">
        <f t="array" ref="U893">HLOOKUP($J893,'Type Chart'!$C$2:$T$20,2,false)*HLOOKUP($K893,'Type Chart'!$C$2:$U$20,2,false)</f>
        <v>0</v>
      </c>
      <c r="V893" s="960">
        <f t="array" ref="V893">HLOOKUP($J893,'Type Chart'!$C$2:$T$20,3,false)*HLOOKUP($K893,'Type Chart'!$C$2:$U$20,3,false)</f>
        <v>0</v>
      </c>
      <c r="W893" s="960">
        <f t="array" ref="W893">HLOOKUP($J893,'Type Chart'!$C$2:$T$20,4,false)*HLOOKUP($K893,'Type Chart'!$C$2:$U$20,4,false)</f>
        <v>2</v>
      </c>
      <c r="X893" s="960">
        <f t="array" ref="X893">HLOOKUP($J893,'Type Chart'!$C$2:$T$20,5,false)*HLOOKUP($K893,'Type Chart'!$C$2:$U$20,5,false)</f>
        <v>1</v>
      </c>
      <c r="Y893" s="960">
        <f t="array" ref="Y893">HLOOKUP($J893,'Type Chart'!$C$2:$T$20,6,false)*HLOOKUP($K893,'Type Chart'!$C$2:$U$20,6,false)</f>
        <v>0.5</v>
      </c>
      <c r="Z893" s="960">
        <f t="array" ref="Z893">HLOOKUP($J893,'Type Chart'!$C$2:$T$20,7,false)*HLOOKUP($K893,'Type Chart'!$C$2:$U$20,7,false)</f>
        <v>1</v>
      </c>
      <c r="AA893" s="960">
        <f t="array" ref="AA893">HLOOKUP($J893,'Type Chart'!$C$2:$T$20,8,false)*HLOOKUP($K893,'Type Chart'!$C$2:$U$20,8,false)</f>
        <v>1</v>
      </c>
      <c r="AB893" s="960">
        <f t="array" ref="AB893">HLOOKUP($J893,'Type Chart'!$C$2:$T$20,9,false)*HLOOKUP($K893,'Type Chart'!$C$2:$U$20,9,false)</f>
        <v>2</v>
      </c>
      <c r="AC893" s="960">
        <f t="array" ref="AC893">HLOOKUP($J893,'Type Chart'!$C$2:$T$20,10,false)*HLOOKUP($K893,'Type Chart'!$C$2:$U$20,10,false)</f>
        <v>1</v>
      </c>
      <c r="AD893" s="960">
        <f t="array" ref="AD893">HLOOKUP($J893,'Type Chart'!$C$2:$T$20,11,false)*HLOOKUP($K893,'Type Chart'!$C$2:$U$20,11,false)</f>
        <v>2</v>
      </c>
      <c r="AE893" s="960">
        <f t="array" ref="AE893">HLOOKUP($J893,'Type Chart'!$C$2:$T$20,12,false)*HLOOKUP($K893,'Type Chart'!$C$2:$U$20,12,false)</f>
        <v>0.5</v>
      </c>
      <c r="AF893" s="960">
        <f t="array" ref="AF893">HLOOKUP($J893,'Type Chart'!$C$2:$T$20,13,false)*HLOOKUP($K893,'Type Chart'!$C$2:$U$20,13,false)</f>
        <v>0.5</v>
      </c>
      <c r="AG893" s="960">
        <f t="array" ref="AG893">HLOOKUP($J893,'Type Chart'!$C$2:$T$20,14,false)*HLOOKUP($K893,'Type Chart'!$C$2:$U$20,14,false)</f>
        <v>0.5</v>
      </c>
      <c r="AH893" s="960">
        <f t="array" ref="AH893">HLOOKUP($J893,'Type Chart'!$C$2:$T$20,15,false)*HLOOKUP($K893,'Type Chart'!$C$2:$U$20,15,false)</f>
        <v>1</v>
      </c>
      <c r="AI893" s="960">
        <f t="array" ref="AI893">HLOOKUP($J893,'Type Chart'!$C$2:$T$20,16,false)*HLOOKUP($K893,'Type Chart'!$C$2:$U$20,16,false)</f>
        <v>2</v>
      </c>
      <c r="AJ893" s="960">
        <f t="array" ref="AJ893">HLOOKUP($J893,'Type Chart'!$C$2:$T$20,17,false)*HLOOKUP($K893,'Type Chart'!$C$2:$U$20,17,false)</f>
        <v>1</v>
      </c>
      <c r="AK893" s="960">
        <f t="array" ref="AK893">HLOOKUP($J893,'Type Chart'!$C$2:$T$20,18,false)*HLOOKUP($K893,'Type Chart'!$C$2:$U$20,18,false)</f>
        <v>2</v>
      </c>
      <c r="AL893" s="960">
        <f t="array" ref="AL893">HLOOKUP($J893,'Type Chart'!$C$2:$T$20,19,false)*HLOOKUP($K893,'Type Chart'!$C$2:$U$20,19,false)</f>
        <v>1</v>
      </c>
      <c r="AM893" s="964" t="s">
        <v>1238</v>
      </c>
      <c r="AN893" s="965" t="s">
        <v>1188</v>
      </c>
      <c r="AO893" s="966" t="s">
        <v>1454</v>
      </c>
      <c r="AP893" s="936"/>
      <c r="AQ893" s="967"/>
      <c r="AR893" s="968"/>
      <c r="AS893" s="936"/>
    </row>
    <row r="894" ht="15.75" customHeight="1">
      <c r="A894" s="936"/>
      <c r="B894" s="948" t="s">
        <v>3469</v>
      </c>
      <c r="C894" s="950" t="s">
        <v>3470</v>
      </c>
      <c r="D894" s="950" t="s">
        <v>3470</v>
      </c>
      <c r="E894" s="952" t="s">
        <v>3470</v>
      </c>
      <c r="F894" s="940"/>
      <c r="G894" s="953"/>
      <c r="H894" s="969"/>
      <c r="I894" s="956" t="s">
        <v>3471</v>
      </c>
      <c r="J894" s="1220" t="s">
        <v>215</v>
      </c>
      <c r="K894" s="957" t="s">
        <v>209</v>
      </c>
      <c r="L894" s="959">
        <v>85.0</v>
      </c>
      <c r="M894" s="960">
        <v>100.0</v>
      </c>
      <c r="N894" s="960">
        <v>122.0</v>
      </c>
      <c r="O894" s="960">
        <v>58.0</v>
      </c>
      <c r="P894" s="960">
        <v>75.0</v>
      </c>
      <c r="Q894" s="960">
        <v>54.0</v>
      </c>
      <c r="R894" s="960">
        <v>144.0</v>
      </c>
      <c r="S894" s="960">
        <v>207.0</v>
      </c>
      <c r="T894" s="960">
        <v>227.0</v>
      </c>
      <c r="U894" s="960">
        <f t="array" ref="U894">HLOOKUP($J894,'Type Chart'!$C$2:$T$20,2,false)*HLOOKUP($K894,'Type Chart'!$C$2:$U$20,2,false)</f>
        <v>0</v>
      </c>
      <c r="V894" s="960">
        <f t="array" ref="V894">HLOOKUP($J894,'Type Chart'!$C$2:$T$20,3,false)*HLOOKUP($K894,'Type Chart'!$C$2:$U$20,3,false)</f>
        <v>0</v>
      </c>
      <c r="W894" s="960">
        <f t="array" ref="W894">HLOOKUP($J894,'Type Chart'!$C$2:$T$20,4,false)*HLOOKUP($K894,'Type Chart'!$C$2:$U$20,4,false)</f>
        <v>2</v>
      </c>
      <c r="X894" s="960">
        <f t="array" ref="X894">HLOOKUP($J894,'Type Chart'!$C$2:$T$20,5,false)*HLOOKUP($K894,'Type Chart'!$C$2:$U$20,5,false)</f>
        <v>1</v>
      </c>
      <c r="Y894" s="960">
        <f t="array" ref="Y894">HLOOKUP($J894,'Type Chart'!$C$2:$T$20,6,false)*HLOOKUP($K894,'Type Chart'!$C$2:$U$20,6,false)</f>
        <v>0.5</v>
      </c>
      <c r="Z894" s="960">
        <f t="array" ref="Z894">HLOOKUP($J894,'Type Chart'!$C$2:$T$20,7,false)*HLOOKUP($K894,'Type Chart'!$C$2:$U$20,7,false)</f>
        <v>1</v>
      </c>
      <c r="AA894" s="960">
        <f t="array" ref="AA894">HLOOKUP($J894,'Type Chart'!$C$2:$T$20,8,false)*HLOOKUP($K894,'Type Chart'!$C$2:$U$20,8,false)</f>
        <v>1</v>
      </c>
      <c r="AB894" s="960">
        <f t="array" ref="AB894">HLOOKUP($J894,'Type Chart'!$C$2:$T$20,9,false)*HLOOKUP($K894,'Type Chart'!$C$2:$U$20,9,false)</f>
        <v>2</v>
      </c>
      <c r="AC894" s="960">
        <f t="array" ref="AC894">HLOOKUP($J894,'Type Chart'!$C$2:$T$20,10,false)*HLOOKUP($K894,'Type Chart'!$C$2:$U$20,10,false)</f>
        <v>1</v>
      </c>
      <c r="AD894" s="960">
        <f t="array" ref="AD894">HLOOKUP($J894,'Type Chart'!$C$2:$T$20,11,false)*HLOOKUP($K894,'Type Chart'!$C$2:$U$20,11,false)</f>
        <v>2</v>
      </c>
      <c r="AE894" s="960">
        <f t="array" ref="AE894">HLOOKUP($J894,'Type Chart'!$C$2:$T$20,12,false)*HLOOKUP($K894,'Type Chart'!$C$2:$U$20,12,false)</f>
        <v>0.5</v>
      </c>
      <c r="AF894" s="960">
        <f t="array" ref="AF894">HLOOKUP($J894,'Type Chart'!$C$2:$T$20,13,false)*HLOOKUP($K894,'Type Chart'!$C$2:$U$20,13,false)</f>
        <v>0.5</v>
      </c>
      <c r="AG894" s="960">
        <f t="array" ref="AG894">HLOOKUP($J894,'Type Chart'!$C$2:$T$20,14,false)*HLOOKUP($K894,'Type Chart'!$C$2:$U$20,14,false)</f>
        <v>0.5</v>
      </c>
      <c r="AH894" s="960">
        <f t="array" ref="AH894">HLOOKUP($J894,'Type Chart'!$C$2:$T$20,15,false)*HLOOKUP($K894,'Type Chart'!$C$2:$U$20,15,false)</f>
        <v>1</v>
      </c>
      <c r="AI894" s="960">
        <f t="array" ref="AI894">HLOOKUP($J894,'Type Chart'!$C$2:$T$20,16,false)*HLOOKUP($K894,'Type Chart'!$C$2:$U$20,16,false)</f>
        <v>2</v>
      </c>
      <c r="AJ894" s="960">
        <f t="array" ref="AJ894">HLOOKUP($J894,'Type Chart'!$C$2:$T$20,17,false)*HLOOKUP($K894,'Type Chart'!$C$2:$U$20,17,false)</f>
        <v>1</v>
      </c>
      <c r="AK894" s="960">
        <f t="array" ref="AK894">HLOOKUP($J894,'Type Chart'!$C$2:$T$20,18,false)*HLOOKUP($K894,'Type Chart'!$C$2:$U$20,18,false)</f>
        <v>2</v>
      </c>
      <c r="AL894" s="960">
        <f t="array" ref="AL894">HLOOKUP($J894,'Type Chart'!$C$2:$T$20,19,false)*HLOOKUP($K894,'Type Chart'!$C$2:$U$20,19,false)</f>
        <v>1</v>
      </c>
      <c r="AM894" s="964" t="s">
        <v>1238</v>
      </c>
      <c r="AN894" s="965" t="s">
        <v>1188</v>
      </c>
      <c r="AO894" s="966" t="s">
        <v>1454</v>
      </c>
      <c r="AP894" s="936"/>
      <c r="AQ894" s="967"/>
      <c r="AR894" s="968"/>
      <c r="AS894" s="936"/>
    </row>
    <row r="895" ht="15.75" customHeight="1">
      <c r="A895" s="936"/>
      <c r="B895" s="948" t="s">
        <v>3472</v>
      </c>
      <c r="C895" s="950" t="s">
        <v>3473</v>
      </c>
      <c r="D895" s="950" t="s">
        <v>3473</v>
      </c>
      <c r="E895" s="952" t="s">
        <v>3473</v>
      </c>
      <c r="F895" s="940"/>
      <c r="G895" s="953"/>
      <c r="H895" s="969"/>
      <c r="I895" s="956" t="s">
        <v>3474</v>
      </c>
      <c r="J895" s="1205" t="s">
        <v>345</v>
      </c>
      <c r="K895" s="984" t="s">
        <v>216</v>
      </c>
      <c r="L895" s="959">
        <v>55.0</v>
      </c>
      <c r="M895" s="960">
        <v>69.0</v>
      </c>
      <c r="N895" s="960">
        <v>85.0</v>
      </c>
      <c r="O895" s="960">
        <v>32.0</v>
      </c>
      <c r="P895" s="960">
        <v>35.0</v>
      </c>
      <c r="Q895" s="960">
        <v>28.0</v>
      </c>
      <c r="R895" s="960">
        <v>92.0</v>
      </c>
      <c r="S895" s="960">
        <v>155.0</v>
      </c>
      <c r="T895" s="960">
        <v>170.0</v>
      </c>
      <c r="U895" s="960">
        <f t="array" ref="U895">HLOOKUP($J895,'Type Chart'!$C$2:$T$20,2,false)*HLOOKUP($K895,'Type Chart'!$C$2:$U$20,2,false)</f>
        <v>1</v>
      </c>
      <c r="V895" s="960">
        <f t="array" ref="V895">HLOOKUP($J895,'Type Chart'!$C$2:$T$20,3,false)*HLOOKUP($K895,'Type Chart'!$C$2:$U$20,3,false)</f>
        <v>2</v>
      </c>
      <c r="W895" s="960">
        <f t="array" ref="W895">HLOOKUP($J895,'Type Chart'!$C$2:$T$20,4,false)*HLOOKUP($K895,'Type Chart'!$C$2:$U$20,4,false)</f>
        <v>1</v>
      </c>
      <c r="X895" s="960">
        <f t="array" ref="X895">HLOOKUP($J895,'Type Chart'!$C$2:$T$20,5,false)*HLOOKUP($K895,'Type Chart'!$C$2:$U$20,5,false)</f>
        <v>1</v>
      </c>
      <c r="Y895" s="960">
        <f t="array" ref="Y895">HLOOKUP($J895,'Type Chart'!$C$2:$T$20,6,false)*HLOOKUP($K895,'Type Chart'!$C$2:$U$20,6,false)</f>
        <v>1</v>
      </c>
      <c r="Z895" s="960">
        <f t="array" ref="Z895">HLOOKUP($J895,'Type Chart'!$C$2:$T$20,7,false)*HLOOKUP($K895,'Type Chart'!$C$2:$U$20,7,false)</f>
        <v>2</v>
      </c>
      <c r="AA895" s="960">
        <f t="array" ref="AA895">HLOOKUP($J895,'Type Chart'!$C$2:$T$20,8,false)*HLOOKUP($K895,'Type Chart'!$C$2:$U$20,8,false)</f>
        <v>1</v>
      </c>
      <c r="AB895" s="960">
        <f t="array" ref="AB895">HLOOKUP($J895,'Type Chart'!$C$2:$T$20,9,false)*HLOOKUP($K895,'Type Chart'!$C$2:$U$20,9,false)</f>
        <v>1</v>
      </c>
      <c r="AC895" s="960">
        <f t="array" ref="AC895">HLOOKUP($J895,'Type Chart'!$C$2:$T$20,10,false)*HLOOKUP($K895,'Type Chart'!$C$2:$U$20,10,false)</f>
        <v>2</v>
      </c>
      <c r="AD895" s="960">
        <f t="array" ref="AD895">HLOOKUP($J895,'Type Chart'!$C$2:$T$20,11,false)*HLOOKUP($K895,'Type Chart'!$C$2:$U$20,11,false)</f>
        <v>2</v>
      </c>
      <c r="AE895" s="960">
        <f t="array" ref="AE895">HLOOKUP($J895,'Type Chart'!$C$2:$T$20,12,false)*HLOOKUP($K895,'Type Chart'!$C$2:$U$20,12,false)</f>
        <v>1</v>
      </c>
      <c r="AF895" s="960">
        <f t="array" ref="AF895">HLOOKUP($J895,'Type Chart'!$C$2:$T$20,13,false)*HLOOKUP($K895,'Type Chart'!$C$2:$U$20,13,false)</f>
        <v>1</v>
      </c>
      <c r="AG895" s="960">
        <f t="array" ref="AG895">HLOOKUP($J895,'Type Chart'!$C$2:$T$20,14,false)*HLOOKUP($K895,'Type Chart'!$C$2:$U$20,14,false)</f>
        <v>1</v>
      </c>
      <c r="AH895" s="960">
        <f t="array" ref="AH895">HLOOKUP($J895,'Type Chart'!$C$2:$T$20,15,false)*HLOOKUP($K895,'Type Chart'!$C$2:$U$20,15,false)</f>
        <v>1</v>
      </c>
      <c r="AI895" s="960">
        <f t="array" ref="AI895">HLOOKUP($J895,'Type Chart'!$C$2:$T$20,16,false)*HLOOKUP($K895,'Type Chart'!$C$2:$U$20,16,false)</f>
        <v>0.5</v>
      </c>
      <c r="AJ895" s="960">
        <f t="array" ref="AJ895">HLOOKUP($J895,'Type Chart'!$C$2:$T$20,17,false)*HLOOKUP($K895,'Type Chart'!$C$2:$U$20,17,false)</f>
        <v>1</v>
      </c>
      <c r="AK895" s="960">
        <f t="array" ref="AK895">HLOOKUP($J895,'Type Chart'!$C$2:$T$20,18,false)*HLOOKUP($K895,'Type Chart'!$C$2:$U$20,18,false)</f>
        <v>1</v>
      </c>
      <c r="AL895" s="960">
        <f t="array" ref="AL895">HLOOKUP($J895,'Type Chart'!$C$2:$T$20,19,false)*HLOOKUP($K895,'Type Chart'!$C$2:$U$20,19,false)</f>
        <v>1</v>
      </c>
      <c r="AM895" s="964" t="s">
        <v>1370</v>
      </c>
      <c r="AN895" s="965" t="s">
        <v>1410</v>
      </c>
      <c r="AO895" s="966" t="s">
        <v>1331</v>
      </c>
      <c r="AP895" s="936"/>
      <c r="AQ895" s="967"/>
      <c r="AR895" s="968"/>
      <c r="AS895" s="936"/>
    </row>
    <row r="896" ht="15.75" customHeight="1">
      <c r="A896" s="1099"/>
      <c r="B896" s="948" t="s">
        <v>3475</v>
      </c>
      <c r="C896" s="1197" t="s">
        <v>3476</v>
      </c>
      <c r="D896" s="1197" t="s">
        <v>3476</v>
      </c>
      <c r="E896" s="1147" t="s">
        <v>3476</v>
      </c>
      <c r="F896" s="940"/>
      <c r="G896" s="953"/>
      <c r="H896" s="969"/>
      <c r="I896" s="998" t="s">
        <v>705</v>
      </c>
      <c r="J896" s="1224" t="s">
        <v>345</v>
      </c>
      <c r="K896" s="1199" t="s">
        <v>216</v>
      </c>
      <c r="L896" s="1200">
        <v>95.0</v>
      </c>
      <c r="M896" s="1201">
        <v>117.0</v>
      </c>
      <c r="N896" s="1201">
        <v>184.0</v>
      </c>
      <c r="O896" s="1201">
        <v>44.0</v>
      </c>
      <c r="P896" s="1201">
        <v>46.0</v>
      </c>
      <c r="Q896" s="1201">
        <v>28.0</v>
      </c>
      <c r="R896" s="960">
        <v>92.0</v>
      </c>
      <c r="S896" s="960">
        <v>155.0</v>
      </c>
      <c r="T896" s="960">
        <v>170.0</v>
      </c>
      <c r="U896" s="960">
        <f t="array" ref="U896">HLOOKUP($J896,'Type Chart'!$C$2:$T$20,2,false)*HLOOKUP($K896,'Type Chart'!$C$2:$U$20,2,false)</f>
        <v>1</v>
      </c>
      <c r="V896" s="960">
        <f t="array" ref="V896">HLOOKUP($J896,'Type Chart'!$C$2:$T$20,3,false)*HLOOKUP($K896,'Type Chart'!$C$2:$U$20,3,false)</f>
        <v>2</v>
      </c>
      <c r="W896" s="960">
        <f t="array" ref="W896">HLOOKUP($J896,'Type Chart'!$C$2:$T$20,4,false)*HLOOKUP($K896,'Type Chart'!$C$2:$U$20,4,false)</f>
        <v>1</v>
      </c>
      <c r="X896" s="960">
        <f t="array" ref="X896">HLOOKUP($J896,'Type Chart'!$C$2:$T$20,5,false)*HLOOKUP($K896,'Type Chart'!$C$2:$U$20,5,false)</f>
        <v>1</v>
      </c>
      <c r="Y896" s="960">
        <f t="array" ref="Y896">HLOOKUP($J896,'Type Chart'!$C$2:$T$20,6,false)*HLOOKUP($K896,'Type Chart'!$C$2:$U$20,6,false)</f>
        <v>1</v>
      </c>
      <c r="Z896" s="960">
        <f t="array" ref="Z896">HLOOKUP($J896,'Type Chart'!$C$2:$T$20,7,false)*HLOOKUP($K896,'Type Chart'!$C$2:$U$20,7,false)</f>
        <v>2</v>
      </c>
      <c r="AA896" s="960">
        <f t="array" ref="AA896">HLOOKUP($J896,'Type Chart'!$C$2:$T$20,8,false)*HLOOKUP($K896,'Type Chart'!$C$2:$U$20,8,false)</f>
        <v>1</v>
      </c>
      <c r="AB896" s="960">
        <f t="array" ref="AB896">HLOOKUP($J896,'Type Chart'!$C$2:$T$20,9,false)*HLOOKUP($K896,'Type Chart'!$C$2:$U$20,9,false)</f>
        <v>1</v>
      </c>
      <c r="AC896" s="960">
        <f t="array" ref="AC896">HLOOKUP($J896,'Type Chart'!$C$2:$T$20,10,false)*HLOOKUP($K896,'Type Chart'!$C$2:$U$20,10,false)</f>
        <v>2</v>
      </c>
      <c r="AD896" s="960">
        <f t="array" ref="AD896">HLOOKUP($J896,'Type Chart'!$C$2:$T$20,11,false)*HLOOKUP($K896,'Type Chart'!$C$2:$U$20,11,false)</f>
        <v>2</v>
      </c>
      <c r="AE896" s="960">
        <f t="array" ref="AE896">HLOOKUP($J896,'Type Chart'!$C$2:$T$20,12,false)*HLOOKUP($K896,'Type Chart'!$C$2:$U$20,12,false)</f>
        <v>1</v>
      </c>
      <c r="AF896" s="960">
        <f t="array" ref="AF896">HLOOKUP($J896,'Type Chart'!$C$2:$T$20,13,false)*HLOOKUP($K896,'Type Chart'!$C$2:$U$20,13,false)</f>
        <v>1</v>
      </c>
      <c r="AG896" s="960">
        <f t="array" ref="AG896">HLOOKUP($J896,'Type Chart'!$C$2:$T$20,14,false)*HLOOKUP($K896,'Type Chart'!$C$2:$U$20,14,false)</f>
        <v>1</v>
      </c>
      <c r="AH896" s="960">
        <f t="array" ref="AH896">HLOOKUP($J896,'Type Chart'!$C$2:$T$20,15,false)*HLOOKUP($K896,'Type Chart'!$C$2:$U$20,15,false)</f>
        <v>1</v>
      </c>
      <c r="AI896" s="960">
        <f t="array" ref="AI896">HLOOKUP($J896,'Type Chart'!$C$2:$T$20,16,false)*HLOOKUP($K896,'Type Chart'!$C$2:$U$20,16,false)</f>
        <v>0.5</v>
      </c>
      <c r="AJ896" s="960">
        <f t="array" ref="AJ896">HLOOKUP($J896,'Type Chart'!$C$2:$T$20,17,false)*HLOOKUP($K896,'Type Chart'!$C$2:$U$20,17,false)</f>
        <v>1</v>
      </c>
      <c r="AK896" s="960">
        <f t="array" ref="AK896">HLOOKUP($J896,'Type Chart'!$C$2:$T$20,18,false)*HLOOKUP($K896,'Type Chart'!$C$2:$U$20,18,false)</f>
        <v>1</v>
      </c>
      <c r="AL896" s="960">
        <f t="array" ref="AL896">HLOOKUP($J896,'Type Chart'!$C$2:$T$20,19,false)*HLOOKUP($K896,'Type Chart'!$C$2:$U$20,19,false)</f>
        <v>1</v>
      </c>
      <c r="AM896" s="1145" t="s">
        <v>1370</v>
      </c>
      <c r="AN896" s="965" t="s">
        <v>1410</v>
      </c>
      <c r="AO896" s="966" t="s">
        <v>1331</v>
      </c>
      <c r="AP896" s="936"/>
      <c r="AQ896" s="967"/>
      <c r="AR896" s="968"/>
      <c r="AS896" s="936"/>
    </row>
    <row r="897" ht="15.75" customHeight="1">
      <c r="A897" s="1099"/>
      <c r="B897" s="948" t="s">
        <v>3477</v>
      </c>
      <c r="C897" s="1197" t="s">
        <v>3478</v>
      </c>
      <c r="D897" s="1197" t="s">
        <v>3478</v>
      </c>
      <c r="E897" s="1147" t="s">
        <v>3478</v>
      </c>
      <c r="F897" s="940"/>
      <c r="G897" s="953"/>
      <c r="H897" s="969"/>
      <c r="I897" s="998" t="s">
        <v>742</v>
      </c>
      <c r="J897" s="1235" t="s">
        <v>345</v>
      </c>
      <c r="K897" s="1236" t="s">
        <v>342</v>
      </c>
      <c r="L897" s="1237">
        <v>95.0</v>
      </c>
      <c r="M897" s="1238">
        <v>117.0</v>
      </c>
      <c r="N897" s="1238">
        <v>185.0</v>
      </c>
      <c r="O897" s="1238">
        <v>44.0</v>
      </c>
      <c r="P897" s="1238">
        <v>46.0</v>
      </c>
      <c r="Q897" s="1238">
        <v>28.0</v>
      </c>
      <c r="R897" s="960">
        <v>92.0</v>
      </c>
      <c r="S897" s="960">
        <v>155.0</v>
      </c>
      <c r="T897" s="960">
        <v>170.0</v>
      </c>
      <c r="U897" s="960">
        <f t="array" ref="U897">HLOOKUP($J897,'Type Chart'!$C$2:$T$20,2,false)*HLOOKUP($K897,'Type Chart'!$C$2:$U$20,2,false)</f>
        <v>0.5</v>
      </c>
      <c r="V897" s="960">
        <f t="array" ref="V897">HLOOKUP($J897,'Type Chart'!$C$2:$T$20,3,false)*HLOOKUP($K897,'Type Chart'!$C$2:$U$20,3,false)</f>
        <v>4</v>
      </c>
      <c r="W897" s="960">
        <f t="array" ref="W897">HLOOKUP($J897,'Type Chart'!$C$2:$T$20,4,false)*HLOOKUP($K897,'Type Chart'!$C$2:$U$20,4,false)</f>
        <v>0.5</v>
      </c>
      <c r="X897" s="960">
        <f t="array" ref="X897">HLOOKUP($J897,'Type Chart'!$C$2:$T$20,5,false)*HLOOKUP($K897,'Type Chart'!$C$2:$U$20,5,false)</f>
        <v>0.5</v>
      </c>
      <c r="Y897" s="960">
        <f t="array" ref="Y897">HLOOKUP($J897,'Type Chart'!$C$2:$T$20,6,false)*HLOOKUP($K897,'Type Chart'!$C$2:$U$20,6,false)</f>
        <v>2</v>
      </c>
      <c r="Z897" s="960">
        <f t="array" ref="Z897">HLOOKUP($J897,'Type Chart'!$C$2:$T$20,7,false)*HLOOKUP($K897,'Type Chart'!$C$2:$U$20,7,false)</f>
        <v>2</v>
      </c>
      <c r="AA897" s="960">
        <f t="array" ref="AA897">HLOOKUP($J897,'Type Chart'!$C$2:$T$20,8,false)*HLOOKUP($K897,'Type Chart'!$C$2:$U$20,8,false)</f>
        <v>1</v>
      </c>
      <c r="AB897" s="960">
        <f t="array" ref="AB897">HLOOKUP($J897,'Type Chart'!$C$2:$T$20,9,false)*HLOOKUP($K897,'Type Chart'!$C$2:$U$20,9,false)</f>
        <v>1</v>
      </c>
      <c r="AC897" s="960">
        <f t="array" ref="AC897">HLOOKUP($J897,'Type Chart'!$C$2:$T$20,10,false)*HLOOKUP($K897,'Type Chart'!$C$2:$U$20,10,false)</f>
        <v>4</v>
      </c>
      <c r="AD897" s="960">
        <f t="array" ref="AD897">HLOOKUP($J897,'Type Chart'!$C$2:$T$20,11,false)*HLOOKUP($K897,'Type Chart'!$C$2:$U$20,11,false)</f>
        <v>1</v>
      </c>
      <c r="AE897" s="960">
        <f t="array" ref="AE897">HLOOKUP($J897,'Type Chart'!$C$2:$T$20,12,false)*HLOOKUP($K897,'Type Chart'!$C$2:$U$20,12,false)</f>
        <v>2</v>
      </c>
      <c r="AF897" s="960">
        <f t="array" ref="AF897">HLOOKUP($J897,'Type Chart'!$C$2:$T$20,13,false)*HLOOKUP($K897,'Type Chart'!$C$2:$U$20,13,false)</f>
        <v>2</v>
      </c>
      <c r="AG897" s="960">
        <f t="array" ref="AG897">HLOOKUP($J897,'Type Chart'!$C$2:$T$20,14,false)*HLOOKUP($K897,'Type Chart'!$C$2:$U$20,14,false)</f>
        <v>1</v>
      </c>
      <c r="AH897" s="960">
        <f t="array" ref="AH897">HLOOKUP($J897,'Type Chart'!$C$2:$T$20,15,false)*HLOOKUP($K897,'Type Chart'!$C$2:$U$20,15,false)</f>
        <v>1</v>
      </c>
      <c r="AI897" s="960">
        <f t="array" ref="AI897">HLOOKUP($J897,'Type Chart'!$C$2:$T$20,16,false)*HLOOKUP($K897,'Type Chart'!$C$2:$U$20,16,false)</f>
        <v>0.5</v>
      </c>
      <c r="AJ897" s="960">
        <f t="array" ref="AJ897">HLOOKUP($J897,'Type Chart'!$C$2:$T$20,17,false)*HLOOKUP($K897,'Type Chart'!$C$2:$U$20,17,false)</f>
        <v>1</v>
      </c>
      <c r="AK897" s="960">
        <f t="array" ref="AK897">HLOOKUP($J897,'Type Chart'!$C$2:$T$20,18,false)*HLOOKUP($K897,'Type Chart'!$C$2:$U$20,18,false)</f>
        <v>1</v>
      </c>
      <c r="AL897" s="960">
        <f t="array" ref="AL897">HLOOKUP($J897,'Type Chart'!$C$2:$T$20,19,false)*HLOOKUP($K897,'Type Chart'!$C$2:$U$20,19,false)</f>
        <v>1</v>
      </c>
      <c r="AM897" s="1145"/>
      <c r="AN897" s="965"/>
      <c r="AO897" s="966"/>
      <c r="AP897" s="936"/>
      <c r="AQ897" s="967"/>
      <c r="AR897" s="968"/>
      <c r="AS897" s="936"/>
    </row>
    <row r="898" ht="15.75" customHeight="1">
      <c r="A898" s="936"/>
      <c r="B898" s="948" t="s">
        <v>3479</v>
      </c>
      <c r="C898" s="950" t="s">
        <v>3480</v>
      </c>
      <c r="D898" s="950" t="s">
        <v>3480</v>
      </c>
      <c r="E898" s="952" t="s">
        <v>3480</v>
      </c>
      <c r="F898" s="940"/>
      <c r="G898" s="953"/>
      <c r="H898" s="969"/>
      <c r="I898" s="956" t="s">
        <v>3481</v>
      </c>
      <c r="J898" s="1001" t="s">
        <v>128</v>
      </c>
      <c r="K898" s="1006" t="s">
        <v>346</v>
      </c>
      <c r="L898" s="959">
        <v>40.0</v>
      </c>
      <c r="M898" s="960">
        <v>30.0</v>
      </c>
      <c r="N898" s="960">
        <v>35.0</v>
      </c>
      <c r="O898" s="960">
        <v>45.0</v>
      </c>
      <c r="P898" s="960">
        <v>40.0</v>
      </c>
      <c r="Q898" s="960">
        <v>55.0</v>
      </c>
      <c r="R898" s="960">
        <v>146.0</v>
      </c>
      <c r="S898" s="960">
        <v>209.0</v>
      </c>
      <c r="T898" s="960">
        <v>229.0</v>
      </c>
      <c r="U898" s="960">
        <f t="array" ref="U898">HLOOKUP($J898,'Type Chart'!$C$2:$T$20,2,false)*HLOOKUP($K898,'Type Chart'!$C$2:$U$20,2,false)</f>
        <v>1</v>
      </c>
      <c r="V898" s="960">
        <f t="array" ref="V898">HLOOKUP($J898,'Type Chart'!$C$2:$T$20,3,false)*HLOOKUP($K898,'Type Chart'!$C$2:$U$20,3,false)</f>
        <v>0.5</v>
      </c>
      <c r="W898" s="960">
        <f t="array" ref="W898">HLOOKUP($J898,'Type Chart'!$C$2:$T$20,4,false)*HLOOKUP($K898,'Type Chart'!$C$2:$U$20,4,false)</f>
        <v>1</v>
      </c>
      <c r="X898" s="960">
        <f t="array" ref="X898">HLOOKUP($J898,'Type Chart'!$C$2:$T$20,5,false)*HLOOKUP($K898,'Type Chart'!$C$2:$U$20,5,false)</f>
        <v>1</v>
      </c>
      <c r="Y898" s="960">
        <f t="array" ref="Y898">HLOOKUP($J898,'Type Chart'!$C$2:$T$20,6,false)*HLOOKUP($K898,'Type Chart'!$C$2:$U$20,6,false)</f>
        <v>0</v>
      </c>
      <c r="Z898" s="960">
        <f t="array" ref="Z898">HLOOKUP($J898,'Type Chart'!$C$2:$T$20,7,false)*HLOOKUP($K898,'Type Chart'!$C$2:$U$20,7,false)</f>
        <v>2</v>
      </c>
      <c r="AA898" s="960">
        <f t="array" ref="AA898">HLOOKUP($J898,'Type Chart'!$C$2:$T$20,8,false)*HLOOKUP($K898,'Type Chart'!$C$2:$U$20,8,false)</f>
        <v>0.5</v>
      </c>
      <c r="AB898" s="960">
        <f t="array" ref="AB898">HLOOKUP($J898,'Type Chart'!$C$2:$T$20,9,false)*HLOOKUP($K898,'Type Chart'!$C$2:$U$20,9,false)</f>
        <v>1</v>
      </c>
      <c r="AC898" s="960">
        <f t="array" ref="AC898">HLOOKUP($J898,'Type Chart'!$C$2:$T$20,10,false)*HLOOKUP($K898,'Type Chart'!$C$2:$U$20,10,false)</f>
        <v>1</v>
      </c>
      <c r="AD898" s="960">
        <f t="array" ref="AD898">HLOOKUP($J898,'Type Chart'!$C$2:$T$20,11,false)*HLOOKUP($K898,'Type Chart'!$C$2:$U$20,11,false)</f>
        <v>0.5</v>
      </c>
      <c r="AE898" s="960">
        <f t="array" ref="AE898">HLOOKUP($J898,'Type Chart'!$C$2:$T$20,12,false)*HLOOKUP($K898,'Type Chart'!$C$2:$U$20,12,false)</f>
        <v>0.5</v>
      </c>
      <c r="AF898" s="960">
        <f t="array" ref="AF898">HLOOKUP($J898,'Type Chart'!$C$2:$T$20,13,false)*HLOOKUP($K898,'Type Chart'!$C$2:$U$20,13,false)</f>
        <v>0.25</v>
      </c>
      <c r="AG898" s="960">
        <f t="array" ref="AG898">HLOOKUP($J898,'Type Chart'!$C$2:$T$20,14,false)*HLOOKUP($K898,'Type Chart'!$C$2:$U$20,14,false)</f>
        <v>1</v>
      </c>
      <c r="AH898" s="960">
        <f t="array" ref="AH898">HLOOKUP($J898,'Type Chart'!$C$2:$T$20,15,false)*HLOOKUP($K898,'Type Chart'!$C$2:$U$20,15,false)</f>
        <v>1</v>
      </c>
      <c r="AI898" s="960">
        <f t="array" ref="AI898">HLOOKUP($J898,'Type Chart'!$C$2:$T$20,16,false)*HLOOKUP($K898,'Type Chart'!$C$2:$U$20,16,false)</f>
        <v>4</v>
      </c>
      <c r="AJ898" s="960">
        <f t="array" ref="AJ898">HLOOKUP($J898,'Type Chart'!$C$2:$T$20,17,false)*HLOOKUP($K898,'Type Chart'!$C$2:$U$20,17,false)</f>
        <v>2</v>
      </c>
      <c r="AK898" s="960">
        <f t="array" ref="AK898">HLOOKUP($J898,'Type Chart'!$C$2:$T$20,18,false)*HLOOKUP($K898,'Type Chart'!$C$2:$U$20,18,false)</f>
        <v>1</v>
      </c>
      <c r="AL898" s="960">
        <f t="array" ref="AL898">HLOOKUP($J898,'Type Chart'!$C$2:$T$20,19,false)*HLOOKUP($K898,'Type Chart'!$C$2:$U$20,19,false)</f>
        <v>2</v>
      </c>
      <c r="AM898" s="964" t="s">
        <v>1188</v>
      </c>
      <c r="AN898" s="965" t="s">
        <v>1193</v>
      </c>
      <c r="AO898" s="966" t="s">
        <v>1828</v>
      </c>
      <c r="AP898" s="936"/>
      <c r="AQ898" s="967"/>
      <c r="AR898" s="968"/>
      <c r="AS898" s="936"/>
    </row>
    <row r="899" ht="15.75" customHeight="1">
      <c r="A899" s="936"/>
      <c r="B899" s="948" t="s">
        <v>3482</v>
      </c>
      <c r="C899" s="950" t="s">
        <v>3483</v>
      </c>
      <c r="D899" s="950" t="s">
        <v>3483</v>
      </c>
      <c r="E899" s="952" t="s">
        <v>3483</v>
      </c>
      <c r="F899" s="940"/>
      <c r="G899" s="953"/>
      <c r="H899" s="969"/>
      <c r="I899" s="956" t="s">
        <v>328</v>
      </c>
      <c r="J899" s="1001" t="s">
        <v>128</v>
      </c>
      <c r="K899" s="1006" t="s">
        <v>346</v>
      </c>
      <c r="L899" s="959">
        <v>85.0</v>
      </c>
      <c r="M899" s="960">
        <v>70.0</v>
      </c>
      <c r="N899" s="960">
        <v>80.0</v>
      </c>
      <c r="O899" s="960">
        <v>97.0</v>
      </c>
      <c r="P899" s="960">
        <v>80.0</v>
      </c>
      <c r="Q899" s="960">
        <v>123.0</v>
      </c>
      <c r="R899" s="960">
        <v>282.0</v>
      </c>
      <c r="S899" s="960">
        <v>345.0</v>
      </c>
      <c r="T899" s="960">
        <v>379.0</v>
      </c>
      <c r="U899" s="960">
        <f t="array" ref="U899">HLOOKUP($J899,'Type Chart'!$C$2:$T$20,2,false)*HLOOKUP($K899,'Type Chart'!$C$2:$U$20,2,false)</f>
        <v>1</v>
      </c>
      <c r="V899" s="960">
        <f t="array" ref="V899">HLOOKUP($J899,'Type Chart'!$C$2:$T$20,3,false)*HLOOKUP($K899,'Type Chart'!$C$2:$U$20,3,false)</f>
        <v>0.5</v>
      </c>
      <c r="W899" s="960">
        <f t="array" ref="W899">HLOOKUP($J899,'Type Chart'!$C$2:$T$20,4,false)*HLOOKUP($K899,'Type Chart'!$C$2:$U$20,4,false)</f>
        <v>1</v>
      </c>
      <c r="X899" s="960">
        <f t="array" ref="X899">HLOOKUP($J899,'Type Chart'!$C$2:$T$20,5,false)*HLOOKUP($K899,'Type Chart'!$C$2:$U$20,5,false)</f>
        <v>1</v>
      </c>
      <c r="Y899" s="960">
        <f t="array" ref="Y899">HLOOKUP($J899,'Type Chart'!$C$2:$T$20,6,false)*HLOOKUP($K899,'Type Chart'!$C$2:$U$20,6,false)</f>
        <v>0</v>
      </c>
      <c r="Z899" s="960">
        <f t="array" ref="Z899">HLOOKUP($J899,'Type Chart'!$C$2:$T$20,7,false)*HLOOKUP($K899,'Type Chart'!$C$2:$U$20,7,false)</f>
        <v>2</v>
      </c>
      <c r="AA899" s="960">
        <f t="array" ref="AA899">HLOOKUP($J899,'Type Chart'!$C$2:$T$20,8,false)*HLOOKUP($K899,'Type Chart'!$C$2:$U$20,8,false)</f>
        <v>0.5</v>
      </c>
      <c r="AB899" s="960">
        <f t="array" ref="AB899">HLOOKUP($J899,'Type Chart'!$C$2:$T$20,9,false)*HLOOKUP($K899,'Type Chart'!$C$2:$U$20,9,false)</f>
        <v>1</v>
      </c>
      <c r="AC899" s="960">
        <f t="array" ref="AC899">HLOOKUP($J899,'Type Chart'!$C$2:$T$20,10,false)*HLOOKUP($K899,'Type Chart'!$C$2:$U$20,10,false)</f>
        <v>1</v>
      </c>
      <c r="AD899" s="960">
        <f t="array" ref="AD899">HLOOKUP($J899,'Type Chart'!$C$2:$T$20,11,false)*HLOOKUP($K899,'Type Chart'!$C$2:$U$20,11,false)</f>
        <v>0.5</v>
      </c>
      <c r="AE899" s="960">
        <f t="array" ref="AE899">HLOOKUP($J899,'Type Chart'!$C$2:$T$20,12,false)*HLOOKUP($K899,'Type Chart'!$C$2:$U$20,12,false)</f>
        <v>0.5</v>
      </c>
      <c r="AF899" s="960">
        <f t="array" ref="AF899">HLOOKUP($J899,'Type Chart'!$C$2:$T$20,13,false)*HLOOKUP($K899,'Type Chart'!$C$2:$U$20,13,false)</f>
        <v>0.25</v>
      </c>
      <c r="AG899" s="960">
        <f t="array" ref="AG899">HLOOKUP($J899,'Type Chart'!$C$2:$T$20,14,false)*HLOOKUP($K899,'Type Chart'!$C$2:$U$20,14,false)</f>
        <v>1</v>
      </c>
      <c r="AH899" s="960">
        <f t="array" ref="AH899">HLOOKUP($J899,'Type Chart'!$C$2:$T$20,15,false)*HLOOKUP($K899,'Type Chart'!$C$2:$U$20,15,false)</f>
        <v>1</v>
      </c>
      <c r="AI899" s="960">
        <f t="array" ref="AI899">HLOOKUP($J899,'Type Chart'!$C$2:$T$20,16,false)*HLOOKUP($K899,'Type Chart'!$C$2:$U$20,16,false)</f>
        <v>4</v>
      </c>
      <c r="AJ899" s="960">
        <f t="array" ref="AJ899">HLOOKUP($J899,'Type Chart'!$C$2:$T$20,17,false)*HLOOKUP($K899,'Type Chart'!$C$2:$U$20,17,false)</f>
        <v>2</v>
      </c>
      <c r="AK899" s="960">
        <f t="array" ref="AK899">HLOOKUP($J899,'Type Chart'!$C$2:$T$20,18,false)*HLOOKUP($K899,'Type Chart'!$C$2:$U$20,18,false)</f>
        <v>1</v>
      </c>
      <c r="AL899" s="960">
        <f t="array" ref="AL899">HLOOKUP($J899,'Type Chart'!$C$2:$T$20,19,false)*HLOOKUP($K899,'Type Chart'!$C$2:$U$20,19,false)</f>
        <v>2</v>
      </c>
      <c r="AM899" s="964" t="s">
        <v>1188</v>
      </c>
      <c r="AN899" s="965" t="s">
        <v>1193</v>
      </c>
      <c r="AO899" s="966" t="s">
        <v>1828</v>
      </c>
      <c r="AP899" s="936"/>
      <c r="AQ899" s="967"/>
      <c r="AR899" s="968"/>
      <c r="AS899" s="936"/>
    </row>
    <row r="900" ht="15.75" customHeight="1">
      <c r="A900" s="936"/>
      <c r="B900" s="948" t="s">
        <v>3484</v>
      </c>
      <c r="C900" s="950" t="s">
        <v>3485</v>
      </c>
      <c r="D900" s="950" t="s">
        <v>3485</v>
      </c>
      <c r="E900" s="952" t="s">
        <v>3485</v>
      </c>
      <c r="F900" s="940"/>
      <c r="G900" s="953"/>
      <c r="H900" s="969"/>
      <c r="I900" s="956" t="s">
        <v>283</v>
      </c>
      <c r="J900" s="1207" t="s">
        <v>127</v>
      </c>
      <c r="K900" s="984" t="s">
        <v>216</v>
      </c>
      <c r="L900" s="959">
        <v>126.0</v>
      </c>
      <c r="M900" s="960">
        <v>131.0</v>
      </c>
      <c r="N900" s="960">
        <v>95.0</v>
      </c>
      <c r="O900" s="960">
        <v>131.0</v>
      </c>
      <c r="P900" s="960">
        <v>98.0</v>
      </c>
      <c r="Q900" s="960">
        <v>99.0</v>
      </c>
      <c r="R900" s="960">
        <v>234.0</v>
      </c>
      <c r="S900" s="960">
        <v>297.0</v>
      </c>
      <c r="T900" s="960">
        <v>326.0</v>
      </c>
      <c r="U900" s="960">
        <f t="array" ref="U900">HLOOKUP($J900,'Type Chart'!$C$2:$T$20,2,false)*HLOOKUP($K900,'Type Chart'!$C$2:$U$20,2,false)</f>
        <v>1</v>
      </c>
      <c r="V900" s="960">
        <f t="array" ref="V900">HLOOKUP($J900,'Type Chart'!$C$2:$T$20,3,false)*HLOOKUP($K900,'Type Chart'!$C$2:$U$20,3,false)</f>
        <v>0.5</v>
      </c>
      <c r="W900" s="960">
        <f t="array" ref="W900">HLOOKUP($J900,'Type Chart'!$C$2:$T$20,4,false)*HLOOKUP($K900,'Type Chart'!$C$2:$U$20,4,false)</f>
        <v>1</v>
      </c>
      <c r="X900" s="960">
        <f t="array" ref="X900">HLOOKUP($J900,'Type Chart'!$C$2:$T$20,5,false)*HLOOKUP($K900,'Type Chart'!$C$2:$U$20,5,false)</f>
        <v>2</v>
      </c>
      <c r="Y900" s="960">
        <f t="array" ref="Y900">HLOOKUP($J900,'Type Chart'!$C$2:$T$20,6,false)*HLOOKUP($K900,'Type Chart'!$C$2:$U$20,6,false)</f>
        <v>1</v>
      </c>
      <c r="Z900" s="960">
        <f t="array" ref="Z900">HLOOKUP($J900,'Type Chart'!$C$2:$T$20,7,false)*HLOOKUP($K900,'Type Chart'!$C$2:$U$20,7,false)</f>
        <v>1</v>
      </c>
      <c r="AA900" s="960">
        <f t="array" ref="AA900">HLOOKUP($J900,'Type Chart'!$C$2:$T$20,8,false)*HLOOKUP($K900,'Type Chart'!$C$2:$U$20,8,false)</f>
        <v>0.5</v>
      </c>
      <c r="AB900" s="960">
        <f t="array" ref="AB900">HLOOKUP($J900,'Type Chart'!$C$2:$T$20,9,false)*HLOOKUP($K900,'Type Chart'!$C$2:$U$20,9,false)</f>
        <v>1</v>
      </c>
      <c r="AC900" s="960">
        <f t="array" ref="AC900">HLOOKUP($J900,'Type Chart'!$C$2:$T$20,10,false)*HLOOKUP($K900,'Type Chart'!$C$2:$U$20,10,false)</f>
        <v>2</v>
      </c>
      <c r="AD900" s="960">
        <f t="array" ref="AD900">HLOOKUP($J900,'Type Chart'!$C$2:$T$20,11,false)*HLOOKUP($K900,'Type Chart'!$C$2:$U$20,11,false)</f>
        <v>1</v>
      </c>
      <c r="AE900" s="960">
        <f t="array" ref="AE900">HLOOKUP($J900,'Type Chart'!$C$2:$T$20,12,false)*HLOOKUP($K900,'Type Chart'!$C$2:$U$20,12,false)</f>
        <v>1</v>
      </c>
      <c r="AF900" s="960">
        <f t="array" ref="AF900">HLOOKUP($J900,'Type Chart'!$C$2:$T$20,13,false)*HLOOKUP($K900,'Type Chart'!$C$2:$U$20,13,false)</f>
        <v>1</v>
      </c>
      <c r="AG900" s="960">
        <f t="array" ref="AG900">HLOOKUP($J900,'Type Chart'!$C$2:$T$20,14,false)*HLOOKUP($K900,'Type Chart'!$C$2:$U$20,14,false)</f>
        <v>1</v>
      </c>
      <c r="AH900" s="960">
        <f t="array" ref="AH900">HLOOKUP($J900,'Type Chart'!$C$2:$T$20,15,false)*HLOOKUP($K900,'Type Chart'!$C$2:$U$20,15,false)</f>
        <v>1</v>
      </c>
      <c r="AI900" s="960">
        <f t="array" ref="AI900">HLOOKUP($J900,'Type Chart'!$C$2:$T$20,16,false)*HLOOKUP($K900,'Type Chart'!$C$2:$U$20,16,false)</f>
        <v>1</v>
      </c>
      <c r="AJ900" s="960">
        <f t="array" ref="AJ900">HLOOKUP($J900,'Type Chart'!$C$2:$T$20,17,false)*HLOOKUP($K900,'Type Chart'!$C$2:$U$20,17,false)</f>
        <v>0</v>
      </c>
      <c r="AK900" s="960">
        <f t="array" ref="AK900">HLOOKUP($J900,'Type Chart'!$C$2:$T$20,18,false)*HLOOKUP($K900,'Type Chart'!$C$2:$U$20,18,false)</f>
        <v>0.5</v>
      </c>
      <c r="AL900" s="960">
        <f t="array" ref="AL900">HLOOKUP($J900,'Type Chart'!$C$2:$T$20,19,false)*HLOOKUP($K900,'Type Chart'!$C$2:$U$20,19,false)</f>
        <v>1</v>
      </c>
      <c r="AM900" s="964" t="s">
        <v>3486</v>
      </c>
      <c r="AN900" s="965"/>
      <c r="AO900" s="966"/>
      <c r="AP900" s="936"/>
      <c r="AQ900" s="967"/>
      <c r="AR900" s="968"/>
      <c r="AS900" s="936"/>
    </row>
    <row r="901" ht="15.75" customHeight="1">
      <c r="A901" s="936"/>
      <c r="B901" s="948" t="s">
        <v>3487</v>
      </c>
      <c r="C901" s="950" t="s">
        <v>3488</v>
      </c>
      <c r="D901" s="950" t="s">
        <v>3488</v>
      </c>
      <c r="E901" s="952" t="s">
        <v>3488</v>
      </c>
      <c r="F901" s="940"/>
      <c r="G901" s="953"/>
      <c r="H901" s="969"/>
      <c r="I901" s="956" t="s">
        <v>285</v>
      </c>
      <c r="J901" s="1195" t="s">
        <v>193</v>
      </c>
      <c r="K901" s="1001" t="s">
        <v>128</v>
      </c>
      <c r="L901" s="959">
        <v>126.0</v>
      </c>
      <c r="M901" s="960">
        <v>131.0</v>
      </c>
      <c r="N901" s="960">
        <v>95.0</v>
      </c>
      <c r="O901" s="960">
        <v>131.0</v>
      </c>
      <c r="P901" s="960">
        <v>98.0</v>
      </c>
      <c r="Q901" s="960">
        <v>99.0</v>
      </c>
      <c r="R901" s="960">
        <v>234.0</v>
      </c>
      <c r="S901" s="960">
        <v>297.0</v>
      </c>
      <c r="T901" s="960">
        <v>326.0</v>
      </c>
      <c r="U901" s="960">
        <f t="array" ref="U901">HLOOKUP($J901,'Type Chart'!$C$2:$T$20,2,false)*HLOOKUP($K901,'Type Chart'!$C$2:$U$20,2,false)</f>
        <v>1</v>
      </c>
      <c r="V901" s="960">
        <f t="array" ref="V901">HLOOKUP($J901,'Type Chart'!$C$2:$T$20,3,false)*HLOOKUP($K901,'Type Chart'!$C$2:$U$20,3,false)</f>
        <v>1</v>
      </c>
      <c r="W901" s="960">
        <f t="array" ref="W901">HLOOKUP($J901,'Type Chart'!$C$2:$T$20,4,false)*HLOOKUP($K901,'Type Chart'!$C$2:$U$20,4,false)</f>
        <v>1</v>
      </c>
      <c r="X901" s="960">
        <f t="array" ref="X901">HLOOKUP($J901,'Type Chart'!$C$2:$T$20,5,false)*HLOOKUP($K901,'Type Chart'!$C$2:$U$20,5,false)</f>
        <v>1</v>
      </c>
      <c r="Y901" s="960">
        <f t="array" ref="Y901">HLOOKUP($J901,'Type Chart'!$C$2:$T$20,6,false)*HLOOKUP($K901,'Type Chart'!$C$2:$U$20,6,false)</f>
        <v>0</v>
      </c>
      <c r="Z901" s="960">
        <f t="array" ref="Z901">HLOOKUP($J901,'Type Chart'!$C$2:$T$20,7,false)*HLOOKUP($K901,'Type Chart'!$C$2:$U$20,7,false)</f>
        <v>2</v>
      </c>
      <c r="AA901" s="960">
        <f t="array" ref="AA901">HLOOKUP($J901,'Type Chart'!$C$2:$T$20,8,false)*HLOOKUP($K901,'Type Chart'!$C$2:$U$20,8,false)</f>
        <v>1</v>
      </c>
      <c r="AB901" s="960">
        <f t="array" ref="AB901">HLOOKUP($J901,'Type Chart'!$C$2:$T$20,9,false)*HLOOKUP($K901,'Type Chart'!$C$2:$U$20,9,false)</f>
        <v>0.5</v>
      </c>
      <c r="AC901" s="960">
        <f t="array" ref="AC901">HLOOKUP($J901,'Type Chart'!$C$2:$T$20,10,false)*HLOOKUP($K901,'Type Chart'!$C$2:$U$20,10,false)</f>
        <v>1</v>
      </c>
      <c r="AD901" s="960">
        <f t="array" ref="AD901">HLOOKUP($J901,'Type Chart'!$C$2:$T$20,11,false)*HLOOKUP($K901,'Type Chart'!$C$2:$U$20,11,false)</f>
        <v>1</v>
      </c>
      <c r="AE901" s="960">
        <f t="array" ref="AE901">HLOOKUP($J901,'Type Chart'!$C$2:$T$20,12,false)*HLOOKUP($K901,'Type Chart'!$C$2:$U$20,12,false)</f>
        <v>1</v>
      </c>
      <c r="AF901" s="960">
        <f t="array" ref="AF901">HLOOKUP($J901,'Type Chart'!$C$2:$T$20,13,false)*HLOOKUP($K901,'Type Chart'!$C$2:$U$20,13,false)</f>
        <v>0.5</v>
      </c>
      <c r="AG901" s="960">
        <f t="array" ref="AG901">HLOOKUP($J901,'Type Chart'!$C$2:$T$20,14,false)*HLOOKUP($K901,'Type Chart'!$C$2:$U$20,14,false)</f>
        <v>2</v>
      </c>
      <c r="AH901" s="960">
        <f t="array" ref="AH901">HLOOKUP($J901,'Type Chart'!$C$2:$T$20,15,false)*HLOOKUP($K901,'Type Chart'!$C$2:$U$20,15,false)</f>
        <v>0</v>
      </c>
      <c r="AI901" s="960">
        <f t="array" ref="AI901">HLOOKUP($J901,'Type Chart'!$C$2:$T$20,16,false)*HLOOKUP($K901,'Type Chart'!$C$2:$U$20,16,false)</f>
        <v>2</v>
      </c>
      <c r="AJ901" s="960">
        <f t="array" ref="AJ901">HLOOKUP($J901,'Type Chart'!$C$2:$T$20,17,false)*HLOOKUP($K901,'Type Chart'!$C$2:$U$20,17,false)</f>
        <v>1</v>
      </c>
      <c r="AK901" s="960">
        <f t="array" ref="AK901">HLOOKUP($J901,'Type Chart'!$C$2:$T$20,18,false)*HLOOKUP($K901,'Type Chart'!$C$2:$U$20,18,false)</f>
        <v>0.5</v>
      </c>
      <c r="AL901" s="960">
        <f t="array" ref="AL901">HLOOKUP($J901,'Type Chart'!$C$2:$T$20,19,false)*HLOOKUP($K901,'Type Chart'!$C$2:$U$20,19,false)</f>
        <v>2</v>
      </c>
      <c r="AM901" s="964" t="s">
        <v>3489</v>
      </c>
      <c r="AN901" s="965"/>
      <c r="AO901" s="966"/>
      <c r="AP901" s="936"/>
      <c r="AQ901" s="967"/>
      <c r="AR901" s="968"/>
      <c r="AS901" s="936"/>
    </row>
    <row r="902" ht="15.75" customHeight="1">
      <c r="A902" s="1099"/>
      <c r="B902" s="948" t="s">
        <v>3490</v>
      </c>
      <c r="C902" s="1197" t="s">
        <v>3491</v>
      </c>
      <c r="D902" s="1197" t="s">
        <v>3491</v>
      </c>
      <c r="E902" s="1147" t="s">
        <v>3491</v>
      </c>
      <c r="F902" s="940"/>
      <c r="G902" s="953"/>
      <c r="H902" s="969"/>
      <c r="I902" s="998" t="s">
        <v>3492</v>
      </c>
      <c r="J902" s="1231" t="s">
        <v>346</v>
      </c>
      <c r="K902" s="1223" t="s">
        <v>80</v>
      </c>
      <c r="L902" s="1200">
        <v>108.0</v>
      </c>
      <c r="M902" s="1201">
        <v>100.0</v>
      </c>
      <c r="N902" s="1201">
        <v>121.0</v>
      </c>
      <c r="O902" s="1201">
        <v>81.0</v>
      </c>
      <c r="P902" s="1201">
        <v>95.0</v>
      </c>
      <c r="Q902" s="1201">
        <v>95.0</v>
      </c>
      <c r="R902" s="960">
        <v>226.0</v>
      </c>
      <c r="S902" s="960">
        <v>289.0</v>
      </c>
      <c r="T902" s="960">
        <v>317.0</v>
      </c>
      <c r="U902" s="960">
        <f t="array" ref="U902">HLOOKUP($J902,'Type Chart'!$C$2:$T$20,2,false)*HLOOKUP($K902,'Type Chart'!$C$2:$U$20,2,false)</f>
        <v>1</v>
      </c>
      <c r="V902" s="960">
        <f t="array" ref="V902">HLOOKUP($J902,'Type Chart'!$C$2:$T$20,3,false)*HLOOKUP($K902,'Type Chart'!$C$2:$U$20,3,false)</f>
        <v>1</v>
      </c>
      <c r="W902" s="960">
        <f t="array" ref="W902">HLOOKUP($J902,'Type Chart'!$C$2:$T$20,4,false)*HLOOKUP($K902,'Type Chart'!$C$2:$U$20,4,false)</f>
        <v>1</v>
      </c>
      <c r="X902" s="960">
        <f t="array" ref="X902">HLOOKUP($J902,'Type Chart'!$C$2:$T$20,5,false)*HLOOKUP($K902,'Type Chart'!$C$2:$U$20,5,false)</f>
        <v>0.5</v>
      </c>
      <c r="Y902" s="960">
        <f t="array" ref="Y902">HLOOKUP($J902,'Type Chart'!$C$2:$T$20,6,false)*HLOOKUP($K902,'Type Chart'!$C$2:$U$20,6,false)</f>
        <v>1</v>
      </c>
      <c r="Z902" s="960">
        <f t="array" ref="Z902">HLOOKUP($J902,'Type Chart'!$C$2:$T$20,7,false)*HLOOKUP($K902,'Type Chart'!$C$2:$U$20,7,false)</f>
        <v>0.5</v>
      </c>
      <c r="AA902" s="960">
        <f t="array" ref="AA902">HLOOKUP($J902,'Type Chart'!$C$2:$T$20,8,false)*HLOOKUP($K902,'Type Chart'!$C$2:$U$20,8,false)</f>
        <v>1</v>
      </c>
      <c r="AB902" s="960">
        <f t="array" ref="AB902">HLOOKUP($J902,'Type Chart'!$C$2:$T$20,9,false)*HLOOKUP($K902,'Type Chart'!$C$2:$U$20,9,false)</f>
        <v>1</v>
      </c>
      <c r="AC902" s="960">
        <f t="array" ref="AC902">HLOOKUP($J902,'Type Chart'!$C$2:$T$20,10,false)*HLOOKUP($K902,'Type Chart'!$C$2:$U$20,10,false)</f>
        <v>1</v>
      </c>
      <c r="AD902" s="960">
        <f t="array" ref="AD902">HLOOKUP($J902,'Type Chart'!$C$2:$T$20,11,false)*HLOOKUP($K902,'Type Chart'!$C$2:$U$20,11,false)</f>
        <v>0.5</v>
      </c>
      <c r="AE902" s="960">
        <f t="array" ref="AE902">HLOOKUP($J902,'Type Chart'!$C$2:$T$20,12,false)*HLOOKUP($K902,'Type Chart'!$C$2:$U$20,12,false)</f>
        <v>1</v>
      </c>
      <c r="AF902" s="960">
        <f t="array" ref="AF902">HLOOKUP($J902,'Type Chart'!$C$2:$T$20,13,false)*HLOOKUP($K902,'Type Chart'!$C$2:$U$20,13,false)</f>
        <v>1</v>
      </c>
      <c r="AG902" s="960">
        <f t="array" ref="AG902">HLOOKUP($J902,'Type Chart'!$C$2:$T$20,14,false)*HLOOKUP($K902,'Type Chart'!$C$2:$U$20,14,false)</f>
        <v>0</v>
      </c>
      <c r="AH902" s="960">
        <f t="array" ref="AH902">HLOOKUP($J902,'Type Chart'!$C$2:$T$20,15,false)*HLOOKUP($K902,'Type Chart'!$C$2:$U$20,15,false)</f>
        <v>1</v>
      </c>
      <c r="AI902" s="960">
        <f t="array" ref="AI902">HLOOKUP($J902,'Type Chart'!$C$2:$T$20,16,false)*HLOOKUP($K902,'Type Chart'!$C$2:$U$20,16,false)</f>
        <v>4</v>
      </c>
      <c r="AJ902" s="960">
        <f t="array" ref="AJ902">HLOOKUP($J902,'Type Chart'!$C$2:$T$20,17,false)*HLOOKUP($K902,'Type Chart'!$C$2:$U$20,17,false)</f>
        <v>2</v>
      </c>
      <c r="AK902" s="960">
        <f t="array" ref="AK902">HLOOKUP($J902,'Type Chart'!$C$2:$T$20,18,false)*HLOOKUP($K902,'Type Chart'!$C$2:$U$20,18,false)</f>
        <v>1</v>
      </c>
      <c r="AL902" s="960">
        <f t="array" ref="AL902">HLOOKUP($J902,'Type Chart'!$C$2:$T$20,19,false)*HLOOKUP($K902,'Type Chart'!$C$2:$U$20,19,false)</f>
        <v>2</v>
      </c>
      <c r="AM902" s="1145" t="s">
        <v>3493</v>
      </c>
      <c r="AN902" s="965" t="s">
        <v>3494</v>
      </c>
      <c r="AO902" s="1146"/>
      <c r="AP902" s="936"/>
      <c r="AQ902" s="967"/>
      <c r="AR902" s="968"/>
      <c r="AS902" s="936"/>
    </row>
    <row r="903" ht="15.75" customHeight="1">
      <c r="A903" s="936"/>
      <c r="B903" s="948" t="s">
        <v>3495</v>
      </c>
      <c r="C903" s="950" t="s">
        <v>3496</v>
      </c>
      <c r="D903" s="950" t="s">
        <v>3496</v>
      </c>
      <c r="E903" s="952" t="s">
        <v>3496</v>
      </c>
      <c r="F903" s="940"/>
      <c r="G903" s="953"/>
      <c r="H903" s="969"/>
      <c r="I903" s="956" t="s">
        <v>3497</v>
      </c>
      <c r="J903" s="1006" t="s">
        <v>346</v>
      </c>
      <c r="K903" s="1204" t="s">
        <v>80</v>
      </c>
      <c r="L903" s="959">
        <v>54.0</v>
      </c>
      <c r="M903" s="960">
        <v>100.0</v>
      </c>
      <c r="N903" s="960">
        <v>71.0</v>
      </c>
      <c r="O903" s="960">
        <v>61.0</v>
      </c>
      <c r="P903" s="960">
        <v>85.0</v>
      </c>
      <c r="Q903" s="960">
        <v>115.0</v>
      </c>
      <c r="R903" s="960">
        <v>266.0</v>
      </c>
      <c r="S903" s="960">
        <v>329.0</v>
      </c>
      <c r="T903" s="960">
        <v>361.0</v>
      </c>
      <c r="U903" s="960">
        <f t="array" ref="U903">HLOOKUP($J903,'Type Chart'!$C$2:$T$20,2,false)*HLOOKUP($K903,'Type Chart'!$C$2:$U$20,2,false)</f>
        <v>1</v>
      </c>
      <c r="V903" s="960">
        <f t="array" ref="V903">HLOOKUP($J903,'Type Chart'!$C$2:$T$20,3,false)*HLOOKUP($K903,'Type Chart'!$C$2:$U$20,3,false)</f>
        <v>1</v>
      </c>
      <c r="W903" s="960">
        <f t="array" ref="W903">HLOOKUP($J903,'Type Chart'!$C$2:$T$20,4,false)*HLOOKUP($K903,'Type Chart'!$C$2:$U$20,4,false)</f>
        <v>1</v>
      </c>
      <c r="X903" s="960">
        <f t="array" ref="X903">HLOOKUP($J903,'Type Chart'!$C$2:$T$20,5,false)*HLOOKUP($K903,'Type Chart'!$C$2:$U$20,5,false)</f>
        <v>0.5</v>
      </c>
      <c r="Y903" s="960">
        <f t="array" ref="Y903">HLOOKUP($J903,'Type Chart'!$C$2:$T$20,6,false)*HLOOKUP($K903,'Type Chart'!$C$2:$U$20,6,false)</f>
        <v>1</v>
      </c>
      <c r="Z903" s="960">
        <f t="array" ref="Z903">HLOOKUP($J903,'Type Chart'!$C$2:$T$20,7,false)*HLOOKUP($K903,'Type Chart'!$C$2:$U$20,7,false)</f>
        <v>0.5</v>
      </c>
      <c r="AA903" s="960">
        <f t="array" ref="AA903">HLOOKUP($J903,'Type Chart'!$C$2:$T$20,8,false)*HLOOKUP($K903,'Type Chart'!$C$2:$U$20,8,false)</f>
        <v>1</v>
      </c>
      <c r="AB903" s="960">
        <f t="array" ref="AB903">HLOOKUP($J903,'Type Chart'!$C$2:$T$20,9,false)*HLOOKUP($K903,'Type Chart'!$C$2:$U$20,9,false)</f>
        <v>1</v>
      </c>
      <c r="AC903" s="960">
        <f t="array" ref="AC903">HLOOKUP($J903,'Type Chart'!$C$2:$T$20,10,false)*HLOOKUP($K903,'Type Chart'!$C$2:$U$20,10,false)</f>
        <v>1</v>
      </c>
      <c r="AD903" s="960">
        <f t="array" ref="AD903">HLOOKUP($J903,'Type Chart'!$C$2:$T$20,11,false)*HLOOKUP($K903,'Type Chart'!$C$2:$U$20,11,false)</f>
        <v>0.5</v>
      </c>
      <c r="AE903" s="960">
        <f t="array" ref="AE903">HLOOKUP($J903,'Type Chart'!$C$2:$T$20,12,false)*HLOOKUP($K903,'Type Chart'!$C$2:$U$20,12,false)</f>
        <v>1</v>
      </c>
      <c r="AF903" s="960">
        <f t="array" ref="AF903">HLOOKUP($J903,'Type Chart'!$C$2:$T$20,13,false)*HLOOKUP($K903,'Type Chart'!$C$2:$U$20,13,false)</f>
        <v>1</v>
      </c>
      <c r="AG903" s="960">
        <f t="array" ref="AG903">HLOOKUP($J903,'Type Chart'!$C$2:$T$20,14,false)*HLOOKUP($K903,'Type Chart'!$C$2:$U$20,14,false)</f>
        <v>0</v>
      </c>
      <c r="AH903" s="960">
        <f t="array" ref="AH903">HLOOKUP($J903,'Type Chart'!$C$2:$T$20,15,false)*HLOOKUP($K903,'Type Chart'!$C$2:$U$20,15,false)</f>
        <v>1</v>
      </c>
      <c r="AI903" s="960">
        <f t="array" ref="AI903">HLOOKUP($J903,'Type Chart'!$C$2:$T$20,16,false)*HLOOKUP($K903,'Type Chart'!$C$2:$U$20,16,false)</f>
        <v>4</v>
      </c>
      <c r="AJ903" s="960">
        <f t="array" ref="AJ903">HLOOKUP($J903,'Type Chart'!$C$2:$T$20,17,false)*HLOOKUP($K903,'Type Chart'!$C$2:$U$20,17,false)</f>
        <v>2</v>
      </c>
      <c r="AK903" s="960">
        <f t="array" ref="AK903">HLOOKUP($J903,'Type Chart'!$C$2:$T$20,18,false)*HLOOKUP($K903,'Type Chart'!$C$2:$U$20,18,false)</f>
        <v>1</v>
      </c>
      <c r="AL903" s="960">
        <f t="array" ref="AL903">HLOOKUP($J903,'Type Chart'!$C$2:$T$20,19,false)*HLOOKUP($K903,'Type Chart'!$C$2:$U$20,19,false)</f>
        <v>2</v>
      </c>
      <c r="AM903" s="964" t="s">
        <v>3493</v>
      </c>
      <c r="AN903" s="965" t="s">
        <v>3494</v>
      </c>
      <c r="AO903" s="966"/>
      <c r="AP903" s="936"/>
      <c r="AQ903" s="967"/>
      <c r="AR903" s="968"/>
      <c r="AS903" s="936"/>
    </row>
    <row r="904" ht="15.75" customHeight="1">
      <c r="A904" s="936"/>
      <c r="B904" s="948" t="s">
        <v>3498</v>
      </c>
      <c r="C904" s="950" t="s">
        <v>3499</v>
      </c>
      <c r="D904" s="950" t="s">
        <v>3499</v>
      </c>
      <c r="E904" s="952" t="s">
        <v>3499</v>
      </c>
      <c r="F904" s="940"/>
      <c r="G904" s="953"/>
      <c r="H904" s="969"/>
      <c r="I904" s="1226" t="s">
        <v>299</v>
      </c>
      <c r="J904" s="1006" t="s">
        <v>346</v>
      </c>
      <c r="K904" s="1204" t="s">
        <v>80</v>
      </c>
      <c r="L904" s="959">
        <v>216.0</v>
      </c>
      <c r="M904" s="960">
        <v>100.0</v>
      </c>
      <c r="N904" s="960">
        <v>121.0</v>
      </c>
      <c r="O904" s="960">
        <v>91.0</v>
      </c>
      <c r="P904" s="960">
        <v>95.0</v>
      </c>
      <c r="Q904" s="960">
        <v>85.0</v>
      </c>
      <c r="R904" s="960">
        <v>206.0</v>
      </c>
      <c r="S904" s="960">
        <v>269.0</v>
      </c>
      <c r="T904" s="960">
        <v>295.0</v>
      </c>
      <c r="U904" s="960">
        <f t="array" ref="U904">HLOOKUP($J904,'Type Chart'!$C$2:$T$20,2,false)*HLOOKUP($K904,'Type Chart'!$C$2:$U$20,2,false)</f>
        <v>1</v>
      </c>
      <c r="V904" s="960">
        <f t="array" ref="V904">HLOOKUP($J904,'Type Chart'!$C$2:$T$20,3,false)*HLOOKUP($K904,'Type Chart'!$C$2:$U$20,3,false)</f>
        <v>1</v>
      </c>
      <c r="W904" s="960">
        <f t="array" ref="W904">HLOOKUP($J904,'Type Chart'!$C$2:$T$20,4,false)*HLOOKUP($K904,'Type Chart'!$C$2:$U$20,4,false)</f>
        <v>1</v>
      </c>
      <c r="X904" s="960">
        <f t="array" ref="X904">HLOOKUP($J904,'Type Chart'!$C$2:$T$20,5,false)*HLOOKUP($K904,'Type Chart'!$C$2:$U$20,5,false)</f>
        <v>0.5</v>
      </c>
      <c r="Y904" s="960">
        <f t="array" ref="Y904">HLOOKUP($J904,'Type Chart'!$C$2:$T$20,6,false)*HLOOKUP($K904,'Type Chart'!$C$2:$U$20,6,false)</f>
        <v>1</v>
      </c>
      <c r="Z904" s="960">
        <f t="array" ref="Z904">HLOOKUP($J904,'Type Chart'!$C$2:$T$20,7,false)*HLOOKUP($K904,'Type Chart'!$C$2:$U$20,7,false)</f>
        <v>0.5</v>
      </c>
      <c r="AA904" s="960">
        <f t="array" ref="AA904">HLOOKUP($J904,'Type Chart'!$C$2:$T$20,8,false)*HLOOKUP($K904,'Type Chart'!$C$2:$U$20,8,false)</f>
        <v>1</v>
      </c>
      <c r="AB904" s="960">
        <f t="array" ref="AB904">HLOOKUP($J904,'Type Chart'!$C$2:$T$20,9,false)*HLOOKUP($K904,'Type Chart'!$C$2:$U$20,9,false)</f>
        <v>1</v>
      </c>
      <c r="AC904" s="960">
        <f t="array" ref="AC904">HLOOKUP($J904,'Type Chart'!$C$2:$T$20,10,false)*HLOOKUP($K904,'Type Chart'!$C$2:$U$20,10,false)</f>
        <v>1</v>
      </c>
      <c r="AD904" s="960">
        <f t="array" ref="AD904">HLOOKUP($J904,'Type Chart'!$C$2:$T$20,11,false)*HLOOKUP($K904,'Type Chart'!$C$2:$U$20,11,false)</f>
        <v>0.5</v>
      </c>
      <c r="AE904" s="960">
        <f t="array" ref="AE904">HLOOKUP($J904,'Type Chart'!$C$2:$T$20,12,false)*HLOOKUP($K904,'Type Chart'!$C$2:$U$20,12,false)</f>
        <v>1</v>
      </c>
      <c r="AF904" s="960">
        <f t="array" ref="AF904">HLOOKUP($J904,'Type Chart'!$C$2:$T$20,13,false)*HLOOKUP($K904,'Type Chart'!$C$2:$U$20,13,false)</f>
        <v>1</v>
      </c>
      <c r="AG904" s="960">
        <f t="array" ref="AG904">HLOOKUP($J904,'Type Chart'!$C$2:$T$20,14,false)*HLOOKUP($K904,'Type Chart'!$C$2:$U$20,14,false)</f>
        <v>0</v>
      </c>
      <c r="AH904" s="960">
        <f t="array" ref="AH904">HLOOKUP($J904,'Type Chart'!$C$2:$T$20,15,false)*HLOOKUP($K904,'Type Chart'!$C$2:$U$20,15,false)</f>
        <v>1</v>
      </c>
      <c r="AI904" s="960">
        <f t="array" ref="AI904">HLOOKUP($J904,'Type Chart'!$C$2:$T$20,16,false)*HLOOKUP($K904,'Type Chart'!$C$2:$U$20,16,false)</f>
        <v>4</v>
      </c>
      <c r="AJ904" s="960">
        <f t="array" ref="AJ904">HLOOKUP($J904,'Type Chart'!$C$2:$T$20,17,false)*HLOOKUP($K904,'Type Chart'!$C$2:$U$20,17,false)</f>
        <v>2</v>
      </c>
      <c r="AK904" s="960">
        <f t="array" ref="AK904">HLOOKUP($J904,'Type Chart'!$C$2:$T$20,18,false)*HLOOKUP($K904,'Type Chart'!$C$2:$U$20,18,false)</f>
        <v>1</v>
      </c>
      <c r="AL904" s="960">
        <f t="array" ref="AL904">HLOOKUP($J904,'Type Chart'!$C$2:$T$20,19,false)*HLOOKUP($K904,'Type Chart'!$C$2:$U$20,19,false)</f>
        <v>2</v>
      </c>
      <c r="AM904" s="964" t="s">
        <v>3494</v>
      </c>
      <c r="AN904" s="965"/>
      <c r="AO904" s="966"/>
      <c r="AP904" s="936"/>
      <c r="AQ904" s="967"/>
      <c r="AR904" s="968"/>
      <c r="AS904" s="936"/>
    </row>
    <row r="905" ht="15.75" customHeight="1">
      <c r="A905" s="936"/>
      <c r="B905" s="948" t="s">
        <v>3500</v>
      </c>
      <c r="C905" s="950" t="s">
        <v>3501</v>
      </c>
      <c r="D905" s="950" t="s">
        <v>3501</v>
      </c>
      <c r="E905" s="952" t="s">
        <v>3501</v>
      </c>
      <c r="F905" s="940"/>
      <c r="G905" s="953"/>
      <c r="H905" s="969"/>
      <c r="I905" s="956" t="s">
        <v>532</v>
      </c>
      <c r="J905" s="1214" t="s">
        <v>342</v>
      </c>
      <c r="K905" s="1207" t="s">
        <v>127</v>
      </c>
      <c r="L905" s="959">
        <v>50.0</v>
      </c>
      <c r="M905" s="960">
        <v>100.0</v>
      </c>
      <c r="N905" s="960">
        <v>150.0</v>
      </c>
      <c r="O905" s="960">
        <v>100.0</v>
      </c>
      <c r="P905" s="960">
        <v>150.0</v>
      </c>
      <c r="Q905" s="960">
        <v>50.0</v>
      </c>
      <c r="R905" s="960">
        <v>136.0</v>
      </c>
      <c r="S905" s="960">
        <v>199.0</v>
      </c>
      <c r="T905" s="960">
        <v>218.0</v>
      </c>
      <c r="U905" s="960">
        <f t="array" ref="U905">HLOOKUP($J905,'Type Chart'!$C$2:$T$20,2,false)*HLOOKUP($K905,'Type Chart'!$C$2:$U$20,2,false)</f>
        <v>0.5</v>
      </c>
      <c r="V905" s="960">
        <f t="array" ref="V905">HLOOKUP($J905,'Type Chart'!$C$2:$T$20,3,false)*HLOOKUP($K905,'Type Chart'!$C$2:$U$20,3,false)</f>
        <v>1</v>
      </c>
      <c r="W905" s="960">
        <f t="array" ref="W905">HLOOKUP($J905,'Type Chart'!$C$2:$T$20,4,false)*HLOOKUP($K905,'Type Chart'!$C$2:$U$20,4,false)</f>
        <v>0.5</v>
      </c>
      <c r="X905" s="960">
        <f t="array" ref="X905">HLOOKUP($J905,'Type Chart'!$C$2:$T$20,5,false)*HLOOKUP($K905,'Type Chart'!$C$2:$U$20,5,false)</f>
        <v>1</v>
      </c>
      <c r="Y905" s="960">
        <f t="array" ref="Y905">HLOOKUP($J905,'Type Chart'!$C$2:$T$20,6,false)*HLOOKUP($K905,'Type Chart'!$C$2:$U$20,6,false)</f>
        <v>2</v>
      </c>
      <c r="Z905" s="960">
        <f t="array" ref="Z905">HLOOKUP($J905,'Type Chart'!$C$2:$T$20,7,false)*HLOOKUP($K905,'Type Chart'!$C$2:$U$20,7,false)</f>
        <v>1</v>
      </c>
      <c r="AA905" s="960">
        <f t="array" ref="AA905">HLOOKUP($J905,'Type Chart'!$C$2:$T$20,8,false)*HLOOKUP($K905,'Type Chart'!$C$2:$U$20,8,false)</f>
        <v>0.5</v>
      </c>
      <c r="AB905" s="960">
        <f t="array" ref="AB905">HLOOKUP($J905,'Type Chart'!$C$2:$T$20,9,false)*HLOOKUP($K905,'Type Chart'!$C$2:$U$20,9,false)</f>
        <v>1</v>
      </c>
      <c r="AC905" s="960">
        <f t="array" ref="AC905">HLOOKUP($J905,'Type Chart'!$C$2:$T$20,10,false)*HLOOKUP($K905,'Type Chart'!$C$2:$U$20,10,false)</f>
        <v>4</v>
      </c>
      <c r="AD905" s="960">
        <f t="array" ref="AD905">HLOOKUP($J905,'Type Chart'!$C$2:$T$20,11,false)*HLOOKUP($K905,'Type Chart'!$C$2:$U$20,11,false)</f>
        <v>0.5</v>
      </c>
      <c r="AE905" s="960">
        <f t="array" ref="AE905">HLOOKUP($J905,'Type Chart'!$C$2:$T$20,12,false)*HLOOKUP($K905,'Type Chart'!$C$2:$U$20,12,false)</f>
        <v>2</v>
      </c>
      <c r="AF905" s="960">
        <f t="array" ref="AF905">HLOOKUP($J905,'Type Chart'!$C$2:$T$20,13,false)*HLOOKUP($K905,'Type Chart'!$C$2:$U$20,13,false)</f>
        <v>2</v>
      </c>
      <c r="AG905" s="960">
        <f t="array" ref="AG905">HLOOKUP($J905,'Type Chart'!$C$2:$T$20,14,false)*HLOOKUP($K905,'Type Chart'!$C$2:$U$20,14,false)</f>
        <v>1</v>
      </c>
      <c r="AH905" s="960">
        <f t="array" ref="AH905">HLOOKUP($J905,'Type Chart'!$C$2:$T$20,15,false)*HLOOKUP($K905,'Type Chart'!$C$2:$U$20,15,false)</f>
        <v>1</v>
      </c>
      <c r="AI905" s="960">
        <f t="array" ref="AI905">HLOOKUP($J905,'Type Chart'!$C$2:$T$20,16,false)*HLOOKUP($K905,'Type Chart'!$C$2:$U$20,16,false)</f>
        <v>1</v>
      </c>
      <c r="AJ905" s="960">
        <f t="array" ref="AJ905">HLOOKUP($J905,'Type Chart'!$C$2:$T$20,17,false)*HLOOKUP($K905,'Type Chart'!$C$2:$U$20,17,false)</f>
        <v>0</v>
      </c>
      <c r="AK905" s="960">
        <f t="array" ref="AK905">HLOOKUP($J905,'Type Chart'!$C$2:$T$20,18,false)*HLOOKUP($K905,'Type Chart'!$C$2:$U$20,18,false)</f>
        <v>0.5</v>
      </c>
      <c r="AL905" s="960">
        <f t="array" ref="AL905">HLOOKUP($J905,'Type Chart'!$C$2:$T$20,19,false)*HLOOKUP($K905,'Type Chart'!$C$2:$U$20,19,false)</f>
        <v>1</v>
      </c>
      <c r="AM905" s="964" t="s">
        <v>1324</v>
      </c>
      <c r="AN905" s="965"/>
      <c r="AO905" s="966"/>
      <c r="AP905" s="936"/>
      <c r="AQ905" s="967"/>
      <c r="AR905" s="968"/>
      <c r="AS905" s="936"/>
    </row>
    <row r="906" ht="15.75" customHeight="1">
      <c r="A906" s="1099"/>
      <c r="B906" s="948" t="s">
        <v>3502</v>
      </c>
      <c r="C906" s="1197" t="s">
        <v>3503</v>
      </c>
      <c r="D906" s="1197" t="s">
        <v>3503</v>
      </c>
      <c r="E906" s="1147" t="s">
        <v>3503</v>
      </c>
      <c r="F906" s="940"/>
      <c r="G906" s="953"/>
      <c r="H906" s="969"/>
      <c r="I906" s="998" t="s">
        <v>3504</v>
      </c>
      <c r="J906" s="1222" t="s">
        <v>342</v>
      </c>
      <c r="K906" s="1234" t="s">
        <v>127</v>
      </c>
      <c r="L906" s="1200">
        <v>50.0</v>
      </c>
      <c r="M906" s="1201">
        <v>160.0</v>
      </c>
      <c r="N906" s="1201">
        <v>110.0</v>
      </c>
      <c r="O906" s="1201">
        <v>160.0</v>
      </c>
      <c r="P906" s="1201">
        <v>110.0</v>
      </c>
      <c r="Q906" s="1201">
        <v>110.0</v>
      </c>
      <c r="R906" s="960">
        <v>256.0</v>
      </c>
      <c r="S906" s="960">
        <v>319.0</v>
      </c>
      <c r="T906" s="960">
        <v>350.0</v>
      </c>
      <c r="U906" s="960">
        <f t="array" ref="U906">HLOOKUP($J906,'Type Chart'!$C$2:$T$20,2,false)*HLOOKUP($K906,'Type Chart'!$C$2:$U$20,2,false)</f>
        <v>0.5</v>
      </c>
      <c r="V906" s="960">
        <f t="array" ref="V906">HLOOKUP($J906,'Type Chart'!$C$2:$T$20,3,false)*HLOOKUP($K906,'Type Chart'!$C$2:$U$20,3,false)</f>
        <v>1</v>
      </c>
      <c r="W906" s="960">
        <f t="array" ref="W906">HLOOKUP($J906,'Type Chart'!$C$2:$T$20,4,false)*HLOOKUP($K906,'Type Chart'!$C$2:$U$20,4,false)</f>
        <v>0.5</v>
      </c>
      <c r="X906" s="960">
        <f t="array" ref="X906">HLOOKUP($J906,'Type Chart'!$C$2:$T$20,5,false)*HLOOKUP($K906,'Type Chart'!$C$2:$U$20,5,false)</f>
        <v>1</v>
      </c>
      <c r="Y906" s="960">
        <f t="array" ref="Y906">HLOOKUP($J906,'Type Chart'!$C$2:$T$20,6,false)*HLOOKUP($K906,'Type Chart'!$C$2:$U$20,6,false)</f>
        <v>2</v>
      </c>
      <c r="Z906" s="960">
        <f t="array" ref="Z906">HLOOKUP($J906,'Type Chart'!$C$2:$T$20,7,false)*HLOOKUP($K906,'Type Chart'!$C$2:$U$20,7,false)</f>
        <v>1</v>
      </c>
      <c r="AA906" s="960">
        <f t="array" ref="AA906">HLOOKUP($J906,'Type Chart'!$C$2:$T$20,8,false)*HLOOKUP($K906,'Type Chart'!$C$2:$U$20,8,false)</f>
        <v>0.5</v>
      </c>
      <c r="AB906" s="960">
        <f t="array" ref="AB906">HLOOKUP($J906,'Type Chart'!$C$2:$T$20,9,false)*HLOOKUP($K906,'Type Chart'!$C$2:$U$20,9,false)</f>
        <v>1</v>
      </c>
      <c r="AC906" s="960">
        <f t="array" ref="AC906">HLOOKUP($J906,'Type Chart'!$C$2:$T$20,10,false)*HLOOKUP($K906,'Type Chart'!$C$2:$U$20,10,false)</f>
        <v>4</v>
      </c>
      <c r="AD906" s="960">
        <f t="array" ref="AD906">HLOOKUP($J906,'Type Chart'!$C$2:$T$20,11,false)*HLOOKUP($K906,'Type Chart'!$C$2:$U$20,11,false)</f>
        <v>0.5</v>
      </c>
      <c r="AE906" s="960">
        <f t="array" ref="AE906">HLOOKUP($J906,'Type Chart'!$C$2:$T$20,12,false)*HLOOKUP($K906,'Type Chart'!$C$2:$U$20,12,false)</f>
        <v>2</v>
      </c>
      <c r="AF906" s="960">
        <f t="array" ref="AF906">HLOOKUP($J906,'Type Chart'!$C$2:$T$20,13,false)*HLOOKUP($K906,'Type Chart'!$C$2:$U$20,13,false)</f>
        <v>2</v>
      </c>
      <c r="AG906" s="960">
        <f t="array" ref="AG906">HLOOKUP($J906,'Type Chart'!$C$2:$T$20,14,false)*HLOOKUP($K906,'Type Chart'!$C$2:$U$20,14,false)</f>
        <v>1</v>
      </c>
      <c r="AH906" s="960">
        <f t="array" ref="AH906">HLOOKUP($J906,'Type Chart'!$C$2:$T$20,15,false)*HLOOKUP($K906,'Type Chart'!$C$2:$U$20,15,false)</f>
        <v>1</v>
      </c>
      <c r="AI906" s="960">
        <f t="array" ref="AI906">HLOOKUP($J906,'Type Chart'!$C$2:$T$20,16,false)*HLOOKUP($K906,'Type Chart'!$C$2:$U$20,16,false)</f>
        <v>1</v>
      </c>
      <c r="AJ906" s="960">
        <f t="array" ref="AJ906">HLOOKUP($J906,'Type Chart'!$C$2:$T$20,17,false)*HLOOKUP($K906,'Type Chart'!$C$2:$U$20,17,false)</f>
        <v>0</v>
      </c>
      <c r="AK906" s="960">
        <f t="array" ref="AK906">HLOOKUP($J906,'Type Chart'!$C$2:$T$20,18,false)*HLOOKUP($K906,'Type Chart'!$C$2:$U$20,18,false)</f>
        <v>0.5</v>
      </c>
      <c r="AL906" s="960">
        <f t="array" ref="AL906">HLOOKUP($J906,'Type Chart'!$C$2:$T$20,19,false)*HLOOKUP($K906,'Type Chart'!$C$2:$U$20,19,false)</f>
        <v>1</v>
      </c>
      <c r="AM906" s="1145" t="s">
        <v>1752</v>
      </c>
      <c r="AN906" s="1202"/>
      <c r="AO906" s="1146"/>
      <c r="AP906" s="936"/>
      <c r="AQ906" s="967"/>
      <c r="AR906" s="968"/>
      <c r="AS906" s="936"/>
    </row>
    <row r="907" ht="15.75" customHeight="1">
      <c r="A907" s="936"/>
      <c r="B907" s="948" t="s">
        <v>3505</v>
      </c>
      <c r="C907" s="950" t="s">
        <v>3506</v>
      </c>
      <c r="D907" s="950" t="s">
        <v>3506</v>
      </c>
      <c r="E907" s="952" t="s">
        <v>3506</v>
      </c>
      <c r="F907" s="940"/>
      <c r="G907" s="953"/>
      <c r="H907" s="969"/>
      <c r="I907" s="956" t="s">
        <v>651</v>
      </c>
      <c r="J907" s="1203" t="s">
        <v>344</v>
      </c>
      <c r="K907" s="1220" t="s">
        <v>215</v>
      </c>
      <c r="L907" s="959">
        <v>80.0</v>
      </c>
      <c r="M907" s="960">
        <v>110.0</v>
      </c>
      <c r="N907" s="960">
        <v>60.0</v>
      </c>
      <c r="O907" s="960">
        <v>150.0</v>
      </c>
      <c r="P907" s="960">
        <v>130.0</v>
      </c>
      <c r="Q907" s="960">
        <v>70.0</v>
      </c>
      <c r="R907" s="960">
        <v>176.0</v>
      </c>
      <c r="S907" s="960">
        <v>239.0</v>
      </c>
      <c r="T907" s="960">
        <v>262.0</v>
      </c>
      <c r="U907" s="960">
        <f t="array" ref="U907">HLOOKUP($J907,'Type Chart'!$C$2:$T$20,2,false)*HLOOKUP($K907,'Type Chart'!$C$2:$U$20,2,false)</f>
        <v>0</v>
      </c>
      <c r="V907" s="960">
        <f t="array" ref="V907">HLOOKUP($J907,'Type Chart'!$C$2:$T$20,3,false)*HLOOKUP($K907,'Type Chart'!$C$2:$U$20,3,false)</f>
        <v>0</v>
      </c>
      <c r="W907" s="960">
        <f t="array" ref="W907">HLOOKUP($J907,'Type Chart'!$C$2:$T$20,4,false)*HLOOKUP($K907,'Type Chart'!$C$2:$U$20,4,false)</f>
        <v>1</v>
      </c>
      <c r="X907" s="960">
        <f t="array" ref="X907">HLOOKUP($J907,'Type Chart'!$C$2:$T$20,5,false)*HLOOKUP($K907,'Type Chart'!$C$2:$U$20,5,false)</f>
        <v>0.5</v>
      </c>
      <c r="Y907" s="960">
        <f t="array" ref="Y907">HLOOKUP($J907,'Type Chart'!$C$2:$T$20,6,false)*HLOOKUP($K907,'Type Chart'!$C$2:$U$20,6,false)</f>
        <v>1</v>
      </c>
      <c r="Z907" s="960">
        <f t="array" ref="Z907">HLOOKUP($J907,'Type Chart'!$C$2:$T$20,7,false)*HLOOKUP($K907,'Type Chart'!$C$2:$U$20,7,false)</f>
        <v>1</v>
      </c>
      <c r="AA907" s="960">
        <f t="array" ref="AA907">HLOOKUP($J907,'Type Chart'!$C$2:$T$20,8,false)*HLOOKUP($K907,'Type Chart'!$C$2:$U$20,8,false)</f>
        <v>1</v>
      </c>
      <c r="AB907" s="960">
        <f t="array" ref="AB907">HLOOKUP($J907,'Type Chart'!$C$2:$T$20,9,false)*HLOOKUP($K907,'Type Chart'!$C$2:$U$20,9,false)</f>
        <v>4</v>
      </c>
      <c r="AC907" s="960">
        <f t="array" ref="AC907">HLOOKUP($J907,'Type Chart'!$C$2:$T$20,10,false)*HLOOKUP($K907,'Type Chart'!$C$2:$U$20,10,false)</f>
        <v>1</v>
      </c>
      <c r="AD907" s="960">
        <f t="array" ref="AD907">HLOOKUP($J907,'Type Chart'!$C$2:$T$20,11,false)*HLOOKUP($K907,'Type Chart'!$C$2:$U$20,11,false)</f>
        <v>1</v>
      </c>
      <c r="AE907" s="960">
        <f t="array" ref="AE907">HLOOKUP($J907,'Type Chart'!$C$2:$T$20,12,false)*HLOOKUP($K907,'Type Chart'!$C$2:$U$20,12,false)</f>
        <v>1</v>
      </c>
      <c r="AF907" s="960">
        <f t="array" ref="AF907">HLOOKUP($J907,'Type Chart'!$C$2:$T$20,13,false)*HLOOKUP($K907,'Type Chart'!$C$2:$U$20,13,false)</f>
        <v>1</v>
      </c>
      <c r="AG907" s="960">
        <f t="array" ref="AG907">HLOOKUP($J907,'Type Chart'!$C$2:$T$20,14,false)*HLOOKUP($K907,'Type Chart'!$C$2:$U$20,14,false)</f>
        <v>1</v>
      </c>
      <c r="AH907" s="960">
        <f t="array" ref="AH907">HLOOKUP($J907,'Type Chart'!$C$2:$T$20,15,false)*HLOOKUP($K907,'Type Chart'!$C$2:$U$20,15,false)</f>
        <v>0.5</v>
      </c>
      <c r="AI907" s="960">
        <f t="array" ref="AI907">HLOOKUP($J907,'Type Chart'!$C$2:$T$20,16,false)*HLOOKUP($K907,'Type Chart'!$C$2:$U$20,16,false)</f>
        <v>1</v>
      </c>
      <c r="AJ907" s="960">
        <f t="array" ref="AJ907">HLOOKUP($J907,'Type Chart'!$C$2:$T$20,17,false)*HLOOKUP($K907,'Type Chart'!$C$2:$U$20,17,false)</f>
        <v>1</v>
      </c>
      <c r="AK907" s="960">
        <f t="array" ref="AK907">HLOOKUP($J907,'Type Chart'!$C$2:$T$20,18,false)*HLOOKUP($K907,'Type Chart'!$C$2:$U$20,18,false)</f>
        <v>4</v>
      </c>
      <c r="AL907" s="960">
        <f t="array" ref="AL907">HLOOKUP($J907,'Type Chart'!$C$2:$T$20,19,false)*HLOOKUP($K907,'Type Chart'!$C$2:$U$20,19,false)</f>
        <v>1</v>
      </c>
      <c r="AM907" s="964" t="s">
        <v>3266</v>
      </c>
      <c r="AN907" s="965"/>
      <c r="AO907" s="966"/>
      <c r="AP907" s="936"/>
      <c r="AQ907" s="967"/>
      <c r="AR907" s="968"/>
      <c r="AS907" s="936"/>
    </row>
    <row r="908" ht="15.75" customHeight="1">
      <c r="A908" s="936"/>
      <c r="B908" s="948" t="s">
        <v>3507</v>
      </c>
      <c r="C908" s="950" t="s">
        <v>3508</v>
      </c>
      <c r="D908" s="950" t="s">
        <v>3508</v>
      </c>
      <c r="E908" s="952" t="s">
        <v>3508</v>
      </c>
      <c r="F908" s="940"/>
      <c r="G908" s="953"/>
      <c r="H908" s="969"/>
      <c r="I908" s="956" t="s">
        <v>387</v>
      </c>
      <c r="J908" s="1203" t="s">
        <v>344</v>
      </c>
      <c r="K908" s="1195" t="s">
        <v>193</v>
      </c>
      <c r="L908" s="959">
        <v>80.0</v>
      </c>
      <c r="M908" s="960">
        <v>160.0</v>
      </c>
      <c r="N908" s="960">
        <v>60.0</v>
      </c>
      <c r="O908" s="960">
        <v>170.0</v>
      </c>
      <c r="P908" s="960">
        <v>130.0</v>
      </c>
      <c r="Q908" s="960">
        <v>80.0</v>
      </c>
      <c r="R908" s="960">
        <v>196.0</v>
      </c>
      <c r="S908" s="960">
        <v>259.0</v>
      </c>
      <c r="T908" s="960">
        <v>284.0</v>
      </c>
      <c r="U908" s="960">
        <f t="array" ref="U908">HLOOKUP($J908,'Type Chart'!$C$2:$T$20,2,false)*HLOOKUP($K908,'Type Chart'!$C$2:$U$20,2,false)</f>
        <v>1</v>
      </c>
      <c r="V908" s="960">
        <f t="array" ref="V908">HLOOKUP($J908,'Type Chart'!$C$2:$T$20,3,false)*HLOOKUP($K908,'Type Chart'!$C$2:$U$20,3,false)</f>
        <v>1</v>
      </c>
      <c r="W908" s="960">
        <f t="array" ref="W908">HLOOKUP($J908,'Type Chart'!$C$2:$T$20,4,false)*HLOOKUP($K908,'Type Chart'!$C$2:$U$20,4,false)</f>
        <v>1</v>
      </c>
      <c r="X908" s="960">
        <f t="array" ref="X908">HLOOKUP($J908,'Type Chart'!$C$2:$T$20,5,false)*HLOOKUP($K908,'Type Chart'!$C$2:$U$20,5,false)</f>
        <v>1</v>
      </c>
      <c r="Y908" s="960">
        <f t="array" ref="Y908">HLOOKUP($J908,'Type Chart'!$C$2:$T$20,6,false)*HLOOKUP($K908,'Type Chart'!$C$2:$U$20,6,false)</f>
        <v>1</v>
      </c>
      <c r="Z908" s="960">
        <f t="array" ref="Z908">HLOOKUP($J908,'Type Chart'!$C$2:$T$20,7,false)*HLOOKUP($K908,'Type Chart'!$C$2:$U$20,7,false)</f>
        <v>1</v>
      </c>
      <c r="AA908" s="960">
        <f t="array" ref="AA908">HLOOKUP($J908,'Type Chart'!$C$2:$T$20,8,false)*HLOOKUP($K908,'Type Chart'!$C$2:$U$20,8,false)</f>
        <v>4</v>
      </c>
      <c r="AB908" s="960">
        <f t="array" ref="AB908">HLOOKUP($J908,'Type Chart'!$C$2:$T$20,9,false)*HLOOKUP($K908,'Type Chart'!$C$2:$U$20,9,false)</f>
        <v>1</v>
      </c>
      <c r="AC908" s="960">
        <f t="array" ref="AC908">HLOOKUP($J908,'Type Chart'!$C$2:$T$20,10,false)*HLOOKUP($K908,'Type Chart'!$C$2:$U$20,10,false)</f>
        <v>1</v>
      </c>
      <c r="AD908" s="960">
        <f t="array" ref="AD908">HLOOKUP($J908,'Type Chart'!$C$2:$T$20,11,false)*HLOOKUP($K908,'Type Chart'!$C$2:$U$20,11,false)</f>
        <v>1</v>
      </c>
      <c r="AE908" s="960">
        <f t="array" ref="AE908">HLOOKUP($J908,'Type Chart'!$C$2:$T$20,12,false)*HLOOKUP($K908,'Type Chart'!$C$2:$U$20,12,false)</f>
        <v>1</v>
      </c>
      <c r="AF908" s="960">
        <f t="array" ref="AF908">HLOOKUP($J908,'Type Chart'!$C$2:$T$20,13,false)*HLOOKUP($K908,'Type Chart'!$C$2:$U$20,13,false)</f>
        <v>1</v>
      </c>
      <c r="AG908" s="960">
        <f t="array" ref="AG908">HLOOKUP($J908,'Type Chart'!$C$2:$T$20,14,false)*HLOOKUP($K908,'Type Chart'!$C$2:$U$20,14,false)</f>
        <v>1</v>
      </c>
      <c r="AH908" s="960">
        <f t="array" ref="AH908">HLOOKUP($J908,'Type Chart'!$C$2:$T$20,15,false)*HLOOKUP($K908,'Type Chart'!$C$2:$U$20,15,false)</f>
        <v>0</v>
      </c>
      <c r="AI908" s="960">
        <f t="array" ref="AI908">HLOOKUP($J908,'Type Chart'!$C$2:$T$20,16,false)*HLOOKUP($K908,'Type Chart'!$C$2:$U$20,16,false)</f>
        <v>1</v>
      </c>
      <c r="AJ908" s="960">
        <f t="array" ref="AJ908">HLOOKUP($J908,'Type Chart'!$C$2:$T$20,17,false)*HLOOKUP($K908,'Type Chart'!$C$2:$U$20,17,false)</f>
        <v>1</v>
      </c>
      <c r="AK908" s="960">
        <f t="array" ref="AK908">HLOOKUP($J908,'Type Chart'!$C$2:$T$20,18,false)*HLOOKUP($K908,'Type Chart'!$C$2:$U$20,18,false)</f>
        <v>1</v>
      </c>
      <c r="AL908" s="960">
        <f t="array" ref="AL908">HLOOKUP($J908,'Type Chart'!$C$2:$T$20,19,false)*HLOOKUP($K908,'Type Chart'!$C$2:$U$20,19,false)</f>
        <v>2</v>
      </c>
      <c r="AM908" s="964" t="s">
        <v>3266</v>
      </c>
      <c r="AN908" s="965"/>
      <c r="AO908" s="966"/>
      <c r="AP908" s="936"/>
      <c r="AQ908" s="967"/>
      <c r="AR908" s="968"/>
      <c r="AS908" s="936"/>
    </row>
    <row r="909" ht="15.75" customHeight="1">
      <c r="A909" s="936"/>
      <c r="B909" s="948" t="s">
        <v>3509</v>
      </c>
      <c r="C909" s="950" t="s">
        <v>3510</v>
      </c>
      <c r="D909" s="950" t="s">
        <v>3510</v>
      </c>
      <c r="E909" s="952" t="s">
        <v>3510</v>
      </c>
      <c r="F909" s="940"/>
      <c r="G909" s="953"/>
      <c r="H909" s="969"/>
      <c r="I909" s="956" t="s">
        <v>516</v>
      </c>
      <c r="J909" s="982" t="s">
        <v>150</v>
      </c>
      <c r="K909" s="1056" t="s">
        <v>81</v>
      </c>
      <c r="L909" s="959">
        <v>80.0</v>
      </c>
      <c r="M909" s="960">
        <v>110.0</v>
      </c>
      <c r="N909" s="960">
        <v>120.0</v>
      </c>
      <c r="O909" s="960">
        <v>130.0</v>
      </c>
      <c r="P909" s="960">
        <v>90.0</v>
      </c>
      <c r="Q909" s="960">
        <v>70.0</v>
      </c>
      <c r="R909" s="960">
        <v>176.0</v>
      </c>
      <c r="S909" s="960">
        <v>239.0</v>
      </c>
      <c r="T909" s="960">
        <v>262.0</v>
      </c>
      <c r="U909" s="960">
        <f t="array" ref="U909">HLOOKUP($J909,'Type Chart'!$C$2:$T$20,2,false)*HLOOKUP($K909,'Type Chart'!$C$2:$U$20,2,false)</f>
        <v>1</v>
      </c>
      <c r="V909" s="960">
        <f t="array" ref="V909">HLOOKUP($J909,'Type Chart'!$C$2:$T$20,3,false)*HLOOKUP($K909,'Type Chart'!$C$2:$U$20,3,false)</f>
        <v>1</v>
      </c>
      <c r="W909" s="960">
        <f t="array" ref="W909">HLOOKUP($J909,'Type Chart'!$C$2:$T$20,4,false)*HLOOKUP($K909,'Type Chart'!$C$2:$U$20,4,false)</f>
        <v>1</v>
      </c>
      <c r="X909" s="960">
        <f t="array" ref="X909">HLOOKUP($J909,'Type Chart'!$C$2:$T$20,5,false)*HLOOKUP($K909,'Type Chart'!$C$2:$U$20,5,false)</f>
        <v>1</v>
      </c>
      <c r="Y909" s="960">
        <f t="array" ref="Y909">HLOOKUP($J909,'Type Chart'!$C$2:$T$20,6,false)*HLOOKUP($K909,'Type Chart'!$C$2:$U$20,6,false)</f>
        <v>2</v>
      </c>
      <c r="Z909" s="960">
        <f t="array" ref="Z909">HLOOKUP($J909,'Type Chart'!$C$2:$T$20,7,false)*HLOOKUP($K909,'Type Chart'!$C$2:$U$20,7,false)</f>
        <v>2</v>
      </c>
      <c r="AA909" s="960">
        <f t="array" ref="AA909">HLOOKUP($J909,'Type Chart'!$C$2:$T$20,8,false)*HLOOKUP($K909,'Type Chart'!$C$2:$U$20,8,false)</f>
        <v>0.5</v>
      </c>
      <c r="AB909" s="960">
        <f t="array" ref="AB909">HLOOKUP($J909,'Type Chart'!$C$2:$T$20,9,false)*HLOOKUP($K909,'Type Chart'!$C$2:$U$20,9,false)</f>
        <v>1</v>
      </c>
      <c r="AC909" s="960">
        <f t="array" ref="AC909">HLOOKUP($J909,'Type Chart'!$C$2:$T$20,10,false)*HLOOKUP($K909,'Type Chart'!$C$2:$U$20,10,false)</f>
        <v>0.25</v>
      </c>
      <c r="AD909" s="960">
        <f t="array" ref="AD909">HLOOKUP($J909,'Type Chart'!$C$2:$T$20,11,false)*HLOOKUP($K909,'Type Chart'!$C$2:$U$20,11,false)</f>
        <v>0.25</v>
      </c>
      <c r="AE909" s="960">
        <f t="array" ref="AE909">HLOOKUP($J909,'Type Chart'!$C$2:$T$20,12,false)*HLOOKUP($K909,'Type Chart'!$C$2:$U$20,12,false)</f>
        <v>1</v>
      </c>
      <c r="AF909" s="960">
        <f t="array" ref="AF909">HLOOKUP($J909,'Type Chart'!$C$2:$T$20,13,false)*HLOOKUP($K909,'Type Chart'!$C$2:$U$20,13,false)</f>
        <v>1</v>
      </c>
      <c r="AG909" s="960">
        <f t="array" ref="AG909">HLOOKUP($J909,'Type Chart'!$C$2:$T$20,14,false)*HLOOKUP($K909,'Type Chart'!$C$2:$U$20,14,false)</f>
        <v>2</v>
      </c>
      <c r="AH909" s="960">
        <f t="array" ref="AH909">HLOOKUP($J909,'Type Chart'!$C$2:$T$20,15,false)*HLOOKUP($K909,'Type Chart'!$C$2:$U$20,15,false)</f>
        <v>1</v>
      </c>
      <c r="AI909" s="960">
        <f t="array" ref="AI909">HLOOKUP($J909,'Type Chart'!$C$2:$T$20,16,false)*HLOOKUP($K909,'Type Chart'!$C$2:$U$20,16,false)</f>
        <v>0.25</v>
      </c>
      <c r="AJ909" s="960">
        <f t="array" ref="AJ909">HLOOKUP($J909,'Type Chart'!$C$2:$T$20,17,false)*HLOOKUP($K909,'Type Chart'!$C$2:$U$20,17,false)</f>
        <v>1</v>
      </c>
      <c r="AK909" s="960">
        <f t="array" ref="AK909">HLOOKUP($J909,'Type Chart'!$C$2:$T$20,18,false)*HLOOKUP($K909,'Type Chart'!$C$2:$U$20,18,false)</f>
        <v>1</v>
      </c>
      <c r="AL909" s="960">
        <f t="array" ref="AL909">HLOOKUP($J909,'Type Chart'!$C$2:$T$20,19,false)*HLOOKUP($K909,'Type Chart'!$C$2:$U$20,19,false)</f>
        <v>0.5</v>
      </c>
      <c r="AM909" s="964" t="s">
        <v>1283</v>
      </c>
      <c r="AN909" s="965"/>
      <c r="AO909" s="966"/>
      <c r="AP909" s="936"/>
      <c r="AQ909" s="967"/>
      <c r="AR909" s="968"/>
      <c r="AS909" s="936"/>
    </row>
    <row r="910" ht="15.75" customHeight="1">
      <c r="A910" s="936"/>
      <c r="B910" s="948" t="s">
        <v>3511</v>
      </c>
      <c r="C910" s="950" t="s">
        <v>3512</v>
      </c>
      <c r="D910" s="950" t="s">
        <v>3512</v>
      </c>
      <c r="E910" s="952" t="s">
        <v>3512</v>
      </c>
      <c r="F910" s="940"/>
      <c r="G910" s="953"/>
      <c r="H910" s="969"/>
      <c r="I910" s="956" t="s">
        <v>3513</v>
      </c>
      <c r="J910" s="957" t="s">
        <v>209</v>
      </c>
      <c r="K910" s="1001" t="s">
        <v>128</v>
      </c>
      <c r="L910" s="959">
        <v>68.0</v>
      </c>
      <c r="M910" s="960">
        <v>55.0</v>
      </c>
      <c r="N910" s="960">
        <v>55.0</v>
      </c>
      <c r="O910" s="960">
        <v>50.0</v>
      </c>
      <c r="P910" s="960">
        <v>50.0</v>
      </c>
      <c r="Q910" s="960">
        <v>42.0</v>
      </c>
      <c r="R910" s="960">
        <v>120.0</v>
      </c>
      <c r="S910" s="960">
        <v>183.0</v>
      </c>
      <c r="T910" s="960">
        <v>201.0</v>
      </c>
      <c r="U910" s="960">
        <f t="array" ref="U910">HLOOKUP($J910,'Type Chart'!$C$2:$T$20,2,false)*HLOOKUP($K910,'Type Chart'!$C$2:$U$20,2,false)</f>
        <v>1</v>
      </c>
      <c r="V910" s="960">
        <f t="array" ref="V910">HLOOKUP($J910,'Type Chart'!$C$2:$T$20,3,false)*HLOOKUP($K910,'Type Chart'!$C$2:$U$20,3,false)</f>
        <v>0.5</v>
      </c>
      <c r="W910" s="960">
        <f t="array" ref="W910">HLOOKUP($J910,'Type Chart'!$C$2:$T$20,4,false)*HLOOKUP($K910,'Type Chart'!$C$2:$U$20,4,false)</f>
        <v>2</v>
      </c>
      <c r="X910" s="960">
        <f t="array" ref="X910">HLOOKUP($J910,'Type Chart'!$C$2:$T$20,5,false)*HLOOKUP($K910,'Type Chart'!$C$2:$U$20,5,false)</f>
        <v>2</v>
      </c>
      <c r="Y910" s="960">
        <f t="array" ref="Y910">HLOOKUP($J910,'Type Chart'!$C$2:$T$20,6,false)*HLOOKUP($K910,'Type Chart'!$C$2:$U$20,6,false)</f>
        <v>0</v>
      </c>
      <c r="Z910" s="960">
        <f t="array" ref="Z910">HLOOKUP($J910,'Type Chart'!$C$2:$T$20,7,false)*HLOOKUP($K910,'Type Chart'!$C$2:$U$20,7,false)</f>
        <v>2</v>
      </c>
      <c r="AA910" s="960">
        <f t="array" ref="AA910">HLOOKUP($J910,'Type Chart'!$C$2:$T$20,8,false)*HLOOKUP($K910,'Type Chart'!$C$2:$U$20,8,false)</f>
        <v>1</v>
      </c>
      <c r="AB910" s="960">
        <f t="array" ref="AB910">HLOOKUP($J910,'Type Chart'!$C$2:$T$20,9,false)*HLOOKUP($K910,'Type Chart'!$C$2:$U$20,9,false)</f>
        <v>1</v>
      </c>
      <c r="AC910" s="960">
        <f t="array" ref="AC910">HLOOKUP($J910,'Type Chart'!$C$2:$T$20,10,false)*HLOOKUP($K910,'Type Chart'!$C$2:$U$20,10,false)</f>
        <v>1</v>
      </c>
      <c r="AD910" s="960">
        <f t="array" ref="AD910">HLOOKUP($J910,'Type Chart'!$C$2:$T$20,11,false)*HLOOKUP($K910,'Type Chart'!$C$2:$U$20,11,false)</f>
        <v>2</v>
      </c>
      <c r="AE910" s="960">
        <f t="array" ref="AE910">HLOOKUP($J910,'Type Chart'!$C$2:$T$20,12,false)*HLOOKUP($K910,'Type Chart'!$C$2:$U$20,12,false)</f>
        <v>0.5</v>
      </c>
      <c r="AF910" s="960">
        <f t="array" ref="AF910">HLOOKUP($J910,'Type Chart'!$C$2:$T$20,13,false)*HLOOKUP($K910,'Type Chart'!$C$2:$U$20,13,false)</f>
        <v>0.25</v>
      </c>
      <c r="AG910" s="960">
        <f t="array" ref="AG910">HLOOKUP($J910,'Type Chart'!$C$2:$T$20,14,false)*HLOOKUP($K910,'Type Chart'!$C$2:$U$20,14,false)</f>
        <v>1</v>
      </c>
      <c r="AH910" s="960">
        <f t="array" ref="AH910">HLOOKUP($J910,'Type Chart'!$C$2:$T$20,15,false)*HLOOKUP($K910,'Type Chart'!$C$2:$U$20,15,false)</f>
        <v>1</v>
      </c>
      <c r="AI910" s="960">
        <f t="array" ref="AI910">HLOOKUP($J910,'Type Chart'!$C$2:$T$20,16,false)*HLOOKUP($K910,'Type Chart'!$C$2:$U$20,16,false)</f>
        <v>4</v>
      </c>
      <c r="AJ910" s="960">
        <f t="array" ref="AJ910">HLOOKUP($J910,'Type Chart'!$C$2:$T$20,17,false)*HLOOKUP($K910,'Type Chart'!$C$2:$U$20,17,false)</f>
        <v>1</v>
      </c>
      <c r="AK910" s="960">
        <f t="array" ref="AK910">HLOOKUP($J910,'Type Chart'!$C$2:$T$20,18,false)*HLOOKUP($K910,'Type Chart'!$C$2:$U$20,18,false)</f>
        <v>1</v>
      </c>
      <c r="AL910" s="960">
        <f t="array" ref="AL910">HLOOKUP($J910,'Type Chart'!$C$2:$T$20,19,false)*HLOOKUP($K910,'Type Chart'!$C$2:$U$20,19,false)</f>
        <v>1</v>
      </c>
      <c r="AM910" s="964" t="s">
        <v>522</v>
      </c>
      <c r="AN910" s="965"/>
      <c r="AO910" s="966" t="s">
        <v>3514</v>
      </c>
      <c r="AP910" s="936"/>
      <c r="AQ910" s="967"/>
      <c r="AR910" s="968"/>
      <c r="AS910" s="936"/>
    </row>
    <row r="911" ht="15.75" customHeight="1">
      <c r="A911" s="1099"/>
      <c r="B911" s="948" t="s">
        <v>3515</v>
      </c>
      <c r="C911" s="950" t="s">
        <v>3516</v>
      </c>
      <c r="D911" s="950" t="s">
        <v>3516</v>
      </c>
      <c r="E911" s="952" t="s">
        <v>3516</v>
      </c>
      <c r="F911" s="940"/>
      <c r="G911" s="953"/>
      <c r="H911" s="969"/>
      <c r="I911" s="956" t="s">
        <v>3517</v>
      </c>
      <c r="J911" s="957" t="s">
        <v>209</v>
      </c>
      <c r="K911" s="1001" t="s">
        <v>128</v>
      </c>
      <c r="L911" s="959">
        <v>78.0</v>
      </c>
      <c r="M911" s="960">
        <v>75.0</v>
      </c>
      <c r="N911" s="960">
        <v>75.0</v>
      </c>
      <c r="O911" s="960">
        <v>70.0</v>
      </c>
      <c r="P911" s="960">
        <v>70.0</v>
      </c>
      <c r="Q911" s="960">
        <v>52.0</v>
      </c>
      <c r="R911" s="960">
        <v>140.0</v>
      </c>
      <c r="S911" s="960">
        <v>203.0</v>
      </c>
      <c r="T911" s="960">
        <v>223.0</v>
      </c>
      <c r="U911" s="960">
        <f t="array" ref="U911">HLOOKUP($J911,'Type Chart'!$C$2:$T$20,2,false)*HLOOKUP($K911,'Type Chart'!$C$2:$U$20,2,false)</f>
        <v>1</v>
      </c>
      <c r="V911" s="960">
        <f t="array" ref="V911">HLOOKUP($J911,'Type Chart'!$C$2:$T$20,3,false)*HLOOKUP($K911,'Type Chart'!$C$2:$U$20,3,false)</f>
        <v>0.5</v>
      </c>
      <c r="W911" s="960">
        <f t="array" ref="W911">HLOOKUP($J911,'Type Chart'!$C$2:$T$20,4,false)*HLOOKUP($K911,'Type Chart'!$C$2:$U$20,4,false)</f>
        <v>2</v>
      </c>
      <c r="X911" s="960">
        <f t="array" ref="X911">HLOOKUP($J911,'Type Chart'!$C$2:$T$20,5,false)*HLOOKUP($K911,'Type Chart'!$C$2:$U$20,5,false)</f>
        <v>2</v>
      </c>
      <c r="Y911" s="960">
        <f t="array" ref="Y911">HLOOKUP($J911,'Type Chart'!$C$2:$T$20,6,false)*HLOOKUP($K911,'Type Chart'!$C$2:$U$20,6,false)</f>
        <v>0</v>
      </c>
      <c r="Z911" s="960">
        <f t="array" ref="Z911">HLOOKUP($J911,'Type Chart'!$C$2:$T$20,7,false)*HLOOKUP($K911,'Type Chart'!$C$2:$U$20,7,false)</f>
        <v>2</v>
      </c>
      <c r="AA911" s="960">
        <f t="array" ref="AA911">HLOOKUP($J911,'Type Chart'!$C$2:$T$20,8,false)*HLOOKUP($K911,'Type Chart'!$C$2:$U$20,8,false)</f>
        <v>1</v>
      </c>
      <c r="AB911" s="960">
        <f t="array" ref="AB911">HLOOKUP($J911,'Type Chart'!$C$2:$T$20,9,false)*HLOOKUP($K911,'Type Chart'!$C$2:$U$20,9,false)</f>
        <v>1</v>
      </c>
      <c r="AC911" s="960">
        <f t="array" ref="AC911">HLOOKUP($J911,'Type Chart'!$C$2:$T$20,10,false)*HLOOKUP($K911,'Type Chart'!$C$2:$U$20,10,false)</f>
        <v>1</v>
      </c>
      <c r="AD911" s="960">
        <f t="array" ref="AD911">HLOOKUP($J911,'Type Chart'!$C$2:$T$20,11,false)*HLOOKUP($K911,'Type Chart'!$C$2:$U$20,11,false)</f>
        <v>2</v>
      </c>
      <c r="AE911" s="960">
        <f t="array" ref="AE911">HLOOKUP($J911,'Type Chart'!$C$2:$T$20,12,false)*HLOOKUP($K911,'Type Chart'!$C$2:$U$20,12,false)</f>
        <v>0.5</v>
      </c>
      <c r="AF911" s="960">
        <f t="array" ref="AF911">HLOOKUP($J911,'Type Chart'!$C$2:$T$20,13,false)*HLOOKUP($K911,'Type Chart'!$C$2:$U$20,13,false)</f>
        <v>0.25</v>
      </c>
      <c r="AG911" s="960">
        <f t="array" ref="AG911">HLOOKUP($J911,'Type Chart'!$C$2:$T$20,14,false)*HLOOKUP($K911,'Type Chart'!$C$2:$U$20,14,false)</f>
        <v>1</v>
      </c>
      <c r="AH911" s="960">
        <f t="array" ref="AH911">HLOOKUP($J911,'Type Chart'!$C$2:$T$20,15,false)*HLOOKUP($K911,'Type Chart'!$C$2:$U$20,15,false)</f>
        <v>1</v>
      </c>
      <c r="AI911" s="960">
        <f t="array" ref="AI911">HLOOKUP($J911,'Type Chart'!$C$2:$T$20,16,false)*HLOOKUP($K911,'Type Chart'!$C$2:$U$20,16,false)</f>
        <v>4</v>
      </c>
      <c r="AJ911" s="960">
        <f t="array" ref="AJ911">HLOOKUP($J911,'Type Chart'!$C$2:$T$20,17,false)*HLOOKUP($K911,'Type Chart'!$C$2:$U$20,17,false)</f>
        <v>1</v>
      </c>
      <c r="AK911" s="960">
        <f t="array" ref="AK911">HLOOKUP($J911,'Type Chart'!$C$2:$T$20,18,false)*HLOOKUP($K911,'Type Chart'!$C$2:$U$20,18,false)</f>
        <v>1</v>
      </c>
      <c r="AL911" s="960">
        <f t="array" ref="AL911">HLOOKUP($J911,'Type Chart'!$C$2:$T$20,19,false)*HLOOKUP($K911,'Type Chart'!$C$2:$U$20,19,false)</f>
        <v>1</v>
      </c>
      <c r="AM911" s="1145" t="s">
        <v>522</v>
      </c>
      <c r="AN911" s="965"/>
      <c r="AO911" s="1146" t="s">
        <v>3514</v>
      </c>
      <c r="AP911" s="936"/>
      <c r="AQ911" s="967"/>
      <c r="AR911" s="968"/>
      <c r="AS911" s="936"/>
    </row>
    <row r="912" ht="15.75" customHeight="1">
      <c r="A912" s="936"/>
      <c r="B912" s="948" t="s">
        <v>3518</v>
      </c>
      <c r="C912" s="950" t="s">
        <v>3519</v>
      </c>
      <c r="D912" s="950" t="s">
        <v>3519</v>
      </c>
      <c r="E912" s="952" t="s">
        <v>3519</v>
      </c>
      <c r="F912" s="940"/>
      <c r="G912" s="953"/>
      <c r="H912" s="969"/>
      <c r="I912" s="956" t="s">
        <v>507</v>
      </c>
      <c r="J912" s="957" t="s">
        <v>209</v>
      </c>
      <c r="K912" s="1220" t="s">
        <v>215</v>
      </c>
      <c r="L912" s="959">
        <v>78.0</v>
      </c>
      <c r="M912" s="960">
        <v>107.0</v>
      </c>
      <c r="N912" s="960">
        <v>75.0</v>
      </c>
      <c r="O912" s="960">
        <v>100.0</v>
      </c>
      <c r="P912" s="960">
        <v>100.0</v>
      </c>
      <c r="Q912" s="960">
        <v>70.0</v>
      </c>
      <c r="R912" s="960">
        <v>176.0</v>
      </c>
      <c r="S912" s="960">
        <v>239.0</v>
      </c>
      <c r="T912" s="960">
        <v>262.0</v>
      </c>
      <c r="U912" s="960">
        <f t="array" ref="U912">HLOOKUP($J912,'Type Chart'!$C$2:$T$20,2,false)*HLOOKUP($K912,'Type Chart'!$C$2:$U$20,2,false)</f>
        <v>0</v>
      </c>
      <c r="V912" s="960">
        <f t="array" ref="V912">HLOOKUP($J912,'Type Chart'!$C$2:$T$20,3,false)*HLOOKUP($K912,'Type Chart'!$C$2:$U$20,3,false)</f>
        <v>0</v>
      </c>
      <c r="W912" s="960">
        <f t="array" ref="W912">HLOOKUP($J912,'Type Chart'!$C$2:$T$20,4,false)*HLOOKUP($K912,'Type Chart'!$C$2:$U$20,4,false)</f>
        <v>2</v>
      </c>
      <c r="X912" s="960">
        <f t="array" ref="X912">HLOOKUP($J912,'Type Chart'!$C$2:$T$20,5,false)*HLOOKUP($K912,'Type Chart'!$C$2:$U$20,5,false)</f>
        <v>1</v>
      </c>
      <c r="Y912" s="960">
        <f t="array" ref="Y912">HLOOKUP($J912,'Type Chart'!$C$2:$T$20,6,false)*HLOOKUP($K912,'Type Chart'!$C$2:$U$20,6,false)</f>
        <v>0.5</v>
      </c>
      <c r="Z912" s="960">
        <f t="array" ref="Z912">HLOOKUP($J912,'Type Chart'!$C$2:$T$20,7,false)*HLOOKUP($K912,'Type Chart'!$C$2:$U$20,7,false)</f>
        <v>1</v>
      </c>
      <c r="AA912" s="960">
        <f t="array" ref="AA912">HLOOKUP($J912,'Type Chart'!$C$2:$T$20,8,false)*HLOOKUP($K912,'Type Chart'!$C$2:$U$20,8,false)</f>
        <v>1</v>
      </c>
      <c r="AB912" s="960">
        <f t="array" ref="AB912">HLOOKUP($J912,'Type Chart'!$C$2:$T$20,9,false)*HLOOKUP($K912,'Type Chart'!$C$2:$U$20,9,false)</f>
        <v>2</v>
      </c>
      <c r="AC912" s="960">
        <f t="array" ref="AC912">HLOOKUP($J912,'Type Chart'!$C$2:$T$20,10,false)*HLOOKUP($K912,'Type Chart'!$C$2:$U$20,10,false)</f>
        <v>1</v>
      </c>
      <c r="AD912" s="960">
        <f t="array" ref="AD912">HLOOKUP($J912,'Type Chart'!$C$2:$T$20,11,false)*HLOOKUP($K912,'Type Chart'!$C$2:$U$20,11,false)</f>
        <v>2</v>
      </c>
      <c r="AE912" s="960">
        <f t="array" ref="AE912">HLOOKUP($J912,'Type Chart'!$C$2:$T$20,12,false)*HLOOKUP($K912,'Type Chart'!$C$2:$U$20,12,false)</f>
        <v>0.5</v>
      </c>
      <c r="AF912" s="960">
        <f t="array" ref="AF912">HLOOKUP($J912,'Type Chart'!$C$2:$T$20,13,false)*HLOOKUP($K912,'Type Chart'!$C$2:$U$20,13,false)</f>
        <v>0.5</v>
      </c>
      <c r="AG912" s="960">
        <f t="array" ref="AG912">HLOOKUP($J912,'Type Chart'!$C$2:$T$20,14,false)*HLOOKUP($K912,'Type Chart'!$C$2:$U$20,14,false)</f>
        <v>0.5</v>
      </c>
      <c r="AH912" s="960">
        <f t="array" ref="AH912">HLOOKUP($J912,'Type Chart'!$C$2:$T$20,15,false)*HLOOKUP($K912,'Type Chart'!$C$2:$U$20,15,false)</f>
        <v>1</v>
      </c>
      <c r="AI912" s="960">
        <f t="array" ref="AI912">HLOOKUP($J912,'Type Chart'!$C$2:$T$20,16,false)*HLOOKUP($K912,'Type Chart'!$C$2:$U$20,16,false)</f>
        <v>2</v>
      </c>
      <c r="AJ912" s="960">
        <f t="array" ref="AJ912">HLOOKUP($J912,'Type Chart'!$C$2:$T$20,17,false)*HLOOKUP($K912,'Type Chart'!$C$2:$U$20,17,false)</f>
        <v>1</v>
      </c>
      <c r="AK912" s="960">
        <f t="array" ref="AK912">HLOOKUP($J912,'Type Chart'!$C$2:$T$20,18,false)*HLOOKUP($K912,'Type Chart'!$C$2:$U$20,18,false)</f>
        <v>2</v>
      </c>
      <c r="AL912" s="960">
        <f t="array" ref="AL912">HLOOKUP($J912,'Type Chart'!$C$2:$T$20,19,false)*HLOOKUP($K912,'Type Chart'!$C$2:$U$20,19,false)</f>
        <v>1</v>
      </c>
      <c r="AM912" s="964" t="s">
        <v>522</v>
      </c>
      <c r="AN912" s="965"/>
      <c r="AO912" s="966" t="s">
        <v>3514</v>
      </c>
      <c r="AP912" s="936"/>
      <c r="AQ912" s="967"/>
      <c r="AR912" s="968"/>
      <c r="AS912" s="936"/>
    </row>
    <row r="913" ht="15.75" customHeight="1">
      <c r="A913" s="1099"/>
      <c r="B913" s="948" t="s">
        <v>3520</v>
      </c>
      <c r="C913" s="1197" t="s">
        <v>3521</v>
      </c>
      <c r="D913" s="1197" t="s">
        <v>3521</v>
      </c>
      <c r="E913" s="1147" t="s">
        <v>3521</v>
      </c>
      <c r="F913" s="940"/>
      <c r="G913" s="953"/>
      <c r="H913" s="969"/>
      <c r="I913" s="998" t="s">
        <v>648</v>
      </c>
      <c r="J913" s="1235" t="s">
        <v>209</v>
      </c>
      <c r="K913" s="1236" t="s">
        <v>341</v>
      </c>
      <c r="L913" s="1237">
        <v>78.0</v>
      </c>
      <c r="M913" s="1238">
        <v>107.0</v>
      </c>
      <c r="N913" s="1238">
        <v>75.0</v>
      </c>
      <c r="O913" s="1238">
        <v>100.0</v>
      </c>
      <c r="P913" s="1238">
        <v>100.0</v>
      </c>
      <c r="Q913" s="1238">
        <v>70.0</v>
      </c>
      <c r="R913" s="960">
        <v>176.0</v>
      </c>
      <c r="S913" s="960">
        <v>239.0</v>
      </c>
      <c r="T913" s="960">
        <v>262.0</v>
      </c>
      <c r="U913" s="960">
        <f t="array" ref="U913">HLOOKUP($J913,'Type Chart'!$C$2:$T$20,2,false)*HLOOKUP($K913,'Type Chart'!$C$2:$U$20,2,false)</f>
        <v>1</v>
      </c>
      <c r="V913" s="960">
        <f t="array" ref="V913">HLOOKUP($J913,'Type Chart'!$C$2:$T$20,3,false)*HLOOKUP($K913,'Type Chart'!$C$2:$U$20,3,false)</f>
        <v>1</v>
      </c>
      <c r="W913" s="960">
        <f t="array" ref="W913">HLOOKUP($J913,'Type Chart'!$C$2:$T$20,4,false)*HLOOKUP($K913,'Type Chart'!$C$2:$U$20,4,false)</f>
        <v>4</v>
      </c>
      <c r="X913" s="960">
        <f t="array" ref="X913">HLOOKUP($J913,'Type Chart'!$C$2:$T$20,5,false)*HLOOKUP($K913,'Type Chart'!$C$2:$U$20,5,false)</f>
        <v>2</v>
      </c>
      <c r="Y913" s="960">
        <f t="array" ref="Y913">HLOOKUP($J913,'Type Chart'!$C$2:$T$20,6,false)*HLOOKUP($K913,'Type Chart'!$C$2:$U$20,6,false)</f>
        <v>0.5</v>
      </c>
      <c r="Z913" s="960">
        <f t="array" ref="Z913">HLOOKUP($J913,'Type Chart'!$C$2:$T$20,7,false)*HLOOKUP($K913,'Type Chart'!$C$2:$U$20,7,false)</f>
        <v>0.5</v>
      </c>
      <c r="AA913" s="960">
        <f t="array" ref="AA913">HLOOKUP($J913,'Type Chart'!$C$2:$T$20,8,false)*HLOOKUP($K913,'Type Chart'!$C$2:$U$20,8,false)</f>
        <v>1</v>
      </c>
      <c r="AB913" s="960">
        <f t="array" ref="AB913">HLOOKUP($J913,'Type Chart'!$C$2:$T$20,9,false)*HLOOKUP($K913,'Type Chart'!$C$2:$U$20,9,false)</f>
        <v>1</v>
      </c>
      <c r="AC913" s="960">
        <f t="array" ref="AC913">HLOOKUP($J913,'Type Chart'!$C$2:$T$20,10,false)*HLOOKUP($K913,'Type Chart'!$C$2:$U$20,10,false)</f>
        <v>1</v>
      </c>
      <c r="AD913" s="960">
        <f t="array" ref="AD913">HLOOKUP($J913,'Type Chart'!$C$2:$T$20,11,false)*HLOOKUP($K913,'Type Chart'!$C$2:$U$20,11,false)</f>
        <v>2</v>
      </c>
      <c r="AE913" s="960">
        <f t="array" ref="AE913">HLOOKUP($J913,'Type Chart'!$C$2:$T$20,12,false)*HLOOKUP($K913,'Type Chart'!$C$2:$U$20,12,false)</f>
        <v>0.5</v>
      </c>
      <c r="AF913" s="960">
        <f t="array" ref="AF913">HLOOKUP($J913,'Type Chart'!$C$2:$T$20,13,false)*HLOOKUP($K913,'Type Chart'!$C$2:$U$20,13,false)</f>
        <v>0.5</v>
      </c>
      <c r="AG913" s="960">
        <f t="array" ref="AG913">HLOOKUP($J913,'Type Chart'!$C$2:$T$20,14,false)*HLOOKUP($K913,'Type Chart'!$C$2:$U$20,14,false)</f>
        <v>0.5</v>
      </c>
      <c r="AH913" s="960">
        <f t="array" ref="AH913">HLOOKUP($J913,'Type Chart'!$C$2:$T$20,15,false)*HLOOKUP($K913,'Type Chart'!$C$2:$U$20,15,false)</f>
        <v>2</v>
      </c>
      <c r="AI913" s="960">
        <f t="array" ref="AI913">HLOOKUP($J913,'Type Chart'!$C$2:$T$20,16,false)*HLOOKUP($K913,'Type Chart'!$C$2:$U$20,16,false)</f>
        <v>2</v>
      </c>
      <c r="AJ913" s="960">
        <f t="array" ref="AJ913">HLOOKUP($J913,'Type Chart'!$C$2:$T$20,17,false)*HLOOKUP($K913,'Type Chart'!$C$2:$U$20,17,false)</f>
        <v>1</v>
      </c>
      <c r="AK913" s="960">
        <f t="array" ref="AK913">HLOOKUP($J913,'Type Chart'!$C$2:$T$20,18,false)*HLOOKUP($K913,'Type Chart'!$C$2:$U$20,18,false)</f>
        <v>0.5</v>
      </c>
      <c r="AL913" s="960">
        <f t="array" ref="AL913">HLOOKUP($J913,'Type Chart'!$C$2:$T$20,19,false)*HLOOKUP($K913,'Type Chart'!$C$2:$U$20,19,false)</f>
        <v>2</v>
      </c>
      <c r="AM913" s="1145"/>
      <c r="AN913" s="965"/>
      <c r="AO913" s="966"/>
      <c r="AP913" s="936"/>
      <c r="AQ913" s="967"/>
      <c r="AR913" s="968"/>
      <c r="AS913" s="936"/>
    </row>
    <row r="914" ht="15.75" customHeight="1">
      <c r="A914" s="936"/>
      <c r="B914" s="948" t="s">
        <v>3522</v>
      </c>
      <c r="C914" s="950" t="s">
        <v>3523</v>
      </c>
      <c r="D914" s="950" t="s">
        <v>3523</v>
      </c>
      <c r="E914" s="952" t="s">
        <v>3523</v>
      </c>
      <c r="F914" s="940"/>
      <c r="G914" s="953"/>
      <c r="H914" s="969"/>
      <c r="I914" s="956" t="s">
        <v>3524</v>
      </c>
      <c r="J914" s="982" t="s">
        <v>150</v>
      </c>
      <c r="K914" s="984" t="s">
        <v>216</v>
      </c>
      <c r="L914" s="959">
        <v>45.0</v>
      </c>
      <c r="M914" s="960">
        <v>65.0</v>
      </c>
      <c r="N914" s="960">
        <v>40.0</v>
      </c>
      <c r="O914" s="960">
        <v>60.0</v>
      </c>
      <c r="P914" s="960">
        <v>40.0</v>
      </c>
      <c r="Q914" s="960">
        <v>70.0</v>
      </c>
      <c r="R914" s="960">
        <v>176.0</v>
      </c>
      <c r="S914" s="960">
        <v>239.0</v>
      </c>
      <c r="T914" s="960">
        <v>262.0</v>
      </c>
      <c r="U914" s="960">
        <f t="array" ref="U914">HLOOKUP($J914,'Type Chart'!$C$2:$T$20,2,false)*HLOOKUP($K914,'Type Chart'!$C$2:$U$20,2,false)</f>
        <v>1</v>
      </c>
      <c r="V914" s="960">
        <f t="array" ref="V914">HLOOKUP($J914,'Type Chart'!$C$2:$T$20,3,false)*HLOOKUP($K914,'Type Chart'!$C$2:$U$20,3,false)</f>
        <v>1</v>
      </c>
      <c r="W914" s="960">
        <f t="array" ref="W914">HLOOKUP($J914,'Type Chart'!$C$2:$T$20,4,false)*HLOOKUP($K914,'Type Chart'!$C$2:$U$20,4,false)</f>
        <v>1</v>
      </c>
      <c r="X914" s="960">
        <f t="array" ref="X914">HLOOKUP($J914,'Type Chart'!$C$2:$T$20,5,false)*HLOOKUP($K914,'Type Chart'!$C$2:$U$20,5,false)</f>
        <v>1</v>
      </c>
      <c r="Y914" s="960">
        <f t="array" ref="Y914">HLOOKUP($J914,'Type Chart'!$C$2:$T$20,6,false)*HLOOKUP($K914,'Type Chart'!$C$2:$U$20,6,false)</f>
        <v>2</v>
      </c>
      <c r="Z914" s="960">
        <f t="array" ref="Z914">HLOOKUP($J914,'Type Chart'!$C$2:$T$20,7,false)*HLOOKUP($K914,'Type Chart'!$C$2:$U$20,7,false)</f>
        <v>2</v>
      </c>
      <c r="AA914" s="960">
        <f t="array" ref="AA914">HLOOKUP($J914,'Type Chart'!$C$2:$T$20,8,false)*HLOOKUP($K914,'Type Chart'!$C$2:$U$20,8,false)</f>
        <v>0.5</v>
      </c>
      <c r="AB914" s="960">
        <f t="array" ref="AB914">HLOOKUP($J914,'Type Chart'!$C$2:$T$20,9,false)*HLOOKUP($K914,'Type Chart'!$C$2:$U$20,9,false)</f>
        <v>1</v>
      </c>
      <c r="AC914" s="960">
        <f t="array" ref="AC914">HLOOKUP($J914,'Type Chart'!$C$2:$T$20,10,false)*HLOOKUP($K914,'Type Chart'!$C$2:$U$20,10,false)</f>
        <v>0.5</v>
      </c>
      <c r="AD914" s="960">
        <f t="array" ref="AD914">HLOOKUP($J914,'Type Chart'!$C$2:$T$20,11,false)*HLOOKUP($K914,'Type Chart'!$C$2:$U$20,11,false)</f>
        <v>0.5</v>
      </c>
      <c r="AE914" s="960">
        <f t="array" ref="AE914">HLOOKUP($J914,'Type Chart'!$C$2:$T$20,12,false)*HLOOKUP($K914,'Type Chart'!$C$2:$U$20,12,false)</f>
        <v>2</v>
      </c>
      <c r="AF914" s="960">
        <f t="array" ref="AF914">HLOOKUP($J914,'Type Chart'!$C$2:$T$20,13,false)*HLOOKUP($K914,'Type Chart'!$C$2:$U$20,13,false)</f>
        <v>0.5</v>
      </c>
      <c r="AG914" s="960">
        <f t="array" ref="AG914">HLOOKUP($J914,'Type Chart'!$C$2:$T$20,14,false)*HLOOKUP($K914,'Type Chart'!$C$2:$U$20,14,false)</f>
        <v>1</v>
      </c>
      <c r="AH914" s="960">
        <f t="array" ref="AH914">HLOOKUP($J914,'Type Chart'!$C$2:$T$20,15,false)*HLOOKUP($K914,'Type Chart'!$C$2:$U$20,15,false)</f>
        <v>1</v>
      </c>
      <c r="AI914" s="960">
        <f t="array" ref="AI914">HLOOKUP($J914,'Type Chart'!$C$2:$T$20,16,false)*HLOOKUP($K914,'Type Chart'!$C$2:$U$20,16,false)</f>
        <v>0.5</v>
      </c>
      <c r="AJ914" s="960">
        <f t="array" ref="AJ914">HLOOKUP($J914,'Type Chart'!$C$2:$T$20,17,false)*HLOOKUP($K914,'Type Chart'!$C$2:$U$20,17,false)</f>
        <v>1</v>
      </c>
      <c r="AK914" s="960">
        <f t="array" ref="AK914">HLOOKUP($J914,'Type Chart'!$C$2:$T$20,18,false)*HLOOKUP($K914,'Type Chart'!$C$2:$U$20,18,false)</f>
        <v>1</v>
      </c>
      <c r="AL914" s="960">
        <f t="array" ref="AL914">HLOOKUP($J914,'Type Chart'!$C$2:$T$20,19,false)*HLOOKUP($K914,'Type Chart'!$C$2:$U$20,19,false)</f>
        <v>0.5</v>
      </c>
      <c r="AM914" s="964" t="s">
        <v>830</v>
      </c>
      <c r="AN914" s="965"/>
      <c r="AO914" s="966" t="s">
        <v>1061</v>
      </c>
      <c r="AP914" s="936"/>
      <c r="AQ914" s="967"/>
      <c r="AR914" s="968"/>
      <c r="AS914" s="936"/>
    </row>
    <row r="915" ht="15.75" customHeight="1">
      <c r="A915" s="936"/>
      <c r="B915" s="948" t="s">
        <v>3525</v>
      </c>
      <c r="C915" s="950" t="s">
        <v>3526</v>
      </c>
      <c r="D915" s="950" t="s">
        <v>3526</v>
      </c>
      <c r="E915" s="952" t="s">
        <v>3526</v>
      </c>
      <c r="F915" s="940"/>
      <c r="G915" s="953"/>
      <c r="H915" s="969"/>
      <c r="I915" s="956" t="s">
        <v>900</v>
      </c>
      <c r="J915" s="982" t="s">
        <v>150</v>
      </c>
      <c r="K915" s="984" t="s">
        <v>216</v>
      </c>
      <c r="L915" s="959">
        <v>65.0</v>
      </c>
      <c r="M915" s="960">
        <v>85.0</v>
      </c>
      <c r="N915" s="960">
        <v>50.0</v>
      </c>
      <c r="O915" s="960">
        <v>80.0</v>
      </c>
      <c r="P915" s="960">
        <v>50.0</v>
      </c>
      <c r="Q915" s="960">
        <v>90.0</v>
      </c>
      <c r="R915" s="960">
        <v>216.0</v>
      </c>
      <c r="S915" s="960">
        <v>279.0</v>
      </c>
      <c r="T915" s="960">
        <v>306.0</v>
      </c>
      <c r="U915" s="960">
        <f t="array" ref="U915">HLOOKUP($J915,'Type Chart'!$C$2:$T$20,2,false)*HLOOKUP($K915,'Type Chart'!$C$2:$U$20,2,false)</f>
        <v>1</v>
      </c>
      <c r="V915" s="960">
        <f t="array" ref="V915">HLOOKUP($J915,'Type Chart'!$C$2:$T$20,3,false)*HLOOKUP($K915,'Type Chart'!$C$2:$U$20,3,false)</f>
        <v>1</v>
      </c>
      <c r="W915" s="960">
        <f t="array" ref="W915">HLOOKUP($J915,'Type Chart'!$C$2:$T$20,4,false)*HLOOKUP($K915,'Type Chart'!$C$2:$U$20,4,false)</f>
        <v>1</v>
      </c>
      <c r="X915" s="960">
        <f t="array" ref="X915">HLOOKUP($J915,'Type Chart'!$C$2:$T$20,5,false)*HLOOKUP($K915,'Type Chart'!$C$2:$U$20,5,false)</f>
        <v>1</v>
      </c>
      <c r="Y915" s="960">
        <f t="array" ref="Y915">HLOOKUP($J915,'Type Chart'!$C$2:$T$20,6,false)*HLOOKUP($K915,'Type Chart'!$C$2:$U$20,6,false)</f>
        <v>2</v>
      </c>
      <c r="Z915" s="960">
        <f t="array" ref="Z915">HLOOKUP($J915,'Type Chart'!$C$2:$T$20,7,false)*HLOOKUP($K915,'Type Chart'!$C$2:$U$20,7,false)</f>
        <v>2</v>
      </c>
      <c r="AA915" s="960">
        <f t="array" ref="AA915">HLOOKUP($J915,'Type Chart'!$C$2:$T$20,8,false)*HLOOKUP($K915,'Type Chart'!$C$2:$U$20,8,false)</f>
        <v>0.5</v>
      </c>
      <c r="AB915" s="960">
        <f t="array" ref="AB915">HLOOKUP($J915,'Type Chart'!$C$2:$T$20,9,false)*HLOOKUP($K915,'Type Chart'!$C$2:$U$20,9,false)</f>
        <v>1</v>
      </c>
      <c r="AC915" s="960">
        <f t="array" ref="AC915">HLOOKUP($J915,'Type Chart'!$C$2:$T$20,10,false)*HLOOKUP($K915,'Type Chart'!$C$2:$U$20,10,false)</f>
        <v>0.5</v>
      </c>
      <c r="AD915" s="960">
        <f t="array" ref="AD915">HLOOKUP($J915,'Type Chart'!$C$2:$T$20,11,false)*HLOOKUP($K915,'Type Chart'!$C$2:$U$20,11,false)</f>
        <v>0.5</v>
      </c>
      <c r="AE915" s="960">
        <f t="array" ref="AE915">HLOOKUP($J915,'Type Chart'!$C$2:$T$20,12,false)*HLOOKUP($K915,'Type Chart'!$C$2:$U$20,12,false)</f>
        <v>2</v>
      </c>
      <c r="AF915" s="960">
        <f t="array" ref="AF915">HLOOKUP($J915,'Type Chart'!$C$2:$T$20,13,false)*HLOOKUP($K915,'Type Chart'!$C$2:$U$20,13,false)</f>
        <v>0.5</v>
      </c>
      <c r="AG915" s="960">
        <f t="array" ref="AG915">HLOOKUP($J915,'Type Chart'!$C$2:$T$20,14,false)*HLOOKUP($K915,'Type Chart'!$C$2:$U$20,14,false)</f>
        <v>1</v>
      </c>
      <c r="AH915" s="960">
        <f t="array" ref="AH915">HLOOKUP($J915,'Type Chart'!$C$2:$T$20,15,false)*HLOOKUP($K915,'Type Chart'!$C$2:$U$20,15,false)</f>
        <v>1</v>
      </c>
      <c r="AI915" s="960">
        <f t="array" ref="AI915">HLOOKUP($J915,'Type Chart'!$C$2:$T$20,16,false)*HLOOKUP($K915,'Type Chart'!$C$2:$U$20,16,false)</f>
        <v>0.5</v>
      </c>
      <c r="AJ915" s="960">
        <f t="array" ref="AJ915">HLOOKUP($J915,'Type Chart'!$C$2:$T$20,17,false)*HLOOKUP($K915,'Type Chart'!$C$2:$U$20,17,false)</f>
        <v>1</v>
      </c>
      <c r="AK915" s="960">
        <f t="array" ref="AK915">HLOOKUP($J915,'Type Chart'!$C$2:$T$20,18,false)*HLOOKUP($K915,'Type Chart'!$C$2:$U$20,18,false)</f>
        <v>1</v>
      </c>
      <c r="AL915" s="960">
        <f t="array" ref="AL915">HLOOKUP($J915,'Type Chart'!$C$2:$T$20,19,false)*HLOOKUP($K915,'Type Chart'!$C$2:$U$20,19,false)</f>
        <v>0.5</v>
      </c>
      <c r="AM915" s="964" t="s">
        <v>830</v>
      </c>
      <c r="AN915" s="965"/>
      <c r="AO915" s="966" t="s">
        <v>1061</v>
      </c>
      <c r="AP915" s="936"/>
      <c r="AQ915" s="967"/>
      <c r="AR915" s="968"/>
      <c r="AS915" s="936"/>
    </row>
    <row r="916" ht="15.75" customHeight="1">
      <c r="A916" s="1099"/>
      <c r="B916" s="948" t="s">
        <v>3527</v>
      </c>
      <c r="C916" s="950" t="s">
        <v>3528</v>
      </c>
      <c r="D916" s="950" t="s">
        <v>3528</v>
      </c>
      <c r="E916" s="952" t="s">
        <v>3528</v>
      </c>
      <c r="F916" s="940"/>
      <c r="G916" s="953"/>
      <c r="H916" s="969"/>
      <c r="I916" s="956" t="s">
        <v>613</v>
      </c>
      <c r="J916" s="982" t="s">
        <v>150</v>
      </c>
      <c r="K916" s="1195" t="s">
        <v>193</v>
      </c>
      <c r="L916" s="959">
        <v>95.0</v>
      </c>
      <c r="M916" s="960">
        <v>115.0</v>
      </c>
      <c r="N916" s="960">
        <v>90.0</v>
      </c>
      <c r="O916" s="960">
        <v>80.0</v>
      </c>
      <c r="P916" s="960">
        <v>90.0</v>
      </c>
      <c r="Q916" s="960">
        <v>60.0</v>
      </c>
      <c r="R916" s="960">
        <v>156.0</v>
      </c>
      <c r="S916" s="960">
        <v>219.0</v>
      </c>
      <c r="T916" s="960">
        <v>240.0</v>
      </c>
      <c r="U916" s="960">
        <f t="array" ref="U916">HLOOKUP($J916,'Type Chart'!$C$2:$T$20,2,false)*HLOOKUP($K916,'Type Chart'!$C$2:$U$20,2,false)</f>
        <v>1</v>
      </c>
      <c r="V916" s="960">
        <f t="array" ref="V916">HLOOKUP($J916,'Type Chart'!$C$2:$T$20,3,false)*HLOOKUP($K916,'Type Chart'!$C$2:$U$20,3,false)</f>
        <v>2</v>
      </c>
      <c r="W916" s="960">
        <f t="array" ref="W916">HLOOKUP($J916,'Type Chart'!$C$2:$T$20,4,false)*HLOOKUP($K916,'Type Chart'!$C$2:$U$20,4,false)</f>
        <v>1</v>
      </c>
      <c r="X916" s="960">
        <f t="array" ref="X916">HLOOKUP($J916,'Type Chart'!$C$2:$T$20,5,false)*HLOOKUP($K916,'Type Chart'!$C$2:$U$20,5,false)</f>
        <v>1</v>
      </c>
      <c r="Y916" s="960">
        <f t="array" ref="Y916">HLOOKUP($J916,'Type Chart'!$C$2:$T$20,6,false)*HLOOKUP($K916,'Type Chart'!$C$2:$U$20,6,false)</f>
        <v>2</v>
      </c>
      <c r="Z916" s="960">
        <f t="array" ref="Z916">HLOOKUP($J916,'Type Chart'!$C$2:$T$20,7,false)*HLOOKUP($K916,'Type Chart'!$C$2:$U$20,7,false)</f>
        <v>2</v>
      </c>
      <c r="AA916" s="960">
        <f t="array" ref="AA916">HLOOKUP($J916,'Type Chart'!$C$2:$T$20,8,false)*HLOOKUP($K916,'Type Chart'!$C$2:$U$20,8,false)</f>
        <v>1</v>
      </c>
      <c r="AB916" s="960">
        <f t="array" ref="AB916">HLOOKUP($J916,'Type Chart'!$C$2:$T$20,9,false)*HLOOKUP($K916,'Type Chart'!$C$2:$U$20,9,false)</f>
        <v>0.5</v>
      </c>
      <c r="AC916" s="960">
        <f t="array" ref="AC916">HLOOKUP($J916,'Type Chart'!$C$2:$T$20,10,false)*HLOOKUP($K916,'Type Chart'!$C$2:$U$20,10,false)</f>
        <v>0.5</v>
      </c>
      <c r="AD916" s="960">
        <f t="array" ref="AD916">HLOOKUP($J916,'Type Chart'!$C$2:$T$20,11,false)*HLOOKUP($K916,'Type Chart'!$C$2:$U$20,11,false)</f>
        <v>0.5</v>
      </c>
      <c r="AE916" s="960">
        <f t="array" ref="AE916">HLOOKUP($J916,'Type Chart'!$C$2:$T$20,12,false)*HLOOKUP($K916,'Type Chart'!$C$2:$U$20,12,false)</f>
        <v>2</v>
      </c>
      <c r="AF916" s="960">
        <f t="array" ref="AF916">HLOOKUP($J916,'Type Chart'!$C$2:$T$20,13,false)*HLOOKUP($K916,'Type Chart'!$C$2:$U$20,13,false)</f>
        <v>0.5</v>
      </c>
      <c r="AG916" s="960">
        <f t="array" ref="AG916">HLOOKUP($J916,'Type Chart'!$C$2:$T$20,14,false)*HLOOKUP($K916,'Type Chart'!$C$2:$U$20,14,false)</f>
        <v>1</v>
      </c>
      <c r="AH916" s="960">
        <f t="array" ref="AH916">HLOOKUP($J916,'Type Chart'!$C$2:$T$20,15,false)*HLOOKUP($K916,'Type Chart'!$C$2:$U$20,15,false)</f>
        <v>0</v>
      </c>
      <c r="AI916" s="960">
        <f t="array" ref="AI916">HLOOKUP($J916,'Type Chart'!$C$2:$T$20,16,false)*HLOOKUP($K916,'Type Chart'!$C$2:$U$20,16,false)</f>
        <v>0.5</v>
      </c>
      <c r="AJ916" s="960">
        <f t="array" ref="AJ916">HLOOKUP($J916,'Type Chart'!$C$2:$T$20,17,false)*HLOOKUP($K916,'Type Chart'!$C$2:$U$20,17,false)</f>
        <v>1</v>
      </c>
      <c r="AK916" s="960">
        <f t="array" ref="AK916">HLOOKUP($J916,'Type Chart'!$C$2:$T$20,18,false)*HLOOKUP($K916,'Type Chart'!$C$2:$U$20,18,false)</f>
        <v>0.5</v>
      </c>
      <c r="AL916" s="960">
        <f t="array" ref="AL916">HLOOKUP($J916,'Type Chart'!$C$2:$T$20,19,false)*HLOOKUP($K916,'Type Chart'!$C$2:$U$20,19,false)</f>
        <v>1</v>
      </c>
      <c r="AM916" s="1145" t="s">
        <v>830</v>
      </c>
      <c r="AN916" s="1202"/>
      <c r="AO916" s="1146" t="s">
        <v>1061</v>
      </c>
      <c r="AP916" s="936"/>
      <c r="AQ916" s="967"/>
      <c r="AR916" s="968"/>
      <c r="AS916" s="936"/>
    </row>
    <row r="917" ht="15.75" customHeight="1">
      <c r="A917" s="1099"/>
      <c r="B917" s="948" t="s">
        <v>3529</v>
      </c>
      <c r="C917" s="950" t="s">
        <v>3530</v>
      </c>
      <c r="D917" s="950" t="s">
        <v>3530</v>
      </c>
      <c r="E917" s="952" t="s">
        <v>3530</v>
      </c>
      <c r="F917" s="940"/>
      <c r="G917" s="953"/>
      <c r="H917" s="969"/>
      <c r="I917" s="956" t="s">
        <v>3531</v>
      </c>
      <c r="J917" s="1056" t="s">
        <v>81</v>
      </c>
      <c r="K917" s="984" t="s">
        <v>216</v>
      </c>
      <c r="L917" s="959">
        <v>50.0</v>
      </c>
      <c r="M917" s="960">
        <v>54.0</v>
      </c>
      <c r="N917" s="960">
        <v>54.0</v>
      </c>
      <c r="O917" s="960">
        <v>66.0</v>
      </c>
      <c r="P917" s="960">
        <v>56.0</v>
      </c>
      <c r="Q917" s="960">
        <v>40.0</v>
      </c>
      <c r="R917" s="960">
        <v>116.0</v>
      </c>
      <c r="S917" s="960">
        <v>179.0</v>
      </c>
      <c r="T917" s="960">
        <v>196.0</v>
      </c>
      <c r="U917" s="960">
        <f t="array" ref="U917">HLOOKUP($J917,'Type Chart'!$C$2:$T$20,2,false)*HLOOKUP($K917,'Type Chart'!$C$2:$U$20,2,false)</f>
        <v>1</v>
      </c>
      <c r="V917" s="960">
        <f t="array" ref="V917">HLOOKUP($J917,'Type Chart'!$C$2:$T$20,3,false)*HLOOKUP($K917,'Type Chart'!$C$2:$U$20,3,false)</f>
        <v>1</v>
      </c>
      <c r="W917" s="960">
        <f t="array" ref="W917">HLOOKUP($J917,'Type Chart'!$C$2:$T$20,4,false)*HLOOKUP($K917,'Type Chart'!$C$2:$U$20,4,false)</f>
        <v>1</v>
      </c>
      <c r="X917" s="960">
        <f t="array" ref="X917">HLOOKUP($J917,'Type Chart'!$C$2:$T$20,5,false)*HLOOKUP($K917,'Type Chart'!$C$2:$U$20,5,false)</f>
        <v>1</v>
      </c>
      <c r="Y917" s="960">
        <f t="array" ref="Y917">HLOOKUP($J917,'Type Chart'!$C$2:$T$20,6,false)*HLOOKUP($K917,'Type Chart'!$C$2:$U$20,6,false)</f>
        <v>1</v>
      </c>
      <c r="Z917" s="960">
        <f t="array" ref="Z917">HLOOKUP($J917,'Type Chart'!$C$2:$T$20,7,false)*HLOOKUP($K917,'Type Chart'!$C$2:$U$20,7,false)</f>
        <v>1</v>
      </c>
      <c r="AA917" s="960">
        <f t="array" ref="AA917">HLOOKUP($J917,'Type Chart'!$C$2:$T$20,8,false)*HLOOKUP($K917,'Type Chart'!$C$2:$U$20,8,false)</f>
        <v>1</v>
      </c>
      <c r="AB917" s="960">
        <f t="array" ref="AB917">HLOOKUP($J917,'Type Chart'!$C$2:$T$20,9,false)*HLOOKUP($K917,'Type Chart'!$C$2:$U$20,9,false)</f>
        <v>1</v>
      </c>
      <c r="AC917" s="960">
        <f t="array" ref="AC917">HLOOKUP($J917,'Type Chart'!$C$2:$T$20,10,false)*HLOOKUP($K917,'Type Chart'!$C$2:$U$20,10,false)</f>
        <v>0.5</v>
      </c>
      <c r="AD917" s="960">
        <f t="array" ref="AD917">HLOOKUP($J917,'Type Chart'!$C$2:$T$20,11,false)*HLOOKUP($K917,'Type Chart'!$C$2:$U$20,11,false)</f>
        <v>0.5</v>
      </c>
      <c r="AE917" s="960">
        <f t="array" ref="AE917">HLOOKUP($J917,'Type Chart'!$C$2:$T$20,12,false)*HLOOKUP($K917,'Type Chart'!$C$2:$U$20,12,false)</f>
        <v>0.5</v>
      </c>
      <c r="AF917" s="960">
        <f t="array" ref="AF917">HLOOKUP($J917,'Type Chart'!$C$2:$T$20,13,false)*HLOOKUP($K917,'Type Chart'!$C$2:$U$20,13,false)</f>
        <v>2</v>
      </c>
      <c r="AG917" s="960">
        <f t="array" ref="AG917">HLOOKUP($J917,'Type Chart'!$C$2:$T$20,14,false)*HLOOKUP($K917,'Type Chart'!$C$2:$U$20,14,false)</f>
        <v>2</v>
      </c>
      <c r="AH917" s="960">
        <f t="array" ref="AH917">HLOOKUP($J917,'Type Chart'!$C$2:$T$20,15,false)*HLOOKUP($K917,'Type Chart'!$C$2:$U$20,15,false)</f>
        <v>1</v>
      </c>
      <c r="AI917" s="960">
        <f t="array" ref="AI917">HLOOKUP($J917,'Type Chart'!$C$2:$T$20,16,false)*HLOOKUP($K917,'Type Chart'!$C$2:$U$20,16,false)</f>
        <v>0.5</v>
      </c>
      <c r="AJ917" s="960">
        <f t="array" ref="AJ917">HLOOKUP($J917,'Type Chart'!$C$2:$T$20,17,false)*HLOOKUP($K917,'Type Chart'!$C$2:$U$20,17,false)</f>
        <v>1</v>
      </c>
      <c r="AK917" s="960">
        <f t="array" ref="AK917">HLOOKUP($J917,'Type Chart'!$C$2:$T$20,18,false)*HLOOKUP($K917,'Type Chart'!$C$2:$U$20,18,false)</f>
        <v>1</v>
      </c>
      <c r="AL917" s="960">
        <f t="array" ref="AL917">HLOOKUP($J917,'Type Chart'!$C$2:$T$20,19,false)*HLOOKUP($K917,'Type Chart'!$C$2:$U$20,19,false)</f>
        <v>1</v>
      </c>
      <c r="AM917" s="1145" t="s">
        <v>959</v>
      </c>
      <c r="AN917" s="1202"/>
      <c r="AO917" s="1146" t="s">
        <v>3532</v>
      </c>
      <c r="AP917" s="936"/>
      <c r="AQ917" s="967"/>
      <c r="AR917" s="968"/>
      <c r="AS917" s="936"/>
    </row>
    <row r="918" ht="15.75" customHeight="1">
      <c r="A918" s="936"/>
      <c r="B918" s="948" t="s">
        <v>3533</v>
      </c>
      <c r="C918" s="950" t="s">
        <v>3534</v>
      </c>
      <c r="D918" s="950" t="s">
        <v>3534</v>
      </c>
      <c r="E918" s="952" t="s">
        <v>3534</v>
      </c>
      <c r="F918" s="940"/>
      <c r="G918" s="953"/>
      <c r="H918" s="969"/>
      <c r="I918" s="956" t="s">
        <v>901</v>
      </c>
      <c r="J918" s="1056" t="s">
        <v>81</v>
      </c>
      <c r="K918" s="984" t="s">
        <v>216</v>
      </c>
      <c r="L918" s="959">
        <v>60.0</v>
      </c>
      <c r="M918" s="960">
        <v>69.0</v>
      </c>
      <c r="N918" s="960">
        <v>69.0</v>
      </c>
      <c r="O918" s="960">
        <v>91.0</v>
      </c>
      <c r="P918" s="960">
        <v>81.0</v>
      </c>
      <c r="Q918" s="960">
        <v>50.0</v>
      </c>
      <c r="R918" s="960">
        <v>136.0</v>
      </c>
      <c r="S918" s="960">
        <v>199.0</v>
      </c>
      <c r="T918" s="960">
        <v>218.0</v>
      </c>
      <c r="U918" s="960">
        <f t="array" ref="U918">HLOOKUP($J918,'Type Chart'!$C$2:$T$20,2,false)*HLOOKUP($K918,'Type Chart'!$C$2:$U$20,2,false)</f>
        <v>1</v>
      </c>
      <c r="V918" s="960">
        <f t="array" ref="V918">HLOOKUP($J918,'Type Chart'!$C$2:$T$20,3,false)*HLOOKUP($K918,'Type Chart'!$C$2:$U$20,3,false)</f>
        <v>1</v>
      </c>
      <c r="W918" s="960">
        <f t="array" ref="W918">HLOOKUP($J918,'Type Chart'!$C$2:$T$20,4,false)*HLOOKUP($K918,'Type Chart'!$C$2:$U$20,4,false)</f>
        <v>1</v>
      </c>
      <c r="X918" s="960">
        <f t="array" ref="X918">HLOOKUP($J918,'Type Chart'!$C$2:$T$20,5,false)*HLOOKUP($K918,'Type Chart'!$C$2:$U$20,5,false)</f>
        <v>1</v>
      </c>
      <c r="Y918" s="960">
        <f t="array" ref="Y918">HLOOKUP($J918,'Type Chart'!$C$2:$T$20,6,false)*HLOOKUP($K918,'Type Chart'!$C$2:$U$20,6,false)</f>
        <v>1</v>
      </c>
      <c r="Z918" s="960">
        <f t="array" ref="Z918">HLOOKUP($J918,'Type Chart'!$C$2:$T$20,7,false)*HLOOKUP($K918,'Type Chart'!$C$2:$U$20,7,false)</f>
        <v>1</v>
      </c>
      <c r="AA918" s="960">
        <f t="array" ref="AA918">HLOOKUP($J918,'Type Chart'!$C$2:$T$20,8,false)*HLOOKUP($K918,'Type Chart'!$C$2:$U$20,8,false)</f>
        <v>1</v>
      </c>
      <c r="AB918" s="960">
        <f t="array" ref="AB918">HLOOKUP($J918,'Type Chart'!$C$2:$T$20,9,false)*HLOOKUP($K918,'Type Chart'!$C$2:$U$20,9,false)</f>
        <v>1</v>
      </c>
      <c r="AC918" s="960">
        <f t="array" ref="AC918">HLOOKUP($J918,'Type Chart'!$C$2:$T$20,10,false)*HLOOKUP($K918,'Type Chart'!$C$2:$U$20,10,false)</f>
        <v>0.5</v>
      </c>
      <c r="AD918" s="960">
        <f t="array" ref="AD918">HLOOKUP($J918,'Type Chart'!$C$2:$T$20,11,false)*HLOOKUP($K918,'Type Chart'!$C$2:$U$20,11,false)</f>
        <v>0.5</v>
      </c>
      <c r="AE918" s="960">
        <f t="array" ref="AE918">HLOOKUP($J918,'Type Chart'!$C$2:$T$20,12,false)*HLOOKUP($K918,'Type Chart'!$C$2:$U$20,12,false)</f>
        <v>0.5</v>
      </c>
      <c r="AF918" s="960">
        <f t="array" ref="AF918">HLOOKUP($J918,'Type Chart'!$C$2:$T$20,13,false)*HLOOKUP($K918,'Type Chart'!$C$2:$U$20,13,false)</f>
        <v>2</v>
      </c>
      <c r="AG918" s="960">
        <f t="array" ref="AG918">HLOOKUP($J918,'Type Chart'!$C$2:$T$20,14,false)*HLOOKUP($K918,'Type Chart'!$C$2:$U$20,14,false)</f>
        <v>2</v>
      </c>
      <c r="AH918" s="960">
        <f t="array" ref="AH918">HLOOKUP($J918,'Type Chart'!$C$2:$T$20,15,false)*HLOOKUP($K918,'Type Chart'!$C$2:$U$20,15,false)</f>
        <v>1</v>
      </c>
      <c r="AI918" s="960">
        <f t="array" ref="AI918">HLOOKUP($J918,'Type Chart'!$C$2:$T$20,16,false)*HLOOKUP($K918,'Type Chart'!$C$2:$U$20,16,false)</f>
        <v>0.5</v>
      </c>
      <c r="AJ918" s="960">
        <f t="array" ref="AJ918">HLOOKUP($J918,'Type Chart'!$C$2:$T$20,17,false)*HLOOKUP($K918,'Type Chart'!$C$2:$U$20,17,false)</f>
        <v>1</v>
      </c>
      <c r="AK918" s="960">
        <f t="array" ref="AK918">HLOOKUP($J918,'Type Chart'!$C$2:$T$20,18,false)*HLOOKUP($K918,'Type Chart'!$C$2:$U$20,18,false)</f>
        <v>1</v>
      </c>
      <c r="AL918" s="960">
        <f t="array" ref="AL918">HLOOKUP($J918,'Type Chart'!$C$2:$T$20,19,false)*HLOOKUP($K918,'Type Chart'!$C$2:$U$20,19,false)</f>
        <v>1</v>
      </c>
      <c r="AM918" s="964" t="s">
        <v>959</v>
      </c>
      <c r="AN918" s="965"/>
      <c r="AO918" s="966" t="s">
        <v>3532</v>
      </c>
      <c r="AP918" s="936"/>
      <c r="AQ918" s="967"/>
      <c r="AR918" s="968"/>
      <c r="AS918" s="936"/>
    </row>
    <row r="919" ht="15.75" customHeight="1">
      <c r="A919" s="936"/>
      <c r="B919" s="948" t="s">
        <v>3535</v>
      </c>
      <c r="C919" s="950" t="s">
        <v>3536</v>
      </c>
      <c r="D919" s="950" t="s">
        <v>3536</v>
      </c>
      <c r="E919" s="952" t="s">
        <v>3536</v>
      </c>
      <c r="F919" s="940"/>
      <c r="G919" s="953"/>
      <c r="H919" s="969"/>
      <c r="I919" s="956" t="s">
        <v>503</v>
      </c>
      <c r="J919" s="1056" t="s">
        <v>81</v>
      </c>
      <c r="K919" s="1207" t="s">
        <v>127</v>
      </c>
      <c r="L919" s="959">
        <v>80.0</v>
      </c>
      <c r="M919" s="960">
        <v>74.0</v>
      </c>
      <c r="N919" s="960">
        <v>74.0</v>
      </c>
      <c r="O919" s="960">
        <v>126.0</v>
      </c>
      <c r="P919" s="960">
        <v>116.0</v>
      </c>
      <c r="Q919" s="960">
        <v>60.0</v>
      </c>
      <c r="R919" s="960">
        <v>156.0</v>
      </c>
      <c r="S919" s="960">
        <v>219.0</v>
      </c>
      <c r="T919" s="960">
        <v>240.0</v>
      </c>
      <c r="U919" s="960">
        <f t="array" ref="U919">HLOOKUP($J919,'Type Chart'!$C$2:$T$20,2,false)*HLOOKUP($K919,'Type Chart'!$C$2:$U$20,2,false)</f>
        <v>1</v>
      </c>
      <c r="V919" s="960">
        <f t="array" ref="V919">HLOOKUP($J919,'Type Chart'!$C$2:$T$20,3,false)*HLOOKUP($K919,'Type Chart'!$C$2:$U$20,3,false)</f>
        <v>0.5</v>
      </c>
      <c r="W919" s="960">
        <f t="array" ref="W919">HLOOKUP($J919,'Type Chart'!$C$2:$T$20,4,false)*HLOOKUP($K919,'Type Chart'!$C$2:$U$20,4,false)</f>
        <v>1</v>
      </c>
      <c r="X919" s="960">
        <f t="array" ref="X919">HLOOKUP($J919,'Type Chart'!$C$2:$T$20,5,false)*HLOOKUP($K919,'Type Chart'!$C$2:$U$20,5,false)</f>
        <v>2</v>
      </c>
      <c r="Y919" s="960">
        <f t="array" ref="Y919">HLOOKUP($J919,'Type Chart'!$C$2:$T$20,6,false)*HLOOKUP($K919,'Type Chart'!$C$2:$U$20,6,false)</f>
        <v>1</v>
      </c>
      <c r="Z919" s="960">
        <f t="array" ref="Z919">HLOOKUP($J919,'Type Chart'!$C$2:$T$20,7,false)*HLOOKUP($K919,'Type Chart'!$C$2:$U$20,7,false)</f>
        <v>1</v>
      </c>
      <c r="AA919" s="960">
        <f t="array" ref="AA919">HLOOKUP($J919,'Type Chart'!$C$2:$T$20,8,false)*HLOOKUP($K919,'Type Chart'!$C$2:$U$20,8,false)</f>
        <v>0.5</v>
      </c>
      <c r="AB919" s="960">
        <f t="array" ref="AB919">HLOOKUP($J919,'Type Chart'!$C$2:$T$20,9,false)*HLOOKUP($K919,'Type Chart'!$C$2:$U$20,9,false)</f>
        <v>1</v>
      </c>
      <c r="AC919" s="960">
        <f t="array" ref="AC919">HLOOKUP($J919,'Type Chart'!$C$2:$T$20,10,false)*HLOOKUP($K919,'Type Chart'!$C$2:$U$20,10,false)</f>
        <v>1</v>
      </c>
      <c r="AD919" s="960">
        <f t="array" ref="AD919">HLOOKUP($J919,'Type Chart'!$C$2:$T$20,11,false)*HLOOKUP($K919,'Type Chart'!$C$2:$U$20,11,false)</f>
        <v>0.5</v>
      </c>
      <c r="AE919" s="960">
        <f t="array" ref="AE919">HLOOKUP($J919,'Type Chart'!$C$2:$T$20,12,false)*HLOOKUP($K919,'Type Chart'!$C$2:$U$20,12,false)</f>
        <v>0.5</v>
      </c>
      <c r="AF919" s="960">
        <f t="array" ref="AF919">HLOOKUP($J919,'Type Chart'!$C$2:$T$20,13,false)*HLOOKUP($K919,'Type Chart'!$C$2:$U$20,13,false)</f>
        <v>2</v>
      </c>
      <c r="AG919" s="960">
        <f t="array" ref="AG919">HLOOKUP($J919,'Type Chart'!$C$2:$T$20,14,false)*HLOOKUP($K919,'Type Chart'!$C$2:$U$20,14,false)</f>
        <v>2</v>
      </c>
      <c r="AH919" s="960">
        <f t="array" ref="AH919">HLOOKUP($J919,'Type Chart'!$C$2:$T$20,15,false)*HLOOKUP($K919,'Type Chart'!$C$2:$U$20,15,false)</f>
        <v>1</v>
      </c>
      <c r="AI919" s="960">
        <f t="array" ref="AI919">HLOOKUP($J919,'Type Chart'!$C$2:$T$20,16,false)*HLOOKUP($K919,'Type Chart'!$C$2:$U$20,16,false)</f>
        <v>0.5</v>
      </c>
      <c r="AJ919" s="960">
        <f t="array" ref="AJ919">HLOOKUP($J919,'Type Chart'!$C$2:$T$20,17,false)*HLOOKUP($K919,'Type Chart'!$C$2:$U$20,17,false)</f>
        <v>0</v>
      </c>
      <c r="AK919" s="960">
        <f t="array" ref="AK919">HLOOKUP($J919,'Type Chart'!$C$2:$T$20,18,false)*HLOOKUP($K919,'Type Chart'!$C$2:$U$20,18,false)</f>
        <v>0.5</v>
      </c>
      <c r="AL919" s="960">
        <f t="array" ref="AL919">HLOOKUP($J919,'Type Chart'!$C$2:$T$20,19,false)*HLOOKUP($K919,'Type Chart'!$C$2:$U$20,19,false)</f>
        <v>1</v>
      </c>
      <c r="AM919" s="964" t="s">
        <v>959</v>
      </c>
      <c r="AN919" s="965"/>
      <c r="AO919" s="966" t="s">
        <v>3532</v>
      </c>
      <c r="AP919" s="936"/>
      <c r="AQ919" s="967"/>
      <c r="AR919" s="968"/>
      <c r="AS919" s="936"/>
    </row>
    <row r="920" ht="15.75" customHeight="1">
      <c r="A920" s="936"/>
      <c r="B920" s="948" t="s">
        <v>3537</v>
      </c>
      <c r="C920" s="950" t="s">
        <v>3538</v>
      </c>
      <c r="D920" s="950" t="s">
        <v>3538</v>
      </c>
      <c r="E920" s="952" t="s">
        <v>3538</v>
      </c>
      <c r="F920" s="940"/>
      <c r="G920" s="953"/>
      <c r="H920" s="969"/>
      <c r="I920" s="998" t="s">
        <v>3539</v>
      </c>
      <c r="J920" s="1194" t="s">
        <v>136</v>
      </c>
      <c r="K920" s="1001" t="s">
        <v>128</v>
      </c>
      <c r="L920" s="959">
        <v>35.0</v>
      </c>
      <c r="M920" s="960">
        <v>75.0</v>
      </c>
      <c r="N920" s="960">
        <v>30.0</v>
      </c>
      <c r="O920" s="960">
        <v>30.0</v>
      </c>
      <c r="P920" s="960">
        <v>30.0</v>
      </c>
      <c r="Q920" s="960">
        <v>65.0</v>
      </c>
      <c r="R920" s="960">
        <v>166.0</v>
      </c>
      <c r="S920" s="960">
        <v>229.0</v>
      </c>
      <c r="T920" s="960">
        <v>251.0</v>
      </c>
      <c r="U920" s="960">
        <f t="array" ref="U920">HLOOKUP($J920,'Type Chart'!$C$2:$T$20,2,false)*HLOOKUP($K920,'Type Chart'!$C$2:$U$20,2,false)</f>
        <v>1</v>
      </c>
      <c r="V920" s="960">
        <f t="array" ref="V920">HLOOKUP($J920,'Type Chart'!$C$2:$T$20,3,false)*HLOOKUP($K920,'Type Chart'!$C$2:$U$20,3,false)</f>
        <v>1</v>
      </c>
      <c r="W920" s="960">
        <f t="array" ref="W920">HLOOKUP($J920,'Type Chart'!$C$2:$T$20,4,false)*HLOOKUP($K920,'Type Chart'!$C$2:$U$20,4,false)</f>
        <v>1</v>
      </c>
      <c r="X920" s="960">
        <f t="array" ref="X920">HLOOKUP($J920,'Type Chart'!$C$2:$T$20,5,false)*HLOOKUP($K920,'Type Chart'!$C$2:$U$20,5,false)</f>
        <v>1</v>
      </c>
      <c r="Y920" s="960">
        <f t="array" ref="Y920">HLOOKUP($J920,'Type Chart'!$C$2:$T$20,6,false)*HLOOKUP($K920,'Type Chart'!$C$2:$U$20,6,false)</f>
        <v>0</v>
      </c>
      <c r="Z920" s="960">
        <f t="array" ref="Z920">HLOOKUP($J920,'Type Chart'!$C$2:$T$20,7,false)*HLOOKUP($K920,'Type Chart'!$C$2:$U$20,7,false)</f>
        <v>2</v>
      </c>
      <c r="AA920" s="960">
        <f t="array" ref="AA920">HLOOKUP($J920,'Type Chart'!$C$2:$T$20,8,false)*HLOOKUP($K920,'Type Chart'!$C$2:$U$20,8,false)</f>
        <v>0.5</v>
      </c>
      <c r="AB920" s="960">
        <f t="array" ref="AB920">HLOOKUP($J920,'Type Chart'!$C$2:$T$20,9,false)*HLOOKUP($K920,'Type Chart'!$C$2:$U$20,9,false)</f>
        <v>0</v>
      </c>
      <c r="AC920" s="960">
        <f t="array" ref="AC920">HLOOKUP($J920,'Type Chart'!$C$2:$T$20,10,false)*HLOOKUP($K920,'Type Chart'!$C$2:$U$20,10,false)</f>
        <v>1</v>
      </c>
      <c r="AD920" s="960">
        <f t="array" ref="AD920">HLOOKUP($J920,'Type Chart'!$C$2:$T$20,11,false)*HLOOKUP($K920,'Type Chart'!$C$2:$U$20,11,false)</f>
        <v>1</v>
      </c>
      <c r="AE920" s="960">
        <f t="array" ref="AE920">HLOOKUP($J920,'Type Chart'!$C$2:$T$20,12,false)*HLOOKUP($K920,'Type Chart'!$C$2:$U$20,12,false)</f>
        <v>1</v>
      </c>
      <c r="AF920" s="960">
        <f t="array" ref="AF920">HLOOKUP($J920,'Type Chart'!$C$2:$T$20,13,false)*HLOOKUP($K920,'Type Chart'!$C$2:$U$20,13,false)</f>
        <v>0.5</v>
      </c>
      <c r="AG920" s="960">
        <f t="array" ref="AG920">HLOOKUP($J920,'Type Chart'!$C$2:$T$20,14,false)*HLOOKUP($K920,'Type Chart'!$C$2:$U$20,14,false)</f>
        <v>2</v>
      </c>
      <c r="AH920" s="960">
        <f t="array" ref="AH920">HLOOKUP($J920,'Type Chart'!$C$2:$T$20,15,false)*HLOOKUP($K920,'Type Chart'!$C$2:$U$20,15,false)</f>
        <v>1</v>
      </c>
      <c r="AI920" s="960">
        <f t="array" ref="AI920">HLOOKUP($J920,'Type Chart'!$C$2:$T$20,16,false)*HLOOKUP($K920,'Type Chart'!$C$2:$U$20,16,false)</f>
        <v>2</v>
      </c>
      <c r="AJ920" s="960">
        <f t="array" ref="AJ920">HLOOKUP($J920,'Type Chart'!$C$2:$T$20,17,false)*HLOOKUP($K920,'Type Chart'!$C$2:$U$20,17,false)</f>
        <v>1</v>
      </c>
      <c r="AK920" s="960">
        <f t="array" ref="AK920">HLOOKUP($J920,'Type Chart'!$C$2:$T$20,18,false)*HLOOKUP($K920,'Type Chart'!$C$2:$U$20,18,false)</f>
        <v>1</v>
      </c>
      <c r="AL920" s="960">
        <f t="array" ref="AL920">HLOOKUP($J920,'Type Chart'!$C$2:$T$20,19,false)*HLOOKUP($K920,'Type Chart'!$C$2:$U$20,19,false)</f>
        <v>1</v>
      </c>
      <c r="AM920" s="964" t="s">
        <v>1022</v>
      </c>
      <c r="AN920" s="965" t="s">
        <v>1430</v>
      </c>
      <c r="AO920" s="966" t="s">
        <v>1238</v>
      </c>
      <c r="AP920" s="936"/>
      <c r="AQ920" s="967"/>
      <c r="AR920" s="968"/>
      <c r="AS920" s="936"/>
    </row>
    <row r="921" ht="15.75" customHeight="1">
      <c r="A921" s="936"/>
      <c r="B921" s="948" t="s">
        <v>3540</v>
      </c>
      <c r="C921" s="950" t="s">
        <v>3541</v>
      </c>
      <c r="D921" s="950" t="s">
        <v>3541</v>
      </c>
      <c r="E921" s="952" t="s">
        <v>3541</v>
      </c>
      <c r="F921" s="940"/>
      <c r="G921" s="953"/>
      <c r="H921" s="969"/>
      <c r="I921" s="956" t="s">
        <v>3542</v>
      </c>
      <c r="J921" s="1194" t="s">
        <v>136</v>
      </c>
      <c r="K921" s="1001" t="s">
        <v>128</v>
      </c>
      <c r="L921" s="959">
        <v>55.0</v>
      </c>
      <c r="M921" s="960">
        <v>85.0</v>
      </c>
      <c r="N921" s="960">
        <v>50.0</v>
      </c>
      <c r="O921" s="960">
        <v>40.0</v>
      </c>
      <c r="P921" s="960">
        <v>50.0</v>
      </c>
      <c r="Q921" s="960">
        <v>75.0</v>
      </c>
      <c r="R921" s="960">
        <v>186.0</v>
      </c>
      <c r="S921" s="960">
        <v>249.0</v>
      </c>
      <c r="T921" s="960">
        <v>273.0</v>
      </c>
      <c r="U921" s="960">
        <f t="array" ref="U921">HLOOKUP($J921,'Type Chart'!$C$2:$T$20,2,false)*HLOOKUP($K921,'Type Chart'!$C$2:$U$20,2,false)</f>
        <v>1</v>
      </c>
      <c r="V921" s="960">
        <f t="array" ref="V921">HLOOKUP($J921,'Type Chart'!$C$2:$T$20,3,false)*HLOOKUP($K921,'Type Chart'!$C$2:$U$20,3,false)</f>
        <v>1</v>
      </c>
      <c r="W921" s="960">
        <f t="array" ref="W921">HLOOKUP($J921,'Type Chart'!$C$2:$T$20,4,false)*HLOOKUP($K921,'Type Chart'!$C$2:$U$20,4,false)</f>
        <v>1</v>
      </c>
      <c r="X921" s="960">
        <f t="array" ref="X921">HLOOKUP($J921,'Type Chart'!$C$2:$T$20,5,false)*HLOOKUP($K921,'Type Chart'!$C$2:$U$20,5,false)</f>
        <v>1</v>
      </c>
      <c r="Y921" s="960">
        <f t="array" ref="Y921">HLOOKUP($J921,'Type Chart'!$C$2:$T$20,6,false)*HLOOKUP($K921,'Type Chart'!$C$2:$U$20,6,false)</f>
        <v>0</v>
      </c>
      <c r="Z921" s="960">
        <f t="array" ref="Z921">HLOOKUP($J921,'Type Chart'!$C$2:$T$20,7,false)*HLOOKUP($K921,'Type Chart'!$C$2:$U$20,7,false)</f>
        <v>2</v>
      </c>
      <c r="AA921" s="960">
        <f t="array" ref="AA921">HLOOKUP($J921,'Type Chart'!$C$2:$T$20,8,false)*HLOOKUP($K921,'Type Chart'!$C$2:$U$20,8,false)</f>
        <v>0.5</v>
      </c>
      <c r="AB921" s="960">
        <f t="array" ref="AB921">HLOOKUP($J921,'Type Chart'!$C$2:$T$20,9,false)*HLOOKUP($K921,'Type Chart'!$C$2:$U$20,9,false)</f>
        <v>0</v>
      </c>
      <c r="AC921" s="960">
        <f t="array" ref="AC921">HLOOKUP($J921,'Type Chart'!$C$2:$T$20,10,false)*HLOOKUP($K921,'Type Chart'!$C$2:$U$20,10,false)</f>
        <v>1</v>
      </c>
      <c r="AD921" s="960">
        <f t="array" ref="AD921">HLOOKUP($J921,'Type Chart'!$C$2:$T$20,11,false)*HLOOKUP($K921,'Type Chart'!$C$2:$U$20,11,false)</f>
        <v>1</v>
      </c>
      <c r="AE921" s="960">
        <f t="array" ref="AE921">HLOOKUP($J921,'Type Chart'!$C$2:$T$20,12,false)*HLOOKUP($K921,'Type Chart'!$C$2:$U$20,12,false)</f>
        <v>1</v>
      </c>
      <c r="AF921" s="960">
        <f t="array" ref="AF921">HLOOKUP($J921,'Type Chart'!$C$2:$T$20,13,false)*HLOOKUP($K921,'Type Chart'!$C$2:$U$20,13,false)</f>
        <v>0.5</v>
      </c>
      <c r="AG921" s="960">
        <f t="array" ref="AG921">HLOOKUP($J921,'Type Chart'!$C$2:$T$20,14,false)*HLOOKUP($K921,'Type Chart'!$C$2:$U$20,14,false)</f>
        <v>2</v>
      </c>
      <c r="AH921" s="960">
        <f t="array" ref="AH921">HLOOKUP($J921,'Type Chart'!$C$2:$T$20,15,false)*HLOOKUP($K921,'Type Chart'!$C$2:$U$20,15,false)</f>
        <v>1</v>
      </c>
      <c r="AI921" s="960">
        <f t="array" ref="AI921">HLOOKUP($J921,'Type Chart'!$C$2:$T$20,16,false)*HLOOKUP($K921,'Type Chart'!$C$2:$U$20,16,false)</f>
        <v>2</v>
      </c>
      <c r="AJ921" s="960">
        <f t="array" ref="AJ921">HLOOKUP($J921,'Type Chart'!$C$2:$T$20,17,false)*HLOOKUP($K921,'Type Chart'!$C$2:$U$20,17,false)</f>
        <v>1</v>
      </c>
      <c r="AK921" s="960">
        <f t="array" ref="AK921">HLOOKUP($J921,'Type Chart'!$C$2:$T$20,18,false)*HLOOKUP($K921,'Type Chart'!$C$2:$U$20,18,false)</f>
        <v>1</v>
      </c>
      <c r="AL921" s="960">
        <f t="array" ref="AL921">HLOOKUP($J921,'Type Chart'!$C$2:$T$20,19,false)*HLOOKUP($K921,'Type Chart'!$C$2:$U$20,19,false)</f>
        <v>1</v>
      </c>
      <c r="AM921" s="964" t="s">
        <v>1022</v>
      </c>
      <c r="AN921" s="965" t="s">
        <v>1430</v>
      </c>
      <c r="AO921" s="966" t="s">
        <v>1238</v>
      </c>
      <c r="AP921" s="936"/>
      <c r="AQ921" s="967"/>
      <c r="AR921" s="968"/>
      <c r="AS921" s="936"/>
    </row>
    <row r="922" ht="15.75" customHeight="1">
      <c r="A922" s="936"/>
      <c r="B922" s="948" t="s">
        <v>3543</v>
      </c>
      <c r="C922" s="950" t="s">
        <v>3544</v>
      </c>
      <c r="D922" s="950" t="s">
        <v>3544</v>
      </c>
      <c r="E922" s="952" t="s">
        <v>3544</v>
      </c>
      <c r="F922" s="940"/>
      <c r="G922" s="953"/>
      <c r="H922" s="969"/>
      <c r="I922" s="956" t="s">
        <v>807</v>
      </c>
      <c r="J922" s="1194" t="s">
        <v>136</v>
      </c>
      <c r="K922" s="1001" t="s">
        <v>128</v>
      </c>
      <c r="L922" s="959">
        <v>80.0</v>
      </c>
      <c r="M922" s="960">
        <v>120.0</v>
      </c>
      <c r="N922" s="960">
        <v>75.0</v>
      </c>
      <c r="O922" s="960">
        <v>75.0</v>
      </c>
      <c r="P922" s="960">
        <v>75.0</v>
      </c>
      <c r="Q922" s="960">
        <v>60.0</v>
      </c>
      <c r="R922" s="960">
        <v>156.0</v>
      </c>
      <c r="S922" s="960">
        <v>219.0</v>
      </c>
      <c r="T922" s="960">
        <v>240.0</v>
      </c>
      <c r="U922" s="960">
        <f t="array" ref="U922">HLOOKUP($J922,'Type Chart'!$C$2:$T$20,2,false)*HLOOKUP($K922,'Type Chart'!$C$2:$U$20,2,false)</f>
        <v>1</v>
      </c>
      <c r="V922" s="960">
        <f t="array" ref="V922">HLOOKUP($J922,'Type Chart'!$C$2:$T$20,3,false)*HLOOKUP($K922,'Type Chart'!$C$2:$U$20,3,false)</f>
        <v>1</v>
      </c>
      <c r="W922" s="960">
        <f t="array" ref="W922">HLOOKUP($J922,'Type Chart'!$C$2:$T$20,4,false)*HLOOKUP($K922,'Type Chart'!$C$2:$U$20,4,false)</f>
        <v>1</v>
      </c>
      <c r="X922" s="960">
        <f t="array" ref="X922">HLOOKUP($J922,'Type Chart'!$C$2:$T$20,5,false)*HLOOKUP($K922,'Type Chart'!$C$2:$U$20,5,false)</f>
        <v>1</v>
      </c>
      <c r="Y922" s="960">
        <f t="array" ref="Y922">HLOOKUP($J922,'Type Chart'!$C$2:$T$20,6,false)*HLOOKUP($K922,'Type Chart'!$C$2:$U$20,6,false)</f>
        <v>0</v>
      </c>
      <c r="Z922" s="960">
        <f t="array" ref="Z922">HLOOKUP($J922,'Type Chart'!$C$2:$T$20,7,false)*HLOOKUP($K922,'Type Chart'!$C$2:$U$20,7,false)</f>
        <v>2</v>
      </c>
      <c r="AA922" s="960">
        <f t="array" ref="AA922">HLOOKUP($J922,'Type Chart'!$C$2:$T$20,8,false)*HLOOKUP($K922,'Type Chart'!$C$2:$U$20,8,false)</f>
        <v>0.5</v>
      </c>
      <c r="AB922" s="960">
        <f t="array" ref="AB922">HLOOKUP($J922,'Type Chart'!$C$2:$T$20,9,false)*HLOOKUP($K922,'Type Chart'!$C$2:$U$20,9,false)</f>
        <v>0</v>
      </c>
      <c r="AC922" s="960">
        <f t="array" ref="AC922">HLOOKUP($J922,'Type Chart'!$C$2:$T$20,10,false)*HLOOKUP($K922,'Type Chart'!$C$2:$U$20,10,false)</f>
        <v>1</v>
      </c>
      <c r="AD922" s="960">
        <f t="array" ref="AD922">HLOOKUP($J922,'Type Chart'!$C$2:$T$20,11,false)*HLOOKUP($K922,'Type Chart'!$C$2:$U$20,11,false)</f>
        <v>1</v>
      </c>
      <c r="AE922" s="960">
        <f t="array" ref="AE922">HLOOKUP($J922,'Type Chart'!$C$2:$T$20,12,false)*HLOOKUP($K922,'Type Chart'!$C$2:$U$20,12,false)</f>
        <v>1</v>
      </c>
      <c r="AF922" s="960">
        <f t="array" ref="AF922">HLOOKUP($J922,'Type Chart'!$C$2:$T$20,13,false)*HLOOKUP($K922,'Type Chart'!$C$2:$U$20,13,false)</f>
        <v>0.5</v>
      </c>
      <c r="AG922" s="960">
        <f t="array" ref="AG922">HLOOKUP($J922,'Type Chart'!$C$2:$T$20,14,false)*HLOOKUP($K922,'Type Chart'!$C$2:$U$20,14,false)</f>
        <v>2</v>
      </c>
      <c r="AH922" s="960">
        <f t="array" ref="AH922">HLOOKUP($J922,'Type Chart'!$C$2:$T$20,15,false)*HLOOKUP($K922,'Type Chart'!$C$2:$U$20,15,false)</f>
        <v>1</v>
      </c>
      <c r="AI922" s="960">
        <f t="array" ref="AI922">HLOOKUP($J922,'Type Chart'!$C$2:$T$20,16,false)*HLOOKUP($K922,'Type Chart'!$C$2:$U$20,16,false)</f>
        <v>2</v>
      </c>
      <c r="AJ922" s="960">
        <f t="array" ref="AJ922">HLOOKUP($J922,'Type Chart'!$C$2:$T$20,17,false)*HLOOKUP($K922,'Type Chart'!$C$2:$U$20,17,false)</f>
        <v>1</v>
      </c>
      <c r="AK922" s="960">
        <f t="array" ref="AK922">HLOOKUP($J922,'Type Chart'!$C$2:$T$20,18,false)*HLOOKUP($K922,'Type Chart'!$C$2:$U$20,18,false)</f>
        <v>1</v>
      </c>
      <c r="AL922" s="960">
        <f t="array" ref="AL922">HLOOKUP($J922,'Type Chart'!$C$2:$T$20,19,false)*HLOOKUP($K922,'Type Chart'!$C$2:$U$20,19,false)</f>
        <v>1</v>
      </c>
      <c r="AM922" s="964" t="s">
        <v>1022</v>
      </c>
      <c r="AN922" s="965" t="s">
        <v>1430</v>
      </c>
      <c r="AO922" s="966" t="s">
        <v>1153</v>
      </c>
      <c r="AP922" s="936"/>
      <c r="AQ922" s="967"/>
      <c r="AR922" s="968"/>
      <c r="AS922" s="936"/>
    </row>
    <row r="923" ht="15.75" customHeight="1">
      <c r="A923" s="936"/>
      <c r="B923" s="948" t="s">
        <v>3545</v>
      </c>
      <c r="C923" s="950" t="s">
        <v>3546</v>
      </c>
      <c r="D923" s="950" t="s">
        <v>3546</v>
      </c>
      <c r="E923" s="952" t="s">
        <v>3546</v>
      </c>
      <c r="F923" s="940"/>
      <c r="G923" s="953"/>
      <c r="H923" s="969"/>
      <c r="I923" s="956" t="s">
        <v>3547</v>
      </c>
      <c r="J923" s="1194" t="s">
        <v>136</v>
      </c>
      <c r="K923" s="984" t="s">
        <v>216</v>
      </c>
      <c r="L923" s="959">
        <v>48.0</v>
      </c>
      <c r="M923" s="960">
        <v>70.0</v>
      </c>
      <c r="N923" s="960">
        <v>30.0</v>
      </c>
      <c r="O923" s="960">
        <v>30.0</v>
      </c>
      <c r="P923" s="960">
        <v>30.0</v>
      </c>
      <c r="Q923" s="960">
        <v>45.0</v>
      </c>
      <c r="R923" s="960">
        <v>126.0</v>
      </c>
      <c r="S923" s="960">
        <v>189.0</v>
      </c>
      <c r="T923" s="960">
        <v>207.0</v>
      </c>
      <c r="U923" s="960">
        <f t="array" ref="U923">HLOOKUP($J923,'Type Chart'!$C$2:$T$20,2,false)*HLOOKUP($K923,'Type Chart'!$C$2:$U$20,2,false)</f>
        <v>1</v>
      </c>
      <c r="V923" s="960">
        <f t="array" ref="V923">HLOOKUP($J923,'Type Chart'!$C$2:$T$20,3,false)*HLOOKUP($K923,'Type Chart'!$C$2:$U$20,3,false)</f>
        <v>2</v>
      </c>
      <c r="W923" s="960">
        <f t="array" ref="W923">HLOOKUP($J923,'Type Chart'!$C$2:$T$20,4,false)*HLOOKUP($K923,'Type Chart'!$C$2:$U$20,4,false)</f>
        <v>1</v>
      </c>
      <c r="X923" s="960">
        <f t="array" ref="X923">HLOOKUP($J923,'Type Chart'!$C$2:$T$20,5,false)*HLOOKUP($K923,'Type Chart'!$C$2:$U$20,5,false)</f>
        <v>1</v>
      </c>
      <c r="Y923" s="960">
        <f t="array" ref="Y923">HLOOKUP($J923,'Type Chart'!$C$2:$T$20,6,false)*HLOOKUP($K923,'Type Chart'!$C$2:$U$20,6,false)</f>
        <v>1</v>
      </c>
      <c r="Z923" s="960">
        <f t="array" ref="Z923">HLOOKUP($J923,'Type Chart'!$C$2:$T$20,7,false)*HLOOKUP($K923,'Type Chart'!$C$2:$U$20,7,false)</f>
        <v>1</v>
      </c>
      <c r="AA923" s="960">
        <f t="array" ref="AA923">HLOOKUP($J923,'Type Chart'!$C$2:$T$20,8,false)*HLOOKUP($K923,'Type Chart'!$C$2:$U$20,8,false)</f>
        <v>1</v>
      </c>
      <c r="AB923" s="960">
        <f t="array" ref="AB923">HLOOKUP($J923,'Type Chart'!$C$2:$T$20,9,false)*HLOOKUP($K923,'Type Chart'!$C$2:$U$20,9,false)</f>
        <v>0</v>
      </c>
      <c r="AC923" s="960">
        <f t="array" ref="AC923">HLOOKUP($J923,'Type Chart'!$C$2:$T$20,10,false)*HLOOKUP($K923,'Type Chart'!$C$2:$U$20,10,false)</f>
        <v>1</v>
      </c>
      <c r="AD923" s="960">
        <f t="array" ref="AD923">HLOOKUP($J923,'Type Chart'!$C$2:$T$20,11,false)*HLOOKUP($K923,'Type Chart'!$C$2:$U$20,11,false)</f>
        <v>1</v>
      </c>
      <c r="AE923" s="960">
        <f t="array" ref="AE923">HLOOKUP($J923,'Type Chart'!$C$2:$T$20,12,false)*HLOOKUP($K923,'Type Chart'!$C$2:$U$20,12,false)</f>
        <v>1</v>
      </c>
      <c r="AF923" s="960">
        <f t="array" ref="AF923">HLOOKUP($J923,'Type Chart'!$C$2:$T$20,13,false)*HLOOKUP($K923,'Type Chart'!$C$2:$U$20,13,false)</f>
        <v>1</v>
      </c>
      <c r="AG923" s="960">
        <f t="array" ref="AG923">HLOOKUP($J923,'Type Chart'!$C$2:$T$20,14,false)*HLOOKUP($K923,'Type Chart'!$C$2:$U$20,14,false)</f>
        <v>1</v>
      </c>
      <c r="AH923" s="960">
        <f t="array" ref="AH923">HLOOKUP($J923,'Type Chart'!$C$2:$T$20,15,false)*HLOOKUP($K923,'Type Chart'!$C$2:$U$20,15,false)</f>
        <v>1</v>
      </c>
      <c r="AI923" s="960">
        <f t="array" ref="AI923">HLOOKUP($J923,'Type Chart'!$C$2:$T$20,16,false)*HLOOKUP($K923,'Type Chart'!$C$2:$U$20,16,false)</f>
        <v>1</v>
      </c>
      <c r="AJ923" s="960">
        <f t="array" ref="AJ923">HLOOKUP($J923,'Type Chart'!$C$2:$T$20,17,false)*HLOOKUP($K923,'Type Chart'!$C$2:$U$20,17,false)</f>
        <v>1</v>
      </c>
      <c r="AK923" s="960">
        <f t="array" ref="AK923">HLOOKUP($J923,'Type Chart'!$C$2:$T$20,18,false)*HLOOKUP($K923,'Type Chart'!$C$2:$U$20,18,false)</f>
        <v>1</v>
      </c>
      <c r="AL923" s="960">
        <f t="array" ref="AL923">HLOOKUP($J923,'Type Chart'!$C$2:$T$20,19,false)*HLOOKUP($K923,'Type Chart'!$C$2:$U$20,19,false)</f>
        <v>1</v>
      </c>
      <c r="AM923" s="964" t="s">
        <v>3548</v>
      </c>
      <c r="AN923" s="965" t="s">
        <v>2205</v>
      </c>
      <c r="AO923" s="966" t="s">
        <v>1018</v>
      </c>
      <c r="AP923" s="936"/>
      <c r="AQ923" s="967"/>
      <c r="AR923" s="968"/>
      <c r="AS923" s="936"/>
    </row>
    <row r="924" ht="15.75" customHeight="1">
      <c r="A924" s="936"/>
      <c r="B924" s="948" t="s">
        <v>3549</v>
      </c>
      <c r="C924" s="950" t="s">
        <v>3550</v>
      </c>
      <c r="D924" s="950" t="s">
        <v>3550</v>
      </c>
      <c r="E924" s="952" t="s">
        <v>3550</v>
      </c>
      <c r="F924" s="940"/>
      <c r="G924" s="953"/>
      <c r="H924" s="969"/>
      <c r="I924" s="956" t="s">
        <v>756</v>
      </c>
      <c r="J924" s="1194" t="s">
        <v>136</v>
      </c>
      <c r="K924" s="984" t="s">
        <v>216</v>
      </c>
      <c r="L924" s="959">
        <v>88.0</v>
      </c>
      <c r="M924" s="960">
        <v>110.0</v>
      </c>
      <c r="N924" s="960">
        <v>60.0</v>
      </c>
      <c r="O924" s="960">
        <v>55.0</v>
      </c>
      <c r="P924" s="960">
        <v>60.0</v>
      </c>
      <c r="Q924" s="960">
        <v>45.0</v>
      </c>
      <c r="R924" s="960">
        <v>126.0</v>
      </c>
      <c r="S924" s="960">
        <v>189.0</v>
      </c>
      <c r="T924" s="960">
        <v>207.0</v>
      </c>
      <c r="U924" s="960">
        <f t="array" ref="U924">HLOOKUP($J924,'Type Chart'!$C$2:$T$20,2,false)*HLOOKUP($K924,'Type Chart'!$C$2:$U$20,2,false)</f>
        <v>1</v>
      </c>
      <c r="V924" s="960">
        <f t="array" ref="V924">HLOOKUP($J924,'Type Chart'!$C$2:$T$20,3,false)*HLOOKUP($K924,'Type Chart'!$C$2:$U$20,3,false)</f>
        <v>2</v>
      </c>
      <c r="W924" s="960">
        <f t="array" ref="W924">HLOOKUP($J924,'Type Chart'!$C$2:$T$20,4,false)*HLOOKUP($K924,'Type Chart'!$C$2:$U$20,4,false)</f>
        <v>1</v>
      </c>
      <c r="X924" s="960">
        <f t="array" ref="X924">HLOOKUP($J924,'Type Chart'!$C$2:$T$20,5,false)*HLOOKUP($K924,'Type Chart'!$C$2:$U$20,5,false)</f>
        <v>1</v>
      </c>
      <c r="Y924" s="960">
        <f t="array" ref="Y924">HLOOKUP($J924,'Type Chart'!$C$2:$T$20,6,false)*HLOOKUP($K924,'Type Chart'!$C$2:$U$20,6,false)</f>
        <v>1</v>
      </c>
      <c r="Z924" s="960">
        <f t="array" ref="Z924">HLOOKUP($J924,'Type Chart'!$C$2:$T$20,7,false)*HLOOKUP($K924,'Type Chart'!$C$2:$U$20,7,false)</f>
        <v>1</v>
      </c>
      <c r="AA924" s="960">
        <f t="array" ref="AA924">HLOOKUP($J924,'Type Chart'!$C$2:$T$20,8,false)*HLOOKUP($K924,'Type Chart'!$C$2:$U$20,8,false)</f>
        <v>1</v>
      </c>
      <c r="AB924" s="960">
        <f t="array" ref="AB924">HLOOKUP($J924,'Type Chart'!$C$2:$T$20,9,false)*HLOOKUP($K924,'Type Chart'!$C$2:$U$20,9,false)</f>
        <v>0</v>
      </c>
      <c r="AC924" s="960">
        <f t="array" ref="AC924">HLOOKUP($J924,'Type Chart'!$C$2:$T$20,10,false)*HLOOKUP($K924,'Type Chart'!$C$2:$U$20,10,false)</f>
        <v>1</v>
      </c>
      <c r="AD924" s="960">
        <f t="array" ref="AD924">HLOOKUP($J924,'Type Chart'!$C$2:$T$20,11,false)*HLOOKUP($K924,'Type Chart'!$C$2:$U$20,11,false)</f>
        <v>1</v>
      </c>
      <c r="AE924" s="960">
        <f t="array" ref="AE924">HLOOKUP($J924,'Type Chart'!$C$2:$T$20,12,false)*HLOOKUP($K924,'Type Chart'!$C$2:$U$20,12,false)</f>
        <v>1</v>
      </c>
      <c r="AF924" s="960">
        <f t="array" ref="AF924">HLOOKUP($J924,'Type Chart'!$C$2:$T$20,13,false)*HLOOKUP($K924,'Type Chart'!$C$2:$U$20,13,false)</f>
        <v>1</v>
      </c>
      <c r="AG924" s="960">
        <f t="array" ref="AG924">HLOOKUP($J924,'Type Chart'!$C$2:$T$20,14,false)*HLOOKUP($K924,'Type Chart'!$C$2:$U$20,14,false)</f>
        <v>1</v>
      </c>
      <c r="AH924" s="960">
        <f t="array" ref="AH924">HLOOKUP($J924,'Type Chart'!$C$2:$T$20,15,false)*HLOOKUP($K924,'Type Chart'!$C$2:$U$20,15,false)</f>
        <v>1</v>
      </c>
      <c r="AI924" s="960">
        <f t="array" ref="AI924">HLOOKUP($J924,'Type Chart'!$C$2:$T$20,16,false)*HLOOKUP($K924,'Type Chart'!$C$2:$U$20,16,false)</f>
        <v>1</v>
      </c>
      <c r="AJ924" s="960">
        <f t="array" ref="AJ924">HLOOKUP($J924,'Type Chart'!$C$2:$T$20,17,false)*HLOOKUP($K924,'Type Chart'!$C$2:$U$20,17,false)</f>
        <v>1</v>
      </c>
      <c r="AK924" s="960">
        <f t="array" ref="AK924">HLOOKUP($J924,'Type Chart'!$C$2:$T$20,18,false)*HLOOKUP($K924,'Type Chart'!$C$2:$U$20,18,false)</f>
        <v>1</v>
      </c>
      <c r="AL924" s="960">
        <f t="array" ref="AL924">HLOOKUP($J924,'Type Chart'!$C$2:$T$20,19,false)*HLOOKUP($K924,'Type Chart'!$C$2:$U$20,19,false)</f>
        <v>1</v>
      </c>
      <c r="AM924" s="964" t="s">
        <v>3548</v>
      </c>
      <c r="AN924" s="965" t="s">
        <v>2205</v>
      </c>
      <c r="AO924" s="966" t="s">
        <v>1018</v>
      </c>
      <c r="AP924" s="936"/>
      <c r="AQ924" s="967"/>
      <c r="AR924" s="968"/>
      <c r="AS924" s="936"/>
    </row>
    <row r="925" ht="15.75" customHeight="1">
      <c r="A925" s="936"/>
      <c r="B925" s="948" t="s">
        <v>3551</v>
      </c>
      <c r="C925" s="950" t="s">
        <v>3552</v>
      </c>
      <c r="D925" s="950" t="s">
        <v>3552</v>
      </c>
      <c r="E925" s="952" t="s">
        <v>3552</v>
      </c>
      <c r="F925" s="940"/>
      <c r="G925" s="953"/>
      <c r="H925" s="969"/>
      <c r="I925" s="956" t="s">
        <v>3553</v>
      </c>
      <c r="J925" s="1180" t="s">
        <v>343</v>
      </c>
      <c r="K925" s="984" t="s">
        <v>216</v>
      </c>
      <c r="L925" s="959">
        <v>47.0</v>
      </c>
      <c r="M925" s="960">
        <v>62.0</v>
      </c>
      <c r="N925" s="960">
        <v>45.0</v>
      </c>
      <c r="O925" s="960">
        <v>55.0</v>
      </c>
      <c r="P925" s="960">
        <v>45.0</v>
      </c>
      <c r="Q925" s="960">
        <v>46.0</v>
      </c>
      <c r="R925" s="960">
        <v>128.0</v>
      </c>
      <c r="S925" s="960">
        <v>191.0</v>
      </c>
      <c r="T925" s="960">
        <v>210.0</v>
      </c>
      <c r="U925" s="960">
        <f t="array" ref="U925">HLOOKUP($J925,'Type Chart'!$C$2:$T$20,2,false)*HLOOKUP($K925,'Type Chart'!$C$2:$U$20,2,false)</f>
        <v>1</v>
      </c>
      <c r="V925" s="960">
        <f t="array" ref="V925">HLOOKUP($J925,'Type Chart'!$C$2:$T$20,3,false)*HLOOKUP($K925,'Type Chart'!$C$2:$U$20,3,false)</f>
        <v>0.5</v>
      </c>
      <c r="W925" s="960">
        <f t="array" ref="W925">HLOOKUP($J925,'Type Chart'!$C$2:$T$20,4,false)*HLOOKUP($K925,'Type Chart'!$C$2:$U$20,4,false)</f>
        <v>2</v>
      </c>
      <c r="X925" s="960">
        <f t="array" ref="X925">HLOOKUP($J925,'Type Chart'!$C$2:$T$20,5,false)*HLOOKUP($K925,'Type Chart'!$C$2:$U$20,5,false)</f>
        <v>1</v>
      </c>
      <c r="Y925" s="960">
        <f t="array" ref="Y925">HLOOKUP($J925,'Type Chart'!$C$2:$T$20,6,false)*HLOOKUP($K925,'Type Chart'!$C$2:$U$20,6,false)</f>
        <v>0.5</v>
      </c>
      <c r="Z925" s="960">
        <f t="array" ref="Z925">HLOOKUP($J925,'Type Chart'!$C$2:$T$20,7,false)*HLOOKUP($K925,'Type Chart'!$C$2:$U$20,7,false)</f>
        <v>2</v>
      </c>
      <c r="AA925" s="960">
        <f t="array" ref="AA925">HLOOKUP($J925,'Type Chart'!$C$2:$T$20,8,false)*HLOOKUP($K925,'Type Chart'!$C$2:$U$20,8,false)</f>
        <v>1</v>
      </c>
      <c r="AB925" s="960">
        <f t="array" ref="AB925">HLOOKUP($J925,'Type Chart'!$C$2:$T$20,9,false)*HLOOKUP($K925,'Type Chart'!$C$2:$U$20,9,false)</f>
        <v>1</v>
      </c>
      <c r="AC925" s="960">
        <f t="array" ref="AC925">HLOOKUP($J925,'Type Chart'!$C$2:$T$20,10,false)*HLOOKUP($K925,'Type Chart'!$C$2:$U$20,10,false)</f>
        <v>1</v>
      </c>
      <c r="AD925" s="960">
        <f t="array" ref="AD925">HLOOKUP($J925,'Type Chart'!$C$2:$T$20,11,false)*HLOOKUP($K925,'Type Chart'!$C$2:$U$20,11,false)</f>
        <v>2</v>
      </c>
      <c r="AE925" s="960">
        <f t="array" ref="AE925">HLOOKUP($J925,'Type Chart'!$C$2:$T$20,12,false)*HLOOKUP($K925,'Type Chart'!$C$2:$U$20,12,false)</f>
        <v>1</v>
      </c>
      <c r="AF925" s="960">
        <f t="array" ref="AF925">HLOOKUP($J925,'Type Chart'!$C$2:$T$20,13,false)*HLOOKUP($K925,'Type Chart'!$C$2:$U$20,13,false)</f>
        <v>0.5</v>
      </c>
      <c r="AG925" s="960">
        <f t="array" ref="AG925">HLOOKUP($J925,'Type Chart'!$C$2:$T$20,14,false)*HLOOKUP($K925,'Type Chart'!$C$2:$U$20,14,false)</f>
        <v>1</v>
      </c>
      <c r="AH925" s="960">
        <f t="array" ref="AH925">HLOOKUP($J925,'Type Chart'!$C$2:$T$20,15,false)*HLOOKUP($K925,'Type Chart'!$C$2:$U$20,15,false)</f>
        <v>1</v>
      </c>
      <c r="AI925" s="960">
        <f t="array" ref="AI925">HLOOKUP($J925,'Type Chart'!$C$2:$T$20,16,false)*HLOOKUP($K925,'Type Chart'!$C$2:$U$20,16,false)</f>
        <v>1</v>
      </c>
      <c r="AJ925" s="960">
        <f t="array" ref="AJ925">HLOOKUP($J925,'Type Chart'!$C$2:$T$20,17,false)*HLOOKUP($K925,'Type Chart'!$C$2:$U$20,17,false)</f>
        <v>1</v>
      </c>
      <c r="AK925" s="960">
        <f t="array" ref="AK925">HLOOKUP($J925,'Type Chart'!$C$2:$T$20,18,false)*HLOOKUP($K925,'Type Chart'!$C$2:$U$20,18,false)</f>
        <v>1</v>
      </c>
      <c r="AL925" s="960">
        <f t="array" ref="AL925">HLOOKUP($J925,'Type Chart'!$C$2:$T$20,19,false)*HLOOKUP($K925,'Type Chart'!$C$2:$U$20,19,false)</f>
        <v>1</v>
      </c>
      <c r="AM925" s="964" t="s">
        <v>1013</v>
      </c>
      <c r="AN925" s="965"/>
      <c r="AO925" s="966"/>
      <c r="AP925" s="936"/>
      <c r="AQ925" s="967"/>
      <c r="AR925" s="968"/>
      <c r="AS925" s="936"/>
    </row>
    <row r="926" ht="15.75" customHeight="1">
      <c r="A926" s="936"/>
      <c r="B926" s="948" t="s">
        <v>3554</v>
      </c>
      <c r="C926" s="950" t="s">
        <v>3555</v>
      </c>
      <c r="D926" s="950" t="s">
        <v>3555</v>
      </c>
      <c r="E926" s="952" t="s">
        <v>3555</v>
      </c>
      <c r="F926" s="940"/>
      <c r="G926" s="953"/>
      <c r="H926" s="969"/>
      <c r="I926" s="998" t="s">
        <v>904</v>
      </c>
      <c r="J926" s="1180" t="s">
        <v>343</v>
      </c>
      <c r="K926" s="1196" t="s">
        <v>203</v>
      </c>
      <c r="L926" s="959">
        <v>57.0</v>
      </c>
      <c r="M926" s="960">
        <v>82.0</v>
      </c>
      <c r="N926" s="960">
        <v>95.0</v>
      </c>
      <c r="O926" s="960">
        <v>55.0</v>
      </c>
      <c r="P926" s="960">
        <v>75.0</v>
      </c>
      <c r="Q926" s="960">
        <v>36.0</v>
      </c>
      <c r="R926" s="960">
        <v>108.0</v>
      </c>
      <c r="S926" s="960">
        <v>171.0</v>
      </c>
      <c r="T926" s="960">
        <v>188.0</v>
      </c>
      <c r="U926" s="960">
        <f t="array" ref="U926">HLOOKUP($J926,'Type Chart'!$C$2:$T$20,2,false)*HLOOKUP($K926,'Type Chart'!$C$2:$U$20,2,false)</f>
        <v>1</v>
      </c>
      <c r="V926" s="960">
        <f t="array" ref="V926">HLOOKUP($J926,'Type Chart'!$C$2:$T$20,3,false)*HLOOKUP($K926,'Type Chart'!$C$2:$U$20,3,false)</f>
        <v>0.5</v>
      </c>
      <c r="W926" s="960">
        <f t="array" ref="W926">HLOOKUP($J926,'Type Chart'!$C$2:$T$20,4,false)*HLOOKUP($K926,'Type Chart'!$C$2:$U$20,4,false)</f>
        <v>1</v>
      </c>
      <c r="X926" s="960">
        <f t="array" ref="X926">HLOOKUP($J926,'Type Chart'!$C$2:$T$20,5,false)*HLOOKUP($K926,'Type Chart'!$C$2:$U$20,5,false)</f>
        <v>1</v>
      </c>
      <c r="Y926" s="960">
        <f t="array" ref="Y926">HLOOKUP($J926,'Type Chart'!$C$2:$T$20,6,false)*HLOOKUP($K926,'Type Chart'!$C$2:$U$20,6,false)</f>
        <v>1</v>
      </c>
      <c r="Z926" s="960">
        <f t="array" ref="Z926">HLOOKUP($J926,'Type Chart'!$C$2:$T$20,7,false)*HLOOKUP($K926,'Type Chart'!$C$2:$U$20,7,false)</f>
        <v>2</v>
      </c>
      <c r="AA926" s="960">
        <f t="array" ref="AA926">HLOOKUP($J926,'Type Chart'!$C$2:$T$20,8,false)*HLOOKUP($K926,'Type Chart'!$C$2:$U$20,8,false)</f>
        <v>1</v>
      </c>
      <c r="AB926" s="960">
        <f t="array" ref="AB926">HLOOKUP($J926,'Type Chart'!$C$2:$T$20,9,false)*HLOOKUP($K926,'Type Chart'!$C$2:$U$20,9,false)</f>
        <v>1</v>
      </c>
      <c r="AC926" s="960">
        <f t="array" ref="AC926">HLOOKUP($J926,'Type Chart'!$C$2:$T$20,10,false)*HLOOKUP($K926,'Type Chart'!$C$2:$U$20,10,false)</f>
        <v>0.5</v>
      </c>
      <c r="AD926" s="960">
        <f t="array" ref="AD926">HLOOKUP($J926,'Type Chart'!$C$2:$T$20,11,false)*HLOOKUP($K926,'Type Chart'!$C$2:$U$20,11,false)</f>
        <v>2</v>
      </c>
      <c r="AE926" s="960">
        <f t="array" ref="AE926">HLOOKUP($J926,'Type Chart'!$C$2:$T$20,12,false)*HLOOKUP($K926,'Type Chart'!$C$2:$U$20,12,false)</f>
        <v>1</v>
      </c>
      <c r="AF926" s="960">
        <f t="array" ref="AF926">HLOOKUP($J926,'Type Chart'!$C$2:$T$20,13,false)*HLOOKUP($K926,'Type Chart'!$C$2:$U$20,13,false)</f>
        <v>0.5</v>
      </c>
      <c r="AG926" s="960">
        <f t="array" ref="AG926">HLOOKUP($J926,'Type Chart'!$C$2:$T$20,14,false)*HLOOKUP($K926,'Type Chart'!$C$2:$U$20,14,false)</f>
        <v>0.5</v>
      </c>
      <c r="AH926" s="960">
        <f t="array" ref="AH926">HLOOKUP($J926,'Type Chart'!$C$2:$T$20,15,false)*HLOOKUP($K926,'Type Chart'!$C$2:$U$20,15,false)</f>
        <v>1</v>
      </c>
      <c r="AI926" s="960">
        <f t="array" ref="AI926">HLOOKUP($J926,'Type Chart'!$C$2:$T$20,16,false)*HLOOKUP($K926,'Type Chart'!$C$2:$U$20,16,false)</f>
        <v>1</v>
      </c>
      <c r="AJ926" s="960">
        <f t="array" ref="AJ926">HLOOKUP($J926,'Type Chart'!$C$2:$T$20,17,false)*HLOOKUP($K926,'Type Chart'!$C$2:$U$20,17,false)</f>
        <v>1</v>
      </c>
      <c r="AK926" s="960">
        <f t="array" ref="AK926">HLOOKUP($J926,'Type Chart'!$C$2:$T$20,18,false)*HLOOKUP($K926,'Type Chart'!$C$2:$U$20,18,false)</f>
        <v>1</v>
      </c>
      <c r="AL926" s="960">
        <f t="array" ref="AL926">HLOOKUP($J926,'Type Chart'!$C$2:$T$20,19,false)*HLOOKUP($K926,'Type Chart'!$C$2:$U$20,19,false)</f>
        <v>1</v>
      </c>
      <c r="AM926" s="964" t="s">
        <v>3556</v>
      </c>
      <c r="AN926" s="965"/>
      <c r="AO926" s="966"/>
      <c r="AP926" s="936"/>
      <c r="AQ926" s="967"/>
      <c r="AR926" s="968"/>
      <c r="AS926" s="936"/>
    </row>
    <row r="927" ht="15.75" customHeight="1">
      <c r="A927" s="936"/>
      <c r="B927" s="948" t="s">
        <v>3557</v>
      </c>
      <c r="C927" s="950" t="s">
        <v>3558</v>
      </c>
      <c r="D927" s="950" t="s">
        <v>3558</v>
      </c>
      <c r="E927" s="952" t="s">
        <v>3558</v>
      </c>
      <c r="F927" s="940"/>
      <c r="G927" s="953"/>
      <c r="H927" s="969"/>
      <c r="I927" s="956" t="s">
        <v>314</v>
      </c>
      <c r="J927" s="1180" t="s">
        <v>343</v>
      </c>
      <c r="K927" s="1196" t="s">
        <v>203</v>
      </c>
      <c r="L927" s="959">
        <v>77.0</v>
      </c>
      <c r="M927" s="960">
        <v>70.0</v>
      </c>
      <c r="N927" s="960">
        <v>90.0</v>
      </c>
      <c r="O927" s="960">
        <v>145.0</v>
      </c>
      <c r="P927" s="960">
        <v>75.0</v>
      </c>
      <c r="Q927" s="960">
        <v>43.0</v>
      </c>
      <c r="R927" s="960">
        <v>122.0</v>
      </c>
      <c r="S927" s="960">
        <v>185.0</v>
      </c>
      <c r="T927" s="960">
        <v>203.0</v>
      </c>
      <c r="U927" s="960">
        <f t="array" ref="U927">HLOOKUP($J927,'Type Chart'!$C$2:$T$20,2,false)*HLOOKUP($K927,'Type Chart'!$C$2:$U$20,2,false)</f>
        <v>1</v>
      </c>
      <c r="V927" s="960">
        <f t="array" ref="V927">HLOOKUP($J927,'Type Chart'!$C$2:$T$20,3,false)*HLOOKUP($K927,'Type Chart'!$C$2:$U$20,3,false)</f>
        <v>0.5</v>
      </c>
      <c r="W927" s="960">
        <f t="array" ref="W927">HLOOKUP($J927,'Type Chart'!$C$2:$T$20,4,false)*HLOOKUP($K927,'Type Chart'!$C$2:$U$20,4,false)</f>
        <v>1</v>
      </c>
      <c r="X927" s="960">
        <f t="array" ref="X927">HLOOKUP($J927,'Type Chart'!$C$2:$T$20,5,false)*HLOOKUP($K927,'Type Chart'!$C$2:$U$20,5,false)</f>
        <v>1</v>
      </c>
      <c r="Y927" s="960">
        <f t="array" ref="Y927">HLOOKUP($J927,'Type Chart'!$C$2:$T$20,6,false)*HLOOKUP($K927,'Type Chart'!$C$2:$U$20,6,false)</f>
        <v>1</v>
      </c>
      <c r="Z927" s="960">
        <f t="array" ref="Z927">HLOOKUP($J927,'Type Chart'!$C$2:$T$20,7,false)*HLOOKUP($K927,'Type Chart'!$C$2:$U$20,7,false)</f>
        <v>2</v>
      </c>
      <c r="AA927" s="960">
        <f t="array" ref="AA927">HLOOKUP($J927,'Type Chart'!$C$2:$T$20,8,false)*HLOOKUP($K927,'Type Chart'!$C$2:$U$20,8,false)</f>
        <v>1</v>
      </c>
      <c r="AB927" s="960">
        <f t="array" ref="AB927">HLOOKUP($J927,'Type Chart'!$C$2:$T$20,9,false)*HLOOKUP($K927,'Type Chart'!$C$2:$U$20,9,false)</f>
        <v>1</v>
      </c>
      <c r="AC927" s="960">
        <f t="array" ref="AC927">HLOOKUP($J927,'Type Chart'!$C$2:$T$20,10,false)*HLOOKUP($K927,'Type Chart'!$C$2:$U$20,10,false)</f>
        <v>0.5</v>
      </c>
      <c r="AD927" s="960">
        <f t="array" ref="AD927">HLOOKUP($J927,'Type Chart'!$C$2:$T$20,11,false)*HLOOKUP($K927,'Type Chart'!$C$2:$U$20,11,false)</f>
        <v>2</v>
      </c>
      <c r="AE927" s="960">
        <f t="array" ref="AE927">HLOOKUP($J927,'Type Chart'!$C$2:$T$20,12,false)*HLOOKUP($K927,'Type Chart'!$C$2:$U$20,12,false)</f>
        <v>1</v>
      </c>
      <c r="AF927" s="960">
        <f t="array" ref="AF927">HLOOKUP($J927,'Type Chart'!$C$2:$T$20,13,false)*HLOOKUP($K927,'Type Chart'!$C$2:$U$20,13,false)</f>
        <v>0.5</v>
      </c>
      <c r="AG927" s="960">
        <f t="array" ref="AG927">HLOOKUP($J927,'Type Chart'!$C$2:$T$20,14,false)*HLOOKUP($K927,'Type Chart'!$C$2:$U$20,14,false)</f>
        <v>0.5</v>
      </c>
      <c r="AH927" s="960">
        <f t="array" ref="AH927">HLOOKUP($J927,'Type Chart'!$C$2:$T$20,15,false)*HLOOKUP($K927,'Type Chart'!$C$2:$U$20,15,false)</f>
        <v>1</v>
      </c>
      <c r="AI927" s="960">
        <f t="array" ref="AI927">HLOOKUP($J927,'Type Chart'!$C$2:$T$20,16,false)*HLOOKUP($K927,'Type Chart'!$C$2:$U$20,16,false)</f>
        <v>1</v>
      </c>
      <c r="AJ927" s="960">
        <f t="array" ref="AJ927">HLOOKUP($J927,'Type Chart'!$C$2:$T$20,17,false)*HLOOKUP($K927,'Type Chart'!$C$2:$U$20,17,false)</f>
        <v>1</v>
      </c>
      <c r="AK927" s="960">
        <f t="array" ref="AK927">HLOOKUP($J927,'Type Chart'!$C$2:$T$20,18,false)*HLOOKUP($K927,'Type Chart'!$C$2:$U$20,18,false)</f>
        <v>1</v>
      </c>
      <c r="AL927" s="960">
        <f t="array" ref="AL927">HLOOKUP($J927,'Type Chart'!$C$2:$T$20,19,false)*HLOOKUP($K927,'Type Chart'!$C$2:$U$20,19,false)</f>
        <v>1</v>
      </c>
      <c r="AM927" s="964" t="s">
        <v>1437</v>
      </c>
      <c r="AN927" s="965"/>
      <c r="AO927" s="966"/>
      <c r="AP927" s="936"/>
      <c r="AQ927" s="967"/>
      <c r="AR927" s="968"/>
      <c r="AS927" s="936"/>
    </row>
    <row r="928" ht="15.75" customHeight="1">
      <c r="A928" s="1099"/>
      <c r="B928" s="948" t="s">
        <v>3559</v>
      </c>
      <c r="C928" s="950" t="s">
        <v>3560</v>
      </c>
      <c r="D928" s="950" t="s">
        <v>3560</v>
      </c>
      <c r="E928" s="952" t="s">
        <v>3560</v>
      </c>
      <c r="F928" s="940"/>
      <c r="G928" s="953"/>
      <c r="H928" s="969"/>
      <c r="I928" s="956" t="s">
        <v>3561</v>
      </c>
      <c r="J928" s="1213" t="s">
        <v>341</v>
      </c>
      <c r="K928" s="984" t="s">
        <v>216</v>
      </c>
      <c r="L928" s="959">
        <v>47.0</v>
      </c>
      <c r="M928" s="960">
        <v>82.0</v>
      </c>
      <c r="N928" s="960">
        <v>57.0</v>
      </c>
      <c r="O928" s="960">
        <v>42.0</v>
      </c>
      <c r="P928" s="960">
        <v>47.0</v>
      </c>
      <c r="Q928" s="960">
        <v>63.0</v>
      </c>
      <c r="R928" s="960">
        <v>162.0</v>
      </c>
      <c r="S928" s="960">
        <v>225.0</v>
      </c>
      <c r="T928" s="960">
        <v>247.0</v>
      </c>
      <c r="U928" s="960">
        <f t="array" ref="U928">HLOOKUP($J928,'Type Chart'!$C$2:$T$20,2,false)*HLOOKUP($K928,'Type Chart'!$C$2:$U$20,2,false)</f>
        <v>1</v>
      </c>
      <c r="V928" s="960">
        <f t="array" ref="V928">HLOOKUP($J928,'Type Chart'!$C$2:$T$20,3,false)*HLOOKUP($K928,'Type Chart'!$C$2:$U$20,3,false)</f>
        <v>1</v>
      </c>
      <c r="W928" s="960">
        <f t="array" ref="W928">HLOOKUP($J928,'Type Chart'!$C$2:$T$20,4,false)*HLOOKUP($K928,'Type Chart'!$C$2:$U$20,4,false)</f>
        <v>2</v>
      </c>
      <c r="X928" s="960">
        <f t="array" ref="X928">HLOOKUP($J928,'Type Chart'!$C$2:$T$20,5,false)*HLOOKUP($K928,'Type Chart'!$C$2:$U$20,5,false)</f>
        <v>1</v>
      </c>
      <c r="Y928" s="960">
        <f t="array" ref="Y928">HLOOKUP($J928,'Type Chart'!$C$2:$T$20,6,false)*HLOOKUP($K928,'Type Chart'!$C$2:$U$20,6,false)</f>
        <v>1</v>
      </c>
      <c r="Z928" s="960">
        <f t="array" ref="Z928">HLOOKUP($J928,'Type Chart'!$C$2:$T$20,7,false)*HLOOKUP($K928,'Type Chart'!$C$2:$U$20,7,false)</f>
        <v>0.5</v>
      </c>
      <c r="AA928" s="960">
        <f t="array" ref="AA928">HLOOKUP($J928,'Type Chart'!$C$2:$T$20,8,false)*HLOOKUP($K928,'Type Chart'!$C$2:$U$20,8,false)</f>
        <v>0.5</v>
      </c>
      <c r="AB928" s="960">
        <f t="array" ref="AB928">HLOOKUP($J928,'Type Chart'!$C$2:$T$20,9,false)*HLOOKUP($K928,'Type Chart'!$C$2:$U$20,9,false)</f>
        <v>1</v>
      </c>
      <c r="AC928" s="960">
        <f t="array" ref="AC928">HLOOKUP($J928,'Type Chart'!$C$2:$T$20,10,false)*HLOOKUP($K928,'Type Chart'!$C$2:$U$20,10,false)</f>
        <v>1</v>
      </c>
      <c r="AD928" s="960">
        <f t="array" ref="AD928">HLOOKUP($J928,'Type Chart'!$C$2:$T$20,11,false)*HLOOKUP($K928,'Type Chart'!$C$2:$U$20,11,false)</f>
        <v>1</v>
      </c>
      <c r="AE928" s="960">
        <f t="array" ref="AE928">HLOOKUP($J928,'Type Chart'!$C$2:$T$20,12,false)*HLOOKUP($K928,'Type Chart'!$C$2:$U$20,12,false)</f>
        <v>1</v>
      </c>
      <c r="AF928" s="960">
        <f t="array" ref="AF928">HLOOKUP($J928,'Type Chart'!$C$2:$T$20,13,false)*HLOOKUP($K928,'Type Chart'!$C$2:$U$20,13,false)</f>
        <v>1</v>
      </c>
      <c r="AG928" s="960">
        <f t="array" ref="AG928">HLOOKUP($J928,'Type Chart'!$C$2:$T$20,14,false)*HLOOKUP($K928,'Type Chart'!$C$2:$U$20,14,false)</f>
        <v>1</v>
      </c>
      <c r="AH928" s="960">
        <f t="array" ref="AH928">HLOOKUP($J928,'Type Chart'!$C$2:$T$20,15,false)*HLOOKUP($K928,'Type Chart'!$C$2:$U$20,15,false)</f>
        <v>2</v>
      </c>
      <c r="AI928" s="960">
        <f t="array" ref="AI928">HLOOKUP($J928,'Type Chart'!$C$2:$T$20,16,false)*HLOOKUP($K928,'Type Chart'!$C$2:$U$20,16,false)</f>
        <v>1</v>
      </c>
      <c r="AJ928" s="960">
        <f t="array" ref="AJ928">HLOOKUP($J928,'Type Chart'!$C$2:$T$20,17,false)*HLOOKUP($K928,'Type Chart'!$C$2:$U$20,17,false)</f>
        <v>1</v>
      </c>
      <c r="AK928" s="960">
        <f t="array" ref="AK928">HLOOKUP($J928,'Type Chart'!$C$2:$T$20,18,false)*HLOOKUP($K928,'Type Chart'!$C$2:$U$20,18,false)</f>
        <v>0.5</v>
      </c>
      <c r="AL928" s="960">
        <f t="array" ref="AL928">HLOOKUP($J928,'Type Chart'!$C$2:$T$20,19,false)*HLOOKUP($K928,'Type Chart'!$C$2:$U$20,19,false)</f>
        <v>2</v>
      </c>
      <c r="AM928" s="1145" t="s">
        <v>1461</v>
      </c>
      <c r="AN928" s="965" t="s">
        <v>1501</v>
      </c>
      <c r="AO928" s="966" t="s">
        <v>1266</v>
      </c>
      <c r="AP928" s="936"/>
      <c r="AQ928" s="967"/>
      <c r="AR928" s="968"/>
      <c r="AS928" s="936"/>
    </row>
    <row r="929" ht="15.75" customHeight="1">
      <c r="A929" s="936"/>
      <c r="B929" s="948" t="s">
        <v>3562</v>
      </c>
      <c r="C929" s="950" t="s">
        <v>3563</v>
      </c>
      <c r="D929" s="950" t="s">
        <v>3563</v>
      </c>
      <c r="E929" s="952" t="s">
        <v>3563</v>
      </c>
      <c r="F929" s="940"/>
      <c r="G929" s="953"/>
      <c r="H929" s="969"/>
      <c r="I929" s="956" t="s">
        <v>747</v>
      </c>
      <c r="J929" s="1213" t="s">
        <v>341</v>
      </c>
      <c r="K929" s="1205" t="s">
        <v>345</v>
      </c>
      <c r="L929" s="959">
        <v>97.0</v>
      </c>
      <c r="M929" s="960">
        <v>132.0</v>
      </c>
      <c r="N929" s="960">
        <v>77.0</v>
      </c>
      <c r="O929" s="960">
        <v>62.0</v>
      </c>
      <c r="P929" s="960">
        <v>67.0</v>
      </c>
      <c r="Q929" s="960">
        <v>43.0</v>
      </c>
      <c r="R929" s="960">
        <v>122.0</v>
      </c>
      <c r="S929" s="960">
        <v>185.0</v>
      </c>
      <c r="T929" s="960">
        <v>203.0</v>
      </c>
      <c r="U929" s="960">
        <f t="array" ref="U929">HLOOKUP($J929,'Type Chart'!$C$2:$T$20,2,false)*HLOOKUP($K929,'Type Chart'!$C$2:$U$20,2,false)</f>
        <v>1</v>
      </c>
      <c r="V929" s="960">
        <f t="array" ref="V929">HLOOKUP($J929,'Type Chart'!$C$2:$T$20,3,false)*HLOOKUP($K929,'Type Chart'!$C$2:$U$20,3,false)</f>
        <v>2</v>
      </c>
      <c r="W929" s="960">
        <f t="array" ref="W929">HLOOKUP($J929,'Type Chart'!$C$2:$T$20,4,false)*HLOOKUP($K929,'Type Chart'!$C$2:$U$20,4,false)</f>
        <v>2</v>
      </c>
      <c r="X929" s="960">
        <f t="array" ref="X929">HLOOKUP($J929,'Type Chart'!$C$2:$T$20,5,false)*HLOOKUP($K929,'Type Chart'!$C$2:$U$20,5,false)</f>
        <v>1</v>
      </c>
      <c r="Y929" s="960">
        <f t="array" ref="Y929">HLOOKUP($J929,'Type Chart'!$C$2:$T$20,6,false)*HLOOKUP($K929,'Type Chart'!$C$2:$U$20,6,false)</f>
        <v>1</v>
      </c>
      <c r="Z929" s="960">
        <f t="array" ref="Z929">HLOOKUP($J929,'Type Chart'!$C$2:$T$20,7,false)*HLOOKUP($K929,'Type Chart'!$C$2:$U$20,7,false)</f>
        <v>1</v>
      </c>
      <c r="AA929" s="960">
        <f t="array" ref="AA929">HLOOKUP($J929,'Type Chart'!$C$2:$T$20,8,false)*HLOOKUP($K929,'Type Chart'!$C$2:$U$20,8,false)</f>
        <v>0.5</v>
      </c>
      <c r="AB929" s="960">
        <f t="array" ref="AB929">HLOOKUP($J929,'Type Chart'!$C$2:$T$20,9,false)*HLOOKUP($K929,'Type Chart'!$C$2:$U$20,9,false)</f>
        <v>1</v>
      </c>
      <c r="AC929" s="960">
        <f t="array" ref="AC929">HLOOKUP($J929,'Type Chart'!$C$2:$T$20,10,false)*HLOOKUP($K929,'Type Chart'!$C$2:$U$20,10,false)</f>
        <v>2</v>
      </c>
      <c r="AD929" s="960">
        <f t="array" ref="AD929">HLOOKUP($J929,'Type Chart'!$C$2:$T$20,11,false)*HLOOKUP($K929,'Type Chart'!$C$2:$U$20,11,false)</f>
        <v>2</v>
      </c>
      <c r="AE929" s="960">
        <f t="array" ref="AE929">HLOOKUP($J929,'Type Chart'!$C$2:$T$20,12,false)*HLOOKUP($K929,'Type Chart'!$C$2:$U$20,12,false)</f>
        <v>1</v>
      </c>
      <c r="AF929" s="960">
        <f t="array" ref="AF929">HLOOKUP($J929,'Type Chart'!$C$2:$T$20,13,false)*HLOOKUP($K929,'Type Chart'!$C$2:$U$20,13,false)</f>
        <v>1</v>
      </c>
      <c r="AG929" s="960">
        <f t="array" ref="AG929">HLOOKUP($J929,'Type Chart'!$C$2:$T$20,14,false)*HLOOKUP($K929,'Type Chart'!$C$2:$U$20,14,false)</f>
        <v>1</v>
      </c>
      <c r="AH929" s="960">
        <f t="array" ref="AH929">HLOOKUP($J929,'Type Chart'!$C$2:$T$20,15,false)*HLOOKUP($K929,'Type Chart'!$C$2:$U$20,15,false)</f>
        <v>2</v>
      </c>
      <c r="AI929" s="960">
        <f t="array" ref="AI929">HLOOKUP($J929,'Type Chart'!$C$2:$T$20,16,false)*HLOOKUP($K929,'Type Chart'!$C$2:$U$20,16,false)</f>
        <v>0.5</v>
      </c>
      <c r="AJ929" s="960">
        <f t="array" ref="AJ929">HLOOKUP($J929,'Type Chart'!$C$2:$T$20,17,false)*HLOOKUP($K929,'Type Chart'!$C$2:$U$20,17,false)</f>
        <v>1</v>
      </c>
      <c r="AK929" s="960">
        <f t="array" ref="AK929">HLOOKUP($J929,'Type Chart'!$C$2:$T$20,18,false)*HLOOKUP($K929,'Type Chart'!$C$2:$U$20,18,false)</f>
        <v>0.5</v>
      </c>
      <c r="AL929" s="960">
        <f t="array" ref="AL929">HLOOKUP($J929,'Type Chart'!$C$2:$T$20,19,false)*HLOOKUP($K929,'Type Chart'!$C$2:$U$20,19,false)</f>
        <v>2</v>
      </c>
      <c r="AM929" s="964" t="s">
        <v>1461</v>
      </c>
      <c r="AN929" s="965" t="s">
        <v>1501</v>
      </c>
      <c r="AO929" s="966" t="s">
        <v>1266</v>
      </c>
      <c r="AP929" s="936"/>
      <c r="AQ929" s="967"/>
      <c r="AR929" s="968"/>
      <c r="AS929" s="936"/>
    </row>
    <row r="930" ht="15.75" customHeight="1">
      <c r="A930" s="936"/>
      <c r="B930" s="948" t="s">
        <v>3564</v>
      </c>
      <c r="C930" s="950" t="s">
        <v>3565</v>
      </c>
      <c r="D930" s="950" t="s">
        <v>3565</v>
      </c>
      <c r="E930" s="952" t="s">
        <v>3565</v>
      </c>
      <c r="F930" s="940"/>
      <c r="G930" s="953"/>
      <c r="H930" s="969"/>
      <c r="I930" s="956" t="s">
        <v>594</v>
      </c>
      <c r="J930" s="982" t="s">
        <v>150</v>
      </c>
      <c r="K930" s="1001" t="s">
        <v>128</v>
      </c>
      <c r="L930" s="959">
        <v>75.0</v>
      </c>
      <c r="M930" s="960">
        <v>70.0</v>
      </c>
      <c r="N930" s="960">
        <v>70.0</v>
      </c>
      <c r="O930" s="960">
        <v>98.0</v>
      </c>
      <c r="P930" s="960">
        <v>70.0</v>
      </c>
      <c r="Q930" s="960">
        <v>93.0</v>
      </c>
      <c r="R930" s="960">
        <v>222.0</v>
      </c>
      <c r="S930" s="960">
        <v>285.0</v>
      </c>
      <c r="T930" s="960">
        <v>313.0</v>
      </c>
      <c r="U930" s="960">
        <f t="array" ref="U930">HLOOKUP($J930,'Type Chart'!$C$2:$T$20,2,false)*HLOOKUP($K930,'Type Chart'!$C$2:$U$20,2,false)</f>
        <v>1</v>
      </c>
      <c r="V930" s="960">
        <f t="array" ref="V930">HLOOKUP($J930,'Type Chart'!$C$2:$T$20,3,false)*HLOOKUP($K930,'Type Chart'!$C$2:$U$20,3,false)</f>
        <v>0.5</v>
      </c>
      <c r="W930" s="960">
        <f t="array" ref="W930">HLOOKUP($J930,'Type Chart'!$C$2:$T$20,4,false)*HLOOKUP($K930,'Type Chart'!$C$2:$U$20,4,false)</f>
        <v>1</v>
      </c>
      <c r="X930" s="960">
        <f t="array" ref="X930">HLOOKUP($J930,'Type Chart'!$C$2:$T$20,5,false)*HLOOKUP($K930,'Type Chart'!$C$2:$U$20,5,false)</f>
        <v>1</v>
      </c>
      <c r="Y930" s="960">
        <f t="array" ref="Y930">HLOOKUP($J930,'Type Chart'!$C$2:$T$20,6,false)*HLOOKUP($K930,'Type Chart'!$C$2:$U$20,6,false)</f>
        <v>0</v>
      </c>
      <c r="Z930" s="960">
        <f t="array" ref="Z930">HLOOKUP($J930,'Type Chart'!$C$2:$T$20,7,false)*HLOOKUP($K930,'Type Chart'!$C$2:$U$20,7,false)</f>
        <v>4</v>
      </c>
      <c r="AA930" s="960">
        <f t="array" ref="AA930">HLOOKUP($J930,'Type Chart'!$C$2:$T$20,8,false)*HLOOKUP($K930,'Type Chart'!$C$2:$U$20,8,false)</f>
        <v>0.25</v>
      </c>
      <c r="AB930" s="960">
        <f t="array" ref="AB930">HLOOKUP($J930,'Type Chart'!$C$2:$T$20,9,false)*HLOOKUP($K930,'Type Chart'!$C$2:$U$20,9,false)</f>
        <v>1</v>
      </c>
      <c r="AC930" s="960">
        <f t="array" ref="AC930">HLOOKUP($J930,'Type Chart'!$C$2:$T$20,10,false)*HLOOKUP($K930,'Type Chart'!$C$2:$U$20,10,false)</f>
        <v>0.5</v>
      </c>
      <c r="AD930" s="960">
        <f t="array" ref="AD930">HLOOKUP($J930,'Type Chart'!$C$2:$T$20,11,false)*HLOOKUP($K930,'Type Chart'!$C$2:$U$20,11,false)</f>
        <v>0.5</v>
      </c>
      <c r="AE930" s="960">
        <f t="array" ref="AE930">HLOOKUP($J930,'Type Chart'!$C$2:$T$20,12,false)*HLOOKUP($K930,'Type Chart'!$C$2:$U$20,12,false)</f>
        <v>2</v>
      </c>
      <c r="AF930" s="960">
        <f t="array" ref="AF930">HLOOKUP($J930,'Type Chart'!$C$2:$T$20,13,false)*HLOOKUP($K930,'Type Chart'!$C$2:$U$20,13,false)</f>
        <v>0.25</v>
      </c>
      <c r="AG930" s="960">
        <f t="array" ref="AG930">HLOOKUP($J930,'Type Chart'!$C$2:$T$20,14,false)*HLOOKUP($K930,'Type Chart'!$C$2:$U$20,14,false)</f>
        <v>2</v>
      </c>
      <c r="AH930" s="960">
        <f t="array" ref="AH930">HLOOKUP($J930,'Type Chart'!$C$2:$T$20,15,false)*HLOOKUP($K930,'Type Chart'!$C$2:$U$20,15,false)</f>
        <v>1</v>
      </c>
      <c r="AI930" s="960">
        <f t="array" ref="AI930">HLOOKUP($J930,'Type Chart'!$C$2:$T$20,16,false)*HLOOKUP($K930,'Type Chart'!$C$2:$U$20,16,false)</f>
        <v>1</v>
      </c>
      <c r="AJ930" s="960">
        <f t="array" ref="AJ930">HLOOKUP($J930,'Type Chart'!$C$2:$T$20,17,false)*HLOOKUP($K930,'Type Chart'!$C$2:$U$20,17,false)</f>
        <v>1</v>
      </c>
      <c r="AK930" s="960">
        <f t="array" ref="AK930">HLOOKUP($J930,'Type Chart'!$C$2:$T$20,18,false)*HLOOKUP($K930,'Type Chart'!$C$2:$U$20,18,false)</f>
        <v>1</v>
      </c>
      <c r="AL930" s="960">
        <f t="array" ref="AL930">HLOOKUP($J930,'Type Chart'!$C$2:$T$20,19,false)*HLOOKUP($K930,'Type Chart'!$C$2:$U$20,19,false)</f>
        <v>0.5</v>
      </c>
      <c r="AM930" s="964" t="s">
        <v>3566</v>
      </c>
      <c r="AN930" s="965"/>
      <c r="AO930" s="966"/>
      <c r="AP930" s="936"/>
      <c r="AQ930" s="967"/>
      <c r="AR930" s="968"/>
      <c r="AS930" s="936"/>
    </row>
    <row r="931" ht="15.75" customHeight="1">
      <c r="A931" s="936"/>
      <c r="B931" s="948" t="s">
        <v>3567</v>
      </c>
      <c r="C931" s="950" t="s">
        <v>3568</v>
      </c>
      <c r="D931" s="950" t="s">
        <v>3569</v>
      </c>
      <c r="E931" s="952" t="s">
        <v>3568</v>
      </c>
      <c r="F931" s="940"/>
      <c r="G931" s="953"/>
      <c r="H931" s="969"/>
      <c r="I931" s="998" t="s">
        <v>3570</v>
      </c>
      <c r="J931" s="1196" t="s">
        <v>203</v>
      </c>
      <c r="K931" s="1001" t="s">
        <v>128</v>
      </c>
      <c r="L931" s="959">
        <v>75.0</v>
      </c>
      <c r="M931" s="960">
        <v>70.0</v>
      </c>
      <c r="N931" s="960">
        <v>70.0</v>
      </c>
      <c r="O931" s="960">
        <v>98.0</v>
      </c>
      <c r="P931" s="960">
        <v>70.0</v>
      </c>
      <c r="Q931" s="960">
        <v>93.0</v>
      </c>
      <c r="R931" s="960">
        <v>222.0</v>
      </c>
      <c r="S931" s="960">
        <v>285.0</v>
      </c>
      <c r="T931" s="960">
        <v>313.0</v>
      </c>
      <c r="U931" s="960">
        <f t="array" ref="U931">HLOOKUP($J931,'Type Chart'!$C$2:$T$20,2,false)*HLOOKUP($K931,'Type Chart'!$C$2:$U$20,2,false)</f>
        <v>1</v>
      </c>
      <c r="V931" s="960">
        <f t="array" ref="V931">HLOOKUP($J931,'Type Chart'!$C$2:$T$20,3,false)*HLOOKUP($K931,'Type Chart'!$C$2:$U$20,3,false)</f>
        <v>0.5</v>
      </c>
      <c r="W931" s="960">
        <f t="array" ref="W931">HLOOKUP($J931,'Type Chart'!$C$2:$T$20,4,false)*HLOOKUP($K931,'Type Chart'!$C$2:$U$20,4,false)</f>
        <v>0.5</v>
      </c>
      <c r="X931" s="960">
        <f t="array" ref="X931">HLOOKUP($J931,'Type Chart'!$C$2:$T$20,5,false)*HLOOKUP($K931,'Type Chart'!$C$2:$U$20,5,false)</f>
        <v>1</v>
      </c>
      <c r="Y931" s="960">
        <f t="array" ref="Y931">HLOOKUP($J931,'Type Chart'!$C$2:$T$20,6,false)*HLOOKUP($K931,'Type Chart'!$C$2:$U$20,6,false)</f>
        <v>0</v>
      </c>
      <c r="Z931" s="960">
        <f t="array" ref="Z931">HLOOKUP($J931,'Type Chart'!$C$2:$T$20,7,false)*HLOOKUP($K931,'Type Chart'!$C$2:$U$20,7,false)</f>
        <v>2</v>
      </c>
      <c r="AA931" s="960">
        <f t="array" ref="AA931">HLOOKUP($J931,'Type Chart'!$C$2:$T$20,8,false)*HLOOKUP($K931,'Type Chart'!$C$2:$U$20,8,false)</f>
        <v>0.5</v>
      </c>
      <c r="AB931" s="960">
        <f t="array" ref="AB931">HLOOKUP($J931,'Type Chart'!$C$2:$T$20,9,false)*HLOOKUP($K931,'Type Chart'!$C$2:$U$20,9,false)</f>
        <v>1</v>
      </c>
      <c r="AC931" s="960">
        <f t="array" ref="AC931">HLOOKUP($J931,'Type Chart'!$C$2:$T$20,10,false)*HLOOKUP($K931,'Type Chart'!$C$2:$U$20,10,false)</f>
        <v>0.5</v>
      </c>
      <c r="AD931" s="960">
        <f t="array" ref="AD931">HLOOKUP($J931,'Type Chart'!$C$2:$T$20,11,false)*HLOOKUP($K931,'Type Chart'!$C$2:$U$20,11,false)</f>
        <v>1</v>
      </c>
      <c r="AE931" s="960">
        <f t="array" ref="AE931">HLOOKUP($J931,'Type Chart'!$C$2:$T$20,12,false)*HLOOKUP($K931,'Type Chart'!$C$2:$U$20,12,false)</f>
        <v>1</v>
      </c>
      <c r="AF931" s="960">
        <f t="array" ref="AF931">HLOOKUP($J931,'Type Chart'!$C$2:$T$20,13,false)*HLOOKUP($K931,'Type Chart'!$C$2:$U$20,13,false)</f>
        <v>0.5</v>
      </c>
      <c r="AG931" s="960">
        <f t="array" ref="AG931">HLOOKUP($J931,'Type Chart'!$C$2:$T$20,14,false)*HLOOKUP($K931,'Type Chart'!$C$2:$U$20,14,false)</f>
        <v>1</v>
      </c>
      <c r="AH931" s="960">
        <f t="array" ref="AH931">HLOOKUP($J931,'Type Chart'!$C$2:$T$20,15,false)*HLOOKUP($K931,'Type Chart'!$C$2:$U$20,15,false)</f>
        <v>1</v>
      </c>
      <c r="AI931" s="960">
        <f t="array" ref="AI931">HLOOKUP($J931,'Type Chart'!$C$2:$T$20,16,false)*HLOOKUP($K931,'Type Chart'!$C$2:$U$20,16,false)</f>
        <v>2</v>
      </c>
      <c r="AJ931" s="960">
        <f t="array" ref="AJ931">HLOOKUP($J931,'Type Chart'!$C$2:$T$20,17,false)*HLOOKUP($K931,'Type Chart'!$C$2:$U$20,17,false)</f>
        <v>1</v>
      </c>
      <c r="AK931" s="960">
        <f t="array" ref="AK931">HLOOKUP($J931,'Type Chart'!$C$2:$T$20,18,false)*HLOOKUP($K931,'Type Chart'!$C$2:$U$20,18,false)</f>
        <v>1</v>
      </c>
      <c r="AL931" s="960">
        <f t="array" ref="AL931">HLOOKUP($J931,'Type Chart'!$C$2:$T$20,19,false)*HLOOKUP($K931,'Type Chart'!$C$2:$U$20,19,false)</f>
        <v>1</v>
      </c>
      <c r="AM931" s="964" t="s">
        <v>3566</v>
      </c>
      <c r="AN931" s="965"/>
      <c r="AO931" s="966"/>
      <c r="AP931" s="936"/>
      <c r="AQ931" s="967"/>
      <c r="AR931" s="968"/>
      <c r="AS931" s="936"/>
    </row>
    <row r="932" ht="15.75" customHeight="1">
      <c r="A932" s="936"/>
      <c r="B932" s="948" t="s">
        <v>3571</v>
      </c>
      <c r="C932" s="950" t="s">
        <v>3572</v>
      </c>
      <c r="D932" s="950" t="s">
        <v>3572</v>
      </c>
      <c r="E932" s="952" t="s">
        <v>3572</v>
      </c>
      <c r="F932" s="940"/>
      <c r="G932" s="953"/>
      <c r="H932" s="969"/>
      <c r="I932" s="998" t="s">
        <v>3573</v>
      </c>
      <c r="J932" s="1203" t="s">
        <v>344</v>
      </c>
      <c r="K932" s="1001" t="s">
        <v>128</v>
      </c>
      <c r="L932" s="959">
        <v>75.0</v>
      </c>
      <c r="M932" s="960">
        <v>70.0</v>
      </c>
      <c r="N932" s="960">
        <v>70.0</v>
      </c>
      <c r="O932" s="960">
        <v>98.0</v>
      </c>
      <c r="P932" s="960">
        <v>70.0</v>
      </c>
      <c r="Q932" s="960">
        <v>93.0</v>
      </c>
      <c r="R932" s="960">
        <v>222.0</v>
      </c>
      <c r="S932" s="960">
        <v>285.0</v>
      </c>
      <c r="T932" s="960">
        <v>313.0</v>
      </c>
      <c r="U932" s="960">
        <f t="array" ref="U932">HLOOKUP($J932,'Type Chart'!$C$2:$T$20,2,false)*HLOOKUP($K932,'Type Chart'!$C$2:$U$20,2,false)</f>
        <v>1</v>
      </c>
      <c r="V932" s="960">
        <f t="array" ref="V932">HLOOKUP($J932,'Type Chart'!$C$2:$T$20,3,false)*HLOOKUP($K932,'Type Chart'!$C$2:$U$20,3,false)</f>
        <v>0.25</v>
      </c>
      <c r="W932" s="960">
        <f t="array" ref="W932">HLOOKUP($J932,'Type Chart'!$C$2:$T$20,4,false)*HLOOKUP($K932,'Type Chart'!$C$2:$U$20,4,false)</f>
        <v>1</v>
      </c>
      <c r="X932" s="960">
        <f t="array" ref="X932">HLOOKUP($J932,'Type Chart'!$C$2:$T$20,5,false)*HLOOKUP($K932,'Type Chart'!$C$2:$U$20,5,false)</f>
        <v>1</v>
      </c>
      <c r="Y932" s="960">
        <f t="array" ref="Y932">HLOOKUP($J932,'Type Chart'!$C$2:$T$20,6,false)*HLOOKUP($K932,'Type Chart'!$C$2:$U$20,6,false)</f>
        <v>0</v>
      </c>
      <c r="Z932" s="960">
        <f t="array" ref="Z932">HLOOKUP($J932,'Type Chart'!$C$2:$T$20,7,false)*HLOOKUP($K932,'Type Chart'!$C$2:$U$20,7,false)</f>
        <v>2</v>
      </c>
      <c r="AA932" s="960">
        <f t="array" ref="AA932">HLOOKUP($J932,'Type Chart'!$C$2:$T$20,8,false)*HLOOKUP($K932,'Type Chart'!$C$2:$U$20,8,false)</f>
        <v>1</v>
      </c>
      <c r="AB932" s="960">
        <f t="array" ref="AB932">HLOOKUP($J932,'Type Chart'!$C$2:$T$20,9,false)*HLOOKUP($K932,'Type Chart'!$C$2:$U$20,9,false)</f>
        <v>2</v>
      </c>
      <c r="AC932" s="960">
        <f t="array" ref="AC932">HLOOKUP($J932,'Type Chart'!$C$2:$T$20,10,false)*HLOOKUP($K932,'Type Chart'!$C$2:$U$20,10,false)</f>
        <v>1</v>
      </c>
      <c r="AD932" s="960">
        <f t="array" ref="AD932">HLOOKUP($J932,'Type Chart'!$C$2:$T$20,11,false)*HLOOKUP($K932,'Type Chart'!$C$2:$U$20,11,false)</f>
        <v>1</v>
      </c>
      <c r="AE932" s="960">
        <f t="array" ref="AE932">HLOOKUP($J932,'Type Chart'!$C$2:$T$20,12,false)*HLOOKUP($K932,'Type Chart'!$C$2:$U$20,12,false)</f>
        <v>1</v>
      </c>
      <c r="AF932" s="960">
        <f t="array" ref="AF932">HLOOKUP($J932,'Type Chart'!$C$2:$T$20,13,false)*HLOOKUP($K932,'Type Chart'!$C$2:$U$20,13,false)</f>
        <v>0.5</v>
      </c>
      <c r="AG932" s="960">
        <f t="array" ref="AG932">HLOOKUP($J932,'Type Chart'!$C$2:$T$20,14,false)*HLOOKUP($K932,'Type Chart'!$C$2:$U$20,14,false)</f>
        <v>2</v>
      </c>
      <c r="AH932" s="960">
        <f t="array" ref="AH932">HLOOKUP($J932,'Type Chart'!$C$2:$T$20,15,false)*HLOOKUP($K932,'Type Chart'!$C$2:$U$20,15,false)</f>
        <v>0.5</v>
      </c>
      <c r="AI932" s="960">
        <f t="array" ref="AI932">HLOOKUP($J932,'Type Chart'!$C$2:$T$20,16,false)*HLOOKUP($K932,'Type Chart'!$C$2:$U$20,16,false)</f>
        <v>2</v>
      </c>
      <c r="AJ932" s="960">
        <f t="array" ref="AJ932">HLOOKUP($J932,'Type Chart'!$C$2:$T$20,17,false)*HLOOKUP($K932,'Type Chart'!$C$2:$U$20,17,false)</f>
        <v>1</v>
      </c>
      <c r="AK932" s="960">
        <f t="array" ref="AK932">HLOOKUP($J932,'Type Chart'!$C$2:$T$20,18,false)*HLOOKUP($K932,'Type Chart'!$C$2:$U$20,18,false)</f>
        <v>2</v>
      </c>
      <c r="AL932" s="960">
        <f t="array" ref="AL932">HLOOKUP($J932,'Type Chart'!$C$2:$T$20,19,false)*HLOOKUP($K932,'Type Chart'!$C$2:$U$20,19,false)</f>
        <v>1</v>
      </c>
      <c r="AM932" s="964" t="s">
        <v>3566</v>
      </c>
      <c r="AN932" s="965"/>
      <c r="AO932" s="966"/>
      <c r="AP932" s="936"/>
      <c r="AQ932" s="967"/>
      <c r="AR932" s="968"/>
      <c r="AS932" s="936"/>
    </row>
    <row r="933" ht="15.75" customHeight="1">
      <c r="A933" s="936"/>
      <c r="B933" s="948" t="s">
        <v>3574</v>
      </c>
      <c r="C933" s="950" t="s">
        <v>3575</v>
      </c>
      <c r="D933" s="950" t="s">
        <v>3575</v>
      </c>
      <c r="E933" s="952" t="s">
        <v>3575</v>
      </c>
      <c r="F933" s="940"/>
      <c r="G933" s="953"/>
      <c r="H933" s="969"/>
      <c r="I933" s="956" t="s">
        <v>3576</v>
      </c>
      <c r="J933" s="1220" t="s">
        <v>215</v>
      </c>
      <c r="K933" s="1001" t="s">
        <v>128</v>
      </c>
      <c r="L933" s="959">
        <v>75.0</v>
      </c>
      <c r="M933" s="960">
        <v>70.0</v>
      </c>
      <c r="N933" s="960">
        <v>70.0</v>
      </c>
      <c r="O933" s="960">
        <v>98.0</v>
      </c>
      <c r="P933" s="960">
        <v>70.0</v>
      </c>
      <c r="Q933" s="960">
        <v>93.0</v>
      </c>
      <c r="R933" s="960">
        <v>222.0</v>
      </c>
      <c r="S933" s="960">
        <v>285.0</v>
      </c>
      <c r="T933" s="960">
        <v>313.0</v>
      </c>
      <c r="U933" s="960">
        <f t="array" ref="U933">HLOOKUP($J933,'Type Chart'!$C$2:$T$20,2,false)*HLOOKUP($K933,'Type Chart'!$C$2:$U$20,2,false)</f>
        <v>0</v>
      </c>
      <c r="V933" s="960">
        <f t="array" ref="V933">HLOOKUP($J933,'Type Chart'!$C$2:$T$20,3,false)*HLOOKUP($K933,'Type Chart'!$C$2:$U$20,3,false)</f>
        <v>0</v>
      </c>
      <c r="W933" s="960">
        <f t="array" ref="W933">HLOOKUP($J933,'Type Chart'!$C$2:$T$20,4,false)*HLOOKUP($K933,'Type Chart'!$C$2:$U$20,4,false)</f>
        <v>1</v>
      </c>
      <c r="X933" s="960">
        <f t="array" ref="X933">HLOOKUP($J933,'Type Chart'!$C$2:$T$20,5,false)*HLOOKUP($K933,'Type Chart'!$C$2:$U$20,5,false)</f>
        <v>0.5</v>
      </c>
      <c r="Y933" s="960">
        <f t="array" ref="Y933">HLOOKUP($J933,'Type Chart'!$C$2:$T$20,6,false)*HLOOKUP($K933,'Type Chart'!$C$2:$U$20,6,false)</f>
        <v>0</v>
      </c>
      <c r="Z933" s="960">
        <f t="array" ref="Z933">HLOOKUP($J933,'Type Chart'!$C$2:$T$20,7,false)*HLOOKUP($K933,'Type Chart'!$C$2:$U$20,7,false)</f>
        <v>2</v>
      </c>
      <c r="AA933" s="960">
        <f t="array" ref="AA933">HLOOKUP($J933,'Type Chart'!$C$2:$T$20,8,false)*HLOOKUP($K933,'Type Chart'!$C$2:$U$20,8,false)</f>
        <v>0.25</v>
      </c>
      <c r="AB933" s="960">
        <f t="array" ref="AB933">HLOOKUP($J933,'Type Chart'!$C$2:$T$20,9,false)*HLOOKUP($K933,'Type Chart'!$C$2:$U$20,9,false)</f>
        <v>2</v>
      </c>
      <c r="AC933" s="960">
        <f t="array" ref="AC933">HLOOKUP($J933,'Type Chart'!$C$2:$T$20,10,false)*HLOOKUP($K933,'Type Chart'!$C$2:$U$20,10,false)</f>
        <v>1</v>
      </c>
      <c r="AD933" s="960">
        <f t="array" ref="AD933">HLOOKUP($J933,'Type Chart'!$C$2:$T$20,11,false)*HLOOKUP($K933,'Type Chart'!$C$2:$U$20,11,false)</f>
        <v>1</v>
      </c>
      <c r="AE933" s="960">
        <f t="array" ref="AE933">HLOOKUP($J933,'Type Chart'!$C$2:$T$20,12,false)*HLOOKUP($K933,'Type Chart'!$C$2:$U$20,12,false)</f>
        <v>1</v>
      </c>
      <c r="AF933" s="960">
        <f t="array" ref="AF933">HLOOKUP($J933,'Type Chart'!$C$2:$T$20,13,false)*HLOOKUP($K933,'Type Chart'!$C$2:$U$20,13,false)</f>
        <v>0.5</v>
      </c>
      <c r="AG933" s="960">
        <f t="array" ref="AG933">HLOOKUP($J933,'Type Chart'!$C$2:$T$20,14,false)*HLOOKUP($K933,'Type Chart'!$C$2:$U$20,14,false)</f>
        <v>2</v>
      </c>
      <c r="AH933" s="960">
        <f t="array" ref="AH933">HLOOKUP($J933,'Type Chart'!$C$2:$T$20,15,false)*HLOOKUP($K933,'Type Chart'!$C$2:$U$20,15,false)</f>
        <v>1</v>
      </c>
      <c r="AI933" s="960">
        <f t="array" ref="AI933">HLOOKUP($J933,'Type Chart'!$C$2:$T$20,16,false)*HLOOKUP($K933,'Type Chart'!$C$2:$U$20,16,false)</f>
        <v>2</v>
      </c>
      <c r="AJ933" s="960">
        <f t="array" ref="AJ933">HLOOKUP($J933,'Type Chart'!$C$2:$T$20,17,false)*HLOOKUP($K933,'Type Chart'!$C$2:$U$20,17,false)</f>
        <v>1</v>
      </c>
      <c r="AK933" s="960">
        <f t="array" ref="AK933">HLOOKUP($J933,'Type Chart'!$C$2:$T$20,18,false)*HLOOKUP($K933,'Type Chart'!$C$2:$U$20,18,false)</f>
        <v>2</v>
      </c>
      <c r="AL933" s="960">
        <f t="array" ref="AL933">HLOOKUP($J933,'Type Chart'!$C$2:$T$20,19,false)*HLOOKUP($K933,'Type Chart'!$C$2:$U$20,19,false)</f>
        <v>1</v>
      </c>
      <c r="AM933" s="964" t="s">
        <v>3566</v>
      </c>
      <c r="AN933" s="965"/>
      <c r="AO933" s="966"/>
      <c r="AP933" s="936"/>
      <c r="AQ933" s="967"/>
      <c r="AR933" s="968"/>
      <c r="AS933" s="936"/>
    </row>
    <row r="934" ht="15.75" customHeight="1">
      <c r="A934" s="1099"/>
      <c r="B934" s="948" t="s">
        <v>3577</v>
      </c>
      <c r="C934" s="950" t="s">
        <v>3578</v>
      </c>
      <c r="D934" s="950" t="s">
        <v>3578</v>
      </c>
      <c r="E934" s="952" t="s">
        <v>3578</v>
      </c>
      <c r="F934" s="940"/>
      <c r="G934" s="953"/>
      <c r="H934" s="969"/>
      <c r="I934" s="998" t="s">
        <v>3579</v>
      </c>
      <c r="J934" s="1180" t="s">
        <v>343</v>
      </c>
      <c r="K934" s="1207" t="s">
        <v>127</v>
      </c>
      <c r="L934" s="959">
        <v>40.0</v>
      </c>
      <c r="M934" s="960">
        <v>45.0</v>
      </c>
      <c r="N934" s="960">
        <v>40.0</v>
      </c>
      <c r="O934" s="960">
        <v>55.0</v>
      </c>
      <c r="P934" s="960">
        <v>40.0</v>
      </c>
      <c r="Q934" s="960">
        <v>84.0</v>
      </c>
      <c r="R934" s="960">
        <v>204.0</v>
      </c>
      <c r="S934" s="960">
        <v>267.0</v>
      </c>
      <c r="T934" s="960">
        <v>293.0</v>
      </c>
      <c r="U934" s="960">
        <f t="array" ref="U934">HLOOKUP($J934,'Type Chart'!$C$2:$T$20,2,false)*HLOOKUP($K934,'Type Chart'!$C$2:$U$20,2,false)</f>
        <v>1</v>
      </c>
      <c r="V934" s="960">
        <f t="array" ref="V934">HLOOKUP($J934,'Type Chart'!$C$2:$T$20,3,false)*HLOOKUP($K934,'Type Chart'!$C$2:$U$20,3,false)</f>
        <v>0.25</v>
      </c>
      <c r="W934" s="960">
        <f t="array" ref="W934">HLOOKUP($J934,'Type Chart'!$C$2:$T$20,4,false)*HLOOKUP($K934,'Type Chart'!$C$2:$U$20,4,false)</f>
        <v>2</v>
      </c>
      <c r="X934" s="960">
        <f t="array" ref="X934">HLOOKUP($J934,'Type Chart'!$C$2:$T$20,5,false)*HLOOKUP($K934,'Type Chart'!$C$2:$U$20,5,false)</f>
        <v>2</v>
      </c>
      <c r="Y934" s="960">
        <f t="array" ref="Y934">HLOOKUP($J934,'Type Chart'!$C$2:$T$20,6,false)*HLOOKUP($K934,'Type Chart'!$C$2:$U$20,6,false)</f>
        <v>0.5</v>
      </c>
      <c r="Z934" s="960">
        <f t="array" ref="Z934">HLOOKUP($J934,'Type Chart'!$C$2:$T$20,7,false)*HLOOKUP($K934,'Type Chart'!$C$2:$U$20,7,false)</f>
        <v>2</v>
      </c>
      <c r="AA934" s="960">
        <f t="array" ref="AA934">HLOOKUP($J934,'Type Chart'!$C$2:$T$20,8,false)*HLOOKUP($K934,'Type Chart'!$C$2:$U$20,8,false)</f>
        <v>0.5</v>
      </c>
      <c r="AB934" s="960">
        <f t="array" ref="AB934">HLOOKUP($J934,'Type Chart'!$C$2:$T$20,9,false)*HLOOKUP($K934,'Type Chart'!$C$2:$U$20,9,false)</f>
        <v>1</v>
      </c>
      <c r="AC934" s="960">
        <f t="array" ref="AC934">HLOOKUP($J934,'Type Chart'!$C$2:$T$20,10,false)*HLOOKUP($K934,'Type Chart'!$C$2:$U$20,10,false)</f>
        <v>2</v>
      </c>
      <c r="AD934" s="960">
        <f t="array" ref="AD934">HLOOKUP($J934,'Type Chart'!$C$2:$T$20,11,false)*HLOOKUP($K934,'Type Chart'!$C$2:$U$20,11,false)</f>
        <v>2</v>
      </c>
      <c r="AE934" s="960">
        <f t="array" ref="AE934">HLOOKUP($J934,'Type Chart'!$C$2:$T$20,12,false)*HLOOKUP($K934,'Type Chart'!$C$2:$U$20,12,false)</f>
        <v>1</v>
      </c>
      <c r="AF934" s="960">
        <f t="array" ref="AF934">HLOOKUP($J934,'Type Chart'!$C$2:$T$20,13,false)*HLOOKUP($K934,'Type Chart'!$C$2:$U$20,13,false)</f>
        <v>0.5</v>
      </c>
      <c r="AG934" s="960">
        <f t="array" ref="AG934">HLOOKUP($J934,'Type Chart'!$C$2:$T$20,14,false)*HLOOKUP($K934,'Type Chart'!$C$2:$U$20,14,false)</f>
        <v>1</v>
      </c>
      <c r="AH934" s="960">
        <f t="array" ref="AH934">HLOOKUP($J934,'Type Chart'!$C$2:$T$20,15,false)*HLOOKUP($K934,'Type Chart'!$C$2:$U$20,15,false)</f>
        <v>1</v>
      </c>
      <c r="AI934" s="960">
        <f t="array" ref="AI934">HLOOKUP($J934,'Type Chart'!$C$2:$T$20,16,false)*HLOOKUP($K934,'Type Chart'!$C$2:$U$20,16,false)</f>
        <v>1</v>
      </c>
      <c r="AJ934" s="960">
        <f t="array" ref="AJ934">HLOOKUP($J934,'Type Chart'!$C$2:$T$20,17,false)*HLOOKUP($K934,'Type Chart'!$C$2:$U$20,17,false)</f>
        <v>0</v>
      </c>
      <c r="AK934" s="960">
        <f t="array" ref="AK934">HLOOKUP($J934,'Type Chart'!$C$2:$T$20,18,false)*HLOOKUP($K934,'Type Chart'!$C$2:$U$20,18,false)</f>
        <v>0.5</v>
      </c>
      <c r="AL934" s="960">
        <f t="array" ref="AL934">HLOOKUP($J934,'Type Chart'!$C$2:$T$20,19,false)*HLOOKUP($K934,'Type Chart'!$C$2:$U$20,19,false)</f>
        <v>1</v>
      </c>
      <c r="AM934" s="1145" t="s">
        <v>1874</v>
      </c>
      <c r="AN934" s="1202" t="s">
        <v>987</v>
      </c>
      <c r="AO934" s="1146" t="s">
        <v>3380</v>
      </c>
      <c r="AP934" s="936"/>
      <c r="AQ934" s="967"/>
      <c r="AR934" s="968"/>
      <c r="AS934" s="936"/>
    </row>
    <row r="935" ht="15.75" customHeight="1">
      <c r="A935" s="936"/>
      <c r="B935" s="948" t="s">
        <v>3580</v>
      </c>
      <c r="C935" s="950" t="s">
        <v>3581</v>
      </c>
      <c r="D935" s="950" t="s">
        <v>3581</v>
      </c>
      <c r="E935" s="952" t="s">
        <v>3581</v>
      </c>
      <c r="F935" s="940"/>
      <c r="G935" s="953"/>
      <c r="H935" s="969"/>
      <c r="I935" s="956" t="s">
        <v>311</v>
      </c>
      <c r="J935" s="1180" t="s">
        <v>343</v>
      </c>
      <c r="K935" s="1207" t="s">
        <v>127</v>
      </c>
      <c r="L935" s="959">
        <v>60.0</v>
      </c>
      <c r="M935" s="960">
        <v>55.0</v>
      </c>
      <c r="N935" s="960">
        <v>60.0</v>
      </c>
      <c r="O935" s="960">
        <v>95.0</v>
      </c>
      <c r="P935" s="960">
        <v>70.0</v>
      </c>
      <c r="Q935" s="960">
        <v>124.0</v>
      </c>
      <c r="R935" s="960">
        <v>284.0</v>
      </c>
      <c r="S935" s="960">
        <v>347.0</v>
      </c>
      <c r="T935" s="960">
        <v>381.0</v>
      </c>
      <c r="U935" s="960">
        <f t="array" ref="U935">HLOOKUP($J935,'Type Chart'!$C$2:$T$20,2,false)*HLOOKUP($K935,'Type Chart'!$C$2:$U$20,2,false)</f>
        <v>1</v>
      </c>
      <c r="V935" s="960">
        <f t="array" ref="V935">HLOOKUP($J935,'Type Chart'!$C$2:$T$20,3,false)*HLOOKUP($K935,'Type Chart'!$C$2:$U$20,3,false)</f>
        <v>0.25</v>
      </c>
      <c r="W935" s="960">
        <f t="array" ref="W935">HLOOKUP($J935,'Type Chart'!$C$2:$T$20,4,false)*HLOOKUP($K935,'Type Chart'!$C$2:$U$20,4,false)</f>
        <v>2</v>
      </c>
      <c r="X935" s="960">
        <f t="array" ref="X935">HLOOKUP($J935,'Type Chart'!$C$2:$T$20,5,false)*HLOOKUP($K935,'Type Chart'!$C$2:$U$20,5,false)</f>
        <v>2</v>
      </c>
      <c r="Y935" s="960">
        <f t="array" ref="Y935">HLOOKUP($J935,'Type Chart'!$C$2:$T$20,6,false)*HLOOKUP($K935,'Type Chart'!$C$2:$U$20,6,false)</f>
        <v>0.5</v>
      </c>
      <c r="Z935" s="960">
        <f t="array" ref="Z935">HLOOKUP($J935,'Type Chart'!$C$2:$T$20,7,false)*HLOOKUP($K935,'Type Chart'!$C$2:$U$20,7,false)</f>
        <v>2</v>
      </c>
      <c r="AA935" s="960">
        <f t="array" ref="AA935">HLOOKUP($J935,'Type Chart'!$C$2:$T$20,8,false)*HLOOKUP($K935,'Type Chart'!$C$2:$U$20,8,false)</f>
        <v>0.5</v>
      </c>
      <c r="AB935" s="960">
        <f t="array" ref="AB935">HLOOKUP($J935,'Type Chart'!$C$2:$T$20,9,false)*HLOOKUP($K935,'Type Chart'!$C$2:$U$20,9,false)</f>
        <v>1</v>
      </c>
      <c r="AC935" s="960">
        <f t="array" ref="AC935">HLOOKUP($J935,'Type Chart'!$C$2:$T$20,10,false)*HLOOKUP($K935,'Type Chart'!$C$2:$U$20,10,false)</f>
        <v>2</v>
      </c>
      <c r="AD935" s="960">
        <f t="array" ref="AD935">HLOOKUP($J935,'Type Chart'!$C$2:$T$20,11,false)*HLOOKUP($K935,'Type Chart'!$C$2:$U$20,11,false)</f>
        <v>2</v>
      </c>
      <c r="AE935" s="960">
        <f t="array" ref="AE935">HLOOKUP($J935,'Type Chart'!$C$2:$T$20,12,false)*HLOOKUP($K935,'Type Chart'!$C$2:$U$20,12,false)</f>
        <v>1</v>
      </c>
      <c r="AF935" s="960">
        <f t="array" ref="AF935">HLOOKUP($J935,'Type Chart'!$C$2:$T$20,13,false)*HLOOKUP($K935,'Type Chart'!$C$2:$U$20,13,false)</f>
        <v>0.5</v>
      </c>
      <c r="AG935" s="960">
        <f t="array" ref="AG935">HLOOKUP($J935,'Type Chart'!$C$2:$T$20,14,false)*HLOOKUP($K935,'Type Chart'!$C$2:$U$20,14,false)</f>
        <v>1</v>
      </c>
      <c r="AH935" s="960">
        <f t="array" ref="AH935">HLOOKUP($J935,'Type Chart'!$C$2:$T$20,15,false)*HLOOKUP($K935,'Type Chart'!$C$2:$U$20,15,false)</f>
        <v>1</v>
      </c>
      <c r="AI935" s="960">
        <f t="array" ref="AI935">HLOOKUP($J935,'Type Chart'!$C$2:$T$20,16,false)*HLOOKUP($K935,'Type Chart'!$C$2:$U$20,16,false)</f>
        <v>1</v>
      </c>
      <c r="AJ935" s="960">
        <f t="array" ref="AJ935">HLOOKUP($J935,'Type Chart'!$C$2:$T$20,17,false)*HLOOKUP($K935,'Type Chart'!$C$2:$U$20,17,false)</f>
        <v>0</v>
      </c>
      <c r="AK935" s="960">
        <f t="array" ref="AK935">HLOOKUP($J935,'Type Chart'!$C$2:$T$20,18,false)*HLOOKUP($K935,'Type Chart'!$C$2:$U$20,18,false)</f>
        <v>0.5</v>
      </c>
      <c r="AL935" s="960">
        <f t="array" ref="AL935">HLOOKUP($J935,'Type Chart'!$C$2:$T$20,19,false)*HLOOKUP($K935,'Type Chart'!$C$2:$U$20,19,false)</f>
        <v>1</v>
      </c>
      <c r="AM935" s="964" t="s">
        <v>1874</v>
      </c>
      <c r="AN935" s="965" t="s">
        <v>987</v>
      </c>
      <c r="AO935" s="966" t="s">
        <v>3380</v>
      </c>
      <c r="AP935" s="936"/>
      <c r="AQ935" s="967"/>
      <c r="AR935" s="968"/>
      <c r="AS935" s="936"/>
    </row>
    <row r="936" ht="15.75" customHeight="1">
      <c r="A936" s="936"/>
      <c r="B936" s="948" t="s">
        <v>3582</v>
      </c>
      <c r="C936" s="950" t="s">
        <v>3583</v>
      </c>
      <c r="D936" s="950" t="s">
        <v>3583</v>
      </c>
      <c r="E936" s="952" t="s">
        <v>3583</v>
      </c>
      <c r="F936" s="940"/>
      <c r="G936" s="953"/>
      <c r="H936" s="969"/>
      <c r="I936" s="956" t="s">
        <v>3584</v>
      </c>
      <c r="J936" s="1214" t="s">
        <v>342</v>
      </c>
      <c r="K936" s="984" t="s">
        <v>216</v>
      </c>
      <c r="L936" s="959">
        <v>45.0</v>
      </c>
      <c r="M936" s="960">
        <v>65.0</v>
      </c>
      <c r="N936" s="960">
        <v>40.0</v>
      </c>
      <c r="O936" s="960">
        <v>30.0</v>
      </c>
      <c r="P936" s="960">
        <v>40.0</v>
      </c>
      <c r="Q936" s="960">
        <v>60.0</v>
      </c>
      <c r="R936" s="960">
        <v>156.0</v>
      </c>
      <c r="S936" s="960">
        <v>219.0</v>
      </c>
      <c r="T936" s="960">
        <v>240.0</v>
      </c>
      <c r="U936" s="960">
        <f t="array" ref="U936">HLOOKUP($J936,'Type Chart'!$C$2:$T$20,2,false)*HLOOKUP($K936,'Type Chart'!$C$2:$U$20,2,false)</f>
        <v>0.5</v>
      </c>
      <c r="V936" s="960">
        <f t="array" ref="V936">HLOOKUP($J936,'Type Chart'!$C$2:$T$20,3,false)*HLOOKUP($K936,'Type Chart'!$C$2:$U$20,3,false)</f>
        <v>2</v>
      </c>
      <c r="W936" s="960">
        <f t="array" ref="W936">HLOOKUP($J936,'Type Chart'!$C$2:$T$20,4,false)*HLOOKUP($K936,'Type Chart'!$C$2:$U$20,4,false)</f>
        <v>0.5</v>
      </c>
      <c r="X936" s="960">
        <f t="array" ref="X936">HLOOKUP($J936,'Type Chart'!$C$2:$T$20,5,false)*HLOOKUP($K936,'Type Chart'!$C$2:$U$20,5,false)</f>
        <v>0.5</v>
      </c>
      <c r="Y936" s="960">
        <f t="array" ref="Y936">HLOOKUP($J936,'Type Chart'!$C$2:$T$20,6,false)*HLOOKUP($K936,'Type Chart'!$C$2:$U$20,6,false)</f>
        <v>2</v>
      </c>
      <c r="Z936" s="960">
        <f t="array" ref="Z936">HLOOKUP($J936,'Type Chart'!$C$2:$T$20,7,false)*HLOOKUP($K936,'Type Chart'!$C$2:$U$20,7,false)</f>
        <v>1</v>
      </c>
      <c r="AA936" s="960">
        <f t="array" ref="AA936">HLOOKUP($J936,'Type Chart'!$C$2:$T$20,8,false)*HLOOKUP($K936,'Type Chart'!$C$2:$U$20,8,false)</f>
        <v>1</v>
      </c>
      <c r="AB936" s="960">
        <f t="array" ref="AB936">HLOOKUP($J936,'Type Chart'!$C$2:$T$20,9,false)*HLOOKUP($K936,'Type Chart'!$C$2:$U$20,9,false)</f>
        <v>1</v>
      </c>
      <c r="AC936" s="960">
        <f t="array" ref="AC936">HLOOKUP($J936,'Type Chart'!$C$2:$T$20,10,false)*HLOOKUP($K936,'Type Chart'!$C$2:$U$20,10,false)</f>
        <v>2</v>
      </c>
      <c r="AD936" s="960">
        <f t="array" ref="AD936">HLOOKUP($J936,'Type Chart'!$C$2:$T$20,11,false)*HLOOKUP($K936,'Type Chart'!$C$2:$U$20,11,false)</f>
        <v>0.5</v>
      </c>
      <c r="AE936" s="960">
        <f t="array" ref="AE936">HLOOKUP($J936,'Type Chart'!$C$2:$T$20,12,false)*HLOOKUP($K936,'Type Chart'!$C$2:$U$20,12,false)</f>
        <v>2</v>
      </c>
      <c r="AF936" s="960">
        <f t="array" ref="AF936">HLOOKUP($J936,'Type Chart'!$C$2:$T$20,13,false)*HLOOKUP($K936,'Type Chart'!$C$2:$U$20,13,false)</f>
        <v>2</v>
      </c>
      <c r="AG936" s="960">
        <f t="array" ref="AG936">HLOOKUP($J936,'Type Chart'!$C$2:$T$20,14,false)*HLOOKUP($K936,'Type Chart'!$C$2:$U$20,14,false)</f>
        <v>1</v>
      </c>
      <c r="AH936" s="960">
        <f t="array" ref="AH936">HLOOKUP($J936,'Type Chart'!$C$2:$T$20,15,false)*HLOOKUP($K936,'Type Chart'!$C$2:$U$20,15,false)</f>
        <v>1</v>
      </c>
      <c r="AI936" s="960">
        <f t="array" ref="AI936">HLOOKUP($J936,'Type Chart'!$C$2:$T$20,16,false)*HLOOKUP($K936,'Type Chart'!$C$2:$U$20,16,false)</f>
        <v>1</v>
      </c>
      <c r="AJ936" s="960">
        <f t="array" ref="AJ936">HLOOKUP($J936,'Type Chart'!$C$2:$T$20,17,false)*HLOOKUP($K936,'Type Chart'!$C$2:$U$20,17,false)</f>
        <v>1</v>
      </c>
      <c r="AK936" s="960">
        <f t="array" ref="AK936">HLOOKUP($J936,'Type Chart'!$C$2:$T$20,18,false)*HLOOKUP($K936,'Type Chart'!$C$2:$U$20,18,false)</f>
        <v>1</v>
      </c>
      <c r="AL936" s="960">
        <f t="array" ref="AL936">HLOOKUP($J936,'Type Chart'!$C$2:$T$20,19,false)*HLOOKUP($K936,'Type Chart'!$C$2:$U$20,19,false)</f>
        <v>1</v>
      </c>
      <c r="AM936" s="964" t="s">
        <v>1022</v>
      </c>
      <c r="AN936" s="965" t="s">
        <v>1265</v>
      </c>
      <c r="AO936" s="966" t="s">
        <v>1306</v>
      </c>
      <c r="AP936" s="936"/>
      <c r="AQ936" s="967"/>
      <c r="AR936" s="968"/>
      <c r="AS936" s="936"/>
    </row>
    <row r="937" ht="15.75" customHeight="1">
      <c r="A937" s="936"/>
      <c r="B937" s="948" t="s">
        <v>3585</v>
      </c>
      <c r="C937" s="950" t="s">
        <v>3586</v>
      </c>
      <c r="D937" s="950" t="s">
        <v>3586</v>
      </c>
      <c r="E937" s="952" t="s">
        <v>3586</v>
      </c>
      <c r="F937" s="940"/>
      <c r="G937" s="953"/>
      <c r="H937" s="969"/>
      <c r="I937" s="956" t="s">
        <v>654</v>
      </c>
      <c r="J937" s="1214" t="s">
        <v>342</v>
      </c>
      <c r="K937" s="984" t="s">
        <v>216</v>
      </c>
      <c r="L937" s="959">
        <v>75.0</v>
      </c>
      <c r="M937" s="960">
        <v>115.0</v>
      </c>
      <c r="N937" s="960">
        <v>65.0</v>
      </c>
      <c r="O937" s="960">
        <v>55.0</v>
      </c>
      <c r="P937" s="960">
        <v>65.0</v>
      </c>
      <c r="Q937" s="960">
        <v>112.0</v>
      </c>
      <c r="R937" s="960">
        <v>260.0</v>
      </c>
      <c r="S937" s="960">
        <v>323.0</v>
      </c>
      <c r="T937" s="960">
        <v>355.0</v>
      </c>
      <c r="U937" s="960">
        <f t="array" ref="U937">HLOOKUP($J937,'Type Chart'!$C$2:$T$20,2,false)*HLOOKUP($K937,'Type Chart'!$C$2:$U$20,2,false)</f>
        <v>0.5</v>
      </c>
      <c r="V937" s="960">
        <f t="array" ref="V937">HLOOKUP($J937,'Type Chart'!$C$2:$T$20,3,false)*HLOOKUP($K937,'Type Chart'!$C$2:$U$20,3,false)</f>
        <v>2</v>
      </c>
      <c r="W937" s="960">
        <f t="array" ref="W937">HLOOKUP($J937,'Type Chart'!$C$2:$T$20,4,false)*HLOOKUP($K937,'Type Chart'!$C$2:$U$20,4,false)</f>
        <v>0.5</v>
      </c>
      <c r="X937" s="960">
        <f t="array" ref="X937">HLOOKUP($J937,'Type Chart'!$C$2:$T$20,5,false)*HLOOKUP($K937,'Type Chart'!$C$2:$U$20,5,false)</f>
        <v>0.5</v>
      </c>
      <c r="Y937" s="960">
        <f t="array" ref="Y937">HLOOKUP($J937,'Type Chart'!$C$2:$T$20,6,false)*HLOOKUP($K937,'Type Chart'!$C$2:$U$20,6,false)</f>
        <v>2</v>
      </c>
      <c r="Z937" s="960">
        <f t="array" ref="Z937">HLOOKUP($J937,'Type Chart'!$C$2:$T$20,7,false)*HLOOKUP($K937,'Type Chart'!$C$2:$U$20,7,false)</f>
        <v>1</v>
      </c>
      <c r="AA937" s="960">
        <f t="array" ref="AA937">HLOOKUP($J937,'Type Chart'!$C$2:$T$20,8,false)*HLOOKUP($K937,'Type Chart'!$C$2:$U$20,8,false)</f>
        <v>1</v>
      </c>
      <c r="AB937" s="960">
        <f t="array" ref="AB937">HLOOKUP($J937,'Type Chart'!$C$2:$T$20,9,false)*HLOOKUP($K937,'Type Chart'!$C$2:$U$20,9,false)</f>
        <v>1</v>
      </c>
      <c r="AC937" s="960">
        <f t="array" ref="AC937">HLOOKUP($J937,'Type Chart'!$C$2:$T$20,10,false)*HLOOKUP($K937,'Type Chart'!$C$2:$U$20,10,false)</f>
        <v>2</v>
      </c>
      <c r="AD937" s="960">
        <f t="array" ref="AD937">HLOOKUP($J937,'Type Chart'!$C$2:$T$20,11,false)*HLOOKUP($K937,'Type Chart'!$C$2:$U$20,11,false)</f>
        <v>0.5</v>
      </c>
      <c r="AE937" s="960">
        <f t="array" ref="AE937">HLOOKUP($J937,'Type Chart'!$C$2:$T$20,12,false)*HLOOKUP($K937,'Type Chart'!$C$2:$U$20,12,false)</f>
        <v>2</v>
      </c>
      <c r="AF937" s="960">
        <f t="array" ref="AF937">HLOOKUP($J937,'Type Chart'!$C$2:$T$20,13,false)*HLOOKUP($K937,'Type Chart'!$C$2:$U$20,13,false)</f>
        <v>2</v>
      </c>
      <c r="AG937" s="960">
        <f t="array" ref="AG937">HLOOKUP($J937,'Type Chart'!$C$2:$T$20,14,false)*HLOOKUP($K937,'Type Chart'!$C$2:$U$20,14,false)</f>
        <v>1</v>
      </c>
      <c r="AH937" s="960">
        <f t="array" ref="AH937">HLOOKUP($J937,'Type Chart'!$C$2:$T$20,15,false)*HLOOKUP($K937,'Type Chart'!$C$2:$U$20,15,false)</f>
        <v>1</v>
      </c>
      <c r="AI937" s="960">
        <f t="array" ref="AI937">HLOOKUP($J937,'Type Chart'!$C$2:$T$20,16,false)*HLOOKUP($K937,'Type Chart'!$C$2:$U$20,16,false)</f>
        <v>1</v>
      </c>
      <c r="AJ937" s="960">
        <f t="array" ref="AJ937">HLOOKUP($J937,'Type Chart'!$C$2:$T$20,17,false)*HLOOKUP($K937,'Type Chart'!$C$2:$U$20,17,false)</f>
        <v>1</v>
      </c>
      <c r="AK937" s="960">
        <f t="array" ref="AK937">HLOOKUP($J937,'Type Chart'!$C$2:$T$20,18,false)*HLOOKUP($K937,'Type Chart'!$C$2:$U$20,18,false)</f>
        <v>1</v>
      </c>
      <c r="AL937" s="960">
        <f t="array" ref="AL937">HLOOKUP($J937,'Type Chart'!$C$2:$T$20,19,false)*HLOOKUP($K937,'Type Chart'!$C$2:$U$20,19,false)</f>
        <v>1</v>
      </c>
      <c r="AM937" s="964" t="s">
        <v>1022</v>
      </c>
      <c r="AN937" s="965" t="s">
        <v>1130</v>
      </c>
      <c r="AO937" s="966" t="s">
        <v>1306</v>
      </c>
      <c r="AP937" s="936"/>
      <c r="AQ937" s="967"/>
      <c r="AR937" s="968"/>
      <c r="AS937" s="936"/>
    </row>
    <row r="938" ht="15.75" customHeight="1">
      <c r="A938" s="1099"/>
      <c r="B938" s="948" t="s">
        <v>3587</v>
      </c>
      <c r="C938" s="1197" t="s">
        <v>3588</v>
      </c>
      <c r="D938" s="1197" t="s">
        <v>3588</v>
      </c>
      <c r="E938" s="1147" t="s">
        <v>3588</v>
      </c>
      <c r="F938" s="940"/>
      <c r="G938" s="953"/>
      <c r="H938" s="969"/>
      <c r="I938" s="998" t="s">
        <v>765</v>
      </c>
      <c r="J938" s="1222" t="s">
        <v>342</v>
      </c>
      <c r="K938" s="1199" t="s">
        <v>216</v>
      </c>
      <c r="L938" s="1200">
        <v>85.0</v>
      </c>
      <c r="M938" s="1201">
        <v>115.0</v>
      </c>
      <c r="N938" s="1201">
        <v>75.0</v>
      </c>
      <c r="O938" s="1201">
        <v>55.0</v>
      </c>
      <c r="P938" s="1201">
        <v>75.0</v>
      </c>
      <c r="Q938" s="1201">
        <v>82.0</v>
      </c>
      <c r="R938" s="960">
        <v>200.0</v>
      </c>
      <c r="S938" s="960">
        <v>263.0</v>
      </c>
      <c r="T938" s="960">
        <v>289.0</v>
      </c>
      <c r="U938" s="960">
        <f t="array" ref="U938">HLOOKUP($J938,'Type Chart'!$C$2:$T$20,2,false)*HLOOKUP($K938,'Type Chart'!$C$2:$U$20,2,false)</f>
        <v>0.5</v>
      </c>
      <c r="V938" s="960">
        <f t="array" ref="V938">HLOOKUP($J938,'Type Chart'!$C$2:$T$20,3,false)*HLOOKUP($K938,'Type Chart'!$C$2:$U$20,3,false)</f>
        <v>2</v>
      </c>
      <c r="W938" s="960">
        <f t="array" ref="W938">HLOOKUP($J938,'Type Chart'!$C$2:$T$20,4,false)*HLOOKUP($K938,'Type Chart'!$C$2:$U$20,4,false)</f>
        <v>0.5</v>
      </c>
      <c r="X938" s="960">
        <f t="array" ref="X938">HLOOKUP($J938,'Type Chart'!$C$2:$T$20,5,false)*HLOOKUP($K938,'Type Chart'!$C$2:$U$20,5,false)</f>
        <v>0.5</v>
      </c>
      <c r="Y938" s="960">
        <f t="array" ref="Y938">HLOOKUP($J938,'Type Chart'!$C$2:$T$20,6,false)*HLOOKUP($K938,'Type Chart'!$C$2:$U$20,6,false)</f>
        <v>2</v>
      </c>
      <c r="Z938" s="960">
        <f t="array" ref="Z938">HLOOKUP($J938,'Type Chart'!$C$2:$T$20,7,false)*HLOOKUP($K938,'Type Chart'!$C$2:$U$20,7,false)</f>
        <v>1</v>
      </c>
      <c r="AA938" s="960">
        <f t="array" ref="AA938">HLOOKUP($J938,'Type Chart'!$C$2:$T$20,8,false)*HLOOKUP($K938,'Type Chart'!$C$2:$U$20,8,false)</f>
        <v>1</v>
      </c>
      <c r="AB938" s="960">
        <f t="array" ref="AB938">HLOOKUP($J938,'Type Chart'!$C$2:$T$20,9,false)*HLOOKUP($K938,'Type Chart'!$C$2:$U$20,9,false)</f>
        <v>1</v>
      </c>
      <c r="AC938" s="960">
        <f t="array" ref="AC938">HLOOKUP($J938,'Type Chart'!$C$2:$T$20,10,false)*HLOOKUP($K938,'Type Chart'!$C$2:$U$20,10,false)</f>
        <v>2</v>
      </c>
      <c r="AD938" s="960">
        <f t="array" ref="AD938">HLOOKUP($J938,'Type Chart'!$C$2:$T$20,11,false)*HLOOKUP($K938,'Type Chart'!$C$2:$U$20,11,false)</f>
        <v>0.5</v>
      </c>
      <c r="AE938" s="960">
        <f t="array" ref="AE938">HLOOKUP($J938,'Type Chart'!$C$2:$T$20,12,false)*HLOOKUP($K938,'Type Chart'!$C$2:$U$20,12,false)</f>
        <v>2</v>
      </c>
      <c r="AF938" s="960">
        <f t="array" ref="AF938">HLOOKUP($J938,'Type Chart'!$C$2:$T$20,13,false)*HLOOKUP($K938,'Type Chart'!$C$2:$U$20,13,false)</f>
        <v>2</v>
      </c>
      <c r="AG938" s="960">
        <f t="array" ref="AG938">HLOOKUP($J938,'Type Chart'!$C$2:$T$20,14,false)*HLOOKUP($K938,'Type Chart'!$C$2:$U$20,14,false)</f>
        <v>1</v>
      </c>
      <c r="AH938" s="960">
        <f t="array" ref="AH938">HLOOKUP($J938,'Type Chart'!$C$2:$T$20,15,false)*HLOOKUP($K938,'Type Chart'!$C$2:$U$20,15,false)</f>
        <v>1</v>
      </c>
      <c r="AI938" s="960">
        <f t="array" ref="AI938">HLOOKUP($J938,'Type Chart'!$C$2:$T$20,16,false)*HLOOKUP($K938,'Type Chart'!$C$2:$U$20,16,false)</f>
        <v>1</v>
      </c>
      <c r="AJ938" s="960">
        <f t="array" ref="AJ938">HLOOKUP($J938,'Type Chart'!$C$2:$T$20,17,false)*HLOOKUP($K938,'Type Chart'!$C$2:$U$20,17,false)</f>
        <v>1</v>
      </c>
      <c r="AK938" s="960">
        <f t="array" ref="AK938">HLOOKUP($J938,'Type Chart'!$C$2:$T$20,18,false)*HLOOKUP($K938,'Type Chart'!$C$2:$U$20,18,false)</f>
        <v>1</v>
      </c>
      <c r="AL938" s="960">
        <f t="array" ref="AL938">HLOOKUP($J938,'Type Chart'!$C$2:$T$20,19,false)*HLOOKUP($K938,'Type Chart'!$C$2:$U$20,19,false)</f>
        <v>1</v>
      </c>
      <c r="AM938" s="1145" t="s">
        <v>1022</v>
      </c>
      <c r="AN938" s="965" t="s">
        <v>1265</v>
      </c>
      <c r="AO938" s="966" t="s">
        <v>1034</v>
      </c>
      <c r="AP938" s="936"/>
      <c r="AQ938" s="967"/>
      <c r="AR938" s="968"/>
      <c r="AS938" s="936"/>
    </row>
    <row r="939" ht="15.75" customHeight="1">
      <c r="A939" s="936"/>
      <c r="B939" s="948" t="s">
        <v>3589</v>
      </c>
      <c r="C939" s="950" t="s">
        <v>3590</v>
      </c>
      <c r="D939" s="950" t="s">
        <v>3590</v>
      </c>
      <c r="E939" s="952" t="s">
        <v>3590</v>
      </c>
      <c r="F939" s="940"/>
      <c r="G939" s="953"/>
      <c r="H939" s="969"/>
      <c r="I939" s="998" t="s">
        <v>479</v>
      </c>
      <c r="J939" s="1214" t="s">
        <v>342</v>
      </c>
      <c r="K939" s="984" t="s">
        <v>216</v>
      </c>
      <c r="L939" s="959">
        <v>75.0</v>
      </c>
      <c r="M939" s="960">
        <v>117.0</v>
      </c>
      <c r="N939" s="960">
        <v>65.0</v>
      </c>
      <c r="O939" s="960">
        <v>55.0</v>
      </c>
      <c r="P939" s="960">
        <v>65.0</v>
      </c>
      <c r="Q939" s="960">
        <v>110.0</v>
      </c>
      <c r="R939" s="960">
        <v>256.0</v>
      </c>
      <c r="S939" s="960">
        <v>319.0</v>
      </c>
      <c r="T939" s="960">
        <v>350.0</v>
      </c>
      <c r="U939" s="960">
        <f t="array" ref="U939">HLOOKUP($J939,'Type Chart'!$C$2:$T$20,2,false)*HLOOKUP($K939,'Type Chart'!$C$2:$U$20,2,false)</f>
        <v>0.5</v>
      </c>
      <c r="V939" s="960">
        <f t="array" ref="V939">HLOOKUP($J939,'Type Chart'!$C$2:$T$20,3,false)*HLOOKUP($K939,'Type Chart'!$C$2:$U$20,3,false)</f>
        <v>2</v>
      </c>
      <c r="W939" s="960">
        <f t="array" ref="W939">HLOOKUP($J939,'Type Chart'!$C$2:$T$20,4,false)*HLOOKUP($K939,'Type Chart'!$C$2:$U$20,4,false)</f>
        <v>0.5</v>
      </c>
      <c r="X939" s="960">
        <f t="array" ref="X939">HLOOKUP($J939,'Type Chart'!$C$2:$T$20,5,false)*HLOOKUP($K939,'Type Chart'!$C$2:$U$20,5,false)</f>
        <v>0.5</v>
      </c>
      <c r="Y939" s="960">
        <f t="array" ref="Y939">HLOOKUP($J939,'Type Chart'!$C$2:$T$20,6,false)*HLOOKUP($K939,'Type Chart'!$C$2:$U$20,6,false)</f>
        <v>2</v>
      </c>
      <c r="Z939" s="960">
        <f t="array" ref="Z939">HLOOKUP($J939,'Type Chart'!$C$2:$T$20,7,false)*HLOOKUP($K939,'Type Chart'!$C$2:$U$20,7,false)</f>
        <v>1</v>
      </c>
      <c r="AA939" s="960">
        <f t="array" ref="AA939">HLOOKUP($J939,'Type Chart'!$C$2:$T$20,8,false)*HLOOKUP($K939,'Type Chart'!$C$2:$U$20,8,false)</f>
        <v>1</v>
      </c>
      <c r="AB939" s="960">
        <f t="array" ref="AB939">HLOOKUP($J939,'Type Chart'!$C$2:$T$20,9,false)*HLOOKUP($K939,'Type Chart'!$C$2:$U$20,9,false)</f>
        <v>1</v>
      </c>
      <c r="AC939" s="960">
        <f t="array" ref="AC939">HLOOKUP($J939,'Type Chart'!$C$2:$T$20,10,false)*HLOOKUP($K939,'Type Chart'!$C$2:$U$20,10,false)</f>
        <v>2</v>
      </c>
      <c r="AD939" s="960">
        <f t="array" ref="AD939">HLOOKUP($J939,'Type Chart'!$C$2:$T$20,11,false)*HLOOKUP($K939,'Type Chart'!$C$2:$U$20,11,false)</f>
        <v>0.5</v>
      </c>
      <c r="AE939" s="960">
        <f t="array" ref="AE939">HLOOKUP($J939,'Type Chart'!$C$2:$T$20,12,false)*HLOOKUP($K939,'Type Chart'!$C$2:$U$20,12,false)</f>
        <v>2</v>
      </c>
      <c r="AF939" s="960">
        <f t="array" ref="AF939">HLOOKUP($J939,'Type Chart'!$C$2:$T$20,13,false)*HLOOKUP($K939,'Type Chart'!$C$2:$U$20,13,false)</f>
        <v>2</v>
      </c>
      <c r="AG939" s="960">
        <f t="array" ref="AG939">HLOOKUP($J939,'Type Chart'!$C$2:$T$20,14,false)*HLOOKUP($K939,'Type Chart'!$C$2:$U$20,14,false)</f>
        <v>1</v>
      </c>
      <c r="AH939" s="960">
        <f t="array" ref="AH939">HLOOKUP($J939,'Type Chart'!$C$2:$T$20,15,false)*HLOOKUP($K939,'Type Chart'!$C$2:$U$20,15,false)</f>
        <v>1</v>
      </c>
      <c r="AI939" s="960">
        <f t="array" ref="AI939">HLOOKUP($J939,'Type Chart'!$C$2:$T$20,16,false)*HLOOKUP($K939,'Type Chart'!$C$2:$U$20,16,false)</f>
        <v>1</v>
      </c>
      <c r="AJ939" s="960">
        <f t="array" ref="AJ939">HLOOKUP($J939,'Type Chart'!$C$2:$T$20,17,false)*HLOOKUP($K939,'Type Chart'!$C$2:$U$20,17,false)</f>
        <v>1</v>
      </c>
      <c r="AK939" s="960">
        <f t="array" ref="AK939">HLOOKUP($J939,'Type Chart'!$C$2:$T$20,18,false)*HLOOKUP($K939,'Type Chart'!$C$2:$U$20,18,false)</f>
        <v>1</v>
      </c>
      <c r="AL939" s="960">
        <f t="array" ref="AL939">HLOOKUP($J939,'Type Chart'!$C$2:$T$20,19,false)*HLOOKUP($K939,'Type Chart'!$C$2:$U$20,19,false)</f>
        <v>1</v>
      </c>
      <c r="AM939" s="964" t="s">
        <v>932</v>
      </c>
      <c r="AN939" s="965"/>
      <c r="AO939" s="966"/>
      <c r="AP939" s="936"/>
      <c r="AQ939" s="967"/>
      <c r="AR939" s="968"/>
      <c r="AS939" s="936"/>
    </row>
    <row r="940" ht="15.75" customHeight="1">
      <c r="A940" s="936"/>
      <c r="B940" s="948" t="s">
        <v>3591</v>
      </c>
      <c r="C940" s="950" t="s">
        <v>3592</v>
      </c>
      <c r="D940" s="950" t="s">
        <v>3592</v>
      </c>
      <c r="E940" s="952" t="s">
        <v>3592</v>
      </c>
      <c r="F940" s="940"/>
      <c r="G940" s="953"/>
      <c r="H940" s="969"/>
      <c r="I940" s="956" t="s">
        <v>997</v>
      </c>
      <c r="J940" s="1056" t="s">
        <v>81</v>
      </c>
      <c r="K940" s="984" t="s">
        <v>216</v>
      </c>
      <c r="L940" s="959">
        <v>45.0</v>
      </c>
      <c r="M940" s="960">
        <v>20.0</v>
      </c>
      <c r="N940" s="960">
        <v>20.0</v>
      </c>
      <c r="O940" s="960">
        <v>25.0</v>
      </c>
      <c r="P940" s="960">
        <v>25.0</v>
      </c>
      <c r="Q940" s="960">
        <v>40.0</v>
      </c>
      <c r="R940" s="960">
        <v>116.0</v>
      </c>
      <c r="S940" s="960">
        <v>179.0</v>
      </c>
      <c r="T940" s="960">
        <v>196.0</v>
      </c>
      <c r="U940" s="960">
        <f t="array" ref="U940">HLOOKUP($J940,'Type Chart'!$C$2:$T$20,2,false)*HLOOKUP($K940,'Type Chart'!$C$2:$U$20,2,false)</f>
        <v>1</v>
      </c>
      <c r="V940" s="960">
        <f t="array" ref="V940">HLOOKUP($J940,'Type Chart'!$C$2:$T$20,3,false)*HLOOKUP($K940,'Type Chart'!$C$2:$U$20,3,false)</f>
        <v>1</v>
      </c>
      <c r="W940" s="960">
        <f t="array" ref="W940">HLOOKUP($J940,'Type Chart'!$C$2:$T$20,4,false)*HLOOKUP($K940,'Type Chart'!$C$2:$U$20,4,false)</f>
        <v>1</v>
      </c>
      <c r="X940" s="960">
        <f t="array" ref="X940">HLOOKUP($J940,'Type Chart'!$C$2:$T$20,5,false)*HLOOKUP($K940,'Type Chart'!$C$2:$U$20,5,false)</f>
        <v>1</v>
      </c>
      <c r="Y940" s="960">
        <f t="array" ref="Y940">HLOOKUP($J940,'Type Chart'!$C$2:$T$20,6,false)*HLOOKUP($K940,'Type Chart'!$C$2:$U$20,6,false)</f>
        <v>1</v>
      </c>
      <c r="Z940" s="960">
        <f t="array" ref="Z940">HLOOKUP($J940,'Type Chart'!$C$2:$T$20,7,false)*HLOOKUP($K940,'Type Chart'!$C$2:$U$20,7,false)</f>
        <v>1</v>
      </c>
      <c r="AA940" s="960">
        <f t="array" ref="AA940">HLOOKUP($J940,'Type Chart'!$C$2:$T$20,8,false)*HLOOKUP($K940,'Type Chart'!$C$2:$U$20,8,false)</f>
        <v>1</v>
      </c>
      <c r="AB940" s="960">
        <f t="array" ref="AB940">HLOOKUP($J940,'Type Chart'!$C$2:$T$20,9,false)*HLOOKUP($K940,'Type Chart'!$C$2:$U$20,9,false)</f>
        <v>1</v>
      </c>
      <c r="AC940" s="960">
        <f t="array" ref="AC940">HLOOKUP($J940,'Type Chart'!$C$2:$T$20,10,false)*HLOOKUP($K940,'Type Chart'!$C$2:$U$20,10,false)</f>
        <v>0.5</v>
      </c>
      <c r="AD940" s="960">
        <f t="array" ref="AD940">HLOOKUP($J940,'Type Chart'!$C$2:$T$20,11,false)*HLOOKUP($K940,'Type Chart'!$C$2:$U$20,11,false)</f>
        <v>0.5</v>
      </c>
      <c r="AE940" s="960">
        <f t="array" ref="AE940">HLOOKUP($J940,'Type Chart'!$C$2:$T$20,12,false)*HLOOKUP($K940,'Type Chart'!$C$2:$U$20,12,false)</f>
        <v>0.5</v>
      </c>
      <c r="AF940" s="960">
        <f t="array" ref="AF940">HLOOKUP($J940,'Type Chart'!$C$2:$T$20,13,false)*HLOOKUP($K940,'Type Chart'!$C$2:$U$20,13,false)</f>
        <v>2</v>
      </c>
      <c r="AG940" s="960">
        <f t="array" ref="AG940">HLOOKUP($J940,'Type Chart'!$C$2:$T$20,14,false)*HLOOKUP($K940,'Type Chart'!$C$2:$U$20,14,false)</f>
        <v>2</v>
      </c>
      <c r="AH940" s="960">
        <f t="array" ref="AH940">HLOOKUP($J940,'Type Chart'!$C$2:$T$20,15,false)*HLOOKUP($K940,'Type Chart'!$C$2:$U$20,15,false)</f>
        <v>1</v>
      </c>
      <c r="AI940" s="960">
        <f t="array" ref="AI940">HLOOKUP($J940,'Type Chart'!$C$2:$T$20,16,false)*HLOOKUP($K940,'Type Chart'!$C$2:$U$20,16,false)</f>
        <v>0.5</v>
      </c>
      <c r="AJ940" s="960">
        <f t="array" ref="AJ940">HLOOKUP($J940,'Type Chart'!$C$2:$T$20,17,false)*HLOOKUP($K940,'Type Chart'!$C$2:$U$20,17,false)</f>
        <v>1</v>
      </c>
      <c r="AK940" s="960">
        <f t="array" ref="AK940">HLOOKUP($J940,'Type Chart'!$C$2:$T$20,18,false)*HLOOKUP($K940,'Type Chart'!$C$2:$U$20,18,false)</f>
        <v>1</v>
      </c>
      <c r="AL940" s="960">
        <f t="array" ref="AL940">HLOOKUP($J940,'Type Chart'!$C$2:$T$20,19,false)*HLOOKUP($K940,'Type Chart'!$C$2:$U$20,19,false)</f>
        <v>1</v>
      </c>
      <c r="AM940" s="964" t="s">
        <v>3593</v>
      </c>
      <c r="AN940" s="965"/>
      <c r="AO940" s="966"/>
      <c r="AP940" s="936"/>
      <c r="AQ940" s="967"/>
      <c r="AR940" s="968"/>
      <c r="AS940" s="936"/>
    </row>
    <row r="941" ht="15.75" customHeight="1">
      <c r="A941" s="936"/>
      <c r="B941" s="948" t="s">
        <v>3594</v>
      </c>
      <c r="C941" s="950" t="s">
        <v>3595</v>
      </c>
      <c r="D941" s="950" t="s">
        <v>3595</v>
      </c>
      <c r="E941" s="952" t="s">
        <v>3595</v>
      </c>
      <c r="F941" s="940"/>
      <c r="G941" s="953"/>
      <c r="H941" s="969"/>
      <c r="I941" s="956" t="s">
        <v>3596</v>
      </c>
      <c r="J941" s="1056" t="s">
        <v>81</v>
      </c>
      <c r="K941" s="984" t="s">
        <v>216</v>
      </c>
      <c r="L941" s="959">
        <v>45.0</v>
      </c>
      <c r="M941" s="960">
        <v>140.0</v>
      </c>
      <c r="N941" s="960">
        <v>130.0</v>
      </c>
      <c r="O941" s="960">
        <v>140.0</v>
      </c>
      <c r="P941" s="960">
        <v>135.0</v>
      </c>
      <c r="Q941" s="960">
        <v>30.0</v>
      </c>
      <c r="R941" s="960">
        <v>96.0</v>
      </c>
      <c r="S941" s="960">
        <v>159.0</v>
      </c>
      <c r="T941" s="960">
        <v>174.0</v>
      </c>
      <c r="U941" s="960">
        <f t="array" ref="U941">HLOOKUP($J941,'Type Chart'!$C$2:$T$20,2,false)*HLOOKUP($K941,'Type Chart'!$C$2:$U$20,2,false)</f>
        <v>1</v>
      </c>
      <c r="V941" s="960">
        <f t="array" ref="V941">HLOOKUP($J941,'Type Chart'!$C$2:$T$20,3,false)*HLOOKUP($K941,'Type Chart'!$C$2:$U$20,3,false)</f>
        <v>1</v>
      </c>
      <c r="W941" s="960">
        <f t="array" ref="W941">HLOOKUP($J941,'Type Chart'!$C$2:$T$20,4,false)*HLOOKUP($K941,'Type Chart'!$C$2:$U$20,4,false)</f>
        <v>1</v>
      </c>
      <c r="X941" s="960">
        <f t="array" ref="X941">HLOOKUP($J941,'Type Chart'!$C$2:$T$20,5,false)*HLOOKUP($K941,'Type Chart'!$C$2:$U$20,5,false)</f>
        <v>1</v>
      </c>
      <c r="Y941" s="960">
        <f t="array" ref="Y941">HLOOKUP($J941,'Type Chart'!$C$2:$T$20,6,false)*HLOOKUP($K941,'Type Chart'!$C$2:$U$20,6,false)</f>
        <v>1</v>
      </c>
      <c r="Z941" s="960">
        <f t="array" ref="Z941">HLOOKUP($J941,'Type Chart'!$C$2:$T$20,7,false)*HLOOKUP($K941,'Type Chart'!$C$2:$U$20,7,false)</f>
        <v>1</v>
      </c>
      <c r="AA941" s="960">
        <f t="array" ref="AA941">HLOOKUP($J941,'Type Chart'!$C$2:$T$20,8,false)*HLOOKUP($K941,'Type Chart'!$C$2:$U$20,8,false)</f>
        <v>1</v>
      </c>
      <c r="AB941" s="960">
        <f t="array" ref="AB941">HLOOKUP($J941,'Type Chart'!$C$2:$T$20,9,false)*HLOOKUP($K941,'Type Chart'!$C$2:$U$20,9,false)</f>
        <v>1</v>
      </c>
      <c r="AC941" s="960">
        <f t="array" ref="AC941">HLOOKUP($J941,'Type Chart'!$C$2:$T$20,10,false)*HLOOKUP($K941,'Type Chart'!$C$2:$U$20,10,false)</f>
        <v>0.5</v>
      </c>
      <c r="AD941" s="960">
        <f t="array" ref="AD941">HLOOKUP($J941,'Type Chart'!$C$2:$T$20,11,false)*HLOOKUP($K941,'Type Chart'!$C$2:$U$20,11,false)</f>
        <v>0.5</v>
      </c>
      <c r="AE941" s="960">
        <f t="array" ref="AE941">HLOOKUP($J941,'Type Chart'!$C$2:$T$20,12,false)*HLOOKUP($K941,'Type Chart'!$C$2:$U$20,12,false)</f>
        <v>0.5</v>
      </c>
      <c r="AF941" s="960">
        <f t="array" ref="AF941">HLOOKUP($J941,'Type Chart'!$C$2:$T$20,13,false)*HLOOKUP($K941,'Type Chart'!$C$2:$U$20,13,false)</f>
        <v>2</v>
      </c>
      <c r="AG941" s="960">
        <f t="array" ref="AG941">HLOOKUP($J941,'Type Chart'!$C$2:$T$20,14,false)*HLOOKUP($K941,'Type Chart'!$C$2:$U$20,14,false)</f>
        <v>2</v>
      </c>
      <c r="AH941" s="960">
        <f t="array" ref="AH941">HLOOKUP($J941,'Type Chart'!$C$2:$T$20,15,false)*HLOOKUP($K941,'Type Chart'!$C$2:$U$20,15,false)</f>
        <v>1</v>
      </c>
      <c r="AI941" s="960">
        <f t="array" ref="AI941">HLOOKUP($J941,'Type Chart'!$C$2:$T$20,16,false)*HLOOKUP($K941,'Type Chart'!$C$2:$U$20,16,false)</f>
        <v>0.5</v>
      </c>
      <c r="AJ941" s="960">
        <f t="array" ref="AJ941">HLOOKUP($J941,'Type Chart'!$C$2:$T$20,17,false)*HLOOKUP($K941,'Type Chart'!$C$2:$U$20,17,false)</f>
        <v>1</v>
      </c>
      <c r="AK941" s="960">
        <f t="array" ref="AK941">HLOOKUP($J941,'Type Chart'!$C$2:$T$20,18,false)*HLOOKUP($K941,'Type Chart'!$C$2:$U$20,18,false)</f>
        <v>1</v>
      </c>
      <c r="AL941" s="960">
        <f t="array" ref="AL941">HLOOKUP($J941,'Type Chart'!$C$2:$T$20,19,false)*HLOOKUP($K941,'Type Chart'!$C$2:$U$20,19,false)</f>
        <v>1</v>
      </c>
      <c r="AM941" s="964" t="s">
        <v>3593</v>
      </c>
      <c r="AN941" s="965"/>
      <c r="AO941" s="966"/>
      <c r="AP941" s="936"/>
      <c r="AQ941" s="967"/>
      <c r="AR941" s="968"/>
      <c r="AS941" s="936"/>
    </row>
    <row r="942" ht="15.75" customHeight="1">
      <c r="A942" s="936"/>
      <c r="B942" s="948" t="s">
        <v>3597</v>
      </c>
      <c r="C942" s="950" t="s">
        <v>3598</v>
      </c>
      <c r="D942" s="950" t="s">
        <v>3598</v>
      </c>
      <c r="E942" s="952" t="s">
        <v>3598</v>
      </c>
      <c r="F942" s="940"/>
      <c r="G942" s="953"/>
      <c r="H942" s="969"/>
      <c r="I942" s="956" t="s">
        <v>846</v>
      </c>
      <c r="J942" s="958" t="s">
        <v>178</v>
      </c>
      <c r="K942" s="1056" t="s">
        <v>81</v>
      </c>
      <c r="L942" s="959">
        <v>50.0</v>
      </c>
      <c r="M942" s="960">
        <v>53.0</v>
      </c>
      <c r="N942" s="960">
        <v>62.0</v>
      </c>
      <c r="O942" s="960">
        <v>43.0</v>
      </c>
      <c r="P942" s="960">
        <v>52.0</v>
      </c>
      <c r="Q942" s="960">
        <v>45.0</v>
      </c>
      <c r="R942" s="960">
        <v>126.0</v>
      </c>
      <c r="S942" s="960">
        <v>189.0</v>
      </c>
      <c r="T942" s="960">
        <v>207.0</v>
      </c>
      <c r="U942" s="960">
        <f t="array" ref="U942">HLOOKUP($J942,'Type Chart'!$C$2:$T$20,2,false)*HLOOKUP($K942,'Type Chart'!$C$2:$U$20,2,false)</f>
        <v>1</v>
      </c>
      <c r="V942" s="960">
        <f t="array" ref="V942">HLOOKUP($J942,'Type Chart'!$C$2:$T$20,3,false)*HLOOKUP($K942,'Type Chart'!$C$2:$U$20,3,false)</f>
        <v>0.5</v>
      </c>
      <c r="W942" s="960">
        <f t="array" ref="W942">HLOOKUP($J942,'Type Chart'!$C$2:$T$20,4,false)*HLOOKUP($K942,'Type Chart'!$C$2:$U$20,4,false)</f>
        <v>1</v>
      </c>
      <c r="X942" s="960">
        <f t="array" ref="X942">HLOOKUP($J942,'Type Chart'!$C$2:$T$20,5,false)*HLOOKUP($K942,'Type Chart'!$C$2:$U$20,5,false)</f>
        <v>0.5</v>
      </c>
      <c r="Y942" s="960">
        <f t="array" ref="Y942">HLOOKUP($J942,'Type Chart'!$C$2:$T$20,6,false)*HLOOKUP($K942,'Type Chart'!$C$2:$U$20,6,false)</f>
        <v>2</v>
      </c>
      <c r="Z942" s="960">
        <f t="array" ref="Z942">HLOOKUP($J942,'Type Chart'!$C$2:$T$20,7,false)*HLOOKUP($K942,'Type Chart'!$C$2:$U$20,7,false)</f>
        <v>1</v>
      </c>
      <c r="AA942" s="960">
        <f t="array" ref="AA942">HLOOKUP($J942,'Type Chart'!$C$2:$T$20,8,false)*HLOOKUP($K942,'Type Chart'!$C$2:$U$20,8,false)</f>
        <v>0.5</v>
      </c>
      <c r="AB942" s="960">
        <f t="array" ref="AB942">HLOOKUP($J942,'Type Chart'!$C$2:$T$20,9,false)*HLOOKUP($K942,'Type Chart'!$C$2:$U$20,9,false)</f>
        <v>1</v>
      </c>
      <c r="AC942" s="960">
        <f t="array" ref="AC942">HLOOKUP($J942,'Type Chart'!$C$2:$T$20,10,false)*HLOOKUP($K942,'Type Chart'!$C$2:$U$20,10,false)</f>
        <v>0.5</v>
      </c>
      <c r="AD942" s="960">
        <f t="array" ref="AD942">HLOOKUP($J942,'Type Chart'!$C$2:$T$20,11,false)*HLOOKUP($K942,'Type Chart'!$C$2:$U$20,11,false)</f>
        <v>0.5</v>
      </c>
      <c r="AE942" s="960">
        <f t="array" ref="AE942">HLOOKUP($J942,'Type Chart'!$C$2:$T$20,12,false)*HLOOKUP($K942,'Type Chart'!$C$2:$U$20,12,false)</f>
        <v>0.5</v>
      </c>
      <c r="AF942" s="960">
        <f t="array" ref="AF942">HLOOKUP($J942,'Type Chart'!$C$2:$T$20,13,false)*HLOOKUP($K942,'Type Chart'!$C$2:$U$20,13,false)</f>
        <v>1</v>
      </c>
      <c r="AG942" s="960">
        <f t="array" ref="AG942">HLOOKUP($J942,'Type Chart'!$C$2:$T$20,14,false)*HLOOKUP($K942,'Type Chart'!$C$2:$U$20,14,false)</f>
        <v>2</v>
      </c>
      <c r="AH942" s="960">
        <f t="array" ref="AH942">HLOOKUP($J942,'Type Chart'!$C$2:$T$20,15,false)*HLOOKUP($K942,'Type Chart'!$C$2:$U$20,15,false)</f>
        <v>2</v>
      </c>
      <c r="AI942" s="960">
        <f t="array" ref="AI942">HLOOKUP($J942,'Type Chart'!$C$2:$T$20,16,false)*HLOOKUP($K942,'Type Chart'!$C$2:$U$20,16,false)</f>
        <v>0.5</v>
      </c>
      <c r="AJ942" s="960">
        <f t="array" ref="AJ942">HLOOKUP($J942,'Type Chart'!$C$2:$T$20,17,false)*HLOOKUP($K942,'Type Chart'!$C$2:$U$20,17,false)</f>
        <v>1</v>
      </c>
      <c r="AK942" s="960">
        <f t="array" ref="AK942">HLOOKUP($J942,'Type Chart'!$C$2:$T$20,18,false)*HLOOKUP($K942,'Type Chart'!$C$2:$U$20,18,false)</f>
        <v>1</v>
      </c>
      <c r="AL942" s="960">
        <f t="array" ref="AL942">HLOOKUP($J942,'Type Chart'!$C$2:$T$20,19,false)*HLOOKUP($K942,'Type Chart'!$C$2:$U$20,19,false)</f>
        <v>0.5</v>
      </c>
      <c r="AM942" s="964" t="s">
        <v>3599</v>
      </c>
      <c r="AN942" s="965" t="s">
        <v>1250</v>
      </c>
      <c r="AO942" s="966" t="s">
        <v>1371</v>
      </c>
      <c r="AP942" s="936"/>
      <c r="AQ942" s="967"/>
      <c r="AR942" s="968"/>
      <c r="AS942" s="936"/>
    </row>
    <row r="943" ht="15.75" customHeight="1">
      <c r="A943" s="936"/>
      <c r="B943" s="948" t="s">
        <v>3600</v>
      </c>
      <c r="C943" s="950" t="s">
        <v>3601</v>
      </c>
      <c r="D943" s="950" t="s">
        <v>3601</v>
      </c>
      <c r="E943" s="952" t="s">
        <v>3601</v>
      </c>
      <c r="F943" s="940"/>
      <c r="G943" s="953"/>
      <c r="H943" s="969"/>
      <c r="I943" s="956" t="s">
        <v>515</v>
      </c>
      <c r="J943" s="958" t="s">
        <v>178</v>
      </c>
      <c r="K943" s="1056" t="s">
        <v>81</v>
      </c>
      <c r="L943" s="959">
        <v>50.0</v>
      </c>
      <c r="M943" s="960">
        <v>63.0</v>
      </c>
      <c r="N943" s="960">
        <v>152.0</v>
      </c>
      <c r="O943" s="960">
        <v>53.0</v>
      </c>
      <c r="P943" s="960">
        <v>142.0</v>
      </c>
      <c r="Q943" s="960">
        <v>35.0</v>
      </c>
      <c r="R943" s="960">
        <v>106.0</v>
      </c>
      <c r="S943" s="960">
        <v>169.0</v>
      </c>
      <c r="T943" s="960">
        <v>185.0</v>
      </c>
      <c r="U943" s="960">
        <f t="array" ref="U943">HLOOKUP($J943,'Type Chart'!$C$2:$T$20,2,false)*HLOOKUP($K943,'Type Chart'!$C$2:$U$20,2,false)</f>
        <v>1</v>
      </c>
      <c r="V943" s="960">
        <f t="array" ref="V943">HLOOKUP($J943,'Type Chart'!$C$2:$T$20,3,false)*HLOOKUP($K943,'Type Chart'!$C$2:$U$20,3,false)</f>
        <v>0.5</v>
      </c>
      <c r="W943" s="960">
        <f t="array" ref="W943">HLOOKUP($J943,'Type Chart'!$C$2:$T$20,4,false)*HLOOKUP($K943,'Type Chart'!$C$2:$U$20,4,false)</f>
        <v>1</v>
      </c>
      <c r="X943" s="960">
        <f t="array" ref="X943">HLOOKUP($J943,'Type Chart'!$C$2:$T$20,5,false)*HLOOKUP($K943,'Type Chart'!$C$2:$U$20,5,false)</f>
        <v>0.5</v>
      </c>
      <c r="Y943" s="960">
        <f t="array" ref="Y943">HLOOKUP($J943,'Type Chart'!$C$2:$T$20,6,false)*HLOOKUP($K943,'Type Chart'!$C$2:$U$20,6,false)</f>
        <v>2</v>
      </c>
      <c r="Z943" s="960">
        <f t="array" ref="Z943">HLOOKUP($J943,'Type Chart'!$C$2:$T$20,7,false)*HLOOKUP($K943,'Type Chart'!$C$2:$U$20,7,false)</f>
        <v>1</v>
      </c>
      <c r="AA943" s="960">
        <f t="array" ref="AA943">HLOOKUP($J943,'Type Chart'!$C$2:$T$20,8,false)*HLOOKUP($K943,'Type Chart'!$C$2:$U$20,8,false)</f>
        <v>0.5</v>
      </c>
      <c r="AB943" s="960">
        <f t="array" ref="AB943">HLOOKUP($J943,'Type Chart'!$C$2:$T$20,9,false)*HLOOKUP($K943,'Type Chart'!$C$2:$U$20,9,false)</f>
        <v>1</v>
      </c>
      <c r="AC943" s="960">
        <f t="array" ref="AC943">HLOOKUP($J943,'Type Chart'!$C$2:$T$20,10,false)*HLOOKUP($K943,'Type Chart'!$C$2:$U$20,10,false)</f>
        <v>0.5</v>
      </c>
      <c r="AD943" s="960">
        <f t="array" ref="AD943">HLOOKUP($J943,'Type Chart'!$C$2:$T$20,11,false)*HLOOKUP($K943,'Type Chart'!$C$2:$U$20,11,false)</f>
        <v>0.5</v>
      </c>
      <c r="AE943" s="960">
        <f t="array" ref="AE943">HLOOKUP($J943,'Type Chart'!$C$2:$T$20,12,false)*HLOOKUP($K943,'Type Chart'!$C$2:$U$20,12,false)</f>
        <v>0.5</v>
      </c>
      <c r="AF943" s="960">
        <f t="array" ref="AF943">HLOOKUP($J943,'Type Chart'!$C$2:$T$20,13,false)*HLOOKUP($K943,'Type Chart'!$C$2:$U$20,13,false)</f>
        <v>1</v>
      </c>
      <c r="AG943" s="960">
        <f t="array" ref="AG943">HLOOKUP($J943,'Type Chart'!$C$2:$T$20,14,false)*HLOOKUP($K943,'Type Chart'!$C$2:$U$20,14,false)</f>
        <v>2</v>
      </c>
      <c r="AH943" s="960">
        <f t="array" ref="AH943">HLOOKUP($J943,'Type Chart'!$C$2:$T$20,15,false)*HLOOKUP($K943,'Type Chart'!$C$2:$U$20,15,false)</f>
        <v>2</v>
      </c>
      <c r="AI943" s="960">
        <f t="array" ref="AI943">HLOOKUP($J943,'Type Chart'!$C$2:$T$20,16,false)*HLOOKUP($K943,'Type Chart'!$C$2:$U$20,16,false)</f>
        <v>0.5</v>
      </c>
      <c r="AJ943" s="960">
        <f t="array" ref="AJ943">HLOOKUP($J943,'Type Chart'!$C$2:$T$20,17,false)*HLOOKUP($K943,'Type Chart'!$C$2:$U$20,17,false)</f>
        <v>1</v>
      </c>
      <c r="AK943" s="960">
        <f t="array" ref="AK943">HLOOKUP($J943,'Type Chart'!$C$2:$T$20,18,false)*HLOOKUP($K943,'Type Chart'!$C$2:$U$20,18,false)</f>
        <v>1</v>
      </c>
      <c r="AL943" s="960">
        <f t="array" ref="AL943">HLOOKUP($J943,'Type Chart'!$C$2:$T$20,19,false)*HLOOKUP($K943,'Type Chart'!$C$2:$U$20,19,false)</f>
        <v>0.5</v>
      </c>
      <c r="AM943" s="964" t="s">
        <v>3599</v>
      </c>
      <c r="AN943" s="965" t="s">
        <v>1250</v>
      </c>
      <c r="AO943" s="966" t="s">
        <v>1371</v>
      </c>
      <c r="AP943" s="936"/>
      <c r="AQ943" s="967"/>
      <c r="AR943" s="968"/>
      <c r="AS943" s="936"/>
    </row>
    <row r="944" ht="15.75" customHeight="1">
      <c r="A944" s="936"/>
      <c r="B944" s="948" t="s">
        <v>3602</v>
      </c>
      <c r="C944" s="950" t="s">
        <v>3603</v>
      </c>
      <c r="D944" s="950" t="s">
        <v>3603</v>
      </c>
      <c r="E944" s="952" t="s">
        <v>3603</v>
      </c>
      <c r="F944" s="940"/>
      <c r="G944" s="953"/>
      <c r="H944" s="969"/>
      <c r="I944" s="956" t="s">
        <v>849</v>
      </c>
      <c r="J944" s="1204" t="s">
        <v>80</v>
      </c>
      <c r="K944" s="984" t="s">
        <v>216</v>
      </c>
      <c r="L944" s="959">
        <v>70.0</v>
      </c>
      <c r="M944" s="960">
        <v>100.0</v>
      </c>
      <c r="N944" s="960">
        <v>70.0</v>
      </c>
      <c r="O944" s="960">
        <v>45.0</v>
      </c>
      <c r="P944" s="960">
        <v>55.0</v>
      </c>
      <c r="Q944" s="960">
        <v>45.0</v>
      </c>
      <c r="R944" s="960">
        <v>126.0</v>
      </c>
      <c r="S944" s="960">
        <v>189.0</v>
      </c>
      <c r="T944" s="960">
        <v>207.0</v>
      </c>
      <c r="U944" s="960">
        <f t="array" ref="U944">HLOOKUP($J944,'Type Chart'!$C$2:$T$20,2,false)*HLOOKUP($K944,'Type Chart'!$C$2:$U$20,2,false)</f>
        <v>1</v>
      </c>
      <c r="V944" s="960">
        <f t="array" ref="V944">HLOOKUP($J944,'Type Chart'!$C$2:$T$20,3,false)*HLOOKUP($K944,'Type Chart'!$C$2:$U$20,3,false)</f>
        <v>1</v>
      </c>
      <c r="W944" s="960">
        <f t="array" ref="W944">HLOOKUP($J944,'Type Chart'!$C$2:$T$20,4,false)*HLOOKUP($K944,'Type Chart'!$C$2:$U$20,4,false)</f>
        <v>1</v>
      </c>
      <c r="X944" s="960">
        <f t="array" ref="X944">HLOOKUP($J944,'Type Chart'!$C$2:$T$20,5,false)*HLOOKUP($K944,'Type Chart'!$C$2:$U$20,5,false)</f>
        <v>0.5</v>
      </c>
      <c r="Y944" s="960">
        <f t="array" ref="Y944">HLOOKUP($J944,'Type Chart'!$C$2:$T$20,6,false)*HLOOKUP($K944,'Type Chart'!$C$2:$U$20,6,false)</f>
        <v>1</v>
      </c>
      <c r="Z944" s="960">
        <f t="array" ref="Z944">HLOOKUP($J944,'Type Chart'!$C$2:$T$20,7,false)*HLOOKUP($K944,'Type Chart'!$C$2:$U$20,7,false)</f>
        <v>0.5</v>
      </c>
      <c r="AA944" s="960">
        <f t="array" ref="AA944">HLOOKUP($J944,'Type Chart'!$C$2:$T$20,8,false)*HLOOKUP($K944,'Type Chart'!$C$2:$U$20,8,false)</f>
        <v>1</v>
      </c>
      <c r="AB944" s="960">
        <f t="array" ref="AB944">HLOOKUP($J944,'Type Chart'!$C$2:$T$20,9,false)*HLOOKUP($K944,'Type Chart'!$C$2:$U$20,9,false)</f>
        <v>1</v>
      </c>
      <c r="AC944" s="960">
        <f t="array" ref="AC944">HLOOKUP($J944,'Type Chart'!$C$2:$T$20,10,false)*HLOOKUP($K944,'Type Chart'!$C$2:$U$20,10,false)</f>
        <v>1</v>
      </c>
      <c r="AD944" s="960">
        <f t="array" ref="AD944">HLOOKUP($J944,'Type Chart'!$C$2:$T$20,11,false)*HLOOKUP($K944,'Type Chart'!$C$2:$U$20,11,false)</f>
        <v>1</v>
      </c>
      <c r="AE944" s="960">
        <f t="array" ref="AE944">HLOOKUP($J944,'Type Chart'!$C$2:$T$20,12,false)*HLOOKUP($K944,'Type Chart'!$C$2:$U$20,12,false)</f>
        <v>2</v>
      </c>
      <c r="AF944" s="960">
        <f t="array" ref="AF944">HLOOKUP($J944,'Type Chart'!$C$2:$T$20,13,false)*HLOOKUP($K944,'Type Chart'!$C$2:$U$20,13,false)</f>
        <v>2</v>
      </c>
      <c r="AG944" s="960">
        <f t="array" ref="AG944">HLOOKUP($J944,'Type Chart'!$C$2:$T$20,14,false)*HLOOKUP($K944,'Type Chart'!$C$2:$U$20,14,false)</f>
        <v>0</v>
      </c>
      <c r="AH944" s="960">
        <f t="array" ref="AH944">HLOOKUP($J944,'Type Chart'!$C$2:$T$20,15,false)*HLOOKUP($K944,'Type Chart'!$C$2:$U$20,15,false)</f>
        <v>1</v>
      </c>
      <c r="AI944" s="960">
        <f t="array" ref="AI944">HLOOKUP($J944,'Type Chart'!$C$2:$T$20,16,false)*HLOOKUP($K944,'Type Chart'!$C$2:$U$20,16,false)</f>
        <v>2</v>
      </c>
      <c r="AJ944" s="960">
        <f t="array" ref="AJ944">HLOOKUP($J944,'Type Chart'!$C$2:$T$20,17,false)*HLOOKUP($K944,'Type Chart'!$C$2:$U$20,17,false)</f>
        <v>1</v>
      </c>
      <c r="AK944" s="960">
        <f t="array" ref="AK944">HLOOKUP($J944,'Type Chart'!$C$2:$T$20,18,false)*HLOOKUP($K944,'Type Chart'!$C$2:$U$20,18,false)</f>
        <v>1</v>
      </c>
      <c r="AL944" s="960">
        <f t="array" ref="AL944">HLOOKUP($J944,'Type Chart'!$C$2:$T$20,19,false)*HLOOKUP($K944,'Type Chart'!$C$2:$U$20,19,false)</f>
        <v>1</v>
      </c>
      <c r="AM944" s="964" t="s">
        <v>1370</v>
      </c>
      <c r="AN944" s="965" t="s">
        <v>3604</v>
      </c>
      <c r="AO944" s="966" t="s">
        <v>1192</v>
      </c>
      <c r="AP944" s="936"/>
      <c r="AQ944" s="967"/>
      <c r="AR944" s="968"/>
      <c r="AS944" s="936"/>
    </row>
    <row r="945" ht="15.75" customHeight="1">
      <c r="A945" s="936"/>
      <c r="B945" s="948" t="s">
        <v>3605</v>
      </c>
      <c r="C945" s="950" t="s">
        <v>3606</v>
      </c>
      <c r="D945" s="950" t="s">
        <v>3606</v>
      </c>
      <c r="E945" s="952" t="s">
        <v>3606</v>
      </c>
      <c r="F945" s="940"/>
      <c r="G945" s="953"/>
      <c r="H945" s="969"/>
      <c r="I945" s="956" t="s">
        <v>593</v>
      </c>
      <c r="J945" s="1204" t="s">
        <v>80</v>
      </c>
      <c r="K945" s="984" t="s">
        <v>216</v>
      </c>
      <c r="L945" s="959">
        <v>100.0</v>
      </c>
      <c r="M945" s="960">
        <v>125.0</v>
      </c>
      <c r="N945" s="960">
        <v>100.0</v>
      </c>
      <c r="O945" s="960">
        <v>55.0</v>
      </c>
      <c r="P945" s="960">
        <v>85.0</v>
      </c>
      <c r="Q945" s="960">
        <v>35.0</v>
      </c>
      <c r="R945" s="960">
        <v>106.0</v>
      </c>
      <c r="S945" s="960">
        <v>169.0</v>
      </c>
      <c r="T945" s="960">
        <v>185.0</v>
      </c>
      <c r="U945" s="960">
        <f t="array" ref="U945">HLOOKUP($J945,'Type Chart'!$C$2:$T$20,2,false)*HLOOKUP($K945,'Type Chart'!$C$2:$U$20,2,false)</f>
        <v>1</v>
      </c>
      <c r="V945" s="960">
        <f t="array" ref="V945">HLOOKUP($J945,'Type Chart'!$C$2:$T$20,3,false)*HLOOKUP($K945,'Type Chart'!$C$2:$U$20,3,false)</f>
        <v>1</v>
      </c>
      <c r="W945" s="960">
        <f t="array" ref="W945">HLOOKUP($J945,'Type Chart'!$C$2:$T$20,4,false)*HLOOKUP($K945,'Type Chart'!$C$2:$U$20,4,false)</f>
        <v>1</v>
      </c>
      <c r="X945" s="960">
        <f t="array" ref="X945">HLOOKUP($J945,'Type Chart'!$C$2:$T$20,5,false)*HLOOKUP($K945,'Type Chart'!$C$2:$U$20,5,false)</f>
        <v>0.5</v>
      </c>
      <c r="Y945" s="960">
        <f t="array" ref="Y945">HLOOKUP($J945,'Type Chart'!$C$2:$T$20,6,false)*HLOOKUP($K945,'Type Chart'!$C$2:$U$20,6,false)</f>
        <v>1</v>
      </c>
      <c r="Z945" s="960">
        <f t="array" ref="Z945">HLOOKUP($J945,'Type Chart'!$C$2:$T$20,7,false)*HLOOKUP($K945,'Type Chart'!$C$2:$U$20,7,false)</f>
        <v>0.5</v>
      </c>
      <c r="AA945" s="960">
        <f t="array" ref="AA945">HLOOKUP($J945,'Type Chart'!$C$2:$T$20,8,false)*HLOOKUP($K945,'Type Chart'!$C$2:$U$20,8,false)</f>
        <v>1</v>
      </c>
      <c r="AB945" s="960">
        <f t="array" ref="AB945">HLOOKUP($J945,'Type Chart'!$C$2:$T$20,9,false)*HLOOKUP($K945,'Type Chart'!$C$2:$U$20,9,false)</f>
        <v>1</v>
      </c>
      <c r="AC945" s="960">
        <f t="array" ref="AC945">HLOOKUP($J945,'Type Chart'!$C$2:$T$20,10,false)*HLOOKUP($K945,'Type Chart'!$C$2:$U$20,10,false)</f>
        <v>1</v>
      </c>
      <c r="AD945" s="960">
        <f t="array" ref="AD945">HLOOKUP($J945,'Type Chart'!$C$2:$T$20,11,false)*HLOOKUP($K945,'Type Chart'!$C$2:$U$20,11,false)</f>
        <v>1</v>
      </c>
      <c r="AE945" s="960">
        <f t="array" ref="AE945">HLOOKUP($J945,'Type Chart'!$C$2:$T$20,12,false)*HLOOKUP($K945,'Type Chart'!$C$2:$U$20,12,false)</f>
        <v>2</v>
      </c>
      <c r="AF945" s="960">
        <f t="array" ref="AF945">HLOOKUP($J945,'Type Chart'!$C$2:$T$20,13,false)*HLOOKUP($K945,'Type Chart'!$C$2:$U$20,13,false)</f>
        <v>2</v>
      </c>
      <c r="AG945" s="960">
        <f t="array" ref="AG945">HLOOKUP($J945,'Type Chart'!$C$2:$T$20,14,false)*HLOOKUP($K945,'Type Chart'!$C$2:$U$20,14,false)</f>
        <v>0</v>
      </c>
      <c r="AH945" s="960">
        <f t="array" ref="AH945">HLOOKUP($J945,'Type Chart'!$C$2:$T$20,15,false)*HLOOKUP($K945,'Type Chart'!$C$2:$U$20,15,false)</f>
        <v>1</v>
      </c>
      <c r="AI945" s="960">
        <f t="array" ref="AI945">HLOOKUP($J945,'Type Chart'!$C$2:$T$20,16,false)*HLOOKUP($K945,'Type Chart'!$C$2:$U$20,16,false)</f>
        <v>2</v>
      </c>
      <c r="AJ945" s="960">
        <f t="array" ref="AJ945">HLOOKUP($J945,'Type Chart'!$C$2:$T$20,17,false)*HLOOKUP($K945,'Type Chart'!$C$2:$U$20,17,false)</f>
        <v>1</v>
      </c>
      <c r="AK945" s="960">
        <f t="array" ref="AK945">HLOOKUP($J945,'Type Chart'!$C$2:$T$20,18,false)*HLOOKUP($K945,'Type Chart'!$C$2:$U$20,18,false)</f>
        <v>1</v>
      </c>
      <c r="AL945" s="960">
        <f t="array" ref="AL945">HLOOKUP($J945,'Type Chart'!$C$2:$T$20,19,false)*HLOOKUP($K945,'Type Chart'!$C$2:$U$20,19,false)</f>
        <v>1</v>
      </c>
      <c r="AM945" s="964" t="s">
        <v>1370</v>
      </c>
      <c r="AN945" s="965" t="s">
        <v>3604</v>
      </c>
      <c r="AO945" s="966" t="s">
        <v>1192</v>
      </c>
      <c r="AP945" s="936"/>
      <c r="AQ945" s="967"/>
      <c r="AR945" s="968"/>
      <c r="AS945" s="936"/>
    </row>
    <row r="946" ht="15.75" customHeight="1">
      <c r="A946" s="1099"/>
      <c r="B946" s="948" t="s">
        <v>3607</v>
      </c>
      <c r="C946" s="950" t="s">
        <v>3608</v>
      </c>
      <c r="D946" s="950" t="s">
        <v>3608</v>
      </c>
      <c r="E946" s="952" t="s">
        <v>3608</v>
      </c>
      <c r="F946" s="940"/>
      <c r="G946" s="953"/>
      <c r="H946" s="969"/>
      <c r="I946" s="956" t="s">
        <v>3609</v>
      </c>
      <c r="J946" s="1056" t="s">
        <v>81</v>
      </c>
      <c r="K946" s="1180" t="s">
        <v>343</v>
      </c>
      <c r="L946" s="959">
        <v>38.0</v>
      </c>
      <c r="M946" s="960">
        <v>40.0</v>
      </c>
      <c r="N946" s="960">
        <v>52.0</v>
      </c>
      <c r="O946" s="960">
        <v>40.0</v>
      </c>
      <c r="P946" s="960">
        <v>72.0</v>
      </c>
      <c r="Q946" s="960">
        <v>27.0</v>
      </c>
      <c r="R946" s="960">
        <v>90.0</v>
      </c>
      <c r="S946" s="960">
        <v>153.0</v>
      </c>
      <c r="T946" s="960">
        <v>168.0</v>
      </c>
      <c r="U946" s="960">
        <f t="array" ref="U946">HLOOKUP($J946,'Type Chart'!$C$2:$T$20,2,false)*HLOOKUP($K946,'Type Chart'!$C$2:$U$20,2,false)</f>
        <v>1</v>
      </c>
      <c r="V946" s="960">
        <f t="array" ref="V946">HLOOKUP($J946,'Type Chart'!$C$2:$T$20,3,false)*HLOOKUP($K946,'Type Chart'!$C$2:$U$20,3,false)</f>
        <v>0.5</v>
      </c>
      <c r="W946" s="960">
        <f t="array" ref="W946">HLOOKUP($J946,'Type Chart'!$C$2:$T$20,4,false)*HLOOKUP($K946,'Type Chart'!$C$2:$U$20,4,false)</f>
        <v>2</v>
      </c>
      <c r="X946" s="960">
        <f t="array" ref="X946">HLOOKUP($J946,'Type Chart'!$C$2:$T$20,5,false)*HLOOKUP($K946,'Type Chart'!$C$2:$U$20,5,false)</f>
        <v>1</v>
      </c>
      <c r="Y946" s="960">
        <f t="array" ref="Y946">HLOOKUP($J946,'Type Chart'!$C$2:$T$20,6,false)*HLOOKUP($K946,'Type Chart'!$C$2:$U$20,6,false)</f>
        <v>0.5</v>
      </c>
      <c r="Z946" s="960">
        <f t="array" ref="Z946">HLOOKUP($J946,'Type Chart'!$C$2:$T$20,7,false)*HLOOKUP($K946,'Type Chart'!$C$2:$U$20,7,false)</f>
        <v>2</v>
      </c>
      <c r="AA946" s="960">
        <f t="array" ref="AA946">HLOOKUP($J946,'Type Chart'!$C$2:$T$20,8,false)*HLOOKUP($K946,'Type Chart'!$C$2:$U$20,8,false)</f>
        <v>1</v>
      </c>
      <c r="AB946" s="960">
        <f t="array" ref="AB946">HLOOKUP($J946,'Type Chart'!$C$2:$T$20,9,false)*HLOOKUP($K946,'Type Chart'!$C$2:$U$20,9,false)</f>
        <v>1</v>
      </c>
      <c r="AC946" s="960">
        <f t="array" ref="AC946">HLOOKUP($J946,'Type Chart'!$C$2:$T$20,10,false)*HLOOKUP($K946,'Type Chart'!$C$2:$U$20,10,false)</f>
        <v>0.5</v>
      </c>
      <c r="AD946" s="960">
        <f t="array" ref="AD946">HLOOKUP($J946,'Type Chart'!$C$2:$T$20,11,false)*HLOOKUP($K946,'Type Chart'!$C$2:$U$20,11,false)</f>
        <v>1</v>
      </c>
      <c r="AE946" s="960">
        <f t="array" ref="AE946">HLOOKUP($J946,'Type Chart'!$C$2:$T$20,12,false)*HLOOKUP($K946,'Type Chart'!$C$2:$U$20,12,false)</f>
        <v>0.5</v>
      </c>
      <c r="AF946" s="960">
        <f t="array" ref="AF946">HLOOKUP($J946,'Type Chart'!$C$2:$T$20,13,false)*HLOOKUP($K946,'Type Chart'!$C$2:$U$20,13,false)</f>
        <v>1</v>
      </c>
      <c r="AG946" s="960">
        <f t="array" ref="AG946">HLOOKUP($J946,'Type Chart'!$C$2:$T$20,14,false)*HLOOKUP($K946,'Type Chart'!$C$2:$U$20,14,false)</f>
        <v>2</v>
      </c>
      <c r="AH946" s="960">
        <f t="array" ref="AH946">HLOOKUP($J946,'Type Chart'!$C$2:$T$20,15,false)*HLOOKUP($K946,'Type Chart'!$C$2:$U$20,15,false)</f>
        <v>1</v>
      </c>
      <c r="AI946" s="960">
        <f t="array" ref="AI946">HLOOKUP($J946,'Type Chart'!$C$2:$T$20,16,false)*HLOOKUP($K946,'Type Chart'!$C$2:$U$20,16,false)</f>
        <v>0.5</v>
      </c>
      <c r="AJ946" s="960">
        <f t="array" ref="AJ946">HLOOKUP($J946,'Type Chart'!$C$2:$T$20,17,false)*HLOOKUP($K946,'Type Chart'!$C$2:$U$20,17,false)</f>
        <v>1</v>
      </c>
      <c r="AK946" s="960">
        <f t="array" ref="AK946">HLOOKUP($J946,'Type Chart'!$C$2:$T$20,18,false)*HLOOKUP($K946,'Type Chart'!$C$2:$U$20,18,false)</f>
        <v>1</v>
      </c>
      <c r="AL946" s="960">
        <f t="array" ref="AL946">HLOOKUP($J946,'Type Chart'!$C$2:$T$20,19,false)*HLOOKUP($K946,'Type Chart'!$C$2:$U$20,19,false)</f>
        <v>1</v>
      </c>
      <c r="AM946" s="1145" t="s">
        <v>3610</v>
      </c>
      <c r="AN946" s="965"/>
      <c r="AO946" s="1146" t="s">
        <v>1283</v>
      </c>
      <c r="AP946" s="936"/>
      <c r="AQ946" s="967"/>
      <c r="AR946" s="968"/>
      <c r="AS946" s="936"/>
    </row>
    <row r="947" ht="15.75" customHeight="1">
      <c r="A947" s="1099"/>
      <c r="B947" s="948" t="s">
        <v>3611</v>
      </c>
      <c r="C947" s="1197" t="s">
        <v>3612</v>
      </c>
      <c r="D947" s="1197" t="s">
        <v>3612</v>
      </c>
      <c r="E947" s="1147" t="s">
        <v>3612</v>
      </c>
      <c r="F947" s="940"/>
      <c r="G947" s="953"/>
      <c r="H947" s="969"/>
      <c r="I947" s="998" t="s">
        <v>614</v>
      </c>
      <c r="J947" s="1211" t="s">
        <v>81</v>
      </c>
      <c r="K947" s="1225" t="s">
        <v>343</v>
      </c>
      <c r="L947" s="1200">
        <v>68.0</v>
      </c>
      <c r="M947" s="1201">
        <v>70.0</v>
      </c>
      <c r="N947" s="1201">
        <v>92.0</v>
      </c>
      <c r="O947" s="1201">
        <v>50.0</v>
      </c>
      <c r="P947" s="1201">
        <v>132.0</v>
      </c>
      <c r="Q947" s="1201">
        <v>42.0</v>
      </c>
      <c r="R947" s="960">
        <v>120.0</v>
      </c>
      <c r="S947" s="960">
        <v>183.0</v>
      </c>
      <c r="T947" s="960">
        <v>201.0</v>
      </c>
      <c r="U947" s="960">
        <f t="array" ref="U947">HLOOKUP($J947,'Type Chart'!$C$2:$T$20,2,false)*HLOOKUP($K947,'Type Chart'!$C$2:$U$20,2,false)</f>
        <v>1</v>
      </c>
      <c r="V947" s="960">
        <f t="array" ref="V947">HLOOKUP($J947,'Type Chart'!$C$2:$T$20,3,false)*HLOOKUP($K947,'Type Chart'!$C$2:$U$20,3,false)</f>
        <v>0.5</v>
      </c>
      <c r="W947" s="960">
        <f t="array" ref="W947">HLOOKUP($J947,'Type Chart'!$C$2:$T$20,4,false)*HLOOKUP($K947,'Type Chart'!$C$2:$U$20,4,false)</f>
        <v>2</v>
      </c>
      <c r="X947" s="960">
        <f t="array" ref="X947">HLOOKUP($J947,'Type Chart'!$C$2:$T$20,5,false)*HLOOKUP($K947,'Type Chart'!$C$2:$U$20,5,false)</f>
        <v>1</v>
      </c>
      <c r="Y947" s="960">
        <f t="array" ref="Y947">HLOOKUP($J947,'Type Chart'!$C$2:$T$20,6,false)*HLOOKUP($K947,'Type Chart'!$C$2:$U$20,6,false)</f>
        <v>0.5</v>
      </c>
      <c r="Z947" s="960">
        <f t="array" ref="Z947">HLOOKUP($J947,'Type Chart'!$C$2:$T$20,7,false)*HLOOKUP($K947,'Type Chart'!$C$2:$U$20,7,false)</f>
        <v>2</v>
      </c>
      <c r="AA947" s="960">
        <f t="array" ref="AA947">HLOOKUP($J947,'Type Chart'!$C$2:$T$20,8,false)*HLOOKUP($K947,'Type Chart'!$C$2:$U$20,8,false)</f>
        <v>1</v>
      </c>
      <c r="AB947" s="960">
        <f t="array" ref="AB947">HLOOKUP($J947,'Type Chart'!$C$2:$T$20,9,false)*HLOOKUP($K947,'Type Chart'!$C$2:$U$20,9,false)</f>
        <v>1</v>
      </c>
      <c r="AC947" s="960">
        <f t="array" ref="AC947">HLOOKUP($J947,'Type Chart'!$C$2:$T$20,10,false)*HLOOKUP($K947,'Type Chart'!$C$2:$U$20,10,false)</f>
        <v>0.5</v>
      </c>
      <c r="AD947" s="960">
        <f t="array" ref="AD947">HLOOKUP($J947,'Type Chart'!$C$2:$T$20,11,false)*HLOOKUP($K947,'Type Chart'!$C$2:$U$20,11,false)</f>
        <v>1</v>
      </c>
      <c r="AE947" s="960">
        <f t="array" ref="AE947">HLOOKUP($J947,'Type Chart'!$C$2:$T$20,12,false)*HLOOKUP($K947,'Type Chart'!$C$2:$U$20,12,false)</f>
        <v>0.5</v>
      </c>
      <c r="AF947" s="960">
        <f t="array" ref="AF947">HLOOKUP($J947,'Type Chart'!$C$2:$T$20,13,false)*HLOOKUP($K947,'Type Chart'!$C$2:$U$20,13,false)</f>
        <v>1</v>
      </c>
      <c r="AG947" s="960">
        <f t="array" ref="AG947">HLOOKUP($J947,'Type Chart'!$C$2:$T$20,14,false)*HLOOKUP($K947,'Type Chart'!$C$2:$U$20,14,false)</f>
        <v>2</v>
      </c>
      <c r="AH947" s="960">
        <f t="array" ref="AH947">HLOOKUP($J947,'Type Chart'!$C$2:$T$20,15,false)*HLOOKUP($K947,'Type Chart'!$C$2:$U$20,15,false)</f>
        <v>1</v>
      </c>
      <c r="AI947" s="960">
        <f t="array" ref="AI947">HLOOKUP($J947,'Type Chart'!$C$2:$T$20,16,false)*HLOOKUP($K947,'Type Chart'!$C$2:$U$20,16,false)</f>
        <v>0.5</v>
      </c>
      <c r="AJ947" s="960">
        <f t="array" ref="AJ947">HLOOKUP($J947,'Type Chart'!$C$2:$T$20,17,false)*HLOOKUP($K947,'Type Chart'!$C$2:$U$20,17,false)</f>
        <v>1</v>
      </c>
      <c r="AK947" s="960">
        <f t="array" ref="AK947">HLOOKUP($J947,'Type Chart'!$C$2:$T$20,18,false)*HLOOKUP($K947,'Type Chart'!$C$2:$U$20,18,false)</f>
        <v>1</v>
      </c>
      <c r="AL947" s="960">
        <f t="array" ref="AL947">HLOOKUP($J947,'Type Chart'!$C$2:$T$20,19,false)*HLOOKUP($K947,'Type Chart'!$C$2:$U$20,19,false)</f>
        <v>1</v>
      </c>
      <c r="AM947" s="1145" t="s">
        <v>3610</v>
      </c>
      <c r="AN947" s="1202"/>
      <c r="AO947" s="1146" t="s">
        <v>1283</v>
      </c>
      <c r="AP947" s="936"/>
      <c r="AQ947" s="967"/>
      <c r="AR947" s="968"/>
      <c r="AS947" s="936"/>
    </row>
    <row r="948" ht="15.75" customHeight="1">
      <c r="A948" s="936"/>
      <c r="B948" s="948" t="s">
        <v>3613</v>
      </c>
      <c r="C948" s="950" t="s">
        <v>3614</v>
      </c>
      <c r="D948" s="950" t="s">
        <v>3614</v>
      </c>
      <c r="E948" s="952" t="s">
        <v>3614</v>
      </c>
      <c r="F948" s="940"/>
      <c r="G948" s="953"/>
      <c r="H948" s="969"/>
      <c r="I948" s="956" t="s">
        <v>3615</v>
      </c>
      <c r="J948" s="957" t="s">
        <v>209</v>
      </c>
      <c r="K948" s="984" t="s">
        <v>216</v>
      </c>
      <c r="L948" s="959">
        <v>40.0</v>
      </c>
      <c r="M948" s="960">
        <v>55.0</v>
      </c>
      <c r="N948" s="960">
        <v>35.0</v>
      </c>
      <c r="O948" s="960">
        <v>50.0</v>
      </c>
      <c r="P948" s="960">
        <v>35.0</v>
      </c>
      <c r="Q948" s="960">
        <v>35.0</v>
      </c>
      <c r="R948" s="960">
        <v>106.0</v>
      </c>
      <c r="S948" s="960">
        <v>169.0</v>
      </c>
      <c r="T948" s="960">
        <v>185.0</v>
      </c>
      <c r="U948" s="960">
        <f t="array" ref="U948">HLOOKUP($J948,'Type Chart'!$C$2:$T$20,2,false)*HLOOKUP($K948,'Type Chart'!$C$2:$U$20,2,false)</f>
        <v>1</v>
      </c>
      <c r="V948" s="960">
        <f t="array" ref="V948">HLOOKUP($J948,'Type Chart'!$C$2:$T$20,3,false)*HLOOKUP($K948,'Type Chart'!$C$2:$U$20,3,false)</f>
        <v>1</v>
      </c>
      <c r="W948" s="960">
        <f t="array" ref="W948">HLOOKUP($J948,'Type Chart'!$C$2:$T$20,4,false)*HLOOKUP($K948,'Type Chart'!$C$2:$U$20,4,false)</f>
        <v>2</v>
      </c>
      <c r="X948" s="960">
        <f t="array" ref="X948">HLOOKUP($J948,'Type Chart'!$C$2:$T$20,5,false)*HLOOKUP($K948,'Type Chart'!$C$2:$U$20,5,false)</f>
        <v>2</v>
      </c>
      <c r="Y948" s="960">
        <f t="array" ref="Y948">HLOOKUP($J948,'Type Chart'!$C$2:$T$20,6,false)*HLOOKUP($K948,'Type Chart'!$C$2:$U$20,6,false)</f>
        <v>0.5</v>
      </c>
      <c r="Z948" s="960">
        <f t="array" ref="Z948">HLOOKUP($J948,'Type Chart'!$C$2:$T$20,7,false)*HLOOKUP($K948,'Type Chart'!$C$2:$U$20,7,false)</f>
        <v>1</v>
      </c>
      <c r="AA948" s="960">
        <f t="array" ref="AA948">HLOOKUP($J948,'Type Chart'!$C$2:$T$20,8,false)*HLOOKUP($K948,'Type Chart'!$C$2:$U$20,8,false)</f>
        <v>2</v>
      </c>
      <c r="AB948" s="960">
        <f t="array" ref="AB948">HLOOKUP($J948,'Type Chart'!$C$2:$T$20,9,false)*HLOOKUP($K948,'Type Chart'!$C$2:$U$20,9,false)</f>
        <v>1</v>
      </c>
      <c r="AC948" s="960">
        <f t="array" ref="AC948">HLOOKUP($J948,'Type Chart'!$C$2:$T$20,10,false)*HLOOKUP($K948,'Type Chart'!$C$2:$U$20,10,false)</f>
        <v>1</v>
      </c>
      <c r="AD948" s="960">
        <f t="array" ref="AD948">HLOOKUP($J948,'Type Chart'!$C$2:$T$20,11,false)*HLOOKUP($K948,'Type Chart'!$C$2:$U$20,11,false)</f>
        <v>2</v>
      </c>
      <c r="AE948" s="960">
        <f t="array" ref="AE948">HLOOKUP($J948,'Type Chart'!$C$2:$T$20,12,false)*HLOOKUP($K948,'Type Chart'!$C$2:$U$20,12,false)</f>
        <v>0.5</v>
      </c>
      <c r="AF948" s="960">
        <f t="array" ref="AF948">HLOOKUP($J948,'Type Chart'!$C$2:$T$20,13,false)*HLOOKUP($K948,'Type Chart'!$C$2:$U$20,13,false)</f>
        <v>0.5</v>
      </c>
      <c r="AG948" s="960">
        <f t="array" ref="AG948">HLOOKUP($J948,'Type Chart'!$C$2:$T$20,14,false)*HLOOKUP($K948,'Type Chart'!$C$2:$U$20,14,false)</f>
        <v>0.5</v>
      </c>
      <c r="AH948" s="960">
        <f t="array" ref="AH948">HLOOKUP($J948,'Type Chart'!$C$2:$T$20,15,false)*HLOOKUP($K948,'Type Chart'!$C$2:$U$20,15,false)</f>
        <v>1</v>
      </c>
      <c r="AI948" s="960">
        <f t="array" ref="AI948">HLOOKUP($J948,'Type Chart'!$C$2:$T$20,16,false)*HLOOKUP($K948,'Type Chart'!$C$2:$U$20,16,false)</f>
        <v>2</v>
      </c>
      <c r="AJ948" s="960">
        <f t="array" ref="AJ948">HLOOKUP($J948,'Type Chart'!$C$2:$T$20,17,false)*HLOOKUP($K948,'Type Chart'!$C$2:$U$20,17,false)</f>
        <v>1</v>
      </c>
      <c r="AK948" s="960">
        <f t="array" ref="AK948">HLOOKUP($J948,'Type Chart'!$C$2:$T$20,18,false)*HLOOKUP($K948,'Type Chart'!$C$2:$U$20,18,false)</f>
        <v>1</v>
      </c>
      <c r="AL948" s="960">
        <f t="array" ref="AL948">HLOOKUP($J948,'Type Chart'!$C$2:$T$20,19,false)*HLOOKUP($K948,'Type Chart'!$C$2:$U$20,19,false)</f>
        <v>1</v>
      </c>
      <c r="AM948" s="964" t="s">
        <v>1526</v>
      </c>
      <c r="AN948" s="965"/>
      <c r="AO948" s="966" t="s">
        <v>1861</v>
      </c>
      <c r="AP948" s="936"/>
      <c r="AQ948" s="967"/>
      <c r="AR948" s="968"/>
      <c r="AS948" s="936"/>
    </row>
    <row r="949" ht="15.75" customHeight="1">
      <c r="A949" s="936"/>
      <c r="B949" s="948" t="s">
        <v>3616</v>
      </c>
      <c r="C949" s="950" t="s">
        <v>3617</v>
      </c>
      <c r="D949" s="950" t="s">
        <v>3617</v>
      </c>
      <c r="E949" s="952" t="s">
        <v>3617</v>
      </c>
      <c r="F949" s="940"/>
      <c r="G949" s="953"/>
      <c r="H949" s="969"/>
      <c r="I949" s="956" t="s">
        <v>716</v>
      </c>
      <c r="J949" s="957" t="s">
        <v>209</v>
      </c>
      <c r="K949" s="984" t="s">
        <v>216</v>
      </c>
      <c r="L949" s="959">
        <v>70.0</v>
      </c>
      <c r="M949" s="960">
        <v>105.0</v>
      </c>
      <c r="N949" s="960">
        <v>90.0</v>
      </c>
      <c r="O949" s="960">
        <v>80.0</v>
      </c>
      <c r="P949" s="960">
        <v>90.0</v>
      </c>
      <c r="Q949" s="960">
        <v>45.0</v>
      </c>
      <c r="R949" s="960">
        <v>126.0</v>
      </c>
      <c r="S949" s="960">
        <v>189.0</v>
      </c>
      <c r="T949" s="960">
        <v>207.0</v>
      </c>
      <c r="U949" s="960">
        <f t="array" ref="U949">HLOOKUP($J949,'Type Chart'!$C$2:$T$20,2,false)*HLOOKUP($K949,'Type Chart'!$C$2:$U$20,2,false)</f>
        <v>1</v>
      </c>
      <c r="V949" s="960">
        <f t="array" ref="V949">HLOOKUP($J949,'Type Chart'!$C$2:$T$20,3,false)*HLOOKUP($K949,'Type Chart'!$C$2:$U$20,3,false)</f>
        <v>1</v>
      </c>
      <c r="W949" s="960">
        <f t="array" ref="W949">HLOOKUP($J949,'Type Chart'!$C$2:$T$20,4,false)*HLOOKUP($K949,'Type Chart'!$C$2:$U$20,4,false)</f>
        <v>2</v>
      </c>
      <c r="X949" s="960">
        <f t="array" ref="X949">HLOOKUP($J949,'Type Chart'!$C$2:$T$20,5,false)*HLOOKUP($K949,'Type Chart'!$C$2:$U$20,5,false)</f>
        <v>2</v>
      </c>
      <c r="Y949" s="960">
        <f t="array" ref="Y949">HLOOKUP($J949,'Type Chart'!$C$2:$T$20,6,false)*HLOOKUP($K949,'Type Chart'!$C$2:$U$20,6,false)</f>
        <v>0.5</v>
      </c>
      <c r="Z949" s="960">
        <f t="array" ref="Z949">HLOOKUP($J949,'Type Chart'!$C$2:$T$20,7,false)*HLOOKUP($K949,'Type Chart'!$C$2:$U$20,7,false)</f>
        <v>1</v>
      </c>
      <c r="AA949" s="960">
        <f t="array" ref="AA949">HLOOKUP($J949,'Type Chart'!$C$2:$T$20,8,false)*HLOOKUP($K949,'Type Chart'!$C$2:$U$20,8,false)</f>
        <v>2</v>
      </c>
      <c r="AB949" s="960">
        <f t="array" ref="AB949">HLOOKUP($J949,'Type Chart'!$C$2:$T$20,9,false)*HLOOKUP($K949,'Type Chart'!$C$2:$U$20,9,false)</f>
        <v>1</v>
      </c>
      <c r="AC949" s="960">
        <f t="array" ref="AC949">HLOOKUP($J949,'Type Chart'!$C$2:$T$20,10,false)*HLOOKUP($K949,'Type Chart'!$C$2:$U$20,10,false)</f>
        <v>1</v>
      </c>
      <c r="AD949" s="960">
        <f t="array" ref="AD949">HLOOKUP($J949,'Type Chart'!$C$2:$T$20,11,false)*HLOOKUP($K949,'Type Chart'!$C$2:$U$20,11,false)</f>
        <v>2</v>
      </c>
      <c r="AE949" s="960">
        <f t="array" ref="AE949">HLOOKUP($J949,'Type Chart'!$C$2:$T$20,12,false)*HLOOKUP($K949,'Type Chart'!$C$2:$U$20,12,false)</f>
        <v>0.5</v>
      </c>
      <c r="AF949" s="960">
        <f t="array" ref="AF949">HLOOKUP($J949,'Type Chart'!$C$2:$T$20,13,false)*HLOOKUP($K949,'Type Chart'!$C$2:$U$20,13,false)</f>
        <v>0.5</v>
      </c>
      <c r="AG949" s="960">
        <f t="array" ref="AG949">HLOOKUP($J949,'Type Chart'!$C$2:$T$20,14,false)*HLOOKUP($K949,'Type Chart'!$C$2:$U$20,14,false)</f>
        <v>0.5</v>
      </c>
      <c r="AH949" s="960">
        <f t="array" ref="AH949">HLOOKUP($J949,'Type Chart'!$C$2:$T$20,15,false)*HLOOKUP($K949,'Type Chart'!$C$2:$U$20,15,false)</f>
        <v>1</v>
      </c>
      <c r="AI949" s="960">
        <f t="array" ref="AI949">HLOOKUP($J949,'Type Chart'!$C$2:$T$20,16,false)*HLOOKUP($K949,'Type Chart'!$C$2:$U$20,16,false)</f>
        <v>2</v>
      </c>
      <c r="AJ949" s="960">
        <f t="array" ref="AJ949">HLOOKUP($J949,'Type Chart'!$C$2:$T$20,17,false)*HLOOKUP($K949,'Type Chart'!$C$2:$U$20,17,false)</f>
        <v>1</v>
      </c>
      <c r="AK949" s="960">
        <f t="array" ref="AK949">HLOOKUP($J949,'Type Chart'!$C$2:$T$20,18,false)*HLOOKUP($K949,'Type Chart'!$C$2:$U$20,18,false)</f>
        <v>1</v>
      </c>
      <c r="AL949" s="960">
        <f t="array" ref="AL949">HLOOKUP($J949,'Type Chart'!$C$2:$T$20,19,false)*HLOOKUP($K949,'Type Chart'!$C$2:$U$20,19,false)</f>
        <v>1</v>
      </c>
      <c r="AM949" s="964" t="s">
        <v>1526</v>
      </c>
      <c r="AN949" s="965"/>
      <c r="AO949" s="966" t="s">
        <v>1861</v>
      </c>
      <c r="AP949" s="936"/>
      <c r="AQ949" s="967"/>
      <c r="AR949" s="968"/>
      <c r="AS949" s="936"/>
    </row>
    <row r="950" ht="15.75" customHeight="1">
      <c r="A950" s="1099"/>
      <c r="B950" s="948" t="s">
        <v>3618</v>
      </c>
      <c r="C950" s="1197" t="s">
        <v>3619</v>
      </c>
      <c r="D950" s="1197" t="s">
        <v>3619</v>
      </c>
      <c r="E950" s="1147" t="s">
        <v>3619</v>
      </c>
      <c r="F950" s="940"/>
      <c r="G950" s="953"/>
      <c r="H950" s="969"/>
      <c r="I950" s="998" t="s">
        <v>3620</v>
      </c>
      <c r="J950" s="1228" t="s">
        <v>209</v>
      </c>
      <c r="K950" s="1234" t="s">
        <v>127</v>
      </c>
      <c r="L950" s="1200">
        <v>40.0</v>
      </c>
      <c r="M950" s="1201">
        <v>35.0</v>
      </c>
      <c r="N950" s="1201">
        <v>55.0</v>
      </c>
      <c r="O950" s="1201">
        <v>65.0</v>
      </c>
      <c r="P950" s="1201">
        <v>75.0</v>
      </c>
      <c r="Q950" s="1201">
        <v>15.0</v>
      </c>
      <c r="R950" s="960">
        <v>66.0</v>
      </c>
      <c r="S950" s="960">
        <v>129.0</v>
      </c>
      <c r="T950" s="960">
        <v>141.0</v>
      </c>
      <c r="U950" s="960">
        <f t="array" ref="U950">HLOOKUP($J950,'Type Chart'!$C$2:$T$20,2,false)*HLOOKUP($K950,'Type Chart'!$C$2:$U$20,2,false)</f>
        <v>1</v>
      </c>
      <c r="V950" s="960">
        <f t="array" ref="V950">HLOOKUP($J950,'Type Chart'!$C$2:$T$20,3,false)*HLOOKUP($K950,'Type Chart'!$C$2:$U$20,3,false)</f>
        <v>0.5</v>
      </c>
      <c r="W950" s="960">
        <f t="array" ref="W950">HLOOKUP($J950,'Type Chart'!$C$2:$T$20,4,false)*HLOOKUP($K950,'Type Chart'!$C$2:$U$20,4,false)</f>
        <v>2</v>
      </c>
      <c r="X950" s="960">
        <f t="array" ref="X950">HLOOKUP($J950,'Type Chart'!$C$2:$T$20,5,false)*HLOOKUP($K950,'Type Chart'!$C$2:$U$20,5,false)</f>
        <v>4</v>
      </c>
      <c r="Y950" s="960">
        <f t="array" ref="Y950">HLOOKUP($J950,'Type Chart'!$C$2:$T$20,6,false)*HLOOKUP($K950,'Type Chart'!$C$2:$U$20,6,false)</f>
        <v>0.5</v>
      </c>
      <c r="Z950" s="960">
        <f t="array" ref="Z950">HLOOKUP($J950,'Type Chart'!$C$2:$T$20,7,false)*HLOOKUP($K950,'Type Chart'!$C$2:$U$20,7,false)</f>
        <v>1</v>
      </c>
      <c r="AA950" s="960">
        <f t="array" ref="AA950">HLOOKUP($J950,'Type Chart'!$C$2:$T$20,8,false)*HLOOKUP($K950,'Type Chart'!$C$2:$U$20,8,false)</f>
        <v>1</v>
      </c>
      <c r="AB950" s="960">
        <f t="array" ref="AB950">HLOOKUP($J950,'Type Chart'!$C$2:$T$20,9,false)*HLOOKUP($K950,'Type Chart'!$C$2:$U$20,9,false)</f>
        <v>1</v>
      </c>
      <c r="AC950" s="960">
        <f t="array" ref="AC950">HLOOKUP($J950,'Type Chart'!$C$2:$T$20,10,false)*HLOOKUP($K950,'Type Chart'!$C$2:$U$20,10,false)</f>
        <v>2</v>
      </c>
      <c r="AD950" s="960">
        <f t="array" ref="AD950">HLOOKUP($J950,'Type Chart'!$C$2:$T$20,11,false)*HLOOKUP($K950,'Type Chart'!$C$2:$U$20,11,false)</f>
        <v>2</v>
      </c>
      <c r="AE950" s="960">
        <f t="array" ref="AE950">HLOOKUP($J950,'Type Chart'!$C$2:$T$20,12,false)*HLOOKUP($K950,'Type Chart'!$C$2:$U$20,12,false)</f>
        <v>0.5</v>
      </c>
      <c r="AF950" s="960">
        <f t="array" ref="AF950">HLOOKUP($J950,'Type Chart'!$C$2:$T$20,13,false)*HLOOKUP($K950,'Type Chart'!$C$2:$U$20,13,false)</f>
        <v>0.5</v>
      </c>
      <c r="AG950" s="960">
        <f t="array" ref="AG950">HLOOKUP($J950,'Type Chart'!$C$2:$T$20,14,false)*HLOOKUP($K950,'Type Chart'!$C$2:$U$20,14,false)</f>
        <v>0.5</v>
      </c>
      <c r="AH950" s="960">
        <f t="array" ref="AH950">HLOOKUP($J950,'Type Chart'!$C$2:$T$20,15,false)*HLOOKUP($K950,'Type Chart'!$C$2:$U$20,15,false)</f>
        <v>1</v>
      </c>
      <c r="AI950" s="960">
        <f t="array" ref="AI950">HLOOKUP($J950,'Type Chart'!$C$2:$T$20,16,false)*HLOOKUP($K950,'Type Chart'!$C$2:$U$20,16,false)</f>
        <v>2</v>
      </c>
      <c r="AJ950" s="960">
        <f t="array" ref="AJ950">HLOOKUP($J950,'Type Chart'!$C$2:$T$20,17,false)*HLOOKUP($K950,'Type Chart'!$C$2:$U$20,17,false)</f>
        <v>0</v>
      </c>
      <c r="AK950" s="960">
        <f t="array" ref="AK950">HLOOKUP($J950,'Type Chart'!$C$2:$T$20,18,false)*HLOOKUP($K950,'Type Chart'!$C$2:$U$20,18,false)</f>
        <v>0.5</v>
      </c>
      <c r="AL950" s="960">
        <f t="array" ref="AL950">HLOOKUP($J950,'Type Chart'!$C$2:$T$20,19,false)*HLOOKUP($K950,'Type Chart'!$C$2:$U$20,19,false)</f>
        <v>1</v>
      </c>
      <c r="AM950" s="1145" t="s">
        <v>1549</v>
      </c>
      <c r="AN950" s="965" t="s">
        <v>1206</v>
      </c>
      <c r="AO950" s="966" t="s">
        <v>960</v>
      </c>
      <c r="AP950" s="936"/>
      <c r="AQ950" s="967"/>
      <c r="AR950" s="968"/>
      <c r="AS950" s="936"/>
    </row>
    <row r="951" ht="15.75" customHeight="1">
      <c r="A951" s="936"/>
      <c r="B951" s="948" t="s">
        <v>3621</v>
      </c>
      <c r="C951" s="950" t="s">
        <v>3622</v>
      </c>
      <c r="D951" s="950" t="s">
        <v>3622</v>
      </c>
      <c r="E951" s="952" t="s">
        <v>3622</v>
      </c>
      <c r="F951" s="940"/>
      <c r="G951" s="953"/>
      <c r="H951" s="969"/>
      <c r="I951" s="998" t="s">
        <v>3623</v>
      </c>
      <c r="J951" s="957" t="s">
        <v>209</v>
      </c>
      <c r="K951" s="1207" t="s">
        <v>127</v>
      </c>
      <c r="L951" s="959">
        <v>60.0</v>
      </c>
      <c r="M951" s="960">
        <v>45.0</v>
      </c>
      <c r="N951" s="960">
        <v>80.0</v>
      </c>
      <c r="O951" s="960">
        <v>90.0</v>
      </c>
      <c r="P951" s="960">
        <v>100.0</v>
      </c>
      <c r="Q951" s="960">
        <v>30.0</v>
      </c>
      <c r="R951" s="960">
        <v>96.0</v>
      </c>
      <c r="S951" s="960">
        <v>159.0</v>
      </c>
      <c r="T951" s="960">
        <v>174.0</v>
      </c>
      <c r="U951" s="960">
        <f t="array" ref="U951">HLOOKUP($J951,'Type Chart'!$C$2:$T$20,2,false)*HLOOKUP($K951,'Type Chart'!$C$2:$U$20,2,false)</f>
        <v>1</v>
      </c>
      <c r="V951" s="960">
        <f t="array" ref="V951">HLOOKUP($J951,'Type Chart'!$C$2:$T$20,3,false)*HLOOKUP($K951,'Type Chart'!$C$2:$U$20,3,false)</f>
        <v>0.5</v>
      </c>
      <c r="W951" s="960">
        <f t="array" ref="W951">HLOOKUP($J951,'Type Chart'!$C$2:$T$20,4,false)*HLOOKUP($K951,'Type Chart'!$C$2:$U$20,4,false)</f>
        <v>2</v>
      </c>
      <c r="X951" s="960">
        <f t="array" ref="X951">HLOOKUP($J951,'Type Chart'!$C$2:$T$20,5,false)*HLOOKUP($K951,'Type Chart'!$C$2:$U$20,5,false)</f>
        <v>4</v>
      </c>
      <c r="Y951" s="960">
        <f t="array" ref="Y951">HLOOKUP($J951,'Type Chart'!$C$2:$T$20,6,false)*HLOOKUP($K951,'Type Chart'!$C$2:$U$20,6,false)</f>
        <v>0.5</v>
      </c>
      <c r="Z951" s="960">
        <f t="array" ref="Z951">HLOOKUP($J951,'Type Chart'!$C$2:$T$20,7,false)*HLOOKUP($K951,'Type Chart'!$C$2:$U$20,7,false)</f>
        <v>1</v>
      </c>
      <c r="AA951" s="960">
        <f t="array" ref="AA951">HLOOKUP($J951,'Type Chart'!$C$2:$T$20,8,false)*HLOOKUP($K951,'Type Chart'!$C$2:$U$20,8,false)</f>
        <v>1</v>
      </c>
      <c r="AB951" s="960">
        <f t="array" ref="AB951">HLOOKUP($J951,'Type Chart'!$C$2:$T$20,9,false)*HLOOKUP($K951,'Type Chart'!$C$2:$U$20,9,false)</f>
        <v>1</v>
      </c>
      <c r="AC951" s="960">
        <f t="array" ref="AC951">HLOOKUP($J951,'Type Chart'!$C$2:$T$20,10,false)*HLOOKUP($K951,'Type Chart'!$C$2:$U$20,10,false)</f>
        <v>2</v>
      </c>
      <c r="AD951" s="960">
        <f t="array" ref="AD951">HLOOKUP($J951,'Type Chart'!$C$2:$T$20,11,false)*HLOOKUP($K951,'Type Chart'!$C$2:$U$20,11,false)</f>
        <v>2</v>
      </c>
      <c r="AE951" s="960">
        <f t="array" ref="AE951">HLOOKUP($J951,'Type Chart'!$C$2:$T$20,12,false)*HLOOKUP($K951,'Type Chart'!$C$2:$U$20,12,false)</f>
        <v>0.5</v>
      </c>
      <c r="AF951" s="960">
        <f t="array" ref="AF951">HLOOKUP($J951,'Type Chart'!$C$2:$T$20,13,false)*HLOOKUP($K951,'Type Chart'!$C$2:$U$20,13,false)</f>
        <v>0.5</v>
      </c>
      <c r="AG951" s="960">
        <f t="array" ref="AG951">HLOOKUP($J951,'Type Chart'!$C$2:$T$20,14,false)*HLOOKUP($K951,'Type Chart'!$C$2:$U$20,14,false)</f>
        <v>0.5</v>
      </c>
      <c r="AH951" s="960">
        <f t="array" ref="AH951">HLOOKUP($J951,'Type Chart'!$C$2:$T$20,15,false)*HLOOKUP($K951,'Type Chart'!$C$2:$U$20,15,false)</f>
        <v>1</v>
      </c>
      <c r="AI951" s="960">
        <f t="array" ref="AI951">HLOOKUP($J951,'Type Chart'!$C$2:$T$20,16,false)*HLOOKUP($K951,'Type Chart'!$C$2:$U$20,16,false)</f>
        <v>2</v>
      </c>
      <c r="AJ951" s="960">
        <f t="array" ref="AJ951">HLOOKUP($J951,'Type Chart'!$C$2:$T$20,17,false)*HLOOKUP($K951,'Type Chart'!$C$2:$U$20,17,false)</f>
        <v>0</v>
      </c>
      <c r="AK951" s="960">
        <f t="array" ref="AK951">HLOOKUP($J951,'Type Chart'!$C$2:$T$20,18,false)*HLOOKUP($K951,'Type Chart'!$C$2:$U$20,18,false)</f>
        <v>0.5</v>
      </c>
      <c r="AL951" s="960">
        <f t="array" ref="AL951">HLOOKUP($J951,'Type Chart'!$C$2:$T$20,19,false)*HLOOKUP($K951,'Type Chart'!$C$2:$U$20,19,false)</f>
        <v>1</v>
      </c>
      <c r="AM951" s="964" t="s">
        <v>1549</v>
      </c>
      <c r="AN951" s="965" t="s">
        <v>1206</v>
      </c>
      <c r="AO951" s="966" t="s">
        <v>960</v>
      </c>
      <c r="AP951" s="936"/>
      <c r="AQ951" s="967"/>
      <c r="AR951" s="968"/>
      <c r="AS951" s="936"/>
    </row>
    <row r="952" ht="15.75" customHeight="1">
      <c r="A952" s="936"/>
      <c r="B952" s="948" t="s">
        <v>3624</v>
      </c>
      <c r="C952" s="950" t="s">
        <v>3625</v>
      </c>
      <c r="D952" s="950" t="s">
        <v>3625</v>
      </c>
      <c r="E952" s="952" t="s">
        <v>3625</v>
      </c>
      <c r="F952" s="940"/>
      <c r="G952" s="953"/>
      <c r="H952" s="969"/>
      <c r="I952" s="956" t="s">
        <v>3626</v>
      </c>
      <c r="J952" s="958" t="s">
        <v>178</v>
      </c>
      <c r="K952" s="982" t="s">
        <v>150</v>
      </c>
      <c r="L952" s="959">
        <v>48.0</v>
      </c>
      <c r="M952" s="960">
        <v>44.0</v>
      </c>
      <c r="N952" s="960">
        <v>40.0</v>
      </c>
      <c r="O952" s="960">
        <v>71.0</v>
      </c>
      <c r="P952" s="960">
        <v>40.0</v>
      </c>
      <c r="Q952" s="960">
        <v>77.0</v>
      </c>
      <c r="R952" s="960">
        <v>190.0</v>
      </c>
      <c r="S952" s="960">
        <v>253.0</v>
      </c>
      <c r="T952" s="960">
        <v>278.0</v>
      </c>
      <c r="U952" s="960">
        <f t="array" ref="U952">HLOOKUP($J952,'Type Chart'!$C$2:$T$20,2,false)*HLOOKUP($K952,'Type Chart'!$C$2:$U$20,2,false)</f>
        <v>1</v>
      </c>
      <c r="V952" s="960">
        <f t="array" ref="V952">HLOOKUP($J952,'Type Chart'!$C$2:$T$20,3,false)*HLOOKUP($K952,'Type Chart'!$C$2:$U$20,3,false)</f>
        <v>0.5</v>
      </c>
      <c r="W952" s="960">
        <f t="array" ref="W952">HLOOKUP($J952,'Type Chart'!$C$2:$T$20,4,false)*HLOOKUP($K952,'Type Chart'!$C$2:$U$20,4,false)</f>
        <v>1</v>
      </c>
      <c r="X952" s="960">
        <f t="array" ref="X952">HLOOKUP($J952,'Type Chart'!$C$2:$T$20,5,false)*HLOOKUP($K952,'Type Chart'!$C$2:$U$20,5,false)</f>
        <v>0.5</v>
      </c>
      <c r="Y952" s="960">
        <f t="array" ref="Y952">HLOOKUP($J952,'Type Chart'!$C$2:$T$20,6,false)*HLOOKUP($K952,'Type Chart'!$C$2:$U$20,6,false)</f>
        <v>4</v>
      </c>
      <c r="Z952" s="960">
        <f t="array" ref="Z952">HLOOKUP($J952,'Type Chart'!$C$2:$T$20,7,false)*HLOOKUP($K952,'Type Chart'!$C$2:$U$20,7,false)</f>
        <v>2</v>
      </c>
      <c r="AA952" s="960">
        <f t="array" ref="AA952">HLOOKUP($J952,'Type Chart'!$C$2:$T$20,8,false)*HLOOKUP($K952,'Type Chart'!$C$2:$U$20,8,false)</f>
        <v>0.25</v>
      </c>
      <c r="AB952" s="960">
        <f t="array" ref="AB952">HLOOKUP($J952,'Type Chart'!$C$2:$T$20,9,false)*HLOOKUP($K952,'Type Chart'!$C$2:$U$20,9,false)</f>
        <v>1</v>
      </c>
      <c r="AC952" s="960">
        <f t="array" ref="AC952">HLOOKUP($J952,'Type Chart'!$C$2:$T$20,10,false)*HLOOKUP($K952,'Type Chart'!$C$2:$U$20,10,false)</f>
        <v>0.5</v>
      </c>
      <c r="AD952" s="960">
        <f t="array" ref="AD952">HLOOKUP($J952,'Type Chart'!$C$2:$T$20,11,false)*HLOOKUP($K952,'Type Chart'!$C$2:$U$20,11,false)</f>
        <v>0.5</v>
      </c>
      <c r="AE952" s="960">
        <f t="array" ref="AE952">HLOOKUP($J952,'Type Chart'!$C$2:$T$20,12,false)*HLOOKUP($K952,'Type Chart'!$C$2:$U$20,12,false)</f>
        <v>2</v>
      </c>
      <c r="AF952" s="960">
        <f t="array" ref="AF952">HLOOKUP($J952,'Type Chart'!$C$2:$T$20,13,false)*HLOOKUP($K952,'Type Chart'!$C$2:$U$20,13,false)</f>
        <v>0.25</v>
      </c>
      <c r="AG952" s="960">
        <f t="array" ref="AG952">HLOOKUP($J952,'Type Chart'!$C$2:$T$20,14,false)*HLOOKUP($K952,'Type Chart'!$C$2:$U$20,14,false)</f>
        <v>1</v>
      </c>
      <c r="AH952" s="960">
        <f t="array" ref="AH952">HLOOKUP($J952,'Type Chart'!$C$2:$T$20,15,false)*HLOOKUP($K952,'Type Chart'!$C$2:$U$20,15,false)</f>
        <v>2</v>
      </c>
      <c r="AI952" s="960">
        <f t="array" ref="AI952">HLOOKUP($J952,'Type Chart'!$C$2:$T$20,16,false)*HLOOKUP($K952,'Type Chart'!$C$2:$U$20,16,false)</f>
        <v>0.5</v>
      </c>
      <c r="AJ952" s="960">
        <f t="array" ref="AJ952">HLOOKUP($J952,'Type Chart'!$C$2:$T$20,17,false)*HLOOKUP($K952,'Type Chart'!$C$2:$U$20,17,false)</f>
        <v>1</v>
      </c>
      <c r="AK952" s="960">
        <f t="array" ref="AK952">HLOOKUP($J952,'Type Chart'!$C$2:$T$20,18,false)*HLOOKUP($K952,'Type Chart'!$C$2:$U$20,18,false)</f>
        <v>1</v>
      </c>
      <c r="AL952" s="960">
        <f t="array" ref="AL952">HLOOKUP($J952,'Type Chart'!$C$2:$T$20,19,false)*HLOOKUP($K952,'Type Chart'!$C$2:$U$20,19,false)</f>
        <v>0.25</v>
      </c>
      <c r="AM952" s="964" t="s">
        <v>3627</v>
      </c>
      <c r="AN952" s="965"/>
      <c r="AO952" s="966" t="s">
        <v>1369</v>
      </c>
      <c r="AP952" s="936"/>
      <c r="AQ952" s="967"/>
      <c r="AR952" s="968"/>
      <c r="AS952" s="936"/>
    </row>
    <row r="953" ht="15.75" customHeight="1">
      <c r="A953" s="936"/>
      <c r="B953" s="948" t="s">
        <v>3628</v>
      </c>
      <c r="C953" s="950" t="s">
        <v>3629</v>
      </c>
      <c r="D953" s="950" t="s">
        <v>3629</v>
      </c>
      <c r="E953" s="952" t="s">
        <v>3629</v>
      </c>
      <c r="F953" s="940"/>
      <c r="G953" s="953"/>
      <c r="H953" s="969"/>
      <c r="I953" s="956" t="s">
        <v>571</v>
      </c>
      <c r="J953" s="958" t="s">
        <v>178</v>
      </c>
      <c r="K953" s="982" t="s">
        <v>150</v>
      </c>
      <c r="L953" s="959">
        <v>68.0</v>
      </c>
      <c r="M953" s="960">
        <v>64.0</v>
      </c>
      <c r="N953" s="960">
        <v>60.0</v>
      </c>
      <c r="O953" s="960">
        <v>111.0</v>
      </c>
      <c r="P953" s="960">
        <v>60.0</v>
      </c>
      <c r="Q953" s="960">
        <v>117.0</v>
      </c>
      <c r="R953" s="960">
        <v>270.0</v>
      </c>
      <c r="S953" s="960">
        <v>333.0</v>
      </c>
      <c r="T953" s="960">
        <v>366.0</v>
      </c>
      <c r="U953" s="960">
        <f t="array" ref="U953">HLOOKUP($J953,'Type Chart'!$C$2:$T$20,2,false)*HLOOKUP($K953,'Type Chart'!$C$2:$U$20,2,false)</f>
        <v>1</v>
      </c>
      <c r="V953" s="960">
        <f t="array" ref="V953">HLOOKUP($J953,'Type Chart'!$C$2:$T$20,3,false)*HLOOKUP($K953,'Type Chart'!$C$2:$U$20,3,false)</f>
        <v>0.5</v>
      </c>
      <c r="W953" s="960">
        <f t="array" ref="W953">HLOOKUP($J953,'Type Chart'!$C$2:$T$20,4,false)*HLOOKUP($K953,'Type Chart'!$C$2:$U$20,4,false)</f>
        <v>1</v>
      </c>
      <c r="X953" s="960">
        <f t="array" ref="X953">HLOOKUP($J953,'Type Chart'!$C$2:$T$20,5,false)*HLOOKUP($K953,'Type Chart'!$C$2:$U$20,5,false)</f>
        <v>0.5</v>
      </c>
      <c r="Y953" s="960">
        <f t="array" ref="Y953">HLOOKUP($J953,'Type Chart'!$C$2:$T$20,6,false)*HLOOKUP($K953,'Type Chart'!$C$2:$U$20,6,false)</f>
        <v>4</v>
      </c>
      <c r="Z953" s="960">
        <f t="array" ref="Z953">HLOOKUP($J953,'Type Chart'!$C$2:$T$20,7,false)*HLOOKUP($K953,'Type Chart'!$C$2:$U$20,7,false)</f>
        <v>2</v>
      </c>
      <c r="AA953" s="960">
        <f t="array" ref="AA953">HLOOKUP($J953,'Type Chart'!$C$2:$T$20,8,false)*HLOOKUP($K953,'Type Chart'!$C$2:$U$20,8,false)</f>
        <v>0.25</v>
      </c>
      <c r="AB953" s="960">
        <f t="array" ref="AB953">HLOOKUP($J953,'Type Chart'!$C$2:$T$20,9,false)*HLOOKUP($K953,'Type Chart'!$C$2:$U$20,9,false)</f>
        <v>1</v>
      </c>
      <c r="AC953" s="960">
        <f t="array" ref="AC953">HLOOKUP($J953,'Type Chart'!$C$2:$T$20,10,false)*HLOOKUP($K953,'Type Chart'!$C$2:$U$20,10,false)</f>
        <v>0.5</v>
      </c>
      <c r="AD953" s="960">
        <f t="array" ref="AD953">HLOOKUP($J953,'Type Chart'!$C$2:$T$20,11,false)*HLOOKUP($K953,'Type Chart'!$C$2:$U$20,11,false)</f>
        <v>0.5</v>
      </c>
      <c r="AE953" s="960">
        <f t="array" ref="AE953">HLOOKUP($J953,'Type Chart'!$C$2:$T$20,12,false)*HLOOKUP($K953,'Type Chart'!$C$2:$U$20,12,false)</f>
        <v>2</v>
      </c>
      <c r="AF953" s="960">
        <f t="array" ref="AF953">HLOOKUP($J953,'Type Chart'!$C$2:$T$20,13,false)*HLOOKUP($K953,'Type Chart'!$C$2:$U$20,13,false)</f>
        <v>0.25</v>
      </c>
      <c r="AG953" s="960">
        <f t="array" ref="AG953">HLOOKUP($J953,'Type Chart'!$C$2:$T$20,14,false)*HLOOKUP($K953,'Type Chart'!$C$2:$U$20,14,false)</f>
        <v>1</v>
      </c>
      <c r="AH953" s="960">
        <f t="array" ref="AH953">HLOOKUP($J953,'Type Chart'!$C$2:$T$20,15,false)*HLOOKUP($K953,'Type Chart'!$C$2:$U$20,15,false)</f>
        <v>2</v>
      </c>
      <c r="AI953" s="960">
        <f t="array" ref="AI953">HLOOKUP($J953,'Type Chart'!$C$2:$T$20,16,false)*HLOOKUP($K953,'Type Chart'!$C$2:$U$20,16,false)</f>
        <v>0.5</v>
      </c>
      <c r="AJ953" s="960">
        <f t="array" ref="AJ953">HLOOKUP($J953,'Type Chart'!$C$2:$T$20,17,false)*HLOOKUP($K953,'Type Chart'!$C$2:$U$20,17,false)</f>
        <v>1</v>
      </c>
      <c r="AK953" s="960">
        <f t="array" ref="AK953">HLOOKUP($J953,'Type Chart'!$C$2:$T$20,18,false)*HLOOKUP($K953,'Type Chart'!$C$2:$U$20,18,false)</f>
        <v>1</v>
      </c>
      <c r="AL953" s="960">
        <f t="array" ref="AL953">HLOOKUP($J953,'Type Chart'!$C$2:$T$20,19,false)*HLOOKUP($K953,'Type Chart'!$C$2:$U$20,19,false)</f>
        <v>0.25</v>
      </c>
      <c r="AM953" s="964" t="s">
        <v>3627</v>
      </c>
      <c r="AN953" s="965"/>
      <c r="AO953" s="966" t="s">
        <v>1369</v>
      </c>
      <c r="AP953" s="936"/>
      <c r="AQ953" s="967"/>
      <c r="AR953" s="968"/>
      <c r="AS953" s="936"/>
    </row>
    <row r="954" ht="15.75" customHeight="1">
      <c r="A954" s="936"/>
      <c r="B954" s="948" t="s">
        <v>3630</v>
      </c>
      <c r="C954" s="950" t="s">
        <v>3631</v>
      </c>
      <c r="D954" s="950" t="s">
        <v>3631</v>
      </c>
      <c r="E954" s="952" t="s">
        <v>3631</v>
      </c>
      <c r="F954" s="940"/>
      <c r="G954" s="953"/>
      <c r="H954" s="969"/>
      <c r="I954" s="956" t="s">
        <v>3632</v>
      </c>
      <c r="J954" s="1194" t="s">
        <v>136</v>
      </c>
      <c r="K954" s="1213" t="s">
        <v>341</v>
      </c>
      <c r="L954" s="959">
        <v>70.0</v>
      </c>
      <c r="M954" s="960">
        <v>75.0</v>
      </c>
      <c r="N954" s="960">
        <v>50.0</v>
      </c>
      <c r="O954" s="960">
        <v>45.0</v>
      </c>
      <c r="P954" s="960">
        <v>50.0</v>
      </c>
      <c r="Q954" s="960">
        <v>50.0</v>
      </c>
      <c r="R954" s="960">
        <v>136.0</v>
      </c>
      <c r="S954" s="960">
        <v>199.0</v>
      </c>
      <c r="T954" s="960">
        <v>218.0</v>
      </c>
      <c r="U954" s="960">
        <f t="array" ref="U954">HLOOKUP($J954,'Type Chart'!$C$2:$T$20,2,false)*HLOOKUP($K954,'Type Chart'!$C$2:$U$20,2,false)</f>
        <v>1</v>
      </c>
      <c r="V954" s="960">
        <f t="array" ref="V954">HLOOKUP($J954,'Type Chart'!$C$2:$T$20,3,false)*HLOOKUP($K954,'Type Chart'!$C$2:$U$20,3,false)</f>
        <v>2</v>
      </c>
      <c r="W954" s="960">
        <f t="array" ref="W954">HLOOKUP($J954,'Type Chart'!$C$2:$T$20,4,false)*HLOOKUP($K954,'Type Chart'!$C$2:$U$20,4,false)</f>
        <v>2</v>
      </c>
      <c r="X954" s="960">
        <f t="array" ref="X954">HLOOKUP($J954,'Type Chart'!$C$2:$T$20,5,false)*HLOOKUP($K954,'Type Chart'!$C$2:$U$20,5,false)</f>
        <v>1</v>
      </c>
      <c r="Y954" s="960">
        <f t="array" ref="Y954">HLOOKUP($J954,'Type Chart'!$C$2:$T$20,6,false)*HLOOKUP($K954,'Type Chart'!$C$2:$U$20,6,false)</f>
        <v>1</v>
      </c>
      <c r="Z954" s="960">
        <f t="array" ref="Z954">HLOOKUP($J954,'Type Chart'!$C$2:$T$20,7,false)*HLOOKUP($K954,'Type Chart'!$C$2:$U$20,7,false)</f>
        <v>0.5</v>
      </c>
      <c r="AA954" s="960">
        <f t="array" ref="AA954">HLOOKUP($J954,'Type Chart'!$C$2:$T$20,8,false)*HLOOKUP($K954,'Type Chart'!$C$2:$U$20,8,false)</f>
        <v>0.5</v>
      </c>
      <c r="AB954" s="960">
        <f t="array" ref="AB954">HLOOKUP($J954,'Type Chart'!$C$2:$T$20,9,false)*HLOOKUP($K954,'Type Chart'!$C$2:$U$20,9,false)</f>
        <v>0</v>
      </c>
      <c r="AC954" s="960">
        <f t="array" ref="AC954">HLOOKUP($J954,'Type Chart'!$C$2:$T$20,10,false)*HLOOKUP($K954,'Type Chart'!$C$2:$U$20,10,false)</f>
        <v>1</v>
      </c>
      <c r="AD954" s="960">
        <f t="array" ref="AD954">HLOOKUP($J954,'Type Chart'!$C$2:$T$20,11,false)*HLOOKUP($K954,'Type Chart'!$C$2:$U$20,11,false)</f>
        <v>1</v>
      </c>
      <c r="AE954" s="960">
        <f t="array" ref="AE954">HLOOKUP($J954,'Type Chart'!$C$2:$T$20,12,false)*HLOOKUP($K954,'Type Chart'!$C$2:$U$20,12,false)</f>
        <v>1</v>
      </c>
      <c r="AF954" s="960">
        <f t="array" ref="AF954">HLOOKUP($J954,'Type Chart'!$C$2:$T$20,13,false)*HLOOKUP($K954,'Type Chart'!$C$2:$U$20,13,false)</f>
        <v>1</v>
      </c>
      <c r="AG954" s="960">
        <f t="array" ref="AG954">HLOOKUP($J954,'Type Chart'!$C$2:$T$20,14,false)*HLOOKUP($K954,'Type Chart'!$C$2:$U$20,14,false)</f>
        <v>1</v>
      </c>
      <c r="AH954" s="960">
        <f t="array" ref="AH954">HLOOKUP($J954,'Type Chart'!$C$2:$T$20,15,false)*HLOOKUP($K954,'Type Chart'!$C$2:$U$20,15,false)</f>
        <v>2</v>
      </c>
      <c r="AI954" s="960">
        <f t="array" ref="AI954">HLOOKUP($J954,'Type Chart'!$C$2:$T$20,16,false)*HLOOKUP($K954,'Type Chart'!$C$2:$U$20,16,false)</f>
        <v>1</v>
      </c>
      <c r="AJ954" s="960">
        <f t="array" ref="AJ954">HLOOKUP($J954,'Type Chart'!$C$2:$T$20,17,false)*HLOOKUP($K954,'Type Chart'!$C$2:$U$20,17,false)</f>
        <v>1</v>
      </c>
      <c r="AK954" s="960">
        <f t="array" ref="AK954">HLOOKUP($J954,'Type Chart'!$C$2:$T$20,18,false)*HLOOKUP($K954,'Type Chart'!$C$2:$U$20,18,false)</f>
        <v>0.5</v>
      </c>
      <c r="AL954" s="960">
        <f t="array" ref="AL954">HLOOKUP($J954,'Type Chart'!$C$2:$T$20,19,false)*HLOOKUP($K954,'Type Chart'!$C$2:$U$20,19,false)</f>
        <v>2</v>
      </c>
      <c r="AM954" s="964" t="s">
        <v>3633</v>
      </c>
      <c r="AN954" s="965" t="s">
        <v>2552</v>
      </c>
      <c r="AO954" s="966" t="s">
        <v>1165</v>
      </c>
      <c r="AP954" s="936"/>
      <c r="AQ954" s="967"/>
      <c r="AR954" s="968"/>
      <c r="AS954" s="936"/>
    </row>
    <row r="955" ht="15.75" customHeight="1">
      <c r="A955" s="936"/>
      <c r="B955" s="948" t="s">
        <v>3634</v>
      </c>
      <c r="C955" s="950" t="s">
        <v>3635</v>
      </c>
      <c r="D955" s="950" t="s">
        <v>3635</v>
      </c>
      <c r="E955" s="952" t="s">
        <v>3635</v>
      </c>
      <c r="F955" s="940"/>
      <c r="G955" s="953"/>
      <c r="H955" s="969"/>
      <c r="I955" s="956" t="s">
        <v>3636</v>
      </c>
      <c r="J955" s="1194" t="s">
        <v>136</v>
      </c>
      <c r="K955" s="1213" t="s">
        <v>341</v>
      </c>
      <c r="L955" s="959">
        <v>120.0</v>
      </c>
      <c r="M955" s="960">
        <v>125.0</v>
      </c>
      <c r="N955" s="960">
        <v>80.0</v>
      </c>
      <c r="O955" s="960">
        <v>55.0</v>
      </c>
      <c r="P955" s="960">
        <v>60.0</v>
      </c>
      <c r="Q955" s="960">
        <v>60.0</v>
      </c>
      <c r="R955" s="960">
        <v>156.0</v>
      </c>
      <c r="S955" s="960">
        <v>219.0</v>
      </c>
      <c r="T955" s="960">
        <v>240.0</v>
      </c>
      <c r="U955" s="960">
        <f t="array" ref="U955">HLOOKUP($J955,'Type Chart'!$C$2:$T$20,2,false)*HLOOKUP($K955,'Type Chart'!$C$2:$U$20,2,false)</f>
        <v>1</v>
      </c>
      <c r="V955" s="960">
        <f t="array" ref="V955">HLOOKUP($J955,'Type Chart'!$C$2:$T$20,3,false)*HLOOKUP($K955,'Type Chart'!$C$2:$U$20,3,false)</f>
        <v>2</v>
      </c>
      <c r="W955" s="960">
        <f t="array" ref="W955">HLOOKUP($J955,'Type Chart'!$C$2:$T$20,4,false)*HLOOKUP($K955,'Type Chart'!$C$2:$U$20,4,false)</f>
        <v>2</v>
      </c>
      <c r="X955" s="960">
        <f t="array" ref="X955">HLOOKUP($J955,'Type Chart'!$C$2:$T$20,5,false)*HLOOKUP($K955,'Type Chart'!$C$2:$U$20,5,false)</f>
        <v>1</v>
      </c>
      <c r="Y955" s="960">
        <f t="array" ref="Y955">HLOOKUP($J955,'Type Chart'!$C$2:$T$20,6,false)*HLOOKUP($K955,'Type Chart'!$C$2:$U$20,6,false)</f>
        <v>1</v>
      </c>
      <c r="Z955" s="960">
        <f t="array" ref="Z955">HLOOKUP($J955,'Type Chart'!$C$2:$T$20,7,false)*HLOOKUP($K955,'Type Chart'!$C$2:$U$20,7,false)</f>
        <v>0.5</v>
      </c>
      <c r="AA955" s="960">
        <f t="array" ref="AA955">HLOOKUP($J955,'Type Chart'!$C$2:$T$20,8,false)*HLOOKUP($K955,'Type Chart'!$C$2:$U$20,8,false)</f>
        <v>0.5</v>
      </c>
      <c r="AB955" s="960">
        <f t="array" ref="AB955">HLOOKUP($J955,'Type Chart'!$C$2:$T$20,9,false)*HLOOKUP($K955,'Type Chart'!$C$2:$U$20,9,false)</f>
        <v>0</v>
      </c>
      <c r="AC955" s="960">
        <f t="array" ref="AC955">HLOOKUP($J955,'Type Chart'!$C$2:$T$20,10,false)*HLOOKUP($K955,'Type Chart'!$C$2:$U$20,10,false)</f>
        <v>1</v>
      </c>
      <c r="AD955" s="960">
        <f t="array" ref="AD955">HLOOKUP($J955,'Type Chart'!$C$2:$T$20,11,false)*HLOOKUP($K955,'Type Chart'!$C$2:$U$20,11,false)</f>
        <v>1</v>
      </c>
      <c r="AE955" s="960">
        <f t="array" ref="AE955">HLOOKUP($J955,'Type Chart'!$C$2:$T$20,12,false)*HLOOKUP($K955,'Type Chart'!$C$2:$U$20,12,false)</f>
        <v>1</v>
      </c>
      <c r="AF955" s="960">
        <f t="array" ref="AF955">HLOOKUP($J955,'Type Chart'!$C$2:$T$20,13,false)*HLOOKUP($K955,'Type Chart'!$C$2:$U$20,13,false)</f>
        <v>1</v>
      </c>
      <c r="AG955" s="960">
        <f t="array" ref="AG955">HLOOKUP($J955,'Type Chart'!$C$2:$T$20,14,false)*HLOOKUP($K955,'Type Chart'!$C$2:$U$20,14,false)</f>
        <v>1</v>
      </c>
      <c r="AH955" s="960">
        <f t="array" ref="AH955">HLOOKUP($J955,'Type Chart'!$C$2:$T$20,15,false)*HLOOKUP($K955,'Type Chart'!$C$2:$U$20,15,false)</f>
        <v>2</v>
      </c>
      <c r="AI955" s="960">
        <f t="array" ref="AI955">HLOOKUP($J955,'Type Chart'!$C$2:$T$20,16,false)*HLOOKUP($K955,'Type Chart'!$C$2:$U$20,16,false)</f>
        <v>1</v>
      </c>
      <c r="AJ955" s="960">
        <f t="array" ref="AJ955">HLOOKUP($J955,'Type Chart'!$C$2:$T$20,17,false)*HLOOKUP($K955,'Type Chart'!$C$2:$U$20,17,false)</f>
        <v>1</v>
      </c>
      <c r="AK955" s="960">
        <f t="array" ref="AK955">HLOOKUP($J955,'Type Chart'!$C$2:$T$20,18,false)*HLOOKUP($K955,'Type Chart'!$C$2:$U$20,18,false)</f>
        <v>0.5</v>
      </c>
      <c r="AL955" s="960">
        <f t="array" ref="AL955">HLOOKUP($J955,'Type Chart'!$C$2:$T$20,19,false)*HLOOKUP($K955,'Type Chart'!$C$2:$U$20,19,false)</f>
        <v>2</v>
      </c>
      <c r="AM955" s="964" t="s">
        <v>3633</v>
      </c>
      <c r="AN955" s="965" t="s">
        <v>2552</v>
      </c>
      <c r="AO955" s="966" t="s">
        <v>1062</v>
      </c>
      <c r="AP955" s="936"/>
      <c r="AQ955" s="967"/>
      <c r="AR955" s="968"/>
      <c r="AS955" s="936"/>
    </row>
    <row r="956" ht="15.75" customHeight="1">
      <c r="A956" s="936"/>
      <c r="B956" s="948" t="s">
        <v>3637</v>
      </c>
      <c r="C956" s="950" t="s">
        <v>3638</v>
      </c>
      <c r="D956" s="950" t="s">
        <v>3638</v>
      </c>
      <c r="E956" s="952" t="s">
        <v>3638</v>
      </c>
      <c r="F956" s="940"/>
      <c r="G956" s="953"/>
      <c r="H956" s="969"/>
      <c r="I956" s="956" t="s">
        <v>3639</v>
      </c>
      <c r="J956" s="957" t="s">
        <v>209</v>
      </c>
      <c r="K956" s="984" t="s">
        <v>216</v>
      </c>
      <c r="L956" s="959">
        <v>42.0</v>
      </c>
      <c r="M956" s="960">
        <v>30.0</v>
      </c>
      <c r="N956" s="960">
        <v>38.0</v>
      </c>
      <c r="O956" s="960">
        <v>30.0</v>
      </c>
      <c r="P956" s="960">
        <v>38.0</v>
      </c>
      <c r="Q956" s="960">
        <v>32.0</v>
      </c>
      <c r="R956" s="960">
        <v>100.0</v>
      </c>
      <c r="S956" s="960">
        <v>163.0</v>
      </c>
      <c r="T956" s="960">
        <v>179.0</v>
      </c>
      <c r="U956" s="960">
        <f t="array" ref="U956">HLOOKUP($J956,'Type Chart'!$C$2:$T$20,2,false)*HLOOKUP($K956,'Type Chart'!$C$2:$U$20,2,false)</f>
        <v>1</v>
      </c>
      <c r="V956" s="960">
        <f t="array" ref="V956">HLOOKUP($J956,'Type Chart'!$C$2:$T$20,3,false)*HLOOKUP($K956,'Type Chart'!$C$2:$U$20,3,false)</f>
        <v>1</v>
      </c>
      <c r="W956" s="960">
        <f t="array" ref="W956">HLOOKUP($J956,'Type Chart'!$C$2:$T$20,4,false)*HLOOKUP($K956,'Type Chart'!$C$2:$U$20,4,false)</f>
        <v>2</v>
      </c>
      <c r="X956" s="960">
        <f t="array" ref="X956">HLOOKUP($J956,'Type Chart'!$C$2:$T$20,5,false)*HLOOKUP($K956,'Type Chart'!$C$2:$U$20,5,false)</f>
        <v>2</v>
      </c>
      <c r="Y956" s="960">
        <f t="array" ref="Y956">HLOOKUP($J956,'Type Chart'!$C$2:$T$20,6,false)*HLOOKUP($K956,'Type Chart'!$C$2:$U$20,6,false)</f>
        <v>0.5</v>
      </c>
      <c r="Z956" s="960">
        <f t="array" ref="Z956">HLOOKUP($J956,'Type Chart'!$C$2:$T$20,7,false)*HLOOKUP($K956,'Type Chart'!$C$2:$U$20,7,false)</f>
        <v>1</v>
      </c>
      <c r="AA956" s="960">
        <f t="array" ref="AA956">HLOOKUP($J956,'Type Chart'!$C$2:$T$20,8,false)*HLOOKUP($K956,'Type Chart'!$C$2:$U$20,8,false)</f>
        <v>2</v>
      </c>
      <c r="AB956" s="960">
        <f t="array" ref="AB956">HLOOKUP($J956,'Type Chart'!$C$2:$T$20,9,false)*HLOOKUP($K956,'Type Chart'!$C$2:$U$20,9,false)</f>
        <v>1</v>
      </c>
      <c r="AC956" s="960">
        <f t="array" ref="AC956">HLOOKUP($J956,'Type Chart'!$C$2:$T$20,10,false)*HLOOKUP($K956,'Type Chart'!$C$2:$U$20,10,false)</f>
        <v>1</v>
      </c>
      <c r="AD956" s="960">
        <f t="array" ref="AD956">HLOOKUP($J956,'Type Chart'!$C$2:$T$20,11,false)*HLOOKUP($K956,'Type Chart'!$C$2:$U$20,11,false)</f>
        <v>2</v>
      </c>
      <c r="AE956" s="960">
        <f t="array" ref="AE956">HLOOKUP($J956,'Type Chart'!$C$2:$T$20,12,false)*HLOOKUP($K956,'Type Chart'!$C$2:$U$20,12,false)</f>
        <v>0.5</v>
      </c>
      <c r="AF956" s="960">
        <f t="array" ref="AF956">HLOOKUP($J956,'Type Chart'!$C$2:$T$20,13,false)*HLOOKUP($K956,'Type Chart'!$C$2:$U$20,13,false)</f>
        <v>0.5</v>
      </c>
      <c r="AG956" s="960">
        <f t="array" ref="AG956">HLOOKUP($J956,'Type Chart'!$C$2:$T$20,14,false)*HLOOKUP($K956,'Type Chart'!$C$2:$U$20,14,false)</f>
        <v>0.5</v>
      </c>
      <c r="AH956" s="960">
        <f t="array" ref="AH956">HLOOKUP($J956,'Type Chart'!$C$2:$T$20,15,false)*HLOOKUP($K956,'Type Chart'!$C$2:$U$20,15,false)</f>
        <v>1</v>
      </c>
      <c r="AI956" s="960">
        <f t="array" ref="AI956">HLOOKUP($J956,'Type Chart'!$C$2:$T$20,16,false)*HLOOKUP($K956,'Type Chart'!$C$2:$U$20,16,false)</f>
        <v>2</v>
      </c>
      <c r="AJ956" s="960">
        <f t="array" ref="AJ956">HLOOKUP($J956,'Type Chart'!$C$2:$T$20,17,false)*HLOOKUP($K956,'Type Chart'!$C$2:$U$20,17,false)</f>
        <v>1</v>
      </c>
      <c r="AK956" s="960">
        <f t="array" ref="AK956">HLOOKUP($J956,'Type Chart'!$C$2:$T$20,18,false)*HLOOKUP($K956,'Type Chart'!$C$2:$U$20,18,false)</f>
        <v>1</v>
      </c>
      <c r="AL956" s="960">
        <f t="array" ref="AL956">HLOOKUP($J956,'Type Chart'!$C$2:$T$20,19,false)*HLOOKUP($K956,'Type Chart'!$C$2:$U$20,19,false)</f>
        <v>1</v>
      </c>
      <c r="AM956" s="964" t="s">
        <v>1526</v>
      </c>
      <c r="AN956" s="965" t="s">
        <v>1369</v>
      </c>
      <c r="AO956" s="966" t="s">
        <v>3380</v>
      </c>
      <c r="AP956" s="936"/>
      <c r="AQ956" s="967"/>
      <c r="AR956" s="968"/>
      <c r="AS956" s="936"/>
    </row>
    <row r="957" ht="15.75" customHeight="1">
      <c r="A957" s="936"/>
      <c r="B957" s="948" t="s">
        <v>3640</v>
      </c>
      <c r="C957" s="950" t="s">
        <v>3641</v>
      </c>
      <c r="D957" s="950" t="s">
        <v>3641</v>
      </c>
      <c r="E957" s="952" t="s">
        <v>3641</v>
      </c>
      <c r="F957" s="940"/>
      <c r="G957" s="953"/>
      <c r="H957" s="969"/>
      <c r="I957" s="956" t="s">
        <v>3642</v>
      </c>
      <c r="J957" s="957" t="s">
        <v>209</v>
      </c>
      <c r="K957" s="984" t="s">
        <v>216</v>
      </c>
      <c r="L957" s="959">
        <v>52.0</v>
      </c>
      <c r="M957" s="960">
        <v>40.0</v>
      </c>
      <c r="N957" s="960">
        <v>48.0</v>
      </c>
      <c r="O957" s="960">
        <v>40.0</v>
      </c>
      <c r="P957" s="960">
        <v>48.0</v>
      </c>
      <c r="Q957" s="960">
        <v>62.0</v>
      </c>
      <c r="R957" s="960">
        <v>160.0</v>
      </c>
      <c r="S957" s="960">
        <v>223.0</v>
      </c>
      <c r="T957" s="960">
        <v>245.0</v>
      </c>
      <c r="U957" s="960">
        <f t="array" ref="U957">HLOOKUP($J957,'Type Chart'!$C$2:$T$20,2,false)*HLOOKUP($K957,'Type Chart'!$C$2:$U$20,2,false)</f>
        <v>1</v>
      </c>
      <c r="V957" s="960">
        <f t="array" ref="V957">HLOOKUP($J957,'Type Chart'!$C$2:$T$20,3,false)*HLOOKUP($K957,'Type Chart'!$C$2:$U$20,3,false)</f>
        <v>1</v>
      </c>
      <c r="W957" s="960">
        <f t="array" ref="W957">HLOOKUP($J957,'Type Chart'!$C$2:$T$20,4,false)*HLOOKUP($K957,'Type Chart'!$C$2:$U$20,4,false)</f>
        <v>2</v>
      </c>
      <c r="X957" s="960">
        <f t="array" ref="X957">HLOOKUP($J957,'Type Chart'!$C$2:$T$20,5,false)*HLOOKUP($K957,'Type Chart'!$C$2:$U$20,5,false)</f>
        <v>2</v>
      </c>
      <c r="Y957" s="960">
        <f t="array" ref="Y957">HLOOKUP($J957,'Type Chart'!$C$2:$T$20,6,false)*HLOOKUP($K957,'Type Chart'!$C$2:$U$20,6,false)</f>
        <v>0.5</v>
      </c>
      <c r="Z957" s="960">
        <f t="array" ref="Z957">HLOOKUP($J957,'Type Chart'!$C$2:$T$20,7,false)*HLOOKUP($K957,'Type Chart'!$C$2:$U$20,7,false)</f>
        <v>1</v>
      </c>
      <c r="AA957" s="960">
        <f t="array" ref="AA957">HLOOKUP($J957,'Type Chart'!$C$2:$T$20,8,false)*HLOOKUP($K957,'Type Chart'!$C$2:$U$20,8,false)</f>
        <v>2</v>
      </c>
      <c r="AB957" s="960">
        <f t="array" ref="AB957">HLOOKUP($J957,'Type Chart'!$C$2:$T$20,9,false)*HLOOKUP($K957,'Type Chart'!$C$2:$U$20,9,false)</f>
        <v>1</v>
      </c>
      <c r="AC957" s="960">
        <f t="array" ref="AC957">HLOOKUP($J957,'Type Chart'!$C$2:$T$20,10,false)*HLOOKUP($K957,'Type Chart'!$C$2:$U$20,10,false)</f>
        <v>1</v>
      </c>
      <c r="AD957" s="960">
        <f t="array" ref="AD957">HLOOKUP($J957,'Type Chart'!$C$2:$T$20,11,false)*HLOOKUP($K957,'Type Chart'!$C$2:$U$20,11,false)</f>
        <v>2</v>
      </c>
      <c r="AE957" s="960">
        <f t="array" ref="AE957">HLOOKUP($J957,'Type Chart'!$C$2:$T$20,12,false)*HLOOKUP($K957,'Type Chart'!$C$2:$U$20,12,false)</f>
        <v>0.5</v>
      </c>
      <c r="AF957" s="960">
        <f t="array" ref="AF957">HLOOKUP($J957,'Type Chart'!$C$2:$T$20,13,false)*HLOOKUP($K957,'Type Chart'!$C$2:$U$20,13,false)</f>
        <v>0.5</v>
      </c>
      <c r="AG957" s="960">
        <f t="array" ref="AG957">HLOOKUP($J957,'Type Chart'!$C$2:$T$20,14,false)*HLOOKUP($K957,'Type Chart'!$C$2:$U$20,14,false)</f>
        <v>0.5</v>
      </c>
      <c r="AH957" s="960">
        <f t="array" ref="AH957">HLOOKUP($J957,'Type Chart'!$C$2:$T$20,15,false)*HLOOKUP($K957,'Type Chart'!$C$2:$U$20,15,false)</f>
        <v>1</v>
      </c>
      <c r="AI957" s="960">
        <f t="array" ref="AI957">HLOOKUP($J957,'Type Chart'!$C$2:$T$20,16,false)*HLOOKUP($K957,'Type Chart'!$C$2:$U$20,16,false)</f>
        <v>2</v>
      </c>
      <c r="AJ957" s="960">
        <f t="array" ref="AJ957">HLOOKUP($J957,'Type Chart'!$C$2:$T$20,17,false)*HLOOKUP($K957,'Type Chart'!$C$2:$U$20,17,false)</f>
        <v>1</v>
      </c>
      <c r="AK957" s="960">
        <f t="array" ref="AK957">HLOOKUP($J957,'Type Chart'!$C$2:$T$20,18,false)*HLOOKUP($K957,'Type Chart'!$C$2:$U$20,18,false)</f>
        <v>1</v>
      </c>
      <c r="AL957" s="960">
        <f t="array" ref="AL957">HLOOKUP($J957,'Type Chart'!$C$2:$T$20,19,false)*HLOOKUP($K957,'Type Chart'!$C$2:$U$20,19,false)</f>
        <v>1</v>
      </c>
      <c r="AM957" s="964" t="s">
        <v>1526</v>
      </c>
      <c r="AN957" s="965" t="s">
        <v>1369</v>
      </c>
      <c r="AO957" s="966" t="s">
        <v>3380</v>
      </c>
      <c r="AP957" s="936"/>
      <c r="AQ957" s="967"/>
      <c r="AR957" s="968"/>
      <c r="AS957" s="936"/>
    </row>
    <row r="958" ht="15.75" customHeight="1">
      <c r="A958" s="936"/>
      <c r="B958" s="948" t="s">
        <v>3643</v>
      </c>
      <c r="C958" s="950" t="s">
        <v>3644</v>
      </c>
      <c r="D958" s="950" t="s">
        <v>3644</v>
      </c>
      <c r="E958" s="952" t="s">
        <v>3644</v>
      </c>
      <c r="F958" s="940"/>
      <c r="G958" s="953"/>
      <c r="H958" s="969"/>
      <c r="I958" s="956" t="s">
        <v>520</v>
      </c>
      <c r="J958" s="957" t="s">
        <v>209</v>
      </c>
      <c r="K958" s="984" t="s">
        <v>216</v>
      </c>
      <c r="L958" s="959">
        <v>72.0</v>
      </c>
      <c r="M958" s="960">
        <v>120.0</v>
      </c>
      <c r="N958" s="960">
        <v>98.0</v>
      </c>
      <c r="O958" s="960">
        <v>50.0</v>
      </c>
      <c r="P958" s="960">
        <v>98.0</v>
      </c>
      <c r="Q958" s="960">
        <v>72.0</v>
      </c>
      <c r="R958" s="960">
        <v>180.0</v>
      </c>
      <c r="S958" s="960">
        <v>243.0</v>
      </c>
      <c r="T958" s="960">
        <v>267.0</v>
      </c>
      <c r="U958" s="960">
        <f t="array" ref="U958">HLOOKUP($J958,'Type Chart'!$C$2:$T$20,2,false)*HLOOKUP($K958,'Type Chart'!$C$2:$U$20,2,false)</f>
        <v>1</v>
      </c>
      <c r="V958" s="960">
        <f t="array" ref="V958">HLOOKUP($J958,'Type Chart'!$C$2:$T$20,3,false)*HLOOKUP($K958,'Type Chart'!$C$2:$U$20,3,false)</f>
        <v>1</v>
      </c>
      <c r="W958" s="960">
        <f t="array" ref="W958">HLOOKUP($J958,'Type Chart'!$C$2:$T$20,4,false)*HLOOKUP($K958,'Type Chart'!$C$2:$U$20,4,false)</f>
        <v>2</v>
      </c>
      <c r="X958" s="960">
        <f t="array" ref="X958">HLOOKUP($J958,'Type Chart'!$C$2:$T$20,5,false)*HLOOKUP($K958,'Type Chart'!$C$2:$U$20,5,false)</f>
        <v>2</v>
      </c>
      <c r="Y958" s="960">
        <f t="array" ref="Y958">HLOOKUP($J958,'Type Chart'!$C$2:$T$20,6,false)*HLOOKUP($K958,'Type Chart'!$C$2:$U$20,6,false)</f>
        <v>0.5</v>
      </c>
      <c r="Z958" s="960">
        <f t="array" ref="Z958">HLOOKUP($J958,'Type Chart'!$C$2:$T$20,7,false)*HLOOKUP($K958,'Type Chart'!$C$2:$U$20,7,false)</f>
        <v>1</v>
      </c>
      <c r="AA958" s="960">
        <f t="array" ref="AA958">HLOOKUP($J958,'Type Chart'!$C$2:$T$20,8,false)*HLOOKUP($K958,'Type Chart'!$C$2:$U$20,8,false)</f>
        <v>2</v>
      </c>
      <c r="AB958" s="960">
        <f t="array" ref="AB958">HLOOKUP($J958,'Type Chart'!$C$2:$T$20,9,false)*HLOOKUP($K958,'Type Chart'!$C$2:$U$20,9,false)</f>
        <v>1</v>
      </c>
      <c r="AC958" s="960">
        <f t="array" ref="AC958">HLOOKUP($J958,'Type Chart'!$C$2:$T$20,10,false)*HLOOKUP($K958,'Type Chart'!$C$2:$U$20,10,false)</f>
        <v>1</v>
      </c>
      <c r="AD958" s="960">
        <f t="array" ref="AD958">HLOOKUP($J958,'Type Chart'!$C$2:$T$20,11,false)*HLOOKUP($K958,'Type Chart'!$C$2:$U$20,11,false)</f>
        <v>2</v>
      </c>
      <c r="AE958" s="960">
        <f t="array" ref="AE958">HLOOKUP($J958,'Type Chart'!$C$2:$T$20,12,false)*HLOOKUP($K958,'Type Chart'!$C$2:$U$20,12,false)</f>
        <v>0.5</v>
      </c>
      <c r="AF958" s="960">
        <f t="array" ref="AF958">HLOOKUP($J958,'Type Chart'!$C$2:$T$20,13,false)*HLOOKUP($K958,'Type Chart'!$C$2:$U$20,13,false)</f>
        <v>0.5</v>
      </c>
      <c r="AG958" s="960">
        <f t="array" ref="AG958">HLOOKUP($J958,'Type Chart'!$C$2:$T$20,14,false)*HLOOKUP($K958,'Type Chart'!$C$2:$U$20,14,false)</f>
        <v>0.5</v>
      </c>
      <c r="AH958" s="960">
        <f t="array" ref="AH958">HLOOKUP($J958,'Type Chart'!$C$2:$T$20,15,false)*HLOOKUP($K958,'Type Chart'!$C$2:$U$20,15,false)</f>
        <v>1</v>
      </c>
      <c r="AI958" s="960">
        <f t="array" ref="AI958">HLOOKUP($J958,'Type Chart'!$C$2:$T$20,16,false)*HLOOKUP($K958,'Type Chart'!$C$2:$U$20,16,false)</f>
        <v>2</v>
      </c>
      <c r="AJ958" s="960">
        <f t="array" ref="AJ958">HLOOKUP($J958,'Type Chart'!$C$2:$T$20,17,false)*HLOOKUP($K958,'Type Chart'!$C$2:$U$20,17,false)</f>
        <v>1</v>
      </c>
      <c r="AK958" s="960">
        <f t="array" ref="AK958">HLOOKUP($J958,'Type Chart'!$C$2:$T$20,18,false)*HLOOKUP($K958,'Type Chart'!$C$2:$U$20,18,false)</f>
        <v>1</v>
      </c>
      <c r="AL958" s="960">
        <f t="array" ref="AL958">HLOOKUP($J958,'Type Chart'!$C$2:$T$20,19,false)*HLOOKUP($K958,'Type Chart'!$C$2:$U$20,19,false)</f>
        <v>1</v>
      </c>
      <c r="AM958" s="964" t="s">
        <v>1526</v>
      </c>
      <c r="AN958" s="965" t="s">
        <v>3645</v>
      </c>
      <c r="AO958" s="966" t="s">
        <v>3380</v>
      </c>
      <c r="AP958" s="936"/>
      <c r="AQ958" s="967"/>
      <c r="AR958" s="968"/>
      <c r="AS958" s="936"/>
    </row>
    <row r="959" ht="15.75" customHeight="1">
      <c r="A959" s="936"/>
      <c r="B959" s="948" t="s">
        <v>3646</v>
      </c>
      <c r="C959" s="950" t="s">
        <v>3647</v>
      </c>
      <c r="D959" s="950" t="s">
        <v>3647</v>
      </c>
      <c r="E959" s="952" t="s">
        <v>3647</v>
      </c>
      <c r="F959" s="940"/>
      <c r="G959" s="953"/>
      <c r="H959" s="969"/>
      <c r="I959" s="956" t="s">
        <v>578</v>
      </c>
      <c r="J959" s="1207" t="s">
        <v>127</v>
      </c>
      <c r="K959" s="984" t="s">
        <v>216</v>
      </c>
      <c r="L959" s="959">
        <v>51.0</v>
      </c>
      <c r="M959" s="960">
        <v>52.0</v>
      </c>
      <c r="N959" s="960">
        <v>90.0</v>
      </c>
      <c r="O959" s="960">
        <v>82.0</v>
      </c>
      <c r="P959" s="960">
        <v>110.0</v>
      </c>
      <c r="Q959" s="960">
        <v>100.0</v>
      </c>
      <c r="R959" s="960">
        <v>236.0</v>
      </c>
      <c r="S959" s="960">
        <v>299.0</v>
      </c>
      <c r="T959" s="960">
        <v>328.0</v>
      </c>
      <c r="U959" s="960">
        <f t="array" ref="U959">HLOOKUP($J959,'Type Chart'!$C$2:$T$20,2,false)*HLOOKUP($K959,'Type Chart'!$C$2:$U$20,2,false)</f>
        <v>1</v>
      </c>
      <c r="V959" s="960">
        <f t="array" ref="V959">HLOOKUP($J959,'Type Chart'!$C$2:$T$20,3,false)*HLOOKUP($K959,'Type Chart'!$C$2:$U$20,3,false)</f>
        <v>0.5</v>
      </c>
      <c r="W959" s="960">
        <f t="array" ref="W959">HLOOKUP($J959,'Type Chart'!$C$2:$T$20,4,false)*HLOOKUP($K959,'Type Chart'!$C$2:$U$20,4,false)</f>
        <v>1</v>
      </c>
      <c r="X959" s="960">
        <f t="array" ref="X959">HLOOKUP($J959,'Type Chart'!$C$2:$T$20,5,false)*HLOOKUP($K959,'Type Chart'!$C$2:$U$20,5,false)</f>
        <v>2</v>
      </c>
      <c r="Y959" s="960">
        <f t="array" ref="Y959">HLOOKUP($J959,'Type Chart'!$C$2:$T$20,6,false)*HLOOKUP($K959,'Type Chart'!$C$2:$U$20,6,false)</f>
        <v>1</v>
      </c>
      <c r="Z959" s="960">
        <f t="array" ref="Z959">HLOOKUP($J959,'Type Chart'!$C$2:$T$20,7,false)*HLOOKUP($K959,'Type Chart'!$C$2:$U$20,7,false)</f>
        <v>1</v>
      </c>
      <c r="AA959" s="960">
        <f t="array" ref="AA959">HLOOKUP($J959,'Type Chart'!$C$2:$T$20,8,false)*HLOOKUP($K959,'Type Chart'!$C$2:$U$20,8,false)</f>
        <v>0.5</v>
      </c>
      <c r="AB959" s="960">
        <f t="array" ref="AB959">HLOOKUP($J959,'Type Chart'!$C$2:$T$20,9,false)*HLOOKUP($K959,'Type Chart'!$C$2:$U$20,9,false)</f>
        <v>1</v>
      </c>
      <c r="AC959" s="960">
        <f t="array" ref="AC959">HLOOKUP($J959,'Type Chart'!$C$2:$T$20,10,false)*HLOOKUP($K959,'Type Chart'!$C$2:$U$20,10,false)</f>
        <v>2</v>
      </c>
      <c r="AD959" s="960">
        <f t="array" ref="AD959">HLOOKUP($J959,'Type Chart'!$C$2:$T$20,11,false)*HLOOKUP($K959,'Type Chart'!$C$2:$U$20,11,false)</f>
        <v>1</v>
      </c>
      <c r="AE959" s="960">
        <f t="array" ref="AE959">HLOOKUP($J959,'Type Chart'!$C$2:$T$20,12,false)*HLOOKUP($K959,'Type Chart'!$C$2:$U$20,12,false)</f>
        <v>1</v>
      </c>
      <c r="AF959" s="960">
        <f t="array" ref="AF959">HLOOKUP($J959,'Type Chart'!$C$2:$T$20,13,false)*HLOOKUP($K959,'Type Chart'!$C$2:$U$20,13,false)</f>
        <v>1</v>
      </c>
      <c r="AG959" s="960">
        <f t="array" ref="AG959">HLOOKUP($J959,'Type Chart'!$C$2:$T$20,14,false)*HLOOKUP($K959,'Type Chart'!$C$2:$U$20,14,false)</f>
        <v>1</v>
      </c>
      <c r="AH959" s="960">
        <f t="array" ref="AH959">HLOOKUP($J959,'Type Chart'!$C$2:$T$20,15,false)*HLOOKUP($K959,'Type Chart'!$C$2:$U$20,15,false)</f>
        <v>1</v>
      </c>
      <c r="AI959" s="960">
        <f t="array" ref="AI959">HLOOKUP($J959,'Type Chart'!$C$2:$T$20,16,false)*HLOOKUP($K959,'Type Chart'!$C$2:$U$20,16,false)</f>
        <v>1</v>
      </c>
      <c r="AJ959" s="960">
        <f t="array" ref="AJ959">HLOOKUP($J959,'Type Chart'!$C$2:$T$20,17,false)*HLOOKUP($K959,'Type Chart'!$C$2:$U$20,17,false)</f>
        <v>0</v>
      </c>
      <c r="AK959" s="960">
        <f t="array" ref="AK959">HLOOKUP($J959,'Type Chart'!$C$2:$T$20,18,false)*HLOOKUP($K959,'Type Chart'!$C$2:$U$20,18,false)</f>
        <v>0.5</v>
      </c>
      <c r="AL959" s="960">
        <f t="array" ref="AL959">HLOOKUP($J959,'Type Chart'!$C$2:$T$20,19,false)*HLOOKUP($K959,'Type Chart'!$C$2:$U$20,19,false)</f>
        <v>1</v>
      </c>
      <c r="AM959" s="964" t="s">
        <v>3321</v>
      </c>
      <c r="AN959" s="965" t="s">
        <v>3648</v>
      </c>
      <c r="AO959" s="966" t="s">
        <v>1520</v>
      </c>
      <c r="AP959" s="936"/>
      <c r="AQ959" s="967"/>
      <c r="AR959" s="968"/>
      <c r="AS959" s="936"/>
    </row>
    <row r="960" ht="15.75" customHeight="1">
      <c r="A960" s="936"/>
      <c r="B960" s="948" t="s">
        <v>3649</v>
      </c>
      <c r="C960" s="950" t="s">
        <v>3650</v>
      </c>
      <c r="D960" s="950" t="s">
        <v>3650</v>
      </c>
      <c r="E960" s="952" t="s">
        <v>3650</v>
      </c>
      <c r="F960" s="940"/>
      <c r="G960" s="953"/>
      <c r="H960" s="969"/>
      <c r="I960" s="956" t="s">
        <v>770</v>
      </c>
      <c r="J960" s="1194" t="s">
        <v>136</v>
      </c>
      <c r="K960" s="1203" t="s">
        <v>344</v>
      </c>
      <c r="L960" s="959">
        <v>90.0</v>
      </c>
      <c r="M960" s="960">
        <v>60.0</v>
      </c>
      <c r="N960" s="960">
        <v>80.0</v>
      </c>
      <c r="O960" s="960">
        <v>90.0</v>
      </c>
      <c r="P960" s="960">
        <v>110.0</v>
      </c>
      <c r="Q960" s="960">
        <v>60.0</v>
      </c>
      <c r="R960" s="960">
        <v>156.0</v>
      </c>
      <c r="S960" s="960">
        <v>219.0</v>
      </c>
      <c r="T960" s="960">
        <v>240.0</v>
      </c>
      <c r="U960" s="960">
        <f t="array" ref="U960">HLOOKUP($J960,'Type Chart'!$C$2:$T$20,2,false)*HLOOKUP($K960,'Type Chart'!$C$2:$U$20,2,false)</f>
        <v>1</v>
      </c>
      <c r="V960" s="960">
        <f t="array" ref="V960">HLOOKUP($J960,'Type Chart'!$C$2:$T$20,3,false)*HLOOKUP($K960,'Type Chart'!$C$2:$U$20,3,false)</f>
        <v>1</v>
      </c>
      <c r="W960" s="960">
        <f t="array" ref="W960">HLOOKUP($J960,'Type Chart'!$C$2:$T$20,4,false)*HLOOKUP($K960,'Type Chart'!$C$2:$U$20,4,false)</f>
        <v>1</v>
      </c>
      <c r="X960" s="960">
        <f t="array" ref="X960">HLOOKUP($J960,'Type Chart'!$C$2:$T$20,5,false)*HLOOKUP($K960,'Type Chart'!$C$2:$U$20,5,false)</f>
        <v>1</v>
      </c>
      <c r="Y960" s="960">
        <f t="array" ref="Y960">HLOOKUP($J960,'Type Chart'!$C$2:$T$20,6,false)*HLOOKUP($K960,'Type Chart'!$C$2:$U$20,6,false)</f>
        <v>1</v>
      </c>
      <c r="Z960" s="960">
        <f t="array" ref="Z960">HLOOKUP($J960,'Type Chart'!$C$2:$T$20,7,false)*HLOOKUP($K960,'Type Chart'!$C$2:$U$20,7,false)</f>
        <v>1</v>
      </c>
      <c r="AA960" s="960">
        <f t="array" ref="AA960">HLOOKUP($J960,'Type Chart'!$C$2:$T$20,8,false)*HLOOKUP($K960,'Type Chart'!$C$2:$U$20,8,false)</f>
        <v>2</v>
      </c>
      <c r="AB960" s="960">
        <f t="array" ref="AB960">HLOOKUP($J960,'Type Chart'!$C$2:$T$20,9,false)*HLOOKUP($K960,'Type Chart'!$C$2:$U$20,9,false)</f>
        <v>0</v>
      </c>
      <c r="AC960" s="960">
        <f t="array" ref="AC960">HLOOKUP($J960,'Type Chart'!$C$2:$T$20,10,false)*HLOOKUP($K960,'Type Chart'!$C$2:$U$20,10,false)</f>
        <v>1</v>
      </c>
      <c r="AD960" s="960">
        <f t="array" ref="AD960">HLOOKUP($J960,'Type Chart'!$C$2:$T$20,11,false)*HLOOKUP($K960,'Type Chart'!$C$2:$U$20,11,false)</f>
        <v>1</v>
      </c>
      <c r="AE960" s="960">
        <f t="array" ref="AE960">HLOOKUP($J960,'Type Chart'!$C$2:$T$20,12,false)*HLOOKUP($K960,'Type Chart'!$C$2:$U$20,12,false)</f>
        <v>1</v>
      </c>
      <c r="AF960" s="960">
        <f t="array" ref="AF960">HLOOKUP($J960,'Type Chart'!$C$2:$T$20,13,false)*HLOOKUP($K960,'Type Chart'!$C$2:$U$20,13,false)</f>
        <v>1</v>
      </c>
      <c r="AG960" s="960">
        <f t="array" ref="AG960">HLOOKUP($J960,'Type Chart'!$C$2:$T$20,14,false)*HLOOKUP($K960,'Type Chart'!$C$2:$U$20,14,false)</f>
        <v>1</v>
      </c>
      <c r="AH960" s="960">
        <f t="array" ref="AH960">HLOOKUP($J960,'Type Chart'!$C$2:$T$20,15,false)*HLOOKUP($K960,'Type Chart'!$C$2:$U$20,15,false)</f>
        <v>0.5</v>
      </c>
      <c r="AI960" s="960">
        <f t="array" ref="AI960">HLOOKUP($J960,'Type Chart'!$C$2:$T$20,16,false)*HLOOKUP($K960,'Type Chart'!$C$2:$U$20,16,false)</f>
        <v>1</v>
      </c>
      <c r="AJ960" s="960">
        <f t="array" ref="AJ960">HLOOKUP($J960,'Type Chart'!$C$2:$T$20,17,false)*HLOOKUP($K960,'Type Chart'!$C$2:$U$20,17,false)</f>
        <v>1</v>
      </c>
      <c r="AK960" s="960">
        <f t="array" ref="AK960">HLOOKUP($J960,'Type Chart'!$C$2:$T$20,18,false)*HLOOKUP($K960,'Type Chart'!$C$2:$U$20,18,false)</f>
        <v>2</v>
      </c>
      <c r="AL960" s="960">
        <f t="array" ref="AL960">HLOOKUP($J960,'Type Chart'!$C$2:$T$20,19,false)*HLOOKUP($K960,'Type Chart'!$C$2:$U$20,19,false)</f>
        <v>1</v>
      </c>
      <c r="AM960" s="964" t="s">
        <v>1192</v>
      </c>
      <c r="AN960" s="965" t="s">
        <v>1828</v>
      </c>
      <c r="AO960" s="966" t="s">
        <v>3322</v>
      </c>
      <c r="AP960" s="936"/>
      <c r="AQ960" s="967"/>
      <c r="AR960" s="968"/>
      <c r="AS960" s="936"/>
    </row>
    <row r="961" ht="15.75" customHeight="1">
      <c r="A961" s="936"/>
      <c r="B961" s="948" t="s">
        <v>3651</v>
      </c>
      <c r="C961" s="950" t="s">
        <v>3652</v>
      </c>
      <c r="D961" s="950" t="s">
        <v>3652</v>
      </c>
      <c r="E961" s="952" t="s">
        <v>3652</v>
      </c>
      <c r="F961" s="940"/>
      <c r="G961" s="953"/>
      <c r="H961" s="969"/>
      <c r="I961" s="956" t="s">
        <v>628</v>
      </c>
      <c r="J961" s="1213" t="s">
        <v>341</v>
      </c>
      <c r="K961" s="984" t="s">
        <v>216</v>
      </c>
      <c r="L961" s="959">
        <v>100.0</v>
      </c>
      <c r="M961" s="960">
        <v>120.0</v>
      </c>
      <c r="N961" s="960">
        <v>90.0</v>
      </c>
      <c r="O961" s="960">
        <v>40.0</v>
      </c>
      <c r="P961" s="960">
        <v>60.0</v>
      </c>
      <c r="Q961" s="960">
        <v>80.0</v>
      </c>
      <c r="R961" s="960">
        <v>196.0</v>
      </c>
      <c r="S961" s="960">
        <v>259.0</v>
      </c>
      <c r="T961" s="960">
        <v>284.0</v>
      </c>
      <c r="U961" s="960">
        <f t="array" ref="U961">HLOOKUP($J961,'Type Chart'!$C$2:$T$20,2,false)*HLOOKUP($K961,'Type Chart'!$C$2:$U$20,2,false)</f>
        <v>1</v>
      </c>
      <c r="V961" s="960">
        <f t="array" ref="V961">HLOOKUP($J961,'Type Chart'!$C$2:$T$20,3,false)*HLOOKUP($K961,'Type Chart'!$C$2:$U$20,3,false)</f>
        <v>1</v>
      </c>
      <c r="W961" s="960">
        <f t="array" ref="W961">HLOOKUP($J961,'Type Chart'!$C$2:$T$20,4,false)*HLOOKUP($K961,'Type Chart'!$C$2:$U$20,4,false)</f>
        <v>2</v>
      </c>
      <c r="X961" s="960">
        <f t="array" ref="X961">HLOOKUP($J961,'Type Chart'!$C$2:$T$20,5,false)*HLOOKUP($K961,'Type Chart'!$C$2:$U$20,5,false)</f>
        <v>1</v>
      </c>
      <c r="Y961" s="960">
        <f t="array" ref="Y961">HLOOKUP($J961,'Type Chart'!$C$2:$T$20,6,false)*HLOOKUP($K961,'Type Chart'!$C$2:$U$20,6,false)</f>
        <v>1</v>
      </c>
      <c r="Z961" s="960">
        <f t="array" ref="Z961">HLOOKUP($J961,'Type Chart'!$C$2:$T$20,7,false)*HLOOKUP($K961,'Type Chart'!$C$2:$U$20,7,false)</f>
        <v>0.5</v>
      </c>
      <c r="AA961" s="960">
        <f t="array" ref="AA961">HLOOKUP($J961,'Type Chart'!$C$2:$T$20,8,false)*HLOOKUP($K961,'Type Chart'!$C$2:$U$20,8,false)</f>
        <v>0.5</v>
      </c>
      <c r="AB961" s="960">
        <f t="array" ref="AB961">HLOOKUP($J961,'Type Chart'!$C$2:$T$20,9,false)*HLOOKUP($K961,'Type Chart'!$C$2:$U$20,9,false)</f>
        <v>1</v>
      </c>
      <c r="AC961" s="960">
        <f t="array" ref="AC961">HLOOKUP($J961,'Type Chart'!$C$2:$T$20,10,false)*HLOOKUP($K961,'Type Chart'!$C$2:$U$20,10,false)</f>
        <v>1</v>
      </c>
      <c r="AD961" s="960">
        <f t="array" ref="AD961">HLOOKUP($J961,'Type Chart'!$C$2:$T$20,11,false)*HLOOKUP($K961,'Type Chart'!$C$2:$U$20,11,false)</f>
        <v>1</v>
      </c>
      <c r="AE961" s="960">
        <f t="array" ref="AE961">HLOOKUP($J961,'Type Chart'!$C$2:$T$20,12,false)*HLOOKUP($K961,'Type Chart'!$C$2:$U$20,12,false)</f>
        <v>1</v>
      </c>
      <c r="AF961" s="960">
        <f t="array" ref="AF961">HLOOKUP($J961,'Type Chart'!$C$2:$T$20,13,false)*HLOOKUP($K961,'Type Chart'!$C$2:$U$20,13,false)</f>
        <v>1</v>
      </c>
      <c r="AG961" s="960">
        <f t="array" ref="AG961">HLOOKUP($J961,'Type Chart'!$C$2:$T$20,14,false)*HLOOKUP($K961,'Type Chart'!$C$2:$U$20,14,false)</f>
        <v>1</v>
      </c>
      <c r="AH961" s="960">
        <f t="array" ref="AH961">HLOOKUP($J961,'Type Chart'!$C$2:$T$20,15,false)*HLOOKUP($K961,'Type Chart'!$C$2:$U$20,15,false)</f>
        <v>2</v>
      </c>
      <c r="AI961" s="960">
        <f t="array" ref="AI961">HLOOKUP($J961,'Type Chart'!$C$2:$T$20,16,false)*HLOOKUP($K961,'Type Chart'!$C$2:$U$20,16,false)</f>
        <v>1</v>
      </c>
      <c r="AJ961" s="960">
        <f t="array" ref="AJ961">HLOOKUP($J961,'Type Chart'!$C$2:$T$20,17,false)*HLOOKUP($K961,'Type Chart'!$C$2:$U$20,17,false)</f>
        <v>1</v>
      </c>
      <c r="AK961" s="960">
        <f t="array" ref="AK961">HLOOKUP($J961,'Type Chart'!$C$2:$T$20,18,false)*HLOOKUP($K961,'Type Chart'!$C$2:$U$20,18,false)</f>
        <v>0.5</v>
      </c>
      <c r="AL961" s="960">
        <f t="array" ref="AL961">HLOOKUP($J961,'Type Chart'!$C$2:$T$20,19,false)*HLOOKUP($K961,'Type Chart'!$C$2:$U$20,19,false)</f>
        <v>2</v>
      </c>
      <c r="AM961" s="964" t="s">
        <v>3653</v>
      </c>
      <c r="AN961" s="965"/>
      <c r="AO961" s="966" t="s">
        <v>1267</v>
      </c>
      <c r="AP961" s="936"/>
      <c r="AQ961" s="967"/>
      <c r="AR961" s="968"/>
      <c r="AS961" s="936"/>
    </row>
    <row r="962" ht="15.75" customHeight="1">
      <c r="A962" s="936"/>
      <c r="B962" s="948" t="s">
        <v>3654</v>
      </c>
      <c r="C962" s="950" t="s">
        <v>3655</v>
      </c>
      <c r="D962" s="950" t="s">
        <v>3655</v>
      </c>
      <c r="E962" s="952" t="s">
        <v>3655</v>
      </c>
      <c r="F962" s="940"/>
      <c r="G962" s="953"/>
      <c r="H962" s="969"/>
      <c r="I962" s="956" t="s">
        <v>3656</v>
      </c>
      <c r="J962" s="1180" t="s">
        <v>343</v>
      </c>
      <c r="K962" s="1056" t="s">
        <v>81</v>
      </c>
      <c r="L962" s="959">
        <v>25.0</v>
      </c>
      <c r="M962" s="960">
        <v>35.0</v>
      </c>
      <c r="N962" s="960">
        <v>40.0</v>
      </c>
      <c r="O962" s="960">
        <v>20.0</v>
      </c>
      <c r="P962" s="960">
        <v>30.0</v>
      </c>
      <c r="Q962" s="960">
        <v>80.0</v>
      </c>
      <c r="R962" s="960">
        <v>196.0</v>
      </c>
      <c r="S962" s="960">
        <v>259.0</v>
      </c>
      <c r="T962" s="960">
        <v>284.0</v>
      </c>
      <c r="U962" s="960">
        <f t="array" ref="U962">HLOOKUP($J962,'Type Chart'!$C$2:$T$20,2,false)*HLOOKUP($K962,'Type Chart'!$C$2:$U$20,2,false)</f>
        <v>1</v>
      </c>
      <c r="V962" s="960">
        <f t="array" ref="V962">HLOOKUP($J962,'Type Chart'!$C$2:$T$20,3,false)*HLOOKUP($K962,'Type Chart'!$C$2:$U$20,3,false)</f>
        <v>0.5</v>
      </c>
      <c r="W962" s="960">
        <f t="array" ref="W962">HLOOKUP($J962,'Type Chart'!$C$2:$T$20,4,false)*HLOOKUP($K962,'Type Chart'!$C$2:$U$20,4,false)</f>
        <v>2</v>
      </c>
      <c r="X962" s="960">
        <f t="array" ref="X962">HLOOKUP($J962,'Type Chart'!$C$2:$T$20,5,false)*HLOOKUP($K962,'Type Chart'!$C$2:$U$20,5,false)</f>
        <v>1</v>
      </c>
      <c r="Y962" s="960">
        <f t="array" ref="Y962">HLOOKUP($J962,'Type Chart'!$C$2:$T$20,6,false)*HLOOKUP($K962,'Type Chart'!$C$2:$U$20,6,false)</f>
        <v>0.5</v>
      </c>
      <c r="Z962" s="960">
        <f t="array" ref="Z962">HLOOKUP($J962,'Type Chart'!$C$2:$T$20,7,false)*HLOOKUP($K962,'Type Chart'!$C$2:$U$20,7,false)</f>
        <v>2</v>
      </c>
      <c r="AA962" s="960">
        <f t="array" ref="AA962">HLOOKUP($J962,'Type Chart'!$C$2:$T$20,8,false)*HLOOKUP($K962,'Type Chart'!$C$2:$U$20,8,false)</f>
        <v>1</v>
      </c>
      <c r="AB962" s="960">
        <f t="array" ref="AB962">HLOOKUP($J962,'Type Chart'!$C$2:$T$20,9,false)*HLOOKUP($K962,'Type Chart'!$C$2:$U$20,9,false)</f>
        <v>1</v>
      </c>
      <c r="AC962" s="960">
        <f t="array" ref="AC962">HLOOKUP($J962,'Type Chart'!$C$2:$T$20,10,false)*HLOOKUP($K962,'Type Chart'!$C$2:$U$20,10,false)</f>
        <v>0.5</v>
      </c>
      <c r="AD962" s="960">
        <f t="array" ref="AD962">HLOOKUP($J962,'Type Chart'!$C$2:$T$20,11,false)*HLOOKUP($K962,'Type Chart'!$C$2:$U$20,11,false)</f>
        <v>1</v>
      </c>
      <c r="AE962" s="960">
        <f t="array" ref="AE962">HLOOKUP($J962,'Type Chart'!$C$2:$T$20,12,false)*HLOOKUP($K962,'Type Chart'!$C$2:$U$20,12,false)</f>
        <v>0.5</v>
      </c>
      <c r="AF962" s="960">
        <f t="array" ref="AF962">HLOOKUP($J962,'Type Chart'!$C$2:$T$20,13,false)*HLOOKUP($K962,'Type Chart'!$C$2:$U$20,13,false)</f>
        <v>1</v>
      </c>
      <c r="AG962" s="960">
        <f t="array" ref="AG962">HLOOKUP($J962,'Type Chart'!$C$2:$T$20,14,false)*HLOOKUP($K962,'Type Chart'!$C$2:$U$20,14,false)</f>
        <v>2</v>
      </c>
      <c r="AH962" s="960">
        <f t="array" ref="AH962">HLOOKUP($J962,'Type Chart'!$C$2:$T$20,15,false)*HLOOKUP($K962,'Type Chart'!$C$2:$U$20,15,false)</f>
        <v>1</v>
      </c>
      <c r="AI962" s="960">
        <f t="array" ref="AI962">HLOOKUP($J962,'Type Chart'!$C$2:$T$20,16,false)*HLOOKUP($K962,'Type Chart'!$C$2:$U$20,16,false)</f>
        <v>0.5</v>
      </c>
      <c r="AJ962" s="960">
        <f t="array" ref="AJ962">HLOOKUP($J962,'Type Chart'!$C$2:$T$20,17,false)*HLOOKUP($K962,'Type Chart'!$C$2:$U$20,17,false)</f>
        <v>1</v>
      </c>
      <c r="AK962" s="960">
        <f t="array" ref="AK962">HLOOKUP($J962,'Type Chart'!$C$2:$T$20,18,false)*HLOOKUP($K962,'Type Chart'!$C$2:$U$20,18,false)</f>
        <v>1</v>
      </c>
      <c r="AL962" s="960">
        <f t="array" ref="AL962">HLOOKUP($J962,'Type Chart'!$C$2:$T$20,19,false)*HLOOKUP($K962,'Type Chart'!$C$2:$U$20,19,false)</f>
        <v>1</v>
      </c>
      <c r="AM962" s="964" t="s">
        <v>3657</v>
      </c>
      <c r="AN962" s="965"/>
      <c r="AO962" s="966"/>
      <c r="AP962" s="936"/>
      <c r="AQ962" s="967"/>
      <c r="AR962" s="968"/>
      <c r="AS962" s="936"/>
    </row>
    <row r="963" ht="15.75" customHeight="1">
      <c r="A963" s="936"/>
      <c r="B963" s="948" t="s">
        <v>3658</v>
      </c>
      <c r="C963" s="950" t="s">
        <v>3659</v>
      </c>
      <c r="D963" s="950" t="s">
        <v>3659</v>
      </c>
      <c r="E963" s="952" t="s">
        <v>3659</v>
      </c>
      <c r="F963" s="940"/>
      <c r="G963" s="953"/>
      <c r="H963" s="969"/>
      <c r="I963" s="956" t="s">
        <v>3660</v>
      </c>
      <c r="J963" s="1180" t="s">
        <v>343</v>
      </c>
      <c r="K963" s="1056" t="s">
        <v>81</v>
      </c>
      <c r="L963" s="959">
        <v>75.0</v>
      </c>
      <c r="M963" s="960">
        <v>125.0</v>
      </c>
      <c r="N963" s="960">
        <v>140.0</v>
      </c>
      <c r="O963" s="960">
        <v>60.0</v>
      </c>
      <c r="P963" s="960">
        <v>90.0</v>
      </c>
      <c r="Q963" s="960">
        <v>40.0</v>
      </c>
      <c r="R963" s="960">
        <v>116.0</v>
      </c>
      <c r="S963" s="960">
        <v>179.0</v>
      </c>
      <c r="T963" s="960">
        <v>196.0</v>
      </c>
      <c r="U963" s="960">
        <f t="array" ref="U963">HLOOKUP($J963,'Type Chart'!$C$2:$T$20,2,false)*HLOOKUP($K963,'Type Chart'!$C$2:$U$20,2,false)</f>
        <v>1</v>
      </c>
      <c r="V963" s="960">
        <f t="array" ref="V963">HLOOKUP($J963,'Type Chart'!$C$2:$T$20,3,false)*HLOOKUP($K963,'Type Chart'!$C$2:$U$20,3,false)</f>
        <v>0.5</v>
      </c>
      <c r="W963" s="960">
        <f t="array" ref="W963">HLOOKUP($J963,'Type Chart'!$C$2:$T$20,4,false)*HLOOKUP($K963,'Type Chart'!$C$2:$U$20,4,false)</f>
        <v>2</v>
      </c>
      <c r="X963" s="960">
        <f t="array" ref="X963">HLOOKUP($J963,'Type Chart'!$C$2:$T$20,5,false)*HLOOKUP($K963,'Type Chart'!$C$2:$U$20,5,false)</f>
        <v>1</v>
      </c>
      <c r="Y963" s="960">
        <f t="array" ref="Y963">HLOOKUP($J963,'Type Chart'!$C$2:$T$20,6,false)*HLOOKUP($K963,'Type Chart'!$C$2:$U$20,6,false)</f>
        <v>0.5</v>
      </c>
      <c r="Z963" s="960">
        <f t="array" ref="Z963">HLOOKUP($J963,'Type Chart'!$C$2:$T$20,7,false)*HLOOKUP($K963,'Type Chart'!$C$2:$U$20,7,false)</f>
        <v>2</v>
      </c>
      <c r="AA963" s="960">
        <f t="array" ref="AA963">HLOOKUP($J963,'Type Chart'!$C$2:$T$20,8,false)*HLOOKUP($K963,'Type Chart'!$C$2:$U$20,8,false)</f>
        <v>1</v>
      </c>
      <c r="AB963" s="960">
        <f t="array" ref="AB963">HLOOKUP($J963,'Type Chart'!$C$2:$T$20,9,false)*HLOOKUP($K963,'Type Chart'!$C$2:$U$20,9,false)</f>
        <v>1</v>
      </c>
      <c r="AC963" s="960">
        <f t="array" ref="AC963">HLOOKUP($J963,'Type Chart'!$C$2:$T$20,10,false)*HLOOKUP($K963,'Type Chart'!$C$2:$U$20,10,false)</f>
        <v>0.5</v>
      </c>
      <c r="AD963" s="960">
        <f t="array" ref="AD963">HLOOKUP($J963,'Type Chart'!$C$2:$T$20,11,false)*HLOOKUP($K963,'Type Chart'!$C$2:$U$20,11,false)</f>
        <v>1</v>
      </c>
      <c r="AE963" s="960">
        <f t="array" ref="AE963">HLOOKUP($J963,'Type Chart'!$C$2:$T$20,12,false)*HLOOKUP($K963,'Type Chart'!$C$2:$U$20,12,false)</f>
        <v>0.5</v>
      </c>
      <c r="AF963" s="960">
        <f t="array" ref="AF963">HLOOKUP($J963,'Type Chart'!$C$2:$T$20,13,false)*HLOOKUP($K963,'Type Chart'!$C$2:$U$20,13,false)</f>
        <v>1</v>
      </c>
      <c r="AG963" s="960">
        <f t="array" ref="AG963">HLOOKUP($J963,'Type Chart'!$C$2:$T$20,14,false)*HLOOKUP($K963,'Type Chart'!$C$2:$U$20,14,false)</f>
        <v>2</v>
      </c>
      <c r="AH963" s="960">
        <f t="array" ref="AH963">HLOOKUP($J963,'Type Chart'!$C$2:$T$20,15,false)*HLOOKUP($K963,'Type Chart'!$C$2:$U$20,15,false)</f>
        <v>1</v>
      </c>
      <c r="AI963" s="960">
        <f t="array" ref="AI963">HLOOKUP($J963,'Type Chart'!$C$2:$T$20,16,false)*HLOOKUP($K963,'Type Chart'!$C$2:$U$20,16,false)</f>
        <v>0.5</v>
      </c>
      <c r="AJ963" s="960">
        <f t="array" ref="AJ963">HLOOKUP($J963,'Type Chart'!$C$2:$T$20,17,false)*HLOOKUP($K963,'Type Chart'!$C$2:$U$20,17,false)</f>
        <v>1</v>
      </c>
      <c r="AK963" s="960">
        <f t="array" ref="AK963">HLOOKUP($J963,'Type Chart'!$C$2:$T$20,18,false)*HLOOKUP($K963,'Type Chart'!$C$2:$U$20,18,false)</f>
        <v>1</v>
      </c>
      <c r="AL963" s="960">
        <f t="array" ref="AL963">HLOOKUP($J963,'Type Chart'!$C$2:$T$20,19,false)*HLOOKUP($K963,'Type Chart'!$C$2:$U$20,19,false)</f>
        <v>1</v>
      </c>
      <c r="AM963" s="964" t="s">
        <v>3661</v>
      </c>
      <c r="AN963" s="965"/>
      <c r="AO963" s="966"/>
      <c r="AP963" s="936"/>
      <c r="AQ963" s="967"/>
      <c r="AR963" s="968"/>
      <c r="AS963" s="936"/>
    </row>
    <row r="964" ht="15.75" customHeight="1">
      <c r="A964" s="936"/>
      <c r="B964" s="948" t="s">
        <v>3662</v>
      </c>
      <c r="C964" s="950" t="s">
        <v>3663</v>
      </c>
      <c r="D964" s="950" t="s">
        <v>3663</v>
      </c>
      <c r="E964" s="952" t="s">
        <v>3663</v>
      </c>
      <c r="F964" s="940"/>
      <c r="G964" s="953"/>
      <c r="H964" s="969"/>
      <c r="I964" s="998" t="s">
        <v>3664</v>
      </c>
      <c r="J964" s="1220" t="s">
        <v>215</v>
      </c>
      <c r="K964" s="1204" t="s">
        <v>80</v>
      </c>
      <c r="L964" s="959">
        <v>55.0</v>
      </c>
      <c r="M964" s="960">
        <v>55.0</v>
      </c>
      <c r="N964" s="960">
        <v>80.0</v>
      </c>
      <c r="O964" s="960">
        <v>70.0</v>
      </c>
      <c r="P964" s="960">
        <v>45.0</v>
      </c>
      <c r="Q964" s="960">
        <v>15.0</v>
      </c>
      <c r="R964" s="960">
        <v>66.0</v>
      </c>
      <c r="S964" s="960">
        <v>129.0</v>
      </c>
      <c r="T964" s="960">
        <v>141.0</v>
      </c>
      <c r="U964" s="960">
        <f t="array" ref="U964">HLOOKUP($J964,'Type Chart'!$C$2:$T$20,2,false)*HLOOKUP($K964,'Type Chart'!$C$2:$U$20,2,false)</f>
        <v>0</v>
      </c>
      <c r="V964" s="960">
        <f t="array" ref="V964">HLOOKUP($J964,'Type Chart'!$C$2:$T$20,3,false)*HLOOKUP($K964,'Type Chart'!$C$2:$U$20,3,false)</f>
        <v>0</v>
      </c>
      <c r="W964" s="960">
        <f t="array" ref="W964">HLOOKUP($J964,'Type Chart'!$C$2:$T$20,4,false)*HLOOKUP($K964,'Type Chart'!$C$2:$U$20,4,false)</f>
        <v>1</v>
      </c>
      <c r="X964" s="960">
        <f t="array" ref="X964">HLOOKUP($J964,'Type Chart'!$C$2:$T$20,5,false)*HLOOKUP($K964,'Type Chart'!$C$2:$U$20,5,false)</f>
        <v>0.25</v>
      </c>
      <c r="Y964" s="960">
        <f t="array" ref="Y964">HLOOKUP($J964,'Type Chart'!$C$2:$T$20,6,false)*HLOOKUP($K964,'Type Chart'!$C$2:$U$20,6,false)</f>
        <v>1</v>
      </c>
      <c r="Z964" s="960">
        <f t="array" ref="Z964">HLOOKUP($J964,'Type Chart'!$C$2:$T$20,7,false)*HLOOKUP($K964,'Type Chart'!$C$2:$U$20,7,false)</f>
        <v>0.5</v>
      </c>
      <c r="AA964" s="960">
        <f t="array" ref="AA964">HLOOKUP($J964,'Type Chart'!$C$2:$T$20,8,false)*HLOOKUP($K964,'Type Chart'!$C$2:$U$20,8,false)</f>
        <v>0.5</v>
      </c>
      <c r="AB964" s="960">
        <f t="array" ref="AB964">HLOOKUP($J964,'Type Chart'!$C$2:$T$20,9,false)*HLOOKUP($K964,'Type Chart'!$C$2:$U$20,9,false)</f>
        <v>2</v>
      </c>
      <c r="AC964" s="960">
        <f t="array" ref="AC964">HLOOKUP($J964,'Type Chart'!$C$2:$T$20,10,false)*HLOOKUP($K964,'Type Chart'!$C$2:$U$20,10,false)</f>
        <v>1</v>
      </c>
      <c r="AD964" s="960">
        <f t="array" ref="AD964">HLOOKUP($J964,'Type Chart'!$C$2:$T$20,11,false)*HLOOKUP($K964,'Type Chart'!$C$2:$U$20,11,false)</f>
        <v>1</v>
      </c>
      <c r="AE964" s="960">
        <f t="array" ref="AE964">HLOOKUP($J964,'Type Chart'!$C$2:$T$20,12,false)*HLOOKUP($K964,'Type Chart'!$C$2:$U$20,12,false)</f>
        <v>2</v>
      </c>
      <c r="AF964" s="960">
        <f t="array" ref="AF964">HLOOKUP($J964,'Type Chart'!$C$2:$T$20,13,false)*HLOOKUP($K964,'Type Chart'!$C$2:$U$20,13,false)</f>
        <v>2</v>
      </c>
      <c r="AG964" s="960">
        <f t="array" ref="AG964">HLOOKUP($J964,'Type Chart'!$C$2:$T$20,14,false)*HLOOKUP($K964,'Type Chart'!$C$2:$U$20,14,false)</f>
        <v>0</v>
      </c>
      <c r="AH964" s="960">
        <f t="array" ref="AH964">HLOOKUP($J964,'Type Chart'!$C$2:$T$20,15,false)*HLOOKUP($K964,'Type Chart'!$C$2:$U$20,15,false)</f>
        <v>1</v>
      </c>
      <c r="AI964" s="960">
        <f t="array" ref="AI964">HLOOKUP($J964,'Type Chart'!$C$2:$T$20,16,false)*HLOOKUP($K964,'Type Chart'!$C$2:$U$20,16,false)</f>
        <v>2</v>
      </c>
      <c r="AJ964" s="960">
        <f t="array" ref="AJ964">HLOOKUP($J964,'Type Chart'!$C$2:$T$20,17,false)*HLOOKUP($K964,'Type Chart'!$C$2:$U$20,17,false)</f>
        <v>1</v>
      </c>
      <c r="AK964" s="960">
        <f t="array" ref="AK964">HLOOKUP($J964,'Type Chart'!$C$2:$T$20,18,false)*HLOOKUP($K964,'Type Chart'!$C$2:$U$20,18,false)</f>
        <v>2</v>
      </c>
      <c r="AL964" s="960">
        <f t="array" ref="AL964">HLOOKUP($J964,'Type Chart'!$C$2:$T$20,19,false)*HLOOKUP($K964,'Type Chart'!$C$2:$U$20,19,false)</f>
        <v>1</v>
      </c>
      <c r="AM964" s="964" t="s">
        <v>3665</v>
      </c>
      <c r="AN964" s="965"/>
      <c r="AO964" s="966" t="s">
        <v>1129</v>
      </c>
      <c r="AP964" s="936"/>
      <c r="AQ964" s="967"/>
      <c r="AR964" s="968"/>
      <c r="AS964" s="936"/>
    </row>
    <row r="965" ht="15.75" customHeight="1">
      <c r="A965" s="936"/>
      <c r="B965" s="948" t="s">
        <v>3666</v>
      </c>
      <c r="C965" s="950" t="s">
        <v>3667</v>
      </c>
      <c r="D965" s="950" t="s">
        <v>3667</v>
      </c>
      <c r="E965" s="952" t="s">
        <v>3667</v>
      </c>
      <c r="F965" s="940"/>
      <c r="G965" s="953"/>
      <c r="H965" s="969"/>
      <c r="I965" s="956" t="s">
        <v>657</v>
      </c>
      <c r="J965" s="1220" t="s">
        <v>215</v>
      </c>
      <c r="K965" s="1204" t="s">
        <v>80</v>
      </c>
      <c r="L965" s="959">
        <v>85.0</v>
      </c>
      <c r="M965" s="960">
        <v>75.0</v>
      </c>
      <c r="N965" s="960">
        <v>110.0</v>
      </c>
      <c r="O965" s="960">
        <v>100.0</v>
      </c>
      <c r="P965" s="960">
        <v>75.0</v>
      </c>
      <c r="Q965" s="960">
        <v>35.0</v>
      </c>
      <c r="R965" s="960">
        <v>106.0</v>
      </c>
      <c r="S965" s="960">
        <v>169.0</v>
      </c>
      <c r="T965" s="960">
        <v>185.0</v>
      </c>
      <c r="U965" s="960">
        <f t="array" ref="U965">HLOOKUP($J965,'Type Chart'!$C$2:$T$20,2,false)*HLOOKUP($K965,'Type Chart'!$C$2:$U$20,2,false)</f>
        <v>0</v>
      </c>
      <c r="V965" s="960">
        <f t="array" ref="V965">HLOOKUP($J965,'Type Chart'!$C$2:$T$20,3,false)*HLOOKUP($K965,'Type Chart'!$C$2:$U$20,3,false)</f>
        <v>0</v>
      </c>
      <c r="W965" s="960">
        <f t="array" ref="W965">HLOOKUP($J965,'Type Chart'!$C$2:$T$20,4,false)*HLOOKUP($K965,'Type Chart'!$C$2:$U$20,4,false)</f>
        <v>1</v>
      </c>
      <c r="X965" s="960">
        <f t="array" ref="X965">HLOOKUP($J965,'Type Chart'!$C$2:$T$20,5,false)*HLOOKUP($K965,'Type Chart'!$C$2:$U$20,5,false)</f>
        <v>0.25</v>
      </c>
      <c r="Y965" s="960">
        <f t="array" ref="Y965">HLOOKUP($J965,'Type Chart'!$C$2:$T$20,6,false)*HLOOKUP($K965,'Type Chart'!$C$2:$U$20,6,false)</f>
        <v>1</v>
      </c>
      <c r="Z965" s="960">
        <f t="array" ref="Z965">HLOOKUP($J965,'Type Chart'!$C$2:$T$20,7,false)*HLOOKUP($K965,'Type Chart'!$C$2:$U$20,7,false)</f>
        <v>0.5</v>
      </c>
      <c r="AA965" s="960">
        <f t="array" ref="AA965">HLOOKUP($J965,'Type Chart'!$C$2:$T$20,8,false)*HLOOKUP($K965,'Type Chart'!$C$2:$U$20,8,false)</f>
        <v>0.5</v>
      </c>
      <c r="AB965" s="960">
        <f t="array" ref="AB965">HLOOKUP($J965,'Type Chart'!$C$2:$T$20,9,false)*HLOOKUP($K965,'Type Chart'!$C$2:$U$20,9,false)</f>
        <v>2</v>
      </c>
      <c r="AC965" s="960">
        <f t="array" ref="AC965">HLOOKUP($J965,'Type Chart'!$C$2:$T$20,10,false)*HLOOKUP($K965,'Type Chart'!$C$2:$U$20,10,false)</f>
        <v>1</v>
      </c>
      <c r="AD965" s="960">
        <f t="array" ref="AD965">HLOOKUP($J965,'Type Chart'!$C$2:$T$20,11,false)*HLOOKUP($K965,'Type Chart'!$C$2:$U$20,11,false)</f>
        <v>1</v>
      </c>
      <c r="AE965" s="960">
        <f t="array" ref="AE965">HLOOKUP($J965,'Type Chart'!$C$2:$T$20,12,false)*HLOOKUP($K965,'Type Chart'!$C$2:$U$20,12,false)</f>
        <v>2</v>
      </c>
      <c r="AF965" s="960">
        <f t="array" ref="AF965">HLOOKUP($J965,'Type Chart'!$C$2:$T$20,13,false)*HLOOKUP($K965,'Type Chart'!$C$2:$U$20,13,false)</f>
        <v>2</v>
      </c>
      <c r="AG965" s="960">
        <f t="array" ref="AG965">HLOOKUP($J965,'Type Chart'!$C$2:$T$20,14,false)*HLOOKUP($K965,'Type Chart'!$C$2:$U$20,14,false)</f>
        <v>0</v>
      </c>
      <c r="AH965" s="960">
        <f t="array" ref="AH965">HLOOKUP($J965,'Type Chart'!$C$2:$T$20,15,false)*HLOOKUP($K965,'Type Chart'!$C$2:$U$20,15,false)</f>
        <v>1</v>
      </c>
      <c r="AI965" s="960">
        <f t="array" ref="AI965">HLOOKUP($J965,'Type Chart'!$C$2:$T$20,16,false)*HLOOKUP($K965,'Type Chart'!$C$2:$U$20,16,false)</f>
        <v>2</v>
      </c>
      <c r="AJ965" s="960">
        <f t="array" ref="AJ965">HLOOKUP($J965,'Type Chart'!$C$2:$T$20,17,false)*HLOOKUP($K965,'Type Chart'!$C$2:$U$20,17,false)</f>
        <v>1</v>
      </c>
      <c r="AK965" s="960">
        <f t="array" ref="AK965">HLOOKUP($J965,'Type Chart'!$C$2:$T$20,18,false)*HLOOKUP($K965,'Type Chart'!$C$2:$U$20,18,false)</f>
        <v>2</v>
      </c>
      <c r="AL965" s="960">
        <f t="array" ref="AL965">HLOOKUP($J965,'Type Chart'!$C$2:$T$20,19,false)*HLOOKUP($K965,'Type Chart'!$C$2:$U$20,19,false)</f>
        <v>1</v>
      </c>
      <c r="AM965" s="964" t="s">
        <v>3665</v>
      </c>
      <c r="AN965" s="965"/>
      <c r="AO965" s="966" t="s">
        <v>1129</v>
      </c>
      <c r="AP965" s="936"/>
      <c r="AQ965" s="967"/>
      <c r="AR965" s="968"/>
      <c r="AS965" s="936"/>
    </row>
    <row r="966" ht="15.75" customHeight="1">
      <c r="A966" s="936"/>
      <c r="B966" s="948" t="s">
        <v>3668</v>
      </c>
      <c r="C966" s="950" t="s">
        <v>3669</v>
      </c>
      <c r="D966" s="950" t="s">
        <v>3669</v>
      </c>
      <c r="E966" s="952" t="s">
        <v>3669</v>
      </c>
      <c r="F966" s="940"/>
      <c r="G966" s="953"/>
      <c r="H966" s="969"/>
      <c r="I966" s="956" t="s">
        <v>3670</v>
      </c>
      <c r="J966" s="1056" t="s">
        <v>81</v>
      </c>
      <c r="K966" s="984" t="s">
        <v>216</v>
      </c>
      <c r="L966" s="959">
        <v>55.0</v>
      </c>
      <c r="M966" s="960">
        <v>60.0</v>
      </c>
      <c r="N966" s="960">
        <v>130.0</v>
      </c>
      <c r="O966" s="960">
        <v>30.0</v>
      </c>
      <c r="P966" s="960">
        <v>130.0</v>
      </c>
      <c r="Q966" s="960">
        <v>5.0</v>
      </c>
      <c r="R966" s="960">
        <v>46.0</v>
      </c>
      <c r="S966" s="960">
        <v>109.0</v>
      </c>
      <c r="T966" s="960">
        <v>119.0</v>
      </c>
      <c r="U966" s="960">
        <f t="array" ref="U966">HLOOKUP($J966,'Type Chart'!$C$2:$T$20,2,false)*HLOOKUP($K966,'Type Chart'!$C$2:$U$20,2,false)</f>
        <v>1</v>
      </c>
      <c r="V966" s="960">
        <f t="array" ref="V966">HLOOKUP($J966,'Type Chart'!$C$2:$T$20,3,false)*HLOOKUP($K966,'Type Chart'!$C$2:$U$20,3,false)</f>
        <v>1</v>
      </c>
      <c r="W966" s="960">
        <f t="array" ref="W966">HLOOKUP($J966,'Type Chart'!$C$2:$T$20,4,false)*HLOOKUP($K966,'Type Chart'!$C$2:$U$20,4,false)</f>
        <v>1</v>
      </c>
      <c r="X966" s="960">
        <f t="array" ref="X966">HLOOKUP($J966,'Type Chart'!$C$2:$T$20,5,false)*HLOOKUP($K966,'Type Chart'!$C$2:$U$20,5,false)</f>
        <v>1</v>
      </c>
      <c r="Y966" s="960">
        <f t="array" ref="Y966">HLOOKUP($J966,'Type Chart'!$C$2:$T$20,6,false)*HLOOKUP($K966,'Type Chart'!$C$2:$U$20,6,false)</f>
        <v>1</v>
      </c>
      <c r="Z966" s="960">
        <f t="array" ref="Z966">HLOOKUP($J966,'Type Chart'!$C$2:$T$20,7,false)*HLOOKUP($K966,'Type Chart'!$C$2:$U$20,7,false)</f>
        <v>1</v>
      </c>
      <c r="AA966" s="960">
        <f t="array" ref="AA966">HLOOKUP($J966,'Type Chart'!$C$2:$T$20,8,false)*HLOOKUP($K966,'Type Chart'!$C$2:$U$20,8,false)</f>
        <v>1</v>
      </c>
      <c r="AB966" s="960">
        <f t="array" ref="AB966">HLOOKUP($J966,'Type Chart'!$C$2:$T$20,9,false)*HLOOKUP($K966,'Type Chart'!$C$2:$U$20,9,false)</f>
        <v>1</v>
      </c>
      <c r="AC966" s="960">
        <f t="array" ref="AC966">HLOOKUP($J966,'Type Chart'!$C$2:$T$20,10,false)*HLOOKUP($K966,'Type Chart'!$C$2:$U$20,10,false)</f>
        <v>0.5</v>
      </c>
      <c r="AD966" s="960">
        <f t="array" ref="AD966">HLOOKUP($J966,'Type Chart'!$C$2:$T$20,11,false)*HLOOKUP($K966,'Type Chart'!$C$2:$U$20,11,false)</f>
        <v>0.5</v>
      </c>
      <c r="AE966" s="960">
        <f t="array" ref="AE966">HLOOKUP($J966,'Type Chart'!$C$2:$T$20,12,false)*HLOOKUP($K966,'Type Chart'!$C$2:$U$20,12,false)</f>
        <v>0.5</v>
      </c>
      <c r="AF966" s="960">
        <f t="array" ref="AF966">HLOOKUP($J966,'Type Chart'!$C$2:$T$20,13,false)*HLOOKUP($K966,'Type Chart'!$C$2:$U$20,13,false)</f>
        <v>2</v>
      </c>
      <c r="AG966" s="960">
        <f t="array" ref="AG966">HLOOKUP($J966,'Type Chart'!$C$2:$T$20,14,false)*HLOOKUP($K966,'Type Chart'!$C$2:$U$20,14,false)</f>
        <v>2</v>
      </c>
      <c r="AH966" s="960">
        <f t="array" ref="AH966">HLOOKUP($J966,'Type Chart'!$C$2:$T$20,15,false)*HLOOKUP($K966,'Type Chart'!$C$2:$U$20,15,false)</f>
        <v>1</v>
      </c>
      <c r="AI966" s="960">
        <f t="array" ref="AI966">HLOOKUP($J966,'Type Chart'!$C$2:$T$20,16,false)*HLOOKUP($K966,'Type Chart'!$C$2:$U$20,16,false)</f>
        <v>0.5</v>
      </c>
      <c r="AJ966" s="960">
        <f t="array" ref="AJ966">HLOOKUP($J966,'Type Chart'!$C$2:$T$20,17,false)*HLOOKUP($K966,'Type Chart'!$C$2:$U$20,17,false)</f>
        <v>1</v>
      </c>
      <c r="AK966" s="960">
        <f t="array" ref="AK966">HLOOKUP($J966,'Type Chart'!$C$2:$T$20,18,false)*HLOOKUP($K966,'Type Chart'!$C$2:$U$20,18,false)</f>
        <v>1</v>
      </c>
      <c r="AL966" s="960">
        <f t="array" ref="AL966">HLOOKUP($J966,'Type Chart'!$C$2:$T$20,19,false)*HLOOKUP($K966,'Type Chart'!$C$2:$U$20,19,false)</f>
        <v>1</v>
      </c>
      <c r="AM966" s="964" t="s">
        <v>3671</v>
      </c>
      <c r="AN966" s="965"/>
      <c r="AO966" s="966" t="s">
        <v>1169</v>
      </c>
      <c r="AP966" s="936"/>
      <c r="AQ966" s="967"/>
      <c r="AR966" s="968"/>
      <c r="AS966" s="936"/>
    </row>
    <row r="967" ht="15.75" customHeight="1">
      <c r="A967" s="936"/>
      <c r="B967" s="948" t="s">
        <v>3672</v>
      </c>
      <c r="C967" s="950" t="s">
        <v>3673</v>
      </c>
      <c r="D967" s="950" t="s">
        <v>3674</v>
      </c>
      <c r="E967" s="952" t="s">
        <v>3673</v>
      </c>
      <c r="F967" s="940"/>
      <c r="G967" s="953"/>
      <c r="H967" s="969"/>
      <c r="I967" s="956" t="s">
        <v>3675</v>
      </c>
      <c r="J967" s="1194" t="s">
        <v>136</v>
      </c>
      <c r="K967" s="984" t="s">
        <v>216</v>
      </c>
      <c r="L967" s="959">
        <v>95.0</v>
      </c>
      <c r="M967" s="960">
        <v>95.0</v>
      </c>
      <c r="N967" s="960">
        <v>95.0</v>
      </c>
      <c r="O967" s="960">
        <v>95.0</v>
      </c>
      <c r="P967" s="960">
        <v>95.0</v>
      </c>
      <c r="Q967" s="960">
        <v>59.0</v>
      </c>
      <c r="R967" s="960">
        <v>154.0</v>
      </c>
      <c r="S967" s="960">
        <v>217.0</v>
      </c>
      <c r="T967" s="960">
        <v>238.0</v>
      </c>
      <c r="U967" s="960">
        <f t="array" ref="U967">HLOOKUP($J967,'Type Chart'!$C$2:$T$20,2,false)*HLOOKUP($K967,'Type Chart'!$C$2:$U$20,2,false)</f>
        <v>1</v>
      </c>
      <c r="V967" s="960">
        <f t="array" ref="V967">HLOOKUP($J967,'Type Chart'!$C$2:$T$20,3,false)*HLOOKUP($K967,'Type Chart'!$C$2:$U$20,3,false)</f>
        <v>2</v>
      </c>
      <c r="W967" s="960">
        <f t="array" ref="W967">HLOOKUP($J967,'Type Chart'!$C$2:$T$20,4,false)*HLOOKUP($K967,'Type Chart'!$C$2:$U$20,4,false)</f>
        <v>1</v>
      </c>
      <c r="X967" s="960">
        <f t="array" ref="X967">HLOOKUP($J967,'Type Chart'!$C$2:$T$20,5,false)*HLOOKUP($K967,'Type Chart'!$C$2:$U$20,5,false)</f>
        <v>1</v>
      </c>
      <c r="Y967" s="960">
        <f t="array" ref="Y967">HLOOKUP($J967,'Type Chart'!$C$2:$T$20,6,false)*HLOOKUP($K967,'Type Chart'!$C$2:$U$20,6,false)</f>
        <v>1</v>
      </c>
      <c r="Z967" s="960">
        <f t="array" ref="Z967">HLOOKUP($J967,'Type Chart'!$C$2:$T$20,7,false)*HLOOKUP($K967,'Type Chart'!$C$2:$U$20,7,false)</f>
        <v>1</v>
      </c>
      <c r="AA967" s="960">
        <f t="array" ref="AA967">HLOOKUP($J967,'Type Chart'!$C$2:$T$20,8,false)*HLOOKUP($K967,'Type Chart'!$C$2:$U$20,8,false)</f>
        <v>1</v>
      </c>
      <c r="AB967" s="960">
        <f t="array" ref="AB967">HLOOKUP($J967,'Type Chart'!$C$2:$T$20,9,false)*HLOOKUP($K967,'Type Chart'!$C$2:$U$20,9,false)</f>
        <v>0</v>
      </c>
      <c r="AC967" s="960">
        <f t="array" ref="AC967">HLOOKUP($J967,'Type Chart'!$C$2:$T$20,10,false)*HLOOKUP($K967,'Type Chart'!$C$2:$U$20,10,false)</f>
        <v>1</v>
      </c>
      <c r="AD967" s="960">
        <f t="array" ref="AD967">HLOOKUP($J967,'Type Chart'!$C$2:$T$20,11,false)*HLOOKUP($K967,'Type Chart'!$C$2:$U$20,11,false)</f>
        <v>1</v>
      </c>
      <c r="AE967" s="960">
        <f t="array" ref="AE967">HLOOKUP($J967,'Type Chart'!$C$2:$T$20,12,false)*HLOOKUP($K967,'Type Chart'!$C$2:$U$20,12,false)</f>
        <v>1</v>
      </c>
      <c r="AF967" s="960">
        <f t="array" ref="AF967">HLOOKUP($J967,'Type Chart'!$C$2:$T$20,13,false)*HLOOKUP($K967,'Type Chart'!$C$2:$U$20,13,false)</f>
        <v>1</v>
      </c>
      <c r="AG967" s="960">
        <f t="array" ref="AG967">HLOOKUP($J967,'Type Chart'!$C$2:$T$20,14,false)*HLOOKUP($K967,'Type Chart'!$C$2:$U$20,14,false)</f>
        <v>1</v>
      </c>
      <c r="AH967" s="960">
        <f t="array" ref="AH967">HLOOKUP($J967,'Type Chart'!$C$2:$T$20,15,false)*HLOOKUP($K967,'Type Chart'!$C$2:$U$20,15,false)</f>
        <v>1</v>
      </c>
      <c r="AI967" s="960">
        <f t="array" ref="AI967">HLOOKUP($J967,'Type Chart'!$C$2:$T$20,16,false)*HLOOKUP($K967,'Type Chart'!$C$2:$U$20,16,false)</f>
        <v>1</v>
      </c>
      <c r="AJ967" s="960">
        <f t="array" ref="AJ967">HLOOKUP($J967,'Type Chart'!$C$2:$T$20,17,false)*HLOOKUP($K967,'Type Chart'!$C$2:$U$20,17,false)</f>
        <v>1</v>
      </c>
      <c r="AK967" s="960">
        <f t="array" ref="AK967">HLOOKUP($J967,'Type Chart'!$C$2:$T$20,18,false)*HLOOKUP($K967,'Type Chart'!$C$2:$U$20,18,false)</f>
        <v>1</v>
      </c>
      <c r="AL967" s="960">
        <f t="array" ref="AL967">HLOOKUP($J967,'Type Chart'!$C$2:$T$20,19,false)*HLOOKUP($K967,'Type Chart'!$C$2:$U$20,19,false)</f>
        <v>1</v>
      </c>
      <c r="AM967" s="964" t="s">
        <v>1487</v>
      </c>
      <c r="AN967" s="965"/>
      <c r="AO967" s="966"/>
      <c r="AP967" s="936"/>
      <c r="AQ967" s="967"/>
      <c r="AR967" s="968"/>
      <c r="AS967" s="936"/>
    </row>
    <row r="968" ht="15.75" customHeight="1">
      <c r="A968" s="936"/>
      <c r="B968" s="948" t="s">
        <v>3676</v>
      </c>
      <c r="C968" s="950" t="s">
        <v>3677</v>
      </c>
      <c r="D968" s="950" t="s">
        <v>3677</v>
      </c>
      <c r="E968" s="952" t="s">
        <v>3677</v>
      </c>
      <c r="F968" s="940"/>
      <c r="G968" s="953"/>
      <c r="H968" s="969"/>
      <c r="I968" s="956" t="s">
        <v>3678</v>
      </c>
      <c r="J968" s="1194" t="s">
        <v>136</v>
      </c>
      <c r="K968" s="984" t="s">
        <v>216</v>
      </c>
      <c r="L968" s="959">
        <v>95.0</v>
      </c>
      <c r="M968" s="960">
        <v>95.0</v>
      </c>
      <c r="N968" s="960">
        <v>95.0</v>
      </c>
      <c r="O968" s="960">
        <v>95.0</v>
      </c>
      <c r="P968" s="960">
        <v>95.0</v>
      </c>
      <c r="Q968" s="960">
        <v>95.0</v>
      </c>
      <c r="R968" s="960">
        <v>226.0</v>
      </c>
      <c r="S968" s="960">
        <v>289.0</v>
      </c>
      <c r="T968" s="960">
        <v>317.0</v>
      </c>
      <c r="U968" s="960">
        <f t="array" ref="U968">HLOOKUP($J968,'Type Chart'!$C$2:$T$20,2,false)*HLOOKUP($K968,'Type Chart'!$C$2:$U$20,2,false)</f>
        <v>1</v>
      </c>
      <c r="V968" s="960">
        <f t="array" ref="V968">HLOOKUP($J968,'Type Chart'!$C$2:$T$20,3,false)*HLOOKUP($K968,'Type Chart'!$C$2:$U$20,3,false)</f>
        <v>2</v>
      </c>
      <c r="W968" s="960">
        <f t="array" ref="W968">HLOOKUP($J968,'Type Chart'!$C$2:$T$20,4,false)*HLOOKUP($K968,'Type Chart'!$C$2:$U$20,4,false)</f>
        <v>1</v>
      </c>
      <c r="X968" s="960">
        <f t="array" ref="X968">HLOOKUP($J968,'Type Chart'!$C$2:$T$20,5,false)*HLOOKUP($K968,'Type Chart'!$C$2:$U$20,5,false)</f>
        <v>1</v>
      </c>
      <c r="Y968" s="960">
        <f t="array" ref="Y968">HLOOKUP($J968,'Type Chart'!$C$2:$T$20,6,false)*HLOOKUP($K968,'Type Chart'!$C$2:$U$20,6,false)</f>
        <v>1</v>
      </c>
      <c r="Z968" s="960">
        <f t="array" ref="Z968">HLOOKUP($J968,'Type Chart'!$C$2:$T$20,7,false)*HLOOKUP($K968,'Type Chart'!$C$2:$U$20,7,false)</f>
        <v>1</v>
      </c>
      <c r="AA968" s="960">
        <f t="array" ref="AA968">HLOOKUP($J968,'Type Chart'!$C$2:$T$20,8,false)*HLOOKUP($K968,'Type Chart'!$C$2:$U$20,8,false)</f>
        <v>1</v>
      </c>
      <c r="AB968" s="960">
        <f t="array" ref="AB968">HLOOKUP($J968,'Type Chart'!$C$2:$T$20,9,false)*HLOOKUP($K968,'Type Chart'!$C$2:$U$20,9,false)</f>
        <v>0</v>
      </c>
      <c r="AC968" s="960">
        <f t="array" ref="AC968">HLOOKUP($J968,'Type Chart'!$C$2:$T$20,10,false)*HLOOKUP($K968,'Type Chart'!$C$2:$U$20,10,false)</f>
        <v>1</v>
      </c>
      <c r="AD968" s="960">
        <f t="array" ref="AD968">HLOOKUP($J968,'Type Chart'!$C$2:$T$20,11,false)*HLOOKUP($K968,'Type Chart'!$C$2:$U$20,11,false)</f>
        <v>1</v>
      </c>
      <c r="AE968" s="960">
        <f t="array" ref="AE968">HLOOKUP($J968,'Type Chart'!$C$2:$T$20,12,false)*HLOOKUP($K968,'Type Chart'!$C$2:$U$20,12,false)</f>
        <v>1</v>
      </c>
      <c r="AF968" s="960">
        <f t="array" ref="AF968">HLOOKUP($J968,'Type Chart'!$C$2:$T$20,13,false)*HLOOKUP($K968,'Type Chart'!$C$2:$U$20,13,false)</f>
        <v>1</v>
      </c>
      <c r="AG968" s="960">
        <f t="array" ref="AG968">HLOOKUP($J968,'Type Chart'!$C$2:$T$20,14,false)*HLOOKUP($K968,'Type Chart'!$C$2:$U$20,14,false)</f>
        <v>1</v>
      </c>
      <c r="AH968" s="960">
        <f t="array" ref="AH968">HLOOKUP($J968,'Type Chart'!$C$2:$T$20,15,false)*HLOOKUP($K968,'Type Chart'!$C$2:$U$20,15,false)</f>
        <v>1</v>
      </c>
      <c r="AI968" s="960">
        <f t="array" ref="AI968">HLOOKUP($J968,'Type Chart'!$C$2:$T$20,16,false)*HLOOKUP($K968,'Type Chart'!$C$2:$U$20,16,false)</f>
        <v>1</v>
      </c>
      <c r="AJ968" s="960">
        <f t="array" ref="AJ968">HLOOKUP($J968,'Type Chart'!$C$2:$T$20,17,false)*HLOOKUP($K968,'Type Chart'!$C$2:$U$20,17,false)</f>
        <v>1</v>
      </c>
      <c r="AK968" s="960">
        <f t="array" ref="AK968">HLOOKUP($J968,'Type Chart'!$C$2:$T$20,18,false)*HLOOKUP($K968,'Type Chart'!$C$2:$U$20,18,false)</f>
        <v>1</v>
      </c>
      <c r="AL968" s="960">
        <f t="array" ref="AL968">HLOOKUP($J968,'Type Chart'!$C$2:$T$20,19,false)*HLOOKUP($K968,'Type Chart'!$C$2:$U$20,19,false)</f>
        <v>1</v>
      </c>
      <c r="AM968" s="964" t="s">
        <v>3679</v>
      </c>
      <c r="AN968" s="965"/>
      <c r="AO968" s="966"/>
      <c r="AP968" s="936"/>
      <c r="AQ968" s="967"/>
      <c r="AR968" s="968"/>
      <c r="AS968" s="936"/>
    </row>
    <row r="969" ht="15.75" customHeight="1">
      <c r="A969" s="936"/>
      <c r="B969" s="948" t="s">
        <v>3676</v>
      </c>
      <c r="C969" s="950" t="s">
        <v>3680</v>
      </c>
      <c r="D969" s="950" t="s">
        <v>3680</v>
      </c>
      <c r="E969" s="952" t="s">
        <v>3680</v>
      </c>
      <c r="F969" s="940"/>
      <c r="G969" s="953"/>
      <c r="H969" s="969"/>
      <c r="I969" s="956" t="s">
        <v>3681</v>
      </c>
      <c r="J969" s="1180" t="s">
        <v>343</v>
      </c>
      <c r="K969" s="984" t="s">
        <v>216</v>
      </c>
      <c r="L969" s="959">
        <v>95.0</v>
      </c>
      <c r="M969" s="960">
        <v>95.0</v>
      </c>
      <c r="N969" s="960">
        <v>95.0</v>
      </c>
      <c r="O969" s="960">
        <v>95.0</v>
      </c>
      <c r="P969" s="960">
        <v>95.0</v>
      </c>
      <c r="Q969" s="960">
        <v>95.0</v>
      </c>
      <c r="R969" s="960">
        <v>226.0</v>
      </c>
      <c r="S969" s="960">
        <v>289.0</v>
      </c>
      <c r="T969" s="960">
        <v>317.0</v>
      </c>
      <c r="U969" s="960">
        <f t="array" ref="U969">HLOOKUP($J969,'Type Chart'!$C$2:$T$20,2,false)*HLOOKUP($K969,'Type Chart'!$C$2:$U$20,2,false)</f>
        <v>1</v>
      </c>
      <c r="V969" s="960">
        <f t="array" ref="V969">HLOOKUP($J969,'Type Chart'!$C$2:$T$20,3,false)*HLOOKUP($K969,'Type Chart'!$C$2:$U$20,3,false)</f>
        <v>0.5</v>
      </c>
      <c r="W969" s="960">
        <f t="array" ref="W969">HLOOKUP($J969,'Type Chart'!$C$2:$T$20,4,false)*HLOOKUP($K969,'Type Chart'!$C$2:$U$20,4,false)</f>
        <v>2</v>
      </c>
      <c r="X969" s="960">
        <f t="array" ref="X969">HLOOKUP($J969,'Type Chart'!$C$2:$T$20,5,false)*HLOOKUP($K969,'Type Chart'!$C$2:$U$20,5,false)</f>
        <v>1</v>
      </c>
      <c r="Y969" s="960">
        <f t="array" ref="Y969">HLOOKUP($J969,'Type Chart'!$C$2:$T$20,6,false)*HLOOKUP($K969,'Type Chart'!$C$2:$U$20,6,false)</f>
        <v>0.5</v>
      </c>
      <c r="Z969" s="960">
        <f t="array" ref="Z969">HLOOKUP($J969,'Type Chart'!$C$2:$T$20,7,false)*HLOOKUP($K969,'Type Chart'!$C$2:$U$20,7,false)</f>
        <v>2</v>
      </c>
      <c r="AA969" s="960">
        <f t="array" ref="AA969">HLOOKUP($J969,'Type Chart'!$C$2:$T$20,8,false)*HLOOKUP($K969,'Type Chart'!$C$2:$U$20,8,false)</f>
        <v>1</v>
      </c>
      <c r="AB969" s="960">
        <f t="array" ref="AB969">HLOOKUP($J969,'Type Chart'!$C$2:$T$20,9,false)*HLOOKUP($K969,'Type Chart'!$C$2:$U$20,9,false)</f>
        <v>1</v>
      </c>
      <c r="AC969" s="960">
        <f t="array" ref="AC969">HLOOKUP($J969,'Type Chart'!$C$2:$T$20,10,false)*HLOOKUP($K969,'Type Chart'!$C$2:$U$20,10,false)</f>
        <v>1</v>
      </c>
      <c r="AD969" s="960">
        <f t="array" ref="AD969">HLOOKUP($J969,'Type Chart'!$C$2:$T$20,11,false)*HLOOKUP($K969,'Type Chart'!$C$2:$U$20,11,false)</f>
        <v>2</v>
      </c>
      <c r="AE969" s="960">
        <f t="array" ref="AE969">HLOOKUP($J969,'Type Chart'!$C$2:$T$20,12,false)*HLOOKUP($K969,'Type Chart'!$C$2:$U$20,12,false)</f>
        <v>1</v>
      </c>
      <c r="AF969" s="960">
        <f t="array" ref="AF969">HLOOKUP($J969,'Type Chart'!$C$2:$T$20,13,false)*HLOOKUP($K969,'Type Chart'!$C$2:$U$20,13,false)</f>
        <v>0.5</v>
      </c>
      <c r="AG969" s="960">
        <f t="array" ref="AG969">HLOOKUP($J969,'Type Chart'!$C$2:$T$20,14,false)*HLOOKUP($K969,'Type Chart'!$C$2:$U$20,14,false)</f>
        <v>1</v>
      </c>
      <c r="AH969" s="960">
        <f t="array" ref="AH969">HLOOKUP($J969,'Type Chart'!$C$2:$T$20,15,false)*HLOOKUP($K969,'Type Chart'!$C$2:$U$20,15,false)</f>
        <v>1</v>
      </c>
      <c r="AI969" s="960">
        <f t="array" ref="AI969">HLOOKUP($J969,'Type Chart'!$C$2:$T$20,16,false)*HLOOKUP($K969,'Type Chart'!$C$2:$U$20,16,false)</f>
        <v>1</v>
      </c>
      <c r="AJ969" s="960">
        <f t="array" ref="AJ969">HLOOKUP($J969,'Type Chart'!$C$2:$T$20,17,false)*HLOOKUP($K969,'Type Chart'!$C$2:$U$20,17,false)</f>
        <v>1</v>
      </c>
      <c r="AK969" s="960">
        <f t="array" ref="AK969">HLOOKUP($J969,'Type Chart'!$C$2:$T$20,18,false)*HLOOKUP($K969,'Type Chart'!$C$2:$U$20,18,false)</f>
        <v>1</v>
      </c>
      <c r="AL969" s="960">
        <f t="array" ref="AL969">HLOOKUP($J969,'Type Chart'!$C$2:$T$20,19,false)*HLOOKUP($K969,'Type Chart'!$C$2:$U$20,19,false)</f>
        <v>1</v>
      </c>
      <c r="AM969" s="964" t="s">
        <v>3679</v>
      </c>
      <c r="AN969" s="965"/>
      <c r="AO969" s="966"/>
      <c r="AP969" s="936"/>
      <c r="AQ969" s="967"/>
      <c r="AR969" s="968"/>
      <c r="AS969" s="936"/>
    </row>
    <row r="970" ht="15.75" customHeight="1">
      <c r="A970" s="936"/>
      <c r="B970" s="948" t="s">
        <v>3676</v>
      </c>
      <c r="C970" s="950" t="s">
        <v>3682</v>
      </c>
      <c r="D970" s="950" t="s">
        <v>3682</v>
      </c>
      <c r="E970" s="952" t="s">
        <v>3682</v>
      </c>
      <c r="F970" s="940"/>
      <c r="G970" s="953"/>
      <c r="H970" s="969"/>
      <c r="I970" s="956" t="s">
        <v>3683</v>
      </c>
      <c r="J970" s="1195" t="s">
        <v>193</v>
      </c>
      <c r="K970" s="984" t="s">
        <v>216</v>
      </c>
      <c r="L970" s="959">
        <v>95.0</v>
      </c>
      <c r="M970" s="960">
        <v>95.0</v>
      </c>
      <c r="N970" s="960">
        <v>95.0</v>
      </c>
      <c r="O970" s="960">
        <v>95.0</v>
      </c>
      <c r="P970" s="960">
        <v>95.0</v>
      </c>
      <c r="Q970" s="960">
        <v>95.0</v>
      </c>
      <c r="R970" s="960">
        <v>226.0</v>
      </c>
      <c r="S970" s="960">
        <v>289.0</v>
      </c>
      <c r="T970" s="960">
        <v>317.0</v>
      </c>
      <c r="U970" s="960">
        <f t="array" ref="U970">HLOOKUP($J970,'Type Chart'!$C$2:$T$20,2,false)*HLOOKUP($K970,'Type Chart'!$C$2:$U$20,2,false)</f>
        <v>1</v>
      </c>
      <c r="V970" s="960">
        <f t="array" ref="V970">HLOOKUP($J970,'Type Chart'!$C$2:$T$20,3,false)*HLOOKUP($K970,'Type Chart'!$C$2:$U$20,3,false)</f>
        <v>2</v>
      </c>
      <c r="W970" s="960">
        <f t="array" ref="W970">HLOOKUP($J970,'Type Chart'!$C$2:$T$20,4,false)*HLOOKUP($K970,'Type Chart'!$C$2:$U$20,4,false)</f>
        <v>1</v>
      </c>
      <c r="X970" s="960">
        <f t="array" ref="X970">HLOOKUP($J970,'Type Chart'!$C$2:$T$20,5,false)*HLOOKUP($K970,'Type Chart'!$C$2:$U$20,5,false)</f>
        <v>1</v>
      </c>
      <c r="Y970" s="960">
        <f t="array" ref="Y970">HLOOKUP($J970,'Type Chart'!$C$2:$T$20,6,false)*HLOOKUP($K970,'Type Chart'!$C$2:$U$20,6,false)</f>
        <v>1</v>
      </c>
      <c r="Z970" s="960">
        <f t="array" ref="Z970">HLOOKUP($J970,'Type Chart'!$C$2:$T$20,7,false)*HLOOKUP($K970,'Type Chart'!$C$2:$U$20,7,false)</f>
        <v>1</v>
      </c>
      <c r="AA970" s="960">
        <f t="array" ref="AA970">HLOOKUP($J970,'Type Chart'!$C$2:$T$20,8,false)*HLOOKUP($K970,'Type Chart'!$C$2:$U$20,8,false)</f>
        <v>2</v>
      </c>
      <c r="AB970" s="960">
        <f t="array" ref="AB970">HLOOKUP($J970,'Type Chart'!$C$2:$T$20,9,false)*HLOOKUP($K970,'Type Chart'!$C$2:$U$20,9,false)</f>
        <v>0.5</v>
      </c>
      <c r="AC970" s="960">
        <f t="array" ref="AC970">HLOOKUP($J970,'Type Chart'!$C$2:$T$20,10,false)*HLOOKUP($K970,'Type Chart'!$C$2:$U$20,10,false)</f>
        <v>1</v>
      </c>
      <c r="AD970" s="960">
        <f t="array" ref="AD970">HLOOKUP($J970,'Type Chart'!$C$2:$T$20,11,false)*HLOOKUP($K970,'Type Chart'!$C$2:$U$20,11,false)</f>
        <v>1</v>
      </c>
      <c r="AE970" s="960">
        <f t="array" ref="AE970">HLOOKUP($J970,'Type Chart'!$C$2:$T$20,12,false)*HLOOKUP($K970,'Type Chart'!$C$2:$U$20,12,false)</f>
        <v>1</v>
      </c>
      <c r="AF970" s="960">
        <f t="array" ref="AF970">HLOOKUP($J970,'Type Chart'!$C$2:$T$20,13,false)*HLOOKUP($K970,'Type Chart'!$C$2:$U$20,13,false)</f>
        <v>1</v>
      </c>
      <c r="AG970" s="960">
        <f t="array" ref="AG970">HLOOKUP($J970,'Type Chart'!$C$2:$T$20,14,false)*HLOOKUP($K970,'Type Chart'!$C$2:$U$20,14,false)</f>
        <v>1</v>
      </c>
      <c r="AH970" s="960">
        <f t="array" ref="AH970">HLOOKUP($J970,'Type Chart'!$C$2:$T$20,15,false)*HLOOKUP($K970,'Type Chart'!$C$2:$U$20,15,false)</f>
        <v>0</v>
      </c>
      <c r="AI970" s="960">
        <f t="array" ref="AI970">HLOOKUP($J970,'Type Chart'!$C$2:$T$20,16,false)*HLOOKUP($K970,'Type Chart'!$C$2:$U$20,16,false)</f>
        <v>1</v>
      </c>
      <c r="AJ970" s="960">
        <f t="array" ref="AJ970">HLOOKUP($J970,'Type Chart'!$C$2:$T$20,17,false)*HLOOKUP($K970,'Type Chart'!$C$2:$U$20,17,false)</f>
        <v>1</v>
      </c>
      <c r="AK970" s="960">
        <f t="array" ref="AK970">HLOOKUP($J970,'Type Chart'!$C$2:$T$20,18,false)*HLOOKUP($K970,'Type Chart'!$C$2:$U$20,18,false)</f>
        <v>0.5</v>
      </c>
      <c r="AL970" s="960">
        <f t="array" ref="AL970">HLOOKUP($J970,'Type Chart'!$C$2:$T$20,19,false)*HLOOKUP($K970,'Type Chart'!$C$2:$U$20,19,false)</f>
        <v>2</v>
      </c>
      <c r="AM970" s="964" t="s">
        <v>3679</v>
      </c>
      <c r="AN970" s="965"/>
      <c r="AO970" s="966"/>
      <c r="AP970" s="936"/>
      <c r="AQ970" s="967"/>
      <c r="AR970" s="968"/>
      <c r="AS970" s="936"/>
    </row>
    <row r="971" ht="15.75" customHeight="1">
      <c r="A971" s="936"/>
      <c r="B971" s="948" t="s">
        <v>3676</v>
      </c>
      <c r="C971" s="950" t="s">
        <v>3684</v>
      </c>
      <c r="D971" s="950" t="s">
        <v>3684</v>
      </c>
      <c r="E971" s="952" t="s">
        <v>3684</v>
      </c>
      <c r="F971" s="940"/>
      <c r="G971" s="953"/>
      <c r="H971" s="969"/>
      <c r="I971" s="956" t="s">
        <v>3685</v>
      </c>
      <c r="J971" s="1006" t="s">
        <v>346</v>
      </c>
      <c r="K971" s="984" t="s">
        <v>216</v>
      </c>
      <c r="L971" s="959">
        <v>95.0</v>
      </c>
      <c r="M971" s="960">
        <v>95.0</v>
      </c>
      <c r="N971" s="960">
        <v>95.0</v>
      </c>
      <c r="O971" s="960">
        <v>95.0</v>
      </c>
      <c r="P971" s="960">
        <v>95.0</v>
      </c>
      <c r="Q971" s="960">
        <v>95.0</v>
      </c>
      <c r="R971" s="960">
        <v>226.0</v>
      </c>
      <c r="S971" s="960">
        <v>289.0</v>
      </c>
      <c r="T971" s="960">
        <v>317.0</v>
      </c>
      <c r="U971" s="960">
        <f t="array" ref="U971">HLOOKUP($J971,'Type Chart'!$C$2:$T$20,2,false)*HLOOKUP($K971,'Type Chart'!$C$2:$U$20,2,false)</f>
        <v>1</v>
      </c>
      <c r="V971" s="960">
        <f t="array" ref="V971">HLOOKUP($J971,'Type Chart'!$C$2:$T$20,3,false)*HLOOKUP($K971,'Type Chart'!$C$2:$U$20,3,false)</f>
        <v>1</v>
      </c>
      <c r="W971" s="960">
        <f t="array" ref="W971">HLOOKUP($J971,'Type Chart'!$C$2:$T$20,4,false)*HLOOKUP($K971,'Type Chart'!$C$2:$U$20,4,false)</f>
        <v>1</v>
      </c>
      <c r="X971" s="960">
        <f t="array" ref="X971">HLOOKUP($J971,'Type Chart'!$C$2:$T$20,5,false)*HLOOKUP($K971,'Type Chart'!$C$2:$U$20,5,false)</f>
        <v>1</v>
      </c>
      <c r="Y971" s="960">
        <f t="array" ref="Y971">HLOOKUP($J971,'Type Chart'!$C$2:$T$20,6,false)*HLOOKUP($K971,'Type Chart'!$C$2:$U$20,6,false)</f>
        <v>1</v>
      </c>
      <c r="Z971" s="960">
        <f t="array" ref="Z971">HLOOKUP($J971,'Type Chart'!$C$2:$T$20,7,false)*HLOOKUP($K971,'Type Chart'!$C$2:$U$20,7,false)</f>
        <v>1</v>
      </c>
      <c r="AA971" s="960">
        <f t="array" ref="AA971">HLOOKUP($J971,'Type Chart'!$C$2:$T$20,8,false)*HLOOKUP($K971,'Type Chart'!$C$2:$U$20,8,false)</f>
        <v>1</v>
      </c>
      <c r="AB971" s="960">
        <f t="array" ref="AB971">HLOOKUP($J971,'Type Chart'!$C$2:$T$20,9,false)*HLOOKUP($K971,'Type Chart'!$C$2:$U$20,9,false)</f>
        <v>1</v>
      </c>
      <c r="AC971" s="960">
        <f t="array" ref="AC971">HLOOKUP($J971,'Type Chart'!$C$2:$T$20,10,false)*HLOOKUP($K971,'Type Chart'!$C$2:$U$20,10,false)</f>
        <v>1</v>
      </c>
      <c r="AD971" s="960">
        <f t="array" ref="AD971">HLOOKUP($J971,'Type Chart'!$C$2:$T$20,11,false)*HLOOKUP($K971,'Type Chart'!$C$2:$U$20,11,false)</f>
        <v>0.5</v>
      </c>
      <c r="AE971" s="960">
        <f t="array" ref="AE971">HLOOKUP($J971,'Type Chart'!$C$2:$T$20,12,false)*HLOOKUP($K971,'Type Chart'!$C$2:$U$20,12,false)</f>
        <v>0.5</v>
      </c>
      <c r="AF971" s="960">
        <f t="array" ref="AF971">HLOOKUP($J971,'Type Chart'!$C$2:$T$20,13,false)*HLOOKUP($K971,'Type Chart'!$C$2:$U$20,13,false)</f>
        <v>0.5</v>
      </c>
      <c r="AG971" s="960">
        <f t="array" ref="AG971">HLOOKUP($J971,'Type Chart'!$C$2:$T$20,14,false)*HLOOKUP($K971,'Type Chart'!$C$2:$U$20,14,false)</f>
        <v>0.5</v>
      </c>
      <c r="AH971" s="960">
        <f t="array" ref="AH971">HLOOKUP($J971,'Type Chart'!$C$2:$T$20,15,false)*HLOOKUP($K971,'Type Chart'!$C$2:$U$20,15,false)</f>
        <v>1</v>
      </c>
      <c r="AI971" s="960">
        <f t="array" ref="AI971">HLOOKUP($J971,'Type Chart'!$C$2:$T$20,16,false)*HLOOKUP($K971,'Type Chart'!$C$2:$U$20,16,false)</f>
        <v>2</v>
      </c>
      <c r="AJ971" s="960">
        <f t="array" ref="AJ971">HLOOKUP($J971,'Type Chart'!$C$2:$T$20,17,false)*HLOOKUP($K971,'Type Chart'!$C$2:$U$20,17,false)</f>
        <v>2</v>
      </c>
      <c r="AK971" s="960">
        <f t="array" ref="AK971">HLOOKUP($J971,'Type Chart'!$C$2:$T$20,18,false)*HLOOKUP($K971,'Type Chart'!$C$2:$U$20,18,false)</f>
        <v>1</v>
      </c>
      <c r="AL971" s="960">
        <f t="array" ref="AL971">HLOOKUP($J971,'Type Chart'!$C$2:$T$20,19,false)*HLOOKUP($K971,'Type Chart'!$C$2:$U$20,19,false)</f>
        <v>2</v>
      </c>
      <c r="AM971" s="964" t="s">
        <v>3679</v>
      </c>
      <c r="AN971" s="965"/>
      <c r="AO971" s="966"/>
      <c r="AP971" s="936"/>
      <c r="AQ971" s="967"/>
      <c r="AR971" s="968"/>
      <c r="AS971" s="936"/>
    </row>
    <row r="972" ht="15.75" customHeight="1">
      <c r="A972" s="936"/>
      <c r="B972" s="948" t="s">
        <v>3676</v>
      </c>
      <c r="C972" s="950" t="s">
        <v>3686</v>
      </c>
      <c r="D972" s="950" t="s">
        <v>3686</v>
      </c>
      <c r="E972" s="952" t="s">
        <v>3686</v>
      </c>
      <c r="F972" s="940"/>
      <c r="G972" s="953"/>
      <c r="H972" s="969"/>
      <c r="I972" s="956" t="s">
        <v>3687</v>
      </c>
      <c r="J972" s="1196" t="s">
        <v>203</v>
      </c>
      <c r="K972" s="984" t="s">
        <v>216</v>
      </c>
      <c r="L972" s="959">
        <v>95.0</v>
      </c>
      <c r="M972" s="960">
        <v>95.0</v>
      </c>
      <c r="N972" s="960">
        <v>95.0</v>
      </c>
      <c r="O972" s="960">
        <v>95.0</v>
      </c>
      <c r="P972" s="960">
        <v>95.0</v>
      </c>
      <c r="Q972" s="960">
        <v>95.0</v>
      </c>
      <c r="R972" s="960">
        <v>226.0</v>
      </c>
      <c r="S972" s="960">
        <v>289.0</v>
      </c>
      <c r="T972" s="960">
        <v>317.0</v>
      </c>
      <c r="U972" s="960">
        <f t="array" ref="U972">HLOOKUP($J972,'Type Chart'!$C$2:$T$20,2,false)*HLOOKUP($K972,'Type Chart'!$C$2:$U$20,2,false)</f>
        <v>1</v>
      </c>
      <c r="V972" s="960">
        <f t="array" ref="V972">HLOOKUP($J972,'Type Chart'!$C$2:$T$20,3,false)*HLOOKUP($K972,'Type Chart'!$C$2:$U$20,3,false)</f>
        <v>1</v>
      </c>
      <c r="W972" s="960">
        <f t="array" ref="W972">HLOOKUP($J972,'Type Chart'!$C$2:$T$20,4,false)*HLOOKUP($K972,'Type Chart'!$C$2:$U$20,4,false)</f>
        <v>0.5</v>
      </c>
      <c r="X972" s="960">
        <f t="array" ref="X972">HLOOKUP($J972,'Type Chart'!$C$2:$T$20,5,false)*HLOOKUP($K972,'Type Chart'!$C$2:$U$20,5,false)</f>
        <v>1</v>
      </c>
      <c r="Y972" s="960">
        <f t="array" ref="Y972">HLOOKUP($J972,'Type Chart'!$C$2:$T$20,6,false)*HLOOKUP($K972,'Type Chart'!$C$2:$U$20,6,false)</f>
        <v>2</v>
      </c>
      <c r="Z972" s="960">
        <f t="array" ref="Z972">HLOOKUP($J972,'Type Chart'!$C$2:$T$20,7,false)*HLOOKUP($K972,'Type Chart'!$C$2:$U$20,7,false)</f>
        <v>1</v>
      </c>
      <c r="AA972" s="960">
        <f t="array" ref="AA972">HLOOKUP($J972,'Type Chart'!$C$2:$T$20,8,false)*HLOOKUP($K972,'Type Chart'!$C$2:$U$20,8,false)</f>
        <v>1</v>
      </c>
      <c r="AB972" s="960">
        <f t="array" ref="AB972">HLOOKUP($J972,'Type Chart'!$C$2:$T$20,9,false)*HLOOKUP($K972,'Type Chart'!$C$2:$U$20,9,false)</f>
        <v>1</v>
      </c>
      <c r="AC972" s="960">
        <f t="array" ref="AC972">HLOOKUP($J972,'Type Chart'!$C$2:$T$20,10,false)*HLOOKUP($K972,'Type Chart'!$C$2:$U$20,10,false)</f>
        <v>0.5</v>
      </c>
      <c r="AD972" s="960">
        <f t="array" ref="AD972">HLOOKUP($J972,'Type Chart'!$C$2:$T$20,11,false)*HLOOKUP($K972,'Type Chart'!$C$2:$U$20,11,false)</f>
        <v>1</v>
      </c>
      <c r="AE972" s="960">
        <f t="array" ref="AE972">HLOOKUP($J972,'Type Chart'!$C$2:$T$20,12,false)*HLOOKUP($K972,'Type Chart'!$C$2:$U$20,12,false)</f>
        <v>1</v>
      </c>
      <c r="AF972" s="960">
        <f t="array" ref="AF972">HLOOKUP($J972,'Type Chart'!$C$2:$T$20,13,false)*HLOOKUP($K972,'Type Chart'!$C$2:$U$20,13,false)</f>
        <v>1</v>
      </c>
      <c r="AG972" s="960">
        <f t="array" ref="AG972">HLOOKUP($J972,'Type Chart'!$C$2:$T$20,14,false)*HLOOKUP($K972,'Type Chart'!$C$2:$U$20,14,false)</f>
        <v>0.5</v>
      </c>
      <c r="AH972" s="960">
        <f t="array" ref="AH972">HLOOKUP($J972,'Type Chart'!$C$2:$T$20,15,false)*HLOOKUP($K972,'Type Chart'!$C$2:$U$20,15,false)</f>
        <v>1</v>
      </c>
      <c r="AI972" s="960">
        <f t="array" ref="AI972">HLOOKUP($J972,'Type Chart'!$C$2:$T$20,16,false)*HLOOKUP($K972,'Type Chart'!$C$2:$U$20,16,false)</f>
        <v>1</v>
      </c>
      <c r="AJ972" s="960">
        <f t="array" ref="AJ972">HLOOKUP($J972,'Type Chart'!$C$2:$T$20,17,false)*HLOOKUP($K972,'Type Chart'!$C$2:$U$20,17,false)</f>
        <v>1</v>
      </c>
      <c r="AK972" s="960">
        <f t="array" ref="AK972">HLOOKUP($J972,'Type Chart'!$C$2:$T$20,18,false)*HLOOKUP($K972,'Type Chart'!$C$2:$U$20,18,false)</f>
        <v>1</v>
      </c>
      <c r="AL972" s="960">
        <f t="array" ref="AL972">HLOOKUP($J972,'Type Chart'!$C$2:$T$20,19,false)*HLOOKUP($K972,'Type Chart'!$C$2:$U$20,19,false)</f>
        <v>1</v>
      </c>
      <c r="AM972" s="964" t="s">
        <v>3679</v>
      </c>
      <c r="AN972" s="965"/>
      <c r="AO972" s="966"/>
      <c r="AP972" s="936"/>
      <c r="AQ972" s="967"/>
      <c r="AR972" s="968"/>
      <c r="AS972" s="936"/>
    </row>
    <row r="973" ht="15.75" customHeight="1">
      <c r="A973" s="936"/>
      <c r="B973" s="948" t="s">
        <v>3676</v>
      </c>
      <c r="C973" s="950" t="s">
        <v>3688</v>
      </c>
      <c r="D973" s="950" t="s">
        <v>3688</v>
      </c>
      <c r="E973" s="952" t="s">
        <v>3688</v>
      </c>
      <c r="F973" s="940"/>
      <c r="G973" s="953"/>
      <c r="H973" s="969"/>
      <c r="I973" s="998" t="s">
        <v>3689</v>
      </c>
      <c r="J973" s="1207" t="s">
        <v>127</v>
      </c>
      <c r="K973" s="984" t="s">
        <v>216</v>
      </c>
      <c r="L973" s="959">
        <v>95.0</v>
      </c>
      <c r="M973" s="960">
        <v>95.0</v>
      </c>
      <c r="N973" s="960">
        <v>95.0</v>
      </c>
      <c r="O973" s="960">
        <v>95.0</v>
      </c>
      <c r="P973" s="960">
        <v>95.0</v>
      </c>
      <c r="Q973" s="960">
        <v>95.0</v>
      </c>
      <c r="R973" s="960">
        <v>226.0</v>
      </c>
      <c r="S973" s="960">
        <v>289.0</v>
      </c>
      <c r="T973" s="960">
        <v>317.0</v>
      </c>
      <c r="U973" s="960">
        <f t="array" ref="U973">HLOOKUP($J973,'Type Chart'!$C$2:$T$20,2,false)*HLOOKUP($K973,'Type Chart'!$C$2:$U$20,2,false)</f>
        <v>1</v>
      </c>
      <c r="V973" s="960">
        <f t="array" ref="V973">HLOOKUP($J973,'Type Chart'!$C$2:$T$20,3,false)*HLOOKUP($K973,'Type Chart'!$C$2:$U$20,3,false)</f>
        <v>0.5</v>
      </c>
      <c r="W973" s="960">
        <f t="array" ref="W973">HLOOKUP($J973,'Type Chart'!$C$2:$T$20,4,false)*HLOOKUP($K973,'Type Chart'!$C$2:$U$20,4,false)</f>
        <v>1</v>
      </c>
      <c r="X973" s="960">
        <f t="array" ref="X973">HLOOKUP($J973,'Type Chart'!$C$2:$T$20,5,false)*HLOOKUP($K973,'Type Chart'!$C$2:$U$20,5,false)</f>
        <v>2</v>
      </c>
      <c r="Y973" s="960">
        <f t="array" ref="Y973">HLOOKUP($J973,'Type Chart'!$C$2:$T$20,6,false)*HLOOKUP($K973,'Type Chart'!$C$2:$U$20,6,false)</f>
        <v>1</v>
      </c>
      <c r="Z973" s="960">
        <f t="array" ref="Z973">HLOOKUP($J973,'Type Chart'!$C$2:$T$20,7,false)*HLOOKUP($K973,'Type Chart'!$C$2:$U$20,7,false)</f>
        <v>1</v>
      </c>
      <c r="AA973" s="960">
        <f t="array" ref="AA973">HLOOKUP($J973,'Type Chart'!$C$2:$T$20,8,false)*HLOOKUP($K973,'Type Chart'!$C$2:$U$20,8,false)</f>
        <v>0.5</v>
      </c>
      <c r="AB973" s="960">
        <f t="array" ref="AB973">HLOOKUP($J973,'Type Chart'!$C$2:$T$20,9,false)*HLOOKUP($K973,'Type Chart'!$C$2:$U$20,9,false)</f>
        <v>1</v>
      </c>
      <c r="AC973" s="960">
        <f t="array" ref="AC973">HLOOKUP($J973,'Type Chart'!$C$2:$T$20,10,false)*HLOOKUP($K973,'Type Chart'!$C$2:$U$20,10,false)</f>
        <v>2</v>
      </c>
      <c r="AD973" s="960">
        <f t="array" ref="AD973">HLOOKUP($J973,'Type Chart'!$C$2:$T$20,11,false)*HLOOKUP($K973,'Type Chart'!$C$2:$U$20,11,false)</f>
        <v>1</v>
      </c>
      <c r="AE973" s="960">
        <f t="array" ref="AE973">HLOOKUP($J973,'Type Chart'!$C$2:$T$20,12,false)*HLOOKUP($K973,'Type Chart'!$C$2:$U$20,12,false)</f>
        <v>1</v>
      </c>
      <c r="AF973" s="960">
        <f t="array" ref="AF973">HLOOKUP($J973,'Type Chart'!$C$2:$T$20,13,false)*HLOOKUP($K973,'Type Chart'!$C$2:$U$20,13,false)</f>
        <v>1</v>
      </c>
      <c r="AG973" s="960">
        <f t="array" ref="AG973">HLOOKUP($J973,'Type Chart'!$C$2:$T$20,14,false)*HLOOKUP($K973,'Type Chart'!$C$2:$U$20,14,false)</f>
        <v>1</v>
      </c>
      <c r="AH973" s="960">
        <f t="array" ref="AH973">HLOOKUP($J973,'Type Chart'!$C$2:$T$20,15,false)*HLOOKUP($K973,'Type Chart'!$C$2:$U$20,15,false)</f>
        <v>1</v>
      </c>
      <c r="AI973" s="960">
        <f t="array" ref="AI973">HLOOKUP($J973,'Type Chart'!$C$2:$T$20,16,false)*HLOOKUP($K973,'Type Chart'!$C$2:$U$20,16,false)</f>
        <v>1</v>
      </c>
      <c r="AJ973" s="960">
        <f t="array" ref="AJ973">HLOOKUP($J973,'Type Chart'!$C$2:$T$20,17,false)*HLOOKUP($K973,'Type Chart'!$C$2:$U$20,17,false)</f>
        <v>0</v>
      </c>
      <c r="AK973" s="960">
        <f t="array" ref="AK973">HLOOKUP($J973,'Type Chart'!$C$2:$T$20,18,false)*HLOOKUP($K973,'Type Chart'!$C$2:$U$20,18,false)</f>
        <v>0.5</v>
      </c>
      <c r="AL973" s="960">
        <f t="array" ref="AL973">HLOOKUP($J973,'Type Chart'!$C$2:$T$20,19,false)*HLOOKUP($K973,'Type Chart'!$C$2:$U$20,19,false)</f>
        <v>1</v>
      </c>
      <c r="AM973" s="964" t="s">
        <v>3679</v>
      </c>
      <c r="AN973" s="965"/>
      <c r="AO973" s="966"/>
      <c r="AP973" s="936"/>
      <c r="AQ973" s="967"/>
      <c r="AR973" s="968"/>
      <c r="AS973" s="936"/>
    </row>
    <row r="974" ht="15.75" customHeight="1">
      <c r="A974" s="936"/>
      <c r="B974" s="948" t="s">
        <v>3676</v>
      </c>
      <c r="C974" s="950" t="s">
        <v>3690</v>
      </c>
      <c r="D974" s="950" t="s">
        <v>3690</v>
      </c>
      <c r="E974" s="952" t="s">
        <v>3690</v>
      </c>
      <c r="F974" s="940"/>
      <c r="G974" s="953"/>
      <c r="H974" s="969"/>
      <c r="I974" s="998" t="s">
        <v>3691</v>
      </c>
      <c r="J974" s="1213" t="s">
        <v>341</v>
      </c>
      <c r="K974" s="984" t="s">
        <v>216</v>
      </c>
      <c r="L974" s="959">
        <v>95.0</v>
      </c>
      <c r="M974" s="960">
        <v>95.0</v>
      </c>
      <c r="N974" s="960">
        <v>95.0</v>
      </c>
      <c r="O974" s="960">
        <v>95.0</v>
      </c>
      <c r="P974" s="960">
        <v>95.0</v>
      </c>
      <c r="Q974" s="960">
        <v>95.0</v>
      </c>
      <c r="R974" s="960">
        <v>226.0</v>
      </c>
      <c r="S974" s="960">
        <v>289.0</v>
      </c>
      <c r="T974" s="960">
        <v>317.0</v>
      </c>
      <c r="U974" s="960">
        <f t="array" ref="U974">HLOOKUP($J974,'Type Chart'!$C$2:$T$20,2,false)*HLOOKUP($K974,'Type Chart'!$C$2:$U$20,2,false)</f>
        <v>1</v>
      </c>
      <c r="V974" s="960">
        <f t="array" ref="V974">HLOOKUP($J974,'Type Chart'!$C$2:$T$20,3,false)*HLOOKUP($K974,'Type Chart'!$C$2:$U$20,3,false)</f>
        <v>1</v>
      </c>
      <c r="W974" s="960">
        <f t="array" ref="W974">HLOOKUP($J974,'Type Chart'!$C$2:$T$20,4,false)*HLOOKUP($K974,'Type Chart'!$C$2:$U$20,4,false)</f>
        <v>2</v>
      </c>
      <c r="X974" s="960">
        <f t="array" ref="X974">HLOOKUP($J974,'Type Chart'!$C$2:$T$20,5,false)*HLOOKUP($K974,'Type Chart'!$C$2:$U$20,5,false)</f>
        <v>1</v>
      </c>
      <c r="Y974" s="960">
        <f t="array" ref="Y974">HLOOKUP($J974,'Type Chart'!$C$2:$T$20,6,false)*HLOOKUP($K974,'Type Chart'!$C$2:$U$20,6,false)</f>
        <v>1</v>
      </c>
      <c r="Z974" s="960">
        <f t="array" ref="Z974">HLOOKUP($J974,'Type Chart'!$C$2:$T$20,7,false)*HLOOKUP($K974,'Type Chart'!$C$2:$U$20,7,false)</f>
        <v>0.5</v>
      </c>
      <c r="AA974" s="960">
        <f t="array" ref="AA974">HLOOKUP($J974,'Type Chart'!$C$2:$T$20,8,false)*HLOOKUP($K974,'Type Chart'!$C$2:$U$20,8,false)</f>
        <v>0.5</v>
      </c>
      <c r="AB974" s="960">
        <f t="array" ref="AB974">HLOOKUP($J974,'Type Chart'!$C$2:$T$20,9,false)*HLOOKUP($K974,'Type Chart'!$C$2:$U$20,9,false)</f>
        <v>1</v>
      </c>
      <c r="AC974" s="960">
        <f t="array" ref="AC974">HLOOKUP($J974,'Type Chart'!$C$2:$T$20,10,false)*HLOOKUP($K974,'Type Chart'!$C$2:$U$20,10,false)</f>
        <v>1</v>
      </c>
      <c r="AD974" s="960">
        <f t="array" ref="AD974">HLOOKUP($J974,'Type Chart'!$C$2:$T$20,11,false)*HLOOKUP($K974,'Type Chart'!$C$2:$U$20,11,false)</f>
        <v>1</v>
      </c>
      <c r="AE974" s="960">
        <f t="array" ref="AE974">HLOOKUP($J974,'Type Chart'!$C$2:$T$20,12,false)*HLOOKUP($K974,'Type Chart'!$C$2:$U$20,12,false)</f>
        <v>1</v>
      </c>
      <c r="AF974" s="960">
        <f t="array" ref="AF974">HLOOKUP($J974,'Type Chart'!$C$2:$T$20,13,false)*HLOOKUP($K974,'Type Chart'!$C$2:$U$20,13,false)</f>
        <v>1</v>
      </c>
      <c r="AG974" s="960">
        <f t="array" ref="AG974">HLOOKUP($J974,'Type Chart'!$C$2:$T$20,14,false)*HLOOKUP($K974,'Type Chart'!$C$2:$U$20,14,false)</f>
        <v>1</v>
      </c>
      <c r="AH974" s="960">
        <f t="array" ref="AH974">HLOOKUP($J974,'Type Chart'!$C$2:$T$20,15,false)*HLOOKUP($K974,'Type Chart'!$C$2:$U$20,15,false)</f>
        <v>2</v>
      </c>
      <c r="AI974" s="960">
        <f t="array" ref="AI974">HLOOKUP($J974,'Type Chart'!$C$2:$T$20,16,false)*HLOOKUP($K974,'Type Chart'!$C$2:$U$20,16,false)</f>
        <v>1</v>
      </c>
      <c r="AJ974" s="960">
        <f t="array" ref="AJ974">HLOOKUP($J974,'Type Chart'!$C$2:$T$20,17,false)*HLOOKUP($K974,'Type Chart'!$C$2:$U$20,17,false)</f>
        <v>1</v>
      </c>
      <c r="AK974" s="960">
        <f t="array" ref="AK974">HLOOKUP($J974,'Type Chart'!$C$2:$T$20,18,false)*HLOOKUP($K974,'Type Chart'!$C$2:$U$20,18,false)</f>
        <v>0.5</v>
      </c>
      <c r="AL974" s="960">
        <f t="array" ref="AL974">HLOOKUP($J974,'Type Chart'!$C$2:$T$20,19,false)*HLOOKUP($K974,'Type Chart'!$C$2:$U$20,19,false)</f>
        <v>2</v>
      </c>
      <c r="AM974" s="964" t="s">
        <v>3679</v>
      </c>
      <c r="AN974" s="965"/>
      <c r="AO974" s="966"/>
      <c r="AP974" s="936"/>
      <c r="AQ974" s="967"/>
      <c r="AR974" s="968"/>
      <c r="AS974" s="936"/>
    </row>
    <row r="975" ht="15.75" customHeight="1">
      <c r="A975" s="1099"/>
      <c r="B975" s="948" t="s">
        <v>3676</v>
      </c>
      <c r="C975" s="1197" t="s">
        <v>3692</v>
      </c>
      <c r="D975" s="1197" t="s">
        <v>3692</v>
      </c>
      <c r="E975" s="1147" t="s">
        <v>3692</v>
      </c>
      <c r="F975" s="940"/>
      <c r="G975" s="953"/>
      <c r="H975" s="969"/>
      <c r="I975" s="998" t="s">
        <v>3693</v>
      </c>
      <c r="J975" s="1208" t="s">
        <v>150</v>
      </c>
      <c r="K975" s="1199" t="s">
        <v>216</v>
      </c>
      <c r="L975" s="1200">
        <v>95.0</v>
      </c>
      <c r="M975" s="1201">
        <v>95.0</v>
      </c>
      <c r="N975" s="1201">
        <v>95.0</v>
      </c>
      <c r="O975" s="1201">
        <v>95.0</v>
      </c>
      <c r="P975" s="1201">
        <v>95.0</v>
      </c>
      <c r="Q975" s="1201">
        <v>95.0</v>
      </c>
      <c r="R975" s="960">
        <v>226.0</v>
      </c>
      <c r="S975" s="960">
        <v>289.0</v>
      </c>
      <c r="T975" s="960">
        <v>317.0</v>
      </c>
      <c r="U975" s="960">
        <f t="array" ref="U975">HLOOKUP($J975,'Type Chart'!$C$2:$T$20,2,false)*HLOOKUP($K975,'Type Chart'!$C$2:$U$20,2,false)</f>
        <v>1</v>
      </c>
      <c r="V975" s="960">
        <f t="array" ref="V975">HLOOKUP($J975,'Type Chart'!$C$2:$T$20,3,false)*HLOOKUP($K975,'Type Chart'!$C$2:$U$20,3,false)</f>
        <v>1</v>
      </c>
      <c r="W975" s="960">
        <f t="array" ref="W975">HLOOKUP($J975,'Type Chart'!$C$2:$T$20,4,false)*HLOOKUP($K975,'Type Chart'!$C$2:$U$20,4,false)</f>
        <v>1</v>
      </c>
      <c r="X975" s="960">
        <f t="array" ref="X975">HLOOKUP($J975,'Type Chart'!$C$2:$T$20,5,false)*HLOOKUP($K975,'Type Chart'!$C$2:$U$20,5,false)</f>
        <v>1</v>
      </c>
      <c r="Y975" s="960">
        <f t="array" ref="Y975">HLOOKUP($J975,'Type Chart'!$C$2:$T$20,6,false)*HLOOKUP($K975,'Type Chart'!$C$2:$U$20,6,false)</f>
        <v>2</v>
      </c>
      <c r="Z975" s="960">
        <f t="array" ref="Z975">HLOOKUP($J975,'Type Chart'!$C$2:$T$20,7,false)*HLOOKUP($K975,'Type Chart'!$C$2:$U$20,7,false)</f>
        <v>2</v>
      </c>
      <c r="AA975" s="960">
        <f t="array" ref="AA975">HLOOKUP($J975,'Type Chart'!$C$2:$T$20,8,false)*HLOOKUP($K975,'Type Chart'!$C$2:$U$20,8,false)</f>
        <v>0.5</v>
      </c>
      <c r="AB975" s="960">
        <f t="array" ref="AB975">HLOOKUP($J975,'Type Chart'!$C$2:$T$20,9,false)*HLOOKUP($K975,'Type Chart'!$C$2:$U$20,9,false)</f>
        <v>1</v>
      </c>
      <c r="AC975" s="960">
        <f t="array" ref="AC975">HLOOKUP($J975,'Type Chart'!$C$2:$T$20,10,false)*HLOOKUP($K975,'Type Chart'!$C$2:$U$20,10,false)</f>
        <v>0.5</v>
      </c>
      <c r="AD975" s="960">
        <f t="array" ref="AD975">HLOOKUP($J975,'Type Chart'!$C$2:$T$20,11,false)*HLOOKUP($K975,'Type Chart'!$C$2:$U$20,11,false)</f>
        <v>0.5</v>
      </c>
      <c r="AE975" s="960">
        <f t="array" ref="AE975">HLOOKUP($J975,'Type Chart'!$C$2:$T$20,12,false)*HLOOKUP($K975,'Type Chart'!$C$2:$U$20,12,false)</f>
        <v>2</v>
      </c>
      <c r="AF975" s="960">
        <f t="array" ref="AF975">HLOOKUP($J975,'Type Chart'!$C$2:$T$20,13,false)*HLOOKUP($K975,'Type Chart'!$C$2:$U$20,13,false)</f>
        <v>0.5</v>
      </c>
      <c r="AG975" s="960">
        <f t="array" ref="AG975">HLOOKUP($J975,'Type Chart'!$C$2:$T$20,14,false)*HLOOKUP($K975,'Type Chart'!$C$2:$U$20,14,false)</f>
        <v>1</v>
      </c>
      <c r="AH975" s="960">
        <f t="array" ref="AH975">HLOOKUP($J975,'Type Chart'!$C$2:$T$20,15,false)*HLOOKUP($K975,'Type Chart'!$C$2:$U$20,15,false)</f>
        <v>1</v>
      </c>
      <c r="AI975" s="960">
        <f t="array" ref="AI975">HLOOKUP($J975,'Type Chart'!$C$2:$T$20,16,false)*HLOOKUP($K975,'Type Chart'!$C$2:$U$20,16,false)</f>
        <v>0.5</v>
      </c>
      <c r="AJ975" s="960">
        <f t="array" ref="AJ975">HLOOKUP($J975,'Type Chart'!$C$2:$T$20,17,false)*HLOOKUP($K975,'Type Chart'!$C$2:$U$20,17,false)</f>
        <v>1</v>
      </c>
      <c r="AK975" s="960">
        <f t="array" ref="AK975">HLOOKUP($J975,'Type Chart'!$C$2:$T$20,18,false)*HLOOKUP($K975,'Type Chart'!$C$2:$U$20,18,false)</f>
        <v>1</v>
      </c>
      <c r="AL975" s="960">
        <f t="array" ref="AL975">HLOOKUP($J975,'Type Chart'!$C$2:$T$20,19,false)*HLOOKUP($K975,'Type Chart'!$C$2:$U$20,19,false)</f>
        <v>0.5</v>
      </c>
      <c r="AM975" s="1145" t="s">
        <v>3679</v>
      </c>
      <c r="AN975" s="1202"/>
      <c r="AO975" s="1146"/>
      <c r="AP975" s="936"/>
      <c r="AQ975" s="967"/>
      <c r="AR975" s="968"/>
      <c r="AS975" s="936"/>
    </row>
    <row r="976" ht="15.75" customHeight="1">
      <c r="A976" s="936"/>
      <c r="B976" s="948" t="s">
        <v>3676</v>
      </c>
      <c r="C976" s="950" t="s">
        <v>3694</v>
      </c>
      <c r="D976" s="950" t="s">
        <v>3694</v>
      </c>
      <c r="E976" s="952" t="s">
        <v>3694</v>
      </c>
      <c r="F976" s="940"/>
      <c r="G976" s="953"/>
      <c r="H976" s="969"/>
      <c r="I976" s="956" t="s">
        <v>3695</v>
      </c>
      <c r="J976" s="1001" t="s">
        <v>128</v>
      </c>
      <c r="K976" s="984" t="s">
        <v>216</v>
      </c>
      <c r="L976" s="959">
        <v>95.0</v>
      </c>
      <c r="M976" s="960">
        <v>95.0</v>
      </c>
      <c r="N976" s="960">
        <v>95.0</v>
      </c>
      <c r="O976" s="960">
        <v>95.0</v>
      </c>
      <c r="P976" s="960">
        <v>95.0</v>
      </c>
      <c r="Q976" s="960">
        <v>95.0</v>
      </c>
      <c r="R976" s="960">
        <v>226.0</v>
      </c>
      <c r="S976" s="960">
        <v>289.0</v>
      </c>
      <c r="T976" s="960">
        <v>317.0</v>
      </c>
      <c r="U976" s="960">
        <f t="array" ref="U976">HLOOKUP($J976,'Type Chart'!$C$2:$T$20,2,false)*HLOOKUP($K976,'Type Chart'!$C$2:$U$20,2,false)</f>
        <v>1</v>
      </c>
      <c r="V976" s="960">
        <f t="array" ref="V976">HLOOKUP($J976,'Type Chart'!$C$2:$T$20,3,false)*HLOOKUP($K976,'Type Chart'!$C$2:$U$20,3,false)</f>
        <v>0.5</v>
      </c>
      <c r="W976" s="960">
        <f t="array" ref="W976">HLOOKUP($J976,'Type Chart'!$C$2:$T$20,4,false)*HLOOKUP($K976,'Type Chart'!$C$2:$U$20,4,false)</f>
        <v>1</v>
      </c>
      <c r="X976" s="960">
        <f t="array" ref="X976">HLOOKUP($J976,'Type Chart'!$C$2:$T$20,5,false)*HLOOKUP($K976,'Type Chart'!$C$2:$U$20,5,false)</f>
        <v>1</v>
      </c>
      <c r="Y976" s="960">
        <f t="array" ref="Y976">HLOOKUP($J976,'Type Chart'!$C$2:$T$20,6,false)*HLOOKUP($K976,'Type Chart'!$C$2:$U$20,6,false)</f>
        <v>0</v>
      </c>
      <c r="Z976" s="960">
        <f t="array" ref="Z976">HLOOKUP($J976,'Type Chart'!$C$2:$T$20,7,false)*HLOOKUP($K976,'Type Chart'!$C$2:$U$20,7,false)</f>
        <v>2</v>
      </c>
      <c r="AA976" s="960">
        <f t="array" ref="AA976">HLOOKUP($J976,'Type Chart'!$C$2:$T$20,8,false)*HLOOKUP($K976,'Type Chart'!$C$2:$U$20,8,false)</f>
        <v>0.5</v>
      </c>
      <c r="AB976" s="960">
        <f t="array" ref="AB976">HLOOKUP($J976,'Type Chart'!$C$2:$T$20,9,false)*HLOOKUP($K976,'Type Chart'!$C$2:$U$20,9,false)</f>
        <v>1</v>
      </c>
      <c r="AC976" s="960">
        <f t="array" ref="AC976">HLOOKUP($J976,'Type Chart'!$C$2:$T$20,10,false)*HLOOKUP($K976,'Type Chart'!$C$2:$U$20,10,false)</f>
        <v>1</v>
      </c>
      <c r="AD976" s="960">
        <f t="array" ref="AD976">HLOOKUP($J976,'Type Chart'!$C$2:$T$20,11,false)*HLOOKUP($K976,'Type Chart'!$C$2:$U$20,11,false)</f>
        <v>1</v>
      </c>
      <c r="AE976" s="960">
        <f t="array" ref="AE976">HLOOKUP($J976,'Type Chart'!$C$2:$T$20,12,false)*HLOOKUP($K976,'Type Chart'!$C$2:$U$20,12,false)</f>
        <v>1</v>
      </c>
      <c r="AF976" s="960">
        <f t="array" ref="AF976">HLOOKUP($J976,'Type Chart'!$C$2:$T$20,13,false)*HLOOKUP($K976,'Type Chart'!$C$2:$U$20,13,false)</f>
        <v>0.5</v>
      </c>
      <c r="AG976" s="960">
        <f t="array" ref="AG976">HLOOKUP($J976,'Type Chart'!$C$2:$T$20,14,false)*HLOOKUP($K976,'Type Chart'!$C$2:$U$20,14,false)</f>
        <v>2</v>
      </c>
      <c r="AH976" s="960">
        <f t="array" ref="AH976">HLOOKUP($J976,'Type Chart'!$C$2:$T$20,15,false)*HLOOKUP($K976,'Type Chart'!$C$2:$U$20,15,false)</f>
        <v>1</v>
      </c>
      <c r="AI976" s="960">
        <f t="array" ref="AI976">HLOOKUP($J976,'Type Chart'!$C$2:$T$20,16,false)*HLOOKUP($K976,'Type Chart'!$C$2:$U$20,16,false)</f>
        <v>2</v>
      </c>
      <c r="AJ976" s="960">
        <f t="array" ref="AJ976">HLOOKUP($J976,'Type Chart'!$C$2:$T$20,17,false)*HLOOKUP($K976,'Type Chart'!$C$2:$U$20,17,false)</f>
        <v>1</v>
      </c>
      <c r="AK976" s="960">
        <f t="array" ref="AK976">HLOOKUP($J976,'Type Chart'!$C$2:$T$20,18,false)*HLOOKUP($K976,'Type Chart'!$C$2:$U$20,18,false)</f>
        <v>1</v>
      </c>
      <c r="AL976" s="960">
        <f t="array" ref="AL976">HLOOKUP($J976,'Type Chart'!$C$2:$T$20,19,false)*HLOOKUP($K976,'Type Chart'!$C$2:$U$20,19,false)</f>
        <v>1</v>
      </c>
      <c r="AM976" s="964" t="s">
        <v>3679</v>
      </c>
      <c r="AN976" s="965"/>
      <c r="AO976" s="966"/>
      <c r="AP976" s="936"/>
      <c r="AQ976" s="967"/>
      <c r="AR976" s="968"/>
      <c r="AS976" s="936"/>
    </row>
    <row r="977" ht="15.75" customHeight="1">
      <c r="A977" s="936"/>
      <c r="B977" s="948" t="s">
        <v>3676</v>
      </c>
      <c r="C977" s="950" t="s">
        <v>3696</v>
      </c>
      <c r="D977" s="950" t="s">
        <v>3696</v>
      </c>
      <c r="E977" s="952" t="s">
        <v>3696</v>
      </c>
      <c r="F977" s="940"/>
      <c r="G977" s="953"/>
      <c r="H977" s="969"/>
      <c r="I977" s="956" t="s">
        <v>3697</v>
      </c>
      <c r="J977" s="1220" t="s">
        <v>215</v>
      </c>
      <c r="K977" s="984" t="s">
        <v>216</v>
      </c>
      <c r="L977" s="959">
        <v>95.0</v>
      </c>
      <c r="M977" s="960">
        <v>95.0</v>
      </c>
      <c r="N977" s="960">
        <v>95.0</v>
      </c>
      <c r="O977" s="960">
        <v>95.0</v>
      </c>
      <c r="P977" s="960">
        <v>95.0</v>
      </c>
      <c r="Q977" s="960">
        <v>95.0</v>
      </c>
      <c r="R977" s="960">
        <v>226.0</v>
      </c>
      <c r="S977" s="960">
        <v>289.0</v>
      </c>
      <c r="T977" s="960">
        <v>317.0</v>
      </c>
      <c r="U977" s="960">
        <f t="array" ref="U977">HLOOKUP($J977,'Type Chart'!$C$2:$T$20,2,false)*HLOOKUP($K977,'Type Chart'!$C$2:$U$20,2,false)</f>
        <v>0</v>
      </c>
      <c r="V977" s="960">
        <f t="array" ref="V977">HLOOKUP($J977,'Type Chart'!$C$2:$T$20,3,false)*HLOOKUP($K977,'Type Chart'!$C$2:$U$20,3,false)</f>
        <v>0</v>
      </c>
      <c r="W977" s="960">
        <f t="array" ref="W977">HLOOKUP($J977,'Type Chart'!$C$2:$T$20,4,false)*HLOOKUP($K977,'Type Chart'!$C$2:$U$20,4,false)</f>
        <v>1</v>
      </c>
      <c r="X977" s="960">
        <f t="array" ref="X977">HLOOKUP($J977,'Type Chart'!$C$2:$T$20,5,false)*HLOOKUP($K977,'Type Chart'!$C$2:$U$20,5,false)</f>
        <v>0.5</v>
      </c>
      <c r="Y977" s="960">
        <f t="array" ref="Y977">HLOOKUP($J977,'Type Chart'!$C$2:$T$20,6,false)*HLOOKUP($K977,'Type Chart'!$C$2:$U$20,6,false)</f>
        <v>1</v>
      </c>
      <c r="Z977" s="960">
        <f t="array" ref="Z977">HLOOKUP($J977,'Type Chart'!$C$2:$T$20,7,false)*HLOOKUP($K977,'Type Chart'!$C$2:$U$20,7,false)</f>
        <v>1</v>
      </c>
      <c r="AA977" s="960">
        <f t="array" ref="AA977">HLOOKUP($J977,'Type Chart'!$C$2:$T$20,8,false)*HLOOKUP($K977,'Type Chart'!$C$2:$U$20,8,false)</f>
        <v>0.5</v>
      </c>
      <c r="AB977" s="960">
        <f t="array" ref="AB977">HLOOKUP($J977,'Type Chart'!$C$2:$T$20,9,false)*HLOOKUP($K977,'Type Chart'!$C$2:$U$20,9,false)</f>
        <v>2</v>
      </c>
      <c r="AC977" s="960">
        <f t="array" ref="AC977">HLOOKUP($J977,'Type Chart'!$C$2:$T$20,10,false)*HLOOKUP($K977,'Type Chart'!$C$2:$U$20,10,false)</f>
        <v>1</v>
      </c>
      <c r="AD977" s="960">
        <f t="array" ref="AD977">HLOOKUP($J977,'Type Chart'!$C$2:$T$20,11,false)*HLOOKUP($K977,'Type Chart'!$C$2:$U$20,11,false)</f>
        <v>1</v>
      </c>
      <c r="AE977" s="960">
        <f t="array" ref="AE977">HLOOKUP($J977,'Type Chart'!$C$2:$T$20,12,false)*HLOOKUP($K977,'Type Chart'!$C$2:$U$20,12,false)</f>
        <v>1</v>
      </c>
      <c r="AF977" s="960">
        <f t="array" ref="AF977">HLOOKUP($J977,'Type Chart'!$C$2:$T$20,13,false)*HLOOKUP($K977,'Type Chart'!$C$2:$U$20,13,false)</f>
        <v>1</v>
      </c>
      <c r="AG977" s="960">
        <f t="array" ref="AG977">HLOOKUP($J977,'Type Chart'!$C$2:$T$20,14,false)*HLOOKUP($K977,'Type Chart'!$C$2:$U$20,14,false)</f>
        <v>1</v>
      </c>
      <c r="AH977" s="960">
        <f t="array" ref="AH977">HLOOKUP($J977,'Type Chart'!$C$2:$T$20,15,false)*HLOOKUP($K977,'Type Chart'!$C$2:$U$20,15,false)</f>
        <v>1</v>
      </c>
      <c r="AI977" s="960">
        <f t="array" ref="AI977">HLOOKUP($J977,'Type Chart'!$C$2:$T$20,16,false)*HLOOKUP($K977,'Type Chart'!$C$2:$U$20,16,false)</f>
        <v>1</v>
      </c>
      <c r="AJ977" s="960">
        <f t="array" ref="AJ977">HLOOKUP($J977,'Type Chart'!$C$2:$T$20,17,false)*HLOOKUP($K977,'Type Chart'!$C$2:$U$20,17,false)</f>
        <v>1</v>
      </c>
      <c r="AK977" s="960">
        <f t="array" ref="AK977">HLOOKUP($J977,'Type Chart'!$C$2:$T$20,18,false)*HLOOKUP($K977,'Type Chart'!$C$2:$U$20,18,false)</f>
        <v>2</v>
      </c>
      <c r="AL977" s="960">
        <f t="array" ref="AL977">HLOOKUP($J977,'Type Chart'!$C$2:$T$20,19,false)*HLOOKUP($K977,'Type Chart'!$C$2:$U$20,19,false)</f>
        <v>1</v>
      </c>
      <c r="AM977" s="964" t="s">
        <v>3679</v>
      </c>
      <c r="AN977" s="965"/>
      <c r="AO977" s="966"/>
      <c r="AP977" s="936"/>
      <c r="AQ977" s="967"/>
      <c r="AR977" s="968"/>
      <c r="AS977" s="936"/>
    </row>
    <row r="978" ht="15.75" customHeight="1">
      <c r="A978" s="936"/>
      <c r="B978" s="948" t="s">
        <v>3676</v>
      </c>
      <c r="C978" s="950" t="s">
        <v>3698</v>
      </c>
      <c r="D978" s="950" t="s">
        <v>3698</v>
      </c>
      <c r="E978" s="952" t="s">
        <v>3698</v>
      </c>
      <c r="F978" s="940"/>
      <c r="G978" s="953"/>
      <c r="H978" s="969"/>
      <c r="I978" s="956" t="s">
        <v>3699</v>
      </c>
      <c r="J978" s="957" t="s">
        <v>209</v>
      </c>
      <c r="K978" s="984" t="s">
        <v>216</v>
      </c>
      <c r="L978" s="959">
        <v>95.0</v>
      </c>
      <c r="M978" s="960">
        <v>95.0</v>
      </c>
      <c r="N978" s="960">
        <v>95.0</v>
      </c>
      <c r="O978" s="960">
        <v>95.0</v>
      </c>
      <c r="P978" s="960">
        <v>95.0</v>
      </c>
      <c r="Q978" s="960">
        <v>95.0</v>
      </c>
      <c r="R978" s="960">
        <v>226.0</v>
      </c>
      <c r="S978" s="960">
        <v>289.0</v>
      </c>
      <c r="T978" s="960">
        <v>317.0</v>
      </c>
      <c r="U978" s="960">
        <f t="array" ref="U978">HLOOKUP($J978,'Type Chart'!$C$2:$T$20,2,false)*HLOOKUP($K978,'Type Chart'!$C$2:$U$20,2,false)</f>
        <v>1</v>
      </c>
      <c r="V978" s="960">
        <f t="array" ref="V978">HLOOKUP($J978,'Type Chart'!$C$2:$T$20,3,false)*HLOOKUP($K978,'Type Chart'!$C$2:$U$20,3,false)</f>
        <v>1</v>
      </c>
      <c r="W978" s="960">
        <f t="array" ref="W978">HLOOKUP($J978,'Type Chart'!$C$2:$T$20,4,false)*HLOOKUP($K978,'Type Chart'!$C$2:$U$20,4,false)</f>
        <v>2</v>
      </c>
      <c r="X978" s="960">
        <f t="array" ref="X978">HLOOKUP($J978,'Type Chart'!$C$2:$T$20,5,false)*HLOOKUP($K978,'Type Chart'!$C$2:$U$20,5,false)</f>
        <v>2</v>
      </c>
      <c r="Y978" s="960">
        <f t="array" ref="Y978">HLOOKUP($J978,'Type Chart'!$C$2:$T$20,6,false)*HLOOKUP($K978,'Type Chart'!$C$2:$U$20,6,false)</f>
        <v>0.5</v>
      </c>
      <c r="Z978" s="960">
        <f t="array" ref="Z978">HLOOKUP($J978,'Type Chart'!$C$2:$T$20,7,false)*HLOOKUP($K978,'Type Chart'!$C$2:$U$20,7,false)</f>
        <v>1</v>
      </c>
      <c r="AA978" s="960">
        <f t="array" ref="AA978">HLOOKUP($J978,'Type Chart'!$C$2:$T$20,8,false)*HLOOKUP($K978,'Type Chart'!$C$2:$U$20,8,false)</f>
        <v>2</v>
      </c>
      <c r="AB978" s="960">
        <f t="array" ref="AB978">HLOOKUP($J978,'Type Chart'!$C$2:$T$20,9,false)*HLOOKUP($K978,'Type Chart'!$C$2:$U$20,9,false)</f>
        <v>1</v>
      </c>
      <c r="AC978" s="960">
        <f t="array" ref="AC978">HLOOKUP($J978,'Type Chart'!$C$2:$T$20,10,false)*HLOOKUP($K978,'Type Chart'!$C$2:$U$20,10,false)</f>
        <v>1</v>
      </c>
      <c r="AD978" s="960">
        <f t="array" ref="AD978">HLOOKUP($J978,'Type Chart'!$C$2:$T$20,11,false)*HLOOKUP($K978,'Type Chart'!$C$2:$U$20,11,false)</f>
        <v>2</v>
      </c>
      <c r="AE978" s="960">
        <f t="array" ref="AE978">HLOOKUP($J978,'Type Chart'!$C$2:$T$20,12,false)*HLOOKUP($K978,'Type Chart'!$C$2:$U$20,12,false)</f>
        <v>0.5</v>
      </c>
      <c r="AF978" s="960">
        <f t="array" ref="AF978">HLOOKUP($J978,'Type Chart'!$C$2:$T$20,13,false)*HLOOKUP($K978,'Type Chart'!$C$2:$U$20,13,false)</f>
        <v>0.5</v>
      </c>
      <c r="AG978" s="960">
        <f t="array" ref="AG978">HLOOKUP($J978,'Type Chart'!$C$2:$T$20,14,false)*HLOOKUP($K978,'Type Chart'!$C$2:$U$20,14,false)</f>
        <v>0.5</v>
      </c>
      <c r="AH978" s="960">
        <f t="array" ref="AH978">HLOOKUP($J978,'Type Chart'!$C$2:$T$20,15,false)*HLOOKUP($K978,'Type Chart'!$C$2:$U$20,15,false)</f>
        <v>1</v>
      </c>
      <c r="AI978" s="960">
        <f t="array" ref="AI978">HLOOKUP($J978,'Type Chart'!$C$2:$T$20,16,false)*HLOOKUP($K978,'Type Chart'!$C$2:$U$20,16,false)</f>
        <v>2</v>
      </c>
      <c r="AJ978" s="960">
        <f t="array" ref="AJ978">HLOOKUP($J978,'Type Chart'!$C$2:$T$20,17,false)*HLOOKUP($K978,'Type Chart'!$C$2:$U$20,17,false)</f>
        <v>1</v>
      </c>
      <c r="AK978" s="960">
        <f t="array" ref="AK978">HLOOKUP($J978,'Type Chart'!$C$2:$T$20,18,false)*HLOOKUP($K978,'Type Chart'!$C$2:$U$20,18,false)</f>
        <v>1</v>
      </c>
      <c r="AL978" s="960">
        <f t="array" ref="AL978">HLOOKUP($J978,'Type Chart'!$C$2:$T$20,19,false)*HLOOKUP($K978,'Type Chart'!$C$2:$U$20,19,false)</f>
        <v>1</v>
      </c>
      <c r="AM978" s="964" t="s">
        <v>3679</v>
      </c>
      <c r="AN978" s="965"/>
      <c r="AO978" s="966"/>
      <c r="AP978" s="936"/>
      <c r="AQ978" s="967"/>
      <c r="AR978" s="968"/>
      <c r="AS978" s="936"/>
    </row>
    <row r="979" ht="15.75" customHeight="1">
      <c r="A979" s="936"/>
      <c r="B979" s="948" t="s">
        <v>3676</v>
      </c>
      <c r="C979" s="950" t="s">
        <v>3700</v>
      </c>
      <c r="D979" s="950" t="s">
        <v>3700</v>
      </c>
      <c r="E979" s="952" t="s">
        <v>3700</v>
      </c>
      <c r="F979" s="940"/>
      <c r="G979" s="953"/>
      <c r="H979" s="969"/>
      <c r="I979" s="956" t="s">
        <v>3701</v>
      </c>
      <c r="J979" s="1204" t="s">
        <v>80</v>
      </c>
      <c r="K979" s="984" t="s">
        <v>216</v>
      </c>
      <c r="L979" s="959">
        <v>95.0</v>
      </c>
      <c r="M979" s="960">
        <v>95.0</v>
      </c>
      <c r="N979" s="960">
        <v>95.0</v>
      </c>
      <c r="O979" s="960">
        <v>95.0</v>
      </c>
      <c r="P979" s="960">
        <v>95.0</v>
      </c>
      <c r="Q979" s="960">
        <v>95.0</v>
      </c>
      <c r="R979" s="960">
        <v>226.0</v>
      </c>
      <c r="S979" s="960">
        <v>289.0</v>
      </c>
      <c r="T979" s="960">
        <v>317.0</v>
      </c>
      <c r="U979" s="960">
        <f t="array" ref="U979">HLOOKUP($J979,'Type Chart'!$C$2:$T$20,2,false)*HLOOKUP($K979,'Type Chart'!$C$2:$U$20,2,false)</f>
        <v>1</v>
      </c>
      <c r="V979" s="960">
        <f t="array" ref="V979">HLOOKUP($J979,'Type Chart'!$C$2:$T$20,3,false)*HLOOKUP($K979,'Type Chart'!$C$2:$U$20,3,false)</f>
        <v>1</v>
      </c>
      <c r="W979" s="960">
        <f t="array" ref="W979">HLOOKUP($J979,'Type Chart'!$C$2:$T$20,4,false)*HLOOKUP($K979,'Type Chart'!$C$2:$U$20,4,false)</f>
        <v>1</v>
      </c>
      <c r="X979" s="960">
        <f t="array" ref="X979">HLOOKUP($J979,'Type Chart'!$C$2:$T$20,5,false)*HLOOKUP($K979,'Type Chart'!$C$2:$U$20,5,false)</f>
        <v>0.5</v>
      </c>
      <c r="Y979" s="960">
        <f t="array" ref="Y979">HLOOKUP($J979,'Type Chart'!$C$2:$T$20,6,false)*HLOOKUP($K979,'Type Chart'!$C$2:$U$20,6,false)</f>
        <v>1</v>
      </c>
      <c r="Z979" s="960">
        <f t="array" ref="Z979">HLOOKUP($J979,'Type Chart'!$C$2:$T$20,7,false)*HLOOKUP($K979,'Type Chart'!$C$2:$U$20,7,false)</f>
        <v>0.5</v>
      </c>
      <c r="AA979" s="960">
        <f t="array" ref="AA979">HLOOKUP($J979,'Type Chart'!$C$2:$T$20,8,false)*HLOOKUP($K979,'Type Chart'!$C$2:$U$20,8,false)</f>
        <v>1</v>
      </c>
      <c r="AB979" s="960">
        <f t="array" ref="AB979">HLOOKUP($J979,'Type Chart'!$C$2:$T$20,9,false)*HLOOKUP($K979,'Type Chart'!$C$2:$U$20,9,false)</f>
        <v>1</v>
      </c>
      <c r="AC979" s="960">
        <f t="array" ref="AC979">HLOOKUP($J979,'Type Chart'!$C$2:$T$20,10,false)*HLOOKUP($K979,'Type Chart'!$C$2:$U$20,10,false)</f>
        <v>1</v>
      </c>
      <c r="AD979" s="960">
        <f t="array" ref="AD979">HLOOKUP($J979,'Type Chart'!$C$2:$T$20,11,false)*HLOOKUP($K979,'Type Chart'!$C$2:$U$20,11,false)</f>
        <v>1</v>
      </c>
      <c r="AE979" s="960">
        <f t="array" ref="AE979">HLOOKUP($J979,'Type Chart'!$C$2:$T$20,12,false)*HLOOKUP($K979,'Type Chart'!$C$2:$U$20,12,false)</f>
        <v>2</v>
      </c>
      <c r="AF979" s="960">
        <f t="array" ref="AF979">HLOOKUP($J979,'Type Chart'!$C$2:$T$20,13,false)*HLOOKUP($K979,'Type Chart'!$C$2:$U$20,13,false)</f>
        <v>2</v>
      </c>
      <c r="AG979" s="960">
        <f t="array" ref="AG979">HLOOKUP($J979,'Type Chart'!$C$2:$T$20,14,false)*HLOOKUP($K979,'Type Chart'!$C$2:$U$20,14,false)</f>
        <v>0</v>
      </c>
      <c r="AH979" s="960">
        <f t="array" ref="AH979">HLOOKUP($J979,'Type Chart'!$C$2:$T$20,15,false)*HLOOKUP($K979,'Type Chart'!$C$2:$U$20,15,false)</f>
        <v>1</v>
      </c>
      <c r="AI979" s="960">
        <f t="array" ref="AI979">HLOOKUP($J979,'Type Chart'!$C$2:$T$20,16,false)*HLOOKUP($K979,'Type Chart'!$C$2:$U$20,16,false)</f>
        <v>2</v>
      </c>
      <c r="AJ979" s="960">
        <f t="array" ref="AJ979">HLOOKUP($J979,'Type Chart'!$C$2:$T$20,17,false)*HLOOKUP($K979,'Type Chart'!$C$2:$U$20,17,false)</f>
        <v>1</v>
      </c>
      <c r="AK979" s="960">
        <f t="array" ref="AK979">HLOOKUP($J979,'Type Chart'!$C$2:$T$20,18,false)*HLOOKUP($K979,'Type Chart'!$C$2:$U$20,18,false)</f>
        <v>1</v>
      </c>
      <c r="AL979" s="960">
        <f t="array" ref="AL979">HLOOKUP($J979,'Type Chart'!$C$2:$T$20,19,false)*HLOOKUP($K979,'Type Chart'!$C$2:$U$20,19,false)</f>
        <v>1</v>
      </c>
      <c r="AM979" s="964" t="s">
        <v>3679</v>
      </c>
      <c r="AN979" s="965"/>
      <c r="AO979" s="966"/>
      <c r="AP979" s="936"/>
      <c r="AQ979" s="967"/>
      <c r="AR979" s="968"/>
      <c r="AS979" s="936"/>
    </row>
    <row r="980" ht="15.75" customHeight="1">
      <c r="A980" s="936"/>
      <c r="B980" s="948" t="s">
        <v>3676</v>
      </c>
      <c r="C980" s="950" t="s">
        <v>3702</v>
      </c>
      <c r="D980" s="950" t="s">
        <v>3702</v>
      </c>
      <c r="E980" s="952" t="s">
        <v>3702</v>
      </c>
      <c r="F980" s="940"/>
      <c r="G980" s="953"/>
      <c r="H980" s="969"/>
      <c r="I980" s="956" t="s">
        <v>3703</v>
      </c>
      <c r="J980" s="1205" t="s">
        <v>345</v>
      </c>
      <c r="K980" s="984" t="s">
        <v>216</v>
      </c>
      <c r="L980" s="959">
        <v>95.0</v>
      </c>
      <c r="M980" s="960">
        <v>95.0</v>
      </c>
      <c r="N980" s="960">
        <v>95.0</v>
      </c>
      <c r="O980" s="960">
        <v>95.0</v>
      </c>
      <c r="P980" s="960">
        <v>95.0</v>
      </c>
      <c r="Q980" s="960">
        <v>95.0</v>
      </c>
      <c r="R980" s="960">
        <v>226.0</v>
      </c>
      <c r="S980" s="960">
        <v>289.0</v>
      </c>
      <c r="T980" s="960">
        <v>317.0</v>
      </c>
      <c r="U980" s="960">
        <f t="array" ref="U980">HLOOKUP($J980,'Type Chart'!$C$2:$T$20,2,false)*HLOOKUP($K980,'Type Chart'!$C$2:$U$20,2,false)</f>
        <v>1</v>
      </c>
      <c r="V980" s="960">
        <f t="array" ref="V980">HLOOKUP($J980,'Type Chart'!$C$2:$T$20,3,false)*HLOOKUP($K980,'Type Chart'!$C$2:$U$20,3,false)</f>
        <v>2</v>
      </c>
      <c r="W980" s="960">
        <f t="array" ref="W980">HLOOKUP($J980,'Type Chart'!$C$2:$T$20,4,false)*HLOOKUP($K980,'Type Chart'!$C$2:$U$20,4,false)</f>
        <v>1</v>
      </c>
      <c r="X980" s="960">
        <f t="array" ref="X980">HLOOKUP($J980,'Type Chart'!$C$2:$T$20,5,false)*HLOOKUP($K980,'Type Chart'!$C$2:$U$20,5,false)</f>
        <v>1</v>
      </c>
      <c r="Y980" s="960">
        <f t="array" ref="Y980">HLOOKUP($J980,'Type Chart'!$C$2:$T$20,6,false)*HLOOKUP($K980,'Type Chart'!$C$2:$U$20,6,false)</f>
        <v>1</v>
      </c>
      <c r="Z980" s="960">
        <f t="array" ref="Z980">HLOOKUP($J980,'Type Chart'!$C$2:$T$20,7,false)*HLOOKUP($K980,'Type Chart'!$C$2:$U$20,7,false)</f>
        <v>2</v>
      </c>
      <c r="AA980" s="960">
        <f t="array" ref="AA980">HLOOKUP($J980,'Type Chart'!$C$2:$T$20,8,false)*HLOOKUP($K980,'Type Chart'!$C$2:$U$20,8,false)</f>
        <v>1</v>
      </c>
      <c r="AB980" s="960">
        <f t="array" ref="AB980">HLOOKUP($J980,'Type Chart'!$C$2:$T$20,9,false)*HLOOKUP($K980,'Type Chart'!$C$2:$U$20,9,false)</f>
        <v>1</v>
      </c>
      <c r="AC980" s="960">
        <f t="array" ref="AC980">HLOOKUP($J980,'Type Chart'!$C$2:$T$20,10,false)*HLOOKUP($K980,'Type Chart'!$C$2:$U$20,10,false)</f>
        <v>2</v>
      </c>
      <c r="AD980" s="960">
        <f t="array" ref="AD980">HLOOKUP($J980,'Type Chart'!$C$2:$T$20,11,false)*HLOOKUP($K980,'Type Chart'!$C$2:$U$20,11,false)</f>
        <v>2</v>
      </c>
      <c r="AE980" s="960">
        <f t="array" ref="AE980">HLOOKUP($J980,'Type Chart'!$C$2:$T$20,12,false)*HLOOKUP($K980,'Type Chart'!$C$2:$U$20,12,false)</f>
        <v>1</v>
      </c>
      <c r="AF980" s="960">
        <f t="array" ref="AF980">HLOOKUP($J980,'Type Chart'!$C$2:$T$20,13,false)*HLOOKUP($K980,'Type Chart'!$C$2:$U$20,13,false)</f>
        <v>1</v>
      </c>
      <c r="AG980" s="960">
        <f t="array" ref="AG980">HLOOKUP($J980,'Type Chart'!$C$2:$T$20,14,false)*HLOOKUP($K980,'Type Chart'!$C$2:$U$20,14,false)</f>
        <v>1</v>
      </c>
      <c r="AH980" s="960">
        <f t="array" ref="AH980">HLOOKUP($J980,'Type Chart'!$C$2:$T$20,15,false)*HLOOKUP($K980,'Type Chart'!$C$2:$U$20,15,false)</f>
        <v>1</v>
      </c>
      <c r="AI980" s="960">
        <f t="array" ref="AI980">HLOOKUP($J980,'Type Chart'!$C$2:$T$20,16,false)*HLOOKUP($K980,'Type Chart'!$C$2:$U$20,16,false)</f>
        <v>0.5</v>
      </c>
      <c r="AJ980" s="960">
        <f t="array" ref="AJ980">HLOOKUP($J980,'Type Chart'!$C$2:$T$20,17,false)*HLOOKUP($K980,'Type Chart'!$C$2:$U$20,17,false)</f>
        <v>1</v>
      </c>
      <c r="AK980" s="960">
        <f t="array" ref="AK980">HLOOKUP($J980,'Type Chart'!$C$2:$T$20,18,false)*HLOOKUP($K980,'Type Chart'!$C$2:$U$20,18,false)</f>
        <v>1</v>
      </c>
      <c r="AL980" s="960">
        <f t="array" ref="AL980">HLOOKUP($J980,'Type Chart'!$C$2:$T$20,19,false)*HLOOKUP($K980,'Type Chart'!$C$2:$U$20,19,false)</f>
        <v>1</v>
      </c>
      <c r="AM980" s="964" t="s">
        <v>3679</v>
      </c>
      <c r="AN980" s="965"/>
      <c r="AO980" s="966"/>
      <c r="AP980" s="936"/>
      <c r="AQ980" s="967"/>
      <c r="AR980" s="968"/>
      <c r="AS980" s="936"/>
    </row>
    <row r="981" ht="15.75" customHeight="1">
      <c r="A981" s="1099"/>
      <c r="B981" s="948" t="s">
        <v>3676</v>
      </c>
      <c r="C981" s="950" t="s">
        <v>3704</v>
      </c>
      <c r="D981" s="950" t="s">
        <v>3704</v>
      </c>
      <c r="E981" s="952" t="s">
        <v>3704</v>
      </c>
      <c r="F981" s="940"/>
      <c r="G981" s="953"/>
      <c r="H981" s="969"/>
      <c r="I981" s="956" t="s">
        <v>3705</v>
      </c>
      <c r="J981" s="958" t="s">
        <v>178</v>
      </c>
      <c r="K981" s="984" t="s">
        <v>216</v>
      </c>
      <c r="L981" s="959">
        <v>95.0</v>
      </c>
      <c r="M981" s="960">
        <v>95.0</v>
      </c>
      <c r="N981" s="960">
        <v>95.0</v>
      </c>
      <c r="O981" s="960">
        <v>95.0</v>
      </c>
      <c r="P981" s="960">
        <v>95.0</v>
      </c>
      <c r="Q981" s="960">
        <v>95.0</v>
      </c>
      <c r="R981" s="960">
        <v>226.0</v>
      </c>
      <c r="S981" s="960">
        <v>289.0</v>
      </c>
      <c r="T981" s="960">
        <v>317.0</v>
      </c>
      <c r="U981" s="960">
        <f t="array" ref="U981">HLOOKUP($J981,'Type Chart'!$C$2:$T$20,2,false)*HLOOKUP($K981,'Type Chart'!$C$2:$U$20,2,false)</f>
        <v>1</v>
      </c>
      <c r="V981" s="960">
        <f t="array" ref="V981">HLOOKUP($J981,'Type Chart'!$C$2:$T$20,3,false)*HLOOKUP($K981,'Type Chart'!$C$2:$U$20,3,false)</f>
        <v>0.5</v>
      </c>
      <c r="W981" s="960">
        <f t="array" ref="W981">HLOOKUP($J981,'Type Chart'!$C$2:$T$20,4,false)*HLOOKUP($K981,'Type Chart'!$C$2:$U$20,4,false)</f>
        <v>1</v>
      </c>
      <c r="X981" s="960">
        <f t="array" ref="X981">HLOOKUP($J981,'Type Chart'!$C$2:$T$20,5,false)*HLOOKUP($K981,'Type Chart'!$C$2:$U$20,5,false)</f>
        <v>0.5</v>
      </c>
      <c r="Y981" s="960">
        <f t="array" ref="Y981">HLOOKUP($J981,'Type Chart'!$C$2:$T$20,6,false)*HLOOKUP($K981,'Type Chart'!$C$2:$U$20,6,false)</f>
        <v>2</v>
      </c>
      <c r="Z981" s="960">
        <f t="array" ref="Z981">HLOOKUP($J981,'Type Chart'!$C$2:$T$20,7,false)*HLOOKUP($K981,'Type Chart'!$C$2:$U$20,7,false)</f>
        <v>1</v>
      </c>
      <c r="AA981" s="960">
        <f t="array" ref="AA981">HLOOKUP($J981,'Type Chart'!$C$2:$T$20,8,false)*HLOOKUP($K981,'Type Chart'!$C$2:$U$20,8,false)</f>
        <v>0.5</v>
      </c>
      <c r="AB981" s="960">
        <f t="array" ref="AB981">HLOOKUP($J981,'Type Chart'!$C$2:$T$20,9,false)*HLOOKUP($K981,'Type Chart'!$C$2:$U$20,9,false)</f>
        <v>1</v>
      </c>
      <c r="AC981" s="960">
        <f t="array" ref="AC981">HLOOKUP($J981,'Type Chart'!$C$2:$T$20,10,false)*HLOOKUP($K981,'Type Chart'!$C$2:$U$20,10,false)</f>
        <v>1</v>
      </c>
      <c r="AD981" s="960">
        <f t="array" ref="AD981">HLOOKUP($J981,'Type Chart'!$C$2:$T$20,11,false)*HLOOKUP($K981,'Type Chart'!$C$2:$U$20,11,false)</f>
        <v>1</v>
      </c>
      <c r="AE981" s="960">
        <f t="array" ref="AE981">HLOOKUP($J981,'Type Chart'!$C$2:$T$20,12,false)*HLOOKUP($K981,'Type Chart'!$C$2:$U$20,12,false)</f>
        <v>1</v>
      </c>
      <c r="AF981" s="960">
        <f t="array" ref="AF981">HLOOKUP($J981,'Type Chart'!$C$2:$T$20,13,false)*HLOOKUP($K981,'Type Chart'!$C$2:$U$20,13,false)</f>
        <v>0.5</v>
      </c>
      <c r="AG981" s="960">
        <f t="array" ref="AG981">HLOOKUP($J981,'Type Chart'!$C$2:$T$20,14,false)*HLOOKUP($K981,'Type Chart'!$C$2:$U$20,14,false)</f>
        <v>1</v>
      </c>
      <c r="AH981" s="960">
        <f t="array" ref="AH981">HLOOKUP($J981,'Type Chart'!$C$2:$T$20,15,false)*HLOOKUP($K981,'Type Chart'!$C$2:$U$20,15,false)</f>
        <v>2</v>
      </c>
      <c r="AI981" s="960">
        <f t="array" ref="AI981">HLOOKUP($J981,'Type Chart'!$C$2:$T$20,16,false)*HLOOKUP($K981,'Type Chart'!$C$2:$U$20,16,false)</f>
        <v>1</v>
      </c>
      <c r="AJ981" s="960">
        <f t="array" ref="AJ981">HLOOKUP($J981,'Type Chart'!$C$2:$T$20,17,false)*HLOOKUP($K981,'Type Chart'!$C$2:$U$20,17,false)</f>
        <v>1</v>
      </c>
      <c r="AK981" s="960">
        <f t="array" ref="AK981">HLOOKUP($J981,'Type Chart'!$C$2:$T$20,18,false)*HLOOKUP($K981,'Type Chart'!$C$2:$U$20,18,false)</f>
        <v>1</v>
      </c>
      <c r="AL981" s="960">
        <f t="array" ref="AL981">HLOOKUP($J981,'Type Chart'!$C$2:$T$20,19,false)*HLOOKUP($K981,'Type Chart'!$C$2:$U$20,19,false)</f>
        <v>0.5</v>
      </c>
      <c r="AM981" s="1145" t="s">
        <v>3679</v>
      </c>
      <c r="AN981" s="1202"/>
      <c r="AO981" s="1146"/>
      <c r="AP981" s="936"/>
      <c r="AQ981" s="967"/>
      <c r="AR981" s="968"/>
      <c r="AS981" s="936"/>
    </row>
    <row r="982" ht="15.75" customHeight="1">
      <c r="A982" s="936"/>
      <c r="B982" s="948" t="s">
        <v>3676</v>
      </c>
      <c r="C982" s="950" t="s">
        <v>3706</v>
      </c>
      <c r="D982" s="950" t="s">
        <v>3706</v>
      </c>
      <c r="E982" s="952" t="s">
        <v>3706</v>
      </c>
      <c r="F982" s="940"/>
      <c r="G982" s="953"/>
      <c r="H982" s="969"/>
      <c r="I982" s="998" t="s">
        <v>3707</v>
      </c>
      <c r="J982" s="1203" t="s">
        <v>344</v>
      </c>
      <c r="K982" s="984" t="s">
        <v>216</v>
      </c>
      <c r="L982" s="959">
        <v>95.0</v>
      </c>
      <c r="M982" s="960">
        <v>95.0</v>
      </c>
      <c r="N982" s="960">
        <v>95.0</v>
      </c>
      <c r="O982" s="960">
        <v>95.0</v>
      </c>
      <c r="P982" s="960">
        <v>95.0</v>
      </c>
      <c r="Q982" s="960">
        <v>95.0</v>
      </c>
      <c r="R982" s="960">
        <v>226.0</v>
      </c>
      <c r="S982" s="960">
        <v>289.0</v>
      </c>
      <c r="T982" s="960">
        <v>317.0</v>
      </c>
      <c r="U982" s="960">
        <f t="array" ref="U982">HLOOKUP($J982,'Type Chart'!$C$2:$T$20,2,false)*HLOOKUP($K982,'Type Chart'!$C$2:$U$20,2,false)</f>
        <v>1</v>
      </c>
      <c r="V982" s="960">
        <f t="array" ref="V982">HLOOKUP($J982,'Type Chart'!$C$2:$T$20,3,false)*HLOOKUP($K982,'Type Chart'!$C$2:$U$20,3,false)</f>
        <v>0.5</v>
      </c>
      <c r="W982" s="960">
        <f t="array" ref="W982">HLOOKUP($J982,'Type Chart'!$C$2:$T$20,4,false)*HLOOKUP($K982,'Type Chart'!$C$2:$U$20,4,false)</f>
        <v>1</v>
      </c>
      <c r="X982" s="960">
        <f t="array" ref="X982">HLOOKUP($J982,'Type Chart'!$C$2:$T$20,5,false)*HLOOKUP($K982,'Type Chart'!$C$2:$U$20,5,false)</f>
        <v>1</v>
      </c>
      <c r="Y982" s="960">
        <f t="array" ref="Y982">HLOOKUP($J982,'Type Chart'!$C$2:$T$20,6,false)*HLOOKUP($K982,'Type Chart'!$C$2:$U$20,6,false)</f>
        <v>1</v>
      </c>
      <c r="Z982" s="960">
        <f t="array" ref="Z982">HLOOKUP($J982,'Type Chart'!$C$2:$T$20,7,false)*HLOOKUP($K982,'Type Chart'!$C$2:$U$20,7,false)</f>
        <v>1</v>
      </c>
      <c r="AA982" s="960">
        <f t="array" ref="AA982">HLOOKUP($J982,'Type Chart'!$C$2:$T$20,8,false)*HLOOKUP($K982,'Type Chart'!$C$2:$U$20,8,false)</f>
        <v>2</v>
      </c>
      <c r="AB982" s="960">
        <f t="array" ref="AB982">HLOOKUP($J982,'Type Chart'!$C$2:$T$20,9,false)*HLOOKUP($K982,'Type Chart'!$C$2:$U$20,9,false)</f>
        <v>2</v>
      </c>
      <c r="AC982" s="960">
        <f t="array" ref="AC982">HLOOKUP($J982,'Type Chart'!$C$2:$T$20,10,false)*HLOOKUP($K982,'Type Chart'!$C$2:$U$20,10,false)</f>
        <v>1</v>
      </c>
      <c r="AD982" s="960">
        <f t="array" ref="AD982">HLOOKUP($J982,'Type Chart'!$C$2:$T$20,11,false)*HLOOKUP($K982,'Type Chart'!$C$2:$U$20,11,false)</f>
        <v>1</v>
      </c>
      <c r="AE982" s="960">
        <f t="array" ref="AE982">HLOOKUP($J982,'Type Chart'!$C$2:$T$20,12,false)*HLOOKUP($K982,'Type Chart'!$C$2:$U$20,12,false)</f>
        <v>1</v>
      </c>
      <c r="AF982" s="960">
        <f t="array" ref="AF982">HLOOKUP($J982,'Type Chart'!$C$2:$T$20,13,false)*HLOOKUP($K982,'Type Chart'!$C$2:$U$20,13,false)</f>
        <v>1</v>
      </c>
      <c r="AG982" s="960">
        <f t="array" ref="AG982">HLOOKUP($J982,'Type Chart'!$C$2:$T$20,14,false)*HLOOKUP($K982,'Type Chart'!$C$2:$U$20,14,false)</f>
        <v>1</v>
      </c>
      <c r="AH982" s="960">
        <f t="array" ref="AH982">HLOOKUP($J982,'Type Chart'!$C$2:$T$20,15,false)*HLOOKUP($K982,'Type Chart'!$C$2:$U$20,15,false)</f>
        <v>0.5</v>
      </c>
      <c r="AI982" s="960">
        <f t="array" ref="AI982">HLOOKUP($J982,'Type Chart'!$C$2:$T$20,16,false)*HLOOKUP($K982,'Type Chart'!$C$2:$U$20,16,false)</f>
        <v>1</v>
      </c>
      <c r="AJ982" s="960">
        <f t="array" ref="AJ982">HLOOKUP($J982,'Type Chart'!$C$2:$T$20,17,false)*HLOOKUP($K982,'Type Chart'!$C$2:$U$20,17,false)</f>
        <v>1</v>
      </c>
      <c r="AK982" s="960">
        <f t="array" ref="AK982">HLOOKUP($J982,'Type Chart'!$C$2:$T$20,18,false)*HLOOKUP($K982,'Type Chart'!$C$2:$U$20,18,false)</f>
        <v>2</v>
      </c>
      <c r="AL982" s="960">
        <f t="array" ref="AL982">HLOOKUP($J982,'Type Chart'!$C$2:$T$20,19,false)*HLOOKUP($K982,'Type Chart'!$C$2:$U$20,19,false)</f>
        <v>1</v>
      </c>
      <c r="AM982" s="1145" t="s">
        <v>3679</v>
      </c>
      <c r="AN982" s="965"/>
      <c r="AO982" s="966"/>
      <c r="AP982" s="936"/>
      <c r="AQ982" s="967"/>
      <c r="AR982" s="968"/>
      <c r="AS982" s="936"/>
    </row>
    <row r="983" ht="15.75" customHeight="1">
      <c r="A983" s="936"/>
      <c r="B983" s="948" t="s">
        <v>3676</v>
      </c>
      <c r="C983" s="950" t="s">
        <v>3708</v>
      </c>
      <c r="D983" s="950" t="s">
        <v>3708</v>
      </c>
      <c r="E983" s="952" t="s">
        <v>3708</v>
      </c>
      <c r="F983" s="940"/>
      <c r="G983" s="953"/>
      <c r="H983" s="969"/>
      <c r="I983" s="956" t="s">
        <v>3709</v>
      </c>
      <c r="J983" s="1214" t="s">
        <v>342</v>
      </c>
      <c r="K983" s="984" t="s">
        <v>216</v>
      </c>
      <c r="L983" s="959">
        <v>95.0</v>
      </c>
      <c r="M983" s="960">
        <v>95.0</v>
      </c>
      <c r="N983" s="960">
        <v>95.0</v>
      </c>
      <c r="O983" s="960">
        <v>95.0</v>
      </c>
      <c r="P983" s="960">
        <v>95.0</v>
      </c>
      <c r="Q983" s="960">
        <v>95.0</v>
      </c>
      <c r="R983" s="960">
        <v>226.0</v>
      </c>
      <c r="S983" s="960">
        <v>289.0</v>
      </c>
      <c r="T983" s="960">
        <v>317.0</v>
      </c>
      <c r="U983" s="960">
        <f t="array" ref="U983">HLOOKUP($J983,'Type Chart'!$C$2:$T$20,2,false)*HLOOKUP($K983,'Type Chart'!$C$2:$U$20,2,false)</f>
        <v>0.5</v>
      </c>
      <c r="V983" s="960">
        <f t="array" ref="V983">HLOOKUP($J983,'Type Chart'!$C$2:$T$20,3,false)*HLOOKUP($K983,'Type Chart'!$C$2:$U$20,3,false)</f>
        <v>2</v>
      </c>
      <c r="W983" s="960">
        <f t="array" ref="W983">HLOOKUP($J983,'Type Chart'!$C$2:$T$20,4,false)*HLOOKUP($K983,'Type Chart'!$C$2:$U$20,4,false)</f>
        <v>0.5</v>
      </c>
      <c r="X983" s="960">
        <f t="array" ref="X983">HLOOKUP($J983,'Type Chart'!$C$2:$T$20,5,false)*HLOOKUP($K983,'Type Chart'!$C$2:$U$20,5,false)</f>
        <v>0.5</v>
      </c>
      <c r="Y983" s="960">
        <f t="array" ref="Y983">HLOOKUP($J983,'Type Chart'!$C$2:$T$20,6,false)*HLOOKUP($K983,'Type Chart'!$C$2:$U$20,6,false)</f>
        <v>2</v>
      </c>
      <c r="Z983" s="960">
        <f t="array" ref="Z983">HLOOKUP($J983,'Type Chart'!$C$2:$T$20,7,false)*HLOOKUP($K983,'Type Chart'!$C$2:$U$20,7,false)</f>
        <v>1</v>
      </c>
      <c r="AA983" s="960">
        <f t="array" ref="AA983">HLOOKUP($J983,'Type Chart'!$C$2:$T$20,8,false)*HLOOKUP($K983,'Type Chart'!$C$2:$U$20,8,false)</f>
        <v>1</v>
      </c>
      <c r="AB983" s="960">
        <f t="array" ref="AB983">HLOOKUP($J983,'Type Chart'!$C$2:$T$20,9,false)*HLOOKUP($K983,'Type Chart'!$C$2:$U$20,9,false)</f>
        <v>1</v>
      </c>
      <c r="AC983" s="960">
        <f t="array" ref="AC983">HLOOKUP($J983,'Type Chart'!$C$2:$T$20,10,false)*HLOOKUP($K983,'Type Chart'!$C$2:$U$20,10,false)</f>
        <v>2</v>
      </c>
      <c r="AD983" s="960">
        <f t="array" ref="AD983">HLOOKUP($J983,'Type Chart'!$C$2:$T$20,11,false)*HLOOKUP($K983,'Type Chart'!$C$2:$U$20,11,false)</f>
        <v>0.5</v>
      </c>
      <c r="AE983" s="960">
        <f t="array" ref="AE983">HLOOKUP($J983,'Type Chart'!$C$2:$T$20,12,false)*HLOOKUP($K983,'Type Chart'!$C$2:$U$20,12,false)</f>
        <v>2</v>
      </c>
      <c r="AF983" s="960">
        <f t="array" ref="AF983">HLOOKUP($J983,'Type Chart'!$C$2:$T$20,13,false)*HLOOKUP($K983,'Type Chart'!$C$2:$U$20,13,false)</f>
        <v>2</v>
      </c>
      <c r="AG983" s="960">
        <f t="array" ref="AG983">HLOOKUP($J983,'Type Chart'!$C$2:$T$20,14,false)*HLOOKUP($K983,'Type Chart'!$C$2:$U$20,14,false)</f>
        <v>1</v>
      </c>
      <c r="AH983" s="960">
        <f t="array" ref="AH983">HLOOKUP($J983,'Type Chart'!$C$2:$T$20,15,false)*HLOOKUP($K983,'Type Chart'!$C$2:$U$20,15,false)</f>
        <v>1</v>
      </c>
      <c r="AI983" s="960">
        <f t="array" ref="AI983">HLOOKUP($J983,'Type Chart'!$C$2:$T$20,16,false)*HLOOKUP($K983,'Type Chart'!$C$2:$U$20,16,false)</f>
        <v>1</v>
      </c>
      <c r="AJ983" s="960">
        <f t="array" ref="AJ983">HLOOKUP($J983,'Type Chart'!$C$2:$T$20,17,false)*HLOOKUP($K983,'Type Chart'!$C$2:$U$20,17,false)</f>
        <v>1</v>
      </c>
      <c r="AK983" s="960">
        <f t="array" ref="AK983">HLOOKUP($J983,'Type Chart'!$C$2:$T$20,18,false)*HLOOKUP($K983,'Type Chart'!$C$2:$U$20,18,false)</f>
        <v>1</v>
      </c>
      <c r="AL983" s="960">
        <f t="array" ref="AL983">HLOOKUP($J983,'Type Chart'!$C$2:$T$20,19,false)*HLOOKUP($K983,'Type Chart'!$C$2:$U$20,19,false)</f>
        <v>1</v>
      </c>
      <c r="AM983" s="1145" t="s">
        <v>3679</v>
      </c>
      <c r="AN983" s="965"/>
      <c r="AO983" s="966"/>
      <c r="AP983" s="936"/>
      <c r="AQ983" s="967"/>
      <c r="AR983" s="968"/>
      <c r="AS983" s="936"/>
    </row>
    <row r="984" ht="15.75" customHeight="1">
      <c r="A984" s="936"/>
      <c r="B984" s="948" t="s">
        <v>3676</v>
      </c>
      <c r="C984" s="950" t="s">
        <v>3710</v>
      </c>
      <c r="D984" s="950" t="s">
        <v>3710</v>
      </c>
      <c r="E984" s="952" t="s">
        <v>3710</v>
      </c>
      <c r="F984" s="940"/>
      <c r="G984" s="953"/>
      <c r="H984" s="969"/>
      <c r="I984" s="956" t="s">
        <v>3711</v>
      </c>
      <c r="J984" s="1206" t="s">
        <v>82</v>
      </c>
      <c r="K984" s="984" t="s">
        <v>216</v>
      </c>
      <c r="L984" s="959">
        <v>95.0</v>
      </c>
      <c r="M984" s="960">
        <v>95.0</v>
      </c>
      <c r="N984" s="960">
        <v>95.0</v>
      </c>
      <c r="O984" s="960">
        <v>95.0</v>
      </c>
      <c r="P984" s="960">
        <v>95.0</v>
      </c>
      <c r="Q984" s="960">
        <v>95.0</v>
      </c>
      <c r="R984" s="960">
        <v>226.0</v>
      </c>
      <c r="S984" s="960">
        <v>289.0</v>
      </c>
      <c r="T984" s="960">
        <v>317.0</v>
      </c>
      <c r="U984" s="960">
        <f t="array" ref="U984">HLOOKUP($J984,'Type Chart'!$C$2:$T$20,2,false)*HLOOKUP($K984,'Type Chart'!$C$2:$U$20,2,false)</f>
        <v>0.5</v>
      </c>
      <c r="V984" s="960">
        <f t="array" ref="V984">HLOOKUP($J984,'Type Chart'!$C$2:$T$20,3,false)*HLOOKUP($K984,'Type Chart'!$C$2:$U$20,3,false)</f>
        <v>2</v>
      </c>
      <c r="W984" s="960">
        <f t="array" ref="W984">HLOOKUP($J984,'Type Chart'!$C$2:$T$20,4,false)*HLOOKUP($K984,'Type Chart'!$C$2:$U$20,4,false)</f>
        <v>0.5</v>
      </c>
      <c r="X984" s="960">
        <f t="array" ref="X984">HLOOKUP($J984,'Type Chart'!$C$2:$T$20,5,false)*HLOOKUP($K984,'Type Chart'!$C$2:$U$20,5,false)</f>
        <v>0</v>
      </c>
      <c r="Y984" s="960">
        <f t="array" ref="Y984">HLOOKUP($J984,'Type Chart'!$C$2:$T$20,6,false)*HLOOKUP($K984,'Type Chart'!$C$2:$U$20,6,false)</f>
        <v>2</v>
      </c>
      <c r="Z984" s="960">
        <f t="array" ref="Z984">HLOOKUP($J984,'Type Chart'!$C$2:$T$20,7,false)*HLOOKUP($K984,'Type Chart'!$C$2:$U$20,7,false)</f>
        <v>0.5</v>
      </c>
      <c r="AA984" s="960">
        <f t="array" ref="AA984">HLOOKUP($J984,'Type Chart'!$C$2:$T$20,8,false)*HLOOKUP($K984,'Type Chart'!$C$2:$U$20,8,false)</f>
        <v>0.5</v>
      </c>
      <c r="AB984" s="960">
        <f t="array" ref="AB984">HLOOKUP($J984,'Type Chart'!$C$2:$T$20,9,false)*HLOOKUP($K984,'Type Chart'!$C$2:$U$20,9,false)</f>
        <v>1</v>
      </c>
      <c r="AC984" s="960">
        <f t="array" ref="AC984">HLOOKUP($J984,'Type Chart'!$C$2:$T$20,10,false)*HLOOKUP($K984,'Type Chart'!$C$2:$U$20,10,false)</f>
        <v>0.5</v>
      </c>
      <c r="AD984" s="960">
        <f t="array" ref="AD984">HLOOKUP($J984,'Type Chart'!$C$2:$T$20,11,false)*HLOOKUP($K984,'Type Chart'!$C$2:$U$20,11,false)</f>
        <v>2</v>
      </c>
      <c r="AE984" s="960">
        <f t="array" ref="AE984">HLOOKUP($J984,'Type Chart'!$C$2:$T$20,12,false)*HLOOKUP($K984,'Type Chart'!$C$2:$U$20,12,false)</f>
        <v>1</v>
      </c>
      <c r="AF984" s="960">
        <f t="array" ref="AF984">HLOOKUP($J984,'Type Chart'!$C$2:$T$20,13,false)*HLOOKUP($K984,'Type Chart'!$C$2:$U$20,13,false)</f>
        <v>0.5</v>
      </c>
      <c r="AG984" s="960">
        <f t="array" ref="AG984">HLOOKUP($J984,'Type Chart'!$C$2:$T$20,14,false)*HLOOKUP($K984,'Type Chart'!$C$2:$U$20,14,false)</f>
        <v>1</v>
      </c>
      <c r="AH984" s="960">
        <f t="array" ref="AH984">HLOOKUP($J984,'Type Chart'!$C$2:$T$20,15,false)*HLOOKUP($K984,'Type Chart'!$C$2:$U$20,15,false)</f>
        <v>0.5</v>
      </c>
      <c r="AI984" s="960">
        <f t="array" ref="AI984">HLOOKUP($J984,'Type Chart'!$C$2:$T$20,16,false)*HLOOKUP($K984,'Type Chart'!$C$2:$U$20,16,false)</f>
        <v>0.5</v>
      </c>
      <c r="AJ984" s="960">
        <f t="array" ref="AJ984">HLOOKUP($J984,'Type Chart'!$C$2:$T$20,17,false)*HLOOKUP($K984,'Type Chart'!$C$2:$U$20,17,false)</f>
        <v>0.5</v>
      </c>
      <c r="AK984" s="960">
        <f t="array" ref="AK984">HLOOKUP($J984,'Type Chart'!$C$2:$T$20,18,false)*HLOOKUP($K984,'Type Chart'!$C$2:$U$20,18,false)</f>
        <v>1</v>
      </c>
      <c r="AL984" s="960">
        <f t="array" ref="AL984">HLOOKUP($J984,'Type Chart'!$C$2:$T$20,19,false)*HLOOKUP($K984,'Type Chart'!$C$2:$U$20,19,false)</f>
        <v>0.5</v>
      </c>
      <c r="AM984" s="1145" t="s">
        <v>3679</v>
      </c>
      <c r="AN984" s="965"/>
      <c r="AO984" s="966"/>
      <c r="AP984" s="936"/>
      <c r="AQ984" s="967"/>
      <c r="AR984" s="968"/>
      <c r="AS984" s="936"/>
    </row>
    <row r="985" ht="15.75" customHeight="1">
      <c r="A985" s="936"/>
      <c r="B985" s="948" t="s">
        <v>3676</v>
      </c>
      <c r="C985" s="950" t="s">
        <v>3712</v>
      </c>
      <c r="D985" s="950" t="s">
        <v>3712</v>
      </c>
      <c r="E985" s="952" t="s">
        <v>3712</v>
      </c>
      <c r="F985" s="940"/>
      <c r="G985" s="953"/>
      <c r="H985" s="969"/>
      <c r="I985" s="956" t="s">
        <v>3713</v>
      </c>
      <c r="J985" s="1056" t="s">
        <v>81</v>
      </c>
      <c r="K985" s="984" t="s">
        <v>216</v>
      </c>
      <c r="L985" s="959">
        <v>95.0</v>
      </c>
      <c r="M985" s="960">
        <v>95.0</v>
      </c>
      <c r="N985" s="960">
        <v>95.0</v>
      </c>
      <c r="O985" s="960">
        <v>95.0</v>
      </c>
      <c r="P985" s="960">
        <v>95.0</v>
      </c>
      <c r="Q985" s="960">
        <v>95.0</v>
      </c>
      <c r="R985" s="960">
        <v>226.0</v>
      </c>
      <c r="S985" s="960">
        <v>289.0</v>
      </c>
      <c r="T985" s="960">
        <v>317.0</v>
      </c>
      <c r="U985" s="960">
        <f t="array" ref="U985">HLOOKUP($J985,'Type Chart'!$C$2:$T$20,2,false)*HLOOKUP($K985,'Type Chart'!$C$2:$U$20,2,false)</f>
        <v>1</v>
      </c>
      <c r="V985" s="960">
        <f t="array" ref="V985">HLOOKUP($J985,'Type Chart'!$C$2:$T$20,3,false)*HLOOKUP($K985,'Type Chart'!$C$2:$U$20,3,false)</f>
        <v>1</v>
      </c>
      <c r="W985" s="960">
        <f t="array" ref="W985">HLOOKUP($J985,'Type Chart'!$C$2:$T$20,4,false)*HLOOKUP($K985,'Type Chart'!$C$2:$U$20,4,false)</f>
        <v>1</v>
      </c>
      <c r="X985" s="960">
        <f t="array" ref="X985">HLOOKUP($J985,'Type Chart'!$C$2:$T$20,5,false)*HLOOKUP($K985,'Type Chart'!$C$2:$U$20,5,false)</f>
        <v>1</v>
      </c>
      <c r="Y985" s="960">
        <f t="array" ref="Y985">HLOOKUP($J985,'Type Chart'!$C$2:$T$20,6,false)*HLOOKUP($K985,'Type Chart'!$C$2:$U$20,6,false)</f>
        <v>1</v>
      </c>
      <c r="Z985" s="960">
        <f t="array" ref="Z985">HLOOKUP($J985,'Type Chart'!$C$2:$T$20,7,false)*HLOOKUP($K985,'Type Chart'!$C$2:$U$20,7,false)</f>
        <v>1</v>
      </c>
      <c r="AA985" s="960">
        <f t="array" ref="AA985">HLOOKUP($J985,'Type Chart'!$C$2:$T$20,8,false)*HLOOKUP($K985,'Type Chart'!$C$2:$U$20,8,false)</f>
        <v>1</v>
      </c>
      <c r="AB985" s="960">
        <f t="array" ref="AB985">HLOOKUP($J985,'Type Chart'!$C$2:$T$20,9,false)*HLOOKUP($K985,'Type Chart'!$C$2:$U$20,9,false)</f>
        <v>1</v>
      </c>
      <c r="AC985" s="960">
        <f t="array" ref="AC985">HLOOKUP($J985,'Type Chart'!$C$2:$T$20,10,false)*HLOOKUP($K985,'Type Chart'!$C$2:$U$20,10,false)</f>
        <v>0.5</v>
      </c>
      <c r="AD985" s="960">
        <f t="array" ref="AD985">HLOOKUP($J985,'Type Chart'!$C$2:$T$20,11,false)*HLOOKUP($K985,'Type Chart'!$C$2:$U$20,11,false)</f>
        <v>0.5</v>
      </c>
      <c r="AE985" s="960">
        <f t="array" ref="AE985">HLOOKUP($J985,'Type Chart'!$C$2:$T$20,12,false)*HLOOKUP($K985,'Type Chart'!$C$2:$U$20,12,false)</f>
        <v>0.5</v>
      </c>
      <c r="AF985" s="960">
        <f t="array" ref="AF985">HLOOKUP($J985,'Type Chart'!$C$2:$T$20,13,false)*HLOOKUP($K985,'Type Chart'!$C$2:$U$20,13,false)</f>
        <v>2</v>
      </c>
      <c r="AG985" s="960">
        <f t="array" ref="AG985">HLOOKUP($J985,'Type Chart'!$C$2:$T$20,14,false)*HLOOKUP($K985,'Type Chart'!$C$2:$U$20,14,false)</f>
        <v>2</v>
      </c>
      <c r="AH985" s="960">
        <f t="array" ref="AH985">HLOOKUP($J985,'Type Chart'!$C$2:$T$20,15,false)*HLOOKUP($K985,'Type Chart'!$C$2:$U$20,15,false)</f>
        <v>1</v>
      </c>
      <c r="AI985" s="960">
        <f t="array" ref="AI985">HLOOKUP($J985,'Type Chart'!$C$2:$T$20,16,false)*HLOOKUP($K985,'Type Chart'!$C$2:$U$20,16,false)</f>
        <v>0.5</v>
      </c>
      <c r="AJ985" s="960">
        <f t="array" ref="AJ985">HLOOKUP($J985,'Type Chart'!$C$2:$T$20,17,false)*HLOOKUP($K985,'Type Chart'!$C$2:$U$20,17,false)</f>
        <v>1</v>
      </c>
      <c r="AK985" s="960">
        <f t="array" ref="AK985">HLOOKUP($J985,'Type Chart'!$C$2:$T$20,18,false)*HLOOKUP($K985,'Type Chart'!$C$2:$U$20,18,false)</f>
        <v>1</v>
      </c>
      <c r="AL985" s="960">
        <f t="array" ref="AL985">HLOOKUP($J985,'Type Chart'!$C$2:$T$20,19,false)*HLOOKUP($K985,'Type Chart'!$C$2:$U$20,19,false)</f>
        <v>1</v>
      </c>
      <c r="AM985" s="1145" t="s">
        <v>3679</v>
      </c>
      <c r="AN985" s="965"/>
      <c r="AO985" s="966"/>
      <c r="AP985" s="936"/>
      <c r="AQ985" s="967"/>
      <c r="AR985" s="968"/>
      <c r="AS985" s="936"/>
    </row>
    <row r="986" ht="15.75" customHeight="1">
      <c r="A986" s="936"/>
      <c r="B986" s="948" t="s">
        <v>3714</v>
      </c>
      <c r="C986" s="950" t="s">
        <v>3715</v>
      </c>
      <c r="D986" s="950" t="s">
        <v>3715</v>
      </c>
      <c r="E986" s="952" t="s">
        <v>3716</v>
      </c>
      <c r="F986" s="940"/>
      <c r="G986" s="953"/>
      <c r="H986" s="969"/>
      <c r="I986" s="998" t="s">
        <v>737</v>
      </c>
      <c r="J986" s="1214" t="s">
        <v>342</v>
      </c>
      <c r="K986" s="1001" t="s">
        <v>128</v>
      </c>
      <c r="L986" s="959">
        <v>60.0</v>
      </c>
      <c r="M986" s="960">
        <v>100.0</v>
      </c>
      <c r="N986" s="960">
        <v>60.0</v>
      </c>
      <c r="O986" s="960">
        <v>100.0</v>
      </c>
      <c r="P986" s="960">
        <v>60.0</v>
      </c>
      <c r="Q986" s="960">
        <v>120.0</v>
      </c>
      <c r="R986" s="960">
        <v>276.0</v>
      </c>
      <c r="S986" s="960">
        <v>339.0</v>
      </c>
      <c r="T986" s="960">
        <v>372.0</v>
      </c>
      <c r="U986" s="960">
        <f t="array" ref="U986">HLOOKUP($J986,'Type Chart'!$C$2:$T$20,2,false)*HLOOKUP($K986,'Type Chart'!$C$2:$U$20,2,false)</f>
        <v>0.5</v>
      </c>
      <c r="V986" s="960">
        <f t="array" ref="V986">HLOOKUP($J986,'Type Chart'!$C$2:$T$20,3,false)*HLOOKUP($K986,'Type Chart'!$C$2:$U$20,3,false)</f>
        <v>1</v>
      </c>
      <c r="W986" s="960">
        <f t="array" ref="W986">HLOOKUP($J986,'Type Chart'!$C$2:$T$20,4,false)*HLOOKUP($K986,'Type Chart'!$C$2:$U$20,4,false)</f>
        <v>0.5</v>
      </c>
      <c r="X986" s="960">
        <f t="array" ref="X986">HLOOKUP($J986,'Type Chart'!$C$2:$T$20,5,false)*HLOOKUP($K986,'Type Chart'!$C$2:$U$20,5,false)</f>
        <v>0.5</v>
      </c>
      <c r="Y986" s="960">
        <f t="array" ref="Y986">HLOOKUP($J986,'Type Chart'!$C$2:$T$20,6,false)*HLOOKUP($K986,'Type Chart'!$C$2:$U$20,6,false)</f>
        <v>0</v>
      </c>
      <c r="Z986" s="960">
        <f t="array" ref="Z986">HLOOKUP($J986,'Type Chart'!$C$2:$T$20,7,false)*HLOOKUP($K986,'Type Chart'!$C$2:$U$20,7,false)</f>
        <v>2</v>
      </c>
      <c r="AA986" s="960">
        <f t="array" ref="AA986">HLOOKUP($J986,'Type Chart'!$C$2:$T$20,8,false)*HLOOKUP($K986,'Type Chart'!$C$2:$U$20,8,false)</f>
        <v>0.5</v>
      </c>
      <c r="AB986" s="960">
        <f t="array" ref="AB986">HLOOKUP($J986,'Type Chart'!$C$2:$T$20,9,false)*HLOOKUP($K986,'Type Chart'!$C$2:$U$20,9,false)</f>
        <v>1</v>
      </c>
      <c r="AC986" s="960">
        <f t="array" ref="AC986">HLOOKUP($J986,'Type Chart'!$C$2:$T$20,10,false)*HLOOKUP($K986,'Type Chart'!$C$2:$U$20,10,false)</f>
        <v>2</v>
      </c>
      <c r="AD986" s="960">
        <f t="array" ref="AD986">HLOOKUP($J986,'Type Chart'!$C$2:$T$20,11,false)*HLOOKUP($K986,'Type Chart'!$C$2:$U$20,11,false)</f>
        <v>0.5</v>
      </c>
      <c r="AE986" s="960">
        <f t="array" ref="AE986">HLOOKUP($J986,'Type Chart'!$C$2:$T$20,12,false)*HLOOKUP($K986,'Type Chart'!$C$2:$U$20,12,false)</f>
        <v>2</v>
      </c>
      <c r="AF986" s="960">
        <f t="array" ref="AF986">HLOOKUP($J986,'Type Chart'!$C$2:$T$20,13,false)*HLOOKUP($K986,'Type Chart'!$C$2:$U$20,13,false)</f>
        <v>1</v>
      </c>
      <c r="AG986" s="960">
        <f t="array" ref="AG986">HLOOKUP($J986,'Type Chart'!$C$2:$T$20,14,false)*HLOOKUP($K986,'Type Chart'!$C$2:$U$20,14,false)</f>
        <v>2</v>
      </c>
      <c r="AH986" s="960">
        <f t="array" ref="AH986">HLOOKUP($J986,'Type Chart'!$C$2:$T$20,15,false)*HLOOKUP($K986,'Type Chart'!$C$2:$U$20,15,false)</f>
        <v>1</v>
      </c>
      <c r="AI986" s="960">
        <f t="array" ref="AI986">HLOOKUP($J986,'Type Chart'!$C$2:$T$20,16,false)*HLOOKUP($K986,'Type Chart'!$C$2:$U$20,16,false)</f>
        <v>2</v>
      </c>
      <c r="AJ986" s="960">
        <f t="array" ref="AJ986">HLOOKUP($J986,'Type Chart'!$C$2:$T$20,17,false)*HLOOKUP($K986,'Type Chart'!$C$2:$U$20,17,false)</f>
        <v>1</v>
      </c>
      <c r="AK986" s="960">
        <f t="array" ref="AK986">HLOOKUP($J986,'Type Chart'!$C$2:$T$20,18,false)*HLOOKUP($K986,'Type Chart'!$C$2:$U$20,18,false)</f>
        <v>1</v>
      </c>
      <c r="AL986" s="960">
        <f t="array" ref="AL986">HLOOKUP($J986,'Type Chart'!$C$2:$T$20,19,false)*HLOOKUP($K986,'Type Chart'!$C$2:$U$20,19,false)</f>
        <v>1</v>
      </c>
      <c r="AM986" s="1145" t="s">
        <v>3717</v>
      </c>
      <c r="AN986" s="965"/>
      <c r="AO986" s="966"/>
      <c r="AP986" s="936"/>
      <c r="AQ986" s="967"/>
      <c r="AR986" s="968"/>
      <c r="AS986" s="936"/>
    </row>
    <row r="987" ht="15.75" customHeight="1">
      <c r="A987" s="936"/>
      <c r="B987" s="948" t="s">
        <v>3718</v>
      </c>
      <c r="C987" s="950" t="s">
        <v>3719</v>
      </c>
      <c r="D987" s="950" t="s">
        <v>3720</v>
      </c>
      <c r="E987" s="952" t="s">
        <v>3719</v>
      </c>
      <c r="F987" s="940"/>
      <c r="G987" s="953"/>
      <c r="H987" s="969"/>
      <c r="I987" s="998" t="s">
        <v>3721</v>
      </c>
      <c r="J987" s="1214" t="s">
        <v>342</v>
      </c>
      <c r="K987" s="1001" t="s">
        <v>128</v>
      </c>
      <c r="L987" s="959">
        <v>60.0</v>
      </c>
      <c r="M987" s="960">
        <v>60.0</v>
      </c>
      <c r="N987" s="960">
        <v>100.0</v>
      </c>
      <c r="O987" s="960">
        <v>60.0</v>
      </c>
      <c r="P987" s="960">
        <v>100.0</v>
      </c>
      <c r="Q987" s="960">
        <v>60.0</v>
      </c>
      <c r="R987" s="960">
        <v>156.0</v>
      </c>
      <c r="S987" s="960">
        <v>219.0</v>
      </c>
      <c r="T987" s="960">
        <v>240.0</v>
      </c>
      <c r="U987" s="960">
        <f t="array" ref="U987">HLOOKUP($J987,'Type Chart'!$C$2:$T$20,2,false)*HLOOKUP($K987,'Type Chart'!$C$2:$U$20,2,false)</f>
        <v>0.5</v>
      </c>
      <c r="V987" s="960">
        <f t="array" ref="V987">HLOOKUP($J987,'Type Chart'!$C$2:$T$20,3,false)*HLOOKUP($K987,'Type Chart'!$C$2:$U$20,3,false)</f>
        <v>1</v>
      </c>
      <c r="W987" s="960">
        <f t="array" ref="W987">HLOOKUP($J987,'Type Chart'!$C$2:$T$20,4,false)*HLOOKUP($K987,'Type Chart'!$C$2:$U$20,4,false)</f>
        <v>0.5</v>
      </c>
      <c r="X987" s="960">
        <f t="array" ref="X987">HLOOKUP($J987,'Type Chart'!$C$2:$T$20,5,false)*HLOOKUP($K987,'Type Chart'!$C$2:$U$20,5,false)</f>
        <v>0.5</v>
      </c>
      <c r="Y987" s="960">
        <f t="array" ref="Y987">HLOOKUP($J987,'Type Chart'!$C$2:$T$20,6,false)*HLOOKUP($K987,'Type Chart'!$C$2:$U$20,6,false)</f>
        <v>0</v>
      </c>
      <c r="Z987" s="960">
        <f t="array" ref="Z987">HLOOKUP($J987,'Type Chart'!$C$2:$T$20,7,false)*HLOOKUP($K987,'Type Chart'!$C$2:$U$20,7,false)</f>
        <v>2</v>
      </c>
      <c r="AA987" s="960">
        <f t="array" ref="AA987">HLOOKUP($J987,'Type Chart'!$C$2:$T$20,8,false)*HLOOKUP($K987,'Type Chart'!$C$2:$U$20,8,false)</f>
        <v>0.5</v>
      </c>
      <c r="AB987" s="960">
        <f t="array" ref="AB987">HLOOKUP($J987,'Type Chart'!$C$2:$T$20,9,false)*HLOOKUP($K987,'Type Chart'!$C$2:$U$20,9,false)</f>
        <v>1</v>
      </c>
      <c r="AC987" s="960">
        <f t="array" ref="AC987">HLOOKUP($J987,'Type Chart'!$C$2:$T$20,10,false)*HLOOKUP($K987,'Type Chart'!$C$2:$U$20,10,false)</f>
        <v>2</v>
      </c>
      <c r="AD987" s="960">
        <f t="array" ref="AD987">HLOOKUP($J987,'Type Chart'!$C$2:$T$20,11,false)*HLOOKUP($K987,'Type Chart'!$C$2:$U$20,11,false)</f>
        <v>0.5</v>
      </c>
      <c r="AE987" s="960">
        <f t="array" ref="AE987">HLOOKUP($J987,'Type Chart'!$C$2:$T$20,12,false)*HLOOKUP($K987,'Type Chart'!$C$2:$U$20,12,false)</f>
        <v>2</v>
      </c>
      <c r="AF987" s="960">
        <f t="array" ref="AF987">HLOOKUP($J987,'Type Chart'!$C$2:$T$20,13,false)*HLOOKUP($K987,'Type Chart'!$C$2:$U$20,13,false)</f>
        <v>1</v>
      </c>
      <c r="AG987" s="960">
        <f t="array" ref="AG987">HLOOKUP($J987,'Type Chart'!$C$2:$T$20,14,false)*HLOOKUP($K987,'Type Chart'!$C$2:$U$20,14,false)</f>
        <v>2</v>
      </c>
      <c r="AH987" s="960">
        <f t="array" ref="AH987">HLOOKUP($J987,'Type Chart'!$C$2:$T$20,15,false)*HLOOKUP($K987,'Type Chart'!$C$2:$U$20,15,false)</f>
        <v>1</v>
      </c>
      <c r="AI987" s="960">
        <f t="array" ref="AI987">HLOOKUP($J987,'Type Chart'!$C$2:$T$20,16,false)*HLOOKUP($K987,'Type Chart'!$C$2:$U$20,16,false)</f>
        <v>2</v>
      </c>
      <c r="AJ987" s="960">
        <f t="array" ref="AJ987">HLOOKUP($J987,'Type Chart'!$C$2:$T$20,17,false)*HLOOKUP($K987,'Type Chart'!$C$2:$U$20,17,false)</f>
        <v>1</v>
      </c>
      <c r="AK987" s="960">
        <f t="array" ref="AK987">HLOOKUP($J987,'Type Chart'!$C$2:$T$20,18,false)*HLOOKUP($K987,'Type Chart'!$C$2:$U$20,18,false)</f>
        <v>1</v>
      </c>
      <c r="AL987" s="960">
        <f t="array" ref="AL987">HLOOKUP($J987,'Type Chart'!$C$2:$T$20,19,false)*HLOOKUP($K987,'Type Chart'!$C$2:$U$20,19,false)</f>
        <v>1</v>
      </c>
      <c r="AM987" s="1145" t="s">
        <v>3717</v>
      </c>
      <c r="AN987" s="965"/>
      <c r="AO987" s="966"/>
      <c r="AP987" s="936"/>
      <c r="AQ987" s="967"/>
      <c r="AR987" s="968"/>
      <c r="AS987" s="936"/>
    </row>
    <row r="988" ht="15.75" customHeight="1">
      <c r="A988" s="936"/>
      <c r="B988" s="948" t="s">
        <v>3722</v>
      </c>
      <c r="C988" s="950" t="s">
        <v>3723</v>
      </c>
      <c r="D988" s="950" t="s">
        <v>3723</v>
      </c>
      <c r="E988" s="952" t="s">
        <v>3723</v>
      </c>
      <c r="F988" s="940"/>
      <c r="G988" s="953"/>
      <c r="H988" s="969"/>
      <c r="I988" s="998" t="s">
        <v>758</v>
      </c>
      <c r="J988" s="1194" t="s">
        <v>136</v>
      </c>
      <c r="K988" s="984" t="s">
        <v>216</v>
      </c>
      <c r="L988" s="959">
        <v>65.0</v>
      </c>
      <c r="M988" s="960">
        <v>115.0</v>
      </c>
      <c r="N988" s="960">
        <v>65.0</v>
      </c>
      <c r="O988" s="960">
        <v>75.0</v>
      </c>
      <c r="P988" s="960">
        <v>95.0</v>
      </c>
      <c r="Q988" s="960">
        <v>65.0</v>
      </c>
      <c r="R988" s="960">
        <v>166.0</v>
      </c>
      <c r="S988" s="960">
        <v>229.0</v>
      </c>
      <c r="T988" s="960">
        <v>251.0</v>
      </c>
      <c r="U988" s="960">
        <f t="array" ref="U988">HLOOKUP($J988,'Type Chart'!$C$2:$T$20,2,false)*HLOOKUP($K988,'Type Chart'!$C$2:$U$20,2,false)</f>
        <v>1</v>
      </c>
      <c r="V988" s="960">
        <f t="array" ref="V988">HLOOKUP($J988,'Type Chart'!$C$2:$T$20,3,false)*HLOOKUP($K988,'Type Chart'!$C$2:$U$20,3,false)</f>
        <v>2</v>
      </c>
      <c r="W988" s="960">
        <f t="array" ref="W988">HLOOKUP($J988,'Type Chart'!$C$2:$T$20,4,false)*HLOOKUP($K988,'Type Chart'!$C$2:$U$20,4,false)</f>
        <v>1</v>
      </c>
      <c r="X988" s="960">
        <f t="array" ref="X988">HLOOKUP($J988,'Type Chart'!$C$2:$T$20,5,false)*HLOOKUP($K988,'Type Chart'!$C$2:$U$20,5,false)</f>
        <v>1</v>
      </c>
      <c r="Y988" s="960">
        <f t="array" ref="Y988">HLOOKUP($J988,'Type Chart'!$C$2:$T$20,6,false)*HLOOKUP($K988,'Type Chart'!$C$2:$U$20,6,false)</f>
        <v>1</v>
      </c>
      <c r="Z988" s="960">
        <f t="array" ref="Z988">HLOOKUP($J988,'Type Chart'!$C$2:$T$20,7,false)*HLOOKUP($K988,'Type Chart'!$C$2:$U$20,7,false)</f>
        <v>1</v>
      </c>
      <c r="AA988" s="960">
        <f t="array" ref="AA988">HLOOKUP($J988,'Type Chart'!$C$2:$T$20,8,false)*HLOOKUP($K988,'Type Chart'!$C$2:$U$20,8,false)</f>
        <v>1</v>
      </c>
      <c r="AB988" s="960">
        <f t="array" ref="AB988">HLOOKUP($J988,'Type Chart'!$C$2:$T$20,9,false)*HLOOKUP($K988,'Type Chart'!$C$2:$U$20,9,false)</f>
        <v>0</v>
      </c>
      <c r="AC988" s="960">
        <f t="array" ref="AC988">HLOOKUP($J988,'Type Chart'!$C$2:$T$20,10,false)*HLOOKUP($K988,'Type Chart'!$C$2:$U$20,10,false)</f>
        <v>1</v>
      </c>
      <c r="AD988" s="960">
        <f t="array" ref="AD988">HLOOKUP($J988,'Type Chart'!$C$2:$T$20,11,false)*HLOOKUP($K988,'Type Chart'!$C$2:$U$20,11,false)</f>
        <v>1</v>
      </c>
      <c r="AE988" s="960">
        <f t="array" ref="AE988">HLOOKUP($J988,'Type Chart'!$C$2:$T$20,12,false)*HLOOKUP($K988,'Type Chart'!$C$2:$U$20,12,false)</f>
        <v>1</v>
      </c>
      <c r="AF988" s="960">
        <f t="array" ref="AF988">HLOOKUP($J988,'Type Chart'!$C$2:$T$20,13,false)*HLOOKUP($K988,'Type Chart'!$C$2:$U$20,13,false)</f>
        <v>1</v>
      </c>
      <c r="AG988" s="960">
        <f t="array" ref="AG988">HLOOKUP($J988,'Type Chart'!$C$2:$T$20,14,false)*HLOOKUP($K988,'Type Chart'!$C$2:$U$20,14,false)</f>
        <v>1</v>
      </c>
      <c r="AH988" s="960">
        <f t="array" ref="AH988">HLOOKUP($J988,'Type Chart'!$C$2:$T$20,15,false)*HLOOKUP($K988,'Type Chart'!$C$2:$U$20,15,false)</f>
        <v>1</v>
      </c>
      <c r="AI988" s="960">
        <f t="array" ref="AI988">HLOOKUP($J988,'Type Chart'!$C$2:$T$20,16,false)*HLOOKUP($K988,'Type Chart'!$C$2:$U$20,16,false)</f>
        <v>1</v>
      </c>
      <c r="AJ988" s="960">
        <f t="array" ref="AJ988">HLOOKUP($J988,'Type Chart'!$C$2:$T$20,17,false)*HLOOKUP($K988,'Type Chart'!$C$2:$U$20,17,false)</f>
        <v>1</v>
      </c>
      <c r="AK988" s="960">
        <f t="array" ref="AK988">HLOOKUP($J988,'Type Chart'!$C$2:$T$20,18,false)*HLOOKUP($K988,'Type Chart'!$C$2:$U$20,18,false)</f>
        <v>1</v>
      </c>
      <c r="AL988" s="960">
        <f t="array" ref="AL988">HLOOKUP($J988,'Type Chart'!$C$2:$T$20,19,false)*HLOOKUP($K988,'Type Chart'!$C$2:$U$20,19,false)</f>
        <v>1</v>
      </c>
      <c r="AM988" s="1145" t="s">
        <v>3724</v>
      </c>
      <c r="AN988" s="965"/>
      <c r="AO988" s="966"/>
      <c r="AP988" s="936"/>
      <c r="AQ988" s="967"/>
      <c r="AR988" s="968"/>
      <c r="AS988" s="936"/>
    </row>
    <row r="989" ht="15.75" customHeight="1">
      <c r="A989" s="936"/>
      <c r="B989" s="948" t="s">
        <v>3725</v>
      </c>
      <c r="C989" s="950" t="s">
        <v>3726</v>
      </c>
      <c r="D989" s="950" t="s">
        <v>3726</v>
      </c>
      <c r="E989" s="952" t="s">
        <v>3726</v>
      </c>
      <c r="F989" s="940"/>
      <c r="G989" s="953"/>
      <c r="H989" s="969"/>
      <c r="I989" s="998" t="s">
        <v>3727</v>
      </c>
      <c r="J989" s="982" t="s">
        <v>150</v>
      </c>
      <c r="K989" s="1006" t="s">
        <v>346</v>
      </c>
      <c r="L989" s="959">
        <v>60.0</v>
      </c>
      <c r="M989" s="960">
        <v>78.0</v>
      </c>
      <c r="N989" s="960">
        <v>135.0</v>
      </c>
      <c r="O989" s="960">
        <v>91.0</v>
      </c>
      <c r="P989" s="960">
        <v>85.0</v>
      </c>
      <c r="Q989" s="960">
        <v>36.0</v>
      </c>
      <c r="R989" s="960">
        <v>108.0</v>
      </c>
      <c r="S989" s="960">
        <v>171.0</v>
      </c>
      <c r="T989" s="960">
        <v>188.0</v>
      </c>
      <c r="U989" s="960">
        <f t="array" ref="U989">HLOOKUP($J989,'Type Chart'!$C$2:$T$20,2,false)*HLOOKUP($K989,'Type Chart'!$C$2:$U$20,2,false)</f>
        <v>1</v>
      </c>
      <c r="V989" s="960">
        <f t="array" ref="V989">HLOOKUP($J989,'Type Chart'!$C$2:$T$20,3,false)*HLOOKUP($K989,'Type Chart'!$C$2:$U$20,3,false)</f>
        <v>1</v>
      </c>
      <c r="W989" s="960">
        <f t="array" ref="W989">HLOOKUP($J989,'Type Chart'!$C$2:$T$20,4,false)*HLOOKUP($K989,'Type Chart'!$C$2:$U$20,4,false)</f>
        <v>1</v>
      </c>
      <c r="X989" s="960">
        <f t="array" ref="X989">HLOOKUP($J989,'Type Chart'!$C$2:$T$20,5,false)*HLOOKUP($K989,'Type Chart'!$C$2:$U$20,5,false)</f>
        <v>1</v>
      </c>
      <c r="Y989" s="960">
        <f t="array" ref="Y989">HLOOKUP($J989,'Type Chart'!$C$2:$T$20,6,false)*HLOOKUP($K989,'Type Chart'!$C$2:$U$20,6,false)</f>
        <v>2</v>
      </c>
      <c r="Z989" s="960">
        <f t="array" ref="Z989">HLOOKUP($J989,'Type Chart'!$C$2:$T$20,7,false)*HLOOKUP($K989,'Type Chart'!$C$2:$U$20,7,false)</f>
        <v>2</v>
      </c>
      <c r="AA989" s="960">
        <f t="array" ref="AA989">HLOOKUP($J989,'Type Chart'!$C$2:$T$20,8,false)*HLOOKUP($K989,'Type Chart'!$C$2:$U$20,8,false)</f>
        <v>0.5</v>
      </c>
      <c r="AB989" s="960">
        <f t="array" ref="AB989">HLOOKUP($J989,'Type Chart'!$C$2:$T$20,9,false)*HLOOKUP($K989,'Type Chart'!$C$2:$U$20,9,false)</f>
        <v>1</v>
      </c>
      <c r="AC989" s="960">
        <f t="array" ref="AC989">HLOOKUP($J989,'Type Chart'!$C$2:$T$20,10,false)*HLOOKUP($K989,'Type Chart'!$C$2:$U$20,10,false)</f>
        <v>0.5</v>
      </c>
      <c r="AD989" s="960">
        <f t="array" ref="AD989">HLOOKUP($J989,'Type Chart'!$C$2:$T$20,11,false)*HLOOKUP($K989,'Type Chart'!$C$2:$U$20,11,false)</f>
        <v>0.25</v>
      </c>
      <c r="AE989" s="960">
        <f t="array" ref="AE989">HLOOKUP($J989,'Type Chart'!$C$2:$T$20,12,false)*HLOOKUP($K989,'Type Chart'!$C$2:$U$20,12,false)</f>
        <v>1</v>
      </c>
      <c r="AF989" s="960">
        <f t="array" ref="AF989">HLOOKUP($J989,'Type Chart'!$C$2:$T$20,13,false)*HLOOKUP($K989,'Type Chart'!$C$2:$U$20,13,false)</f>
        <v>0.25</v>
      </c>
      <c r="AG989" s="960">
        <f t="array" ref="AG989">HLOOKUP($J989,'Type Chart'!$C$2:$T$20,14,false)*HLOOKUP($K989,'Type Chart'!$C$2:$U$20,14,false)</f>
        <v>0.5</v>
      </c>
      <c r="AH989" s="960">
        <f t="array" ref="AH989">HLOOKUP($J989,'Type Chart'!$C$2:$T$20,15,false)*HLOOKUP($K989,'Type Chart'!$C$2:$U$20,15,false)</f>
        <v>1</v>
      </c>
      <c r="AI989" s="960">
        <f t="array" ref="AI989">HLOOKUP($J989,'Type Chart'!$C$2:$T$20,16,false)*HLOOKUP($K989,'Type Chart'!$C$2:$U$20,16,false)</f>
        <v>1</v>
      </c>
      <c r="AJ989" s="960">
        <f t="array" ref="AJ989">HLOOKUP($J989,'Type Chart'!$C$2:$T$20,17,false)*HLOOKUP($K989,'Type Chart'!$C$2:$U$20,17,false)</f>
        <v>2</v>
      </c>
      <c r="AK989" s="960">
        <f t="array" ref="AK989">HLOOKUP($J989,'Type Chart'!$C$2:$T$20,18,false)*HLOOKUP($K989,'Type Chart'!$C$2:$U$20,18,false)</f>
        <v>1</v>
      </c>
      <c r="AL989" s="960">
        <f t="array" ref="AL989">HLOOKUP($J989,'Type Chart'!$C$2:$T$20,19,false)*HLOOKUP($K989,'Type Chart'!$C$2:$U$20,19,false)</f>
        <v>1</v>
      </c>
      <c r="AM989" s="1145" t="s">
        <v>1385</v>
      </c>
      <c r="AN989" s="965"/>
      <c r="AO989" s="966"/>
      <c r="AP989" s="936"/>
      <c r="AQ989" s="967"/>
      <c r="AR989" s="968"/>
      <c r="AS989" s="936"/>
    </row>
    <row r="990" ht="15.75" customHeight="1">
      <c r="A990" s="936"/>
      <c r="B990" s="948" t="s">
        <v>3728</v>
      </c>
      <c r="C990" s="950" t="s">
        <v>3729</v>
      </c>
      <c r="D990" s="950" t="s">
        <v>3729</v>
      </c>
      <c r="E990" s="952" t="s">
        <v>3729</v>
      </c>
      <c r="F990" s="940"/>
      <c r="G990" s="953"/>
      <c r="H990" s="969"/>
      <c r="I990" s="956" t="s">
        <v>3730</v>
      </c>
      <c r="J990" s="1196" t="s">
        <v>203</v>
      </c>
      <c r="K990" s="1206" t="s">
        <v>82</v>
      </c>
      <c r="L990" s="959">
        <v>65.0</v>
      </c>
      <c r="M990" s="960">
        <v>98.0</v>
      </c>
      <c r="N990" s="960">
        <v>63.0</v>
      </c>
      <c r="O990" s="960">
        <v>40.0</v>
      </c>
      <c r="P990" s="960">
        <v>73.0</v>
      </c>
      <c r="Q990" s="960">
        <v>96.0</v>
      </c>
      <c r="R990" s="960">
        <v>228.0</v>
      </c>
      <c r="S990" s="960">
        <v>291.0</v>
      </c>
      <c r="T990" s="960">
        <v>320.0</v>
      </c>
      <c r="U990" s="960">
        <f t="array" ref="U990">HLOOKUP($J990,'Type Chart'!$C$2:$T$20,2,false)*HLOOKUP($K990,'Type Chart'!$C$2:$U$20,2,false)</f>
        <v>0.5</v>
      </c>
      <c r="V990" s="960">
        <f t="array" ref="V990">HLOOKUP($J990,'Type Chart'!$C$2:$T$20,3,false)*HLOOKUP($K990,'Type Chart'!$C$2:$U$20,3,false)</f>
        <v>2</v>
      </c>
      <c r="W990" s="960">
        <f t="array" ref="W990">HLOOKUP($J990,'Type Chart'!$C$2:$T$20,4,false)*HLOOKUP($K990,'Type Chart'!$C$2:$U$20,4,false)</f>
        <v>0.25</v>
      </c>
      <c r="X990" s="960">
        <f t="array" ref="X990">HLOOKUP($J990,'Type Chart'!$C$2:$T$20,5,false)*HLOOKUP($K990,'Type Chart'!$C$2:$U$20,5,false)</f>
        <v>0</v>
      </c>
      <c r="Y990" s="960">
        <f t="array" ref="Y990">HLOOKUP($J990,'Type Chart'!$C$2:$T$20,6,false)*HLOOKUP($K990,'Type Chart'!$C$2:$U$20,6,false)</f>
        <v>4</v>
      </c>
      <c r="Z990" s="960">
        <f t="array" ref="Z990">HLOOKUP($J990,'Type Chart'!$C$2:$T$20,7,false)*HLOOKUP($K990,'Type Chart'!$C$2:$U$20,7,false)</f>
        <v>0.5</v>
      </c>
      <c r="AA990" s="960">
        <f t="array" ref="AA990">HLOOKUP($J990,'Type Chart'!$C$2:$T$20,8,false)*HLOOKUP($K990,'Type Chart'!$C$2:$U$20,8,false)</f>
        <v>0.5</v>
      </c>
      <c r="AB990" s="960">
        <f t="array" ref="AB990">HLOOKUP($J990,'Type Chart'!$C$2:$T$20,9,false)*HLOOKUP($K990,'Type Chart'!$C$2:$U$20,9,false)</f>
        <v>1</v>
      </c>
      <c r="AC990" s="960">
        <f t="array" ref="AC990">HLOOKUP($J990,'Type Chart'!$C$2:$T$20,10,false)*HLOOKUP($K990,'Type Chart'!$C$2:$U$20,10,false)</f>
        <v>0.25</v>
      </c>
      <c r="AD990" s="960">
        <f t="array" ref="AD990">HLOOKUP($J990,'Type Chart'!$C$2:$T$20,11,false)*HLOOKUP($K990,'Type Chart'!$C$2:$U$20,11,false)</f>
        <v>2</v>
      </c>
      <c r="AE990" s="960">
        <f t="array" ref="AE990">HLOOKUP($J990,'Type Chart'!$C$2:$T$20,12,false)*HLOOKUP($K990,'Type Chart'!$C$2:$U$20,12,false)</f>
        <v>1</v>
      </c>
      <c r="AF990" s="960">
        <f t="array" ref="AF990">HLOOKUP($J990,'Type Chart'!$C$2:$T$20,13,false)*HLOOKUP($K990,'Type Chart'!$C$2:$U$20,13,false)</f>
        <v>0.5</v>
      </c>
      <c r="AG990" s="960">
        <f t="array" ref="AG990">HLOOKUP($J990,'Type Chart'!$C$2:$T$20,14,false)*HLOOKUP($K990,'Type Chart'!$C$2:$U$20,14,false)</f>
        <v>0.5</v>
      </c>
      <c r="AH990" s="960">
        <f t="array" ref="AH990">HLOOKUP($J990,'Type Chart'!$C$2:$T$20,15,false)*HLOOKUP($K990,'Type Chart'!$C$2:$U$20,15,false)</f>
        <v>0.5</v>
      </c>
      <c r="AI990" s="960">
        <f t="array" ref="AI990">HLOOKUP($J990,'Type Chart'!$C$2:$T$20,16,false)*HLOOKUP($K990,'Type Chart'!$C$2:$U$20,16,false)</f>
        <v>0.5</v>
      </c>
      <c r="AJ990" s="960">
        <f t="array" ref="AJ990">HLOOKUP($J990,'Type Chart'!$C$2:$T$20,17,false)*HLOOKUP($K990,'Type Chart'!$C$2:$U$20,17,false)</f>
        <v>0.5</v>
      </c>
      <c r="AK990" s="960">
        <f t="array" ref="AK990">HLOOKUP($J990,'Type Chart'!$C$2:$T$20,18,false)*HLOOKUP($K990,'Type Chart'!$C$2:$U$20,18,false)</f>
        <v>1</v>
      </c>
      <c r="AL990" s="960">
        <f t="array" ref="AL990">HLOOKUP($J990,'Type Chart'!$C$2:$T$20,19,false)*HLOOKUP($K990,'Type Chart'!$C$2:$U$20,19,false)</f>
        <v>0.5</v>
      </c>
      <c r="AM990" s="1145" t="s">
        <v>3100</v>
      </c>
      <c r="AN990" s="965" t="s">
        <v>1068</v>
      </c>
      <c r="AO990" s="966" t="s">
        <v>1331</v>
      </c>
      <c r="AP990" s="936"/>
      <c r="AQ990" s="967"/>
      <c r="AR990" s="968"/>
      <c r="AS990" s="936"/>
    </row>
    <row r="991" ht="15.75" customHeight="1">
      <c r="A991" s="936"/>
      <c r="B991" s="948" t="s">
        <v>3731</v>
      </c>
      <c r="C991" s="950" t="s">
        <v>3732</v>
      </c>
      <c r="D991" s="950" t="s">
        <v>3732</v>
      </c>
      <c r="E991" s="952" t="s">
        <v>3732</v>
      </c>
      <c r="F991" s="940"/>
      <c r="G991" s="953"/>
      <c r="H991" s="969"/>
      <c r="I991" s="956" t="s">
        <v>544</v>
      </c>
      <c r="J991" s="1220" t="s">
        <v>215</v>
      </c>
      <c r="K991" s="1207" t="s">
        <v>127</v>
      </c>
      <c r="L991" s="959">
        <v>55.0</v>
      </c>
      <c r="M991" s="960">
        <v>90.0</v>
      </c>
      <c r="N991" s="960">
        <v>80.0</v>
      </c>
      <c r="O991" s="960">
        <v>50.0</v>
      </c>
      <c r="P991" s="960">
        <v>105.0</v>
      </c>
      <c r="Q991" s="960">
        <v>96.0</v>
      </c>
      <c r="R991" s="960">
        <v>228.0</v>
      </c>
      <c r="S991" s="960">
        <v>291.0</v>
      </c>
      <c r="T991" s="960">
        <v>320.0</v>
      </c>
      <c r="U991" s="960">
        <f t="array" ref="U991">HLOOKUP($J991,'Type Chart'!$C$2:$T$20,2,false)*HLOOKUP($K991,'Type Chart'!$C$2:$U$20,2,false)</f>
        <v>0</v>
      </c>
      <c r="V991" s="960">
        <f t="array" ref="V991">HLOOKUP($J991,'Type Chart'!$C$2:$T$20,3,false)*HLOOKUP($K991,'Type Chart'!$C$2:$U$20,3,false)</f>
        <v>0</v>
      </c>
      <c r="W991" s="960">
        <f t="array" ref="W991">HLOOKUP($J991,'Type Chart'!$C$2:$T$20,4,false)*HLOOKUP($K991,'Type Chart'!$C$2:$U$20,4,false)</f>
        <v>1</v>
      </c>
      <c r="X991" s="960">
        <f t="array" ref="X991">HLOOKUP($J991,'Type Chart'!$C$2:$T$20,5,false)*HLOOKUP($K991,'Type Chart'!$C$2:$U$20,5,false)</f>
        <v>1</v>
      </c>
      <c r="Y991" s="960">
        <f t="array" ref="Y991">HLOOKUP($J991,'Type Chart'!$C$2:$T$20,6,false)*HLOOKUP($K991,'Type Chart'!$C$2:$U$20,6,false)</f>
        <v>1</v>
      </c>
      <c r="Z991" s="960">
        <f t="array" ref="Z991">HLOOKUP($J991,'Type Chart'!$C$2:$T$20,7,false)*HLOOKUP($K991,'Type Chart'!$C$2:$U$20,7,false)</f>
        <v>1</v>
      </c>
      <c r="AA991" s="960">
        <f t="array" ref="AA991">HLOOKUP($J991,'Type Chart'!$C$2:$T$20,8,false)*HLOOKUP($K991,'Type Chart'!$C$2:$U$20,8,false)</f>
        <v>0.25</v>
      </c>
      <c r="AB991" s="960">
        <f t="array" ref="AB991">HLOOKUP($J991,'Type Chart'!$C$2:$T$20,9,false)*HLOOKUP($K991,'Type Chart'!$C$2:$U$20,9,false)</f>
        <v>2</v>
      </c>
      <c r="AC991" s="960">
        <f t="array" ref="AC991">HLOOKUP($J991,'Type Chart'!$C$2:$T$20,10,false)*HLOOKUP($K991,'Type Chart'!$C$2:$U$20,10,false)</f>
        <v>2</v>
      </c>
      <c r="AD991" s="960">
        <f t="array" ref="AD991">HLOOKUP($J991,'Type Chart'!$C$2:$T$20,11,false)*HLOOKUP($K991,'Type Chart'!$C$2:$U$20,11,false)</f>
        <v>1</v>
      </c>
      <c r="AE991" s="960">
        <f t="array" ref="AE991">HLOOKUP($J991,'Type Chart'!$C$2:$T$20,12,false)*HLOOKUP($K991,'Type Chart'!$C$2:$U$20,12,false)</f>
        <v>1</v>
      </c>
      <c r="AF991" s="960">
        <f t="array" ref="AF991">HLOOKUP($J991,'Type Chart'!$C$2:$T$20,13,false)*HLOOKUP($K991,'Type Chart'!$C$2:$U$20,13,false)</f>
        <v>1</v>
      </c>
      <c r="AG991" s="960">
        <f t="array" ref="AG991">HLOOKUP($J991,'Type Chart'!$C$2:$T$20,14,false)*HLOOKUP($K991,'Type Chart'!$C$2:$U$20,14,false)</f>
        <v>1</v>
      </c>
      <c r="AH991" s="960">
        <f t="array" ref="AH991">HLOOKUP($J991,'Type Chart'!$C$2:$T$20,15,false)*HLOOKUP($K991,'Type Chart'!$C$2:$U$20,15,false)</f>
        <v>1</v>
      </c>
      <c r="AI991" s="960">
        <f t="array" ref="AI991">HLOOKUP($J991,'Type Chart'!$C$2:$T$20,16,false)*HLOOKUP($K991,'Type Chart'!$C$2:$U$20,16,false)</f>
        <v>1</v>
      </c>
      <c r="AJ991" s="960">
        <f t="array" ref="AJ991">HLOOKUP($J991,'Type Chart'!$C$2:$T$20,17,false)*HLOOKUP($K991,'Type Chart'!$C$2:$U$20,17,false)</f>
        <v>0</v>
      </c>
      <c r="AK991" s="960">
        <f t="array" ref="AK991">HLOOKUP($J991,'Type Chart'!$C$2:$T$20,18,false)*HLOOKUP($K991,'Type Chart'!$C$2:$U$20,18,false)</f>
        <v>1</v>
      </c>
      <c r="AL991" s="960">
        <f t="array" ref="AL991">HLOOKUP($J991,'Type Chart'!$C$2:$T$20,19,false)*HLOOKUP($K991,'Type Chart'!$C$2:$U$20,19,false)</f>
        <v>1</v>
      </c>
      <c r="AM991" s="1145" t="s">
        <v>3733</v>
      </c>
      <c r="AN991" s="965"/>
      <c r="AO991" s="966"/>
      <c r="AP991" s="936"/>
      <c r="AQ991" s="967"/>
      <c r="AR991" s="968"/>
      <c r="AS991" s="936"/>
    </row>
    <row r="992" ht="15.75" customHeight="1">
      <c r="A992" s="936"/>
      <c r="B992" s="948" t="s">
        <v>3734</v>
      </c>
      <c r="C992" s="950" t="s">
        <v>3735</v>
      </c>
      <c r="D992" s="950" t="s">
        <v>3735</v>
      </c>
      <c r="E992" s="952" t="s">
        <v>3735</v>
      </c>
      <c r="F992" s="940"/>
      <c r="G992" s="953"/>
      <c r="H992" s="969"/>
      <c r="I992" s="956" t="s">
        <v>706</v>
      </c>
      <c r="J992" s="1056" t="s">
        <v>81</v>
      </c>
      <c r="K992" s="1203" t="s">
        <v>344</v>
      </c>
      <c r="L992" s="959">
        <v>68.0</v>
      </c>
      <c r="M992" s="960">
        <v>105.0</v>
      </c>
      <c r="N992" s="960">
        <v>70.0</v>
      </c>
      <c r="O992" s="960">
        <v>70.0</v>
      </c>
      <c r="P992" s="960">
        <v>70.0</v>
      </c>
      <c r="Q992" s="960">
        <v>92.0</v>
      </c>
      <c r="R992" s="960">
        <v>220.0</v>
      </c>
      <c r="S992" s="960">
        <v>283.0</v>
      </c>
      <c r="T992" s="960">
        <v>311.0</v>
      </c>
      <c r="U992" s="960">
        <f t="array" ref="U992">HLOOKUP($J992,'Type Chart'!$C$2:$T$20,2,false)*HLOOKUP($K992,'Type Chart'!$C$2:$U$20,2,false)</f>
        <v>1</v>
      </c>
      <c r="V992" s="960">
        <f t="array" ref="V992">HLOOKUP($J992,'Type Chart'!$C$2:$T$20,3,false)*HLOOKUP($K992,'Type Chart'!$C$2:$U$20,3,false)</f>
        <v>0.5</v>
      </c>
      <c r="W992" s="960">
        <f t="array" ref="W992">HLOOKUP($J992,'Type Chart'!$C$2:$T$20,4,false)*HLOOKUP($K992,'Type Chart'!$C$2:$U$20,4,false)</f>
        <v>1</v>
      </c>
      <c r="X992" s="960">
        <f t="array" ref="X992">HLOOKUP($J992,'Type Chart'!$C$2:$T$20,5,false)*HLOOKUP($K992,'Type Chart'!$C$2:$U$20,5,false)</f>
        <v>1</v>
      </c>
      <c r="Y992" s="960">
        <f t="array" ref="Y992">HLOOKUP($J992,'Type Chart'!$C$2:$T$20,6,false)*HLOOKUP($K992,'Type Chart'!$C$2:$U$20,6,false)</f>
        <v>1</v>
      </c>
      <c r="Z992" s="960">
        <f t="array" ref="Z992">HLOOKUP($J992,'Type Chart'!$C$2:$T$20,7,false)*HLOOKUP($K992,'Type Chart'!$C$2:$U$20,7,false)</f>
        <v>1</v>
      </c>
      <c r="AA992" s="960">
        <f t="array" ref="AA992">HLOOKUP($J992,'Type Chart'!$C$2:$T$20,8,false)*HLOOKUP($K992,'Type Chart'!$C$2:$U$20,8,false)</f>
        <v>2</v>
      </c>
      <c r="AB992" s="960">
        <f t="array" ref="AB992">HLOOKUP($J992,'Type Chart'!$C$2:$T$20,9,false)*HLOOKUP($K992,'Type Chart'!$C$2:$U$20,9,false)</f>
        <v>2</v>
      </c>
      <c r="AC992" s="960">
        <f t="array" ref="AC992">HLOOKUP($J992,'Type Chart'!$C$2:$T$20,10,false)*HLOOKUP($K992,'Type Chart'!$C$2:$U$20,10,false)</f>
        <v>0.5</v>
      </c>
      <c r="AD992" s="960">
        <f t="array" ref="AD992">HLOOKUP($J992,'Type Chart'!$C$2:$T$20,11,false)*HLOOKUP($K992,'Type Chart'!$C$2:$U$20,11,false)</f>
        <v>0.5</v>
      </c>
      <c r="AE992" s="960">
        <f t="array" ref="AE992">HLOOKUP($J992,'Type Chart'!$C$2:$T$20,12,false)*HLOOKUP($K992,'Type Chart'!$C$2:$U$20,12,false)</f>
        <v>0.5</v>
      </c>
      <c r="AF992" s="960">
        <f t="array" ref="AF992">HLOOKUP($J992,'Type Chart'!$C$2:$T$20,13,false)*HLOOKUP($K992,'Type Chart'!$C$2:$U$20,13,false)</f>
        <v>2</v>
      </c>
      <c r="AG992" s="960">
        <f t="array" ref="AG992">HLOOKUP($J992,'Type Chart'!$C$2:$T$20,14,false)*HLOOKUP($K992,'Type Chart'!$C$2:$U$20,14,false)</f>
        <v>2</v>
      </c>
      <c r="AH992" s="960">
        <f t="array" ref="AH992">HLOOKUP($J992,'Type Chart'!$C$2:$T$20,15,false)*HLOOKUP($K992,'Type Chart'!$C$2:$U$20,15,false)</f>
        <v>0.5</v>
      </c>
      <c r="AI992" s="960">
        <f t="array" ref="AI992">HLOOKUP($J992,'Type Chart'!$C$2:$T$20,16,false)*HLOOKUP($K992,'Type Chart'!$C$2:$U$20,16,false)</f>
        <v>0.5</v>
      </c>
      <c r="AJ992" s="960">
        <f t="array" ref="AJ992">HLOOKUP($J992,'Type Chart'!$C$2:$T$20,17,false)*HLOOKUP($K992,'Type Chart'!$C$2:$U$20,17,false)</f>
        <v>1</v>
      </c>
      <c r="AK992" s="960">
        <f t="array" ref="AK992">HLOOKUP($J992,'Type Chart'!$C$2:$T$20,18,false)*HLOOKUP($K992,'Type Chart'!$C$2:$U$20,18,false)</f>
        <v>2</v>
      </c>
      <c r="AL992" s="960">
        <f t="array" ref="AL992">HLOOKUP($J992,'Type Chart'!$C$2:$T$20,19,false)*HLOOKUP($K992,'Type Chart'!$C$2:$U$20,19,false)</f>
        <v>1</v>
      </c>
      <c r="AM992" s="1145" t="s">
        <v>3736</v>
      </c>
      <c r="AN992" s="965" t="s">
        <v>2205</v>
      </c>
      <c r="AO992" s="966" t="s">
        <v>1220</v>
      </c>
      <c r="AP992" s="936"/>
      <c r="AQ992" s="967"/>
      <c r="AR992" s="968"/>
      <c r="AS992" s="936"/>
    </row>
    <row r="993" ht="15.75" customHeight="1">
      <c r="A993" s="936"/>
      <c r="B993" s="948" t="s">
        <v>3737</v>
      </c>
      <c r="C993" s="950" t="s">
        <v>3738</v>
      </c>
      <c r="D993" s="950" t="s">
        <v>3738</v>
      </c>
      <c r="E993" s="952" t="s">
        <v>3738</v>
      </c>
      <c r="F993" s="940"/>
      <c r="G993" s="953"/>
      <c r="H993" s="969"/>
      <c r="I993" s="956" t="s">
        <v>3739</v>
      </c>
      <c r="J993" s="1194" t="s">
        <v>136</v>
      </c>
      <c r="K993" s="1006" t="s">
        <v>346</v>
      </c>
      <c r="L993" s="959">
        <v>78.0</v>
      </c>
      <c r="M993" s="960">
        <v>60.0</v>
      </c>
      <c r="N993" s="960">
        <v>85.0</v>
      </c>
      <c r="O993" s="960">
        <v>135.0</v>
      </c>
      <c r="P993" s="960">
        <v>91.0</v>
      </c>
      <c r="Q993" s="960">
        <v>36.0</v>
      </c>
      <c r="R993" s="960">
        <v>108.0</v>
      </c>
      <c r="S993" s="960">
        <v>171.0</v>
      </c>
      <c r="T993" s="960">
        <v>188.0</v>
      </c>
      <c r="U993" s="960">
        <f t="array" ref="U993">HLOOKUP($J993,'Type Chart'!$C$2:$T$20,2,false)*HLOOKUP($K993,'Type Chart'!$C$2:$U$20,2,false)</f>
        <v>1</v>
      </c>
      <c r="V993" s="960">
        <f t="array" ref="V993">HLOOKUP($J993,'Type Chart'!$C$2:$T$20,3,false)*HLOOKUP($K993,'Type Chart'!$C$2:$U$20,3,false)</f>
        <v>2</v>
      </c>
      <c r="W993" s="960">
        <f t="array" ref="W993">HLOOKUP($J993,'Type Chart'!$C$2:$T$20,4,false)*HLOOKUP($K993,'Type Chart'!$C$2:$U$20,4,false)</f>
        <v>1</v>
      </c>
      <c r="X993" s="960">
        <f t="array" ref="X993">HLOOKUP($J993,'Type Chart'!$C$2:$T$20,5,false)*HLOOKUP($K993,'Type Chart'!$C$2:$U$20,5,false)</f>
        <v>1</v>
      </c>
      <c r="Y993" s="960">
        <f t="array" ref="Y993">HLOOKUP($J993,'Type Chart'!$C$2:$T$20,6,false)*HLOOKUP($K993,'Type Chart'!$C$2:$U$20,6,false)</f>
        <v>1</v>
      </c>
      <c r="Z993" s="960">
        <f t="array" ref="Z993">HLOOKUP($J993,'Type Chart'!$C$2:$T$20,7,false)*HLOOKUP($K993,'Type Chart'!$C$2:$U$20,7,false)</f>
        <v>1</v>
      </c>
      <c r="AA993" s="960">
        <f t="array" ref="AA993">HLOOKUP($J993,'Type Chart'!$C$2:$T$20,8,false)*HLOOKUP($K993,'Type Chart'!$C$2:$U$20,8,false)</f>
        <v>1</v>
      </c>
      <c r="AB993" s="960">
        <f t="array" ref="AB993">HLOOKUP($J993,'Type Chart'!$C$2:$T$20,9,false)*HLOOKUP($K993,'Type Chart'!$C$2:$U$20,9,false)</f>
        <v>0</v>
      </c>
      <c r="AC993" s="960">
        <f t="array" ref="AC993">HLOOKUP($J993,'Type Chart'!$C$2:$T$20,10,false)*HLOOKUP($K993,'Type Chart'!$C$2:$U$20,10,false)</f>
        <v>1</v>
      </c>
      <c r="AD993" s="960">
        <f t="array" ref="AD993">HLOOKUP($J993,'Type Chart'!$C$2:$T$20,11,false)*HLOOKUP($K993,'Type Chart'!$C$2:$U$20,11,false)</f>
        <v>0.5</v>
      </c>
      <c r="AE993" s="960">
        <f t="array" ref="AE993">HLOOKUP($J993,'Type Chart'!$C$2:$T$20,12,false)*HLOOKUP($K993,'Type Chart'!$C$2:$U$20,12,false)</f>
        <v>0.5</v>
      </c>
      <c r="AF993" s="960">
        <f t="array" ref="AF993">HLOOKUP($J993,'Type Chart'!$C$2:$T$20,13,false)*HLOOKUP($K993,'Type Chart'!$C$2:$U$20,13,false)</f>
        <v>0.5</v>
      </c>
      <c r="AG993" s="960">
        <f t="array" ref="AG993">HLOOKUP($J993,'Type Chart'!$C$2:$T$20,14,false)*HLOOKUP($K993,'Type Chart'!$C$2:$U$20,14,false)</f>
        <v>0.5</v>
      </c>
      <c r="AH993" s="960">
        <f t="array" ref="AH993">HLOOKUP($J993,'Type Chart'!$C$2:$T$20,15,false)*HLOOKUP($K993,'Type Chart'!$C$2:$U$20,15,false)</f>
        <v>1</v>
      </c>
      <c r="AI993" s="960">
        <f t="array" ref="AI993">HLOOKUP($J993,'Type Chart'!$C$2:$T$20,16,false)*HLOOKUP($K993,'Type Chart'!$C$2:$U$20,16,false)</f>
        <v>2</v>
      </c>
      <c r="AJ993" s="960">
        <f t="array" ref="AJ993">HLOOKUP($J993,'Type Chart'!$C$2:$T$20,17,false)*HLOOKUP($K993,'Type Chart'!$C$2:$U$20,17,false)</f>
        <v>2</v>
      </c>
      <c r="AK993" s="960">
        <f t="array" ref="AK993">HLOOKUP($J993,'Type Chart'!$C$2:$T$20,18,false)*HLOOKUP($K993,'Type Chart'!$C$2:$U$20,18,false)</f>
        <v>1</v>
      </c>
      <c r="AL993" s="960">
        <f t="array" ref="AL993">HLOOKUP($J993,'Type Chart'!$C$2:$T$20,19,false)*HLOOKUP($K993,'Type Chart'!$C$2:$U$20,19,false)</f>
        <v>2</v>
      </c>
      <c r="AM993" s="1145" t="s">
        <v>1657</v>
      </c>
      <c r="AN993" s="965" t="s">
        <v>1772</v>
      </c>
      <c r="AO993" s="966" t="s">
        <v>1258</v>
      </c>
      <c r="AP993" s="936"/>
      <c r="AQ993" s="967"/>
      <c r="AR993" s="968"/>
      <c r="AS993" s="936"/>
    </row>
    <row r="994" ht="15.75" customHeight="1">
      <c r="A994" s="936"/>
      <c r="B994" s="948" t="s">
        <v>3740</v>
      </c>
      <c r="C994" s="950" t="s">
        <v>3741</v>
      </c>
      <c r="D994" s="950" t="s">
        <v>3741</v>
      </c>
      <c r="E994" s="952" t="s">
        <v>3741</v>
      </c>
      <c r="F994" s="940"/>
      <c r="G994" s="953"/>
      <c r="H994" s="969"/>
      <c r="I994" s="956" t="s">
        <v>3742</v>
      </c>
      <c r="J994" s="1220" t="s">
        <v>215</v>
      </c>
      <c r="K994" s="957" t="s">
        <v>209</v>
      </c>
      <c r="L994" s="959">
        <v>70.0</v>
      </c>
      <c r="M994" s="960">
        <v>131.0</v>
      </c>
      <c r="N994" s="960">
        <v>100.0</v>
      </c>
      <c r="O994" s="960">
        <v>86.0</v>
      </c>
      <c r="P994" s="960">
        <v>90.0</v>
      </c>
      <c r="Q994" s="960">
        <v>40.0</v>
      </c>
      <c r="R994" s="960">
        <v>116.0</v>
      </c>
      <c r="S994" s="960">
        <v>179.0</v>
      </c>
      <c r="T994" s="960">
        <v>196.0</v>
      </c>
      <c r="U994" s="960">
        <f t="array" ref="U994">HLOOKUP($J994,'Type Chart'!$C$2:$T$20,2,false)*HLOOKUP($K994,'Type Chart'!$C$2:$U$20,2,false)</f>
        <v>0</v>
      </c>
      <c r="V994" s="960">
        <f t="array" ref="V994">HLOOKUP($J994,'Type Chart'!$C$2:$T$20,3,false)*HLOOKUP($K994,'Type Chart'!$C$2:$U$20,3,false)</f>
        <v>0</v>
      </c>
      <c r="W994" s="960">
        <f t="array" ref="W994">HLOOKUP($J994,'Type Chart'!$C$2:$T$20,4,false)*HLOOKUP($K994,'Type Chart'!$C$2:$U$20,4,false)</f>
        <v>2</v>
      </c>
      <c r="X994" s="960">
        <f t="array" ref="X994">HLOOKUP($J994,'Type Chart'!$C$2:$T$20,5,false)*HLOOKUP($K994,'Type Chart'!$C$2:$U$20,5,false)</f>
        <v>1</v>
      </c>
      <c r="Y994" s="960">
        <f t="array" ref="Y994">HLOOKUP($J994,'Type Chart'!$C$2:$T$20,6,false)*HLOOKUP($K994,'Type Chart'!$C$2:$U$20,6,false)</f>
        <v>0.5</v>
      </c>
      <c r="Z994" s="960">
        <f t="array" ref="Z994">HLOOKUP($J994,'Type Chart'!$C$2:$T$20,7,false)*HLOOKUP($K994,'Type Chart'!$C$2:$U$20,7,false)</f>
        <v>1</v>
      </c>
      <c r="AA994" s="960">
        <f t="array" ref="AA994">HLOOKUP($J994,'Type Chart'!$C$2:$T$20,8,false)*HLOOKUP($K994,'Type Chart'!$C$2:$U$20,8,false)</f>
        <v>1</v>
      </c>
      <c r="AB994" s="960">
        <f t="array" ref="AB994">HLOOKUP($J994,'Type Chart'!$C$2:$T$20,9,false)*HLOOKUP($K994,'Type Chart'!$C$2:$U$20,9,false)</f>
        <v>2</v>
      </c>
      <c r="AC994" s="960">
        <f t="array" ref="AC994">HLOOKUP($J994,'Type Chart'!$C$2:$T$20,10,false)*HLOOKUP($K994,'Type Chart'!$C$2:$U$20,10,false)</f>
        <v>1</v>
      </c>
      <c r="AD994" s="960">
        <f t="array" ref="AD994">HLOOKUP($J994,'Type Chart'!$C$2:$T$20,11,false)*HLOOKUP($K994,'Type Chart'!$C$2:$U$20,11,false)</f>
        <v>2</v>
      </c>
      <c r="AE994" s="960">
        <f t="array" ref="AE994">HLOOKUP($J994,'Type Chart'!$C$2:$T$20,12,false)*HLOOKUP($K994,'Type Chart'!$C$2:$U$20,12,false)</f>
        <v>0.5</v>
      </c>
      <c r="AF994" s="960">
        <f t="array" ref="AF994">HLOOKUP($J994,'Type Chart'!$C$2:$T$20,13,false)*HLOOKUP($K994,'Type Chart'!$C$2:$U$20,13,false)</f>
        <v>0.5</v>
      </c>
      <c r="AG994" s="960">
        <f t="array" ref="AG994">HLOOKUP($J994,'Type Chart'!$C$2:$T$20,14,false)*HLOOKUP($K994,'Type Chart'!$C$2:$U$20,14,false)</f>
        <v>0.5</v>
      </c>
      <c r="AH994" s="960">
        <f t="array" ref="AH994">HLOOKUP($J994,'Type Chart'!$C$2:$T$20,15,false)*HLOOKUP($K994,'Type Chart'!$C$2:$U$20,15,false)</f>
        <v>1</v>
      </c>
      <c r="AI994" s="960">
        <f t="array" ref="AI994">HLOOKUP($J994,'Type Chart'!$C$2:$T$20,16,false)*HLOOKUP($K994,'Type Chart'!$C$2:$U$20,16,false)</f>
        <v>2</v>
      </c>
      <c r="AJ994" s="960">
        <f t="array" ref="AJ994">HLOOKUP($J994,'Type Chart'!$C$2:$T$20,17,false)*HLOOKUP($K994,'Type Chart'!$C$2:$U$20,17,false)</f>
        <v>1</v>
      </c>
      <c r="AK994" s="960">
        <f t="array" ref="AK994">HLOOKUP($J994,'Type Chart'!$C$2:$T$20,18,false)*HLOOKUP($K994,'Type Chart'!$C$2:$U$20,18,false)</f>
        <v>2</v>
      </c>
      <c r="AL994" s="960">
        <f t="array" ref="AL994">HLOOKUP($J994,'Type Chart'!$C$2:$T$20,19,false)*HLOOKUP($K994,'Type Chart'!$C$2:$U$20,19,false)</f>
        <v>1</v>
      </c>
      <c r="AM994" s="1145" t="s">
        <v>3743</v>
      </c>
      <c r="AN994" s="965"/>
      <c r="AO994" s="966"/>
      <c r="AP994" s="936"/>
      <c r="AQ994" s="967"/>
      <c r="AR994" s="968"/>
      <c r="AS994" s="936"/>
    </row>
    <row r="995" ht="15.75" customHeight="1">
      <c r="A995" s="936"/>
      <c r="B995" s="948" t="s">
        <v>3744</v>
      </c>
      <c r="C995" s="950" t="s">
        <v>3745</v>
      </c>
      <c r="D995" s="950" t="s">
        <v>3746</v>
      </c>
      <c r="E995" s="952" t="s">
        <v>3745</v>
      </c>
      <c r="F995" s="940"/>
      <c r="G995" s="953"/>
      <c r="H995" s="969"/>
      <c r="I995" s="956" t="s">
        <v>3747</v>
      </c>
      <c r="J995" s="1006" t="s">
        <v>346</v>
      </c>
      <c r="K995" s="984" t="s">
        <v>216</v>
      </c>
      <c r="L995" s="959">
        <v>45.0</v>
      </c>
      <c r="M995" s="960">
        <v>55.0</v>
      </c>
      <c r="N995" s="960">
        <v>65.0</v>
      </c>
      <c r="O995" s="960">
        <v>45.0</v>
      </c>
      <c r="P995" s="960">
        <v>45.0</v>
      </c>
      <c r="Q995" s="960">
        <v>45.0</v>
      </c>
      <c r="R995" s="960">
        <v>126.0</v>
      </c>
      <c r="S995" s="960">
        <v>189.0</v>
      </c>
      <c r="T995" s="960">
        <v>207.0</v>
      </c>
      <c r="U995" s="960">
        <f t="array" ref="U995">HLOOKUP($J995,'Type Chart'!$C$2:$T$20,2,false)*HLOOKUP($K995,'Type Chart'!$C$2:$U$20,2,false)</f>
        <v>1</v>
      </c>
      <c r="V995" s="960">
        <f t="array" ref="V995">HLOOKUP($J995,'Type Chart'!$C$2:$T$20,3,false)*HLOOKUP($K995,'Type Chart'!$C$2:$U$20,3,false)</f>
        <v>1</v>
      </c>
      <c r="W995" s="960">
        <f t="array" ref="W995">HLOOKUP($J995,'Type Chart'!$C$2:$T$20,4,false)*HLOOKUP($K995,'Type Chart'!$C$2:$U$20,4,false)</f>
        <v>1</v>
      </c>
      <c r="X995" s="960">
        <f t="array" ref="X995">HLOOKUP($J995,'Type Chart'!$C$2:$T$20,5,false)*HLOOKUP($K995,'Type Chart'!$C$2:$U$20,5,false)</f>
        <v>1</v>
      </c>
      <c r="Y995" s="960">
        <f t="array" ref="Y995">HLOOKUP($J995,'Type Chart'!$C$2:$T$20,6,false)*HLOOKUP($K995,'Type Chart'!$C$2:$U$20,6,false)</f>
        <v>1</v>
      </c>
      <c r="Z995" s="960">
        <f t="array" ref="Z995">HLOOKUP($J995,'Type Chart'!$C$2:$T$20,7,false)*HLOOKUP($K995,'Type Chart'!$C$2:$U$20,7,false)</f>
        <v>1</v>
      </c>
      <c r="AA995" s="960">
        <f t="array" ref="AA995">HLOOKUP($J995,'Type Chart'!$C$2:$T$20,8,false)*HLOOKUP($K995,'Type Chart'!$C$2:$U$20,8,false)</f>
        <v>1</v>
      </c>
      <c r="AB995" s="960">
        <f t="array" ref="AB995">HLOOKUP($J995,'Type Chart'!$C$2:$T$20,9,false)*HLOOKUP($K995,'Type Chart'!$C$2:$U$20,9,false)</f>
        <v>1</v>
      </c>
      <c r="AC995" s="960">
        <f t="array" ref="AC995">HLOOKUP($J995,'Type Chart'!$C$2:$T$20,10,false)*HLOOKUP($K995,'Type Chart'!$C$2:$U$20,10,false)</f>
        <v>1</v>
      </c>
      <c r="AD995" s="960">
        <f t="array" ref="AD995">HLOOKUP($J995,'Type Chart'!$C$2:$T$20,11,false)*HLOOKUP($K995,'Type Chart'!$C$2:$U$20,11,false)</f>
        <v>0.5</v>
      </c>
      <c r="AE995" s="960">
        <f t="array" ref="AE995">HLOOKUP($J995,'Type Chart'!$C$2:$T$20,12,false)*HLOOKUP($K995,'Type Chart'!$C$2:$U$20,12,false)</f>
        <v>0.5</v>
      </c>
      <c r="AF995" s="960">
        <f t="array" ref="AF995">HLOOKUP($J995,'Type Chart'!$C$2:$T$20,13,false)*HLOOKUP($K995,'Type Chart'!$C$2:$U$20,13,false)</f>
        <v>0.5</v>
      </c>
      <c r="AG995" s="960">
        <f t="array" ref="AG995">HLOOKUP($J995,'Type Chart'!$C$2:$T$20,14,false)*HLOOKUP($K995,'Type Chart'!$C$2:$U$20,14,false)</f>
        <v>0.5</v>
      </c>
      <c r="AH995" s="960">
        <f t="array" ref="AH995">HLOOKUP($J995,'Type Chart'!$C$2:$T$20,15,false)*HLOOKUP($K995,'Type Chart'!$C$2:$U$20,15,false)</f>
        <v>1</v>
      </c>
      <c r="AI995" s="960">
        <f t="array" ref="AI995">HLOOKUP($J995,'Type Chart'!$C$2:$T$20,16,false)*HLOOKUP($K995,'Type Chart'!$C$2:$U$20,16,false)</f>
        <v>2</v>
      </c>
      <c r="AJ995" s="960">
        <f t="array" ref="AJ995">HLOOKUP($J995,'Type Chart'!$C$2:$T$20,17,false)*HLOOKUP($K995,'Type Chart'!$C$2:$U$20,17,false)</f>
        <v>2</v>
      </c>
      <c r="AK995" s="960">
        <f t="array" ref="AK995">HLOOKUP($J995,'Type Chart'!$C$2:$T$20,18,false)*HLOOKUP($K995,'Type Chart'!$C$2:$U$20,18,false)</f>
        <v>1</v>
      </c>
      <c r="AL995" s="960">
        <f t="array" ref="AL995">HLOOKUP($J995,'Type Chart'!$C$2:$T$20,19,false)*HLOOKUP($K995,'Type Chart'!$C$2:$U$20,19,false)</f>
        <v>2</v>
      </c>
      <c r="AM995" s="1145" t="s">
        <v>3259</v>
      </c>
      <c r="AN995" s="965" t="s">
        <v>1468</v>
      </c>
      <c r="AO995" s="966" t="s">
        <v>1431</v>
      </c>
      <c r="AP995" s="936"/>
      <c r="AQ995" s="967"/>
      <c r="AR995" s="968"/>
      <c r="AS995" s="936"/>
    </row>
    <row r="996" ht="15.75" customHeight="1">
      <c r="A996" s="936"/>
      <c r="B996" s="948" t="s">
        <v>3748</v>
      </c>
      <c r="C996" s="950" t="s">
        <v>3749</v>
      </c>
      <c r="D996" s="950" t="s">
        <v>3750</v>
      </c>
      <c r="E996" s="952" t="s">
        <v>3749</v>
      </c>
      <c r="F996" s="940"/>
      <c r="G996" s="953"/>
      <c r="H996" s="969"/>
      <c r="I996" s="956" t="s">
        <v>887</v>
      </c>
      <c r="J996" s="1006" t="s">
        <v>346</v>
      </c>
      <c r="K996" s="1213" t="s">
        <v>341</v>
      </c>
      <c r="L996" s="959">
        <v>55.0</v>
      </c>
      <c r="M996" s="960">
        <v>75.0</v>
      </c>
      <c r="N996" s="960">
        <v>90.0</v>
      </c>
      <c r="O996" s="960">
        <v>65.0</v>
      </c>
      <c r="P996" s="960">
        <v>70.0</v>
      </c>
      <c r="Q996" s="960">
        <v>65.0</v>
      </c>
      <c r="R996" s="960">
        <v>166.0</v>
      </c>
      <c r="S996" s="960">
        <v>229.0</v>
      </c>
      <c r="T996" s="960">
        <v>251.0</v>
      </c>
      <c r="U996" s="960">
        <f t="array" ref="U996">HLOOKUP($J996,'Type Chart'!$C$2:$T$20,2,false)*HLOOKUP($K996,'Type Chart'!$C$2:$U$20,2,false)</f>
        <v>1</v>
      </c>
      <c r="V996" s="960">
        <f t="array" ref="V996">HLOOKUP($J996,'Type Chart'!$C$2:$T$20,3,false)*HLOOKUP($K996,'Type Chart'!$C$2:$U$20,3,false)</f>
        <v>1</v>
      </c>
      <c r="W996" s="960">
        <f t="array" ref="W996">HLOOKUP($J996,'Type Chart'!$C$2:$T$20,4,false)*HLOOKUP($K996,'Type Chart'!$C$2:$U$20,4,false)</f>
        <v>2</v>
      </c>
      <c r="X996" s="960">
        <f t="array" ref="X996">HLOOKUP($J996,'Type Chart'!$C$2:$T$20,5,false)*HLOOKUP($K996,'Type Chart'!$C$2:$U$20,5,false)</f>
        <v>1</v>
      </c>
      <c r="Y996" s="960">
        <f t="array" ref="Y996">HLOOKUP($J996,'Type Chart'!$C$2:$T$20,6,false)*HLOOKUP($K996,'Type Chart'!$C$2:$U$20,6,false)</f>
        <v>1</v>
      </c>
      <c r="Z996" s="960">
        <f t="array" ref="Z996">HLOOKUP($J996,'Type Chart'!$C$2:$T$20,7,false)*HLOOKUP($K996,'Type Chart'!$C$2:$U$20,7,false)</f>
        <v>0.5</v>
      </c>
      <c r="AA996" s="960">
        <f t="array" ref="AA996">HLOOKUP($J996,'Type Chart'!$C$2:$T$20,8,false)*HLOOKUP($K996,'Type Chart'!$C$2:$U$20,8,false)</f>
        <v>0.5</v>
      </c>
      <c r="AB996" s="960">
        <f t="array" ref="AB996">HLOOKUP($J996,'Type Chart'!$C$2:$T$20,9,false)*HLOOKUP($K996,'Type Chart'!$C$2:$U$20,9,false)</f>
        <v>1</v>
      </c>
      <c r="AC996" s="960">
        <f t="array" ref="AC996">HLOOKUP($J996,'Type Chart'!$C$2:$T$20,10,false)*HLOOKUP($K996,'Type Chart'!$C$2:$U$20,10,false)</f>
        <v>1</v>
      </c>
      <c r="AD996" s="960">
        <f t="array" ref="AD996">HLOOKUP($J996,'Type Chart'!$C$2:$T$20,11,false)*HLOOKUP($K996,'Type Chart'!$C$2:$U$20,11,false)</f>
        <v>0.5</v>
      </c>
      <c r="AE996" s="960">
        <f t="array" ref="AE996">HLOOKUP($J996,'Type Chart'!$C$2:$T$20,12,false)*HLOOKUP($K996,'Type Chart'!$C$2:$U$20,12,false)</f>
        <v>0.5</v>
      </c>
      <c r="AF996" s="960">
        <f t="array" ref="AF996">HLOOKUP($J996,'Type Chart'!$C$2:$T$20,13,false)*HLOOKUP($K996,'Type Chart'!$C$2:$U$20,13,false)</f>
        <v>0.5</v>
      </c>
      <c r="AG996" s="960">
        <f t="array" ref="AG996">HLOOKUP($J996,'Type Chart'!$C$2:$T$20,14,false)*HLOOKUP($K996,'Type Chart'!$C$2:$U$20,14,false)</f>
        <v>0.5</v>
      </c>
      <c r="AH996" s="960">
        <f t="array" ref="AH996">HLOOKUP($J996,'Type Chart'!$C$2:$T$20,15,false)*HLOOKUP($K996,'Type Chart'!$C$2:$U$20,15,false)</f>
        <v>2</v>
      </c>
      <c r="AI996" s="960">
        <f t="array" ref="AI996">HLOOKUP($J996,'Type Chart'!$C$2:$T$20,16,false)*HLOOKUP($K996,'Type Chart'!$C$2:$U$20,16,false)</f>
        <v>2</v>
      </c>
      <c r="AJ996" s="960">
        <f t="array" ref="AJ996">HLOOKUP($J996,'Type Chart'!$C$2:$T$20,17,false)*HLOOKUP($K996,'Type Chart'!$C$2:$U$20,17,false)</f>
        <v>2</v>
      </c>
      <c r="AK996" s="960">
        <f t="array" ref="AK996">HLOOKUP($J996,'Type Chart'!$C$2:$T$20,18,false)*HLOOKUP($K996,'Type Chart'!$C$2:$U$20,18,false)</f>
        <v>0.5</v>
      </c>
      <c r="AL996" s="960">
        <f t="array" ref="AL996">HLOOKUP($J996,'Type Chart'!$C$2:$T$20,19,false)*HLOOKUP($K996,'Type Chart'!$C$2:$U$20,19,false)</f>
        <v>4</v>
      </c>
      <c r="AM996" s="1145" t="s">
        <v>3259</v>
      </c>
      <c r="AN996" s="965" t="s">
        <v>1468</v>
      </c>
      <c r="AO996" s="966" t="s">
        <v>1431</v>
      </c>
      <c r="AP996" s="936"/>
      <c r="AQ996" s="967"/>
      <c r="AR996" s="968"/>
      <c r="AS996" s="936"/>
    </row>
    <row r="997" ht="15.75" customHeight="1">
      <c r="A997" s="936"/>
      <c r="B997" s="948" t="s">
        <v>3751</v>
      </c>
      <c r="C997" s="950" t="s">
        <v>3752</v>
      </c>
      <c r="D997" s="950" t="s">
        <v>3753</v>
      </c>
      <c r="E997" s="952" t="s">
        <v>3752</v>
      </c>
      <c r="F997" s="940"/>
      <c r="G997" s="953"/>
      <c r="H997" s="969"/>
      <c r="I997" s="956" t="s">
        <v>441</v>
      </c>
      <c r="J997" s="1006" t="s">
        <v>346</v>
      </c>
      <c r="K997" s="1213" t="s">
        <v>341</v>
      </c>
      <c r="L997" s="959">
        <v>75.0</v>
      </c>
      <c r="M997" s="960">
        <v>110.0</v>
      </c>
      <c r="N997" s="960">
        <v>125.0</v>
      </c>
      <c r="O997" s="960">
        <v>100.0</v>
      </c>
      <c r="P997" s="960">
        <v>105.0</v>
      </c>
      <c r="Q997" s="960">
        <v>85.0</v>
      </c>
      <c r="R997" s="960">
        <v>206.0</v>
      </c>
      <c r="S997" s="960">
        <v>269.0</v>
      </c>
      <c r="T997" s="960">
        <v>295.0</v>
      </c>
      <c r="U997" s="960">
        <f t="array" ref="U997">HLOOKUP($J997,'Type Chart'!$C$2:$T$20,2,false)*HLOOKUP($K997,'Type Chart'!$C$2:$U$20,2,false)</f>
        <v>1</v>
      </c>
      <c r="V997" s="960">
        <f t="array" ref="V997">HLOOKUP($J997,'Type Chart'!$C$2:$T$20,3,false)*HLOOKUP($K997,'Type Chart'!$C$2:$U$20,3,false)</f>
        <v>1</v>
      </c>
      <c r="W997" s="960">
        <f t="array" ref="W997">HLOOKUP($J997,'Type Chart'!$C$2:$T$20,4,false)*HLOOKUP($K997,'Type Chart'!$C$2:$U$20,4,false)</f>
        <v>2</v>
      </c>
      <c r="X997" s="960">
        <f t="array" ref="X997">HLOOKUP($J997,'Type Chart'!$C$2:$T$20,5,false)*HLOOKUP($K997,'Type Chart'!$C$2:$U$20,5,false)</f>
        <v>1</v>
      </c>
      <c r="Y997" s="960">
        <f t="array" ref="Y997">HLOOKUP($J997,'Type Chart'!$C$2:$T$20,6,false)*HLOOKUP($K997,'Type Chart'!$C$2:$U$20,6,false)</f>
        <v>1</v>
      </c>
      <c r="Z997" s="960">
        <f t="array" ref="Z997">HLOOKUP($J997,'Type Chart'!$C$2:$T$20,7,false)*HLOOKUP($K997,'Type Chart'!$C$2:$U$20,7,false)</f>
        <v>0.5</v>
      </c>
      <c r="AA997" s="960">
        <f t="array" ref="AA997">HLOOKUP($J997,'Type Chart'!$C$2:$T$20,8,false)*HLOOKUP($K997,'Type Chart'!$C$2:$U$20,8,false)</f>
        <v>0.5</v>
      </c>
      <c r="AB997" s="960">
        <f t="array" ref="AB997">HLOOKUP($J997,'Type Chart'!$C$2:$T$20,9,false)*HLOOKUP($K997,'Type Chart'!$C$2:$U$20,9,false)</f>
        <v>1</v>
      </c>
      <c r="AC997" s="960">
        <f t="array" ref="AC997">HLOOKUP($J997,'Type Chart'!$C$2:$T$20,10,false)*HLOOKUP($K997,'Type Chart'!$C$2:$U$20,10,false)</f>
        <v>1</v>
      </c>
      <c r="AD997" s="960">
        <f t="array" ref="AD997">HLOOKUP($J997,'Type Chart'!$C$2:$T$20,11,false)*HLOOKUP($K997,'Type Chart'!$C$2:$U$20,11,false)</f>
        <v>0.5</v>
      </c>
      <c r="AE997" s="960">
        <f t="array" ref="AE997">HLOOKUP($J997,'Type Chart'!$C$2:$T$20,12,false)*HLOOKUP($K997,'Type Chart'!$C$2:$U$20,12,false)</f>
        <v>0.5</v>
      </c>
      <c r="AF997" s="960">
        <f t="array" ref="AF997">HLOOKUP($J997,'Type Chart'!$C$2:$T$20,13,false)*HLOOKUP($K997,'Type Chart'!$C$2:$U$20,13,false)</f>
        <v>0.5</v>
      </c>
      <c r="AG997" s="960">
        <f t="array" ref="AG997">HLOOKUP($J997,'Type Chart'!$C$2:$T$20,14,false)*HLOOKUP($K997,'Type Chart'!$C$2:$U$20,14,false)</f>
        <v>0.5</v>
      </c>
      <c r="AH997" s="960">
        <f t="array" ref="AH997">HLOOKUP($J997,'Type Chart'!$C$2:$T$20,15,false)*HLOOKUP($K997,'Type Chart'!$C$2:$U$20,15,false)</f>
        <v>2</v>
      </c>
      <c r="AI997" s="960">
        <f t="array" ref="AI997">HLOOKUP($J997,'Type Chart'!$C$2:$T$20,16,false)*HLOOKUP($K997,'Type Chart'!$C$2:$U$20,16,false)</f>
        <v>2</v>
      </c>
      <c r="AJ997" s="960">
        <f t="array" ref="AJ997">HLOOKUP($J997,'Type Chart'!$C$2:$T$20,17,false)*HLOOKUP($K997,'Type Chart'!$C$2:$U$20,17,false)</f>
        <v>2</v>
      </c>
      <c r="AK997" s="960">
        <f t="array" ref="AK997">HLOOKUP($J997,'Type Chart'!$C$2:$T$20,18,false)*HLOOKUP($K997,'Type Chart'!$C$2:$U$20,18,false)</f>
        <v>0.5</v>
      </c>
      <c r="AL997" s="960">
        <f t="array" ref="AL997">HLOOKUP($J997,'Type Chart'!$C$2:$T$20,19,false)*HLOOKUP($K997,'Type Chart'!$C$2:$U$20,19,false)</f>
        <v>4</v>
      </c>
      <c r="AM997" s="1145" t="s">
        <v>3259</v>
      </c>
      <c r="AN997" s="965" t="s">
        <v>1468</v>
      </c>
      <c r="AO997" s="966" t="s">
        <v>1431</v>
      </c>
      <c r="AP997" s="936"/>
      <c r="AQ997" s="967"/>
      <c r="AR997" s="968"/>
      <c r="AS997" s="936"/>
    </row>
    <row r="998" ht="15.75" customHeight="1">
      <c r="A998" s="936"/>
      <c r="B998" s="948" t="s">
        <v>3754</v>
      </c>
      <c r="C998" s="950" t="s">
        <v>3755</v>
      </c>
      <c r="D998" s="950" t="s">
        <v>3756</v>
      </c>
      <c r="E998" s="952" t="s">
        <v>3755</v>
      </c>
      <c r="F998" s="940"/>
      <c r="G998" s="953"/>
      <c r="H998" s="969"/>
      <c r="I998" s="956" t="s">
        <v>3757</v>
      </c>
      <c r="J998" s="1196" t="s">
        <v>203</v>
      </c>
      <c r="K998" s="1207" t="s">
        <v>127</v>
      </c>
      <c r="L998" s="959">
        <v>70.0</v>
      </c>
      <c r="M998" s="960">
        <v>115.0</v>
      </c>
      <c r="N998" s="960">
        <v>85.0</v>
      </c>
      <c r="O998" s="960">
        <v>95.0</v>
      </c>
      <c r="P998" s="960">
        <v>75.0</v>
      </c>
      <c r="Q998" s="960">
        <v>130.0</v>
      </c>
      <c r="R998" s="960">
        <v>296.0</v>
      </c>
      <c r="S998" s="960">
        <v>359.0</v>
      </c>
      <c r="T998" s="960">
        <v>394.0</v>
      </c>
      <c r="U998" s="960">
        <f t="array" ref="U998">HLOOKUP($J998,'Type Chart'!$C$2:$T$20,2,false)*HLOOKUP($K998,'Type Chart'!$C$2:$U$20,2,false)</f>
        <v>1</v>
      </c>
      <c r="V998" s="960">
        <f t="array" ref="V998">HLOOKUP($J998,'Type Chart'!$C$2:$T$20,3,false)*HLOOKUP($K998,'Type Chart'!$C$2:$U$20,3,false)</f>
        <v>0.5</v>
      </c>
      <c r="W998" s="960">
        <f t="array" ref="W998">HLOOKUP($J998,'Type Chart'!$C$2:$T$20,4,false)*HLOOKUP($K998,'Type Chart'!$C$2:$U$20,4,false)</f>
        <v>0.5</v>
      </c>
      <c r="X998" s="960">
        <f t="array" ref="X998">HLOOKUP($J998,'Type Chart'!$C$2:$T$20,5,false)*HLOOKUP($K998,'Type Chart'!$C$2:$U$20,5,false)</f>
        <v>2</v>
      </c>
      <c r="Y998" s="960">
        <f t="array" ref="Y998">HLOOKUP($J998,'Type Chart'!$C$2:$T$20,6,false)*HLOOKUP($K998,'Type Chart'!$C$2:$U$20,6,false)</f>
        <v>2</v>
      </c>
      <c r="Z998" s="960">
        <f t="array" ref="Z998">HLOOKUP($J998,'Type Chart'!$C$2:$T$20,7,false)*HLOOKUP($K998,'Type Chart'!$C$2:$U$20,7,false)</f>
        <v>1</v>
      </c>
      <c r="AA998" s="960">
        <f t="array" ref="AA998">HLOOKUP($J998,'Type Chart'!$C$2:$T$20,8,false)*HLOOKUP($K998,'Type Chart'!$C$2:$U$20,8,false)</f>
        <v>0.5</v>
      </c>
      <c r="AB998" s="960">
        <f t="array" ref="AB998">HLOOKUP($J998,'Type Chart'!$C$2:$T$20,9,false)*HLOOKUP($K998,'Type Chart'!$C$2:$U$20,9,false)</f>
        <v>1</v>
      </c>
      <c r="AC998" s="960">
        <f t="array" ref="AC998">HLOOKUP($J998,'Type Chart'!$C$2:$T$20,10,false)*HLOOKUP($K998,'Type Chart'!$C$2:$U$20,10,false)</f>
        <v>1</v>
      </c>
      <c r="AD998" s="960">
        <f t="array" ref="AD998">HLOOKUP($J998,'Type Chart'!$C$2:$T$20,11,false)*HLOOKUP($K998,'Type Chart'!$C$2:$U$20,11,false)</f>
        <v>1</v>
      </c>
      <c r="AE998" s="960">
        <f t="array" ref="AE998">HLOOKUP($J998,'Type Chart'!$C$2:$T$20,12,false)*HLOOKUP($K998,'Type Chart'!$C$2:$U$20,12,false)</f>
        <v>1</v>
      </c>
      <c r="AF998" s="960">
        <f t="array" ref="AF998">HLOOKUP($J998,'Type Chart'!$C$2:$T$20,13,false)*HLOOKUP($K998,'Type Chart'!$C$2:$U$20,13,false)</f>
        <v>1</v>
      </c>
      <c r="AG998" s="960">
        <f t="array" ref="AG998">HLOOKUP($J998,'Type Chart'!$C$2:$T$20,14,false)*HLOOKUP($K998,'Type Chart'!$C$2:$U$20,14,false)</f>
        <v>0.5</v>
      </c>
      <c r="AH998" s="960">
        <f t="array" ref="AH998">HLOOKUP($J998,'Type Chart'!$C$2:$T$20,15,false)*HLOOKUP($K998,'Type Chart'!$C$2:$U$20,15,false)</f>
        <v>1</v>
      </c>
      <c r="AI998" s="960">
        <f t="array" ref="AI998">HLOOKUP($J998,'Type Chart'!$C$2:$T$20,16,false)*HLOOKUP($K998,'Type Chart'!$C$2:$U$20,16,false)</f>
        <v>1</v>
      </c>
      <c r="AJ998" s="960">
        <f t="array" ref="AJ998">HLOOKUP($J998,'Type Chart'!$C$2:$T$20,17,false)*HLOOKUP($K998,'Type Chart'!$C$2:$U$20,17,false)</f>
        <v>0</v>
      </c>
      <c r="AK998" s="960">
        <f t="array" ref="AK998">HLOOKUP($J998,'Type Chart'!$C$2:$T$20,18,false)*HLOOKUP($K998,'Type Chart'!$C$2:$U$20,18,false)</f>
        <v>0.5</v>
      </c>
      <c r="AL998" s="960">
        <f t="array" ref="AL998">HLOOKUP($J998,'Type Chart'!$C$2:$T$20,19,false)*HLOOKUP($K998,'Type Chart'!$C$2:$U$20,19,false)</f>
        <v>1</v>
      </c>
      <c r="AM998" s="1145" t="s">
        <v>3758</v>
      </c>
      <c r="AN998" s="965"/>
      <c r="AO998" s="966" t="s">
        <v>1828</v>
      </c>
      <c r="AP998" s="936"/>
      <c r="AQ998" s="967"/>
      <c r="AR998" s="968"/>
      <c r="AS998" s="936"/>
    </row>
    <row r="999" ht="15.75" customHeight="1">
      <c r="A999" s="936"/>
      <c r="B999" s="948" t="s">
        <v>3759</v>
      </c>
      <c r="C999" s="950" t="s">
        <v>3760</v>
      </c>
      <c r="D999" s="950" t="s">
        <v>3761</v>
      </c>
      <c r="E999" s="952" t="s">
        <v>3760</v>
      </c>
      <c r="F999" s="940"/>
      <c r="G999" s="953"/>
      <c r="H999" s="969"/>
      <c r="I999" s="956" t="s">
        <v>3762</v>
      </c>
      <c r="J999" s="1203" t="s">
        <v>344</v>
      </c>
      <c r="K999" s="1207" t="s">
        <v>127</v>
      </c>
      <c r="L999" s="959">
        <v>70.0</v>
      </c>
      <c r="M999" s="960">
        <v>85.0</v>
      </c>
      <c r="N999" s="960">
        <v>75.0</v>
      </c>
      <c r="O999" s="960">
        <v>130.0</v>
      </c>
      <c r="P999" s="960">
        <v>115.0</v>
      </c>
      <c r="Q999" s="960">
        <v>95.0</v>
      </c>
      <c r="R999" s="960">
        <v>226.0</v>
      </c>
      <c r="S999" s="960">
        <v>289.0</v>
      </c>
      <c r="T999" s="960">
        <v>317.0</v>
      </c>
      <c r="U999" s="960">
        <f t="array" ref="U999">HLOOKUP($J999,'Type Chart'!$C$2:$T$20,2,false)*HLOOKUP($K999,'Type Chart'!$C$2:$U$20,2,false)</f>
        <v>1</v>
      </c>
      <c r="V999" s="960">
        <f t="array" ref="V999">HLOOKUP($J999,'Type Chart'!$C$2:$T$20,3,false)*HLOOKUP($K999,'Type Chart'!$C$2:$U$20,3,false)</f>
        <v>0.25</v>
      </c>
      <c r="W999" s="960">
        <f t="array" ref="W999">HLOOKUP($J999,'Type Chart'!$C$2:$T$20,4,false)*HLOOKUP($K999,'Type Chart'!$C$2:$U$20,4,false)</f>
        <v>1</v>
      </c>
      <c r="X999" s="960">
        <f t="array" ref="X999">HLOOKUP($J999,'Type Chart'!$C$2:$T$20,5,false)*HLOOKUP($K999,'Type Chart'!$C$2:$U$20,5,false)</f>
        <v>2</v>
      </c>
      <c r="Y999" s="960">
        <f t="array" ref="Y999">HLOOKUP($J999,'Type Chart'!$C$2:$T$20,6,false)*HLOOKUP($K999,'Type Chart'!$C$2:$U$20,6,false)</f>
        <v>1</v>
      </c>
      <c r="Z999" s="960">
        <f t="array" ref="Z999">HLOOKUP($J999,'Type Chart'!$C$2:$T$20,7,false)*HLOOKUP($K999,'Type Chart'!$C$2:$U$20,7,false)</f>
        <v>1</v>
      </c>
      <c r="AA999" s="960">
        <f t="array" ref="AA999">HLOOKUP($J999,'Type Chart'!$C$2:$T$20,8,false)*HLOOKUP($K999,'Type Chart'!$C$2:$U$20,8,false)</f>
        <v>1</v>
      </c>
      <c r="AB999" s="960">
        <f t="array" ref="AB999">HLOOKUP($J999,'Type Chart'!$C$2:$T$20,9,false)*HLOOKUP($K999,'Type Chart'!$C$2:$U$20,9,false)</f>
        <v>2</v>
      </c>
      <c r="AC999" s="960">
        <f t="array" ref="AC999">HLOOKUP($J999,'Type Chart'!$C$2:$T$20,10,false)*HLOOKUP($K999,'Type Chart'!$C$2:$U$20,10,false)</f>
        <v>2</v>
      </c>
      <c r="AD999" s="960">
        <f t="array" ref="AD999">HLOOKUP($J999,'Type Chart'!$C$2:$T$20,11,false)*HLOOKUP($K999,'Type Chart'!$C$2:$U$20,11,false)</f>
        <v>1</v>
      </c>
      <c r="AE999" s="960">
        <f t="array" ref="AE999">HLOOKUP($J999,'Type Chart'!$C$2:$T$20,12,false)*HLOOKUP($K999,'Type Chart'!$C$2:$U$20,12,false)</f>
        <v>1</v>
      </c>
      <c r="AF999" s="960">
        <f t="array" ref="AF999">HLOOKUP($J999,'Type Chart'!$C$2:$T$20,13,false)*HLOOKUP($K999,'Type Chart'!$C$2:$U$20,13,false)</f>
        <v>1</v>
      </c>
      <c r="AG999" s="960">
        <f t="array" ref="AG999">HLOOKUP($J999,'Type Chart'!$C$2:$T$20,14,false)*HLOOKUP($K999,'Type Chart'!$C$2:$U$20,14,false)</f>
        <v>1</v>
      </c>
      <c r="AH999" s="960">
        <f t="array" ref="AH999">HLOOKUP($J999,'Type Chart'!$C$2:$T$20,15,false)*HLOOKUP($K999,'Type Chart'!$C$2:$U$20,15,false)</f>
        <v>0.5</v>
      </c>
      <c r="AI999" s="960">
        <f t="array" ref="AI999">HLOOKUP($J999,'Type Chart'!$C$2:$T$20,16,false)*HLOOKUP($K999,'Type Chart'!$C$2:$U$20,16,false)</f>
        <v>1</v>
      </c>
      <c r="AJ999" s="960">
        <f t="array" ref="AJ999">HLOOKUP($J999,'Type Chart'!$C$2:$T$20,17,false)*HLOOKUP($K999,'Type Chart'!$C$2:$U$20,17,false)</f>
        <v>0</v>
      </c>
      <c r="AK999" s="960">
        <f t="array" ref="AK999">HLOOKUP($J999,'Type Chart'!$C$2:$T$20,18,false)*HLOOKUP($K999,'Type Chart'!$C$2:$U$20,18,false)</f>
        <v>1</v>
      </c>
      <c r="AL999" s="960">
        <f t="array" ref="AL999">HLOOKUP($J999,'Type Chart'!$C$2:$T$20,19,false)*HLOOKUP($K999,'Type Chart'!$C$2:$U$20,19,false)</f>
        <v>1</v>
      </c>
      <c r="AM999" s="1145" t="s">
        <v>3763</v>
      </c>
      <c r="AN999" s="965"/>
      <c r="AO999" s="966" t="s">
        <v>1828</v>
      </c>
      <c r="AP999" s="936"/>
      <c r="AQ999" s="967"/>
      <c r="AR999" s="968"/>
      <c r="AS999" s="936"/>
    </row>
    <row r="1000" ht="15.75" customHeight="1">
      <c r="A1000" s="936"/>
      <c r="B1000" s="948" t="s">
        <v>3764</v>
      </c>
      <c r="C1000" s="950" t="s">
        <v>3765</v>
      </c>
      <c r="D1000" s="950" t="s">
        <v>3766</v>
      </c>
      <c r="E1000" s="952" t="s">
        <v>3765</v>
      </c>
      <c r="F1000" s="940"/>
      <c r="G1000" s="953"/>
      <c r="H1000" s="969"/>
      <c r="I1000" s="956" t="s">
        <v>3767</v>
      </c>
      <c r="J1000" s="957" t="s">
        <v>209</v>
      </c>
      <c r="K1000" s="1207" t="s">
        <v>127</v>
      </c>
      <c r="L1000" s="959">
        <v>70.0</v>
      </c>
      <c r="M1000" s="960">
        <v>130.0</v>
      </c>
      <c r="N1000" s="960">
        <v>115.0</v>
      </c>
      <c r="O1000" s="960">
        <v>85.0</v>
      </c>
      <c r="P1000" s="960">
        <v>95.0</v>
      </c>
      <c r="Q1000" s="960">
        <v>75.0</v>
      </c>
      <c r="R1000" s="960">
        <v>186.0</v>
      </c>
      <c r="S1000" s="960">
        <v>249.0</v>
      </c>
      <c r="T1000" s="960">
        <v>273.0</v>
      </c>
      <c r="U1000" s="960">
        <f t="array" ref="U1000">HLOOKUP($J1000,'Type Chart'!$C$2:$T$20,2,false)*HLOOKUP($K1000,'Type Chart'!$C$2:$U$20,2,false)</f>
        <v>1</v>
      </c>
      <c r="V1000" s="960">
        <f t="array" ref="V1000">HLOOKUP($J1000,'Type Chart'!$C$2:$T$20,3,false)*HLOOKUP($K1000,'Type Chart'!$C$2:$U$20,3,false)</f>
        <v>0.5</v>
      </c>
      <c r="W1000" s="960">
        <f t="array" ref="W1000">HLOOKUP($J1000,'Type Chart'!$C$2:$T$20,4,false)*HLOOKUP($K1000,'Type Chart'!$C$2:$U$20,4,false)</f>
        <v>2</v>
      </c>
      <c r="X1000" s="960">
        <f t="array" ref="X1000">HLOOKUP($J1000,'Type Chart'!$C$2:$T$20,5,false)*HLOOKUP($K1000,'Type Chart'!$C$2:$U$20,5,false)</f>
        <v>4</v>
      </c>
      <c r="Y1000" s="960">
        <f t="array" ref="Y1000">HLOOKUP($J1000,'Type Chart'!$C$2:$T$20,6,false)*HLOOKUP($K1000,'Type Chart'!$C$2:$U$20,6,false)</f>
        <v>0.5</v>
      </c>
      <c r="Z1000" s="960">
        <f t="array" ref="Z1000">HLOOKUP($J1000,'Type Chart'!$C$2:$T$20,7,false)*HLOOKUP($K1000,'Type Chart'!$C$2:$U$20,7,false)</f>
        <v>1</v>
      </c>
      <c r="AA1000" s="960">
        <f t="array" ref="AA1000">HLOOKUP($J1000,'Type Chart'!$C$2:$T$20,8,false)*HLOOKUP($K1000,'Type Chart'!$C$2:$U$20,8,false)</f>
        <v>1</v>
      </c>
      <c r="AB1000" s="960">
        <f t="array" ref="AB1000">HLOOKUP($J1000,'Type Chart'!$C$2:$T$20,9,false)*HLOOKUP($K1000,'Type Chart'!$C$2:$U$20,9,false)</f>
        <v>1</v>
      </c>
      <c r="AC1000" s="960">
        <f t="array" ref="AC1000">HLOOKUP($J1000,'Type Chart'!$C$2:$T$20,10,false)*HLOOKUP($K1000,'Type Chart'!$C$2:$U$20,10,false)</f>
        <v>2</v>
      </c>
      <c r="AD1000" s="960">
        <f t="array" ref="AD1000">HLOOKUP($J1000,'Type Chart'!$C$2:$T$20,11,false)*HLOOKUP($K1000,'Type Chart'!$C$2:$U$20,11,false)</f>
        <v>2</v>
      </c>
      <c r="AE1000" s="960">
        <f t="array" ref="AE1000">HLOOKUP($J1000,'Type Chart'!$C$2:$T$20,12,false)*HLOOKUP($K1000,'Type Chart'!$C$2:$U$20,12,false)</f>
        <v>0.5</v>
      </c>
      <c r="AF1000" s="960">
        <f t="array" ref="AF1000">HLOOKUP($J1000,'Type Chart'!$C$2:$T$20,13,false)*HLOOKUP($K1000,'Type Chart'!$C$2:$U$20,13,false)</f>
        <v>0.5</v>
      </c>
      <c r="AG1000" s="960">
        <f t="array" ref="AG1000">HLOOKUP($J1000,'Type Chart'!$C$2:$T$20,14,false)*HLOOKUP($K1000,'Type Chart'!$C$2:$U$20,14,false)</f>
        <v>0.5</v>
      </c>
      <c r="AH1000" s="960">
        <f t="array" ref="AH1000">HLOOKUP($J1000,'Type Chart'!$C$2:$T$20,15,false)*HLOOKUP($K1000,'Type Chart'!$C$2:$U$20,15,false)</f>
        <v>1</v>
      </c>
      <c r="AI1000" s="960">
        <f t="array" ref="AI1000">HLOOKUP($J1000,'Type Chart'!$C$2:$T$20,16,false)*HLOOKUP($K1000,'Type Chart'!$C$2:$U$20,16,false)</f>
        <v>2</v>
      </c>
      <c r="AJ1000" s="960">
        <f t="array" ref="AJ1000">HLOOKUP($J1000,'Type Chart'!$C$2:$T$20,17,false)*HLOOKUP($K1000,'Type Chart'!$C$2:$U$20,17,false)</f>
        <v>0</v>
      </c>
      <c r="AK1000" s="960">
        <f t="array" ref="AK1000">HLOOKUP($J1000,'Type Chart'!$C$2:$T$20,18,false)*HLOOKUP($K1000,'Type Chart'!$C$2:$U$20,18,false)</f>
        <v>0.5</v>
      </c>
      <c r="AL1000" s="960">
        <f t="array" ref="AL1000">HLOOKUP($J1000,'Type Chart'!$C$2:$T$20,19,false)*HLOOKUP($K1000,'Type Chart'!$C$2:$U$20,19,false)</f>
        <v>1</v>
      </c>
      <c r="AM1000" s="964" t="s">
        <v>3768</v>
      </c>
      <c r="AN1000" s="965"/>
      <c r="AO1000" s="966" t="s">
        <v>1828</v>
      </c>
      <c r="AP1000" s="936"/>
      <c r="AQ1000" s="967"/>
      <c r="AR1000" s="968"/>
      <c r="AS1000" s="936"/>
    </row>
    <row r="1001" ht="15.75" customHeight="1">
      <c r="A1001" s="936"/>
      <c r="B1001" s="948" t="s">
        <v>3769</v>
      </c>
      <c r="C1001" s="950" t="s">
        <v>3770</v>
      </c>
      <c r="D1001" s="950" t="s">
        <v>3771</v>
      </c>
      <c r="E1001" s="952" t="s">
        <v>3770</v>
      </c>
      <c r="F1001" s="940"/>
      <c r="G1001" s="953"/>
      <c r="H1001" s="969"/>
      <c r="I1001" s="956" t="s">
        <v>3772</v>
      </c>
      <c r="J1001" s="1056" t="s">
        <v>81</v>
      </c>
      <c r="K1001" s="1207" t="s">
        <v>127</v>
      </c>
      <c r="L1001" s="959">
        <v>70.0</v>
      </c>
      <c r="M1001" s="960">
        <v>75.0</v>
      </c>
      <c r="N1001" s="960">
        <v>115.0</v>
      </c>
      <c r="O1001" s="960">
        <v>95.0</v>
      </c>
      <c r="P1001" s="960">
        <v>130.0</v>
      </c>
      <c r="Q1001" s="960">
        <v>85.0</v>
      </c>
      <c r="R1001" s="960">
        <v>206.0</v>
      </c>
      <c r="S1001" s="960">
        <v>269.0</v>
      </c>
      <c r="T1001" s="960">
        <v>295.0</v>
      </c>
      <c r="U1001" s="960">
        <f t="array" ref="U1001">HLOOKUP($J1001,'Type Chart'!$C$2:$T$20,2,false)*HLOOKUP($K1001,'Type Chart'!$C$2:$U$20,2,false)</f>
        <v>1</v>
      </c>
      <c r="V1001" s="960">
        <f t="array" ref="V1001">HLOOKUP($J1001,'Type Chart'!$C$2:$T$20,3,false)*HLOOKUP($K1001,'Type Chart'!$C$2:$U$20,3,false)</f>
        <v>0.5</v>
      </c>
      <c r="W1001" s="960">
        <f t="array" ref="W1001">HLOOKUP($J1001,'Type Chart'!$C$2:$T$20,4,false)*HLOOKUP($K1001,'Type Chart'!$C$2:$U$20,4,false)</f>
        <v>1</v>
      </c>
      <c r="X1001" s="960">
        <f t="array" ref="X1001">HLOOKUP($J1001,'Type Chart'!$C$2:$T$20,5,false)*HLOOKUP($K1001,'Type Chart'!$C$2:$U$20,5,false)</f>
        <v>2</v>
      </c>
      <c r="Y1001" s="960">
        <f t="array" ref="Y1001">HLOOKUP($J1001,'Type Chart'!$C$2:$T$20,6,false)*HLOOKUP($K1001,'Type Chart'!$C$2:$U$20,6,false)</f>
        <v>1</v>
      </c>
      <c r="Z1001" s="960">
        <f t="array" ref="Z1001">HLOOKUP($J1001,'Type Chart'!$C$2:$T$20,7,false)*HLOOKUP($K1001,'Type Chart'!$C$2:$U$20,7,false)</f>
        <v>1</v>
      </c>
      <c r="AA1001" s="960">
        <f t="array" ref="AA1001">HLOOKUP($J1001,'Type Chart'!$C$2:$T$20,8,false)*HLOOKUP($K1001,'Type Chart'!$C$2:$U$20,8,false)</f>
        <v>0.5</v>
      </c>
      <c r="AB1001" s="960">
        <f t="array" ref="AB1001">HLOOKUP($J1001,'Type Chart'!$C$2:$T$20,9,false)*HLOOKUP($K1001,'Type Chart'!$C$2:$U$20,9,false)</f>
        <v>1</v>
      </c>
      <c r="AC1001" s="960">
        <f t="array" ref="AC1001">HLOOKUP($J1001,'Type Chart'!$C$2:$T$20,10,false)*HLOOKUP($K1001,'Type Chart'!$C$2:$U$20,10,false)</f>
        <v>1</v>
      </c>
      <c r="AD1001" s="960">
        <f t="array" ref="AD1001">HLOOKUP($J1001,'Type Chart'!$C$2:$T$20,11,false)*HLOOKUP($K1001,'Type Chart'!$C$2:$U$20,11,false)</f>
        <v>0.5</v>
      </c>
      <c r="AE1001" s="960">
        <f t="array" ref="AE1001">HLOOKUP($J1001,'Type Chart'!$C$2:$T$20,12,false)*HLOOKUP($K1001,'Type Chart'!$C$2:$U$20,12,false)</f>
        <v>0.5</v>
      </c>
      <c r="AF1001" s="960">
        <f t="array" ref="AF1001">HLOOKUP($J1001,'Type Chart'!$C$2:$T$20,13,false)*HLOOKUP($K1001,'Type Chart'!$C$2:$U$20,13,false)</f>
        <v>2</v>
      </c>
      <c r="AG1001" s="960">
        <f t="array" ref="AG1001">HLOOKUP($J1001,'Type Chart'!$C$2:$T$20,14,false)*HLOOKUP($K1001,'Type Chart'!$C$2:$U$20,14,false)</f>
        <v>2</v>
      </c>
      <c r="AH1001" s="960">
        <f t="array" ref="AH1001">HLOOKUP($J1001,'Type Chart'!$C$2:$T$20,15,false)*HLOOKUP($K1001,'Type Chart'!$C$2:$U$20,15,false)</f>
        <v>1</v>
      </c>
      <c r="AI1001" s="960">
        <f t="array" ref="AI1001">HLOOKUP($J1001,'Type Chart'!$C$2:$T$20,16,false)*HLOOKUP($K1001,'Type Chart'!$C$2:$U$20,16,false)</f>
        <v>0.5</v>
      </c>
      <c r="AJ1001" s="960">
        <f t="array" ref="AJ1001">HLOOKUP($J1001,'Type Chart'!$C$2:$T$20,17,false)*HLOOKUP($K1001,'Type Chart'!$C$2:$U$20,17,false)</f>
        <v>0</v>
      </c>
      <c r="AK1001" s="960">
        <f t="array" ref="AK1001">HLOOKUP($J1001,'Type Chart'!$C$2:$T$20,18,false)*HLOOKUP($K1001,'Type Chart'!$C$2:$U$20,18,false)</f>
        <v>0.5</v>
      </c>
      <c r="AL1001" s="960">
        <f t="array" ref="AL1001">HLOOKUP($J1001,'Type Chart'!$C$2:$T$20,19,false)*HLOOKUP($K1001,'Type Chart'!$C$2:$U$20,19,false)</f>
        <v>1</v>
      </c>
      <c r="AM1001" s="964" t="s">
        <v>1513</v>
      </c>
      <c r="AN1001" s="965"/>
      <c r="AO1001" s="966" t="s">
        <v>1828</v>
      </c>
      <c r="AP1001" s="936"/>
      <c r="AQ1001" s="967"/>
      <c r="AR1001" s="968"/>
      <c r="AS1001" s="936"/>
    </row>
    <row r="1002" ht="15.75" customHeight="1">
      <c r="A1002" s="936"/>
      <c r="B1002" s="948" t="s">
        <v>3773</v>
      </c>
      <c r="C1002" s="950" t="s">
        <v>3774</v>
      </c>
      <c r="D1002" s="950" t="s">
        <v>3774</v>
      </c>
      <c r="E1002" s="952" t="s">
        <v>3774</v>
      </c>
      <c r="F1002" s="940"/>
      <c r="G1002" s="953"/>
      <c r="H1002" s="969"/>
      <c r="I1002" s="956" t="s">
        <v>3775</v>
      </c>
      <c r="J1002" s="1203" t="s">
        <v>344</v>
      </c>
      <c r="K1002" s="984" t="s">
        <v>216</v>
      </c>
      <c r="L1002" s="959">
        <v>43.0</v>
      </c>
      <c r="M1002" s="960">
        <v>29.0</v>
      </c>
      <c r="N1002" s="960">
        <v>31.0</v>
      </c>
      <c r="O1002" s="960">
        <v>29.0</v>
      </c>
      <c r="P1002" s="960">
        <v>31.0</v>
      </c>
      <c r="Q1002" s="960">
        <v>37.0</v>
      </c>
      <c r="R1002" s="960">
        <v>110.0</v>
      </c>
      <c r="S1002" s="960">
        <v>173.0</v>
      </c>
      <c r="T1002" s="960">
        <v>190.0</v>
      </c>
      <c r="U1002" s="960">
        <f t="array" ref="U1002">HLOOKUP($J1002,'Type Chart'!$C$2:$T$20,2,false)*HLOOKUP($K1002,'Type Chart'!$C$2:$U$20,2,false)</f>
        <v>1</v>
      </c>
      <c r="V1002" s="960">
        <f t="array" ref="V1002">HLOOKUP($J1002,'Type Chart'!$C$2:$T$20,3,false)*HLOOKUP($K1002,'Type Chart'!$C$2:$U$20,3,false)</f>
        <v>0.5</v>
      </c>
      <c r="W1002" s="960">
        <f t="array" ref="W1002">HLOOKUP($J1002,'Type Chart'!$C$2:$T$20,4,false)*HLOOKUP($K1002,'Type Chart'!$C$2:$U$20,4,false)</f>
        <v>1</v>
      </c>
      <c r="X1002" s="960">
        <f t="array" ref="X1002">HLOOKUP($J1002,'Type Chart'!$C$2:$T$20,5,false)*HLOOKUP($K1002,'Type Chart'!$C$2:$U$20,5,false)</f>
        <v>1</v>
      </c>
      <c r="Y1002" s="960">
        <f t="array" ref="Y1002">HLOOKUP($J1002,'Type Chart'!$C$2:$T$20,6,false)*HLOOKUP($K1002,'Type Chart'!$C$2:$U$20,6,false)</f>
        <v>1</v>
      </c>
      <c r="Z1002" s="960">
        <f t="array" ref="Z1002">HLOOKUP($J1002,'Type Chart'!$C$2:$T$20,7,false)*HLOOKUP($K1002,'Type Chart'!$C$2:$U$20,7,false)</f>
        <v>1</v>
      </c>
      <c r="AA1002" s="960">
        <f t="array" ref="AA1002">HLOOKUP($J1002,'Type Chart'!$C$2:$T$20,8,false)*HLOOKUP($K1002,'Type Chart'!$C$2:$U$20,8,false)</f>
        <v>2</v>
      </c>
      <c r="AB1002" s="960">
        <f t="array" ref="AB1002">HLOOKUP($J1002,'Type Chart'!$C$2:$T$20,9,false)*HLOOKUP($K1002,'Type Chart'!$C$2:$U$20,9,false)</f>
        <v>2</v>
      </c>
      <c r="AC1002" s="960">
        <f t="array" ref="AC1002">HLOOKUP($J1002,'Type Chart'!$C$2:$T$20,10,false)*HLOOKUP($K1002,'Type Chart'!$C$2:$U$20,10,false)</f>
        <v>1</v>
      </c>
      <c r="AD1002" s="960">
        <f t="array" ref="AD1002">HLOOKUP($J1002,'Type Chart'!$C$2:$T$20,11,false)*HLOOKUP($K1002,'Type Chart'!$C$2:$U$20,11,false)</f>
        <v>1</v>
      </c>
      <c r="AE1002" s="960">
        <f t="array" ref="AE1002">HLOOKUP($J1002,'Type Chart'!$C$2:$T$20,12,false)*HLOOKUP($K1002,'Type Chart'!$C$2:$U$20,12,false)</f>
        <v>1</v>
      </c>
      <c r="AF1002" s="960">
        <f t="array" ref="AF1002">HLOOKUP($J1002,'Type Chart'!$C$2:$T$20,13,false)*HLOOKUP($K1002,'Type Chart'!$C$2:$U$20,13,false)</f>
        <v>1</v>
      </c>
      <c r="AG1002" s="960">
        <f t="array" ref="AG1002">HLOOKUP($J1002,'Type Chart'!$C$2:$T$20,14,false)*HLOOKUP($K1002,'Type Chart'!$C$2:$U$20,14,false)</f>
        <v>1</v>
      </c>
      <c r="AH1002" s="960">
        <f t="array" ref="AH1002">HLOOKUP($J1002,'Type Chart'!$C$2:$T$20,15,false)*HLOOKUP($K1002,'Type Chart'!$C$2:$U$20,15,false)</f>
        <v>0.5</v>
      </c>
      <c r="AI1002" s="960">
        <f t="array" ref="AI1002">HLOOKUP($J1002,'Type Chart'!$C$2:$T$20,16,false)*HLOOKUP($K1002,'Type Chart'!$C$2:$U$20,16,false)</f>
        <v>1</v>
      </c>
      <c r="AJ1002" s="960">
        <f t="array" ref="AJ1002">HLOOKUP($J1002,'Type Chart'!$C$2:$T$20,17,false)*HLOOKUP($K1002,'Type Chart'!$C$2:$U$20,17,false)</f>
        <v>1</v>
      </c>
      <c r="AK1002" s="960">
        <f t="array" ref="AK1002">HLOOKUP($J1002,'Type Chart'!$C$2:$T$20,18,false)*HLOOKUP($K1002,'Type Chart'!$C$2:$U$20,18,false)</f>
        <v>2</v>
      </c>
      <c r="AL1002" s="960">
        <f t="array" ref="AL1002">HLOOKUP($J1002,'Type Chart'!$C$2:$T$20,19,false)*HLOOKUP($K1002,'Type Chart'!$C$2:$U$20,19,false)</f>
        <v>1</v>
      </c>
      <c r="AM1002" s="964" t="s">
        <v>1169</v>
      </c>
      <c r="AN1002" s="965"/>
      <c r="AO1002" s="966"/>
      <c r="AP1002" s="936"/>
      <c r="AQ1002" s="967"/>
      <c r="AR1002" s="968"/>
      <c r="AS1002" s="936"/>
    </row>
    <row r="1003" ht="15.75" customHeight="1">
      <c r="A1003" s="1099"/>
      <c r="B1003" s="948" t="s">
        <v>3776</v>
      </c>
      <c r="C1003" s="950" t="s">
        <v>3777</v>
      </c>
      <c r="D1003" s="950" t="s">
        <v>3777</v>
      </c>
      <c r="E1003" s="952" t="s">
        <v>3777</v>
      </c>
      <c r="F1003" s="940"/>
      <c r="G1003" s="953"/>
      <c r="H1003" s="969"/>
      <c r="I1003" s="956" t="s">
        <v>902</v>
      </c>
      <c r="J1003" s="1203" t="s">
        <v>344</v>
      </c>
      <c r="K1003" s="984" t="s">
        <v>216</v>
      </c>
      <c r="L1003" s="959">
        <v>43.0</v>
      </c>
      <c r="M1003" s="960">
        <v>29.0</v>
      </c>
      <c r="N1003" s="960">
        <v>131.0</v>
      </c>
      <c r="O1003" s="960">
        <v>29.0</v>
      </c>
      <c r="P1003" s="960">
        <v>131.0</v>
      </c>
      <c r="Q1003" s="960">
        <v>37.0</v>
      </c>
      <c r="R1003" s="960">
        <v>110.0</v>
      </c>
      <c r="S1003" s="960">
        <v>173.0</v>
      </c>
      <c r="T1003" s="960">
        <v>190.0</v>
      </c>
      <c r="U1003" s="960">
        <f t="array" ref="U1003">HLOOKUP($J1003,'Type Chart'!$C$2:$T$20,2,false)*HLOOKUP($K1003,'Type Chart'!$C$2:$U$20,2,false)</f>
        <v>1</v>
      </c>
      <c r="V1003" s="960">
        <f t="array" ref="V1003">HLOOKUP($J1003,'Type Chart'!$C$2:$T$20,3,false)*HLOOKUP($K1003,'Type Chart'!$C$2:$U$20,3,false)</f>
        <v>0.5</v>
      </c>
      <c r="W1003" s="960">
        <f t="array" ref="W1003">HLOOKUP($J1003,'Type Chart'!$C$2:$T$20,4,false)*HLOOKUP($K1003,'Type Chart'!$C$2:$U$20,4,false)</f>
        <v>1</v>
      </c>
      <c r="X1003" s="960">
        <f t="array" ref="X1003">HLOOKUP($J1003,'Type Chart'!$C$2:$T$20,5,false)*HLOOKUP($K1003,'Type Chart'!$C$2:$U$20,5,false)</f>
        <v>1</v>
      </c>
      <c r="Y1003" s="960">
        <f t="array" ref="Y1003">HLOOKUP($J1003,'Type Chart'!$C$2:$T$20,6,false)*HLOOKUP($K1003,'Type Chart'!$C$2:$U$20,6,false)</f>
        <v>1</v>
      </c>
      <c r="Z1003" s="960">
        <f t="array" ref="Z1003">HLOOKUP($J1003,'Type Chart'!$C$2:$T$20,7,false)*HLOOKUP($K1003,'Type Chart'!$C$2:$U$20,7,false)</f>
        <v>1</v>
      </c>
      <c r="AA1003" s="960">
        <f t="array" ref="AA1003">HLOOKUP($J1003,'Type Chart'!$C$2:$T$20,8,false)*HLOOKUP($K1003,'Type Chart'!$C$2:$U$20,8,false)</f>
        <v>2</v>
      </c>
      <c r="AB1003" s="960">
        <f t="array" ref="AB1003">HLOOKUP($J1003,'Type Chart'!$C$2:$T$20,9,false)*HLOOKUP($K1003,'Type Chart'!$C$2:$U$20,9,false)</f>
        <v>2</v>
      </c>
      <c r="AC1003" s="960">
        <f t="array" ref="AC1003">HLOOKUP($J1003,'Type Chart'!$C$2:$T$20,10,false)*HLOOKUP($K1003,'Type Chart'!$C$2:$U$20,10,false)</f>
        <v>1</v>
      </c>
      <c r="AD1003" s="960">
        <f t="array" ref="AD1003">HLOOKUP($J1003,'Type Chart'!$C$2:$T$20,11,false)*HLOOKUP($K1003,'Type Chart'!$C$2:$U$20,11,false)</f>
        <v>1</v>
      </c>
      <c r="AE1003" s="960">
        <f t="array" ref="AE1003">HLOOKUP($J1003,'Type Chart'!$C$2:$T$20,12,false)*HLOOKUP($K1003,'Type Chart'!$C$2:$U$20,12,false)</f>
        <v>1</v>
      </c>
      <c r="AF1003" s="960">
        <f t="array" ref="AF1003">HLOOKUP($J1003,'Type Chart'!$C$2:$T$20,13,false)*HLOOKUP($K1003,'Type Chart'!$C$2:$U$20,13,false)</f>
        <v>1</v>
      </c>
      <c r="AG1003" s="960">
        <f t="array" ref="AG1003">HLOOKUP($J1003,'Type Chart'!$C$2:$T$20,14,false)*HLOOKUP($K1003,'Type Chart'!$C$2:$U$20,14,false)</f>
        <v>1</v>
      </c>
      <c r="AH1003" s="960">
        <f t="array" ref="AH1003">HLOOKUP($J1003,'Type Chart'!$C$2:$T$20,15,false)*HLOOKUP($K1003,'Type Chart'!$C$2:$U$20,15,false)</f>
        <v>0.5</v>
      </c>
      <c r="AI1003" s="960">
        <f t="array" ref="AI1003">HLOOKUP($J1003,'Type Chart'!$C$2:$T$20,16,false)*HLOOKUP($K1003,'Type Chart'!$C$2:$U$20,16,false)</f>
        <v>1</v>
      </c>
      <c r="AJ1003" s="960">
        <f t="array" ref="AJ1003">HLOOKUP($J1003,'Type Chart'!$C$2:$T$20,17,false)*HLOOKUP($K1003,'Type Chart'!$C$2:$U$20,17,false)</f>
        <v>1</v>
      </c>
      <c r="AK1003" s="960">
        <f t="array" ref="AK1003">HLOOKUP($J1003,'Type Chart'!$C$2:$T$20,18,false)*HLOOKUP($K1003,'Type Chart'!$C$2:$U$20,18,false)</f>
        <v>2</v>
      </c>
      <c r="AL1003" s="960">
        <f t="array" ref="AL1003">HLOOKUP($J1003,'Type Chart'!$C$2:$T$20,19,false)*HLOOKUP($K1003,'Type Chart'!$C$2:$U$20,19,false)</f>
        <v>1</v>
      </c>
      <c r="AM1003" s="1145" t="s">
        <v>1331</v>
      </c>
      <c r="AN1003" s="965"/>
      <c r="AO1003" s="1146"/>
      <c r="AP1003" s="936"/>
      <c r="AQ1003" s="967"/>
      <c r="AR1003" s="968"/>
      <c r="AS1003" s="936"/>
    </row>
    <row r="1004" ht="15.75" customHeight="1">
      <c r="A1004" s="1099"/>
      <c r="B1004" s="948" t="s">
        <v>3778</v>
      </c>
      <c r="C1004" s="950" t="s">
        <v>3779</v>
      </c>
      <c r="D1004" s="950" t="s">
        <v>3779</v>
      </c>
      <c r="E1004" s="952" t="s">
        <v>3779</v>
      </c>
      <c r="F1004" s="940"/>
      <c r="G1004" s="953"/>
      <c r="H1004" s="969"/>
      <c r="I1004" s="956" t="s">
        <v>280</v>
      </c>
      <c r="J1004" s="1203" t="s">
        <v>344</v>
      </c>
      <c r="K1004" s="1206" t="s">
        <v>82</v>
      </c>
      <c r="L1004" s="959">
        <v>137.0</v>
      </c>
      <c r="M1004" s="960">
        <v>137.0</v>
      </c>
      <c r="N1004" s="960">
        <v>107.0</v>
      </c>
      <c r="O1004" s="960">
        <v>113.0</v>
      </c>
      <c r="P1004" s="960">
        <v>89.0</v>
      </c>
      <c r="Q1004" s="960">
        <v>97.0</v>
      </c>
      <c r="R1004" s="960">
        <v>230.0</v>
      </c>
      <c r="S1004" s="960">
        <v>293.0</v>
      </c>
      <c r="T1004" s="960">
        <v>322.0</v>
      </c>
      <c r="U1004" s="960">
        <f t="array" ref="U1004">HLOOKUP($J1004,'Type Chart'!$C$2:$T$20,2,false)*HLOOKUP($K1004,'Type Chart'!$C$2:$U$20,2,false)</f>
        <v>0.5</v>
      </c>
      <c r="V1004" s="960">
        <f t="array" ref="V1004">HLOOKUP($J1004,'Type Chart'!$C$2:$T$20,3,false)*HLOOKUP($K1004,'Type Chart'!$C$2:$U$20,3,false)</f>
        <v>1</v>
      </c>
      <c r="W1004" s="960">
        <f t="array" ref="W1004">HLOOKUP($J1004,'Type Chart'!$C$2:$T$20,4,false)*HLOOKUP($K1004,'Type Chart'!$C$2:$U$20,4,false)</f>
        <v>0.5</v>
      </c>
      <c r="X1004" s="960">
        <f t="array" ref="X1004">HLOOKUP($J1004,'Type Chart'!$C$2:$T$20,5,false)*HLOOKUP($K1004,'Type Chart'!$C$2:$U$20,5,false)</f>
        <v>0</v>
      </c>
      <c r="Y1004" s="960">
        <f t="array" ref="Y1004">HLOOKUP($J1004,'Type Chart'!$C$2:$T$20,6,false)*HLOOKUP($K1004,'Type Chart'!$C$2:$U$20,6,false)</f>
        <v>2</v>
      </c>
      <c r="Z1004" s="960">
        <f t="array" ref="Z1004">HLOOKUP($J1004,'Type Chart'!$C$2:$T$20,7,false)*HLOOKUP($K1004,'Type Chart'!$C$2:$U$20,7,false)</f>
        <v>0.5</v>
      </c>
      <c r="AA1004" s="960">
        <f t="array" ref="AA1004">HLOOKUP($J1004,'Type Chart'!$C$2:$T$20,8,false)*HLOOKUP($K1004,'Type Chart'!$C$2:$U$20,8,false)</f>
        <v>1</v>
      </c>
      <c r="AB1004" s="960">
        <f t="array" ref="AB1004">HLOOKUP($J1004,'Type Chart'!$C$2:$T$20,9,false)*HLOOKUP($K1004,'Type Chart'!$C$2:$U$20,9,false)</f>
        <v>2</v>
      </c>
      <c r="AC1004" s="960">
        <f t="array" ref="AC1004">HLOOKUP($J1004,'Type Chart'!$C$2:$T$20,10,false)*HLOOKUP($K1004,'Type Chart'!$C$2:$U$20,10,false)</f>
        <v>0.5</v>
      </c>
      <c r="AD1004" s="960">
        <f t="array" ref="AD1004">HLOOKUP($J1004,'Type Chart'!$C$2:$T$20,11,false)*HLOOKUP($K1004,'Type Chart'!$C$2:$U$20,11,false)</f>
        <v>2</v>
      </c>
      <c r="AE1004" s="960">
        <f t="array" ref="AE1004">HLOOKUP($J1004,'Type Chart'!$C$2:$T$20,12,false)*HLOOKUP($K1004,'Type Chart'!$C$2:$U$20,12,false)</f>
        <v>1</v>
      </c>
      <c r="AF1004" s="960">
        <f t="array" ref="AF1004">HLOOKUP($J1004,'Type Chart'!$C$2:$T$20,13,false)*HLOOKUP($K1004,'Type Chart'!$C$2:$U$20,13,false)</f>
        <v>0.5</v>
      </c>
      <c r="AG1004" s="960">
        <f t="array" ref="AG1004">HLOOKUP($J1004,'Type Chart'!$C$2:$T$20,14,false)*HLOOKUP($K1004,'Type Chart'!$C$2:$U$20,14,false)</f>
        <v>1</v>
      </c>
      <c r="AH1004" s="960">
        <f t="array" ref="AH1004">HLOOKUP($J1004,'Type Chart'!$C$2:$T$20,15,false)*HLOOKUP($K1004,'Type Chart'!$C$2:$U$20,15,false)</f>
        <v>0.25</v>
      </c>
      <c r="AI1004" s="960">
        <f t="array" ref="AI1004">HLOOKUP($J1004,'Type Chart'!$C$2:$T$20,16,false)*HLOOKUP($K1004,'Type Chart'!$C$2:$U$20,16,false)</f>
        <v>0.5</v>
      </c>
      <c r="AJ1004" s="960">
        <f t="array" ref="AJ1004">HLOOKUP($J1004,'Type Chart'!$C$2:$T$20,17,false)*HLOOKUP($K1004,'Type Chart'!$C$2:$U$20,17,false)</f>
        <v>0.5</v>
      </c>
      <c r="AK1004" s="960">
        <f t="array" ref="AK1004">HLOOKUP($J1004,'Type Chart'!$C$2:$T$20,18,false)*HLOOKUP($K1004,'Type Chart'!$C$2:$U$20,18,false)</f>
        <v>2</v>
      </c>
      <c r="AL1004" s="960">
        <f t="array" ref="AL1004">HLOOKUP($J1004,'Type Chart'!$C$2:$T$20,19,false)*HLOOKUP($K1004,'Type Chart'!$C$2:$U$20,19,false)</f>
        <v>0.5</v>
      </c>
      <c r="AM1004" s="1145" t="s">
        <v>3780</v>
      </c>
      <c r="AN1004" s="965"/>
      <c r="AO1004" s="1146"/>
      <c r="AP1004" s="936"/>
      <c r="AQ1004" s="967"/>
      <c r="AR1004" s="968"/>
      <c r="AS1004" s="936"/>
    </row>
    <row r="1005" ht="15.75" customHeight="1">
      <c r="A1005" s="1099"/>
      <c r="B1005" s="948" t="s">
        <v>3781</v>
      </c>
      <c r="C1005" s="950" t="s">
        <v>3782</v>
      </c>
      <c r="D1005" s="950" t="s">
        <v>3782</v>
      </c>
      <c r="E1005" s="952" t="s">
        <v>3782</v>
      </c>
      <c r="F1005" s="940"/>
      <c r="G1005" s="953"/>
      <c r="H1005" s="969"/>
      <c r="I1005" s="956" t="s">
        <v>259</v>
      </c>
      <c r="J1005" s="1203" t="s">
        <v>344</v>
      </c>
      <c r="K1005" s="1220" t="s">
        <v>215</v>
      </c>
      <c r="L1005" s="959">
        <v>137.0</v>
      </c>
      <c r="M1005" s="960">
        <v>113.0</v>
      </c>
      <c r="N1005" s="960">
        <v>89.0</v>
      </c>
      <c r="O1005" s="960">
        <v>137.0</v>
      </c>
      <c r="P1005" s="960">
        <v>107.0</v>
      </c>
      <c r="Q1005" s="960">
        <v>97.0</v>
      </c>
      <c r="R1005" s="960">
        <v>230.0</v>
      </c>
      <c r="S1005" s="960">
        <v>293.0</v>
      </c>
      <c r="T1005" s="960">
        <v>322.0</v>
      </c>
      <c r="U1005" s="960">
        <f t="array" ref="U1005">HLOOKUP($J1005,'Type Chart'!$C$2:$T$20,2,false)*HLOOKUP($K1005,'Type Chart'!$C$2:$U$20,2,false)</f>
        <v>0</v>
      </c>
      <c r="V1005" s="960">
        <f t="array" ref="V1005">HLOOKUP($J1005,'Type Chart'!$C$2:$T$20,3,false)*HLOOKUP($K1005,'Type Chart'!$C$2:$U$20,3,false)</f>
        <v>0</v>
      </c>
      <c r="W1005" s="960">
        <f t="array" ref="W1005">HLOOKUP($J1005,'Type Chart'!$C$2:$T$20,4,false)*HLOOKUP($K1005,'Type Chart'!$C$2:$U$20,4,false)</f>
        <v>1</v>
      </c>
      <c r="X1005" s="960">
        <f t="array" ref="X1005">HLOOKUP($J1005,'Type Chart'!$C$2:$T$20,5,false)*HLOOKUP($K1005,'Type Chart'!$C$2:$U$20,5,false)</f>
        <v>0.5</v>
      </c>
      <c r="Y1005" s="960">
        <f t="array" ref="Y1005">HLOOKUP($J1005,'Type Chart'!$C$2:$T$20,6,false)*HLOOKUP($K1005,'Type Chart'!$C$2:$U$20,6,false)</f>
        <v>1</v>
      </c>
      <c r="Z1005" s="960">
        <f t="array" ref="Z1005">HLOOKUP($J1005,'Type Chart'!$C$2:$T$20,7,false)*HLOOKUP($K1005,'Type Chart'!$C$2:$U$20,7,false)</f>
        <v>1</v>
      </c>
      <c r="AA1005" s="960">
        <f t="array" ref="AA1005">HLOOKUP($J1005,'Type Chart'!$C$2:$T$20,8,false)*HLOOKUP($K1005,'Type Chart'!$C$2:$U$20,8,false)</f>
        <v>1</v>
      </c>
      <c r="AB1005" s="960">
        <f t="array" ref="AB1005">HLOOKUP($J1005,'Type Chart'!$C$2:$T$20,9,false)*HLOOKUP($K1005,'Type Chart'!$C$2:$U$20,9,false)</f>
        <v>4</v>
      </c>
      <c r="AC1005" s="960">
        <f t="array" ref="AC1005">HLOOKUP($J1005,'Type Chart'!$C$2:$T$20,10,false)*HLOOKUP($K1005,'Type Chart'!$C$2:$U$20,10,false)</f>
        <v>1</v>
      </c>
      <c r="AD1005" s="960">
        <f t="array" ref="AD1005">HLOOKUP($J1005,'Type Chart'!$C$2:$T$20,11,false)*HLOOKUP($K1005,'Type Chart'!$C$2:$U$20,11,false)</f>
        <v>1</v>
      </c>
      <c r="AE1005" s="960">
        <f t="array" ref="AE1005">HLOOKUP($J1005,'Type Chart'!$C$2:$T$20,12,false)*HLOOKUP($K1005,'Type Chart'!$C$2:$U$20,12,false)</f>
        <v>1</v>
      </c>
      <c r="AF1005" s="960">
        <f t="array" ref="AF1005">HLOOKUP($J1005,'Type Chart'!$C$2:$T$20,13,false)*HLOOKUP($K1005,'Type Chart'!$C$2:$U$20,13,false)</f>
        <v>1</v>
      </c>
      <c r="AG1005" s="960">
        <f t="array" ref="AG1005">HLOOKUP($J1005,'Type Chart'!$C$2:$T$20,14,false)*HLOOKUP($K1005,'Type Chart'!$C$2:$U$20,14,false)</f>
        <v>1</v>
      </c>
      <c r="AH1005" s="960">
        <f t="array" ref="AH1005">HLOOKUP($J1005,'Type Chart'!$C$2:$T$20,15,false)*HLOOKUP($K1005,'Type Chart'!$C$2:$U$20,15,false)</f>
        <v>0.5</v>
      </c>
      <c r="AI1005" s="960">
        <f t="array" ref="AI1005">HLOOKUP($J1005,'Type Chart'!$C$2:$T$20,16,false)*HLOOKUP($K1005,'Type Chart'!$C$2:$U$20,16,false)</f>
        <v>1</v>
      </c>
      <c r="AJ1005" s="960">
        <f t="array" ref="AJ1005">HLOOKUP($J1005,'Type Chart'!$C$2:$T$20,17,false)*HLOOKUP($K1005,'Type Chart'!$C$2:$U$20,17,false)</f>
        <v>1</v>
      </c>
      <c r="AK1005" s="960">
        <f t="array" ref="AK1005">HLOOKUP($J1005,'Type Chart'!$C$2:$T$20,18,false)*HLOOKUP($K1005,'Type Chart'!$C$2:$U$20,18,false)</f>
        <v>4</v>
      </c>
      <c r="AL1005" s="960">
        <f t="array" ref="AL1005">HLOOKUP($J1005,'Type Chart'!$C$2:$T$20,19,false)*HLOOKUP($K1005,'Type Chart'!$C$2:$U$20,19,false)</f>
        <v>1</v>
      </c>
      <c r="AM1005" s="1145" t="s">
        <v>3783</v>
      </c>
      <c r="AN1005" s="1202"/>
      <c r="AO1005" s="1146"/>
      <c r="AP1005" s="936"/>
      <c r="AQ1005" s="967"/>
      <c r="AR1005" s="968"/>
      <c r="AS1005" s="936"/>
    </row>
    <row r="1006" ht="15.75" customHeight="1">
      <c r="A1006" s="936"/>
      <c r="B1006" s="948" t="s">
        <v>3784</v>
      </c>
      <c r="C1006" s="950" t="s">
        <v>3785</v>
      </c>
      <c r="D1006" s="950" t="s">
        <v>3785</v>
      </c>
      <c r="E1006" s="952" t="s">
        <v>3785</v>
      </c>
      <c r="F1006" s="940"/>
      <c r="G1006" s="953"/>
      <c r="H1006" s="969"/>
      <c r="I1006" s="956" t="s">
        <v>3786</v>
      </c>
      <c r="J1006" s="1214" t="s">
        <v>342</v>
      </c>
      <c r="K1006" s="958" t="s">
        <v>178</v>
      </c>
      <c r="L1006" s="959">
        <v>109.0</v>
      </c>
      <c r="M1006" s="960">
        <v>53.0</v>
      </c>
      <c r="N1006" s="960">
        <v>47.0</v>
      </c>
      <c r="O1006" s="960">
        <v>127.0</v>
      </c>
      <c r="P1006" s="960">
        <v>131.0</v>
      </c>
      <c r="Q1006" s="960">
        <v>103.0</v>
      </c>
      <c r="R1006" s="960">
        <v>242.0</v>
      </c>
      <c r="S1006" s="960">
        <v>305.0</v>
      </c>
      <c r="T1006" s="960">
        <v>335.0</v>
      </c>
      <c r="U1006" s="960">
        <f t="array" ref="U1006">HLOOKUP($J1006,'Type Chart'!$C$2:$T$20,2,false)*HLOOKUP($K1006,'Type Chart'!$C$2:$U$20,2,false)</f>
        <v>0.5</v>
      </c>
      <c r="V1006" s="960">
        <f t="array" ref="V1006">HLOOKUP($J1006,'Type Chart'!$C$2:$T$20,3,false)*HLOOKUP($K1006,'Type Chart'!$C$2:$U$20,3,false)</f>
        <v>1</v>
      </c>
      <c r="W1006" s="960">
        <f t="array" ref="W1006">HLOOKUP($J1006,'Type Chart'!$C$2:$T$20,4,false)*HLOOKUP($K1006,'Type Chart'!$C$2:$U$20,4,false)</f>
        <v>0.5</v>
      </c>
      <c r="X1006" s="960">
        <f t="array" ref="X1006">HLOOKUP($J1006,'Type Chart'!$C$2:$T$20,5,false)*HLOOKUP($K1006,'Type Chart'!$C$2:$U$20,5,false)</f>
        <v>0.25</v>
      </c>
      <c r="Y1006" s="960">
        <f t="array" ref="Y1006">HLOOKUP($J1006,'Type Chart'!$C$2:$T$20,6,false)*HLOOKUP($K1006,'Type Chart'!$C$2:$U$20,6,false)</f>
        <v>4</v>
      </c>
      <c r="Z1006" s="960">
        <f t="array" ref="Z1006">HLOOKUP($J1006,'Type Chart'!$C$2:$T$20,7,false)*HLOOKUP($K1006,'Type Chart'!$C$2:$U$20,7,false)</f>
        <v>1</v>
      </c>
      <c r="AA1006" s="960">
        <f t="array" ref="AA1006">HLOOKUP($J1006,'Type Chart'!$C$2:$T$20,8,false)*HLOOKUP($K1006,'Type Chart'!$C$2:$U$20,8,false)</f>
        <v>0.5</v>
      </c>
      <c r="AB1006" s="960">
        <f t="array" ref="AB1006">HLOOKUP($J1006,'Type Chart'!$C$2:$T$20,9,false)*HLOOKUP($K1006,'Type Chart'!$C$2:$U$20,9,false)</f>
        <v>1</v>
      </c>
      <c r="AC1006" s="960">
        <f t="array" ref="AC1006">HLOOKUP($J1006,'Type Chart'!$C$2:$T$20,10,false)*HLOOKUP($K1006,'Type Chart'!$C$2:$U$20,10,false)</f>
        <v>2</v>
      </c>
      <c r="AD1006" s="960">
        <f t="array" ref="AD1006">HLOOKUP($J1006,'Type Chart'!$C$2:$T$20,11,false)*HLOOKUP($K1006,'Type Chart'!$C$2:$U$20,11,false)</f>
        <v>0.5</v>
      </c>
      <c r="AE1006" s="960">
        <f t="array" ref="AE1006">HLOOKUP($J1006,'Type Chart'!$C$2:$T$20,12,false)*HLOOKUP($K1006,'Type Chart'!$C$2:$U$20,12,false)</f>
        <v>2</v>
      </c>
      <c r="AF1006" s="960">
        <f t="array" ref="AF1006">HLOOKUP($J1006,'Type Chart'!$C$2:$T$20,13,false)*HLOOKUP($K1006,'Type Chart'!$C$2:$U$20,13,false)</f>
        <v>1</v>
      </c>
      <c r="AG1006" s="960">
        <f t="array" ref="AG1006">HLOOKUP($J1006,'Type Chart'!$C$2:$T$20,14,false)*HLOOKUP($K1006,'Type Chart'!$C$2:$U$20,14,false)</f>
        <v>1</v>
      </c>
      <c r="AH1006" s="960">
        <f t="array" ref="AH1006">HLOOKUP($J1006,'Type Chart'!$C$2:$T$20,15,false)*HLOOKUP($K1006,'Type Chart'!$C$2:$U$20,15,false)</f>
        <v>2</v>
      </c>
      <c r="AI1006" s="960">
        <f t="array" ref="AI1006">HLOOKUP($J1006,'Type Chart'!$C$2:$T$20,16,false)*HLOOKUP($K1006,'Type Chart'!$C$2:$U$20,16,false)</f>
        <v>1</v>
      </c>
      <c r="AJ1006" s="960">
        <f t="array" ref="AJ1006">HLOOKUP($J1006,'Type Chart'!$C$2:$T$20,17,false)*HLOOKUP($K1006,'Type Chart'!$C$2:$U$20,17,false)</f>
        <v>1</v>
      </c>
      <c r="AK1006" s="960">
        <f t="array" ref="AK1006">HLOOKUP($J1006,'Type Chart'!$C$2:$T$20,18,false)*HLOOKUP($K1006,'Type Chart'!$C$2:$U$20,18,false)</f>
        <v>1</v>
      </c>
      <c r="AL1006" s="960">
        <f t="array" ref="AL1006">HLOOKUP($J1006,'Type Chart'!$C$2:$T$20,19,false)*HLOOKUP($K1006,'Type Chart'!$C$2:$U$20,19,false)</f>
        <v>0.5</v>
      </c>
      <c r="AM1006" s="964" t="s">
        <v>3787</v>
      </c>
      <c r="AN1006" s="965"/>
      <c r="AO1006" s="966"/>
      <c r="AP1006" s="936"/>
      <c r="AQ1006" s="967"/>
      <c r="AR1006" s="968"/>
      <c r="AS1006" s="936"/>
    </row>
    <row r="1007" ht="15.75" customHeight="1">
      <c r="A1007" s="1099"/>
      <c r="B1007" s="948" t="s">
        <v>3788</v>
      </c>
      <c r="C1007" s="1197" t="s">
        <v>3789</v>
      </c>
      <c r="D1007" s="1197" t="s">
        <v>3789</v>
      </c>
      <c r="E1007" s="1147" t="s">
        <v>3789</v>
      </c>
      <c r="F1007" s="940"/>
      <c r="G1007" s="953"/>
      <c r="H1007" s="969"/>
      <c r="I1007" s="998" t="s">
        <v>3790</v>
      </c>
      <c r="J1007" s="1225" t="s">
        <v>343</v>
      </c>
      <c r="K1007" s="1212" t="s">
        <v>341</v>
      </c>
      <c r="L1007" s="1200">
        <v>107.0</v>
      </c>
      <c r="M1007" s="1201">
        <v>139.0</v>
      </c>
      <c r="N1007" s="1201">
        <v>139.0</v>
      </c>
      <c r="O1007" s="1201">
        <v>53.0</v>
      </c>
      <c r="P1007" s="1201">
        <v>53.0</v>
      </c>
      <c r="Q1007" s="1201">
        <v>79.0</v>
      </c>
      <c r="R1007" s="960">
        <v>194.0</v>
      </c>
      <c r="S1007" s="960">
        <v>257.0</v>
      </c>
      <c r="T1007" s="960">
        <v>282.0</v>
      </c>
      <c r="U1007" s="960">
        <f t="array" ref="U1007">HLOOKUP($J1007,'Type Chart'!$C$2:$T$20,2,false)*HLOOKUP($K1007,'Type Chart'!$C$2:$U$20,2,false)</f>
        <v>1</v>
      </c>
      <c r="V1007" s="960">
        <f t="array" ref="V1007">HLOOKUP($J1007,'Type Chart'!$C$2:$T$20,3,false)*HLOOKUP($K1007,'Type Chart'!$C$2:$U$20,3,false)</f>
        <v>0.5</v>
      </c>
      <c r="W1007" s="960">
        <f t="array" ref="W1007">HLOOKUP($J1007,'Type Chart'!$C$2:$T$20,4,false)*HLOOKUP($K1007,'Type Chart'!$C$2:$U$20,4,false)</f>
        <v>4</v>
      </c>
      <c r="X1007" s="960">
        <f t="array" ref="X1007">HLOOKUP($J1007,'Type Chart'!$C$2:$T$20,5,false)*HLOOKUP($K1007,'Type Chart'!$C$2:$U$20,5,false)</f>
        <v>1</v>
      </c>
      <c r="Y1007" s="960">
        <f t="array" ref="Y1007">HLOOKUP($J1007,'Type Chart'!$C$2:$T$20,6,false)*HLOOKUP($K1007,'Type Chart'!$C$2:$U$20,6,false)</f>
        <v>0.5</v>
      </c>
      <c r="Z1007" s="960">
        <f t="array" ref="Z1007">HLOOKUP($J1007,'Type Chart'!$C$2:$T$20,7,false)*HLOOKUP($K1007,'Type Chart'!$C$2:$U$20,7,false)</f>
        <v>1</v>
      </c>
      <c r="AA1007" s="960">
        <f t="array" ref="AA1007">HLOOKUP($J1007,'Type Chart'!$C$2:$T$20,8,false)*HLOOKUP($K1007,'Type Chart'!$C$2:$U$20,8,false)</f>
        <v>0.5</v>
      </c>
      <c r="AB1007" s="960">
        <f t="array" ref="AB1007">HLOOKUP($J1007,'Type Chart'!$C$2:$T$20,9,false)*HLOOKUP($K1007,'Type Chart'!$C$2:$U$20,9,false)</f>
        <v>1</v>
      </c>
      <c r="AC1007" s="960">
        <f t="array" ref="AC1007">HLOOKUP($J1007,'Type Chart'!$C$2:$T$20,10,false)*HLOOKUP($K1007,'Type Chart'!$C$2:$U$20,10,false)</f>
        <v>1</v>
      </c>
      <c r="AD1007" s="960">
        <f t="array" ref="AD1007">HLOOKUP($J1007,'Type Chart'!$C$2:$T$20,11,false)*HLOOKUP($K1007,'Type Chart'!$C$2:$U$20,11,false)</f>
        <v>2</v>
      </c>
      <c r="AE1007" s="960">
        <f t="array" ref="AE1007">HLOOKUP($J1007,'Type Chart'!$C$2:$T$20,12,false)*HLOOKUP($K1007,'Type Chart'!$C$2:$U$20,12,false)</f>
        <v>1</v>
      </c>
      <c r="AF1007" s="960">
        <f t="array" ref="AF1007">HLOOKUP($J1007,'Type Chart'!$C$2:$T$20,13,false)*HLOOKUP($K1007,'Type Chart'!$C$2:$U$20,13,false)</f>
        <v>0.5</v>
      </c>
      <c r="AG1007" s="960">
        <f t="array" ref="AG1007">HLOOKUP($J1007,'Type Chart'!$C$2:$T$20,14,false)*HLOOKUP($K1007,'Type Chart'!$C$2:$U$20,14,false)</f>
        <v>1</v>
      </c>
      <c r="AH1007" s="960">
        <f t="array" ref="AH1007">HLOOKUP($J1007,'Type Chart'!$C$2:$T$20,15,false)*HLOOKUP($K1007,'Type Chart'!$C$2:$U$20,15,false)</f>
        <v>2</v>
      </c>
      <c r="AI1007" s="960">
        <f t="array" ref="AI1007">HLOOKUP($J1007,'Type Chart'!$C$2:$T$20,16,false)*HLOOKUP($K1007,'Type Chart'!$C$2:$U$20,16,false)</f>
        <v>1</v>
      </c>
      <c r="AJ1007" s="960">
        <f t="array" ref="AJ1007">HLOOKUP($J1007,'Type Chart'!$C$2:$T$20,17,false)*HLOOKUP($K1007,'Type Chart'!$C$2:$U$20,17,false)</f>
        <v>1</v>
      </c>
      <c r="AK1007" s="960">
        <f t="array" ref="AK1007">HLOOKUP($J1007,'Type Chart'!$C$2:$T$20,18,false)*HLOOKUP($K1007,'Type Chart'!$C$2:$U$20,18,false)</f>
        <v>0.5</v>
      </c>
      <c r="AL1007" s="960">
        <f t="array" ref="AL1007">HLOOKUP($J1007,'Type Chart'!$C$2:$T$20,19,false)*HLOOKUP($K1007,'Type Chart'!$C$2:$U$20,19,false)</f>
        <v>2</v>
      </c>
      <c r="AM1007" s="1145" t="s">
        <v>3787</v>
      </c>
      <c r="AN1007" s="965"/>
      <c r="AO1007" s="1146"/>
      <c r="AP1007" s="936"/>
      <c r="AQ1007" s="967"/>
      <c r="AR1007" s="968"/>
      <c r="AS1007" s="936"/>
    </row>
    <row r="1008" ht="15.75" customHeight="1">
      <c r="A1008" s="936"/>
      <c r="B1008" s="948" t="s">
        <v>3791</v>
      </c>
      <c r="C1008" s="950" t="s">
        <v>3792</v>
      </c>
      <c r="D1008" s="950" t="s">
        <v>3792</v>
      </c>
      <c r="E1008" s="952" t="s">
        <v>3792</v>
      </c>
      <c r="F1008" s="940"/>
      <c r="G1008" s="953"/>
      <c r="H1008" s="969"/>
      <c r="I1008" s="956" t="s">
        <v>3793</v>
      </c>
      <c r="J1008" s="1180" t="s">
        <v>343</v>
      </c>
      <c r="K1008" s="1213" t="s">
        <v>341</v>
      </c>
      <c r="L1008" s="959">
        <v>71.0</v>
      </c>
      <c r="M1008" s="960">
        <v>137.0</v>
      </c>
      <c r="N1008" s="960">
        <v>37.0</v>
      </c>
      <c r="O1008" s="960">
        <v>137.0</v>
      </c>
      <c r="P1008" s="960">
        <v>37.0</v>
      </c>
      <c r="Q1008" s="960">
        <v>151.0</v>
      </c>
      <c r="R1008" s="960">
        <v>338.0</v>
      </c>
      <c r="S1008" s="960">
        <v>401.0</v>
      </c>
      <c r="T1008" s="960">
        <v>441.0</v>
      </c>
      <c r="U1008" s="960">
        <f t="array" ref="U1008">HLOOKUP($J1008,'Type Chart'!$C$2:$T$20,2,false)*HLOOKUP($K1008,'Type Chart'!$C$2:$U$20,2,false)</f>
        <v>1</v>
      </c>
      <c r="V1008" s="960">
        <f t="array" ref="V1008">HLOOKUP($J1008,'Type Chart'!$C$2:$T$20,3,false)*HLOOKUP($K1008,'Type Chart'!$C$2:$U$20,3,false)</f>
        <v>0.5</v>
      </c>
      <c r="W1008" s="960">
        <f t="array" ref="W1008">HLOOKUP($J1008,'Type Chart'!$C$2:$T$20,4,false)*HLOOKUP($K1008,'Type Chart'!$C$2:$U$20,4,false)</f>
        <v>4</v>
      </c>
      <c r="X1008" s="960">
        <f t="array" ref="X1008">HLOOKUP($J1008,'Type Chart'!$C$2:$T$20,5,false)*HLOOKUP($K1008,'Type Chart'!$C$2:$U$20,5,false)</f>
        <v>1</v>
      </c>
      <c r="Y1008" s="960">
        <f t="array" ref="Y1008">HLOOKUP($J1008,'Type Chart'!$C$2:$T$20,6,false)*HLOOKUP($K1008,'Type Chart'!$C$2:$U$20,6,false)</f>
        <v>0.5</v>
      </c>
      <c r="Z1008" s="960">
        <f t="array" ref="Z1008">HLOOKUP($J1008,'Type Chart'!$C$2:$T$20,7,false)*HLOOKUP($K1008,'Type Chart'!$C$2:$U$20,7,false)</f>
        <v>1</v>
      </c>
      <c r="AA1008" s="960">
        <f t="array" ref="AA1008">HLOOKUP($J1008,'Type Chart'!$C$2:$T$20,8,false)*HLOOKUP($K1008,'Type Chart'!$C$2:$U$20,8,false)</f>
        <v>0.5</v>
      </c>
      <c r="AB1008" s="960">
        <f t="array" ref="AB1008">HLOOKUP($J1008,'Type Chart'!$C$2:$T$20,9,false)*HLOOKUP($K1008,'Type Chart'!$C$2:$U$20,9,false)</f>
        <v>1</v>
      </c>
      <c r="AC1008" s="960">
        <f t="array" ref="AC1008">HLOOKUP($J1008,'Type Chart'!$C$2:$T$20,10,false)*HLOOKUP($K1008,'Type Chart'!$C$2:$U$20,10,false)</f>
        <v>1</v>
      </c>
      <c r="AD1008" s="960">
        <f t="array" ref="AD1008">HLOOKUP($J1008,'Type Chart'!$C$2:$T$20,11,false)*HLOOKUP($K1008,'Type Chart'!$C$2:$U$20,11,false)</f>
        <v>2</v>
      </c>
      <c r="AE1008" s="960">
        <f t="array" ref="AE1008">HLOOKUP($J1008,'Type Chart'!$C$2:$T$20,12,false)*HLOOKUP($K1008,'Type Chart'!$C$2:$U$20,12,false)</f>
        <v>1</v>
      </c>
      <c r="AF1008" s="960">
        <f t="array" ref="AF1008">HLOOKUP($J1008,'Type Chart'!$C$2:$T$20,13,false)*HLOOKUP($K1008,'Type Chart'!$C$2:$U$20,13,false)</f>
        <v>0.5</v>
      </c>
      <c r="AG1008" s="960">
        <f t="array" ref="AG1008">HLOOKUP($J1008,'Type Chart'!$C$2:$T$20,14,false)*HLOOKUP($K1008,'Type Chart'!$C$2:$U$20,14,false)</f>
        <v>1</v>
      </c>
      <c r="AH1008" s="960">
        <f t="array" ref="AH1008">HLOOKUP($J1008,'Type Chart'!$C$2:$T$20,15,false)*HLOOKUP($K1008,'Type Chart'!$C$2:$U$20,15,false)</f>
        <v>2</v>
      </c>
      <c r="AI1008" s="960">
        <f t="array" ref="AI1008">HLOOKUP($J1008,'Type Chart'!$C$2:$T$20,16,false)*HLOOKUP($K1008,'Type Chart'!$C$2:$U$20,16,false)</f>
        <v>1</v>
      </c>
      <c r="AJ1008" s="960">
        <f t="array" ref="AJ1008">HLOOKUP($J1008,'Type Chart'!$C$2:$T$20,17,false)*HLOOKUP($K1008,'Type Chart'!$C$2:$U$20,17,false)</f>
        <v>1</v>
      </c>
      <c r="AK1008" s="960">
        <f t="array" ref="AK1008">HLOOKUP($J1008,'Type Chart'!$C$2:$T$20,18,false)*HLOOKUP($K1008,'Type Chart'!$C$2:$U$20,18,false)</f>
        <v>0.5</v>
      </c>
      <c r="AL1008" s="960">
        <f t="array" ref="AL1008">HLOOKUP($J1008,'Type Chart'!$C$2:$T$20,19,false)*HLOOKUP($K1008,'Type Chart'!$C$2:$U$20,19,false)</f>
        <v>2</v>
      </c>
      <c r="AM1008" s="964" t="s">
        <v>3787</v>
      </c>
      <c r="AN1008" s="965"/>
      <c r="AO1008" s="966"/>
      <c r="AP1008" s="936"/>
      <c r="AQ1008" s="967"/>
      <c r="AR1008" s="968"/>
      <c r="AS1008" s="936"/>
    </row>
    <row r="1009" ht="15.75" customHeight="1">
      <c r="A1009" s="936"/>
      <c r="B1009" s="948" t="s">
        <v>3794</v>
      </c>
      <c r="C1009" s="950" t="s">
        <v>3795</v>
      </c>
      <c r="D1009" s="950" t="s">
        <v>3795</v>
      </c>
      <c r="E1009" s="952" t="s">
        <v>3795</v>
      </c>
      <c r="F1009" s="940"/>
      <c r="G1009" s="953"/>
      <c r="H1009" s="969"/>
      <c r="I1009" s="956" t="s">
        <v>3796</v>
      </c>
      <c r="J1009" s="1196" t="s">
        <v>203</v>
      </c>
      <c r="K1009" s="984" t="s">
        <v>216</v>
      </c>
      <c r="L1009" s="959">
        <v>83.0</v>
      </c>
      <c r="M1009" s="960">
        <v>89.0</v>
      </c>
      <c r="N1009" s="960">
        <v>71.0</v>
      </c>
      <c r="O1009" s="960">
        <v>173.0</v>
      </c>
      <c r="P1009" s="960">
        <v>71.0</v>
      </c>
      <c r="Q1009" s="960">
        <v>83.0</v>
      </c>
      <c r="R1009" s="960">
        <v>202.0</v>
      </c>
      <c r="S1009" s="960">
        <v>265.0</v>
      </c>
      <c r="T1009" s="960">
        <v>291.0</v>
      </c>
      <c r="U1009" s="960">
        <f t="array" ref="U1009">HLOOKUP($J1009,'Type Chart'!$C$2:$T$20,2,false)*HLOOKUP($K1009,'Type Chart'!$C$2:$U$20,2,false)</f>
        <v>1</v>
      </c>
      <c r="V1009" s="960">
        <f t="array" ref="V1009">HLOOKUP($J1009,'Type Chart'!$C$2:$T$20,3,false)*HLOOKUP($K1009,'Type Chart'!$C$2:$U$20,3,false)</f>
        <v>1</v>
      </c>
      <c r="W1009" s="960">
        <f t="array" ref="W1009">HLOOKUP($J1009,'Type Chart'!$C$2:$T$20,4,false)*HLOOKUP($K1009,'Type Chart'!$C$2:$U$20,4,false)</f>
        <v>0.5</v>
      </c>
      <c r="X1009" s="960">
        <f t="array" ref="X1009">HLOOKUP($J1009,'Type Chart'!$C$2:$T$20,5,false)*HLOOKUP($K1009,'Type Chart'!$C$2:$U$20,5,false)</f>
        <v>1</v>
      </c>
      <c r="Y1009" s="960">
        <f t="array" ref="Y1009">HLOOKUP($J1009,'Type Chart'!$C$2:$T$20,6,false)*HLOOKUP($K1009,'Type Chart'!$C$2:$U$20,6,false)</f>
        <v>2</v>
      </c>
      <c r="Z1009" s="960">
        <f t="array" ref="Z1009">HLOOKUP($J1009,'Type Chart'!$C$2:$T$20,7,false)*HLOOKUP($K1009,'Type Chart'!$C$2:$U$20,7,false)</f>
        <v>1</v>
      </c>
      <c r="AA1009" s="960">
        <f t="array" ref="AA1009">HLOOKUP($J1009,'Type Chart'!$C$2:$T$20,8,false)*HLOOKUP($K1009,'Type Chart'!$C$2:$U$20,8,false)</f>
        <v>1</v>
      </c>
      <c r="AB1009" s="960">
        <f t="array" ref="AB1009">HLOOKUP($J1009,'Type Chart'!$C$2:$T$20,9,false)*HLOOKUP($K1009,'Type Chart'!$C$2:$U$20,9,false)</f>
        <v>1</v>
      </c>
      <c r="AC1009" s="960">
        <f t="array" ref="AC1009">HLOOKUP($J1009,'Type Chart'!$C$2:$T$20,10,false)*HLOOKUP($K1009,'Type Chart'!$C$2:$U$20,10,false)</f>
        <v>0.5</v>
      </c>
      <c r="AD1009" s="960">
        <f t="array" ref="AD1009">HLOOKUP($J1009,'Type Chart'!$C$2:$T$20,11,false)*HLOOKUP($K1009,'Type Chart'!$C$2:$U$20,11,false)</f>
        <v>1</v>
      </c>
      <c r="AE1009" s="960">
        <f t="array" ref="AE1009">HLOOKUP($J1009,'Type Chart'!$C$2:$T$20,12,false)*HLOOKUP($K1009,'Type Chart'!$C$2:$U$20,12,false)</f>
        <v>1</v>
      </c>
      <c r="AF1009" s="960">
        <f t="array" ref="AF1009">HLOOKUP($J1009,'Type Chart'!$C$2:$T$20,13,false)*HLOOKUP($K1009,'Type Chart'!$C$2:$U$20,13,false)</f>
        <v>1</v>
      </c>
      <c r="AG1009" s="960">
        <f t="array" ref="AG1009">HLOOKUP($J1009,'Type Chart'!$C$2:$T$20,14,false)*HLOOKUP($K1009,'Type Chart'!$C$2:$U$20,14,false)</f>
        <v>0.5</v>
      </c>
      <c r="AH1009" s="960">
        <f t="array" ref="AH1009">HLOOKUP($J1009,'Type Chart'!$C$2:$T$20,15,false)*HLOOKUP($K1009,'Type Chart'!$C$2:$U$20,15,false)</f>
        <v>1</v>
      </c>
      <c r="AI1009" s="960">
        <f t="array" ref="AI1009">HLOOKUP($J1009,'Type Chart'!$C$2:$T$20,16,false)*HLOOKUP($K1009,'Type Chart'!$C$2:$U$20,16,false)</f>
        <v>1</v>
      </c>
      <c r="AJ1009" s="960">
        <f t="array" ref="AJ1009">HLOOKUP($J1009,'Type Chart'!$C$2:$T$20,17,false)*HLOOKUP($K1009,'Type Chart'!$C$2:$U$20,17,false)</f>
        <v>1</v>
      </c>
      <c r="AK1009" s="960">
        <f t="array" ref="AK1009">HLOOKUP($J1009,'Type Chart'!$C$2:$T$20,18,false)*HLOOKUP($K1009,'Type Chart'!$C$2:$U$20,18,false)</f>
        <v>1</v>
      </c>
      <c r="AL1009" s="960">
        <f t="array" ref="AL1009">HLOOKUP($J1009,'Type Chart'!$C$2:$T$20,19,false)*HLOOKUP($K1009,'Type Chart'!$C$2:$U$20,19,false)</f>
        <v>1</v>
      </c>
      <c r="AM1009" s="964" t="s">
        <v>3787</v>
      </c>
      <c r="AN1009" s="965"/>
      <c r="AO1009" s="966"/>
      <c r="AP1009" s="936"/>
      <c r="AQ1009" s="967"/>
      <c r="AR1009" s="968"/>
      <c r="AS1009" s="936"/>
    </row>
    <row r="1010" ht="15.75" customHeight="1">
      <c r="A1010" s="936"/>
      <c r="B1010" s="948" t="s">
        <v>3797</v>
      </c>
      <c r="C1010" s="950" t="s">
        <v>3798</v>
      </c>
      <c r="D1010" s="950" t="s">
        <v>3798</v>
      </c>
      <c r="E1010" s="952" t="s">
        <v>3798</v>
      </c>
      <c r="F1010" s="940"/>
      <c r="G1010" s="953"/>
      <c r="H1010" s="969"/>
      <c r="I1010" s="956" t="s">
        <v>3799</v>
      </c>
      <c r="J1010" s="1206" t="s">
        <v>82</v>
      </c>
      <c r="K1010" s="1001" t="s">
        <v>128</v>
      </c>
      <c r="L1010" s="959">
        <v>97.0</v>
      </c>
      <c r="M1010" s="960">
        <v>101.0</v>
      </c>
      <c r="N1010" s="960">
        <v>103.0</v>
      </c>
      <c r="O1010" s="960">
        <v>107.0</v>
      </c>
      <c r="P1010" s="960">
        <v>101.0</v>
      </c>
      <c r="Q1010" s="960">
        <v>61.0</v>
      </c>
      <c r="R1010" s="960">
        <v>158.0</v>
      </c>
      <c r="S1010" s="960">
        <v>221.0</v>
      </c>
      <c r="T1010" s="960">
        <v>243.0</v>
      </c>
      <c r="U1010" s="960">
        <f t="array" ref="U1010">HLOOKUP($J1010,'Type Chart'!$C$2:$T$20,2,false)*HLOOKUP($K1010,'Type Chart'!$C$2:$U$20,2,false)</f>
        <v>0.5</v>
      </c>
      <c r="V1010" s="960">
        <f t="array" ref="V1010">HLOOKUP($J1010,'Type Chart'!$C$2:$T$20,3,false)*HLOOKUP($K1010,'Type Chart'!$C$2:$U$20,3,false)</f>
        <v>1</v>
      </c>
      <c r="W1010" s="960">
        <f t="array" ref="W1010">HLOOKUP($J1010,'Type Chart'!$C$2:$T$20,4,false)*HLOOKUP($K1010,'Type Chart'!$C$2:$U$20,4,false)</f>
        <v>0.5</v>
      </c>
      <c r="X1010" s="960">
        <f t="array" ref="X1010">HLOOKUP($J1010,'Type Chart'!$C$2:$T$20,5,false)*HLOOKUP($K1010,'Type Chart'!$C$2:$U$20,5,false)</f>
        <v>0</v>
      </c>
      <c r="Y1010" s="960">
        <f t="array" ref="Y1010">HLOOKUP($J1010,'Type Chart'!$C$2:$T$20,6,false)*HLOOKUP($K1010,'Type Chart'!$C$2:$U$20,6,false)</f>
        <v>0</v>
      </c>
      <c r="Z1010" s="960">
        <f t="array" ref="Z1010">HLOOKUP($J1010,'Type Chart'!$C$2:$T$20,7,false)*HLOOKUP($K1010,'Type Chart'!$C$2:$U$20,7,false)</f>
        <v>1</v>
      </c>
      <c r="AA1010" s="960">
        <f t="array" ref="AA1010">HLOOKUP($J1010,'Type Chart'!$C$2:$T$20,8,false)*HLOOKUP($K1010,'Type Chart'!$C$2:$U$20,8,false)</f>
        <v>0.25</v>
      </c>
      <c r="AB1010" s="960">
        <f t="array" ref="AB1010">HLOOKUP($J1010,'Type Chart'!$C$2:$T$20,9,false)*HLOOKUP($K1010,'Type Chart'!$C$2:$U$20,9,false)</f>
        <v>1</v>
      </c>
      <c r="AC1010" s="960">
        <f t="array" ref="AC1010">HLOOKUP($J1010,'Type Chart'!$C$2:$T$20,10,false)*HLOOKUP($K1010,'Type Chart'!$C$2:$U$20,10,false)</f>
        <v>0.5</v>
      </c>
      <c r="AD1010" s="960">
        <f t="array" ref="AD1010">HLOOKUP($J1010,'Type Chart'!$C$2:$T$20,11,false)*HLOOKUP($K1010,'Type Chart'!$C$2:$U$20,11,false)</f>
        <v>2</v>
      </c>
      <c r="AE1010" s="960">
        <f t="array" ref="AE1010">HLOOKUP($J1010,'Type Chart'!$C$2:$T$20,12,false)*HLOOKUP($K1010,'Type Chart'!$C$2:$U$20,12,false)</f>
        <v>1</v>
      </c>
      <c r="AF1010" s="960">
        <f t="array" ref="AF1010">HLOOKUP($J1010,'Type Chart'!$C$2:$T$20,13,false)*HLOOKUP($K1010,'Type Chart'!$C$2:$U$20,13,false)</f>
        <v>0.25</v>
      </c>
      <c r="AG1010" s="960">
        <f t="array" ref="AG1010">HLOOKUP($J1010,'Type Chart'!$C$2:$T$20,14,false)*HLOOKUP($K1010,'Type Chart'!$C$2:$U$20,14,false)</f>
        <v>2</v>
      </c>
      <c r="AH1010" s="960">
        <f t="array" ref="AH1010">HLOOKUP($J1010,'Type Chart'!$C$2:$T$20,15,false)*HLOOKUP($K1010,'Type Chart'!$C$2:$U$20,15,false)</f>
        <v>0.5</v>
      </c>
      <c r="AI1010" s="960">
        <f t="array" ref="AI1010">HLOOKUP($J1010,'Type Chart'!$C$2:$T$20,16,false)*HLOOKUP($K1010,'Type Chart'!$C$2:$U$20,16,false)</f>
        <v>1</v>
      </c>
      <c r="AJ1010" s="960">
        <f t="array" ref="AJ1010">HLOOKUP($J1010,'Type Chart'!$C$2:$T$20,17,false)*HLOOKUP($K1010,'Type Chart'!$C$2:$U$20,17,false)</f>
        <v>0.5</v>
      </c>
      <c r="AK1010" s="960">
        <f t="array" ref="AK1010">HLOOKUP($J1010,'Type Chart'!$C$2:$T$20,18,false)*HLOOKUP($K1010,'Type Chart'!$C$2:$U$20,18,false)</f>
        <v>1</v>
      </c>
      <c r="AL1010" s="960">
        <f t="array" ref="AL1010">HLOOKUP($J1010,'Type Chart'!$C$2:$T$20,19,false)*HLOOKUP($K1010,'Type Chart'!$C$2:$U$20,19,false)</f>
        <v>0.5</v>
      </c>
      <c r="AM1010" s="964" t="s">
        <v>3787</v>
      </c>
      <c r="AN1010" s="965"/>
      <c r="AO1010" s="966"/>
      <c r="AP1010" s="936"/>
      <c r="AQ1010" s="967"/>
      <c r="AR1010" s="968"/>
      <c r="AS1010" s="936"/>
    </row>
    <row r="1011" ht="15.75" customHeight="1">
      <c r="A1011" s="936"/>
      <c r="B1011" s="948" t="s">
        <v>3800</v>
      </c>
      <c r="C1011" s="950" t="s">
        <v>3801</v>
      </c>
      <c r="D1011" s="950" t="s">
        <v>3801</v>
      </c>
      <c r="E1011" s="952" t="s">
        <v>3801</v>
      </c>
      <c r="F1011" s="940"/>
      <c r="G1011" s="953"/>
      <c r="H1011" s="969"/>
      <c r="I1011" s="956" t="s">
        <v>3802</v>
      </c>
      <c r="J1011" s="957" t="s">
        <v>209</v>
      </c>
      <c r="K1011" s="1206" t="s">
        <v>82</v>
      </c>
      <c r="L1011" s="959">
        <v>59.0</v>
      </c>
      <c r="M1011" s="960">
        <v>181.0</v>
      </c>
      <c r="N1011" s="960">
        <v>131.0</v>
      </c>
      <c r="O1011" s="960">
        <v>59.0</v>
      </c>
      <c r="P1011" s="960">
        <v>31.0</v>
      </c>
      <c r="Q1011" s="960">
        <v>109.0</v>
      </c>
      <c r="R1011" s="960">
        <v>254.0</v>
      </c>
      <c r="S1011" s="960">
        <v>317.0</v>
      </c>
      <c r="T1011" s="960">
        <v>348.0</v>
      </c>
      <c r="U1011" s="960">
        <f t="array" ref="U1011">HLOOKUP($J1011,'Type Chart'!$C$2:$T$20,2,false)*HLOOKUP($K1011,'Type Chart'!$C$2:$U$20,2,false)</f>
        <v>0.5</v>
      </c>
      <c r="V1011" s="960">
        <f t="array" ref="V1011">HLOOKUP($J1011,'Type Chart'!$C$2:$T$20,3,false)*HLOOKUP($K1011,'Type Chart'!$C$2:$U$20,3,false)</f>
        <v>2</v>
      </c>
      <c r="W1011" s="960">
        <f t="array" ref="W1011">HLOOKUP($J1011,'Type Chart'!$C$2:$T$20,4,false)*HLOOKUP($K1011,'Type Chart'!$C$2:$U$20,4,false)</f>
        <v>1</v>
      </c>
      <c r="X1011" s="960">
        <f t="array" ref="X1011">HLOOKUP($J1011,'Type Chart'!$C$2:$T$20,5,false)*HLOOKUP($K1011,'Type Chart'!$C$2:$U$20,5,false)</f>
        <v>0</v>
      </c>
      <c r="Y1011" s="960">
        <f t="array" ref="Y1011">HLOOKUP($J1011,'Type Chart'!$C$2:$T$20,6,false)*HLOOKUP($K1011,'Type Chart'!$C$2:$U$20,6,false)</f>
        <v>1</v>
      </c>
      <c r="Z1011" s="960">
        <f t="array" ref="Z1011">HLOOKUP($J1011,'Type Chart'!$C$2:$T$20,7,false)*HLOOKUP($K1011,'Type Chart'!$C$2:$U$20,7,false)</f>
        <v>0.5</v>
      </c>
      <c r="AA1011" s="960">
        <f t="array" ref="AA1011">HLOOKUP($J1011,'Type Chart'!$C$2:$T$20,8,false)*HLOOKUP($K1011,'Type Chart'!$C$2:$U$20,8,false)</f>
        <v>1</v>
      </c>
      <c r="AB1011" s="960">
        <f t="array" ref="AB1011">HLOOKUP($J1011,'Type Chart'!$C$2:$T$20,9,false)*HLOOKUP($K1011,'Type Chart'!$C$2:$U$20,9,false)</f>
        <v>1</v>
      </c>
      <c r="AC1011" s="960">
        <f t="array" ref="AC1011">HLOOKUP($J1011,'Type Chart'!$C$2:$T$20,10,false)*HLOOKUP($K1011,'Type Chart'!$C$2:$U$20,10,false)</f>
        <v>0.5</v>
      </c>
      <c r="AD1011" s="960">
        <f t="array" ref="AD1011">HLOOKUP($J1011,'Type Chart'!$C$2:$T$20,11,false)*HLOOKUP($K1011,'Type Chart'!$C$2:$U$20,11,false)</f>
        <v>4</v>
      </c>
      <c r="AE1011" s="960">
        <f t="array" ref="AE1011">HLOOKUP($J1011,'Type Chart'!$C$2:$T$20,12,false)*HLOOKUP($K1011,'Type Chart'!$C$2:$U$20,12,false)</f>
        <v>0.5</v>
      </c>
      <c r="AF1011" s="960">
        <f t="array" ref="AF1011">HLOOKUP($J1011,'Type Chart'!$C$2:$T$20,13,false)*HLOOKUP($K1011,'Type Chart'!$C$2:$U$20,13,false)</f>
        <v>0.25</v>
      </c>
      <c r="AG1011" s="960">
        <f t="array" ref="AG1011">HLOOKUP($J1011,'Type Chart'!$C$2:$T$20,14,false)*HLOOKUP($K1011,'Type Chart'!$C$2:$U$20,14,false)</f>
        <v>0.5</v>
      </c>
      <c r="AH1011" s="960">
        <f t="array" ref="AH1011">HLOOKUP($J1011,'Type Chart'!$C$2:$T$20,15,false)*HLOOKUP($K1011,'Type Chart'!$C$2:$U$20,15,false)</f>
        <v>0.5</v>
      </c>
      <c r="AI1011" s="960">
        <f t="array" ref="AI1011">HLOOKUP($J1011,'Type Chart'!$C$2:$T$20,16,false)*HLOOKUP($K1011,'Type Chart'!$C$2:$U$20,16,false)</f>
        <v>1</v>
      </c>
      <c r="AJ1011" s="960">
        <f t="array" ref="AJ1011">HLOOKUP($J1011,'Type Chart'!$C$2:$T$20,17,false)*HLOOKUP($K1011,'Type Chart'!$C$2:$U$20,17,false)</f>
        <v>0.5</v>
      </c>
      <c r="AK1011" s="960">
        <f t="array" ref="AK1011">HLOOKUP($J1011,'Type Chart'!$C$2:$T$20,18,false)*HLOOKUP($K1011,'Type Chart'!$C$2:$U$20,18,false)</f>
        <v>1</v>
      </c>
      <c r="AL1011" s="960">
        <f t="array" ref="AL1011">HLOOKUP($J1011,'Type Chart'!$C$2:$T$20,19,false)*HLOOKUP($K1011,'Type Chart'!$C$2:$U$20,19,false)</f>
        <v>0.5</v>
      </c>
      <c r="AM1011" s="964" t="s">
        <v>3787</v>
      </c>
      <c r="AN1011" s="965"/>
      <c r="AO1011" s="966"/>
      <c r="AP1011" s="936"/>
      <c r="AQ1011" s="967"/>
      <c r="AR1011" s="968"/>
      <c r="AS1011" s="936"/>
    </row>
    <row r="1012" ht="15.75" customHeight="1">
      <c r="A1012" s="936"/>
      <c r="B1012" s="948" t="s">
        <v>3803</v>
      </c>
      <c r="C1012" s="950" t="s">
        <v>3804</v>
      </c>
      <c r="D1012" s="950" t="s">
        <v>3804</v>
      </c>
      <c r="E1012" s="952" t="s">
        <v>3804</v>
      </c>
      <c r="F1012" s="940"/>
      <c r="G1012" s="953"/>
      <c r="H1012" s="969"/>
      <c r="I1012" s="956" t="s">
        <v>3805</v>
      </c>
      <c r="J1012" s="1195" t="s">
        <v>193</v>
      </c>
      <c r="K1012" s="1006" t="s">
        <v>346</v>
      </c>
      <c r="L1012" s="959">
        <v>223.0</v>
      </c>
      <c r="M1012" s="960">
        <v>101.0</v>
      </c>
      <c r="N1012" s="960">
        <v>53.0</v>
      </c>
      <c r="O1012" s="960">
        <v>97.0</v>
      </c>
      <c r="P1012" s="960">
        <v>53.0</v>
      </c>
      <c r="Q1012" s="960">
        <v>43.0</v>
      </c>
      <c r="R1012" s="960">
        <v>122.0</v>
      </c>
      <c r="S1012" s="960">
        <v>185.0</v>
      </c>
      <c r="T1012" s="960">
        <v>203.0</v>
      </c>
      <c r="U1012" s="960">
        <f t="array" ref="U1012">HLOOKUP($J1012,'Type Chart'!$C$2:$T$20,2,false)*HLOOKUP($K1012,'Type Chart'!$C$2:$U$20,2,false)</f>
        <v>1</v>
      </c>
      <c r="V1012" s="960">
        <f t="array" ref="V1012">HLOOKUP($J1012,'Type Chart'!$C$2:$T$20,3,false)*HLOOKUP($K1012,'Type Chart'!$C$2:$U$20,3,false)</f>
        <v>2</v>
      </c>
      <c r="W1012" s="960">
        <f t="array" ref="W1012">HLOOKUP($J1012,'Type Chart'!$C$2:$T$20,4,false)*HLOOKUP($K1012,'Type Chart'!$C$2:$U$20,4,false)</f>
        <v>1</v>
      </c>
      <c r="X1012" s="960">
        <f t="array" ref="X1012">HLOOKUP($J1012,'Type Chart'!$C$2:$T$20,5,false)*HLOOKUP($K1012,'Type Chart'!$C$2:$U$20,5,false)</f>
        <v>1</v>
      </c>
      <c r="Y1012" s="960">
        <f t="array" ref="Y1012">HLOOKUP($J1012,'Type Chart'!$C$2:$T$20,6,false)*HLOOKUP($K1012,'Type Chart'!$C$2:$U$20,6,false)</f>
        <v>1</v>
      </c>
      <c r="Z1012" s="960">
        <f t="array" ref="Z1012">HLOOKUP($J1012,'Type Chart'!$C$2:$T$20,7,false)*HLOOKUP($K1012,'Type Chart'!$C$2:$U$20,7,false)</f>
        <v>1</v>
      </c>
      <c r="AA1012" s="960">
        <f t="array" ref="AA1012">HLOOKUP($J1012,'Type Chart'!$C$2:$T$20,8,false)*HLOOKUP($K1012,'Type Chart'!$C$2:$U$20,8,false)</f>
        <v>2</v>
      </c>
      <c r="AB1012" s="960">
        <f t="array" ref="AB1012">HLOOKUP($J1012,'Type Chart'!$C$2:$T$20,9,false)*HLOOKUP($K1012,'Type Chart'!$C$2:$U$20,9,false)</f>
        <v>0.5</v>
      </c>
      <c r="AC1012" s="960">
        <f t="array" ref="AC1012">HLOOKUP($J1012,'Type Chart'!$C$2:$T$20,10,false)*HLOOKUP($K1012,'Type Chart'!$C$2:$U$20,10,false)</f>
        <v>1</v>
      </c>
      <c r="AD1012" s="960">
        <f t="array" ref="AD1012">HLOOKUP($J1012,'Type Chart'!$C$2:$T$20,11,false)*HLOOKUP($K1012,'Type Chart'!$C$2:$U$20,11,false)</f>
        <v>0.5</v>
      </c>
      <c r="AE1012" s="960">
        <f t="array" ref="AE1012">HLOOKUP($J1012,'Type Chart'!$C$2:$T$20,12,false)*HLOOKUP($K1012,'Type Chart'!$C$2:$U$20,12,false)</f>
        <v>0.5</v>
      </c>
      <c r="AF1012" s="960">
        <f t="array" ref="AF1012">HLOOKUP($J1012,'Type Chart'!$C$2:$T$20,13,false)*HLOOKUP($K1012,'Type Chart'!$C$2:$U$20,13,false)</f>
        <v>0.5</v>
      </c>
      <c r="AG1012" s="960">
        <f t="array" ref="AG1012">HLOOKUP($J1012,'Type Chart'!$C$2:$T$20,14,false)*HLOOKUP($K1012,'Type Chart'!$C$2:$U$20,14,false)</f>
        <v>0.5</v>
      </c>
      <c r="AH1012" s="960">
        <f t="array" ref="AH1012">HLOOKUP($J1012,'Type Chart'!$C$2:$T$20,15,false)*HLOOKUP($K1012,'Type Chart'!$C$2:$U$20,15,false)</f>
        <v>0</v>
      </c>
      <c r="AI1012" s="960">
        <f t="array" ref="AI1012">HLOOKUP($J1012,'Type Chart'!$C$2:$T$20,16,false)*HLOOKUP($K1012,'Type Chart'!$C$2:$U$20,16,false)</f>
        <v>2</v>
      </c>
      <c r="AJ1012" s="960">
        <f t="array" ref="AJ1012">HLOOKUP($J1012,'Type Chart'!$C$2:$T$20,17,false)*HLOOKUP($K1012,'Type Chart'!$C$2:$U$20,17,false)</f>
        <v>2</v>
      </c>
      <c r="AK1012" s="960">
        <f t="array" ref="AK1012">HLOOKUP($J1012,'Type Chart'!$C$2:$T$20,18,false)*HLOOKUP($K1012,'Type Chart'!$C$2:$U$20,18,false)</f>
        <v>0.5</v>
      </c>
      <c r="AL1012" s="960">
        <f t="array" ref="AL1012">HLOOKUP($J1012,'Type Chart'!$C$2:$T$20,19,false)*HLOOKUP($K1012,'Type Chart'!$C$2:$U$20,19,false)</f>
        <v>4</v>
      </c>
      <c r="AM1012" s="964" t="s">
        <v>3787</v>
      </c>
      <c r="AN1012" s="965"/>
      <c r="AO1012" s="966"/>
      <c r="AP1012" s="936"/>
      <c r="AQ1012" s="967"/>
      <c r="AR1012" s="968"/>
      <c r="AS1012" s="936"/>
    </row>
    <row r="1013" ht="15.75" customHeight="1">
      <c r="A1013" s="936"/>
      <c r="B1013" s="948" t="s">
        <v>3806</v>
      </c>
      <c r="C1013" s="950" t="s">
        <v>3807</v>
      </c>
      <c r="D1013" s="950" t="s">
        <v>3807</v>
      </c>
      <c r="E1013" s="952" t="s">
        <v>3807</v>
      </c>
      <c r="F1013" s="940"/>
      <c r="G1013" s="953"/>
      <c r="H1013" s="969"/>
      <c r="I1013" s="956" t="s">
        <v>411</v>
      </c>
      <c r="J1013" s="1203" t="s">
        <v>344</v>
      </c>
      <c r="K1013" s="984" t="s">
        <v>216</v>
      </c>
      <c r="L1013" s="959">
        <v>97.0</v>
      </c>
      <c r="M1013" s="960">
        <v>107.0</v>
      </c>
      <c r="N1013" s="960">
        <v>101.0</v>
      </c>
      <c r="O1013" s="960">
        <v>127.0</v>
      </c>
      <c r="P1013" s="960">
        <v>89.0</v>
      </c>
      <c r="Q1013" s="960">
        <v>79.0</v>
      </c>
      <c r="R1013" s="960">
        <v>194.0</v>
      </c>
      <c r="S1013" s="960">
        <v>257.0</v>
      </c>
      <c r="T1013" s="960">
        <v>282.0</v>
      </c>
      <c r="U1013" s="960">
        <f t="array" ref="U1013">HLOOKUP($J1013,'Type Chart'!$C$2:$T$20,2,false)*HLOOKUP($K1013,'Type Chart'!$C$2:$U$20,2,false)</f>
        <v>1</v>
      </c>
      <c r="V1013" s="960">
        <f t="array" ref="V1013">HLOOKUP($J1013,'Type Chart'!$C$2:$T$20,3,false)*HLOOKUP($K1013,'Type Chart'!$C$2:$U$20,3,false)</f>
        <v>0.5</v>
      </c>
      <c r="W1013" s="960">
        <f t="array" ref="W1013">HLOOKUP($J1013,'Type Chart'!$C$2:$T$20,4,false)*HLOOKUP($K1013,'Type Chart'!$C$2:$U$20,4,false)</f>
        <v>1</v>
      </c>
      <c r="X1013" s="960">
        <f t="array" ref="X1013">HLOOKUP($J1013,'Type Chart'!$C$2:$T$20,5,false)*HLOOKUP($K1013,'Type Chart'!$C$2:$U$20,5,false)</f>
        <v>1</v>
      </c>
      <c r="Y1013" s="960">
        <f t="array" ref="Y1013">HLOOKUP($J1013,'Type Chart'!$C$2:$T$20,6,false)*HLOOKUP($K1013,'Type Chart'!$C$2:$U$20,6,false)</f>
        <v>1</v>
      </c>
      <c r="Z1013" s="960">
        <f t="array" ref="Z1013">HLOOKUP($J1013,'Type Chart'!$C$2:$T$20,7,false)*HLOOKUP($K1013,'Type Chart'!$C$2:$U$20,7,false)</f>
        <v>1</v>
      </c>
      <c r="AA1013" s="960">
        <f t="array" ref="AA1013">HLOOKUP($J1013,'Type Chart'!$C$2:$T$20,8,false)*HLOOKUP($K1013,'Type Chart'!$C$2:$U$20,8,false)</f>
        <v>2</v>
      </c>
      <c r="AB1013" s="960">
        <f t="array" ref="AB1013">HLOOKUP($J1013,'Type Chart'!$C$2:$T$20,9,false)*HLOOKUP($K1013,'Type Chart'!$C$2:$U$20,9,false)</f>
        <v>2</v>
      </c>
      <c r="AC1013" s="960">
        <f t="array" ref="AC1013">HLOOKUP($J1013,'Type Chart'!$C$2:$T$20,10,false)*HLOOKUP($K1013,'Type Chart'!$C$2:$U$20,10,false)</f>
        <v>1</v>
      </c>
      <c r="AD1013" s="960">
        <f t="array" ref="AD1013">HLOOKUP($J1013,'Type Chart'!$C$2:$T$20,11,false)*HLOOKUP($K1013,'Type Chart'!$C$2:$U$20,11,false)</f>
        <v>1</v>
      </c>
      <c r="AE1013" s="960">
        <f t="array" ref="AE1013">HLOOKUP($J1013,'Type Chart'!$C$2:$T$20,12,false)*HLOOKUP($K1013,'Type Chart'!$C$2:$U$20,12,false)</f>
        <v>1</v>
      </c>
      <c r="AF1013" s="960">
        <f t="array" ref="AF1013">HLOOKUP($J1013,'Type Chart'!$C$2:$T$20,13,false)*HLOOKUP($K1013,'Type Chart'!$C$2:$U$20,13,false)</f>
        <v>1</v>
      </c>
      <c r="AG1013" s="960">
        <f t="array" ref="AG1013">HLOOKUP($J1013,'Type Chart'!$C$2:$T$20,14,false)*HLOOKUP($K1013,'Type Chart'!$C$2:$U$20,14,false)</f>
        <v>1</v>
      </c>
      <c r="AH1013" s="960">
        <f t="array" ref="AH1013">HLOOKUP($J1013,'Type Chart'!$C$2:$T$20,15,false)*HLOOKUP($K1013,'Type Chart'!$C$2:$U$20,15,false)</f>
        <v>0.5</v>
      </c>
      <c r="AI1013" s="960">
        <f t="array" ref="AI1013">HLOOKUP($J1013,'Type Chart'!$C$2:$T$20,16,false)*HLOOKUP($K1013,'Type Chart'!$C$2:$U$20,16,false)</f>
        <v>1</v>
      </c>
      <c r="AJ1013" s="960">
        <f t="array" ref="AJ1013">HLOOKUP($J1013,'Type Chart'!$C$2:$T$20,17,false)*HLOOKUP($K1013,'Type Chart'!$C$2:$U$20,17,false)</f>
        <v>1</v>
      </c>
      <c r="AK1013" s="960">
        <f t="array" ref="AK1013">HLOOKUP($J1013,'Type Chart'!$C$2:$T$20,18,false)*HLOOKUP($K1013,'Type Chart'!$C$2:$U$20,18,false)</f>
        <v>2</v>
      </c>
      <c r="AL1013" s="960">
        <f t="array" ref="AL1013">HLOOKUP($J1013,'Type Chart'!$C$2:$T$20,19,false)*HLOOKUP($K1013,'Type Chart'!$C$2:$U$20,19,false)</f>
        <v>1</v>
      </c>
      <c r="AM1013" s="964" t="s">
        <v>3808</v>
      </c>
      <c r="AN1013" s="965"/>
      <c r="AO1013" s="966"/>
      <c r="AP1013" s="936"/>
      <c r="AQ1013" s="967"/>
      <c r="AR1013" s="968"/>
      <c r="AS1013" s="936"/>
    </row>
    <row r="1014" ht="15.75" customHeight="1">
      <c r="A1014" s="1099"/>
      <c r="B1014" s="948" t="s">
        <v>3809</v>
      </c>
      <c r="C1014" s="950" t="s">
        <v>3810</v>
      </c>
      <c r="D1014" s="950" t="s">
        <v>3811</v>
      </c>
      <c r="E1014" s="952" t="s">
        <v>3812</v>
      </c>
      <c r="F1014" s="940"/>
      <c r="G1014" s="953"/>
      <c r="H1014" s="969"/>
      <c r="I1014" s="1226" t="s">
        <v>266</v>
      </c>
      <c r="J1014" s="1203" t="s">
        <v>344</v>
      </c>
      <c r="K1014" s="1206" t="s">
        <v>82</v>
      </c>
      <c r="L1014" s="959">
        <v>97.0</v>
      </c>
      <c r="M1014" s="960">
        <v>157.0</v>
      </c>
      <c r="N1014" s="960">
        <v>127.0</v>
      </c>
      <c r="O1014" s="960">
        <v>113.0</v>
      </c>
      <c r="P1014" s="960">
        <v>109.0</v>
      </c>
      <c r="Q1014" s="960">
        <v>77.0</v>
      </c>
      <c r="R1014" s="960">
        <v>190.0</v>
      </c>
      <c r="S1014" s="960">
        <v>253.0</v>
      </c>
      <c r="T1014" s="960">
        <v>278.0</v>
      </c>
      <c r="U1014" s="960">
        <f t="array" ref="U1014">HLOOKUP($J1014,'Type Chart'!$C$2:$T$20,2,false)*HLOOKUP($K1014,'Type Chart'!$C$2:$U$20,2,false)</f>
        <v>0.5</v>
      </c>
      <c r="V1014" s="960">
        <f t="array" ref="V1014">HLOOKUP($J1014,'Type Chart'!$C$2:$T$20,3,false)*HLOOKUP($K1014,'Type Chart'!$C$2:$U$20,3,false)</f>
        <v>1</v>
      </c>
      <c r="W1014" s="960">
        <f t="array" ref="W1014">HLOOKUP($J1014,'Type Chart'!$C$2:$T$20,4,false)*HLOOKUP($K1014,'Type Chart'!$C$2:$U$20,4,false)</f>
        <v>0.5</v>
      </c>
      <c r="X1014" s="960">
        <f t="array" ref="X1014">HLOOKUP($J1014,'Type Chart'!$C$2:$T$20,5,false)*HLOOKUP($K1014,'Type Chart'!$C$2:$U$20,5,false)</f>
        <v>0</v>
      </c>
      <c r="Y1014" s="960">
        <f t="array" ref="Y1014">HLOOKUP($J1014,'Type Chart'!$C$2:$T$20,6,false)*HLOOKUP($K1014,'Type Chart'!$C$2:$U$20,6,false)</f>
        <v>2</v>
      </c>
      <c r="Z1014" s="960">
        <f t="array" ref="Z1014">HLOOKUP($J1014,'Type Chart'!$C$2:$T$20,7,false)*HLOOKUP($K1014,'Type Chart'!$C$2:$U$20,7,false)</f>
        <v>0.5</v>
      </c>
      <c r="AA1014" s="960">
        <f t="array" ref="AA1014">HLOOKUP($J1014,'Type Chart'!$C$2:$T$20,8,false)*HLOOKUP($K1014,'Type Chart'!$C$2:$U$20,8,false)</f>
        <v>1</v>
      </c>
      <c r="AB1014" s="960">
        <f t="array" ref="AB1014">HLOOKUP($J1014,'Type Chart'!$C$2:$T$20,9,false)*HLOOKUP($K1014,'Type Chart'!$C$2:$U$20,9,false)</f>
        <v>2</v>
      </c>
      <c r="AC1014" s="960">
        <f t="array" ref="AC1014">HLOOKUP($J1014,'Type Chart'!$C$2:$T$20,10,false)*HLOOKUP($K1014,'Type Chart'!$C$2:$U$20,10,false)</f>
        <v>0.5</v>
      </c>
      <c r="AD1014" s="960">
        <f t="array" ref="AD1014">HLOOKUP($J1014,'Type Chart'!$C$2:$T$20,11,false)*HLOOKUP($K1014,'Type Chart'!$C$2:$U$20,11,false)</f>
        <v>2</v>
      </c>
      <c r="AE1014" s="960">
        <f t="array" ref="AE1014">HLOOKUP($J1014,'Type Chart'!$C$2:$T$20,12,false)*HLOOKUP($K1014,'Type Chart'!$C$2:$U$20,12,false)</f>
        <v>1</v>
      </c>
      <c r="AF1014" s="960">
        <f t="array" ref="AF1014">HLOOKUP($J1014,'Type Chart'!$C$2:$T$20,13,false)*HLOOKUP($K1014,'Type Chart'!$C$2:$U$20,13,false)</f>
        <v>0.5</v>
      </c>
      <c r="AG1014" s="960">
        <f t="array" ref="AG1014">HLOOKUP($J1014,'Type Chart'!$C$2:$T$20,14,false)*HLOOKUP($K1014,'Type Chart'!$C$2:$U$20,14,false)</f>
        <v>1</v>
      </c>
      <c r="AH1014" s="960">
        <f t="array" ref="AH1014">HLOOKUP($J1014,'Type Chart'!$C$2:$T$20,15,false)*HLOOKUP($K1014,'Type Chart'!$C$2:$U$20,15,false)</f>
        <v>0.25</v>
      </c>
      <c r="AI1014" s="960">
        <f t="array" ref="AI1014">HLOOKUP($J1014,'Type Chart'!$C$2:$T$20,16,false)*HLOOKUP($K1014,'Type Chart'!$C$2:$U$20,16,false)</f>
        <v>0.5</v>
      </c>
      <c r="AJ1014" s="960">
        <f t="array" ref="AJ1014">HLOOKUP($J1014,'Type Chart'!$C$2:$T$20,17,false)*HLOOKUP($K1014,'Type Chart'!$C$2:$U$20,17,false)</f>
        <v>0.5</v>
      </c>
      <c r="AK1014" s="960">
        <f t="array" ref="AK1014">HLOOKUP($J1014,'Type Chart'!$C$2:$T$20,18,false)*HLOOKUP($K1014,'Type Chart'!$C$2:$U$20,18,false)</f>
        <v>2</v>
      </c>
      <c r="AL1014" s="960">
        <f t="array" ref="AL1014">HLOOKUP($J1014,'Type Chart'!$C$2:$T$20,19,false)*HLOOKUP($K1014,'Type Chart'!$C$2:$U$20,19,false)</f>
        <v>0.5</v>
      </c>
      <c r="AM1014" s="1145" t="s">
        <v>3808</v>
      </c>
      <c r="AN1014" s="965"/>
      <c r="AO1014" s="1146"/>
      <c r="AP1014" s="936"/>
      <c r="AQ1014" s="967"/>
      <c r="AR1014" s="968"/>
      <c r="AS1014" s="936"/>
    </row>
    <row r="1015" ht="15.75" customHeight="1">
      <c r="A1015" s="936"/>
      <c r="B1015" s="948" t="s">
        <v>3813</v>
      </c>
      <c r="C1015" s="950" t="s">
        <v>3814</v>
      </c>
      <c r="D1015" s="950" t="s">
        <v>3815</v>
      </c>
      <c r="E1015" s="952" t="s">
        <v>3816</v>
      </c>
      <c r="F1015" s="940"/>
      <c r="G1015" s="953"/>
      <c r="H1015" s="969"/>
      <c r="I1015" s="1226" t="s">
        <v>264</v>
      </c>
      <c r="J1015" s="1203" t="s">
        <v>344</v>
      </c>
      <c r="K1015" s="1220" t="s">
        <v>215</v>
      </c>
      <c r="L1015" s="959">
        <v>97.0</v>
      </c>
      <c r="M1015" s="960">
        <v>113.0</v>
      </c>
      <c r="N1015" s="960">
        <v>109.0</v>
      </c>
      <c r="O1015" s="960">
        <v>157.0</v>
      </c>
      <c r="P1015" s="960">
        <v>127.0</v>
      </c>
      <c r="Q1015" s="960">
        <v>77.0</v>
      </c>
      <c r="R1015" s="960">
        <v>190.0</v>
      </c>
      <c r="S1015" s="960">
        <v>253.0</v>
      </c>
      <c r="T1015" s="960">
        <v>278.0</v>
      </c>
      <c r="U1015" s="960">
        <f t="array" ref="U1015">HLOOKUP($J1015,'Type Chart'!$C$2:$T$20,2,false)*HLOOKUP($K1015,'Type Chart'!$C$2:$U$20,2,false)</f>
        <v>0</v>
      </c>
      <c r="V1015" s="960">
        <f t="array" ref="V1015">HLOOKUP($J1015,'Type Chart'!$C$2:$T$20,3,false)*HLOOKUP($K1015,'Type Chart'!$C$2:$U$20,3,false)</f>
        <v>0</v>
      </c>
      <c r="W1015" s="960">
        <f t="array" ref="W1015">HLOOKUP($J1015,'Type Chart'!$C$2:$T$20,4,false)*HLOOKUP($K1015,'Type Chart'!$C$2:$U$20,4,false)</f>
        <v>1</v>
      </c>
      <c r="X1015" s="960">
        <f t="array" ref="X1015">HLOOKUP($J1015,'Type Chart'!$C$2:$T$20,5,false)*HLOOKUP($K1015,'Type Chart'!$C$2:$U$20,5,false)</f>
        <v>0.5</v>
      </c>
      <c r="Y1015" s="960">
        <f t="array" ref="Y1015">HLOOKUP($J1015,'Type Chart'!$C$2:$T$20,6,false)*HLOOKUP($K1015,'Type Chart'!$C$2:$U$20,6,false)</f>
        <v>1</v>
      </c>
      <c r="Z1015" s="960">
        <f t="array" ref="Z1015">HLOOKUP($J1015,'Type Chart'!$C$2:$T$20,7,false)*HLOOKUP($K1015,'Type Chart'!$C$2:$U$20,7,false)</f>
        <v>1</v>
      </c>
      <c r="AA1015" s="960">
        <f t="array" ref="AA1015">HLOOKUP($J1015,'Type Chart'!$C$2:$T$20,8,false)*HLOOKUP($K1015,'Type Chart'!$C$2:$U$20,8,false)</f>
        <v>1</v>
      </c>
      <c r="AB1015" s="960">
        <f t="array" ref="AB1015">HLOOKUP($J1015,'Type Chart'!$C$2:$T$20,9,false)*HLOOKUP($K1015,'Type Chart'!$C$2:$U$20,9,false)</f>
        <v>4</v>
      </c>
      <c r="AC1015" s="960">
        <f t="array" ref="AC1015">HLOOKUP($J1015,'Type Chart'!$C$2:$T$20,10,false)*HLOOKUP($K1015,'Type Chart'!$C$2:$U$20,10,false)</f>
        <v>1</v>
      </c>
      <c r="AD1015" s="960">
        <f t="array" ref="AD1015">HLOOKUP($J1015,'Type Chart'!$C$2:$T$20,11,false)*HLOOKUP($K1015,'Type Chart'!$C$2:$U$20,11,false)</f>
        <v>1</v>
      </c>
      <c r="AE1015" s="960">
        <f t="array" ref="AE1015">HLOOKUP($J1015,'Type Chart'!$C$2:$T$20,12,false)*HLOOKUP($K1015,'Type Chart'!$C$2:$U$20,12,false)</f>
        <v>1</v>
      </c>
      <c r="AF1015" s="960">
        <f t="array" ref="AF1015">HLOOKUP($J1015,'Type Chart'!$C$2:$T$20,13,false)*HLOOKUP($K1015,'Type Chart'!$C$2:$U$20,13,false)</f>
        <v>1</v>
      </c>
      <c r="AG1015" s="960">
        <f t="array" ref="AG1015">HLOOKUP($J1015,'Type Chart'!$C$2:$T$20,14,false)*HLOOKUP($K1015,'Type Chart'!$C$2:$U$20,14,false)</f>
        <v>1</v>
      </c>
      <c r="AH1015" s="960">
        <f t="array" ref="AH1015">HLOOKUP($J1015,'Type Chart'!$C$2:$T$20,15,false)*HLOOKUP($K1015,'Type Chart'!$C$2:$U$20,15,false)</f>
        <v>0.5</v>
      </c>
      <c r="AI1015" s="960">
        <f t="array" ref="AI1015">HLOOKUP($J1015,'Type Chart'!$C$2:$T$20,16,false)*HLOOKUP($K1015,'Type Chart'!$C$2:$U$20,16,false)</f>
        <v>1</v>
      </c>
      <c r="AJ1015" s="960">
        <f t="array" ref="AJ1015">HLOOKUP($J1015,'Type Chart'!$C$2:$T$20,17,false)*HLOOKUP($K1015,'Type Chart'!$C$2:$U$20,17,false)</f>
        <v>1</v>
      </c>
      <c r="AK1015" s="960">
        <f t="array" ref="AK1015">HLOOKUP($J1015,'Type Chart'!$C$2:$T$20,18,false)*HLOOKUP($K1015,'Type Chart'!$C$2:$U$20,18,false)</f>
        <v>4</v>
      </c>
      <c r="AL1015" s="960">
        <f t="array" ref="AL1015">HLOOKUP($J1015,'Type Chart'!$C$2:$T$20,19,false)*HLOOKUP($K1015,'Type Chart'!$C$2:$U$20,19,false)</f>
        <v>1</v>
      </c>
      <c r="AM1015" s="964" t="s">
        <v>3808</v>
      </c>
      <c r="AN1015" s="965"/>
      <c r="AO1015" s="966"/>
      <c r="AP1015" s="936"/>
      <c r="AQ1015" s="967"/>
      <c r="AR1015" s="968"/>
      <c r="AS1015" s="936"/>
    </row>
    <row r="1016" ht="15.75" customHeight="1">
      <c r="A1016" s="936"/>
      <c r="B1016" s="948" t="s">
        <v>3817</v>
      </c>
      <c r="C1016" s="950" t="s">
        <v>3818</v>
      </c>
      <c r="D1016" s="950" t="s">
        <v>3818</v>
      </c>
      <c r="E1016" s="952" t="s">
        <v>3818</v>
      </c>
      <c r="F1016" s="940"/>
      <c r="G1016" s="953"/>
      <c r="H1016" s="969"/>
      <c r="I1016" s="956" t="s">
        <v>269</v>
      </c>
      <c r="J1016" s="1203" t="s">
        <v>344</v>
      </c>
      <c r="K1016" s="1006" t="s">
        <v>346</v>
      </c>
      <c r="L1016" s="959">
        <v>97.0</v>
      </c>
      <c r="M1016" s="960">
        <v>167.0</v>
      </c>
      <c r="N1016" s="960">
        <v>97.0</v>
      </c>
      <c r="O1016" s="960">
        <v>167.0</v>
      </c>
      <c r="P1016" s="960">
        <v>97.0</v>
      </c>
      <c r="Q1016" s="960">
        <v>129.0</v>
      </c>
      <c r="R1016" s="960">
        <v>294.0</v>
      </c>
      <c r="S1016" s="960">
        <v>357.0</v>
      </c>
      <c r="T1016" s="960">
        <v>392.0</v>
      </c>
      <c r="U1016" s="960">
        <f t="array" ref="U1016">HLOOKUP($J1016,'Type Chart'!$C$2:$T$20,2,false)*HLOOKUP($K1016,'Type Chart'!$C$2:$U$20,2,false)</f>
        <v>1</v>
      </c>
      <c r="V1016" s="960">
        <f t="array" ref="V1016">HLOOKUP($J1016,'Type Chart'!$C$2:$T$20,3,false)*HLOOKUP($K1016,'Type Chart'!$C$2:$U$20,3,false)</f>
        <v>0.5</v>
      </c>
      <c r="W1016" s="960">
        <f t="array" ref="W1016">HLOOKUP($J1016,'Type Chart'!$C$2:$T$20,4,false)*HLOOKUP($K1016,'Type Chart'!$C$2:$U$20,4,false)</f>
        <v>1</v>
      </c>
      <c r="X1016" s="960">
        <f t="array" ref="X1016">HLOOKUP($J1016,'Type Chart'!$C$2:$T$20,5,false)*HLOOKUP($K1016,'Type Chart'!$C$2:$U$20,5,false)</f>
        <v>1</v>
      </c>
      <c r="Y1016" s="960">
        <f t="array" ref="Y1016">HLOOKUP($J1016,'Type Chart'!$C$2:$T$20,6,false)*HLOOKUP($K1016,'Type Chart'!$C$2:$U$20,6,false)</f>
        <v>1</v>
      </c>
      <c r="Z1016" s="960">
        <f t="array" ref="Z1016">HLOOKUP($J1016,'Type Chart'!$C$2:$T$20,7,false)*HLOOKUP($K1016,'Type Chart'!$C$2:$U$20,7,false)</f>
        <v>1</v>
      </c>
      <c r="AA1016" s="960">
        <f t="array" ref="AA1016">HLOOKUP($J1016,'Type Chart'!$C$2:$T$20,8,false)*HLOOKUP($K1016,'Type Chart'!$C$2:$U$20,8,false)</f>
        <v>2</v>
      </c>
      <c r="AB1016" s="960">
        <f t="array" ref="AB1016">HLOOKUP($J1016,'Type Chart'!$C$2:$T$20,9,false)*HLOOKUP($K1016,'Type Chart'!$C$2:$U$20,9,false)</f>
        <v>2</v>
      </c>
      <c r="AC1016" s="960">
        <f t="array" ref="AC1016">HLOOKUP($J1016,'Type Chart'!$C$2:$T$20,10,false)*HLOOKUP($K1016,'Type Chart'!$C$2:$U$20,10,false)</f>
        <v>1</v>
      </c>
      <c r="AD1016" s="960">
        <f t="array" ref="AD1016">HLOOKUP($J1016,'Type Chart'!$C$2:$T$20,11,false)*HLOOKUP($K1016,'Type Chart'!$C$2:$U$20,11,false)</f>
        <v>0.5</v>
      </c>
      <c r="AE1016" s="960">
        <f t="array" ref="AE1016">HLOOKUP($J1016,'Type Chart'!$C$2:$T$20,12,false)*HLOOKUP($K1016,'Type Chart'!$C$2:$U$20,12,false)</f>
        <v>0.5</v>
      </c>
      <c r="AF1016" s="960">
        <f t="array" ref="AF1016">HLOOKUP($J1016,'Type Chart'!$C$2:$T$20,13,false)*HLOOKUP($K1016,'Type Chart'!$C$2:$U$20,13,false)</f>
        <v>0.5</v>
      </c>
      <c r="AG1016" s="960">
        <f t="array" ref="AG1016">HLOOKUP($J1016,'Type Chart'!$C$2:$T$20,14,false)*HLOOKUP($K1016,'Type Chart'!$C$2:$U$20,14,false)</f>
        <v>0.5</v>
      </c>
      <c r="AH1016" s="960">
        <f t="array" ref="AH1016">HLOOKUP($J1016,'Type Chart'!$C$2:$T$20,15,false)*HLOOKUP($K1016,'Type Chart'!$C$2:$U$20,15,false)</f>
        <v>0.5</v>
      </c>
      <c r="AI1016" s="960">
        <f t="array" ref="AI1016">HLOOKUP($J1016,'Type Chart'!$C$2:$T$20,16,false)*HLOOKUP($K1016,'Type Chart'!$C$2:$U$20,16,false)</f>
        <v>2</v>
      </c>
      <c r="AJ1016" s="960">
        <f t="array" ref="AJ1016">HLOOKUP($J1016,'Type Chart'!$C$2:$T$20,17,false)*HLOOKUP($K1016,'Type Chart'!$C$2:$U$20,17,false)</f>
        <v>2</v>
      </c>
      <c r="AK1016" s="960">
        <f t="array" ref="AK1016">HLOOKUP($J1016,'Type Chart'!$C$2:$T$20,18,false)*HLOOKUP($K1016,'Type Chart'!$C$2:$U$20,18,false)</f>
        <v>2</v>
      </c>
      <c r="AL1016" s="960">
        <f t="array" ref="AL1016">HLOOKUP($J1016,'Type Chart'!$C$2:$T$20,19,false)*HLOOKUP($K1016,'Type Chart'!$C$2:$U$20,19,false)</f>
        <v>2</v>
      </c>
      <c r="AM1016" s="964" t="s">
        <v>3819</v>
      </c>
      <c r="AN1016" s="965"/>
      <c r="AO1016" s="966"/>
      <c r="AP1016" s="936"/>
      <c r="AQ1016" s="967"/>
      <c r="AR1016" s="968"/>
      <c r="AS1016" s="936"/>
    </row>
    <row r="1017" ht="15.75" customHeight="1">
      <c r="A1017" s="936"/>
      <c r="B1017" s="948" t="s">
        <v>3820</v>
      </c>
      <c r="C1017" s="950" t="s">
        <v>3821</v>
      </c>
      <c r="D1017" s="950" t="s">
        <v>3821</v>
      </c>
      <c r="E1017" s="952" t="s">
        <v>3821</v>
      </c>
      <c r="F1017" s="940"/>
      <c r="G1017" s="953"/>
      <c r="H1017" s="969"/>
      <c r="I1017" s="956" t="s">
        <v>260</v>
      </c>
      <c r="J1017" s="1206" t="s">
        <v>82</v>
      </c>
      <c r="K1017" s="1207" t="s">
        <v>127</v>
      </c>
      <c r="L1017" s="959">
        <v>80.0</v>
      </c>
      <c r="M1017" s="960">
        <v>95.0</v>
      </c>
      <c r="N1017" s="960">
        <v>115.0</v>
      </c>
      <c r="O1017" s="960">
        <v>130.0</v>
      </c>
      <c r="P1017" s="960">
        <v>115.0</v>
      </c>
      <c r="Q1017" s="960">
        <v>65.0</v>
      </c>
      <c r="R1017" s="960">
        <v>166.0</v>
      </c>
      <c r="S1017" s="960">
        <v>229.0</v>
      </c>
      <c r="T1017" s="960">
        <v>251.0</v>
      </c>
      <c r="U1017" s="960">
        <f t="array" ref="U1017">HLOOKUP($J1017,'Type Chart'!$C$2:$T$20,2,false)*HLOOKUP($K1017,'Type Chart'!$C$2:$U$20,2,false)</f>
        <v>0.5</v>
      </c>
      <c r="V1017" s="960">
        <f t="array" ref="V1017">HLOOKUP($J1017,'Type Chart'!$C$2:$T$20,3,false)*HLOOKUP($K1017,'Type Chart'!$C$2:$U$20,3,false)</f>
        <v>1</v>
      </c>
      <c r="W1017" s="960">
        <f t="array" ref="W1017">HLOOKUP($J1017,'Type Chart'!$C$2:$T$20,4,false)*HLOOKUP($K1017,'Type Chart'!$C$2:$U$20,4,false)</f>
        <v>0.5</v>
      </c>
      <c r="X1017" s="960">
        <f t="array" ref="X1017">HLOOKUP($J1017,'Type Chart'!$C$2:$T$20,5,false)*HLOOKUP($K1017,'Type Chart'!$C$2:$U$20,5,false)</f>
        <v>0</v>
      </c>
      <c r="Y1017" s="960">
        <f t="array" ref="Y1017">HLOOKUP($J1017,'Type Chart'!$C$2:$T$20,6,false)*HLOOKUP($K1017,'Type Chart'!$C$2:$U$20,6,false)</f>
        <v>2</v>
      </c>
      <c r="Z1017" s="960">
        <f t="array" ref="Z1017">HLOOKUP($J1017,'Type Chart'!$C$2:$T$20,7,false)*HLOOKUP($K1017,'Type Chart'!$C$2:$U$20,7,false)</f>
        <v>0.5</v>
      </c>
      <c r="AA1017" s="960">
        <f t="array" ref="AA1017">HLOOKUP($J1017,'Type Chart'!$C$2:$T$20,8,false)*HLOOKUP($K1017,'Type Chart'!$C$2:$U$20,8,false)</f>
        <v>0.25</v>
      </c>
      <c r="AB1017" s="960">
        <f t="array" ref="AB1017">HLOOKUP($J1017,'Type Chart'!$C$2:$T$20,9,false)*HLOOKUP($K1017,'Type Chart'!$C$2:$U$20,9,false)</f>
        <v>1</v>
      </c>
      <c r="AC1017" s="960">
        <f t="array" ref="AC1017">HLOOKUP($J1017,'Type Chart'!$C$2:$T$20,10,false)*HLOOKUP($K1017,'Type Chart'!$C$2:$U$20,10,false)</f>
        <v>1</v>
      </c>
      <c r="AD1017" s="960">
        <f t="array" ref="AD1017">HLOOKUP($J1017,'Type Chart'!$C$2:$T$20,11,false)*HLOOKUP($K1017,'Type Chart'!$C$2:$U$20,11,false)</f>
        <v>2</v>
      </c>
      <c r="AE1017" s="960">
        <f t="array" ref="AE1017">HLOOKUP($J1017,'Type Chart'!$C$2:$T$20,12,false)*HLOOKUP($K1017,'Type Chart'!$C$2:$U$20,12,false)</f>
        <v>1</v>
      </c>
      <c r="AF1017" s="960">
        <f t="array" ref="AF1017">HLOOKUP($J1017,'Type Chart'!$C$2:$T$20,13,false)*HLOOKUP($K1017,'Type Chart'!$C$2:$U$20,13,false)</f>
        <v>0.5</v>
      </c>
      <c r="AG1017" s="960">
        <f t="array" ref="AG1017">HLOOKUP($J1017,'Type Chart'!$C$2:$T$20,14,false)*HLOOKUP($K1017,'Type Chart'!$C$2:$U$20,14,false)</f>
        <v>1</v>
      </c>
      <c r="AH1017" s="960">
        <f t="array" ref="AH1017">HLOOKUP($J1017,'Type Chart'!$C$2:$T$20,15,false)*HLOOKUP($K1017,'Type Chart'!$C$2:$U$20,15,false)</f>
        <v>0.5</v>
      </c>
      <c r="AI1017" s="960">
        <f t="array" ref="AI1017">HLOOKUP($J1017,'Type Chart'!$C$2:$T$20,16,false)*HLOOKUP($K1017,'Type Chart'!$C$2:$U$20,16,false)</f>
        <v>0.5</v>
      </c>
      <c r="AJ1017" s="960">
        <f t="array" ref="AJ1017">HLOOKUP($J1017,'Type Chart'!$C$2:$T$20,17,false)*HLOOKUP($K1017,'Type Chart'!$C$2:$U$20,17,false)</f>
        <v>0</v>
      </c>
      <c r="AK1017" s="960">
        <f t="array" ref="AK1017">HLOOKUP($J1017,'Type Chart'!$C$2:$T$20,18,false)*HLOOKUP($K1017,'Type Chart'!$C$2:$U$20,18,false)</f>
        <v>0.5</v>
      </c>
      <c r="AL1017" s="960">
        <f t="array" ref="AL1017">HLOOKUP($J1017,'Type Chart'!$C$2:$T$20,19,false)*HLOOKUP($K1017,'Type Chart'!$C$2:$U$20,19,false)</f>
        <v>0.5</v>
      </c>
      <c r="AM1017" s="964" t="s">
        <v>3822</v>
      </c>
      <c r="AN1017" s="965"/>
      <c r="AO1017" s="966"/>
      <c r="AP1017" s="936"/>
      <c r="AQ1017" s="967"/>
      <c r="AR1017" s="968"/>
      <c r="AS1017" s="936"/>
    </row>
    <row r="1018" ht="15.75" customHeight="1">
      <c r="A1018" s="1099"/>
      <c r="B1018" s="948" t="s">
        <v>3823</v>
      </c>
      <c r="C1018" s="1197" t="s">
        <v>3824</v>
      </c>
      <c r="D1018" s="1197" t="s">
        <v>3824</v>
      </c>
      <c r="E1018" s="1147" t="s">
        <v>3824</v>
      </c>
      <c r="F1018" s="940"/>
      <c r="G1018" s="953"/>
      <c r="H1018" s="969"/>
      <c r="I1018" s="998" t="s">
        <v>3825</v>
      </c>
      <c r="J1018" s="1233" t="s">
        <v>82</v>
      </c>
      <c r="K1018" s="1234" t="s">
        <v>127</v>
      </c>
      <c r="L1018" s="1200">
        <v>80.0</v>
      </c>
      <c r="M1018" s="1201">
        <v>95.0</v>
      </c>
      <c r="N1018" s="1201">
        <v>115.0</v>
      </c>
      <c r="O1018" s="1201">
        <v>130.0</v>
      </c>
      <c r="P1018" s="1201">
        <v>115.0</v>
      </c>
      <c r="Q1018" s="1201">
        <v>65.0</v>
      </c>
      <c r="R1018" s="960">
        <v>166.0</v>
      </c>
      <c r="S1018" s="960">
        <v>229.0</v>
      </c>
      <c r="T1018" s="960">
        <v>251.0</v>
      </c>
      <c r="U1018" s="960">
        <f t="array" ref="U1018">HLOOKUP($J1018,'Type Chart'!$C$2:$T$20,2,false)*HLOOKUP($K1018,'Type Chart'!$C$2:$U$20,2,false)</f>
        <v>0.5</v>
      </c>
      <c r="V1018" s="960">
        <f t="array" ref="V1018">HLOOKUP($J1018,'Type Chart'!$C$2:$T$20,3,false)*HLOOKUP($K1018,'Type Chart'!$C$2:$U$20,3,false)</f>
        <v>1</v>
      </c>
      <c r="W1018" s="960">
        <f t="array" ref="W1018">HLOOKUP($J1018,'Type Chart'!$C$2:$T$20,4,false)*HLOOKUP($K1018,'Type Chart'!$C$2:$U$20,4,false)</f>
        <v>0.5</v>
      </c>
      <c r="X1018" s="960">
        <f t="array" ref="X1018">HLOOKUP($J1018,'Type Chart'!$C$2:$T$20,5,false)*HLOOKUP($K1018,'Type Chart'!$C$2:$U$20,5,false)</f>
        <v>0</v>
      </c>
      <c r="Y1018" s="960">
        <f t="array" ref="Y1018">HLOOKUP($J1018,'Type Chart'!$C$2:$T$20,6,false)*HLOOKUP($K1018,'Type Chart'!$C$2:$U$20,6,false)</f>
        <v>2</v>
      </c>
      <c r="Z1018" s="960">
        <f t="array" ref="Z1018">HLOOKUP($J1018,'Type Chart'!$C$2:$T$20,7,false)*HLOOKUP($K1018,'Type Chart'!$C$2:$U$20,7,false)</f>
        <v>0.5</v>
      </c>
      <c r="AA1018" s="960">
        <f t="array" ref="AA1018">HLOOKUP($J1018,'Type Chart'!$C$2:$T$20,8,false)*HLOOKUP($K1018,'Type Chart'!$C$2:$U$20,8,false)</f>
        <v>0.25</v>
      </c>
      <c r="AB1018" s="960">
        <f t="array" ref="AB1018">HLOOKUP($J1018,'Type Chart'!$C$2:$T$20,9,false)*HLOOKUP($K1018,'Type Chart'!$C$2:$U$20,9,false)</f>
        <v>1</v>
      </c>
      <c r="AC1018" s="960">
        <f t="array" ref="AC1018">HLOOKUP($J1018,'Type Chart'!$C$2:$T$20,10,false)*HLOOKUP($K1018,'Type Chart'!$C$2:$U$20,10,false)</f>
        <v>1</v>
      </c>
      <c r="AD1018" s="960">
        <f t="array" ref="AD1018">HLOOKUP($J1018,'Type Chart'!$C$2:$T$20,11,false)*HLOOKUP($K1018,'Type Chart'!$C$2:$U$20,11,false)</f>
        <v>2</v>
      </c>
      <c r="AE1018" s="960">
        <f t="array" ref="AE1018">HLOOKUP($J1018,'Type Chart'!$C$2:$T$20,12,false)*HLOOKUP($K1018,'Type Chart'!$C$2:$U$20,12,false)</f>
        <v>1</v>
      </c>
      <c r="AF1018" s="960">
        <f t="array" ref="AF1018">HLOOKUP($J1018,'Type Chart'!$C$2:$T$20,13,false)*HLOOKUP($K1018,'Type Chart'!$C$2:$U$20,13,false)</f>
        <v>0.5</v>
      </c>
      <c r="AG1018" s="960">
        <f t="array" ref="AG1018">HLOOKUP($J1018,'Type Chart'!$C$2:$T$20,14,false)*HLOOKUP($K1018,'Type Chart'!$C$2:$U$20,14,false)</f>
        <v>1</v>
      </c>
      <c r="AH1018" s="960">
        <f t="array" ref="AH1018">HLOOKUP($J1018,'Type Chart'!$C$2:$T$20,15,false)*HLOOKUP($K1018,'Type Chart'!$C$2:$U$20,15,false)</f>
        <v>0.5</v>
      </c>
      <c r="AI1018" s="960">
        <f t="array" ref="AI1018">HLOOKUP($J1018,'Type Chart'!$C$2:$T$20,16,false)*HLOOKUP($K1018,'Type Chart'!$C$2:$U$20,16,false)</f>
        <v>0.5</v>
      </c>
      <c r="AJ1018" s="960">
        <f t="array" ref="AJ1018">HLOOKUP($J1018,'Type Chart'!$C$2:$T$20,17,false)*HLOOKUP($K1018,'Type Chart'!$C$2:$U$20,17,false)</f>
        <v>0</v>
      </c>
      <c r="AK1018" s="960">
        <f t="array" ref="AK1018">HLOOKUP($J1018,'Type Chart'!$C$2:$T$20,18,false)*HLOOKUP($K1018,'Type Chart'!$C$2:$U$20,18,false)</f>
        <v>0.5</v>
      </c>
      <c r="AL1018" s="960">
        <f t="array" ref="AL1018">HLOOKUP($J1018,'Type Chart'!$C$2:$T$20,19,false)*HLOOKUP($K1018,'Type Chart'!$C$2:$U$20,19,false)</f>
        <v>0.5</v>
      </c>
      <c r="AM1018" s="1145" t="s">
        <v>3822</v>
      </c>
      <c r="AN1018" s="965"/>
      <c r="AO1018" s="966"/>
      <c r="AP1018" s="936"/>
      <c r="AQ1018" s="967"/>
      <c r="AR1018" s="968"/>
      <c r="AS1018" s="936"/>
    </row>
    <row r="1019" ht="15.75" customHeight="1">
      <c r="A1019" s="936"/>
      <c r="B1019" s="948" t="s">
        <v>3826</v>
      </c>
      <c r="C1019" s="950" t="s">
        <v>3827</v>
      </c>
      <c r="D1019" s="950" t="s">
        <v>3827</v>
      </c>
      <c r="E1019" s="952" t="s">
        <v>3827</v>
      </c>
      <c r="F1019" s="940"/>
      <c r="G1019" s="953"/>
      <c r="H1019" s="969"/>
      <c r="I1019" s="956" t="s">
        <v>3828</v>
      </c>
      <c r="J1019" s="1213" t="s">
        <v>341</v>
      </c>
      <c r="K1019" s="1220" t="s">
        <v>215</v>
      </c>
      <c r="L1019" s="959">
        <v>90.0</v>
      </c>
      <c r="M1019" s="960">
        <v>125.0</v>
      </c>
      <c r="N1019" s="960">
        <v>80.0</v>
      </c>
      <c r="O1019" s="960">
        <v>90.0</v>
      </c>
      <c r="P1019" s="960">
        <v>90.0</v>
      </c>
      <c r="Q1019" s="960">
        <v>125.0</v>
      </c>
      <c r="R1019" s="960">
        <v>286.0</v>
      </c>
      <c r="S1019" s="960">
        <v>349.0</v>
      </c>
      <c r="T1019" s="960">
        <v>383.0</v>
      </c>
      <c r="U1019" s="960">
        <f t="array" ref="U1019">HLOOKUP($J1019,'Type Chart'!$C$2:$T$20,2,false)*HLOOKUP($K1019,'Type Chart'!$C$2:$U$20,2,false)</f>
        <v>0</v>
      </c>
      <c r="V1019" s="960">
        <f t="array" ref="V1019">HLOOKUP($J1019,'Type Chart'!$C$2:$T$20,3,false)*HLOOKUP($K1019,'Type Chart'!$C$2:$U$20,3,false)</f>
        <v>0</v>
      </c>
      <c r="W1019" s="960">
        <f t="array" ref="W1019">HLOOKUP($J1019,'Type Chart'!$C$2:$T$20,4,false)*HLOOKUP($K1019,'Type Chart'!$C$2:$U$20,4,false)</f>
        <v>2</v>
      </c>
      <c r="X1019" s="960">
        <f t="array" ref="X1019">HLOOKUP($J1019,'Type Chart'!$C$2:$T$20,5,false)*HLOOKUP($K1019,'Type Chart'!$C$2:$U$20,5,false)</f>
        <v>0.5</v>
      </c>
      <c r="Y1019" s="960">
        <f t="array" ref="Y1019">HLOOKUP($J1019,'Type Chart'!$C$2:$T$20,6,false)*HLOOKUP($K1019,'Type Chart'!$C$2:$U$20,6,false)</f>
        <v>1</v>
      </c>
      <c r="Z1019" s="960">
        <f t="array" ref="Z1019">HLOOKUP($J1019,'Type Chart'!$C$2:$T$20,7,false)*HLOOKUP($K1019,'Type Chart'!$C$2:$U$20,7,false)</f>
        <v>0.5</v>
      </c>
      <c r="AA1019" s="960">
        <f t="array" ref="AA1019">HLOOKUP($J1019,'Type Chart'!$C$2:$T$20,8,false)*HLOOKUP($K1019,'Type Chart'!$C$2:$U$20,8,false)</f>
        <v>0.25</v>
      </c>
      <c r="AB1019" s="960">
        <f t="array" ref="AB1019">HLOOKUP($J1019,'Type Chart'!$C$2:$T$20,9,false)*HLOOKUP($K1019,'Type Chart'!$C$2:$U$20,9,false)</f>
        <v>2</v>
      </c>
      <c r="AC1019" s="960">
        <f t="array" ref="AC1019">HLOOKUP($J1019,'Type Chart'!$C$2:$T$20,10,false)*HLOOKUP($K1019,'Type Chart'!$C$2:$U$20,10,false)</f>
        <v>1</v>
      </c>
      <c r="AD1019" s="960">
        <f t="array" ref="AD1019">HLOOKUP($J1019,'Type Chart'!$C$2:$T$20,11,false)*HLOOKUP($K1019,'Type Chart'!$C$2:$U$20,11,false)</f>
        <v>1</v>
      </c>
      <c r="AE1019" s="960">
        <f t="array" ref="AE1019">HLOOKUP($J1019,'Type Chart'!$C$2:$T$20,12,false)*HLOOKUP($K1019,'Type Chart'!$C$2:$U$20,12,false)</f>
        <v>1</v>
      </c>
      <c r="AF1019" s="960">
        <f t="array" ref="AF1019">HLOOKUP($J1019,'Type Chart'!$C$2:$T$20,13,false)*HLOOKUP($K1019,'Type Chart'!$C$2:$U$20,13,false)</f>
        <v>1</v>
      </c>
      <c r="AG1019" s="960">
        <f t="array" ref="AG1019">HLOOKUP($J1019,'Type Chart'!$C$2:$T$20,14,false)*HLOOKUP($K1019,'Type Chart'!$C$2:$U$20,14,false)</f>
        <v>1</v>
      </c>
      <c r="AH1019" s="960">
        <f t="array" ref="AH1019">HLOOKUP($J1019,'Type Chart'!$C$2:$T$20,15,false)*HLOOKUP($K1019,'Type Chart'!$C$2:$U$20,15,false)</f>
        <v>2</v>
      </c>
      <c r="AI1019" s="960">
        <f t="array" ref="AI1019">HLOOKUP($J1019,'Type Chart'!$C$2:$T$20,16,false)*HLOOKUP($K1019,'Type Chart'!$C$2:$U$20,16,false)</f>
        <v>1</v>
      </c>
      <c r="AJ1019" s="960">
        <f t="array" ref="AJ1019">HLOOKUP($J1019,'Type Chart'!$C$2:$T$20,17,false)*HLOOKUP($K1019,'Type Chart'!$C$2:$U$20,17,false)</f>
        <v>1</v>
      </c>
      <c r="AK1019" s="960">
        <f t="array" ref="AK1019">HLOOKUP($J1019,'Type Chart'!$C$2:$T$20,18,false)*HLOOKUP($K1019,'Type Chart'!$C$2:$U$20,18,false)</f>
        <v>1</v>
      </c>
      <c r="AL1019" s="960">
        <f t="array" ref="AL1019">HLOOKUP($J1019,'Type Chart'!$C$2:$T$20,19,false)*HLOOKUP($K1019,'Type Chart'!$C$2:$U$20,19,false)</f>
        <v>2</v>
      </c>
      <c r="AM1019" s="964" t="s">
        <v>1239</v>
      </c>
      <c r="AN1019" s="965"/>
      <c r="AO1019" s="966"/>
      <c r="AP1019" s="936"/>
      <c r="AQ1019" s="967"/>
      <c r="AR1019" s="968"/>
      <c r="AS1019" s="936"/>
    </row>
    <row r="1020" ht="15.75" customHeight="1">
      <c r="A1020" s="936"/>
      <c r="B1020" s="948" t="s">
        <v>3829</v>
      </c>
      <c r="C1020" s="950" t="s">
        <v>3830</v>
      </c>
      <c r="D1020" s="950" t="s">
        <v>3830</v>
      </c>
      <c r="E1020" s="952" t="s">
        <v>3830</v>
      </c>
      <c r="F1020" s="940"/>
      <c r="G1020" s="953"/>
      <c r="H1020" s="969"/>
      <c r="I1020" s="956" t="s">
        <v>3831</v>
      </c>
      <c r="J1020" s="958" t="s">
        <v>178</v>
      </c>
      <c r="K1020" s="984" t="s">
        <v>216</v>
      </c>
      <c r="L1020" s="959">
        <v>67.0</v>
      </c>
      <c r="M1020" s="960">
        <v>73.0</v>
      </c>
      <c r="N1020" s="960">
        <v>67.0</v>
      </c>
      <c r="O1020" s="960">
        <v>73.0</v>
      </c>
      <c r="P1020" s="960">
        <v>67.0</v>
      </c>
      <c r="Q1020" s="960">
        <v>73.0</v>
      </c>
      <c r="R1020" s="960">
        <v>182.0</v>
      </c>
      <c r="S1020" s="960">
        <v>245.0</v>
      </c>
      <c r="T1020" s="960">
        <v>269.0</v>
      </c>
      <c r="U1020" s="960">
        <f t="array" ref="U1020">HLOOKUP($J1020,'Type Chart'!$C$2:$T$20,2,false)*HLOOKUP($K1020,'Type Chart'!$C$2:$U$20,2,false)</f>
        <v>1</v>
      </c>
      <c r="V1020" s="960">
        <f t="array" ref="V1020">HLOOKUP($J1020,'Type Chart'!$C$2:$T$20,3,false)*HLOOKUP($K1020,'Type Chart'!$C$2:$U$20,3,false)</f>
        <v>0.5</v>
      </c>
      <c r="W1020" s="960">
        <f t="array" ref="W1020">HLOOKUP($J1020,'Type Chart'!$C$2:$T$20,4,false)*HLOOKUP($K1020,'Type Chart'!$C$2:$U$20,4,false)</f>
        <v>1</v>
      </c>
      <c r="X1020" s="960">
        <f t="array" ref="X1020">HLOOKUP($J1020,'Type Chart'!$C$2:$T$20,5,false)*HLOOKUP($K1020,'Type Chart'!$C$2:$U$20,5,false)</f>
        <v>0.5</v>
      </c>
      <c r="Y1020" s="960">
        <f t="array" ref="Y1020">HLOOKUP($J1020,'Type Chart'!$C$2:$T$20,6,false)*HLOOKUP($K1020,'Type Chart'!$C$2:$U$20,6,false)</f>
        <v>2</v>
      </c>
      <c r="Z1020" s="960">
        <f t="array" ref="Z1020">HLOOKUP($J1020,'Type Chart'!$C$2:$T$20,7,false)*HLOOKUP($K1020,'Type Chart'!$C$2:$U$20,7,false)</f>
        <v>1</v>
      </c>
      <c r="AA1020" s="960">
        <f t="array" ref="AA1020">HLOOKUP($J1020,'Type Chart'!$C$2:$T$20,8,false)*HLOOKUP($K1020,'Type Chart'!$C$2:$U$20,8,false)</f>
        <v>0.5</v>
      </c>
      <c r="AB1020" s="960">
        <f t="array" ref="AB1020">HLOOKUP($J1020,'Type Chart'!$C$2:$T$20,9,false)*HLOOKUP($K1020,'Type Chart'!$C$2:$U$20,9,false)</f>
        <v>1</v>
      </c>
      <c r="AC1020" s="960">
        <f t="array" ref="AC1020">HLOOKUP($J1020,'Type Chart'!$C$2:$T$20,10,false)*HLOOKUP($K1020,'Type Chart'!$C$2:$U$20,10,false)</f>
        <v>1</v>
      </c>
      <c r="AD1020" s="960">
        <f t="array" ref="AD1020">HLOOKUP($J1020,'Type Chart'!$C$2:$T$20,11,false)*HLOOKUP($K1020,'Type Chart'!$C$2:$U$20,11,false)</f>
        <v>1</v>
      </c>
      <c r="AE1020" s="960">
        <f t="array" ref="AE1020">HLOOKUP($J1020,'Type Chart'!$C$2:$T$20,12,false)*HLOOKUP($K1020,'Type Chart'!$C$2:$U$20,12,false)</f>
        <v>1</v>
      </c>
      <c r="AF1020" s="960">
        <f t="array" ref="AF1020">HLOOKUP($J1020,'Type Chart'!$C$2:$T$20,13,false)*HLOOKUP($K1020,'Type Chart'!$C$2:$U$20,13,false)</f>
        <v>0.5</v>
      </c>
      <c r="AG1020" s="960">
        <f t="array" ref="AG1020">HLOOKUP($J1020,'Type Chart'!$C$2:$T$20,14,false)*HLOOKUP($K1020,'Type Chart'!$C$2:$U$20,14,false)</f>
        <v>1</v>
      </c>
      <c r="AH1020" s="960">
        <f t="array" ref="AH1020">HLOOKUP($J1020,'Type Chart'!$C$2:$T$20,15,false)*HLOOKUP($K1020,'Type Chart'!$C$2:$U$20,15,false)</f>
        <v>2</v>
      </c>
      <c r="AI1020" s="960">
        <f t="array" ref="AI1020">HLOOKUP($J1020,'Type Chart'!$C$2:$T$20,16,false)*HLOOKUP($K1020,'Type Chart'!$C$2:$U$20,16,false)</f>
        <v>1</v>
      </c>
      <c r="AJ1020" s="960">
        <f t="array" ref="AJ1020">HLOOKUP($J1020,'Type Chart'!$C$2:$T$20,17,false)*HLOOKUP($K1020,'Type Chart'!$C$2:$U$20,17,false)</f>
        <v>1</v>
      </c>
      <c r="AK1020" s="960">
        <f t="array" ref="AK1020">HLOOKUP($J1020,'Type Chart'!$C$2:$T$20,18,false)*HLOOKUP($K1020,'Type Chart'!$C$2:$U$20,18,false)</f>
        <v>1</v>
      </c>
      <c r="AL1020" s="960">
        <f t="array" ref="AL1020">HLOOKUP($J1020,'Type Chart'!$C$2:$T$20,19,false)*HLOOKUP($K1020,'Type Chart'!$C$2:$U$20,19,false)</f>
        <v>0.5</v>
      </c>
      <c r="AM1020" s="964" t="s">
        <v>3787</v>
      </c>
      <c r="AN1020" s="965"/>
      <c r="AO1020" s="966"/>
      <c r="AP1020" s="936"/>
      <c r="AQ1020" s="967"/>
      <c r="AR1020" s="968"/>
      <c r="AS1020" s="936"/>
    </row>
    <row r="1021" ht="15.75" customHeight="1">
      <c r="A1021" s="936"/>
      <c r="B1021" s="948" t="s">
        <v>3832</v>
      </c>
      <c r="C1021" s="950" t="s">
        <v>3833</v>
      </c>
      <c r="D1021" s="950" t="s">
        <v>3833</v>
      </c>
      <c r="E1021" s="952" t="s">
        <v>3833</v>
      </c>
      <c r="F1021" s="940"/>
      <c r="G1021" s="953"/>
      <c r="H1021" s="969"/>
      <c r="I1021" s="956" t="s">
        <v>3834</v>
      </c>
      <c r="J1021" s="958" t="s">
        <v>178</v>
      </c>
      <c r="K1021" s="1006" t="s">
        <v>346</v>
      </c>
      <c r="L1021" s="959">
        <v>73.0</v>
      </c>
      <c r="M1021" s="960">
        <v>73.0</v>
      </c>
      <c r="N1021" s="960">
        <v>73.0</v>
      </c>
      <c r="O1021" s="960">
        <v>127.0</v>
      </c>
      <c r="P1021" s="960">
        <v>73.0</v>
      </c>
      <c r="Q1021" s="960">
        <v>121.0</v>
      </c>
      <c r="R1021" s="960">
        <v>278.0</v>
      </c>
      <c r="S1021" s="960">
        <v>341.0</v>
      </c>
      <c r="T1021" s="960">
        <v>375.0</v>
      </c>
      <c r="U1021" s="960">
        <f t="array" ref="U1021">HLOOKUP($J1021,'Type Chart'!$C$2:$T$20,2,false)*HLOOKUP($K1021,'Type Chart'!$C$2:$U$20,2,false)</f>
        <v>1</v>
      </c>
      <c r="V1021" s="960">
        <f t="array" ref="V1021">HLOOKUP($J1021,'Type Chart'!$C$2:$T$20,3,false)*HLOOKUP($K1021,'Type Chart'!$C$2:$U$20,3,false)</f>
        <v>0.5</v>
      </c>
      <c r="W1021" s="960">
        <f t="array" ref="W1021">HLOOKUP($J1021,'Type Chart'!$C$2:$T$20,4,false)*HLOOKUP($K1021,'Type Chart'!$C$2:$U$20,4,false)</f>
        <v>1</v>
      </c>
      <c r="X1021" s="960">
        <f t="array" ref="X1021">HLOOKUP($J1021,'Type Chart'!$C$2:$T$20,5,false)*HLOOKUP($K1021,'Type Chart'!$C$2:$U$20,5,false)</f>
        <v>0.5</v>
      </c>
      <c r="Y1021" s="960">
        <f t="array" ref="Y1021">HLOOKUP($J1021,'Type Chart'!$C$2:$T$20,6,false)*HLOOKUP($K1021,'Type Chart'!$C$2:$U$20,6,false)</f>
        <v>2</v>
      </c>
      <c r="Z1021" s="960">
        <f t="array" ref="Z1021">HLOOKUP($J1021,'Type Chart'!$C$2:$T$20,7,false)*HLOOKUP($K1021,'Type Chart'!$C$2:$U$20,7,false)</f>
        <v>1</v>
      </c>
      <c r="AA1021" s="960">
        <f t="array" ref="AA1021">HLOOKUP($J1021,'Type Chart'!$C$2:$T$20,8,false)*HLOOKUP($K1021,'Type Chart'!$C$2:$U$20,8,false)</f>
        <v>0.5</v>
      </c>
      <c r="AB1021" s="960">
        <f t="array" ref="AB1021">HLOOKUP($J1021,'Type Chart'!$C$2:$T$20,9,false)*HLOOKUP($K1021,'Type Chart'!$C$2:$U$20,9,false)</f>
        <v>1</v>
      </c>
      <c r="AC1021" s="960">
        <f t="array" ref="AC1021">HLOOKUP($J1021,'Type Chart'!$C$2:$T$20,10,false)*HLOOKUP($K1021,'Type Chart'!$C$2:$U$20,10,false)</f>
        <v>1</v>
      </c>
      <c r="AD1021" s="960">
        <f t="array" ref="AD1021">HLOOKUP($J1021,'Type Chart'!$C$2:$T$20,11,false)*HLOOKUP($K1021,'Type Chart'!$C$2:$U$20,11,false)</f>
        <v>0.5</v>
      </c>
      <c r="AE1021" s="960">
        <f t="array" ref="AE1021">HLOOKUP($J1021,'Type Chart'!$C$2:$T$20,12,false)*HLOOKUP($K1021,'Type Chart'!$C$2:$U$20,12,false)</f>
        <v>0.5</v>
      </c>
      <c r="AF1021" s="960">
        <f t="array" ref="AF1021">HLOOKUP($J1021,'Type Chart'!$C$2:$T$20,13,false)*HLOOKUP($K1021,'Type Chart'!$C$2:$U$20,13,false)</f>
        <v>0.25</v>
      </c>
      <c r="AG1021" s="960">
        <f t="array" ref="AG1021">HLOOKUP($J1021,'Type Chart'!$C$2:$T$20,14,false)*HLOOKUP($K1021,'Type Chart'!$C$2:$U$20,14,false)</f>
        <v>0.5</v>
      </c>
      <c r="AH1021" s="960">
        <f t="array" ref="AH1021">HLOOKUP($J1021,'Type Chart'!$C$2:$T$20,15,false)*HLOOKUP($K1021,'Type Chart'!$C$2:$U$20,15,false)</f>
        <v>2</v>
      </c>
      <c r="AI1021" s="960">
        <f t="array" ref="AI1021">HLOOKUP($J1021,'Type Chart'!$C$2:$T$20,16,false)*HLOOKUP($K1021,'Type Chart'!$C$2:$U$20,16,false)</f>
        <v>2</v>
      </c>
      <c r="AJ1021" s="960">
        <f t="array" ref="AJ1021">HLOOKUP($J1021,'Type Chart'!$C$2:$T$20,17,false)*HLOOKUP($K1021,'Type Chart'!$C$2:$U$20,17,false)</f>
        <v>2</v>
      </c>
      <c r="AK1021" s="960">
        <f t="array" ref="AK1021">HLOOKUP($J1021,'Type Chart'!$C$2:$T$20,18,false)*HLOOKUP($K1021,'Type Chart'!$C$2:$U$20,18,false)</f>
        <v>1</v>
      </c>
      <c r="AL1021" s="960">
        <f t="array" ref="AL1021">HLOOKUP($J1021,'Type Chart'!$C$2:$T$20,19,false)*HLOOKUP($K1021,'Type Chart'!$C$2:$U$20,19,false)</f>
        <v>1</v>
      </c>
      <c r="AM1021" s="964" t="s">
        <v>3787</v>
      </c>
      <c r="AN1021" s="965"/>
      <c r="AO1021" s="966"/>
      <c r="AP1021" s="936"/>
      <c r="AQ1021" s="967"/>
      <c r="AR1021" s="968"/>
      <c r="AS1021" s="936"/>
    </row>
    <row r="1022" ht="15.75" customHeight="1">
      <c r="A1022" s="936"/>
      <c r="B1022" s="948" t="s">
        <v>3835</v>
      </c>
      <c r="C1022" s="950" t="s">
        <v>3836</v>
      </c>
      <c r="D1022" s="950" t="s">
        <v>3836</v>
      </c>
      <c r="E1022" s="952" t="s">
        <v>3836</v>
      </c>
      <c r="F1022" s="940"/>
      <c r="G1022" s="953"/>
      <c r="H1022" s="969"/>
      <c r="I1022" s="956" t="s">
        <v>3837</v>
      </c>
      <c r="J1022" s="1214" t="s">
        <v>342</v>
      </c>
      <c r="K1022" s="1206" t="s">
        <v>82</v>
      </c>
      <c r="L1022" s="959">
        <v>61.0</v>
      </c>
      <c r="M1022" s="960">
        <v>131.0</v>
      </c>
      <c r="N1022" s="960">
        <v>211.0</v>
      </c>
      <c r="O1022" s="960">
        <v>53.0</v>
      </c>
      <c r="P1022" s="960">
        <v>101.0</v>
      </c>
      <c r="Q1022" s="960">
        <v>13.0</v>
      </c>
      <c r="R1022" s="960">
        <v>62.0</v>
      </c>
      <c r="S1022" s="960">
        <v>125.0</v>
      </c>
      <c r="T1022" s="960">
        <v>137.0</v>
      </c>
      <c r="U1022" s="960">
        <f t="array" ref="U1022">HLOOKUP($J1022,'Type Chart'!$C$2:$T$20,2,false)*HLOOKUP($K1022,'Type Chart'!$C$2:$U$20,2,false)</f>
        <v>0.25</v>
      </c>
      <c r="V1022" s="960">
        <f t="array" ref="V1022">HLOOKUP($J1022,'Type Chart'!$C$2:$T$20,3,false)*HLOOKUP($K1022,'Type Chart'!$C$2:$U$20,3,false)</f>
        <v>4</v>
      </c>
      <c r="W1022" s="960">
        <f t="array" ref="W1022">HLOOKUP($J1022,'Type Chart'!$C$2:$T$20,4,false)*HLOOKUP($K1022,'Type Chart'!$C$2:$U$20,4,false)</f>
        <v>0.25</v>
      </c>
      <c r="X1022" s="960">
        <f t="array" ref="X1022">HLOOKUP($J1022,'Type Chart'!$C$2:$T$20,5,false)*HLOOKUP($K1022,'Type Chart'!$C$2:$U$20,5,false)</f>
        <v>0</v>
      </c>
      <c r="Y1022" s="960">
        <f t="array" ref="Y1022">HLOOKUP($J1022,'Type Chart'!$C$2:$T$20,6,false)*HLOOKUP($K1022,'Type Chart'!$C$2:$U$20,6,false)</f>
        <v>4</v>
      </c>
      <c r="Z1022" s="960">
        <f t="array" ref="Z1022">HLOOKUP($J1022,'Type Chart'!$C$2:$T$20,7,false)*HLOOKUP($K1022,'Type Chart'!$C$2:$U$20,7,false)</f>
        <v>0.5</v>
      </c>
      <c r="AA1022" s="960">
        <f t="array" ref="AA1022">HLOOKUP($J1022,'Type Chart'!$C$2:$T$20,8,false)*HLOOKUP($K1022,'Type Chart'!$C$2:$U$20,8,false)</f>
        <v>0.5</v>
      </c>
      <c r="AB1022" s="960">
        <f t="array" ref="AB1022">HLOOKUP($J1022,'Type Chart'!$C$2:$T$20,9,false)*HLOOKUP($K1022,'Type Chart'!$C$2:$U$20,9,false)</f>
        <v>1</v>
      </c>
      <c r="AC1022" s="960">
        <f t="array" ref="AC1022">HLOOKUP($J1022,'Type Chart'!$C$2:$T$20,10,false)*HLOOKUP($K1022,'Type Chart'!$C$2:$U$20,10,false)</f>
        <v>1</v>
      </c>
      <c r="AD1022" s="960">
        <f t="array" ref="AD1022">HLOOKUP($J1022,'Type Chart'!$C$2:$T$20,11,false)*HLOOKUP($K1022,'Type Chart'!$C$2:$U$20,11,false)</f>
        <v>1</v>
      </c>
      <c r="AE1022" s="960">
        <f t="array" ref="AE1022">HLOOKUP($J1022,'Type Chart'!$C$2:$T$20,12,false)*HLOOKUP($K1022,'Type Chart'!$C$2:$U$20,12,false)</f>
        <v>2</v>
      </c>
      <c r="AF1022" s="960">
        <f t="array" ref="AF1022">HLOOKUP($J1022,'Type Chart'!$C$2:$T$20,13,false)*HLOOKUP($K1022,'Type Chart'!$C$2:$U$20,13,false)</f>
        <v>1</v>
      </c>
      <c r="AG1022" s="960">
        <f t="array" ref="AG1022">HLOOKUP($J1022,'Type Chart'!$C$2:$T$20,14,false)*HLOOKUP($K1022,'Type Chart'!$C$2:$U$20,14,false)</f>
        <v>1</v>
      </c>
      <c r="AH1022" s="960">
        <f t="array" ref="AH1022">HLOOKUP($J1022,'Type Chart'!$C$2:$T$20,15,false)*HLOOKUP($K1022,'Type Chart'!$C$2:$U$20,15,false)</f>
        <v>0.5</v>
      </c>
      <c r="AI1022" s="960">
        <f t="array" ref="AI1022">HLOOKUP($J1022,'Type Chart'!$C$2:$T$20,16,false)*HLOOKUP($K1022,'Type Chart'!$C$2:$U$20,16,false)</f>
        <v>0.5</v>
      </c>
      <c r="AJ1022" s="960">
        <f t="array" ref="AJ1022">HLOOKUP($J1022,'Type Chart'!$C$2:$T$20,17,false)*HLOOKUP($K1022,'Type Chart'!$C$2:$U$20,17,false)</f>
        <v>0.5</v>
      </c>
      <c r="AK1022" s="960">
        <f t="array" ref="AK1022">HLOOKUP($J1022,'Type Chart'!$C$2:$T$20,18,false)*HLOOKUP($K1022,'Type Chart'!$C$2:$U$20,18,false)</f>
        <v>1</v>
      </c>
      <c r="AL1022" s="960">
        <f t="array" ref="AL1022">HLOOKUP($J1022,'Type Chart'!$C$2:$T$20,19,false)*HLOOKUP($K1022,'Type Chart'!$C$2:$U$20,19,false)</f>
        <v>0.5</v>
      </c>
      <c r="AM1022" s="964" t="s">
        <v>3787</v>
      </c>
      <c r="AN1022" s="965"/>
      <c r="AO1022" s="966"/>
      <c r="AP1022" s="936"/>
      <c r="AQ1022" s="967"/>
      <c r="AR1022" s="968"/>
      <c r="AS1022" s="936"/>
    </row>
    <row r="1023" ht="15.75" customHeight="1">
      <c r="A1023" s="936"/>
      <c r="B1023" s="948" t="s">
        <v>3838</v>
      </c>
      <c r="C1023" s="950" t="s">
        <v>3839</v>
      </c>
      <c r="D1023" s="950" t="s">
        <v>3839</v>
      </c>
      <c r="E1023" s="952" t="s">
        <v>3839</v>
      </c>
      <c r="F1023" s="940"/>
      <c r="G1023" s="953"/>
      <c r="H1023" s="969"/>
      <c r="I1023" s="956" t="s">
        <v>3840</v>
      </c>
      <c r="J1023" s="982" t="s">
        <v>150</v>
      </c>
      <c r="K1023" s="1220" t="s">
        <v>215</v>
      </c>
      <c r="L1023" s="959">
        <v>53.0</v>
      </c>
      <c r="M1023" s="960">
        <v>127.0</v>
      </c>
      <c r="N1023" s="960">
        <v>53.0</v>
      </c>
      <c r="O1023" s="960">
        <v>151.0</v>
      </c>
      <c r="P1023" s="960">
        <v>79.0</v>
      </c>
      <c r="Q1023" s="960">
        <v>107.0</v>
      </c>
      <c r="R1023" s="960">
        <v>250.0</v>
      </c>
      <c r="S1023" s="960">
        <v>313.0</v>
      </c>
      <c r="T1023" s="960">
        <v>344.0</v>
      </c>
      <c r="U1023" s="960">
        <f t="array" ref="U1023">HLOOKUP($J1023,'Type Chart'!$C$2:$T$20,2,false)*HLOOKUP($K1023,'Type Chart'!$C$2:$U$20,2,false)</f>
        <v>0</v>
      </c>
      <c r="V1023" s="960">
        <f t="array" ref="V1023">HLOOKUP($J1023,'Type Chart'!$C$2:$T$20,3,false)*HLOOKUP($K1023,'Type Chart'!$C$2:$U$20,3,false)</f>
        <v>0</v>
      </c>
      <c r="W1023" s="960">
        <f t="array" ref="W1023">HLOOKUP($J1023,'Type Chart'!$C$2:$T$20,4,false)*HLOOKUP($K1023,'Type Chart'!$C$2:$U$20,4,false)</f>
        <v>1</v>
      </c>
      <c r="X1023" s="960">
        <f t="array" ref="X1023">HLOOKUP($J1023,'Type Chart'!$C$2:$T$20,5,false)*HLOOKUP($K1023,'Type Chart'!$C$2:$U$20,5,false)</f>
        <v>0.5</v>
      </c>
      <c r="Y1023" s="960">
        <f t="array" ref="Y1023">HLOOKUP($J1023,'Type Chart'!$C$2:$T$20,6,false)*HLOOKUP($K1023,'Type Chart'!$C$2:$U$20,6,false)</f>
        <v>2</v>
      </c>
      <c r="Z1023" s="960">
        <f t="array" ref="Z1023">HLOOKUP($J1023,'Type Chart'!$C$2:$T$20,7,false)*HLOOKUP($K1023,'Type Chart'!$C$2:$U$20,7,false)</f>
        <v>2</v>
      </c>
      <c r="AA1023" s="960">
        <f t="array" ref="AA1023">HLOOKUP($J1023,'Type Chart'!$C$2:$T$20,8,false)*HLOOKUP($K1023,'Type Chart'!$C$2:$U$20,8,false)</f>
        <v>0.25</v>
      </c>
      <c r="AB1023" s="960">
        <f t="array" ref="AB1023">HLOOKUP($J1023,'Type Chart'!$C$2:$T$20,9,false)*HLOOKUP($K1023,'Type Chart'!$C$2:$U$20,9,false)</f>
        <v>2</v>
      </c>
      <c r="AC1023" s="960">
        <f t="array" ref="AC1023">HLOOKUP($J1023,'Type Chart'!$C$2:$T$20,10,false)*HLOOKUP($K1023,'Type Chart'!$C$2:$U$20,10,false)</f>
        <v>0.5</v>
      </c>
      <c r="AD1023" s="960">
        <f t="array" ref="AD1023">HLOOKUP($J1023,'Type Chart'!$C$2:$T$20,11,false)*HLOOKUP($K1023,'Type Chart'!$C$2:$U$20,11,false)</f>
        <v>0.5</v>
      </c>
      <c r="AE1023" s="960">
        <f t="array" ref="AE1023">HLOOKUP($J1023,'Type Chart'!$C$2:$T$20,12,false)*HLOOKUP($K1023,'Type Chart'!$C$2:$U$20,12,false)</f>
        <v>2</v>
      </c>
      <c r="AF1023" s="960">
        <f t="array" ref="AF1023">HLOOKUP($J1023,'Type Chart'!$C$2:$T$20,13,false)*HLOOKUP($K1023,'Type Chart'!$C$2:$U$20,13,false)</f>
        <v>0.5</v>
      </c>
      <c r="AG1023" s="960">
        <f t="array" ref="AG1023">HLOOKUP($J1023,'Type Chart'!$C$2:$T$20,14,false)*HLOOKUP($K1023,'Type Chart'!$C$2:$U$20,14,false)</f>
        <v>1</v>
      </c>
      <c r="AH1023" s="960">
        <f t="array" ref="AH1023">HLOOKUP($J1023,'Type Chart'!$C$2:$T$20,15,false)*HLOOKUP($K1023,'Type Chart'!$C$2:$U$20,15,false)</f>
        <v>1</v>
      </c>
      <c r="AI1023" s="960">
        <f t="array" ref="AI1023">HLOOKUP($J1023,'Type Chart'!$C$2:$T$20,16,false)*HLOOKUP($K1023,'Type Chart'!$C$2:$U$20,16,false)</f>
        <v>0.5</v>
      </c>
      <c r="AJ1023" s="960">
        <f t="array" ref="AJ1023">HLOOKUP($J1023,'Type Chart'!$C$2:$T$20,17,false)*HLOOKUP($K1023,'Type Chart'!$C$2:$U$20,17,false)</f>
        <v>1</v>
      </c>
      <c r="AK1023" s="960">
        <f t="array" ref="AK1023">HLOOKUP($J1023,'Type Chart'!$C$2:$T$20,18,false)*HLOOKUP($K1023,'Type Chart'!$C$2:$U$20,18,false)</f>
        <v>2</v>
      </c>
      <c r="AL1023" s="960">
        <f t="array" ref="AL1023">HLOOKUP($J1023,'Type Chart'!$C$2:$T$20,19,false)*HLOOKUP($K1023,'Type Chart'!$C$2:$U$20,19,false)</f>
        <v>0.5</v>
      </c>
      <c r="AM1023" s="964" t="s">
        <v>3787</v>
      </c>
      <c r="AN1023" s="965"/>
      <c r="AO1023" s="966"/>
      <c r="AP1023" s="936"/>
      <c r="AQ1023" s="967"/>
      <c r="AR1023" s="968"/>
      <c r="AS1023" s="936"/>
    </row>
    <row r="1024" ht="15.75" customHeight="1">
      <c r="A1024" s="936"/>
      <c r="B1024" s="948" t="s">
        <v>3841</v>
      </c>
      <c r="C1024" s="950" t="s">
        <v>3842</v>
      </c>
      <c r="D1024" s="950" t="s">
        <v>3842</v>
      </c>
      <c r="E1024" s="952" t="s">
        <v>3842</v>
      </c>
      <c r="F1024" s="940"/>
      <c r="G1024" s="953"/>
      <c r="H1024" s="969"/>
      <c r="I1024" s="956" t="s">
        <v>3843</v>
      </c>
      <c r="J1024" s="1196" t="s">
        <v>203</v>
      </c>
      <c r="K1024" s="984" t="s">
        <v>216</v>
      </c>
      <c r="L1024" s="959">
        <v>88.0</v>
      </c>
      <c r="M1024" s="960">
        <v>112.0</v>
      </c>
      <c r="N1024" s="960">
        <v>75.0</v>
      </c>
      <c r="O1024" s="960">
        <v>102.0</v>
      </c>
      <c r="P1024" s="960">
        <v>80.0</v>
      </c>
      <c r="Q1024" s="960">
        <v>143.0</v>
      </c>
      <c r="R1024" s="960">
        <v>322.0</v>
      </c>
      <c r="S1024" s="960">
        <v>385.0</v>
      </c>
      <c r="T1024" s="960">
        <v>423.0</v>
      </c>
      <c r="U1024" s="960">
        <f t="array" ref="U1024">HLOOKUP($J1024,'Type Chart'!$C$2:$T$20,2,false)*HLOOKUP($K1024,'Type Chart'!$C$2:$U$20,2,false)</f>
        <v>1</v>
      </c>
      <c r="V1024" s="960">
        <f t="array" ref="V1024">HLOOKUP($J1024,'Type Chart'!$C$2:$T$20,3,false)*HLOOKUP($K1024,'Type Chart'!$C$2:$U$20,3,false)</f>
        <v>1</v>
      </c>
      <c r="W1024" s="960">
        <f t="array" ref="W1024">HLOOKUP($J1024,'Type Chart'!$C$2:$T$20,4,false)*HLOOKUP($K1024,'Type Chart'!$C$2:$U$20,4,false)</f>
        <v>0.5</v>
      </c>
      <c r="X1024" s="960">
        <f t="array" ref="X1024">HLOOKUP($J1024,'Type Chart'!$C$2:$T$20,5,false)*HLOOKUP($K1024,'Type Chart'!$C$2:$U$20,5,false)</f>
        <v>1</v>
      </c>
      <c r="Y1024" s="960">
        <f t="array" ref="Y1024">HLOOKUP($J1024,'Type Chart'!$C$2:$T$20,6,false)*HLOOKUP($K1024,'Type Chart'!$C$2:$U$20,6,false)</f>
        <v>2</v>
      </c>
      <c r="Z1024" s="960">
        <f t="array" ref="Z1024">HLOOKUP($J1024,'Type Chart'!$C$2:$T$20,7,false)*HLOOKUP($K1024,'Type Chart'!$C$2:$U$20,7,false)</f>
        <v>1</v>
      </c>
      <c r="AA1024" s="960">
        <f t="array" ref="AA1024">HLOOKUP($J1024,'Type Chart'!$C$2:$T$20,8,false)*HLOOKUP($K1024,'Type Chart'!$C$2:$U$20,8,false)</f>
        <v>1</v>
      </c>
      <c r="AB1024" s="960">
        <f t="array" ref="AB1024">HLOOKUP($J1024,'Type Chart'!$C$2:$T$20,9,false)*HLOOKUP($K1024,'Type Chart'!$C$2:$U$20,9,false)</f>
        <v>1</v>
      </c>
      <c r="AC1024" s="960">
        <f t="array" ref="AC1024">HLOOKUP($J1024,'Type Chart'!$C$2:$T$20,10,false)*HLOOKUP($K1024,'Type Chart'!$C$2:$U$20,10,false)</f>
        <v>0.5</v>
      </c>
      <c r="AD1024" s="960">
        <f t="array" ref="AD1024">HLOOKUP($J1024,'Type Chart'!$C$2:$T$20,11,false)*HLOOKUP($K1024,'Type Chart'!$C$2:$U$20,11,false)</f>
        <v>1</v>
      </c>
      <c r="AE1024" s="960">
        <f t="array" ref="AE1024">HLOOKUP($J1024,'Type Chart'!$C$2:$T$20,12,false)*HLOOKUP($K1024,'Type Chart'!$C$2:$U$20,12,false)</f>
        <v>1</v>
      </c>
      <c r="AF1024" s="960">
        <f t="array" ref="AF1024">HLOOKUP($J1024,'Type Chart'!$C$2:$T$20,13,false)*HLOOKUP($K1024,'Type Chart'!$C$2:$U$20,13,false)</f>
        <v>1</v>
      </c>
      <c r="AG1024" s="960">
        <f t="array" ref="AG1024">HLOOKUP($J1024,'Type Chart'!$C$2:$T$20,14,false)*HLOOKUP($K1024,'Type Chart'!$C$2:$U$20,14,false)</f>
        <v>0.5</v>
      </c>
      <c r="AH1024" s="960">
        <f t="array" ref="AH1024">HLOOKUP($J1024,'Type Chart'!$C$2:$T$20,15,false)*HLOOKUP($K1024,'Type Chart'!$C$2:$U$20,15,false)</f>
        <v>1</v>
      </c>
      <c r="AI1024" s="960">
        <f t="array" ref="AI1024">HLOOKUP($J1024,'Type Chart'!$C$2:$T$20,16,false)*HLOOKUP($K1024,'Type Chart'!$C$2:$U$20,16,false)</f>
        <v>1</v>
      </c>
      <c r="AJ1024" s="960">
        <f t="array" ref="AJ1024">HLOOKUP($J1024,'Type Chart'!$C$2:$T$20,17,false)*HLOOKUP($K1024,'Type Chart'!$C$2:$U$20,17,false)</f>
        <v>1</v>
      </c>
      <c r="AK1024" s="960">
        <f t="array" ref="AK1024">HLOOKUP($J1024,'Type Chart'!$C$2:$T$20,18,false)*HLOOKUP($K1024,'Type Chart'!$C$2:$U$20,18,false)</f>
        <v>1</v>
      </c>
      <c r="AL1024" s="960">
        <f t="array" ref="AL1024">HLOOKUP($J1024,'Type Chart'!$C$2:$T$20,19,false)*HLOOKUP($K1024,'Type Chart'!$C$2:$U$20,19,false)</f>
        <v>1</v>
      </c>
      <c r="AM1024" s="964" t="s">
        <v>1614</v>
      </c>
      <c r="AN1024" s="965"/>
      <c r="AO1024" s="966"/>
      <c r="AP1024" s="936"/>
      <c r="AQ1024" s="967"/>
      <c r="AR1024" s="968"/>
      <c r="AS1024" s="936"/>
    </row>
    <row r="1025" ht="15.75" customHeight="1">
      <c r="A1025" s="1099"/>
      <c r="B1025" s="948" t="s">
        <v>3844</v>
      </c>
      <c r="C1025" s="1197" t="s">
        <v>3845</v>
      </c>
      <c r="D1025" s="1197" t="s">
        <v>3845</v>
      </c>
      <c r="E1025" s="1147" t="s">
        <v>3845</v>
      </c>
      <c r="F1025" s="940"/>
      <c r="G1025" s="953"/>
      <c r="H1025" s="969"/>
      <c r="I1025" s="998" t="s">
        <v>3846</v>
      </c>
      <c r="J1025" s="1233" t="s">
        <v>82</v>
      </c>
      <c r="K1025" s="1199" t="s">
        <v>216</v>
      </c>
      <c r="L1025" s="1200">
        <v>46.0</v>
      </c>
      <c r="M1025" s="1201">
        <v>65.0</v>
      </c>
      <c r="N1025" s="1201">
        <v>65.0</v>
      </c>
      <c r="O1025" s="1201">
        <v>55.0</v>
      </c>
      <c r="P1025" s="1201">
        <v>35.0</v>
      </c>
      <c r="Q1025" s="1201">
        <v>34.0</v>
      </c>
      <c r="R1025" s="960">
        <v>104.0</v>
      </c>
      <c r="S1025" s="960">
        <v>167.0</v>
      </c>
      <c r="T1025" s="960">
        <v>183.0</v>
      </c>
      <c r="U1025" s="960">
        <f t="array" ref="U1025">HLOOKUP($J1025,'Type Chart'!$C$2:$T$20,2,false)*HLOOKUP($K1025,'Type Chart'!$C$2:$U$20,2,false)</f>
        <v>0.5</v>
      </c>
      <c r="V1025" s="960">
        <f t="array" ref="V1025">HLOOKUP($J1025,'Type Chart'!$C$2:$T$20,3,false)*HLOOKUP($K1025,'Type Chart'!$C$2:$U$20,3,false)</f>
        <v>2</v>
      </c>
      <c r="W1025" s="960">
        <f t="array" ref="W1025">HLOOKUP($J1025,'Type Chart'!$C$2:$T$20,4,false)*HLOOKUP($K1025,'Type Chart'!$C$2:$U$20,4,false)</f>
        <v>0.5</v>
      </c>
      <c r="X1025" s="960">
        <f t="array" ref="X1025">HLOOKUP($J1025,'Type Chart'!$C$2:$T$20,5,false)*HLOOKUP($K1025,'Type Chart'!$C$2:$U$20,5,false)</f>
        <v>0</v>
      </c>
      <c r="Y1025" s="960">
        <f t="array" ref="Y1025">HLOOKUP($J1025,'Type Chart'!$C$2:$T$20,6,false)*HLOOKUP($K1025,'Type Chart'!$C$2:$U$20,6,false)</f>
        <v>2</v>
      </c>
      <c r="Z1025" s="960">
        <f t="array" ref="Z1025">HLOOKUP($J1025,'Type Chart'!$C$2:$T$20,7,false)*HLOOKUP($K1025,'Type Chart'!$C$2:$U$20,7,false)</f>
        <v>0.5</v>
      </c>
      <c r="AA1025" s="960">
        <f t="array" ref="AA1025">HLOOKUP($J1025,'Type Chart'!$C$2:$T$20,8,false)*HLOOKUP($K1025,'Type Chart'!$C$2:$U$20,8,false)</f>
        <v>0.5</v>
      </c>
      <c r="AB1025" s="960">
        <f t="array" ref="AB1025">HLOOKUP($J1025,'Type Chart'!$C$2:$T$20,9,false)*HLOOKUP($K1025,'Type Chart'!$C$2:$U$20,9,false)</f>
        <v>1</v>
      </c>
      <c r="AC1025" s="960">
        <f t="array" ref="AC1025">HLOOKUP($J1025,'Type Chart'!$C$2:$T$20,10,false)*HLOOKUP($K1025,'Type Chart'!$C$2:$U$20,10,false)</f>
        <v>0.5</v>
      </c>
      <c r="AD1025" s="960">
        <f t="array" ref="AD1025">HLOOKUP($J1025,'Type Chart'!$C$2:$T$20,11,false)*HLOOKUP($K1025,'Type Chart'!$C$2:$U$20,11,false)</f>
        <v>2</v>
      </c>
      <c r="AE1025" s="960">
        <f t="array" ref="AE1025">HLOOKUP($J1025,'Type Chart'!$C$2:$T$20,12,false)*HLOOKUP($K1025,'Type Chart'!$C$2:$U$20,12,false)</f>
        <v>1</v>
      </c>
      <c r="AF1025" s="960">
        <f t="array" ref="AF1025">HLOOKUP($J1025,'Type Chart'!$C$2:$T$20,13,false)*HLOOKUP($K1025,'Type Chart'!$C$2:$U$20,13,false)</f>
        <v>0.5</v>
      </c>
      <c r="AG1025" s="960">
        <f t="array" ref="AG1025">HLOOKUP($J1025,'Type Chart'!$C$2:$T$20,14,false)*HLOOKUP($K1025,'Type Chart'!$C$2:$U$20,14,false)</f>
        <v>1</v>
      </c>
      <c r="AH1025" s="960">
        <f t="array" ref="AH1025">HLOOKUP($J1025,'Type Chart'!$C$2:$T$20,15,false)*HLOOKUP($K1025,'Type Chart'!$C$2:$U$20,15,false)</f>
        <v>0.5</v>
      </c>
      <c r="AI1025" s="960">
        <f t="array" ref="AI1025">HLOOKUP($J1025,'Type Chart'!$C$2:$T$20,16,false)*HLOOKUP($K1025,'Type Chart'!$C$2:$U$20,16,false)</f>
        <v>0.5</v>
      </c>
      <c r="AJ1025" s="960">
        <f t="array" ref="AJ1025">HLOOKUP($J1025,'Type Chart'!$C$2:$T$20,17,false)*HLOOKUP($K1025,'Type Chart'!$C$2:$U$20,17,false)</f>
        <v>0.5</v>
      </c>
      <c r="AK1025" s="960">
        <f t="array" ref="AK1025">HLOOKUP($J1025,'Type Chart'!$C$2:$T$20,18,false)*HLOOKUP($K1025,'Type Chart'!$C$2:$U$20,18,false)</f>
        <v>1</v>
      </c>
      <c r="AL1025" s="960">
        <f t="array" ref="AL1025">HLOOKUP($J1025,'Type Chart'!$C$2:$T$20,19,false)*HLOOKUP($K1025,'Type Chart'!$C$2:$U$20,19,false)</f>
        <v>0.5</v>
      </c>
      <c r="AM1025" s="1145" t="s">
        <v>1336</v>
      </c>
      <c r="AN1025" s="965"/>
      <c r="AO1025" s="1146"/>
      <c r="AP1025" s="936"/>
      <c r="AQ1025" s="967"/>
      <c r="AR1025" s="968"/>
      <c r="AS1025" s="936"/>
    </row>
    <row r="1026" ht="15.75" customHeight="1">
      <c r="A1026" s="936"/>
      <c r="B1026" s="948" t="s">
        <v>3847</v>
      </c>
      <c r="C1026" s="950" t="s">
        <v>3848</v>
      </c>
      <c r="D1026" s="950" t="s">
        <v>3848</v>
      </c>
      <c r="E1026" s="952" t="s">
        <v>3848</v>
      </c>
      <c r="F1026" s="940"/>
      <c r="G1026" s="953"/>
      <c r="H1026" s="969"/>
      <c r="I1026" s="956" t="s">
        <v>3849</v>
      </c>
      <c r="J1026" s="1206" t="s">
        <v>82</v>
      </c>
      <c r="K1026" s="984" t="s">
        <v>216</v>
      </c>
      <c r="L1026" s="959">
        <v>135.0</v>
      </c>
      <c r="M1026" s="960">
        <v>143.0</v>
      </c>
      <c r="N1026" s="960">
        <v>143.0</v>
      </c>
      <c r="O1026" s="960">
        <v>80.0</v>
      </c>
      <c r="P1026" s="960">
        <v>65.0</v>
      </c>
      <c r="Q1026" s="960">
        <v>34.0</v>
      </c>
      <c r="R1026" s="960">
        <v>104.0</v>
      </c>
      <c r="S1026" s="960">
        <v>167.0</v>
      </c>
      <c r="T1026" s="960">
        <v>183.0</v>
      </c>
      <c r="U1026" s="960">
        <f t="array" ref="U1026">HLOOKUP($J1026,'Type Chart'!$C$2:$T$20,2,false)*HLOOKUP($K1026,'Type Chart'!$C$2:$U$20,2,false)</f>
        <v>0.5</v>
      </c>
      <c r="V1026" s="960">
        <f t="array" ref="V1026">HLOOKUP($J1026,'Type Chart'!$C$2:$T$20,3,false)*HLOOKUP($K1026,'Type Chart'!$C$2:$U$20,3,false)</f>
        <v>2</v>
      </c>
      <c r="W1026" s="960">
        <f t="array" ref="W1026">HLOOKUP($J1026,'Type Chart'!$C$2:$T$20,4,false)*HLOOKUP($K1026,'Type Chart'!$C$2:$U$20,4,false)</f>
        <v>0.5</v>
      </c>
      <c r="X1026" s="960">
        <f t="array" ref="X1026">HLOOKUP($J1026,'Type Chart'!$C$2:$T$20,5,false)*HLOOKUP($K1026,'Type Chart'!$C$2:$U$20,5,false)</f>
        <v>0</v>
      </c>
      <c r="Y1026" s="960">
        <f t="array" ref="Y1026">HLOOKUP($J1026,'Type Chart'!$C$2:$T$20,6,false)*HLOOKUP($K1026,'Type Chart'!$C$2:$U$20,6,false)</f>
        <v>2</v>
      </c>
      <c r="Z1026" s="960">
        <f t="array" ref="Z1026">HLOOKUP($J1026,'Type Chart'!$C$2:$T$20,7,false)*HLOOKUP($K1026,'Type Chart'!$C$2:$U$20,7,false)</f>
        <v>0.5</v>
      </c>
      <c r="AA1026" s="960">
        <f t="array" ref="AA1026">HLOOKUP($J1026,'Type Chart'!$C$2:$T$20,8,false)*HLOOKUP($K1026,'Type Chart'!$C$2:$U$20,8,false)</f>
        <v>0.5</v>
      </c>
      <c r="AB1026" s="960">
        <f t="array" ref="AB1026">HLOOKUP($J1026,'Type Chart'!$C$2:$T$20,9,false)*HLOOKUP($K1026,'Type Chart'!$C$2:$U$20,9,false)</f>
        <v>1</v>
      </c>
      <c r="AC1026" s="960">
        <f t="array" ref="AC1026">HLOOKUP($J1026,'Type Chart'!$C$2:$T$20,10,false)*HLOOKUP($K1026,'Type Chart'!$C$2:$U$20,10,false)</f>
        <v>0.5</v>
      </c>
      <c r="AD1026" s="960">
        <f t="array" ref="AD1026">HLOOKUP($J1026,'Type Chart'!$C$2:$T$20,11,false)*HLOOKUP($K1026,'Type Chart'!$C$2:$U$20,11,false)</f>
        <v>2</v>
      </c>
      <c r="AE1026" s="960">
        <f t="array" ref="AE1026">HLOOKUP($J1026,'Type Chart'!$C$2:$T$20,12,false)*HLOOKUP($K1026,'Type Chart'!$C$2:$U$20,12,false)</f>
        <v>1</v>
      </c>
      <c r="AF1026" s="960">
        <f t="array" ref="AF1026">HLOOKUP($J1026,'Type Chart'!$C$2:$T$20,13,false)*HLOOKUP($K1026,'Type Chart'!$C$2:$U$20,13,false)</f>
        <v>0.5</v>
      </c>
      <c r="AG1026" s="960">
        <f t="array" ref="AG1026">HLOOKUP($J1026,'Type Chart'!$C$2:$T$20,14,false)*HLOOKUP($K1026,'Type Chart'!$C$2:$U$20,14,false)</f>
        <v>1</v>
      </c>
      <c r="AH1026" s="960">
        <f t="array" ref="AH1026">HLOOKUP($J1026,'Type Chart'!$C$2:$T$20,15,false)*HLOOKUP($K1026,'Type Chart'!$C$2:$U$20,15,false)</f>
        <v>0.5</v>
      </c>
      <c r="AI1026" s="960">
        <f t="array" ref="AI1026">HLOOKUP($J1026,'Type Chart'!$C$2:$T$20,16,false)*HLOOKUP($K1026,'Type Chart'!$C$2:$U$20,16,false)</f>
        <v>0.5</v>
      </c>
      <c r="AJ1026" s="960">
        <f t="array" ref="AJ1026">HLOOKUP($J1026,'Type Chart'!$C$2:$T$20,17,false)*HLOOKUP($K1026,'Type Chart'!$C$2:$U$20,17,false)</f>
        <v>0.5</v>
      </c>
      <c r="AK1026" s="960">
        <f t="array" ref="AK1026">HLOOKUP($J1026,'Type Chart'!$C$2:$T$20,18,false)*HLOOKUP($K1026,'Type Chart'!$C$2:$U$20,18,false)</f>
        <v>1</v>
      </c>
      <c r="AL1026" s="960">
        <f t="array" ref="AL1026">HLOOKUP($J1026,'Type Chart'!$C$2:$T$20,19,false)*HLOOKUP($K1026,'Type Chart'!$C$2:$U$20,19,false)</f>
        <v>0.5</v>
      </c>
      <c r="AM1026" s="964" t="s">
        <v>1501</v>
      </c>
      <c r="AN1026" s="965"/>
      <c r="AO1026" s="966"/>
      <c r="AP1026" s="936"/>
      <c r="AQ1026" s="967"/>
      <c r="AR1026" s="968"/>
      <c r="AS1026" s="936"/>
    </row>
    <row r="1027" ht="15.75" customHeight="1">
      <c r="A1027" s="936"/>
      <c r="B1027" s="948" t="s">
        <v>3850</v>
      </c>
      <c r="C1027" s="950" t="s">
        <v>3851</v>
      </c>
      <c r="D1027" s="950" t="s">
        <v>3851</v>
      </c>
      <c r="E1027" s="952" t="s">
        <v>3851</v>
      </c>
      <c r="F1027" s="940"/>
      <c r="G1027" s="953"/>
      <c r="H1027" s="969"/>
      <c r="I1027" s="956" t="s">
        <v>3852</v>
      </c>
      <c r="J1027" s="957" t="s">
        <v>209</v>
      </c>
      <c r="K1027" s="984" t="s">
        <v>216</v>
      </c>
      <c r="L1027" s="959">
        <v>50.0</v>
      </c>
      <c r="M1027" s="960">
        <v>65.0</v>
      </c>
      <c r="N1027" s="960">
        <v>50.0</v>
      </c>
      <c r="O1027" s="960">
        <v>40.0</v>
      </c>
      <c r="P1027" s="960">
        <v>40.0</v>
      </c>
      <c r="Q1027" s="960">
        <v>65.0</v>
      </c>
      <c r="R1027" s="960">
        <v>166.0</v>
      </c>
      <c r="S1027" s="960">
        <v>229.0</v>
      </c>
      <c r="T1027" s="960">
        <v>251.0</v>
      </c>
      <c r="U1027" s="960">
        <f t="array" ref="U1027">HLOOKUP($J1027,'Type Chart'!$C$2:$T$20,2,false)*HLOOKUP($K1027,'Type Chart'!$C$2:$U$20,2,false)</f>
        <v>1</v>
      </c>
      <c r="V1027" s="960">
        <f t="array" ref="V1027">HLOOKUP($J1027,'Type Chart'!$C$2:$T$20,3,false)*HLOOKUP($K1027,'Type Chart'!$C$2:$U$20,3,false)</f>
        <v>1</v>
      </c>
      <c r="W1027" s="960">
        <f t="array" ref="W1027">HLOOKUP($J1027,'Type Chart'!$C$2:$T$20,4,false)*HLOOKUP($K1027,'Type Chart'!$C$2:$U$20,4,false)</f>
        <v>2</v>
      </c>
      <c r="X1027" s="960">
        <f t="array" ref="X1027">HLOOKUP($J1027,'Type Chart'!$C$2:$T$20,5,false)*HLOOKUP($K1027,'Type Chart'!$C$2:$U$20,5,false)</f>
        <v>2</v>
      </c>
      <c r="Y1027" s="960">
        <f t="array" ref="Y1027">HLOOKUP($J1027,'Type Chart'!$C$2:$T$20,6,false)*HLOOKUP($K1027,'Type Chart'!$C$2:$U$20,6,false)</f>
        <v>0.5</v>
      </c>
      <c r="Z1027" s="960">
        <f t="array" ref="Z1027">HLOOKUP($J1027,'Type Chart'!$C$2:$T$20,7,false)*HLOOKUP($K1027,'Type Chart'!$C$2:$U$20,7,false)</f>
        <v>1</v>
      </c>
      <c r="AA1027" s="960">
        <f t="array" ref="AA1027">HLOOKUP($J1027,'Type Chart'!$C$2:$T$20,8,false)*HLOOKUP($K1027,'Type Chart'!$C$2:$U$20,8,false)</f>
        <v>2</v>
      </c>
      <c r="AB1027" s="960">
        <f t="array" ref="AB1027">HLOOKUP($J1027,'Type Chart'!$C$2:$T$20,9,false)*HLOOKUP($K1027,'Type Chart'!$C$2:$U$20,9,false)</f>
        <v>1</v>
      </c>
      <c r="AC1027" s="960">
        <f t="array" ref="AC1027">HLOOKUP($J1027,'Type Chart'!$C$2:$T$20,10,false)*HLOOKUP($K1027,'Type Chart'!$C$2:$U$20,10,false)</f>
        <v>1</v>
      </c>
      <c r="AD1027" s="960">
        <f t="array" ref="AD1027">HLOOKUP($J1027,'Type Chart'!$C$2:$T$20,11,false)*HLOOKUP($K1027,'Type Chart'!$C$2:$U$20,11,false)</f>
        <v>2</v>
      </c>
      <c r="AE1027" s="960">
        <f t="array" ref="AE1027">HLOOKUP($J1027,'Type Chart'!$C$2:$T$20,12,false)*HLOOKUP($K1027,'Type Chart'!$C$2:$U$20,12,false)</f>
        <v>0.5</v>
      </c>
      <c r="AF1027" s="960">
        <f t="array" ref="AF1027">HLOOKUP($J1027,'Type Chart'!$C$2:$T$20,13,false)*HLOOKUP($K1027,'Type Chart'!$C$2:$U$20,13,false)</f>
        <v>0.5</v>
      </c>
      <c r="AG1027" s="960">
        <f t="array" ref="AG1027">HLOOKUP($J1027,'Type Chart'!$C$2:$T$20,14,false)*HLOOKUP($K1027,'Type Chart'!$C$2:$U$20,14,false)</f>
        <v>0.5</v>
      </c>
      <c r="AH1027" s="960">
        <f t="array" ref="AH1027">HLOOKUP($J1027,'Type Chart'!$C$2:$T$20,15,false)*HLOOKUP($K1027,'Type Chart'!$C$2:$U$20,15,false)</f>
        <v>1</v>
      </c>
      <c r="AI1027" s="960">
        <f t="array" ref="AI1027">HLOOKUP($J1027,'Type Chart'!$C$2:$T$20,16,false)*HLOOKUP($K1027,'Type Chart'!$C$2:$U$20,16,false)</f>
        <v>2</v>
      </c>
      <c r="AJ1027" s="960">
        <f t="array" ref="AJ1027">HLOOKUP($J1027,'Type Chart'!$C$2:$T$20,17,false)*HLOOKUP($K1027,'Type Chart'!$C$2:$U$20,17,false)</f>
        <v>1</v>
      </c>
      <c r="AK1027" s="960">
        <f t="array" ref="AK1027">HLOOKUP($J1027,'Type Chart'!$C$2:$T$20,18,false)*HLOOKUP($K1027,'Type Chart'!$C$2:$U$20,18,false)</f>
        <v>1</v>
      </c>
      <c r="AL1027" s="960">
        <f t="array" ref="AL1027">HLOOKUP($J1027,'Type Chart'!$C$2:$T$20,19,false)*HLOOKUP($K1027,'Type Chart'!$C$2:$U$20,19,false)</f>
        <v>1</v>
      </c>
      <c r="AM1027" s="964" t="s">
        <v>522</v>
      </c>
      <c r="AN1027" s="965"/>
      <c r="AO1027" s="966" t="s">
        <v>3768</v>
      </c>
      <c r="AP1027" s="936"/>
      <c r="AQ1027" s="967"/>
      <c r="AR1027" s="968"/>
      <c r="AS1027" s="936"/>
    </row>
    <row r="1028" ht="15.75" customHeight="1">
      <c r="A1028" s="1099"/>
      <c r="B1028" s="948" t="s">
        <v>3853</v>
      </c>
      <c r="C1028" s="1197" t="s">
        <v>3854</v>
      </c>
      <c r="D1028" s="1197" t="s">
        <v>3854</v>
      </c>
      <c r="E1028" s="1147" t="s">
        <v>3854</v>
      </c>
      <c r="F1028" s="940"/>
      <c r="G1028" s="953"/>
      <c r="H1028" s="969"/>
      <c r="I1028" s="998" t="s">
        <v>724</v>
      </c>
      <c r="J1028" s="1228" t="s">
        <v>209</v>
      </c>
      <c r="K1028" s="1199" t="s">
        <v>216</v>
      </c>
      <c r="L1028" s="1200">
        <v>70.0</v>
      </c>
      <c r="M1028" s="1201">
        <v>85.0</v>
      </c>
      <c r="N1028" s="1201">
        <v>70.0</v>
      </c>
      <c r="O1028" s="1201">
        <v>55.0</v>
      </c>
      <c r="P1028" s="1201">
        <v>60.0</v>
      </c>
      <c r="Q1028" s="1201">
        <v>80.0</v>
      </c>
      <c r="R1028" s="960">
        <v>196.0</v>
      </c>
      <c r="S1028" s="960">
        <v>259.0</v>
      </c>
      <c r="T1028" s="960">
        <v>284.0</v>
      </c>
      <c r="U1028" s="960">
        <f t="array" ref="U1028">HLOOKUP($J1028,'Type Chart'!$C$2:$T$20,2,false)*HLOOKUP($K1028,'Type Chart'!$C$2:$U$20,2,false)</f>
        <v>1</v>
      </c>
      <c r="V1028" s="960">
        <f t="array" ref="V1028">HLOOKUP($J1028,'Type Chart'!$C$2:$T$20,3,false)*HLOOKUP($K1028,'Type Chart'!$C$2:$U$20,3,false)</f>
        <v>1</v>
      </c>
      <c r="W1028" s="960">
        <f t="array" ref="W1028">HLOOKUP($J1028,'Type Chart'!$C$2:$T$20,4,false)*HLOOKUP($K1028,'Type Chart'!$C$2:$U$20,4,false)</f>
        <v>2</v>
      </c>
      <c r="X1028" s="960">
        <f t="array" ref="X1028">HLOOKUP($J1028,'Type Chart'!$C$2:$T$20,5,false)*HLOOKUP($K1028,'Type Chart'!$C$2:$U$20,5,false)</f>
        <v>2</v>
      </c>
      <c r="Y1028" s="960">
        <f t="array" ref="Y1028">HLOOKUP($J1028,'Type Chart'!$C$2:$T$20,6,false)*HLOOKUP($K1028,'Type Chart'!$C$2:$U$20,6,false)</f>
        <v>0.5</v>
      </c>
      <c r="Z1028" s="960">
        <f t="array" ref="Z1028">HLOOKUP($J1028,'Type Chart'!$C$2:$T$20,7,false)*HLOOKUP($K1028,'Type Chart'!$C$2:$U$20,7,false)</f>
        <v>1</v>
      </c>
      <c r="AA1028" s="960">
        <f t="array" ref="AA1028">HLOOKUP($J1028,'Type Chart'!$C$2:$T$20,8,false)*HLOOKUP($K1028,'Type Chart'!$C$2:$U$20,8,false)</f>
        <v>2</v>
      </c>
      <c r="AB1028" s="960">
        <f t="array" ref="AB1028">HLOOKUP($J1028,'Type Chart'!$C$2:$T$20,9,false)*HLOOKUP($K1028,'Type Chart'!$C$2:$U$20,9,false)</f>
        <v>1</v>
      </c>
      <c r="AC1028" s="960">
        <f t="array" ref="AC1028">HLOOKUP($J1028,'Type Chart'!$C$2:$T$20,10,false)*HLOOKUP($K1028,'Type Chart'!$C$2:$U$20,10,false)</f>
        <v>1</v>
      </c>
      <c r="AD1028" s="960">
        <f t="array" ref="AD1028">HLOOKUP($J1028,'Type Chart'!$C$2:$T$20,11,false)*HLOOKUP($K1028,'Type Chart'!$C$2:$U$20,11,false)</f>
        <v>2</v>
      </c>
      <c r="AE1028" s="960">
        <f t="array" ref="AE1028">HLOOKUP($J1028,'Type Chart'!$C$2:$T$20,12,false)*HLOOKUP($K1028,'Type Chart'!$C$2:$U$20,12,false)</f>
        <v>0.5</v>
      </c>
      <c r="AF1028" s="960">
        <f t="array" ref="AF1028">HLOOKUP($J1028,'Type Chart'!$C$2:$T$20,13,false)*HLOOKUP($K1028,'Type Chart'!$C$2:$U$20,13,false)</f>
        <v>0.5</v>
      </c>
      <c r="AG1028" s="960">
        <f t="array" ref="AG1028">HLOOKUP($J1028,'Type Chart'!$C$2:$T$20,14,false)*HLOOKUP($K1028,'Type Chart'!$C$2:$U$20,14,false)</f>
        <v>0.5</v>
      </c>
      <c r="AH1028" s="960">
        <f t="array" ref="AH1028">HLOOKUP($J1028,'Type Chart'!$C$2:$T$20,15,false)*HLOOKUP($K1028,'Type Chart'!$C$2:$U$20,15,false)</f>
        <v>1</v>
      </c>
      <c r="AI1028" s="960">
        <f t="array" ref="AI1028">HLOOKUP($J1028,'Type Chart'!$C$2:$T$20,16,false)*HLOOKUP($K1028,'Type Chart'!$C$2:$U$20,16,false)</f>
        <v>2</v>
      </c>
      <c r="AJ1028" s="960">
        <f t="array" ref="AJ1028">HLOOKUP($J1028,'Type Chart'!$C$2:$T$20,17,false)*HLOOKUP($K1028,'Type Chart'!$C$2:$U$20,17,false)</f>
        <v>1</v>
      </c>
      <c r="AK1028" s="960">
        <f t="array" ref="AK1028">HLOOKUP($J1028,'Type Chart'!$C$2:$T$20,18,false)*HLOOKUP($K1028,'Type Chart'!$C$2:$U$20,18,false)</f>
        <v>1</v>
      </c>
      <c r="AL1028" s="960">
        <f t="array" ref="AL1028">HLOOKUP($J1028,'Type Chart'!$C$2:$T$20,19,false)*HLOOKUP($K1028,'Type Chart'!$C$2:$U$20,19,false)</f>
        <v>1</v>
      </c>
      <c r="AM1028" s="1145" t="s">
        <v>522</v>
      </c>
      <c r="AN1028" s="1202"/>
      <c r="AO1028" s="1146" t="s">
        <v>3768</v>
      </c>
      <c r="AP1028" s="936"/>
      <c r="AQ1028" s="967"/>
      <c r="AR1028" s="968"/>
      <c r="AS1028" s="936"/>
    </row>
    <row r="1029" ht="15.75" customHeight="1">
      <c r="A1029" s="936"/>
      <c r="B1029" s="948" t="s">
        <v>3855</v>
      </c>
      <c r="C1029" s="950" t="s">
        <v>3856</v>
      </c>
      <c r="D1029" s="950" t="s">
        <v>3856</v>
      </c>
      <c r="E1029" s="952" t="s">
        <v>3856</v>
      </c>
      <c r="F1029" s="940"/>
      <c r="G1029" s="953"/>
      <c r="H1029" s="969"/>
      <c r="I1029" s="956" t="s">
        <v>496</v>
      </c>
      <c r="J1029" s="957" t="s">
        <v>209</v>
      </c>
      <c r="K1029" s="984" t="s">
        <v>216</v>
      </c>
      <c r="L1029" s="959">
        <v>100.0</v>
      </c>
      <c r="M1029" s="960">
        <v>125.0</v>
      </c>
      <c r="N1029" s="960">
        <v>90.0</v>
      </c>
      <c r="O1029" s="960">
        <v>60.0</v>
      </c>
      <c r="P1029" s="960">
        <v>70.0</v>
      </c>
      <c r="Q1029" s="960">
        <v>85.0</v>
      </c>
      <c r="R1029" s="960">
        <v>206.0</v>
      </c>
      <c r="S1029" s="960">
        <v>269.0</v>
      </c>
      <c r="T1029" s="960">
        <v>295.0</v>
      </c>
      <c r="U1029" s="960">
        <f t="array" ref="U1029">HLOOKUP($J1029,'Type Chart'!$C$2:$T$20,2,false)*HLOOKUP($K1029,'Type Chart'!$C$2:$U$20,2,false)</f>
        <v>1</v>
      </c>
      <c r="V1029" s="960">
        <f t="array" ref="V1029">HLOOKUP($J1029,'Type Chart'!$C$2:$T$20,3,false)*HLOOKUP($K1029,'Type Chart'!$C$2:$U$20,3,false)</f>
        <v>1</v>
      </c>
      <c r="W1029" s="960">
        <f t="array" ref="W1029">HLOOKUP($J1029,'Type Chart'!$C$2:$T$20,4,false)*HLOOKUP($K1029,'Type Chart'!$C$2:$U$20,4,false)</f>
        <v>2</v>
      </c>
      <c r="X1029" s="960">
        <f t="array" ref="X1029">HLOOKUP($J1029,'Type Chart'!$C$2:$T$20,5,false)*HLOOKUP($K1029,'Type Chart'!$C$2:$U$20,5,false)</f>
        <v>2</v>
      </c>
      <c r="Y1029" s="960">
        <f t="array" ref="Y1029">HLOOKUP($J1029,'Type Chart'!$C$2:$T$20,6,false)*HLOOKUP($K1029,'Type Chart'!$C$2:$U$20,6,false)</f>
        <v>0.5</v>
      </c>
      <c r="Z1029" s="960">
        <f t="array" ref="Z1029">HLOOKUP($J1029,'Type Chart'!$C$2:$T$20,7,false)*HLOOKUP($K1029,'Type Chart'!$C$2:$U$20,7,false)</f>
        <v>1</v>
      </c>
      <c r="AA1029" s="960">
        <f t="array" ref="AA1029">HLOOKUP($J1029,'Type Chart'!$C$2:$T$20,8,false)*HLOOKUP($K1029,'Type Chart'!$C$2:$U$20,8,false)</f>
        <v>2</v>
      </c>
      <c r="AB1029" s="960">
        <f t="array" ref="AB1029">HLOOKUP($J1029,'Type Chart'!$C$2:$T$20,9,false)*HLOOKUP($K1029,'Type Chart'!$C$2:$U$20,9,false)</f>
        <v>1</v>
      </c>
      <c r="AC1029" s="960">
        <f t="array" ref="AC1029">HLOOKUP($J1029,'Type Chart'!$C$2:$T$20,10,false)*HLOOKUP($K1029,'Type Chart'!$C$2:$U$20,10,false)</f>
        <v>1</v>
      </c>
      <c r="AD1029" s="960">
        <f t="array" ref="AD1029">HLOOKUP($J1029,'Type Chart'!$C$2:$T$20,11,false)*HLOOKUP($K1029,'Type Chart'!$C$2:$U$20,11,false)</f>
        <v>2</v>
      </c>
      <c r="AE1029" s="960">
        <f t="array" ref="AE1029">HLOOKUP($J1029,'Type Chart'!$C$2:$T$20,12,false)*HLOOKUP($K1029,'Type Chart'!$C$2:$U$20,12,false)</f>
        <v>0.5</v>
      </c>
      <c r="AF1029" s="960">
        <f t="array" ref="AF1029">HLOOKUP($J1029,'Type Chart'!$C$2:$T$20,13,false)*HLOOKUP($K1029,'Type Chart'!$C$2:$U$20,13,false)</f>
        <v>0.5</v>
      </c>
      <c r="AG1029" s="960">
        <f t="array" ref="AG1029">HLOOKUP($J1029,'Type Chart'!$C$2:$T$20,14,false)*HLOOKUP($K1029,'Type Chart'!$C$2:$U$20,14,false)</f>
        <v>0.5</v>
      </c>
      <c r="AH1029" s="960">
        <f t="array" ref="AH1029">HLOOKUP($J1029,'Type Chart'!$C$2:$T$20,15,false)*HLOOKUP($K1029,'Type Chart'!$C$2:$U$20,15,false)</f>
        <v>1</v>
      </c>
      <c r="AI1029" s="960">
        <f t="array" ref="AI1029">HLOOKUP($J1029,'Type Chart'!$C$2:$T$20,16,false)*HLOOKUP($K1029,'Type Chart'!$C$2:$U$20,16,false)</f>
        <v>2</v>
      </c>
      <c r="AJ1029" s="960">
        <f t="array" ref="AJ1029">HLOOKUP($J1029,'Type Chart'!$C$2:$T$20,17,false)*HLOOKUP($K1029,'Type Chart'!$C$2:$U$20,17,false)</f>
        <v>1</v>
      </c>
      <c r="AK1029" s="960">
        <f t="array" ref="AK1029">HLOOKUP($J1029,'Type Chart'!$C$2:$T$20,18,false)*HLOOKUP($K1029,'Type Chart'!$C$2:$U$20,18,false)</f>
        <v>1</v>
      </c>
      <c r="AL1029" s="960">
        <f t="array" ref="AL1029">HLOOKUP($J1029,'Type Chart'!$C$2:$T$20,19,false)*HLOOKUP($K1029,'Type Chart'!$C$2:$U$20,19,false)</f>
        <v>1</v>
      </c>
      <c r="AM1029" s="964" t="s">
        <v>522</v>
      </c>
      <c r="AN1029" s="965"/>
      <c r="AO1029" s="966" t="s">
        <v>3768</v>
      </c>
      <c r="AP1029" s="936"/>
      <c r="AQ1029" s="967"/>
      <c r="AR1029" s="968"/>
      <c r="AS1029" s="936"/>
    </row>
    <row r="1030" ht="15.75" customHeight="1">
      <c r="A1030" s="1099"/>
      <c r="B1030" s="948" t="s">
        <v>3857</v>
      </c>
      <c r="C1030" s="950" t="s">
        <v>3858</v>
      </c>
      <c r="D1030" s="950" t="s">
        <v>3858</v>
      </c>
      <c r="E1030" s="952" t="s">
        <v>3858</v>
      </c>
      <c r="F1030" s="940"/>
      <c r="G1030" s="953"/>
      <c r="H1030" s="969"/>
      <c r="I1030" s="956" t="s">
        <v>3859</v>
      </c>
      <c r="J1030" s="982" t="s">
        <v>150</v>
      </c>
      <c r="K1030" s="984" t="s">
        <v>216</v>
      </c>
      <c r="L1030" s="959">
        <v>50.0</v>
      </c>
      <c r="M1030" s="960">
        <v>71.0</v>
      </c>
      <c r="N1030" s="960">
        <v>40.0</v>
      </c>
      <c r="O1030" s="960">
        <v>40.0</v>
      </c>
      <c r="P1030" s="960">
        <v>40.0</v>
      </c>
      <c r="Q1030" s="960">
        <v>69.0</v>
      </c>
      <c r="R1030" s="960">
        <v>174.0</v>
      </c>
      <c r="S1030" s="960">
        <v>237.0</v>
      </c>
      <c r="T1030" s="960">
        <v>260.0</v>
      </c>
      <c r="U1030" s="960">
        <f t="array" ref="U1030">HLOOKUP($J1030,'Type Chart'!$C$2:$T$20,2,false)*HLOOKUP($K1030,'Type Chart'!$C$2:$U$20,2,false)</f>
        <v>1</v>
      </c>
      <c r="V1030" s="960">
        <f t="array" ref="V1030">HLOOKUP($J1030,'Type Chart'!$C$2:$T$20,3,false)*HLOOKUP($K1030,'Type Chart'!$C$2:$U$20,3,false)</f>
        <v>1</v>
      </c>
      <c r="W1030" s="960">
        <f t="array" ref="W1030">HLOOKUP($J1030,'Type Chart'!$C$2:$T$20,4,false)*HLOOKUP($K1030,'Type Chart'!$C$2:$U$20,4,false)</f>
        <v>1</v>
      </c>
      <c r="X1030" s="960">
        <f t="array" ref="X1030">HLOOKUP($J1030,'Type Chart'!$C$2:$T$20,5,false)*HLOOKUP($K1030,'Type Chart'!$C$2:$U$20,5,false)</f>
        <v>1</v>
      </c>
      <c r="Y1030" s="960">
        <f t="array" ref="Y1030">HLOOKUP($J1030,'Type Chart'!$C$2:$T$20,6,false)*HLOOKUP($K1030,'Type Chart'!$C$2:$U$20,6,false)</f>
        <v>2</v>
      </c>
      <c r="Z1030" s="960">
        <f t="array" ref="Z1030">HLOOKUP($J1030,'Type Chart'!$C$2:$T$20,7,false)*HLOOKUP($K1030,'Type Chart'!$C$2:$U$20,7,false)</f>
        <v>2</v>
      </c>
      <c r="AA1030" s="960">
        <f t="array" ref="AA1030">HLOOKUP($J1030,'Type Chart'!$C$2:$T$20,8,false)*HLOOKUP($K1030,'Type Chart'!$C$2:$U$20,8,false)</f>
        <v>0.5</v>
      </c>
      <c r="AB1030" s="960">
        <f t="array" ref="AB1030">HLOOKUP($J1030,'Type Chart'!$C$2:$T$20,9,false)*HLOOKUP($K1030,'Type Chart'!$C$2:$U$20,9,false)</f>
        <v>1</v>
      </c>
      <c r="AC1030" s="960">
        <f t="array" ref="AC1030">HLOOKUP($J1030,'Type Chart'!$C$2:$T$20,10,false)*HLOOKUP($K1030,'Type Chart'!$C$2:$U$20,10,false)</f>
        <v>0.5</v>
      </c>
      <c r="AD1030" s="960">
        <f t="array" ref="AD1030">HLOOKUP($J1030,'Type Chart'!$C$2:$T$20,11,false)*HLOOKUP($K1030,'Type Chart'!$C$2:$U$20,11,false)</f>
        <v>0.5</v>
      </c>
      <c r="AE1030" s="960">
        <f t="array" ref="AE1030">HLOOKUP($J1030,'Type Chart'!$C$2:$T$20,12,false)*HLOOKUP($K1030,'Type Chart'!$C$2:$U$20,12,false)</f>
        <v>2</v>
      </c>
      <c r="AF1030" s="960">
        <f t="array" ref="AF1030">HLOOKUP($J1030,'Type Chart'!$C$2:$T$20,13,false)*HLOOKUP($K1030,'Type Chart'!$C$2:$U$20,13,false)</f>
        <v>0.5</v>
      </c>
      <c r="AG1030" s="960">
        <f t="array" ref="AG1030">HLOOKUP($J1030,'Type Chart'!$C$2:$T$20,14,false)*HLOOKUP($K1030,'Type Chart'!$C$2:$U$20,14,false)</f>
        <v>1</v>
      </c>
      <c r="AH1030" s="960">
        <f t="array" ref="AH1030">HLOOKUP($J1030,'Type Chart'!$C$2:$T$20,15,false)*HLOOKUP($K1030,'Type Chart'!$C$2:$U$20,15,false)</f>
        <v>1</v>
      </c>
      <c r="AI1030" s="960">
        <f t="array" ref="AI1030">HLOOKUP($J1030,'Type Chart'!$C$2:$T$20,16,false)*HLOOKUP($K1030,'Type Chart'!$C$2:$U$20,16,false)</f>
        <v>0.5</v>
      </c>
      <c r="AJ1030" s="960">
        <f t="array" ref="AJ1030">HLOOKUP($J1030,'Type Chart'!$C$2:$T$20,17,false)*HLOOKUP($K1030,'Type Chart'!$C$2:$U$20,17,false)</f>
        <v>1</v>
      </c>
      <c r="AK1030" s="960">
        <f t="array" ref="AK1030">HLOOKUP($J1030,'Type Chart'!$C$2:$T$20,18,false)*HLOOKUP($K1030,'Type Chart'!$C$2:$U$20,18,false)</f>
        <v>1</v>
      </c>
      <c r="AL1030" s="960">
        <f t="array" ref="AL1030">HLOOKUP($J1030,'Type Chart'!$C$2:$T$20,19,false)*HLOOKUP($K1030,'Type Chart'!$C$2:$U$20,19,false)</f>
        <v>0.5</v>
      </c>
      <c r="AM1030" s="1145" t="s">
        <v>830</v>
      </c>
      <c r="AN1030" s="965"/>
      <c r="AO1030" s="1146" t="s">
        <v>3860</v>
      </c>
      <c r="AP1030" s="936"/>
      <c r="AQ1030" s="967"/>
      <c r="AR1030" s="968"/>
      <c r="AS1030" s="936"/>
    </row>
    <row r="1031" ht="15.75" customHeight="1">
      <c r="A1031" s="936"/>
      <c r="B1031" s="948" t="s">
        <v>3861</v>
      </c>
      <c r="C1031" s="950" t="s">
        <v>3862</v>
      </c>
      <c r="D1031" s="950" t="s">
        <v>3862</v>
      </c>
      <c r="E1031" s="952" t="s">
        <v>3862</v>
      </c>
      <c r="F1031" s="940"/>
      <c r="G1031" s="953"/>
      <c r="H1031" s="969"/>
      <c r="I1031" s="956" t="s">
        <v>771</v>
      </c>
      <c r="J1031" s="982" t="s">
        <v>150</v>
      </c>
      <c r="K1031" s="984" t="s">
        <v>216</v>
      </c>
      <c r="L1031" s="959">
        <v>65.0</v>
      </c>
      <c r="M1031" s="960">
        <v>86.0</v>
      </c>
      <c r="N1031" s="960">
        <v>60.0</v>
      </c>
      <c r="O1031" s="960">
        <v>55.0</v>
      </c>
      <c r="P1031" s="960">
        <v>60.0</v>
      </c>
      <c r="Q1031" s="960">
        <v>94.0</v>
      </c>
      <c r="R1031" s="960">
        <v>224.0</v>
      </c>
      <c r="S1031" s="960">
        <v>287.0</v>
      </c>
      <c r="T1031" s="960">
        <v>315.0</v>
      </c>
      <c r="U1031" s="960">
        <f t="array" ref="U1031">HLOOKUP($J1031,'Type Chart'!$C$2:$T$20,2,false)*HLOOKUP($K1031,'Type Chart'!$C$2:$U$20,2,false)</f>
        <v>1</v>
      </c>
      <c r="V1031" s="960">
        <f t="array" ref="V1031">HLOOKUP($J1031,'Type Chart'!$C$2:$T$20,3,false)*HLOOKUP($K1031,'Type Chart'!$C$2:$U$20,3,false)</f>
        <v>1</v>
      </c>
      <c r="W1031" s="960">
        <f t="array" ref="W1031">HLOOKUP($J1031,'Type Chart'!$C$2:$T$20,4,false)*HLOOKUP($K1031,'Type Chart'!$C$2:$U$20,4,false)</f>
        <v>1</v>
      </c>
      <c r="X1031" s="960">
        <f t="array" ref="X1031">HLOOKUP($J1031,'Type Chart'!$C$2:$T$20,5,false)*HLOOKUP($K1031,'Type Chart'!$C$2:$U$20,5,false)</f>
        <v>1</v>
      </c>
      <c r="Y1031" s="960">
        <f t="array" ref="Y1031">HLOOKUP($J1031,'Type Chart'!$C$2:$T$20,6,false)*HLOOKUP($K1031,'Type Chart'!$C$2:$U$20,6,false)</f>
        <v>2</v>
      </c>
      <c r="Z1031" s="960">
        <f t="array" ref="Z1031">HLOOKUP($J1031,'Type Chart'!$C$2:$T$20,7,false)*HLOOKUP($K1031,'Type Chart'!$C$2:$U$20,7,false)</f>
        <v>2</v>
      </c>
      <c r="AA1031" s="960">
        <f t="array" ref="AA1031">HLOOKUP($J1031,'Type Chart'!$C$2:$T$20,8,false)*HLOOKUP($K1031,'Type Chart'!$C$2:$U$20,8,false)</f>
        <v>0.5</v>
      </c>
      <c r="AB1031" s="960">
        <f t="array" ref="AB1031">HLOOKUP($J1031,'Type Chart'!$C$2:$T$20,9,false)*HLOOKUP($K1031,'Type Chart'!$C$2:$U$20,9,false)</f>
        <v>1</v>
      </c>
      <c r="AC1031" s="960">
        <f t="array" ref="AC1031">HLOOKUP($J1031,'Type Chart'!$C$2:$T$20,10,false)*HLOOKUP($K1031,'Type Chart'!$C$2:$U$20,10,false)</f>
        <v>0.5</v>
      </c>
      <c r="AD1031" s="960">
        <f t="array" ref="AD1031">HLOOKUP($J1031,'Type Chart'!$C$2:$T$20,11,false)*HLOOKUP($K1031,'Type Chart'!$C$2:$U$20,11,false)</f>
        <v>0.5</v>
      </c>
      <c r="AE1031" s="960">
        <f t="array" ref="AE1031">HLOOKUP($J1031,'Type Chart'!$C$2:$T$20,12,false)*HLOOKUP($K1031,'Type Chart'!$C$2:$U$20,12,false)</f>
        <v>2</v>
      </c>
      <c r="AF1031" s="960">
        <f t="array" ref="AF1031">HLOOKUP($J1031,'Type Chart'!$C$2:$T$20,13,false)*HLOOKUP($K1031,'Type Chart'!$C$2:$U$20,13,false)</f>
        <v>0.5</v>
      </c>
      <c r="AG1031" s="960">
        <f t="array" ref="AG1031">HLOOKUP($J1031,'Type Chart'!$C$2:$T$20,14,false)*HLOOKUP($K1031,'Type Chart'!$C$2:$U$20,14,false)</f>
        <v>1</v>
      </c>
      <c r="AH1031" s="960">
        <f t="array" ref="AH1031">HLOOKUP($J1031,'Type Chart'!$C$2:$T$20,15,false)*HLOOKUP($K1031,'Type Chart'!$C$2:$U$20,15,false)</f>
        <v>1</v>
      </c>
      <c r="AI1031" s="960">
        <f t="array" ref="AI1031">HLOOKUP($J1031,'Type Chart'!$C$2:$T$20,16,false)*HLOOKUP($K1031,'Type Chart'!$C$2:$U$20,16,false)</f>
        <v>0.5</v>
      </c>
      <c r="AJ1031" s="960">
        <f t="array" ref="AJ1031">HLOOKUP($J1031,'Type Chart'!$C$2:$T$20,17,false)*HLOOKUP($K1031,'Type Chart'!$C$2:$U$20,17,false)</f>
        <v>1</v>
      </c>
      <c r="AK1031" s="960">
        <f t="array" ref="AK1031">HLOOKUP($J1031,'Type Chart'!$C$2:$T$20,18,false)*HLOOKUP($K1031,'Type Chart'!$C$2:$U$20,18,false)</f>
        <v>1</v>
      </c>
      <c r="AL1031" s="960">
        <f t="array" ref="AL1031">HLOOKUP($J1031,'Type Chart'!$C$2:$T$20,19,false)*HLOOKUP($K1031,'Type Chart'!$C$2:$U$20,19,false)</f>
        <v>0.5</v>
      </c>
      <c r="AM1031" s="964" t="s">
        <v>830</v>
      </c>
      <c r="AN1031" s="965"/>
      <c r="AO1031" s="966" t="s">
        <v>3860</v>
      </c>
      <c r="AP1031" s="936"/>
      <c r="AQ1031" s="967"/>
      <c r="AR1031" s="968"/>
      <c r="AS1031" s="936"/>
    </row>
    <row r="1032" ht="15.75" customHeight="1">
      <c r="A1032" s="936"/>
      <c r="B1032" s="948" t="s">
        <v>3863</v>
      </c>
      <c r="C1032" s="950" t="s">
        <v>117</v>
      </c>
      <c r="D1032" s="950" t="s">
        <v>117</v>
      </c>
      <c r="E1032" s="952" t="s">
        <v>117</v>
      </c>
      <c r="F1032" s="940"/>
      <c r="G1032" s="953"/>
      <c r="H1032" s="969"/>
      <c r="I1032" s="956" t="s">
        <v>224</v>
      </c>
      <c r="J1032" s="982" t="s">
        <v>150</v>
      </c>
      <c r="K1032" s="984" t="s">
        <v>216</v>
      </c>
      <c r="L1032" s="959">
        <v>80.0</v>
      </c>
      <c r="M1032" s="960">
        <v>116.0</v>
      </c>
      <c r="N1032" s="960">
        <v>75.0</v>
      </c>
      <c r="O1032" s="960">
        <v>65.0</v>
      </c>
      <c r="P1032" s="960">
        <v>75.0</v>
      </c>
      <c r="Q1032" s="960">
        <v>119.0</v>
      </c>
      <c r="R1032" s="960">
        <v>274.0</v>
      </c>
      <c r="S1032" s="960">
        <v>337.0</v>
      </c>
      <c r="T1032" s="960">
        <v>370.0</v>
      </c>
      <c r="U1032" s="960">
        <f t="array" ref="U1032">HLOOKUP($J1032,'Type Chart'!$C$2:$T$20,2,false)*HLOOKUP($K1032,'Type Chart'!$C$2:$U$20,2,false)</f>
        <v>1</v>
      </c>
      <c r="V1032" s="960">
        <f t="array" ref="V1032">HLOOKUP($J1032,'Type Chart'!$C$2:$T$20,3,false)*HLOOKUP($K1032,'Type Chart'!$C$2:$U$20,3,false)</f>
        <v>1</v>
      </c>
      <c r="W1032" s="960">
        <f t="array" ref="W1032">HLOOKUP($J1032,'Type Chart'!$C$2:$T$20,4,false)*HLOOKUP($K1032,'Type Chart'!$C$2:$U$20,4,false)</f>
        <v>1</v>
      </c>
      <c r="X1032" s="960">
        <f t="array" ref="X1032">HLOOKUP($J1032,'Type Chart'!$C$2:$T$20,5,false)*HLOOKUP($K1032,'Type Chart'!$C$2:$U$20,5,false)</f>
        <v>1</v>
      </c>
      <c r="Y1032" s="960">
        <f t="array" ref="Y1032">HLOOKUP($J1032,'Type Chart'!$C$2:$T$20,6,false)*HLOOKUP($K1032,'Type Chart'!$C$2:$U$20,6,false)</f>
        <v>2</v>
      </c>
      <c r="Z1032" s="960">
        <f t="array" ref="Z1032">HLOOKUP($J1032,'Type Chart'!$C$2:$T$20,7,false)*HLOOKUP($K1032,'Type Chart'!$C$2:$U$20,7,false)</f>
        <v>2</v>
      </c>
      <c r="AA1032" s="960">
        <f t="array" ref="AA1032">HLOOKUP($J1032,'Type Chart'!$C$2:$T$20,8,false)*HLOOKUP($K1032,'Type Chart'!$C$2:$U$20,8,false)</f>
        <v>0.5</v>
      </c>
      <c r="AB1032" s="960">
        <f t="array" ref="AB1032">HLOOKUP($J1032,'Type Chart'!$C$2:$T$20,9,false)*HLOOKUP($K1032,'Type Chart'!$C$2:$U$20,9,false)</f>
        <v>1</v>
      </c>
      <c r="AC1032" s="960">
        <f t="array" ref="AC1032">HLOOKUP($J1032,'Type Chart'!$C$2:$T$20,10,false)*HLOOKUP($K1032,'Type Chart'!$C$2:$U$20,10,false)</f>
        <v>0.5</v>
      </c>
      <c r="AD1032" s="960">
        <f t="array" ref="AD1032">HLOOKUP($J1032,'Type Chart'!$C$2:$T$20,11,false)*HLOOKUP($K1032,'Type Chart'!$C$2:$U$20,11,false)</f>
        <v>0.5</v>
      </c>
      <c r="AE1032" s="960">
        <f t="array" ref="AE1032">HLOOKUP($J1032,'Type Chart'!$C$2:$T$20,12,false)*HLOOKUP($K1032,'Type Chart'!$C$2:$U$20,12,false)</f>
        <v>2</v>
      </c>
      <c r="AF1032" s="960">
        <f t="array" ref="AF1032">HLOOKUP($J1032,'Type Chart'!$C$2:$T$20,13,false)*HLOOKUP($K1032,'Type Chart'!$C$2:$U$20,13,false)</f>
        <v>0.5</v>
      </c>
      <c r="AG1032" s="960">
        <f t="array" ref="AG1032">HLOOKUP($J1032,'Type Chart'!$C$2:$T$20,14,false)*HLOOKUP($K1032,'Type Chart'!$C$2:$U$20,14,false)</f>
        <v>1</v>
      </c>
      <c r="AH1032" s="960">
        <f t="array" ref="AH1032">HLOOKUP($J1032,'Type Chart'!$C$2:$T$20,15,false)*HLOOKUP($K1032,'Type Chart'!$C$2:$U$20,15,false)</f>
        <v>1</v>
      </c>
      <c r="AI1032" s="960">
        <f t="array" ref="AI1032">HLOOKUP($J1032,'Type Chart'!$C$2:$T$20,16,false)*HLOOKUP($K1032,'Type Chart'!$C$2:$U$20,16,false)</f>
        <v>0.5</v>
      </c>
      <c r="AJ1032" s="960">
        <f t="array" ref="AJ1032">HLOOKUP($J1032,'Type Chart'!$C$2:$T$20,17,false)*HLOOKUP($K1032,'Type Chart'!$C$2:$U$20,17,false)</f>
        <v>1</v>
      </c>
      <c r="AK1032" s="960">
        <f t="array" ref="AK1032">HLOOKUP($J1032,'Type Chart'!$C$2:$T$20,18,false)*HLOOKUP($K1032,'Type Chart'!$C$2:$U$20,18,false)</f>
        <v>1</v>
      </c>
      <c r="AL1032" s="960">
        <f t="array" ref="AL1032">HLOOKUP($J1032,'Type Chart'!$C$2:$T$20,19,false)*HLOOKUP($K1032,'Type Chart'!$C$2:$U$20,19,false)</f>
        <v>0.5</v>
      </c>
      <c r="AM1032" s="964" t="s">
        <v>830</v>
      </c>
      <c r="AN1032" s="965"/>
      <c r="AO1032" s="966" t="s">
        <v>3860</v>
      </c>
      <c r="AP1032" s="936"/>
      <c r="AQ1032" s="967"/>
      <c r="AR1032" s="968"/>
      <c r="AS1032" s="936"/>
    </row>
    <row r="1033" ht="15.75" customHeight="1">
      <c r="A1033" s="936"/>
      <c r="B1033" s="948" t="s">
        <v>3864</v>
      </c>
      <c r="C1033" s="950" t="s">
        <v>3865</v>
      </c>
      <c r="D1033" s="950" t="s">
        <v>3865</v>
      </c>
      <c r="E1033" s="952" t="s">
        <v>3865</v>
      </c>
      <c r="F1033" s="940"/>
      <c r="G1033" s="953"/>
      <c r="H1033" s="969"/>
      <c r="I1033" s="956" t="s">
        <v>3866</v>
      </c>
      <c r="J1033" s="1056" t="s">
        <v>81</v>
      </c>
      <c r="K1033" s="984" t="s">
        <v>216</v>
      </c>
      <c r="L1033" s="959">
        <v>50.0</v>
      </c>
      <c r="M1033" s="960">
        <v>40.0</v>
      </c>
      <c r="N1033" s="960">
        <v>40.0</v>
      </c>
      <c r="O1033" s="960">
        <v>70.0</v>
      </c>
      <c r="P1033" s="960">
        <v>40.0</v>
      </c>
      <c r="Q1033" s="960">
        <v>70.0</v>
      </c>
      <c r="R1033" s="960">
        <v>176.0</v>
      </c>
      <c r="S1033" s="960">
        <v>239.0</v>
      </c>
      <c r="T1033" s="960">
        <v>262.0</v>
      </c>
      <c r="U1033" s="960">
        <f t="array" ref="U1033">HLOOKUP($J1033,'Type Chart'!$C$2:$T$20,2,false)*HLOOKUP($K1033,'Type Chart'!$C$2:$U$20,2,false)</f>
        <v>1</v>
      </c>
      <c r="V1033" s="960">
        <f t="array" ref="V1033">HLOOKUP($J1033,'Type Chart'!$C$2:$T$20,3,false)*HLOOKUP($K1033,'Type Chart'!$C$2:$U$20,3,false)</f>
        <v>1</v>
      </c>
      <c r="W1033" s="960">
        <f t="array" ref="W1033">HLOOKUP($J1033,'Type Chart'!$C$2:$T$20,4,false)*HLOOKUP($K1033,'Type Chart'!$C$2:$U$20,4,false)</f>
        <v>1</v>
      </c>
      <c r="X1033" s="960">
        <f t="array" ref="X1033">HLOOKUP($J1033,'Type Chart'!$C$2:$T$20,5,false)*HLOOKUP($K1033,'Type Chart'!$C$2:$U$20,5,false)</f>
        <v>1</v>
      </c>
      <c r="Y1033" s="960">
        <f t="array" ref="Y1033">HLOOKUP($J1033,'Type Chart'!$C$2:$T$20,6,false)*HLOOKUP($K1033,'Type Chart'!$C$2:$U$20,6,false)</f>
        <v>1</v>
      </c>
      <c r="Z1033" s="960">
        <f t="array" ref="Z1033">HLOOKUP($J1033,'Type Chart'!$C$2:$T$20,7,false)*HLOOKUP($K1033,'Type Chart'!$C$2:$U$20,7,false)</f>
        <v>1</v>
      </c>
      <c r="AA1033" s="960">
        <f t="array" ref="AA1033">HLOOKUP($J1033,'Type Chart'!$C$2:$T$20,8,false)*HLOOKUP($K1033,'Type Chart'!$C$2:$U$20,8,false)</f>
        <v>1</v>
      </c>
      <c r="AB1033" s="960">
        <f t="array" ref="AB1033">HLOOKUP($J1033,'Type Chart'!$C$2:$T$20,9,false)*HLOOKUP($K1033,'Type Chart'!$C$2:$U$20,9,false)</f>
        <v>1</v>
      </c>
      <c r="AC1033" s="960">
        <f t="array" ref="AC1033">HLOOKUP($J1033,'Type Chart'!$C$2:$T$20,10,false)*HLOOKUP($K1033,'Type Chart'!$C$2:$U$20,10,false)</f>
        <v>0.5</v>
      </c>
      <c r="AD1033" s="960">
        <f t="array" ref="AD1033">HLOOKUP($J1033,'Type Chart'!$C$2:$T$20,11,false)*HLOOKUP($K1033,'Type Chart'!$C$2:$U$20,11,false)</f>
        <v>0.5</v>
      </c>
      <c r="AE1033" s="960">
        <f t="array" ref="AE1033">HLOOKUP($J1033,'Type Chart'!$C$2:$T$20,12,false)*HLOOKUP($K1033,'Type Chart'!$C$2:$U$20,12,false)</f>
        <v>0.5</v>
      </c>
      <c r="AF1033" s="960">
        <f t="array" ref="AF1033">HLOOKUP($J1033,'Type Chart'!$C$2:$T$20,13,false)*HLOOKUP($K1033,'Type Chart'!$C$2:$U$20,13,false)</f>
        <v>2</v>
      </c>
      <c r="AG1033" s="960">
        <f t="array" ref="AG1033">HLOOKUP($J1033,'Type Chart'!$C$2:$T$20,14,false)*HLOOKUP($K1033,'Type Chart'!$C$2:$U$20,14,false)</f>
        <v>2</v>
      </c>
      <c r="AH1033" s="960">
        <f t="array" ref="AH1033">HLOOKUP($J1033,'Type Chart'!$C$2:$T$20,15,false)*HLOOKUP($K1033,'Type Chart'!$C$2:$U$20,15,false)</f>
        <v>1</v>
      </c>
      <c r="AI1033" s="960">
        <f t="array" ref="AI1033">HLOOKUP($J1033,'Type Chart'!$C$2:$T$20,16,false)*HLOOKUP($K1033,'Type Chart'!$C$2:$U$20,16,false)</f>
        <v>0.5</v>
      </c>
      <c r="AJ1033" s="960">
        <f t="array" ref="AJ1033">HLOOKUP($J1033,'Type Chart'!$C$2:$T$20,17,false)*HLOOKUP($K1033,'Type Chart'!$C$2:$U$20,17,false)</f>
        <v>1</v>
      </c>
      <c r="AK1033" s="960">
        <f t="array" ref="AK1033">HLOOKUP($J1033,'Type Chart'!$C$2:$T$20,18,false)*HLOOKUP($K1033,'Type Chart'!$C$2:$U$20,18,false)</f>
        <v>1</v>
      </c>
      <c r="AL1033" s="960">
        <f t="array" ref="AL1033">HLOOKUP($J1033,'Type Chart'!$C$2:$T$20,19,false)*HLOOKUP($K1033,'Type Chart'!$C$2:$U$20,19,false)</f>
        <v>1</v>
      </c>
      <c r="AM1033" s="964" t="s">
        <v>959</v>
      </c>
      <c r="AN1033" s="965"/>
      <c r="AO1033" s="966" t="s">
        <v>1014</v>
      </c>
      <c r="AP1033" s="936"/>
      <c r="AQ1033" s="967"/>
      <c r="AR1033" s="968"/>
      <c r="AS1033" s="936"/>
    </row>
    <row r="1034" ht="15.75" customHeight="1">
      <c r="A1034" s="936"/>
      <c r="B1034" s="948" t="s">
        <v>3867</v>
      </c>
      <c r="C1034" s="950" t="s">
        <v>3868</v>
      </c>
      <c r="D1034" s="950" t="s">
        <v>3868</v>
      </c>
      <c r="E1034" s="952" t="s">
        <v>3868</v>
      </c>
      <c r="F1034" s="940"/>
      <c r="G1034" s="953"/>
      <c r="H1034" s="969"/>
      <c r="I1034" s="956" t="s">
        <v>3869</v>
      </c>
      <c r="J1034" s="1056" t="s">
        <v>81</v>
      </c>
      <c r="K1034" s="984" t="s">
        <v>216</v>
      </c>
      <c r="L1034" s="959">
        <v>65.0</v>
      </c>
      <c r="M1034" s="960">
        <v>60.0</v>
      </c>
      <c r="N1034" s="960">
        <v>55.0</v>
      </c>
      <c r="O1034" s="960">
        <v>95.0</v>
      </c>
      <c r="P1034" s="960">
        <v>55.0</v>
      </c>
      <c r="Q1034" s="960">
        <v>90.0</v>
      </c>
      <c r="R1034" s="960">
        <v>216.0</v>
      </c>
      <c r="S1034" s="960">
        <v>279.0</v>
      </c>
      <c r="T1034" s="960">
        <v>306.0</v>
      </c>
      <c r="U1034" s="960">
        <f t="array" ref="U1034">HLOOKUP($J1034,'Type Chart'!$C$2:$T$20,2,false)*HLOOKUP($K1034,'Type Chart'!$C$2:$U$20,2,false)</f>
        <v>1</v>
      </c>
      <c r="V1034" s="960">
        <f t="array" ref="V1034">HLOOKUP($J1034,'Type Chart'!$C$2:$T$20,3,false)*HLOOKUP($K1034,'Type Chart'!$C$2:$U$20,3,false)</f>
        <v>1</v>
      </c>
      <c r="W1034" s="960">
        <f t="array" ref="W1034">HLOOKUP($J1034,'Type Chart'!$C$2:$T$20,4,false)*HLOOKUP($K1034,'Type Chart'!$C$2:$U$20,4,false)</f>
        <v>1</v>
      </c>
      <c r="X1034" s="960">
        <f t="array" ref="X1034">HLOOKUP($J1034,'Type Chart'!$C$2:$T$20,5,false)*HLOOKUP($K1034,'Type Chart'!$C$2:$U$20,5,false)</f>
        <v>1</v>
      </c>
      <c r="Y1034" s="960">
        <f t="array" ref="Y1034">HLOOKUP($J1034,'Type Chart'!$C$2:$T$20,6,false)*HLOOKUP($K1034,'Type Chart'!$C$2:$U$20,6,false)</f>
        <v>1</v>
      </c>
      <c r="Z1034" s="960">
        <f t="array" ref="Z1034">HLOOKUP($J1034,'Type Chart'!$C$2:$T$20,7,false)*HLOOKUP($K1034,'Type Chart'!$C$2:$U$20,7,false)</f>
        <v>1</v>
      </c>
      <c r="AA1034" s="960">
        <f t="array" ref="AA1034">HLOOKUP($J1034,'Type Chart'!$C$2:$T$20,8,false)*HLOOKUP($K1034,'Type Chart'!$C$2:$U$20,8,false)</f>
        <v>1</v>
      </c>
      <c r="AB1034" s="960">
        <f t="array" ref="AB1034">HLOOKUP($J1034,'Type Chart'!$C$2:$T$20,9,false)*HLOOKUP($K1034,'Type Chart'!$C$2:$U$20,9,false)</f>
        <v>1</v>
      </c>
      <c r="AC1034" s="960">
        <f t="array" ref="AC1034">HLOOKUP($J1034,'Type Chart'!$C$2:$T$20,10,false)*HLOOKUP($K1034,'Type Chart'!$C$2:$U$20,10,false)</f>
        <v>0.5</v>
      </c>
      <c r="AD1034" s="960">
        <f t="array" ref="AD1034">HLOOKUP($J1034,'Type Chart'!$C$2:$T$20,11,false)*HLOOKUP($K1034,'Type Chart'!$C$2:$U$20,11,false)</f>
        <v>0.5</v>
      </c>
      <c r="AE1034" s="960">
        <f t="array" ref="AE1034">HLOOKUP($J1034,'Type Chart'!$C$2:$T$20,12,false)*HLOOKUP($K1034,'Type Chart'!$C$2:$U$20,12,false)</f>
        <v>0.5</v>
      </c>
      <c r="AF1034" s="960">
        <f t="array" ref="AF1034">HLOOKUP($J1034,'Type Chart'!$C$2:$T$20,13,false)*HLOOKUP($K1034,'Type Chart'!$C$2:$U$20,13,false)</f>
        <v>2</v>
      </c>
      <c r="AG1034" s="960">
        <f t="array" ref="AG1034">HLOOKUP($J1034,'Type Chart'!$C$2:$T$20,14,false)*HLOOKUP($K1034,'Type Chart'!$C$2:$U$20,14,false)</f>
        <v>2</v>
      </c>
      <c r="AH1034" s="960">
        <f t="array" ref="AH1034">HLOOKUP($J1034,'Type Chart'!$C$2:$T$20,15,false)*HLOOKUP($K1034,'Type Chart'!$C$2:$U$20,15,false)</f>
        <v>1</v>
      </c>
      <c r="AI1034" s="960">
        <f t="array" ref="AI1034">HLOOKUP($J1034,'Type Chart'!$C$2:$T$20,16,false)*HLOOKUP($K1034,'Type Chart'!$C$2:$U$20,16,false)</f>
        <v>0.5</v>
      </c>
      <c r="AJ1034" s="960">
        <f t="array" ref="AJ1034">HLOOKUP($J1034,'Type Chart'!$C$2:$T$20,17,false)*HLOOKUP($K1034,'Type Chart'!$C$2:$U$20,17,false)</f>
        <v>1</v>
      </c>
      <c r="AK1034" s="960">
        <f t="array" ref="AK1034">HLOOKUP($J1034,'Type Chart'!$C$2:$T$20,18,false)*HLOOKUP($K1034,'Type Chart'!$C$2:$U$20,18,false)</f>
        <v>1</v>
      </c>
      <c r="AL1034" s="960">
        <f t="array" ref="AL1034">HLOOKUP($J1034,'Type Chart'!$C$2:$T$20,19,false)*HLOOKUP($K1034,'Type Chart'!$C$2:$U$20,19,false)</f>
        <v>1</v>
      </c>
      <c r="AM1034" s="964" t="s">
        <v>959</v>
      </c>
      <c r="AN1034" s="965"/>
      <c r="AO1034" s="966" t="s">
        <v>1014</v>
      </c>
      <c r="AP1034" s="936"/>
      <c r="AQ1034" s="967"/>
      <c r="AR1034" s="968"/>
      <c r="AS1034" s="936"/>
    </row>
    <row r="1035" ht="15.75" customHeight="1">
      <c r="A1035" s="1099"/>
      <c r="B1035" s="948" t="s">
        <v>3870</v>
      </c>
      <c r="C1035" s="950" t="s">
        <v>3871</v>
      </c>
      <c r="D1035" s="950" t="s">
        <v>3871</v>
      </c>
      <c r="E1035" s="952" t="s">
        <v>3871</v>
      </c>
      <c r="F1035" s="940"/>
      <c r="G1035" s="953"/>
      <c r="H1035" s="969"/>
      <c r="I1035" s="956" t="s">
        <v>567</v>
      </c>
      <c r="J1035" s="1056" t="s">
        <v>81</v>
      </c>
      <c r="K1035" s="984" t="s">
        <v>216</v>
      </c>
      <c r="L1035" s="959">
        <v>70.0</v>
      </c>
      <c r="M1035" s="960">
        <v>85.0</v>
      </c>
      <c r="N1035" s="960">
        <v>65.0</v>
      </c>
      <c r="O1035" s="960">
        <v>125.0</v>
      </c>
      <c r="P1035" s="960">
        <v>65.0</v>
      </c>
      <c r="Q1035" s="960">
        <v>120.0</v>
      </c>
      <c r="R1035" s="960">
        <v>276.0</v>
      </c>
      <c r="S1035" s="960">
        <v>339.0</v>
      </c>
      <c r="T1035" s="960">
        <v>372.0</v>
      </c>
      <c r="U1035" s="960">
        <f t="array" ref="U1035">HLOOKUP($J1035,'Type Chart'!$C$2:$T$20,2,false)*HLOOKUP($K1035,'Type Chart'!$C$2:$U$20,2,false)</f>
        <v>1</v>
      </c>
      <c r="V1035" s="960">
        <f t="array" ref="V1035">HLOOKUP($J1035,'Type Chart'!$C$2:$T$20,3,false)*HLOOKUP($K1035,'Type Chart'!$C$2:$U$20,3,false)</f>
        <v>1</v>
      </c>
      <c r="W1035" s="960">
        <f t="array" ref="W1035">HLOOKUP($J1035,'Type Chart'!$C$2:$T$20,4,false)*HLOOKUP($K1035,'Type Chart'!$C$2:$U$20,4,false)</f>
        <v>1</v>
      </c>
      <c r="X1035" s="960">
        <f t="array" ref="X1035">HLOOKUP($J1035,'Type Chart'!$C$2:$T$20,5,false)*HLOOKUP($K1035,'Type Chart'!$C$2:$U$20,5,false)</f>
        <v>1</v>
      </c>
      <c r="Y1035" s="960">
        <f t="array" ref="Y1035">HLOOKUP($J1035,'Type Chart'!$C$2:$T$20,6,false)*HLOOKUP($K1035,'Type Chart'!$C$2:$U$20,6,false)</f>
        <v>1</v>
      </c>
      <c r="Z1035" s="960">
        <f t="array" ref="Z1035">HLOOKUP($J1035,'Type Chart'!$C$2:$T$20,7,false)*HLOOKUP($K1035,'Type Chart'!$C$2:$U$20,7,false)</f>
        <v>1</v>
      </c>
      <c r="AA1035" s="960">
        <f t="array" ref="AA1035">HLOOKUP($J1035,'Type Chart'!$C$2:$T$20,8,false)*HLOOKUP($K1035,'Type Chart'!$C$2:$U$20,8,false)</f>
        <v>1</v>
      </c>
      <c r="AB1035" s="960">
        <f t="array" ref="AB1035">HLOOKUP($J1035,'Type Chart'!$C$2:$T$20,9,false)*HLOOKUP($K1035,'Type Chart'!$C$2:$U$20,9,false)</f>
        <v>1</v>
      </c>
      <c r="AC1035" s="960">
        <f t="array" ref="AC1035">HLOOKUP($J1035,'Type Chart'!$C$2:$T$20,10,false)*HLOOKUP($K1035,'Type Chart'!$C$2:$U$20,10,false)</f>
        <v>0.5</v>
      </c>
      <c r="AD1035" s="960">
        <f t="array" ref="AD1035">HLOOKUP($J1035,'Type Chart'!$C$2:$T$20,11,false)*HLOOKUP($K1035,'Type Chart'!$C$2:$U$20,11,false)</f>
        <v>0.5</v>
      </c>
      <c r="AE1035" s="960">
        <f t="array" ref="AE1035">HLOOKUP($J1035,'Type Chart'!$C$2:$T$20,12,false)*HLOOKUP($K1035,'Type Chart'!$C$2:$U$20,12,false)</f>
        <v>0.5</v>
      </c>
      <c r="AF1035" s="960">
        <f t="array" ref="AF1035">HLOOKUP($J1035,'Type Chart'!$C$2:$T$20,13,false)*HLOOKUP($K1035,'Type Chart'!$C$2:$U$20,13,false)</f>
        <v>2</v>
      </c>
      <c r="AG1035" s="960">
        <f t="array" ref="AG1035">HLOOKUP($J1035,'Type Chart'!$C$2:$T$20,14,false)*HLOOKUP($K1035,'Type Chart'!$C$2:$U$20,14,false)</f>
        <v>2</v>
      </c>
      <c r="AH1035" s="960">
        <f t="array" ref="AH1035">HLOOKUP($J1035,'Type Chart'!$C$2:$T$20,15,false)*HLOOKUP($K1035,'Type Chart'!$C$2:$U$20,15,false)</f>
        <v>1</v>
      </c>
      <c r="AI1035" s="960">
        <f t="array" ref="AI1035">HLOOKUP($J1035,'Type Chart'!$C$2:$T$20,16,false)*HLOOKUP($K1035,'Type Chart'!$C$2:$U$20,16,false)</f>
        <v>0.5</v>
      </c>
      <c r="AJ1035" s="960">
        <f t="array" ref="AJ1035">HLOOKUP($J1035,'Type Chart'!$C$2:$T$20,17,false)*HLOOKUP($K1035,'Type Chart'!$C$2:$U$20,17,false)</f>
        <v>1</v>
      </c>
      <c r="AK1035" s="960">
        <f t="array" ref="AK1035">HLOOKUP($J1035,'Type Chart'!$C$2:$T$20,18,false)*HLOOKUP($K1035,'Type Chart'!$C$2:$U$20,18,false)</f>
        <v>1</v>
      </c>
      <c r="AL1035" s="960">
        <f t="array" ref="AL1035">HLOOKUP($J1035,'Type Chart'!$C$2:$T$20,19,false)*HLOOKUP($K1035,'Type Chart'!$C$2:$U$20,19,false)</f>
        <v>1</v>
      </c>
      <c r="AM1035" s="1145" t="s">
        <v>959</v>
      </c>
      <c r="AN1035" s="965"/>
      <c r="AO1035" s="1146" t="s">
        <v>1014</v>
      </c>
      <c r="AP1035" s="936"/>
      <c r="AQ1035" s="967"/>
      <c r="AR1035" s="968"/>
      <c r="AS1035" s="936"/>
    </row>
    <row r="1036" ht="15.75" customHeight="1">
      <c r="A1036" s="936"/>
      <c r="B1036" s="948" t="s">
        <v>3872</v>
      </c>
      <c r="C1036" s="950" t="s">
        <v>3873</v>
      </c>
      <c r="D1036" s="950" t="s">
        <v>3873</v>
      </c>
      <c r="E1036" s="952" t="s">
        <v>3873</v>
      </c>
      <c r="F1036" s="940"/>
      <c r="G1036" s="953"/>
      <c r="H1036" s="969"/>
      <c r="I1036" s="956" t="s">
        <v>3874</v>
      </c>
      <c r="J1036" s="1194" t="s">
        <v>136</v>
      </c>
      <c r="K1036" s="984" t="s">
        <v>216</v>
      </c>
      <c r="L1036" s="959">
        <v>70.0</v>
      </c>
      <c r="M1036" s="960">
        <v>55.0</v>
      </c>
      <c r="N1036" s="960">
        <v>55.0</v>
      </c>
      <c r="O1036" s="960">
        <v>35.0</v>
      </c>
      <c r="P1036" s="960">
        <v>35.0</v>
      </c>
      <c r="Q1036" s="960">
        <v>25.0</v>
      </c>
      <c r="R1036" s="960">
        <v>86.0</v>
      </c>
      <c r="S1036" s="960">
        <v>149.0</v>
      </c>
      <c r="T1036" s="960">
        <v>163.0</v>
      </c>
      <c r="U1036" s="960">
        <f t="array" ref="U1036">HLOOKUP($J1036,'Type Chart'!$C$2:$T$20,2,false)*HLOOKUP($K1036,'Type Chart'!$C$2:$U$20,2,false)</f>
        <v>1</v>
      </c>
      <c r="V1036" s="960">
        <f t="array" ref="V1036">HLOOKUP($J1036,'Type Chart'!$C$2:$T$20,3,false)*HLOOKUP($K1036,'Type Chart'!$C$2:$U$20,3,false)</f>
        <v>2</v>
      </c>
      <c r="W1036" s="960">
        <f t="array" ref="W1036">HLOOKUP($J1036,'Type Chart'!$C$2:$T$20,4,false)*HLOOKUP($K1036,'Type Chart'!$C$2:$U$20,4,false)</f>
        <v>1</v>
      </c>
      <c r="X1036" s="960">
        <f t="array" ref="X1036">HLOOKUP($J1036,'Type Chart'!$C$2:$T$20,5,false)*HLOOKUP($K1036,'Type Chart'!$C$2:$U$20,5,false)</f>
        <v>1</v>
      </c>
      <c r="Y1036" s="960">
        <f t="array" ref="Y1036">HLOOKUP($J1036,'Type Chart'!$C$2:$T$20,6,false)*HLOOKUP($K1036,'Type Chart'!$C$2:$U$20,6,false)</f>
        <v>1</v>
      </c>
      <c r="Z1036" s="960">
        <f t="array" ref="Z1036">HLOOKUP($J1036,'Type Chart'!$C$2:$T$20,7,false)*HLOOKUP($K1036,'Type Chart'!$C$2:$U$20,7,false)</f>
        <v>1</v>
      </c>
      <c r="AA1036" s="960">
        <f t="array" ref="AA1036">HLOOKUP($J1036,'Type Chart'!$C$2:$T$20,8,false)*HLOOKUP($K1036,'Type Chart'!$C$2:$U$20,8,false)</f>
        <v>1</v>
      </c>
      <c r="AB1036" s="960">
        <f t="array" ref="AB1036">HLOOKUP($J1036,'Type Chart'!$C$2:$T$20,9,false)*HLOOKUP($K1036,'Type Chart'!$C$2:$U$20,9,false)</f>
        <v>0</v>
      </c>
      <c r="AC1036" s="960">
        <f t="array" ref="AC1036">HLOOKUP($J1036,'Type Chart'!$C$2:$T$20,10,false)*HLOOKUP($K1036,'Type Chart'!$C$2:$U$20,10,false)</f>
        <v>1</v>
      </c>
      <c r="AD1036" s="960">
        <f t="array" ref="AD1036">HLOOKUP($J1036,'Type Chart'!$C$2:$T$20,11,false)*HLOOKUP($K1036,'Type Chart'!$C$2:$U$20,11,false)</f>
        <v>1</v>
      </c>
      <c r="AE1036" s="960">
        <f t="array" ref="AE1036">HLOOKUP($J1036,'Type Chart'!$C$2:$T$20,12,false)*HLOOKUP($K1036,'Type Chart'!$C$2:$U$20,12,false)</f>
        <v>1</v>
      </c>
      <c r="AF1036" s="960">
        <f t="array" ref="AF1036">HLOOKUP($J1036,'Type Chart'!$C$2:$T$20,13,false)*HLOOKUP($K1036,'Type Chart'!$C$2:$U$20,13,false)</f>
        <v>1</v>
      </c>
      <c r="AG1036" s="960">
        <f t="array" ref="AG1036">HLOOKUP($J1036,'Type Chart'!$C$2:$T$20,14,false)*HLOOKUP($K1036,'Type Chart'!$C$2:$U$20,14,false)</f>
        <v>1</v>
      </c>
      <c r="AH1036" s="960">
        <f t="array" ref="AH1036">HLOOKUP($J1036,'Type Chart'!$C$2:$T$20,15,false)*HLOOKUP($K1036,'Type Chart'!$C$2:$U$20,15,false)</f>
        <v>1</v>
      </c>
      <c r="AI1036" s="960">
        <f t="array" ref="AI1036">HLOOKUP($J1036,'Type Chart'!$C$2:$T$20,16,false)*HLOOKUP($K1036,'Type Chart'!$C$2:$U$20,16,false)</f>
        <v>1</v>
      </c>
      <c r="AJ1036" s="960">
        <f t="array" ref="AJ1036">HLOOKUP($J1036,'Type Chart'!$C$2:$T$20,17,false)*HLOOKUP($K1036,'Type Chart'!$C$2:$U$20,17,false)</f>
        <v>1</v>
      </c>
      <c r="AK1036" s="960">
        <f t="array" ref="AK1036">HLOOKUP($J1036,'Type Chart'!$C$2:$T$20,18,false)*HLOOKUP($K1036,'Type Chart'!$C$2:$U$20,18,false)</f>
        <v>1</v>
      </c>
      <c r="AL1036" s="960">
        <f t="array" ref="AL1036">HLOOKUP($J1036,'Type Chart'!$C$2:$T$20,19,false)*HLOOKUP($K1036,'Type Chart'!$C$2:$U$20,19,false)</f>
        <v>1</v>
      </c>
      <c r="AM1036" s="964" t="s">
        <v>3286</v>
      </c>
      <c r="AN1036" s="965"/>
      <c r="AO1036" s="966" t="s">
        <v>1044</v>
      </c>
      <c r="AP1036" s="936"/>
      <c r="AQ1036" s="967"/>
      <c r="AR1036" s="968"/>
      <c r="AS1036" s="936"/>
    </row>
    <row r="1037" ht="15.75" customHeight="1">
      <c r="A1037" s="936"/>
      <c r="B1037" s="948" t="s">
        <v>3875</v>
      </c>
      <c r="C1037" s="950" t="s">
        <v>3876</v>
      </c>
      <c r="D1037" s="950" t="s">
        <v>3876</v>
      </c>
      <c r="E1037" s="952" t="s">
        <v>3876</v>
      </c>
      <c r="F1037" s="940"/>
      <c r="G1037" s="953"/>
      <c r="H1037" s="969"/>
      <c r="I1037" s="956" t="s">
        <v>713</v>
      </c>
      <c r="J1037" s="1194" t="s">
        <v>136</v>
      </c>
      <c r="K1037" s="984" t="s">
        <v>216</v>
      </c>
      <c r="L1037" s="959">
        <v>120.0</v>
      </c>
      <c r="M1037" s="960">
        <v>95.0</v>
      </c>
      <c r="N1037" s="960">
        <v>95.0</v>
      </c>
      <c r="O1037" s="960">
        <v>55.0</v>
      </c>
      <c r="P1037" s="960">
        <v>75.0</v>
      </c>
      <c r="Q1037" s="960">
        <v>20.0</v>
      </c>
      <c r="R1037" s="960">
        <v>76.0</v>
      </c>
      <c r="S1037" s="960">
        <v>139.0</v>
      </c>
      <c r="T1037" s="960">
        <v>152.0</v>
      </c>
      <c r="U1037" s="960">
        <f t="array" ref="U1037">HLOOKUP($J1037,'Type Chart'!$C$2:$T$20,2,false)*HLOOKUP($K1037,'Type Chart'!$C$2:$U$20,2,false)</f>
        <v>1</v>
      </c>
      <c r="V1037" s="960">
        <f t="array" ref="V1037">HLOOKUP($J1037,'Type Chart'!$C$2:$T$20,3,false)*HLOOKUP($K1037,'Type Chart'!$C$2:$U$20,3,false)</f>
        <v>2</v>
      </c>
      <c r="W1037" s="960">
        <f t="array" ref="W1037">HLOOKUP($J1037,'Type Chart'!$C$2:$T$20,4,false)*HLOOKUP($K1037,'Type Chart'!$C$2:$U$20,4,false)</f>
        <v>1</v>
      </c>
      <c r="X1037" s="960">
        <f t="array" ref="X1037">HLOOKUP($J1037,'Type Chart'!$C$2:$T$20,5,false)*HLOOKUP($K1037,'Type Chart'!$C$2:$U$20,5,false)</f>
        <v>1</v>
      </c>
      <c r="Y1037" s="960">
        <f t="array" ref="Y1037">HLOOKUP($J1037,'Type Chart'!$C$2:$T$20,6,false)*HLOOKUP($K1037,'Type Chart'!$C$2:$U$20,6,false)</f>
        <v>1</v>
      </c>
      <c r="Z1037" s="960">
        <f t="array" ref="Z1037">HLOOKUP($J1037,'Type Chart'!$C$2:$T$20,7,false)*HLOOKUP($K1037,'Type Chart'!$C$2:$U$20,7,false)</f>
        <v>1</v>
      </c>
      <c r="AA1037" s="960">
        <f t="array" ref="AA1037">HLOOKUP($J1037,'Type Chart'!$C$2:$T$20,8,false)*HLOOKUP($K1037,'Type Chart'!$C$2:$U$20,8,false)</f>
        <v>1</v>
      </c>
      <c r="AB1037" s="960">
        <f t="array" ref="AB1037">HLOOKUP($J1037,'Type Chart'!$C$2:$T$20,9,false)*HLOOKUP($K1037,'Type Chart'!$C$2:$U$20,9,false)</f>
        <v>0</v>
      </c>
      <c r="AC1037" s="960">
        <f t="array" ref="AC1037">HLOOKUP($J1037,'Type Chart'!$C$2:$T$20,10,false)*HLOOKUP($K1037,'Type Chart'!$C$2:$U$20,10,false)</f>
        <v>1</v>
      </c>
      <c r="AD1037" s="960">
        <f t="array" ref="AD1037">HLOOKUP($J1037,'Type Chart'!$C$2:$T$20,11,false)*HLOOKUP($K1037,'Type Chart'!$C$2:$U$20,11,false)</f>
        <v>1</v>
      </c>
      <c r="AE1037" s="960">
        <f t="array" ref="AE1037">HLOOKUP($J1037,'Type Chart'!$C$2:$T$20,12,false)*HLOOKUP($K1037,'Type Chart'!$C$2:$U$20,12,false)</f>
        <v>1</v>
      </c>
      <c r="AF1037" s="960">
        <f t="array" ref="AF1037">HLOOKUP($J1037,'Type Chart'!$C$2:$T$20,13,false)*HLOOKUP($K1037,'Type Chart'!$C$2:$U$20,13,false)</f>
        <v>1</v>
      </c>
      <c r="AG1037" s="960">
        <f t="array" ref="AG1037">HLOOKUP($J1037,'Type Chart'!$C$2:$T$20,14,false)*HLOOKUP($K1037,'Type Chart'!$C$2:$U$20,14,false)</f>
        <v>1</v>
      </c>
      <c r="AH1037" s="960">
        <f t="array" ref="AH1037">HLOOKUP($J1037,'Type Chart'!$C$2:$T$20,15,false)*HLOOKUP($K1037,'Type Chart'!$C$2:$U$20,15,false)</f>
        <v>1</v>
      </c>
      <c r="AI1037" s="960">
        <f t="array" ref="AI1037">HLOOKUP($J1037,'Type Chart'!$C$2:$T$20,16,false)*HLOOKUP($K1037,'Type Chart'!$C$2:$U$20,16,false)</f>
        <v>1</v>
      </c>
      <c r="AJ1037" s="960">
        <f t="array" ref="AJ1037">HLOOKUP($J1037,'Type Chart'!$C$2:$T$20,17,false)*HLOOKUP($K1037,'Type Chart'!$C$2:$U$20,17,false)</f>
        <v>1</v>
      </c>
      <c r="AK1037" s="960">
        <f t="array" ref="AK1037">HLOOKUP($J1037,'Type Chart'!$C$2:$T$20,18,false)*HLOOKUP($K1037,'Type Chart'!$C$2:$U$20,18,false)</f>
        <v>1</v>
      </c>
      <c r="AL1037" s="960">
        <f t="array" ref="AL1037">HLOOKUP($J1037,'Type Chart'!$C$2:$T$20,19,false)*HLOOKUP($K1037,'Type Chart'!$C$2:$U$20,19,false)</f>
        <v>1</v>
      </c>
      <c r="AM1037" s="964" t="s">
        <v>3286</v>
      </c>
      <c r="AN1037" s="965"/>
      <c r="AO1037" s="966" t="s">
        <v>1044</v>
      </c>
      <c r="AP1037" s="936"/>
      <c r="AQ1037" s="967"/>
      <c r="AR1037" s="968"/>
      <c r="AS1037" s="936"/>
    </row>
    <row r="1038" ht="15.75" customHeight="1">
      <c r="A1038" s="936"/>
      <c r="B1038" s="948" t="s">
        <v>3877</v>
      </c>
      <c r="C1038" s="950" t="s">
        <v>3878</v>
      </c>
      <c r="D1038" s="950" t="s">
        <v>3878</v>
      </c>
      <c r="E1038" s="952" t="s">
        <v>3878</v>
      </c>
      <c r="F1038" s="940"/>
      <c r="G1038" s="953"/>
      <c r="H1038" s="969"/>
      <c r="I1038" s="956" t="s">
        <v>3879</v>
      </c>
      <c r="J1038" s="1001" t="s">
        <v>128</v>
      </c>
      <c r="K1038" s="984" t="s">
        <v>216</v>
      </c>
      <c r="L1038" s="959">
        <v>38.0</v>
      </c>
      <c r="M1038" s="960">
        <v>47.0</v>
      </c>
      <c r="N1038" s="960">
        <v>35.0</v>
      </c>
      <c r="O1038" s="960">
        <v>33.0</v>
      </c>
      <c r="P1038" s="960">
        <v>35.0</v>
      </c>
      <c r="Q1038" s="960">
        <v>57.0</v>
      </c>
      <c r="R1038" s="960">
        <v>150.0</v>
      </c>
      <c r="S1038" s="960">
        <v>213.0</v>
      </c>
      <c r="T1038" s="960">
        <v>234.0</v>
      </c>
      <c r="U1038" s="960">
        <f t="array" ref="U1038">HLOOKUP($J1038,'Type Chart'!$C$2:$T$20,2,false)*HLOOKUP($K1038,'Type Chart'!$C$2:$U$20,2,false)</f>
        <v>1</v>
      </c>
      <c r="V1038" s="960">
        <f t="array" ref="V1038">HLOOKUP($J1038,'Type Chart'!$C$2:$T$20,3,false)*HLOOKUP($K1038,'Type Chart'!$C$2:$U$20,3,false)</f>
        <v>0.5</v>
      </c>
      <c r="W1038" s="960">
        <f t="array" ref="W1038">HLOOKUP($J1038,'Type Chart'!$C$2:$T$20,4,false)*HLOOKUP($K1038,'Type Chart'!$C$2:$U$20,4,false)</f>
        <v>1</v>
      </c>
      <c r="X1038" s="960">
        <f t="array" ref="X1038">HLOOKUP($J1038,'Type Chart'!$C$2:$T$20,5,false)*HLOOKUP($K1038,'Type Chart'!$C$2:$U$20,5,false)</f>
        <v>1</v>
      </c>
      <c r="Y1038" s="960">
        <f t="array" ref="Y1038">HLOOKUP($J1038,'Type Chart'!$C$2:$T$20,6,false)*HLOOKUP($K1038,'Type Chart'!$C$2:$U$20,6,false)</f>
        <v>0</v>
      </c>
      <c r="Z1038" s="960">
        <f t="array" ref="Z1038">HLOOKUP($J1038,'Type Chart'!$C$2:$T$20,7,false)*HLOOKUP($K1038,'Type Chart'!$C$2:$U$20,7,false)</f>
        <v>2</v>
      </c>
      <c r="AA1038" s="960">
        <f t="array" ref="AA1038">HLOOKUP($J1038,'Type Chart'!$C$2:$T$20,8,false)*HLOOKUP($K1038,'Type Chart'!$C$2:$U$20,8,false)</f>
        <v>0.5</v>
      </c>
      <c r="AB1038" s="960">
        <f t="array" ref="AB1038">HLOOKUP($J1038,'Type Chart'!$C$2:$T$20,9,false)*HLOOKUP($K1038,'Type Chart'!$C$2:$U$20,9,false)</f>
        <v>1</v>
      </c>
      <c r="AC1038" s="960">
        <f t="array" ref="AC1038">HLOOKUP($J1038,'Type Chart'!$C$2:$T$20,10,false)*HLOOKUP($K1038,'Type Chart'!$C$2:$U$20,10,false)</f>
        <v>1</v>
      </c>
      <c r="AD1038" s="960">
        <f t="array" ref="AD1038">HLOOKUP($J1038,'Type Chart'!$C$2:$T$20,11,false)*HLOOKUP($K1038,'Type Chart'!$C$2:$U$20,11,false)</f>
        <v>1</v>
      </c>
      <c r="AE1038" s="960">
        <f t="array" ref="AE1038">HLOOKUP($J1038,'Type Chart'!$C$2:$T$20,12,false)*HLOOKUP($K1038,'Type Chart'!$C$2:$U$20,12,false)</f>
        <v>1</v>
      </c>
      <c r="AF1038" s="960">
        <f t="array" ref="AF1038">HLOOKUP($J1038,'Type Chart'!$C$2:$T$20,13,false)*HLOOKUP($K1038,'Type Chart'!$C$2:$U$20,13,false)</f>
        <v>0.5</v>
      </c>
      <c r="AG1038" s="960">
        <f t="array" ref="AG1038">HLOOKUP($J1038,'Type Chart'!$C$2:$T$20,14,false)*HLOOKUP($K1038,'Type Chart'!$C$2:$U$20,14,false)</f>
        <v>2</v>
      </c>
      <c r="AH1038" s="960">
        <f t="array" ref="AH1038">HLOOKUP($J1038,'Type Chart'!$C$2:$T$20,15,false)*HLOOKUP($K1038,'Type Chart'!$C$2:$U$20,15,false)</f>
        <v>1</v>
      </c>
      <c r="AI1038" s="960">
        <f t="array" ref="AI1038">HLOOKUP($J1038,'Type Chart'!$C$2:$T$20,16,false)*HLOOKUP($K1038,'Type Chart'!$C$2:$U$20,16,false)</f>
        <v>2</v>
      </c>
      <c r="AJ1038" s="960">
        <f t="array" ref="AJ1038">HLOOKUP($J1038,'Type Chart'!$C$2:$T$20,17,false)*HLOOKUP($K1038,'Type Chart'!$C$2:$U$20,17,false)</f>
        <v>1</v>
      </c>
      <c r="AK1038" s="960">
        <f t="array" ref="AK1038">HLOOKUP($J1038,'Type Chart'!$C$2:$T$20,18,false)*HLOOKUP($K1038,'Type Chart'!$C$2:$U$20,18,false)</f>
        <v>1</v>
      </c>
      <c r="AL1038" s="960">
        <f t="array" ref="AL1038">HLOOKUP($J1038,'Type Chart'!$C$2:$T$20,19,false)*HLOOKUP($K1038,'Type Chart'!$C$2:$U$20,19,false)</f>
        <v>1</v>
      </c>
      <c r="AM1038" s="964" t="s">
        <v>1022</v>
      </c>
      <c r="AN1038" s="964" t="s">
        <v>1062</v>
      </c>
      <c r="AO1038" s="966" t="s">
        <v>1024</v>
      </c>
      <c r="AP1038" s="936"/>
      <c r="AQ1038" s="967"/>
      <c r="AR1038" s="968"/>
      <c r="AS1038" s="936"/>
    </row>
    <row r="1039" ht="15.75" customHeight="1">
      <c r="A1039" s="936"/>
      <c r="B1039" s="948" t="s">
        <v>3880</v>
      </c>
      <c r="C1039" s="950" t="s">
        <v>3881</v>
      </c>
      <c r="D1039" s="950" t="s">
        <v>3881</v>
      </c>
      <c r="E1039" s="952" t="s">
        <v>3881</v>
      </c>
      <c r="F1039" s="940"/>
      <c r="G1039" s="953"/>
      <c r="H1039" s="969"/>
      <c r="I1039" s="956" t="s">
        <v>3882</v>
      </c>
      <c r="J1039" s="1001" t="s">
        <v>128</v>
      </c>
      <c r="K1039" s="984" t="s">
        <v>216</v>
      </c>
      <c r="L1039" s="959">
        <v>68.0</v>
      </c>
      <c r="M1039" s="960">
        <v>67.0</v>
      </c>
      <c r="N1039" s="960">
        <v>55.0</v>
      </c>
      <c r="O1039" s="960">
        <v>43.0</v>
      </c>
      <c r="P1039" s="960">
        <v>55.0</v>
      </c>
      <c r="Q1039" s="960">
        <v>77.0</v>
      </c>
      <c r="R1039" s="960">
        <v>190.0</v>
      </c>
      <c r="S1039" s="960">
        <v>253.0</v>
      </c>
      <c r="T1039" s="960">
        <v>278.0</v>
      </c>
      <c r="U1039" s="960">
        <f t="array" ref="U1039">HLOOKUP($J1039,'Type Chart'!$C$2:$T$20,2,false)*HLOOKUP($K1039,'Type Chart'!$C$2:$U$20,2,false)</f>
        <v>1</v>
      </c>
      <c r="V1039" s="960">
        <f t="array" ref="V1039">HLOOKUP($J1039,'Type Chart'!$C$2:$T$20,3,false)*HLOOKUP($K1039,'Type Chart'!$C$2:$U$20,3,false)</f>
        <v>0.5</v>
      </c>
      <c r="W1039" s="960">
        <f t="array" ref="W1039">HLOOKUP($J1039,'Type Chart'!$C$2:$T$20,4,false)*HLOOKUP($K1039,'Type Chart'!$C$2:$U$20,4,false)</f>
        <v>1</v>
      </c>
      <c r="X1039" s="960">
        <f t="array" ref="X1039">HLOOKUP($J1039,'Type Chart'!$C$2:$T$20,5,false)*HLOOKUP($K1039,'Type Chart'!$C$2:$U$20,5,false)</f>
        <v>1</v>
      </c>
      <c r="Y1039" s="960">
        <f t="array" ref="Y1039">HLOOKUP($J1039,'Type Chart'!$C$2:$T$20,6,false)*HLOOKUP($K1039,'Type Chart'!$C$2:$U$20,6,false)</f>
        <v>0</v>
      </c>
      <c r="Z1039" s="960">
        <f t="array" ref="Z1039">HLOOKUP($J1039,'Type Chart'!$C$2:$T$20,7,false)*HLOOKUP($K1039,'Type Chart'!$C$2:$U$20,7,false)</f>
        <v>2</v>
      </c>
      <c r="AA1039" s="960">
        <f t="array" ref="AA1039">HLOOKUP($J1039,'Type Chart'!$C$2:$T$20,8,false)*HLOOKUP($K1039,'Type Chart'!$C$2:$U$20,8,false)</f>
        <v>0.5</v>
      </c>
      <c r="AB1039" s="960">
        <f t="array" ref="AB1039">HLOOKUP($J1039,'Type Chart'!$C$2:$T$20,9,false)*HLOOKUP($K1039,'Type Chart'!$C$2:$U$20,9,false)</f>
        <v>1</v>
      </c>
      <c r="AC1039" s="960">
        <f t="array" ref="AC1039">HLOOKUP($J1039,'Type Chart'!$C$2:$T$20,10,false)*HLOOKUP($K1039,'Type Chart'!$C$2:$U$20,10,false)</f>
        <v>1</v>
      </c>
      <c r="AD1039" s="960">
        <f t="array" ref="AD1039">HLOOKUP($J1039,'Type Chart'!$C$2:$T$20,11,false)*HLOOKUP($K1039,'Type Chart'!$C$2:$U$20,11,false)</f>
        <v>1</v>
      </c>
      <c r="AE1039" s="960">
        <f t="array" ref="AE1039">HLOOKUP($J1039,'Type Chart'!$C$2:$T$20,12,false)*HLOOKUP($K1039,'Type Chart'!$C$2:$U$20,12,false)</f>
        <v>1</v>
      </c>
      <c r="AF1039" s="960">
        <f t="array" ref="AF1039">HLOOKUP($J1039,'Type Chart'!$C$2:$T$20,13,false)*HLOOKUP($K1039,'Type Chart'!$C$2:$U$20,13,false)</f>
        <v>0.5</v>
      </c>
      <c r="AG1039" s="960">
        <f t="array" ref="AG1039">HLOOKUP($J1039,'Type Chart'!$C$2:$T$20,14,false)*HLOOKUP($K1039,'Type Chart'!$C$2:$U$20,14,false)</f>
        <v>2</v>
      </c>
      <c r="AH1039" s="960">
        <f t="array" ref="AH1039">HLOOKUP($J1039,'Type Chart'!$C$2:$T$20,15,false)*HLOOKUP($K1039,'Type Chart'!$C$2:$U$20,15,false)</f>
        <v>1</v>
      </c>
      <c r="AI1039" s="960">
        <f t="array" ref="AI1039">HLOOKUP($J1039,'Type Chart'!$C$2:$T$20,16,false)*HLOOKUP($K1039,'Type Chart'!$C$2:$U$20,16,false)</f>
        <v>2</v>
      </c>
      <c r="AJ1039" s="960">
        <f t="array" ref="AJ1039">HLOOKUP($J1039,'Type Chart'!$C$2:$T$20,17,false)*HLOOKUP($K1039,'Type Chart'!$C$2:$U$20,17,false)</f>
        <v>1</v>
      </c>
      <c r="AK1039" s="960">
        <f t="array" ref="AK1039">HLOOKUP($J1039,'Type Chart'!$C$2:$T$20,18,false)*HLOOKUP($K1039,'Type Chart'!$C$2:$U$20,18,false)</f>
        <v>1</v>
      </c>
      <c r="AL1039" s="960">
        <f t="array" ref="AL1039">HLOOKUP($J1039,'Type Chart'!$C$2:$T$20,19,false)*HLOOKUP($K1039,'Type Chart'!$C$2:$U$20,19,false)</f>
        <v>1</v>
      </c>
      <c r="AM1039" s="964" t="s">
        <v>1022</v>
      </c>
      <c r="AN1039" s="964" t="s">
        <v>1062</v>
      </c>
      <c r="AO1039" s="966" t="s">
        <v>1024</v>
      </c>
      <c r="AP1039" s="936"/>
      <c r="AQ1039" s="967"/>
      <c r="AR1039" s="968"/>
      <c r="AS1039" s="936"/>
    </row>
    <row r="1040" ht="15.75" customHeight="1">
      <c r="A1040" s="1099"/>
      <c r="B1040" s="948" t="s">
        <v>3883</v>
      </c>
      <c r="C1040" s="1197" t="s">
        <v>160</v>
      </c>
      <c r="D1040" s="1197" t="s">
        <v>160</v>
      </c>
      <c r="E1040" s="1147" t="s">
        <v>160</v>
      </c>
      <c r="F1040" s="940"/>
      <c r="G1040" s="953"/>
      <c r="H1040" s="969"/>
      <c r="I1040" s="998" t="s">
        <v>195</v>
      </c>
      <c r="J1040" s="1210" t="s">
        <v>128</v>
      </c>
      <c r="K1040" s="1233" t="s">
        <v>82</v>
      </c>
      <c r="L1040" s="1200">
        <v>98.0</v>
      </c>
      <c r="M1040" s="1201">
        <v>87.0</v>
      </c>
      <c r="N1040" s="1201">
        <v>105.0</v>
      </c>
      <c r="O1040" s="1201">
        <v>53.0</v>
      </c>
      <c r="P1040" s="1201">
        <v>85.0</v>
      </c>
      <c r="Q1040" s="1201">
        <v>67.0</v>
      </c>
      <c r="R1040" s="960">
        <v>170.0</v>
      </c>
      <c r="S1040" s="960">
        <v>233.0</v>
      </c>
      <c r="T1040" s="960">
        <v>256.0</v>
      </c>
      <c r="U1040" s="960">
        <f t="array" ref="U1040">HLOOKUP($J1040,'Type Chart'!$C$2:$T$20,2,false)*HLOOKUP($K1040,'Type Chart'!$C$2:$U$20,2,false)</f>
        <v>0.5</v>
      </c>
      <c r="V1040" s="960">
        <f t="array" ref="V1040">HLOOKUP($J1040,'Type Chart'!$C$2:$T$20,3,false)*HLOOKUP($K1040,'Type Chart'!$C$2:$U$20,3,false)</f>
        <v>1</v>
      </c>
      <c r="W1040" s="960">
        <f t="array" ref="W1040">HLOOKUP($J1040,'Type Chart'!$C$2:$T$20,4,false)*HLOOKUP($K1040,'Type Chart'!$C$2:$U$20,4,false)</f>
        <v>0.5</v>
      </c>
      <c r="X1040" s="960">
        <f t="array" ref="X1040">HLOOKUP($J1040,'Type Chart'!$C$2:$T$20,5,false)*HLOOKUP($K1040,'Type Chart'!$C$2:$U$20,5,false)</f>
        <v>0</v>
      </c>
      <c r="Y1040" s="960">
        <f t="array" ref="Y1040">HLOOKUP($J1040,'Type Chart'!$C$2:$T$20,6,false)*HLOOKUP($K1040,'Type Chart'!$C$2:$U$20,6,false)</f>
        <v>0</v>
      </c>
      <c r="Z1040" s="960">
        <f t="array" ref="Z1040">HLOOKUP($J1040,'Type Chart'!$C$2:$T$20,7,false)*HLOOKUP($K1040,'Type Chart'!$C$2:$U$20,7,false)</f>
        <v>1</v>
      </c>
      <c r="AA1040" s="960">
        <f t="array" ref="AA1040">HLOOKUP($J1040,'Type Chart'!$C$2:$T$20,8,false)*HLOOKUP($K1040,'Type Chart'!$C$2:$U$20,8,false)</f>
        <v>0.25</v>
      </c>
      <c r="AB1040" s="960">
        <f t="array" ref="AB1040">HLOOKUP($J1040,'Type Chart'!$C$2:$T$20,9,false)*HLOOKUP($K1040,'Type Chart'!$C$2:$U$20,9,false)</f>
        <v>1</v>
      </c>
      <c r="AC1040" s="960">
        <f t="array" ref="AC1040">HLOOKUP($J1040,'Type Chart'!$C$2:$T$20,10,false)*HLOOKUP($K1040,'Type Chart'!$C$2:$U$20,10,false)</f>
        <v>0.5</v>
      </c>
      <c r="AD1040" s="960">
        <f t="array" ref="AD1040">HLOOKUP($J1040,'Type Chart'!$C$2:$T$20,11,false)*HLOOKUP($K1040,'Type Chart'!$C$2:$U$20,11,false)</f>
        <v>2</v>
      </c>
      <c r="AE1040" s="960">
        <f t="array" ref="AE1040">HLOOKUP($J1040,'Type Chart'!$C$2:$T$20,12,false)*HLOOKUP($K1040,'Type Chart'!$C$2:$U$20,12,false)</f>
        <v>1</v>
      </c>
      <c r="AF1040" s="960">
        <f t="array" ref="AF1040">HLOOKUP($J1040,'Type Chart'!$C$2:$T$20,13,false)*HLOOKUP($K1040,'Type Chart'!$C$2:$U$20,13,false)</f>
        <v>0.25</v>
      </c>
      <c r="AG1040" s="960">
        <f t="array" ref="AG1040">HLOOKUP($J1040,'Type Chart'!$C$2:$T$20,14,false)*HLOOKUP($K1040,'Type Chart'!$C$2:$U$20,14,false)</f>
        <v>2</v>
      </c>
      <c r="AH1040" s="960">
        <f t="array" ref="AH1040">HLOOKUP($J1040,'Type Chart'!$C$2:$T$20,15,false)*HLOOKUP($K1040,'Type Chart'!$C$2:$U$20,15,false)</f>
        <v>0.5</v>
      </c>
      <c r="AI1040" s="960">
        <f t="array" ref="AI1040">HLOOKUP($J1040,'Type Chart'!$C$2:$T$20,16,false)*HLOOKUP($K1040,'Type Chart'!$C$2:$U$20,16,false)</f>
        <v>1</v>
      </c>
      <c r="AJ1040" s="960">
        <f t="array" ref="AJ1040">HLOOKUP($J1040,'Type Chart'!$C$2:$T$20,17,false)*HLOOKUP($K1040,'Type Chart'!$C$2:$U$20,17,false)</f>
        <v>0.5</v>
      </c>
      <c r="AK1040" s="960">
        <f t="array" ref="AK1040">HLOOKUP($J1040,'Type Chart'!$C$2:$T$20,18,false)*HLOOKUP($K1040,'Type Chart'!$C$2:$U$20,18,false)</f>
        <v>1</v>
      </c>
      <c r="AL1040" s="960">
        <f t="array" ref="AL1040">HLOOKUP($J1040,'Type Chart'!$C$2:$T$20,19,false)*HLOOKUP($K1040,'Type Chart'!$C$2:$U$20,19,false)</f>
        <v>0.5</v>
      </c>
      <c r="AM1040" s="1145" t="s">
        <v>1636</v>
      </c>
      <c r="AN1040" s="964" t="s">
        <v>1062</v>
      </c>
      <c r="AO1040" s="966" t="s">
        <v>3884</v>
      </c>
      <c r="AP1040" s="936"/>
      <c r="AQ1040" s="967"/>
      <c r="AR1040" s="968"/>
      <c r="AS1040" s="936"/>
    </row>
    <row r="1041" ht="15.75" customHeight="1">
      <c r="A1041" s="936"/>
      <c r="B1041" s="948" t="s">
        <v>3885</v>
      </c>
      <c r="C1041" s="950" t="s">
        <v>3886</v>
      </c>
      <c r="D1041" s="950" t="s">
        <v>3886</v>
      </c>
      <c r="E1041" s="952" t="s">
        <v>3886</v>
      </c>
      <c r="F1041" s="940"/>
      <c r="G1041" s="953"/>
      <c r="H1041" s="969"/>
      <c r="I1041" s="956" t="s">
        <v>3887</v>
      </c>
      <c r="J1041" s="1180" t="s">
        <v>343</v>
      </c>
      <c r="K1041" s="984" t="s">
        <v>216</v>
      </c>
      <c r="L1041" s="959">
        <v>25.0</v>
      </c>
      <c r="M1041" s="960">
        <v>20.0</v>
      </c>
      <c r="N1041" s="960">
        <v>20.0</v>
      </c>
      <c r="O1041" s="960">
        <v>25.0</v>
      </c>
      <c r="P1041" s="960">
        <v>45.0</v>
      </c>
      <c r="Q1041" s="960">
        <v>45.0</v>
      </c>
      <c r="R1041" s="960">
        <v>126.0</v>
      </c>
      <c r="S1041" s="960">
        <v>189.0</v>
      </c>
      <c r="T1041" s="960">
        <v>207.0</v>
      </c>
      <c r="U1041" s="960">
        <f t="array" ref="U1041">HLOOKUP($J1041,'Type Chart'!$C$2:$T$20,2,false)*HLOOKUP($K1041,'Type Chart'!$C$2:$U$20,2,false)</f>
        <v>1</v>
      </c>
      <c r="V1041" s="960">
        <f t="array" ref="V1041">HLOOKUP($J1041,'Type Chart'!$C$2:$T$20,3,false)*HLOOKUP($K1041,'Type Chart'!$C$2:$U$20,3,false)</f>
        <v>0.5</v>
      </c>
      <c r="W1041" s="960">
        <f t="array" ref="W1041">HLOOKUP($J1041,'Type Chart'!$C$2:$T$20,4,false)*HLOOKUP($K1041,'Type Chart'!$C$2:$U$20,4,false)</f>
        <v>2</v>
      </c>
      <c r="X1041" s="960">
        <f t="array" ref="X1041">HLOOKUP($J1041,'Type Chart'!$C$2:$T$20,5,false)*HLOOKUP($K1041,'Type Chart'!$C$2:$U$20,5,false)</f>
        <v>1</v>
      </c>
      <c r="Y1041" s="960">
        <f t="array" ref="Y1041">HLOOKUP($J1041,'Type Chart'!$C$2:$T$20,6,false)*HLOOKUP($K1041,'Type Chart'!$C$2:$U$20,6,false)</f>
        <v>0.5</v>
      </c>
      <c r="Z1041" s="960">
        <f t="array" ref="Z1041">HLOOKUP($J1041,'Type Chart'!$C$2:$T$20,7,false)*HLOOKUP($K1041,'Type Chart'!$C$2:$U$20,7,false)</f>
        <v>2</v>
      </c>
      <c r="AA1041" s="960">
        <f t="array" ref="AA1041">HLOOKUP($J1041,'Type Chart'!$C$2:$T$20,8,false)*HLOOKUP($K1041,'Type Chart'!$C$2:$U$20,8,false)</f>
        <v>1</v>
      </c>
      <c r="AB1041" s="960">
        <f t="array" ref="AB1041">HLOOKUP($J1041,'Type Chart'!$C$2:$T$20,9,false)*HLOOKUP($K1041,'Type Chart'!$C$2:$U$20,9,false)</f>
        <v>1</v>
      </c>
      <c r="AC1041" s="960">
        <f t="array" ref="AC1041">HLOOKUP($J1041,'Type Chart'!$C$2:$T$20,10,false)*HLOOKUP($K1041,'Type Chart'!$C$2:$U$20,10,false)</f>
        <v>1</v>
      </c>
      <c r="AD1041" s="960">
        <f t="array" ref="AD1041">HLOOKUP($J1041,'Type Chart'!$C$2:$T$20,11,false)*HLOOKUP($K1041,'Type Chart'!$C$2:$U$20,11,false)</f>
        <v>2</v>
      </c>
      <c r="AE1041" s="960">
        <f t="array" ref="AE1041">HLOOKUP($J1041,'Type Chart'!$C$2:$T$20,12,false)*HLOOKUP($K1041,'Type Chart'!$C$2:$U$20,12,false)</f>
        <v>1</v>
      </c>
      <c r="AF1041" s="960">
        <f t="array" ref="AF1041">HLOOKUP($J1041,'Type Chart'!$C$2:$T$20,13,false)*HLOOKUP($K1041,'Type Chart'!$C$2:$U$20,13,false)</f>
        <v>0.5</v>
      </c>
      <c r="AG1041" s="960">
        <f t="array" ref="AG1041">HLOOKUP($J1041,'Type Chart'!$C$2:$T$20,14,false)*HLOOKUP($K1041,'Type Chart'!$C$2:$U$20,14,false)</f>
        <v>1</v>
      </c>
      <c r="AH1041" s="960">
        <f t="array" ref="AH1041">HLOOKUP($J1041,'Type Chart'!$C$2:$T$20,15,false)*HLOOKUP($K1041,'Type Chart'!$C$2:$U$20,15,false)</f>
        <v>1</v>
      </c>
      <c r="AI1041" s="960">
        <f t="array" ref="AI1041">HLOOKUP($J1041,'Type Chart'!$C$2:$T$20,16,false)*HLOOKUP($K1041,'Type Chart'!$C$2:$U$20,16,false)</f>
        <v>1</v>
      </c>
      <c r="AJ1041" s="960">
        <f t="array" ref="AJ1041">HLOOKUP($J1041,'Type Chart'!$C$2:$T$20,17,false)*HLOOKUP($K1041,'Type Chart'!$C$2:$U$20,17,false)</f>
        <v>1</v>
      </c>
      <c r="AK1041" s="960">
        <f t="array" ref="AK1041">HLOOKUP($J1041,'Type Chart'!$C$2:$T$20,18,false)*HLOOKUP($K1041,'Type Chart'!$C$2:$U$20,18,false)</f>
        <v>1</v>
      </c>
      <c r="AL1041" s="960">
        <f t="array" ref="AL1041">HLOOKUP($J1041,'Type Chart'!$C$2:$T$20,19,false)*HLOOKUP($K1041,'Type Chart'!$C$2:$U$20,19,false)</f>
        <v>1</v>
      </c>
      <c r="AM1041" s="964" t="s">
        <v>1013</v>
      </c>
      <c r="AN1041" s="964" t="s">
        <v>1002</v>
      </c>
      <c r="AO1041" s="966" t="s">
        <v>1828</v>
      </c>
      <c r="AP1041" s="936"/>
      <c r="AQ1041" s="967"/>
      <c r="AR1041" s="968"/>
      <c r="AS1041" s="936"/>
    </row>
    <row r="1042" ht="15.75" customHeight="1">
      <c r="A1042" s="936"/>
      <c r="B1042" s="948" t="s">
        <v>3888</v>
      </c>
      <c r="C1042" s="950" t="s">
        <v>3889</v>
      </c>
      <c r="D1042" s="950" t="s">
        <v>3889</v>
      </c>
      <c r="E1042" s="952" t="s">
        <v>3889</v>
      </c>
      <c r="F1042" s="940"/>
      <c r="G1042" s="953"/>
      <c r="H1042" s="969"/>
      <c r="I1042" s="956" t="s">
        <v>3890</v>
      </c>
      <c r="J1042" s="1180" t="s">
        <v>343</v>
      </c>
      <c r="K1042" s="1203" t="s">
        <v>344</v>
      </c>
      <c r="L1042" s="959">
        <v>50.0</v>
      </c>
      <c r="M1042" s="960">
        <v>35.0</v>
      </c>
      <c r="N1042" s="960">
        <v>80.0</v>
      </c>
      <c r="O1042" s="960">
        <v>50.0</v>
      </c>
      <c r="P1042" s="960">
        <v>90.0</v>
      </c>
      <c r="Q1042" s="960">
        <v>30.0</v>
      </c>
      <c r="R1042" s="960">
        <v>96.0</v>
      </c>
      <c r="S1042" s="960">
        <v>159.0</v>
      </c>
      <c r="T1042" s="960">
        <v>174.0</v>
      </c>
      <c r="U1042" s="960">
        <f t="array" ref="U1042">HLOOKUP($J1042,'Type Chart'!$C$2:$T$20,2,false)*HLOOKUP($K1042,'Type Chart'!$C$2:$U$20,2,false)</f>
        <v>1</v>
      </c>
      <c r="V1042" s="960">
        <f t="array" ref="V1042">HLOOKUP($J1042,'Type Chart'!$C$2:$T$20,3,false)*HLOOKUP($K1042,'Type Chart'!$C$2:$U$20,3,false)</f>
        <v>0.25</v>
      </c>
      <c r="W1042" s="960">
        <f t="array" ref="W1042">HLOOKUP($J1042,'Type Chart'!$C$2:$T$20,4,false)*HLOOKUP($K1042,'Type Chart'!$C$2:$U$20,4,false)</f>
        <v>2</v>
      </c>
      <c r="X1042" s="960">
        <f t="array" ref="X1042">HLOOKUP($J1042,'Type Chart'!$C$2:$T$20,5,false)*HLOOKUP($K1042,'Type Chart'!$C$2:$U$20,5,false)</f>
        <v>1</v>
      </c>
      <c r="Y1042" s="960">
        <f t="array" ref="Y1042">HLOOKUP($J1042,'Type Chart'!$C$2:$T$20,6,false)*HLOOKUP($K1042,'Type Chart'!$C$2:$U$20,6,false)</f>
        <v>0.5</v>
      </c>
      <c r="Z1042" s="960">
        <f t="array" ref="Z1042">HLOOKUP($J1042,'Type Chart'!$C$2:$T$20,7,false)*HLOOKUP($K1042,'Type Chart'!$C$2:$U$20,7,false)</f>
        <v>2</v>
      </c>
      <c r="AA1042" s="960">
        <f t="array" ref="AA1042">HLOOKUP($J1042,'Type Chart'!$C$2:$T$20,8,false)*HLOOKUP($K1042,'Type Chart'!$C$2:$U$20,8,false)</f>
        <v>2</v>
      </c>
      <c r="AB1042" s="960">
        <f t="array" ref="AB1042">HLOOKUP($J1042,'Type Chart'!$C$2:$T$20,9,false)*HLOOKUP($K1042,'Type Chart'!$C$2:$U$20,9,false)</f>
        <v>2</v>
      </c>
      <c r="AC1042" s="960">
        <f t="array" ref="AC1042">HLOOKUP($J1042,'Type Chart'!$C$2:$T$20,10,false)*HLOOKUP($K1042,'Type Chart'!$C$2:$U$20,10,false)</f>
        <v>1</v>
      </c>
      <c r="AD1042" s="960">
        <f t="array" ref="AD1042">HLOOKUP($J1042,'Type Chart'!$C$2:$T$20,11,false)*HLOOKUP($K1042,'Type Chart'!$C$2:$U$20,11,false)</f>
        <v>2</v>
      </c>
      <c r="AE1042" s="960">
        <f t="array" ref="AE1042">HLOOKUP($J1042,'Type Chart'!$C$2:$T$20,12,false)*HLOOKUP($K1042,'Type Chart'!$C$2:$U$20,12,false)</f>
        <v>1</v>
      </c>
      <c r="AF1042" s="960">
        <f t="array" ref="AF1042">HLOOKUP($J1042,'Type Chart'!$C$2:$T$20,13,false)*HLOOKUP($K1042,'Type Chart'!$C$2:$U$20,13,false)</f>
        <v>0.5</v>
      </c>
      <c r="AG1042" s="960">
        <f t="array" ref="AG1042">HLOOKUP($J1042,'Type Chart'!$C$2:$T$20,14,false)*HLOOKUP($K1042,'Type Chart'!$C$2:$U$20,14,false)</f>
        <v>1</v>
      </c>
      <c r="AH1042" s="960">
        <f t="array" ref="AH1042">HLOOKUP($J1042,'Type Chart'!$C$2:$T$20,15,false)*HLOOKUP($K1042,'Type Chart'!$C$2:$U$20,15,false)</f>
        <v>0.5</v>
      </c>
      <c r="AI1042" s="960">
        <f t="array" ref="AI1042">HLOOKUP($J1042,'Type Chart'!$C$2:$T$20,16,false)*HLOOKUP($K1042,'Type Chart'!$C$2:$U$20,16,false)</f>
        <v>1</v>
      </c>
      <c r="AJ1042" s="960">
        <f t="array" ref="AJ1042">HLOOKUP($J1042,'Type Chart'!$C$2:$T$20,17,false)*HLOOKUP($K1042,'Type Chart'!$C$2:$U$20,17,false)</f>
        <v>1</v>
      </c>
      <c r="AK1042" s="960">
        <f t="array" ref="AK1042">HLOOKUP($J1042,'Type Chart'!$C$2:$T$20,18,false)*HLOOKUP($K1042,'Type Chart'!$C$2:$U$20,18,false)</f>
        <v>2</v>
      </c>
      <c r="AL1042" s="960">
        <f t="array" ref="AL1042">HLOOKUP($J1042,'Type Chart'!$C$2:$T$20,19,false)*HLOOKUP($K1042,'Type Chart'!$C$2:$U$20,19,false)</f>
        <v>1</v>
      </c>
      <c r="AM1042" s="964" t="s">
        <v>1013</v>
      </c>
      <c r="AN1042" s="964" t="s">
        <v>1002</v>
      </c>
      <c r="AO1042" s="966" t="s">
        <v>1828</v>
      </c>
      <c r="AP1042" s="936"/>
      <c r="AQ1042" s="967"/>
      <c r="AR1042" s="968"/>
      <c r="AS1042" s="936"/>
    </row>
    <row r="1043" ht="15.75" customHeight="1">
      <c r="A1043" s="1099"/>
      <c r="B1043" s="948" t="s">
        <v>3891</v>
      </c>
      <c r="C1043" s="1197" t="s">
        <v>3892</v>
      </c>
      <c r="D1043" s="1197" t="s">
        <v>3892</v>
      </c>
      <c r="E1043" s="1147" t="s">
        <v>3892</v>
      </c>
      <c r="F1043" s="940"/>
      <c r="G1043" s="953"/>
      <c r="H1043" s="969"/>
      <c r="I1043" s="998" t="s">
        <v>3893</v>
      </c>
      <c r="J1043" s="1225" t="s">
        <v>343</v>
      </c>
      <c r="K1043" s="1215" t="s">
        <v>344</v>
      </c>
      <c r="L1043" s="1200">
        <v>60.0</v>
      </c>
      <c r="M1043" s="1201">
        <v>45.0</v>
      </c>
      <c r="N1043" s="1201">
        <v>110.0</v>
      </c>
      <c r="O1043" s="1201">
        <v>80.0</v>
      </c>
      <c r="P1043" s="1201">
        <v>120.0</v>
      </c>
      <c r="Q1043" s="1201">
        <v>90.0</v>
      </c>
      <c r="R1043" s="960">
        <v>216.0</v>
      </c>
      <c r="S1043" s="960">
        <v>279.0</v>
      </c>
      <c r="T1043" s="960">
        <v>306.0</v>
      </c>
      <c r="U1043" s="960">
        <f t="array" ref="U1043">HLOOKUP($J1043,'Type Chart'!$C$2:$T$20,2,false)*HLOOKUP($K1043,'Type Chart'!$C$2:$U$20,2,false)</f>
        <v>1</v>
      </c>
      <c r="V1043" s="960">
        <f t="array" ref="V1043">HLOOKUP($J1043,'Type Chart'!$C$2:$T$20,3,false)*HLOOKUP($K1043,'Type Chart'!$C$2:$U$20,3,false)</f>
        <v>0.25</v>
      </c>
      <c r="W1043" s="960">
        <f t="array" ref="W1043">HLOOKUP($J1043,'Type Chart'!$C$2:$T$20,4,false)*HLOOKUP($K1043,'Type Chart'!$C$2:$U$20,4,false)</f>
        <v>2</v>
      </c>
      <c r="X1043" s="960">
        <f t="array" ref="X1043">HLOOKUP($J1043,'Type Chart'!$C$2:$T$20,5,false)*HLOOKUP($K1043,'Type Chart'!$C$2:$U$20,5,false)</f>
        <v>1</v>
      </c>
      <c r="Y1043" s="960">
        <f t="array" ref="Y1043">HLOOKUP($J1043,'Type Chart'!$C$2:$T$20,6,false)*HLOOKUP($K1043,'Type Chart'!$C$2:$U$20,6,false)</f>
        <v>0.5</v>
      </c>
      <c r="Z1043" s="960">
        <f t="array" ref="Z1043">HLOOKUP($J1043,'Type Chart'!$C$2:$T$20,7,false)*HLOOKUP($K1043,'Type Chart'!$C$2:$U$20,7,false)</f>
        <v>2</v>
      </c>
      <c r="AA1043" s="960">
        <f t="array" ref="AA1043">HLOOKUP($J1043,'Type Chart'!$C$2:$T$20,8,false)*HLOOKUP($K1043,'Type Chart'!$C$2:$U$20,8,false)</f>
        <v>2</v>
      </c>
      <c r="AB1043" s="960">
        <f t="array" ref="AB1043">HLOOKUP($J1043,'Type Chart'!$C$2:$T$20,9,false)*HLOOKUP($K1043,'Type Chart'!$C$2:$U$20,9,false)</f>
        <v>2</v>
      </c>
      <c r="AC1043" s="960">
        <f t="array" ref="AC1043">HLOOKUP($J1043,'Type Chart'!$C$2:$T$20,10,false)*HLOOKUP($K1043,'Type Chart'!$C$2:$U$20,10,false)</f>
        <v>1</v>
      </c>
      <c r="AD1043" s="960">
        <f t="array" ref="AD1043">HLOOKUP($J1043,'Type Chart'!$C$2:$T$20,11,false)*HLOOKUP($K1043,'Type Chart'!$C$2:$U$20,11,false)</f>
        <v>2</v>
      </c>
      <c r="AE1043" s="960">
        <f t="array" ref="AE1043">HLOOKUP($J1043,'Type Chart'!$C$2:$T$20,12,false)*HLOOKUP($K1043,'Type Chart'!$C$2:$U$20,12,false)</f>
        <v>1</v>
      </c>
      <c r="AF1043" s="960">
        <f t="array" ref="AF1043">HLOOKUP($J1043,'Type Chart'!$C$2:$T$20,13,false)*HLOOKUP($K1043,'Type Chart'!$C$2:$U$20,13,false)</f>
        <v>0.5</v>
      </c>
      <c r="AG1043" s="960">
        <f t="array" ref="AG1043">HLOOKUP($J1043,'Type Chart'!$C$2:$T$20,14,false)*HLOOKUP($K1043,'Type Chart'!$C$2:$U$20,14,false)</f>
        <v>1</v>
      </c>
      <c r="AH1043" s="960">
        <f t="array" ref="AH1043">HLOOKUP($J1043,'Type Chart'!$C$2:$T$20,15,false)*HLOOKUP($K1043,'Type Chart'!$C$2:$U$20,15,false)</f>
        <v>0.5</v>
      </c>
      <c r="AI1043" s="960">
        <f t="array" ref="AI1043">HLOOKUP($J1043,'Type Chart'!$C$2:$T$20,16,false)*HLOOKUP($K1043,'Type Chart'!$C$2:$U$20,16,false)</f>
        <v>1</v>
      </c>
      <c r="AJ1043" s="960">
        <f t="array" ref="AJ1043">HLOOKUP($J1043,'Type Chart'!$C$2:$T$20,17,false)*HLOOKUP($K1043,'Type Chart'!$C$2:$U$20,17,false)</f>
        <v>1</v>
      </c>
      <c r="AK1043" s="960">
        <f t="array" ref="AK1043">HLOOKUP($J1043,'Type Chart'!$C$2:$T$20,18,false)*HLOOKUP($K1043,'Type Chart'!$C$2:$U$20,18,false)</f>
        <v>2</v>
      </c>
      <c r="AL1043" s="960">
        <f t="array" ref="AL1043">HLOOKUP($J1043,'Type Chart'!$C$2:$T$20,19,false)*HLOOKUP($K1043,'Type Chart'!$C$2:$U$20,19,false)</f>
        <v>1</v>
      </c>
      <c r="AM1043" s="1145" t="s">
        <v>1013</v>
      </c>
      <c r="AN1043" s="1145" t="s">
        <v>1188</v>
      </c>
      <c r="AO1043" s="1146" t="s">
        <v>1828</v>
      </c>
      <c r="AP1043" s="936"/>
      <c r="AQ1043" s="967"/>
      <c r="AR1043" s="968"/>
      <c r="AS1043" s="936"/>
    </row>
    <row r="1044" ht="15.75" customHeight="1">
      <c r="A1044" s="936"/>
      <c r="B1044" s="948" t="s">
        <v>3894</v>
      </c>
      <c r="C1044" s="950" t="s">
        <v>3895</v>
      </c>
      <c r="D1044" s="950" t="s">
        <v>3895</v>
      </c>
      <c r="E1044" s="952" t="s">
        <v>3895</v>
      </c>
      <c r="F1044" s="940"/>
      <c r="G1044" s="953"/>
      <c r="H1044" s="969"/>
      <c r="I1044" s="956" t="s">
        <v>3896</v>
      </c>
      <c r="J1044" s="1195" t="s">
        <v>193</v>
      </c>
      <c r="K1044" s="984" t="s">
        <v>216</v>
      </c>
      <c r="L1044" s="959">
        <v>40.0</v>
      </c>
      <c r="M1044" s="960">
        <v>28.0</v>
      </c>
      <c r="N1044" s="960">
        <v>28.0</v>
      </c>
      <c r="O1044" s="960">
        <v>47.0</v>
      </c>
      <c r="P1044" s="960">
        <v>52.0</v>
      </c>
      <c r="Q1044" s="960">
        <v>50.0</v>
      </c>
      <c r="R1044" s="960">
        <v>136.0</v>
      </c>
      <c r="S1044" s="960">
        <v>199.0</v>
      </c>
      <c r="T1044" s="960">
        <v>218.0</v>
      </c>
      <c r="U1044" s="960">
        <f t="array" ref="U1044">HLOOKUP($J1044,'Type Chart'!$C$2:$T$20,2,false)*HLOOKUP($K1044,'Type Chart'!$C$2:$U$20,2,false)</f>
        <v>1</v>
      </c>
      <c r="V1044" s="960">
        <f t="array" ref="V1044">HLOOKUP($J1044,'Type Chart'!$C$2:$T$20,3,false)*HLOOKUP($K1044,'Type Chart'!$C$2:$U$20,3,false)</f>
        <v>2</v>
      </c>
      <c r="W1044" s="960">
        <f t="array" ref="W1044">HLOOKUP($J1044,'Type Chart'!$C$2:$T$20,4,false)*HLOOKUP($K1044,'Type Chart'!$C$2:$U$20,4,false)</f>
        <v>1</v>
      </c>
      <c r="X1044" s="960">
        <f t="array" ref="X1044">HLOOKUP($J1044,'Type Chart'!$C$2:$T$20,5,false)*HLOOKUP($K1044,'Type Chart'!$C$2:$U$20,5,false)</f>
        <v>1</v>
      </c>
      <c r="Y1044" s="960">
        <f t="array" ref="Y1044">HLOOKUP($J1044,'Type Chart'!$C$2:$T$20,6,false)*HLOOKUP($K1044,'Type Chart'!$C$2:$U$20,6,false)</f>
        <v>1</v>
      </c>
      <c r="Z1044" s="960">
        <f t="array" ref="Z1044">HLOOKUP($J1044,'Type Chart'!$C$2:$T$20,7,false)*HLOOKUP($K1044,'Type Chart'!$C$2:$U$20,7,false)</f>
        <v>1</v>
      </c>
      <c r="AA1044" s="960">
        <f t="array" ref="AA1044">HLOOKUP($J1044,'Type Chart'!$C$2:$T$20,8,false)*HLOOKUP($K1044,'Type Chart'!$C$2:$U$20,8,false)</f>
        <v>2</v>
      </c>
      <c r="AB1044" s="960">
        <f t="array" ref="AB1044">HLOOKUP($J1044,'Type Chart'!$C$2:$T$20,9,false)*HLOOKUP($K1044,'Type Chart'!$C$2:$U$20,9,false)</f>
        <v>0.5</v>
      </c>
      <c r="AC1044" s="960">
        <f t="array" ref="AC1044">HLOOKUP($J1044,'Type Chart'!$C$2:$T$20,10,false)*HLOOKUP($K1044,'Type Chart'!$C$2:$U$20,10,false)</f>
        <v>1</v>
      </c>
      <c r="AD1044" s="960">
        <f t="array" ref="AD1044">HLOOKUP($J1044,'Type Chart'!$C$2:$T$20,11,false)*HLOOKUP($K1044,'Type Chart'!$C$2:$U$20,11,false)</f>
        <v>1</v>
      </c>
      <c r="AE1044" s="960">
        <f t="array" ref="AE1044">HLOOKUP($J1044,'Type Chart'!$C$2:$T$20,12,false)*HLOOKUP($K1044,'Type Chart'!$C$2:$U$20,12,false)</f>
        <v>1</v>
      </c>
      <c r="AF1044" s="960">
        <f t="array" ref="AF1044">HLOOKUP($J1044,'Type Chart'!$C$2:$T$20,13,false)*HLOOKUP($K1044,'Type Chart'!$C$2:$U$20,13,false)</f>
        <v>1</v>
      </c>
      <c r="AG1044" s="960">
        <f t="array" ref="AG1044">HLOOKUP($J1044,'Type Chart'!$C$2:$T$20,14,false)*HLOOKUP($K1044,'Type Chart'!$C$2:$U$20,14,false)</f>
        <v>1</v>
      </c>
      <c r="AH1044" s="960">
        <f t="array" ref="AH1044">HLOOKUP($J1044,'Type Chart'!$C$2:$T$20,15,false)*HLOOKUP($K1044,'Type Chart'!$C$2:$U$20,15,false)</f>
        <v>0</v>
      </c>
      <c r="AI1044" s="960">
        <f t="array" ref="AI1044">HLOOKUP($J1044,'Type Chart'!$C$2:$T$20,16,false)*HLOOKUP($K1044,'Type Chart'!$C$2:$U$20,16,false)</f>
        <v>1</v>
      </c>
      <c r="AJ1044" s="960">
        <f t="array" ref="AJ1044">HLOOKUP($J1044,'Type Chart'!$C$2:$T$20,17,false)*HLOOKUP($K1044,'Type Chart'!$C$2:$U$20,17,false)</f>
        <v>1</v>
      </c>
      <c r="AK1044" s="960">
        <f t="array" ref="AK1044">HLOOKUP($J1044,'Type Chart'!$C$2:$T$20,18,false)*HLOOKUP($K1044,'Type Chart'!$C$2:$U$20,18,false)</f>
        <v>0.5</v>
      </c>
      <c r="AL1044" s="960">
        <f t="array" ref="AL1044">HLOOKUP($J1044,'Type Chart'!$C$2:$T$20,19,false)*HLOOKUP($K1044,'Type Chart'!$C$2:$U$20,19,false)</f>
        <v>2</v>
      </c>
      <c r="AM1044" s="964" t="s">
        <v>1498</v>
      </c>
      <c r="AN1044" s="964" t="s">
        <v>988</v>
      </c>
      <c r="AO1044" s="966" t="s">
        <v>3548</v>
      </c>
      <c r="AP1044" s="936"/>
      <c r="AQ1044" s="967"/>
      <c r="AR1044" s="968"/>
      <c r="AS1044" s="936"/>
    </row>
    <row r="1045" ht="15.75" customHeight="1">
      <c r="A1045" s="936"/>
      <c r="B1045" s="948" t="s">
        <v>3897</v>
      </c>
      <c r="C1045" s="950" t="s">
        <v>3898</v>
      </c>
      <c r="D1045" s="950" t="s">
        <v>3898</v>
      </c>
      <c r="E1045" s="952" t="s">
        <v>3898</v>
      </c>
      <c r="F1045" s="940"/>
      <c r="G1045" s="953"/>
      <c r="H1045" s="969"/>
      <c r="I1045" s="956" t="s">
        <v>3899</v>
      </c>
      <c r="J1045" s="1195" t="s">
        <v>193</v>
      </c>
      <c r="K1045" s="984" t="s">
        <v>216</v>
      </c>
      <c r="L1045" s="959">
        <v>70.0</v>
      </c>
      <c r="M1045" s="960">
        <v>58.0</v>
      </c>
      <c r="N1045" s="960">
        <v>58.0</v>
      </c>
      <c r="O1045" s="960">
        <v>87.0</v>
      </c>
      <c r="P1045" s="960">
        <v>92.0</v>
      </c>
      <c r="Q1045" s="960">
        <v>90.0</v>
      </c>
      <c r="R1045" s="960">
        <v>216.0</v>
      </c>
      <c r="S1045" s="960">
        <v>279.0</v>
      </c>
      <c r="T1045" s="960">
        <v>306.0</v>
      </c>
      <c r="U1045" s="960">
        <f t="array" ref="U1045">HLOOKUP($J1045,'Type Chart'!$C$2:$T$20,2,false)*HLOOKUP($K1045,'Type Chart'!$C$2:$U$20,2,false)</f>
        <v>1</v>
      </c>
      <c r="V1045" s="960">
        <f t="array" ref="V1045">HLOOKUP($J1045,'Type Chart'!$C$2:$T$20,3,false)*HLOOKUP($K1045,'Type Chart'!$C$2:$U$20,3,false)</f>
        <v>2</v>
      </c>
      <c r="W1045" s="960">
        <f t="array" ref="W1045">HLOOKUP($J1045,'Type Chart'!$C$2:$T$20,4,false)*HLOOKUP($K1045,'Type Chart'!$C$2:$U$20,4,false)</f>
        <v>1</v>
      </c>
      <c r="X1045" s="960">
        <f t="array" ref="X1045">HLOOKUP($J1045,'Type Chart'!$C$2:$T$20,5,false)*HLOOKUP($K1045,'Type Chart'!$C$2:$U$20,5,false)</f>
        <v>1</v>
      </c>
      <c r="Y1045" s="960">
        <f t="array" ref="Y1045">HLOOKUP($J1045,'Type Chart'!$C$2:$T$20,6,false)*HLOOKUP($K1045,'Type Chart'!$C$2:$U$20,6,false)</f>
        <v>1</v>
      </c>
      <c r="Z1045" s="960">
        <f t="array" ref="Z1045">HLOOKUP($J1045,'Type Chart'!$C$2:$T$20,7,false)*HLOOKUP($K1045,'Type Chart'!$C$2:$U$20,7,false)</f>
        <v>1</v>
      </c>
      <c r="AA1045" s="960">
        <f t="array" ref="AA1045">HLOOKUP($J1045,'Type Chart'!$C$2:$T$20,8,false)*HLOOKUP($K1045,'Type Chart'!$C$2:$U$20,8,false)</f>
        <v>2</v>
      </c>
      <c r="AB1045" s="960">
        <f t="array" ref="AB1045">HLOOKUP($J1045,'Type Chart'!$C$2:$T$20,9,false)*HLOOKUP($K1045,'Type Chart'!$C$2:$U$20,9,false)</f>
        <v>0.5</v>
      </c>
      <c r="AC1045" s="960">
        <f t="array" ref="AC1045">HLOOKUP($J1045,'Type Chart'!$C$2:$T$20,10,false)*HLOOKUP($K1045,'Type Chart'!$C$2:$U$20,10,false)</f>
        <v>1</v>
      </c>
      <c r="AD1045" s="960">
        <f t="array" ref="AD1045">HLOOKUP($J1045,'Type Chart'!$C$2:$T$20,11,false)*HLOOKUP($K1045,'Type Chart'!$C$2:$U$20,11,false)</f>
        <v>1</v>
      </c>
      <c r="AE1045" s="960">
        <f t="array" ref="AE1045">HLOOKUP($J1045,'Type Chart'!$C$2:$T$20,12,false)*HLOOKUP($K1045,'Type Chart'!$C$2:$U$20,12,false)</f>
        <v>1</v>
      </c>
      <c r="AF1045" s="960">
        <f t="array" ref="AF1045">HLOOKUP($J1045,'Type Chart'!$C$2:$T$20,13,false)*HLOOKUP($K1045,'Type Chart'!$C$2:$U$20,13,false)</f>
        <v>1</v>
      </c>
      <c r="AG1045" s="960">
        <f t="array" ref="AG1045">HLOOKUP($J1045,'Type Chart'!$C$2:$T$20,14,false)*HLOOKUP($K1045,'Type Chart'!$C$2:$U$20,14,false)</f>
        <v>1</v>
      </c>
      <c r="AH1045" s="960">
        <f t="array" ref="AH1045">HLOOKUP($J1045,'Type Chart'!$C$2:$T$20,15,false)*HLOOKUP($K1045,'Type Chart'!$C$2:$U$20,15,false)</f>
        <v>0</v>
      </c>
      <c r="AI1045" s="960">
        <f t="array" ref="AI1045">HLOOKUP($J1045,'Type Chart'!$C$2:$T$20,16,false)*HLOOKUP($K1045,'Type Chart'!$C$2:$U$20,16,false)</f>
        <v>1</v>
      </c>
      <c r="AJ1045" s="960">
        <f t="array" ref="AJ1045">HLOOKUP($J1045,'Type Chart'!$C$2:$T$20,17,false)*HLOOKUP($K1045,'Type Chart'!$C$2:$U$20,17,false)</f>
        <v>1</v>
      </c>
      <c r="AK1045" s="960">
        <f t="array" ref="AK1045">HLOOKUP($J1045,'Type Chart'!$C$2:$T$20,18,false)*HLOOKUP($K1045,'Type Chart'!$C$2:$U$20,18,false)</f>
        <v>0.5</v>
      </c>
      <c r="AL1045" s="960">
        <f t="array" ref="AL1045">HLOOKUP($J1045,'Type Chart'!$C$2:$T$20,19,false)*HLOOKUP($K1045,'Type Chart'!$C$2:$U$20,19,false)</f>
        <v>2</v>
      </c>
      <c r="AM1045" s="964" t="s">
        <v>1498</v>
      </c>
      <c r="AN1045" s="964" t="s">
        <v>988</v>
      </c>
      <c r="AO1045" s="966" t="s">
        <v>3548</v>
      </c>
      <c r="AP1045" s="936"/>
      <c r="AQ1045" s="967"/>
      <c r="AR1045" s="968"/>
      <c r="AS1045" s="936"/>
    </row>
    <row r="1046" ht="15.75" customHeight="1">
      <c r="A1046" s="936"/>
      <c r="B1046" s="948" t="s">
        <v>3900</v>
      </c>
      <c r="C1046" s="950" t="s">
        <v>3901</v>
      </c>
      <c r="D1046" s="950" t="s">
        <v>3901</v>
      </c>
      <c r="E1046" s="952" t="s">
        <v>3901</v>
      </c>
      <c r="F1046" s="940"/>
      <c r="G1046" s="953"/>
      <c r="H1046" s="969"/>
      <c r="I1046" s="956" t="s">
        <v>3902</v>
      </c>
      <c r="J1046" s="957" t="s">
        <v>209</v>
      </c>
      <c r="K1046" s="984" t="s">
        <v>216</v>
      </c>
      <c r="L1046" s="959">
        <v>40.0</v>
      </c>
      <c r="M1046" s="960">
        <v>40.0</v>
      </c>
      <c r="N1046" s="960">
        <v>60.0</v>
      </c>
      <c r="O1046" s="960">
        <v>40.0</v>
      </c>
      <c r="P1046" s="960">
        <v>60.0</v>
      </c>
      <c r="Q1046" s="960">
        <v>10.0</v>
      </c>
      <c r="R1046" s="960">
        <v>56.0</v>
      </c>
      <c r="S1046" s="960">
        <v>119.0</v>
      </c>
      <c r="T1046" s="960">
        <v>130.0</v>
      </c>
      <c r="U1046" s="960">
        <f t="array" ref="U1046">HLOOKUP($J1046,'Type Chart'!$C$2:$T$20,2,false)*HLOOKUP($K1046,'Type Chart'!$C$2:$U$20,2,false)</f>
        <v>1</v>
      </c>
      <c r="V1046" s="960">
        <f t="array" ref="V1046">HLOOKUP($J1046,'Type Chart'!$C$2:$T$20,3,false)*HLOOKUP($K1046,'Type Chart'!$C$2:$U$20,3,false)</f>
        <v>1</v>
      </c>
      <c r="W1046" s="960">
        <f t="array" ref="W1046">HLOOKUP($J1046,'Type Chart'!$C$2:$T$20,4,false)*HLOOKUP($K1046,'Type Chart'!$C$2:$U$20,4,false)</f>
        <v>2</v>
      </c>
      <c r="X1046" s="960">
        <f t="array" ref="X1046">HLOOKUP($J1046,'Type Chart'!$C$2:$T$20,5,false)*HLOOKUP($K1046,'Type Chart'!$C$2:$U$20,5,false)</f>
        <v>2</v>
      </c>
      <c r="Y1046" s="960">
        <f t="array" ref="Y1046">HLOOKUP($J1046,'Type Chart'!$C$2:$T$20,6,false)*HLOOKUP($K1046,'Type Chart'!$C$2:$U$20,6,false)</f>
        <v>0.5</v>
      </c>
      <c r="Z1046" s="960">
        <f t="array" ref="Z1046">HLOOKUP($J1046,'Type Chart'!$C$2:$T$20,7,false)*HLOOKUP($K1046,'Type Chart'!$C$2:$U$20,7,false)</f>
        <v>1</v>
      </c>
      <c r="AA1046" s="960">
        <f t="array" ref="AA1046">HLOOKUP($J1046,'Type Chart'!$C$2:$T$20,8,false)*HLOOKUP($K1046,'Type Chart'!$C$2:$U$20,8,false)</f>
        <v>2</v>
      </c>
      <c r="AB1046" s="960">
        <f t="array" ref="AB1046">HLOOKUP($J1046,'Type Chart'!$C$2:$T$20,9,false)*HLOOKUP($K1046,'Type Chart'!$C$2:$U$20,9,false)</f>
        <v>1</v>
      </c>
      <c r="AC1046" s="960">
        <f t="array" ref="AC1046">HLOOKUP($J1046,'Type Chart'!$C$2:$T$20,10,false)*HLOOKUP($K1046,'Type Chart'!$C$2:$U$20,10,false)</f>
        <v>1</v>
      </c>
      <c r="AD1046" s="960">
        <f t="array" ref="AD1046">HLOOKUP($J1046,'Type Chart'!$C$2:$T$20,11,false)*HLOOKUP($K1046,'Type Chart'!$C$2:$U$20,11,false)</f>
        <v>2</v>
      </c>
      <c r="AE1046" s="960">
        <f t="array" ref="AE1046">HLOOKUP($J1046,'Type Chart'!$C$2:$T$20,12,false)*HLOOKUP($K1046,'Type Chart'!$C$2:$U$20,12,false)</f>
        <v>0.5</v>
      </c>
      <c r="AF1046" s="960">
        <f t="array" ref="AF1046">HLOOKUP($J1046,'Type Chart'!$C$2:$T$20,13,false)*HLOOKUP($K1046,'Type Chart'!$C$2:$U$20,13,false)</f>
        <v>0.5</v>
      </c>
      <c r="AG1046" s="960">
        <f t="array" ref="AG1046">HLOOKUP($J1046,'Type Chart'!$C$2:$T$20,14,false)*HLOOKUP($K1046,'Type Chart'!$C$2:$U$20,14,false)</f>
        <v>0.5</v>
      </c>
      <c r="AH1046" s="960">
        <f t="array" ref="AH1046">HLOOKUP($J1046,'Type Chart'!$C$2:$T$20,15,false)*HLOOKUP($K1046,'Type Chart'!$C$2:$U$20,15,false)</f>
        <v>1</v>
      </c>
      <c r="AI1046" s="960">
        <f t="array" ref="AI1046">HLOOKUP($J1046,'Type Chart'!$C$2:$T$20,16,false)*HLOOKUP($K1046,'Type Chart'!$C$2:$U$20,16,false)</f>
        <v>2</v>
      </c>
      <c r="AJ1046" s="960">
        <f t="array" ref="AJ1046">HLOOKUP($J1046,'Type Chart'!$C$2:$T$20,17,false)*HLOOKUP($K1046,'Type Chart'!$C$2:$U$20,17,false)</f>
        <v>1</v>
      </c>
      <c r="AK1046" s="960">
        <f t="array" ref="AK1046">HLOOKUP($J1046,'Type Chart'!$C$2:$T$20,18,false)*HLOOKUP($K1046,'Type Chart'!$C$2:$U$20,18,false)</f>
        <v>1</v>
      </c>
      <c r="AL1046" s="960">
        <f t="array" ref="AL1046">HLOOKUP($J1046,'Type Chart'!$C$2:$T$20,19,false)*HLOOKUP($K1046,'Type Chart'!$C$2:$U$20,19,false)</f>
        <v>1</v>
      </c>
      <c r="AM1046" s="964" t="s">
        <v>3903</v>
      </c>
      <c r="AN1046" s="964" t="s">
        <v>1371</v>
      </c>
      <c r="AO1046" s="966" t="s">
        <v>1206</v>
      </c>
      <c r="AP1046" s="936"/>
      <c r="AQ1046" s="967"/>
      <c r="AR1046" s="968"/>
      <c r="AS1046" s="936"/>
    </row>
    <row r="1047" ht="15.75" customHeight="1">
      <c r="A1047" s="936"/>
      <c r="B1047" s="948" t="s">
        <v>3904</v>
      </c>
      <c r="C1047" s="950" t="s">
        <v>3905</v>
      </c>
      <c r="D1047" s="950" t="s">
        <v>3905</v>
      </c>
      <c r="E1047" s="952" t="s">
        <v>3905</v>
      </c>
      <c r="F1047" s="940"/>
      <c r="G1047" s="953"/>
      <c r="H1047" s="969"/>
      <c r="I1047" s="956" t="s">
        <v>3906</v>
      </c>
      <c r="J1047" s="957" t="s">
        <v>209</v>
      </c>
      <c r="K1047" s="984" t="s">
        <v>216</v>
      </c>
      <c r="L1047" s="959">
        <v>60.0</v>
      </c>
      <c r="M1047" s="960">
        <v>50.0</v>
      </c>
      <c r="N1047" s="960">
        <v>90.0</v>
      </c>
      <c r="O1047" s="960">
        <v>80.0</v>
      </c>
      <c r="P1047" s="960">
        <v>120.0</v>
      </c>
      <c r="Q1047" s="960">
        <v>60.0</v>
      </c>
      <c r="R1047" s="960">
        <v>156.0</v>
      </c>
      <c r="S1047" s="960">
        <v>219.0</v>
      </c>
      <c r="T1047" s="960">
        <v>240.0</v>
      </c>
      <c r="U1047" s="960">
        <f t="array" ref="U1047">HLOOKUP($J1047,'Type Chart'!$C$2:$T$20,2,false)*HLOOKUP($K1047,'Type Chart'!$C$2:$U$20,2,false)</f>
        <v>1</v>
      </c>
      <c r="V1047" s="960">
        <f t="array" ref="V1047">HLOOKUP($J1047,'Type Chart'!$C$2:$T$20,3,false)*HLOOKUP($K1047,'Type Chart'!$C$2:$U$20,3,false)</f>
        <v>1</v>
      </c>
      <c r="W1047" s="960">
        <f t="array" ref="W1047">HLOOKUP($J1047,'Type Chart'!$C$2:$T$20,4,false)*HLOOKUP($K1047,'Type Chart'!$C$2:$U$20,4,false)</f>
        <v>2</v>
      </c>
      <c r="X1047" s="960">
        <f t="array" ref="X1047">HLOOKUP($J1047,'Type Chart'!$C$2:$T$20,5,false)*HLOOKUP($K1047,'Type Chart'!$C$2:$U$20,5,false)</f>
        <v>2</v>
      </c>
      <c r="Y1047" s="960">
        <f t="array" ref="Y1047">HLOOKUP($J1047,'Type Chart'!$C$2:$T$20,6,false)*HLOOKUP($K1047,'Type Chart'!$C$2:$U$20,6,false)</f>
        <v>0.5</v>
      </c>
      <c r="Z1047" s="960">
        <f t="array" ref="Z1047">HLOOKUP($J1047,'Type Chart'!$C$2:$T$20,7,false)*HLOOKUP($K1047,'Type Chart'!$C$2:$U$20,7,false)</f>
        <v>1</v>
      </c>
      <c r="AA1047" s="960">
        <f t="array" ref="AA1047">HLOOKUP($J1047,'Type Chart'!$C$2:$T$20,8,false)*HLOOKUP($K1047,'Type Chart'!$C$2:$U$20,8,false)</f>
        <v>2</v>
      </c>
      <c r="AB1047" s="960">
        <f t="array" ref="AB1047">HLOOKUP($J1047,'Type Chart'!$C$2:$T$20,9,false)*HLOOKUP($K1047,'Type Chart'!$C$2:$U$20,9,false)</f>
        <v>1</v>
      </c>
      <c r="AC1047" s="960">
        <f t="array" ref="AC1047">HLOOKUP($J1047,'Type Chart'!$C$2:$T$20,10,false)*HLOOKUP($K1047,'Type Chart'!$C$2:$U$20,10,false)</f>
        <v>1</v>
      </c>
      <c r="AD1047" s="960">
        <f t="array" ref="AD1047">HLOOKUP($J1047,'Type Chart'!$C$2:$T$20,11,false)*HLOOKUP($K1047,'Type Chart'!$C$2:$U$20,11,false)</f>
        <v>2</v>
      </c>
      <c r="AE1047" s="960">
        <f t="array" ref="AE1047">HLOOKUP($J1047,'Type Chart'!$C$2:$T$20,12,false)*HLOOKUP($K1047,'Type Chart'!$C$2:$U$20,12,false)</f>
        <v>0.5</v>
      </c>
      <c r="AF1047" s="960">
        <f t="array" ref="AF1047">HLOOKUP($J1047,'Type Chart'!$C$2:$T$20,13,false)*HLOOKUP($K1047,'Type Chart'!$C$2:$U$20,13,false)</f>
        <v>0.5</v>
      </c>
      <c r="AG1047" s="960">
        <f t="array" ref="AG1047">HLOOKUP($J1047,'Type Chart'!$C$2:$T$20,14,false)*HLOOKUP($K1047,'Type Chart'!$C$2:$U$20,14,false)</f>
        <v>0.5</v>
      </c>
      <c r="AH1047" s="960">
        <f t="array" ref="AH1047">HLOOKUP($J1047,'Type Chart'!$C$2:$T$20,15,false)*HLOOKUP($K1047,'Type Chart'!$C$2:$U$20,15,false)</f>
        <v>1</v>
      </c>
      <c r="AI1047" s="960">
        <f t="array" ref="AI1047">HLOOKUP($J1047,'Type Chart'!$C$2:$T$20,16,false)*HLOOKUP($K1047,'Type Chart'!$C$2:$U$20,16,false)</f>
        <v>2</v>
      </c>
      <c r="AJ1047" s="960">
        <f t="array" ref="AJ1047">HLOOKUP($J1047,'Type Chart'!$C$2:$T$20,17,false)*HLOOKUP($K1047,'Type Chart'!$C$2:$U$20,17,false)</f>
        <v>1</v>
      </c>
      <c r="AK1047" s="960">
        <f t="array" ref="AK1047">HLOOKUP($J1047,'Type Chart'!$C$2:$T$20,18,false)*HLOOKUP($K1047,'Type Chart'!$C$2:$U$20,18,false)</f>
        <v>1</v>
      </c>
      <c r="AL1047" s="960">
        <f t="array" ref="AL1047">HLOOKUP($J1047,'Type Chart'!$C$2:$T$20,19,false)*HLOOKUP($K1047,'Type Chart'!$C$2:$U$20,19,false)</f>
        <v>1</v>
      </c>
      <c r="AM1047" s="964" t="s">
        <v>3903</v>
      </c>
      <c r="AN1047" s="964" t="s">
        <v>1371</v>
      </c>
      <c r="AO1047" s="966" t="s">
        <v>1206</v>
      </c>
      <c r="AP1047" s="936"/>
      <c r="AQ1047" s="967"/>
      <c r="AR1047" s="968"/>
      <c r="AS1047" s="936"/>
    </row>
    <row r="1048" ht="15.75" customHeight="1">
      <c r="A1048" s="1099"/>
      <c r="B1048" s="948" t="s">
        <v>3907</v>
      </c>
      <c r="C1048" s="1197" t="s">
        <v>3908</v>
      </c>
      <c r="D1048" s="1197" t="s">
        <v>3908</v>
      </c>
      <c r="E1048" s="1147" t="s">
        <v>3908</v>
      </c>
      <c r="F1048" s="940"/>
      <c r="G1048" s="953"/>
      <c r="H1048" s="969"/>
      <c r="I1048" s="998" t="s">
        <v>3909</v>
      </c>
      <c r="J1048" s="1216" t="s">
        <v>136</v>
      </c>
      <c r="K1048" s="1199" t="s">
        <v>216</v>
      </c>
      <c r="L1048" s="1200">
        <v>42.0</v>
      </c>
      <c r="M1048" s="1201">
        <v>40.0</v>
      </c>
      <c r="N1048" s="1201">
        <v>55.0</v>
      </c>
      <c r="O1048" s="1201">
        <v>40.0</v>
      </c>
      <c r="P1048" s="1201">
        <v>45.0</v>
      </c>
      <c r="Q1048" s="1201">
        <v>48.0</v>
      </c>
      <c r="R1048" s="960">
        <v>132.0</v>
      </c>
      <c r="S1048" s="960">
        <v>195.0</v>
      </c>
      <c r="T1048" s="960">
        <v>214.0</v>
      </c>
      <c r="U1048" s="960">
        <f t="array" ref="U1048">HLOOKUP($J1048,'Type Chart'!$C$2:$T$20,2,false)*HLOOKUP($K1048,'Type Chart'!$C$2:$U$20,2,false)</f>
        <v>1</v>
      </c>
      <c r="V1048" s="960">
        <f t="array" ref="V1048">HLOOKUP($J1048,'Type Chart'!$C$2:$T$20,3,false)*HLOOKUP($K1048,'Type Chart'!$C$2:$U$20,3,false)</f>
        <v>2</v>
      </c>
      <c r="W1048" s="960">
        <f t="array" ref="W1048">HLOOKUP($J1048,'Type Chart'!$C$2:$T$20,4,false)*HLOOKUP($K1048,'Type Chart'!$C$2:$U$20,4,false)</f>
        <v>1</v>
      </c>
      <c r="X1048" s="960">
        <f t="array" ref="X1048">HLOOKUP($J1048,'Type Chart'!$C$2:$T$20,5,false)*HLOOKUP($K1048,'Type Chart'!$C$2:$U$20,5,false)</f>
        <v>1</v>
      </c>
      <c r="Y1048" s="960">
        <f t="array" ref="Y1048">HLOOKUP($J1048,'Type Chart'!$C$2:$T$20,6,false)*HLOOKUP($K1048,'Type Chart'!$C$2:$U$20,6,false)</f>
        <v>1</v>
      </c>
      <c r="Z1048" s="960">
        <f t="array" ref="Z1048">HLOOKUP($J1048,'Type Chart'!$C$2:$T$20,7,false)*HLOOKUP($K1048,'Type Chart'!$C$2:$U$20,7,false)</f>
        <v>1</v>
      </c>
      <c r="AA1048" s="960">
        <f t="array" ref="AA1048">HLOOKUP($J1048,'Type Chart'!$C$2:$T$20,8,false)*HLOOKUP($K1048,'Type Chart'!$C$2:$U$20,8,false)</f>
        <v>1</v>
      </c>
      <c r="AB1048" s="960">
        <f t="array" ref="AB1048">HLOOKUP($J1048,'Type Chart'!$C$2:$T$20,9,false)*HLOOKUP($K1048,'Type Chart'!$C$2:$U$20,9,false)</f>
        <v>0</v>
      </c>
      <c r="AC1048" s="960">
        <f t="array" ref="AC1048">HLOOKUP($J1048,'Type Chart'!$C$2:$T$20,10,false)*HLOOKUP($K1048,'Type Chart'!$C$2:$U$20,10,false)</f>
        <v>1</v>
      </c>
      <c r="AD1048" s="960">
        <f t="array" ref="AD1048">HLOOKUP($J1048,'Type Chart'!$C$2:$T$20,11,false)*HLOOKUP($K1048,'Type Chart'!$C$2:$U$20,11,false)</f>
        <v>1</v>
      </c>
      <c r="AE1048" s="960">
        <f t="array" ref="AE1048">HLOOKUP($J1048,'Type Chart'!$C$2:$T$20,12,false)*HLOOKUP($K1048,'Type Chart'!$C$2:$U$20,12,false)</f>
        <v>1</v>
      </c>
      <c r="AF1048" s="960">
        <f t="array" ref="AF1048">HLOOKUP($J1048,'Type Chart'!$C$2:$T$20,13,false)*HLOOKUP($K1048,'Type Chart'!$C$2:$U$20,13,false)</f>
        <v>1</v>
      </c>
      <c r="AG1048" s="960">
        <f t="array" ref="AG1048">HLOOKUP($J1048,'Type Chart'!$C$2:$T$20,14,false)*HLOOKUP($K1048,'Type Chart'!$C$2:$U$20,14,false)</f>
        <v>1</v>
      </c>
      <c r="AH1048" s="960">
        <f t="array" ref="AH1048">HLOOKUP($J1048,'Type Chart'!$C$2:$T$20,15,false)*HLOOKUP($K1048,'Type Chart'!$C$2:$U$20,15,false)</f>
        <v>1</v>
      </c>
      <c r="AI1048" s="960">
        <f t="array" ref="AI1048">HLOOKUP($J1048,'Type Chart'!$C$2:$T$20,16,false)*HLOOKUP($K1048,'Type Chart'!$C$2:$U$20,16,false)</f>
        <v>1</v>
      </c>
      <c r="AJ1048" s="960">
        <f t="array" ref="AJ1048">HLOOKUP($J1048,'Type Chart'!$C$2:$T$20,17,false)*HLOOKUP($K1048,'Type Chart'!$C$2:$U$20,17,false)</f>
        <v>1</v>
      </c>
      <c r="AK1048" s="960">
        <f t="array" ref="AK1048">HLOOKUP($J1048,'Type Chart'!$C$2:$T$20,18,false)*HLOOKUP($K1048,'Type Chart'!$C$2:$U$20,18,false)</f>
        <v>1</v>
      </c>
      <c r="AL1048" s="960">
        <f t="array" ref="AL1048">HLOOKUP($J1048,'Type Chart'!$C$2:$T$20,19,false)*HLOOKUP($K1048,'Type Chart'!$C$2:$U$20,19,false)</f>
        <v>1</v>
      </c>
      <c r="AM1048" s="1145" t="s">
        <v>3633</v>
      </c>
      <c r="AN1048" s="964" t="s">
        <v>988</v>
      </c>
      <c r="AO1048" s="1146" t="s">
        <v>3259</v>
      </c>
      <c r="AP1048" s="936"/>
      <c r="AQ1048" s="967"/>
      <c r="AR1048" s="968"/>
      <c r="AS1048" s="936"/>
    </row>
    <row r="1049" ht="15.75" customHeight="1">
      <c r="A1049" s="936"/>
      <c r="B1049" s="948" t="s">
        <v>3910</v>
      </c>
      <c r="C1049" s="950" t="s">
        <v>3911</v>
      </c>
      <c r="D1049" s="950" t="s">
        <v>3911</v>
      </c>
      <c r="E1049" s="952" t="s">
        <v>3911</v>
      </c>
      <c r="F1049" s="940"/>
      <c r="G1049" s="953"/>
      <c r="H1049" s="969"/>
      <c r="I1049" s="956" t="s">
        <v>3912</v>
      </c>
      <c r="J1049" s="1194" t="s">
        <v>136</v>
      </c>
      <c r="K1049" s="984" t="s">
        <v>216</v>
      </c>
      <c r="L1049" s="959">
        <v>72.0</v>
      </c>
      <c r="M1049" s="960">
        <v>80.0</v>
      </c>
      <c r="N1049" s="960">
        <v>100.0</v>
      </c>
      <c r="O1049" s="960">
        <v>60.0</v>
      </c>
      <c r="P1049" s="960">
        <v>90.0</v>
      </c>
      <c r="Q1049" s="960">
        <v>88.0</v>
      </c>
      <c r="R1049" s="960">
        <v>212.0</v>
      </c>
      <c r="S1049" s="960">
        <v>275.0</v>
      </c>
      <c r="T1049" s="960">
        <v>302.0</v>
      </c>
      <c r="U1049" s="960">
        <f t="array" ref="U1049">HLOOKUP($J1049,'Type Chart'!$C$2:$T$20,2,false)*HLOOKUP($K1049,'Type Chart'!$C$2:$U$20,2,false)</f>
        <v>1</v>
      </c>
      <c r="V1049" s="960">
        <f t="array" ref="V1049">HLOOKUP($J1049,'Type Chart'!$C$2:$T$20,3,false)*HLOOKUP($K1049,'Type Chart'!$C$2:$U$20,3,false)</f>
        <v>2</v>
      </c>
      <c r="W1049" s="960">
        <f t="array" ref="W1049">HLOOKUP($J1049,'Type Chart'!$C$2:$T$20,4,false)*HLOOKUP($K1049,'Type Chart'!$C$2:$U$20,4,false)</f>
        <v>1</v>
      </c>
      <c r="X1049" s="960">
        <f t="array" ref="X1049">HLOOKUP($J1049,'Type Chart'!$C$2:$T$20,5,false)*HLOOKUP($K1049,'Type Chart'!$C$2:$U$20,5,false)</f>
        <v>1</v>
      </c>
      <c r="Y1049" s="960">
        <f t="array" ref="Y1049">HLOOKUP($J1049,'Type Chart'!$C$2:$T$20,6,false)*HLOOKUP($K1049,'Type Chart'!$C$2:$U$20,6,false)</f>
        <v>1</v>
      </c>
      <c r="Z1049" s="960">
        <f t="array" ref="Z1049">HLOOKUP($J1049,'Type Chart'!$C$2:$T$20,7,false)*HLOOKUP($K1049,'Type Chart'!$C$2:$U$20,7,false)</f>
        <v>1</v>
      </c>
      <c r="AA1049" s="960">
        <f t="array" ref="AA1049">HLOOKUP($J1049,'Type Chart'!$C$2:$T$20,8,false)*HLOOKUP($K1049,'Type Chart'!$C$2:$U$20,8,false)</f>
        <v>1</v>
      </c>
      <c r="AB1049" s="960">
        <f t="array" ref="AB1049">HLOOKUP($J1049,'Type Chart'!$C$2:$T$20,9,false)*HLOOKUP($K1049,'Type Chart'!$C$2:$U$20,9,false)</f>
        <v>0</v>
      </c>
      <c r="AC1049" s="960">
        <f t="array" ref="AC1049">HLOOKUP($J1049,'Type Chart'!$C$2:$T$20,10,false)*HLOOKUP($K1049,'Type Chart'!$C$2:$U$20,10,false)</f>
        <v>1</v>
      </c>
      <c r="AD1049" s="960">
        <f t="array" ref="AD1049">HLOOKUP($J1049,'Type Chart'!$C$2:$T$20,11,false)*HLOOKUP($K1049,'Type Chart'!$C$2:$U$20,11,false)</f>
        <v>1</v>
      </c>
      <c r="AE1049" s="960">
        <f t="array" ref="AE1049">HLOOKUP($J1049,'Type Chart'!$C$2:$T$20,12,false)*HLOOKUP($K1049,'Type Chart'!$C$2:$U$20,12,false)</f>
        <v>1</v>
      </c>
      <c r="AF1049" s="960">
        <f t="array" ref="AF1049">HLOOKUP($J1049,'Type Chart'!$C$2:$T$20,13,false)*HLOOKUP($K1049,'Type Chart'!$C$2:$U$20,13,false)</f>
        <v>1</v>
      </c>
      <c r="AG1049" s="960">
        <f t="array" ref="AG1049">HLOOKUP($J1049,'Type Chart'!$C$2:$T$20,14,false)*HLOOKUP($K1049,'Type Chart'!$C$2:$U$20,14,false)</f>
        <v>1</v>
      </c>
      <c r="AH1049" s="960">
        <f t="array" ref="AH1049">HLOOKUP($J1049,'Type Chart'!$C$2:$T$20,15,false)*HLOOKUP($K1049,'Type Chart'!$C$2:$U$20,15,false)</f>
        <v>1</v>
      </c>
      <c r="AI1049" s="960">
        <f t="array" ref="AI1049">HLOOKUP($J1049,'Type Chart'!$C$2:$T$20,16,false)*HLOOKUP($K1049,'Type Chart'!$C$2:$U$20,16,false)</f>
        <v>1</v>
      </c>
      <c r="AJ1049" s="960">
        <f t="array" ref="AJ1049">HLOOKUP($J1049,'Type Chart'!$C$2:$T$20,17,false)*HLOOKUP($K1049,'Type Chart'!$C$2:$U$20,17,false)</f>
        <v>1</v>
      </c>
      <c r="AK1049" s="960">
        <f t="array" ref="AK1049">HLOOKUP($J1049,'Type Chart'!$C$2:$T$20,18,false)*HLOOKUP($K1049,'Type Chart'!$C$2:$U$20,18,false)</f>
        <v>1</v>
      </c>
      <c r="AL1049" s="960">
        <f t="array" ref="AL1049">HLOOKUP($J1049,'Type Chart'!$C$2:$T$20,19,false)*HLOOKUP($K1049,'Type Chart'!$C$2:$U$20,19,false)</f>
        <v>1</v>
      </c>
      <c r="AM1049" s="964" t="s">
        <v>3633</v>
      </c>
      <c r="AN1049" s="964" t="s">
        <v>1306</v>
      </c>
      <c r="AO1049" s="966" t="s">
        <v>3259</v>
      </c>
      <c r="AP1049" s="936"/>
      <c r="AQ1049" s="967"/>
      <c r="AR1049" s="968"/>
      <c r="AS1049" s="936"/>
    </row>
    <row r="1050" ht="15.75" customHeight="1">
      <c r="A1050" s="1099"/>
      <c r="B1050" s="948" t="s">
        <v>3913</v>
      </c>
      <c r="C1050" s="1197" t="s">
        <v>3914</v>
      </c>
      <c r="D1050" s="1197" t="s">
        <v>3914</v>
      </c>
      <c r="E1050" s="1147" t="s">
        <v>3914</v>
      </c>
      <c r="F1050" s="940"/>
      <c r="G1050" s="953"/>
      <c r="H1050" s="969"/>
      <c r="I1050" s="998" t="s">
        <v>3915</v>
      </c>
      <c r="J1050" s="1211" t="s">
        <v>81</v>
      </c>
      <c r="K1050" s="1199" t="s">
        <v>216</v>
      </c>
      <c r="L1050" s="1200">
        <v>50.0</v>
      </c>
      <c r="M1050" s="1201">
        <v>64.0</v>
      </c>
      <c r="N1050" s="1201">
        <v>50.0</v>
      </c>
      <c r="O1050" s="1201">
        <v>38.0</v>
      </c>
      <c r="P1050" s="1201">
        <v>38.0</v>
      </c>
      <c r="Q1050" s="1201">
        <v>44.0</v>
      </c>
      <c r="R1050" s="960">
        <v>124.0</v>
      </c>
      <c r="S1050" s="960">
        <v>187.0</v>
      </c>
      <c r="T1050" s="960">
        <v>205.0</v>
      </c>
      <c r="U1050" s="960">
        <f t="array" ref="U1050">HLOOKUP($J1050,'Type Chart'!$C$2:$T$20,2,false)*HLOOKUP($K1050,'Type Chart'!$C$2:$U$20,2,false)</f>
        <v>1</v>
      </c>
      <c r="V1050" s="960">
        <f t="array" ref="V1050">HLOOKUP($J1050,'Type Chart'!$C$2:$T$20,3,false)*HLOOKUP($K1050,'Type Chart'!$C$2:$U$20,3,false)</f>
        <v>1</v>
      </c>
      <c r="W1050" s="960">
        <f t="array" ref="W1050">HLOOKUP($J1050,'Type Chart'!$C$2:$T$20,4,false)*HLOOKUP($K1050,'Type Chart'!$C$2:$U$20,4,false)</f>
        <v>1</v>
      </c>
      <c r="X1050" s="960">
        <f t="array" ref="X1050">HLOOKUP($J1050,'Type Chart'!$C$2:$T$20,5,false)*HLOOKUP($K1050,'Type Chart'!$C$2:$U$20,5,false)</f>
        <v>1</v>
      </c>
      <c r="Y1050" s="960">
        <f t="array" ref="Y1050">HLOOKUP($J1050,'Type Chart'!$C$2:$T$20,6,false)*HLOOKUP($K1050,'Type Chart'!$C$2:$U$20,6,false)</f>
        <v>1</v>
      </c>
      <c r="Z1050" s="960">
        <f t="array" ref="Z1050">HLOOKUP($J1050,'Type Chart'!$C$2:$T$20,7,false)*HLOOKUP($K1050,'Type Chart'!$C$2:$U$20,7,false)</f>
        <v>1</v>
      </c>
      <c r="AA1050" s="960">
        <f t="array" ref="AA1050">HLOOKUP($J1050,'Type Chart'!$C$2:$T$20,8,false)*HLOOKUP($K1050,'Type Chart'!$C$2:$U$20,8,false)</f>
        <v>1</v>
      </c>
      <c r="AB1050" s="960">
        <f t="array" ref="AB1050">HLOOKUP($J1050,'Type Chart'!$C$2:$T$20,9,false)*HLOOKUP($K1050,'Type Chart'!$C$2:$U$20,9,false)</f>
        <v>1</v>
      </c>
      <c r="AC1050" s="960">
        <f t="array" ref="AC1050">HLOOKUP($J1050,'Type Chart'!$C$2:$T$20,10,false)*HLOOKUP($K1050,'Type Chart'!$C$2:$U$20,10,false)</f>
        <v>0.5</v>
      </c>
      <c r="AD1050" s="960">
        <f t="array" ref="AD1050">HLOOKUP($J1050,'Type Chart'!$C$2:$T$20,11,false)*HLOOKUP($K1050,'Type Chart'!$C$2:$U$20,11,false)</f>
        <v>0.5</v>
      </c>
      <c r="AE1050" s="960">
        <f t="array" ref="AE1050">HLOOKUP($J1050,'Type Chart'!$C$2:$T$20,12,false)*HLOOKUP($K1050,'Type Chart'!$C$2:$U$20,12,false)</f>
        <v>0.5</v>
      </c>
      <c r="AF1050" s="960">
        <f t="array" ref="AF1050">HLOOKUP($J1050,'Type Chart'!$C$2:$T$20,13,false)*HLOOKUP($K1050,'Type Chart'!$C$2:$U$20,13,false)</f>
        <v>2</v>
      </c>
      <c r="AG1050" s="960">
        <f t="array" ref="AG1050">HLOOKUP($J1050,'Type Chart'!$C$2:$T$20,14,false)*HLOOKUP($K1050,'Type Chart'!$C$2:$U$20,14,false)</f>
        <v>2</v>
      </c>
      <c r="AH1050" s="960">
        <f t="array" ref="AH1050">HLOOKUP($J1050,'Type Chart'!$C$2:$T$20,15,false)*HLOOKUP($K1050,'Type Chart'!$C$2:$U$20,15,false)</f>
        <v>1</v>
      </c>
      <c r="AI1050" s="960">
        <f t="array" ref="AI1050">HLOOKUP($J1050,'Type Chart'!$C$2:$T$20,16,false)*HLOOKUP($K1050,'Type Chart'!$C$2:$U$20,16,false)</f>
        <v>0.5</v>
      </c>
      <c r="AJ1050" s="960">
        <f t="array" ref="AJ1050">HLOOKUP($J1050,'Type Chart'!$C$2:$T$20,17,false)*HLOOKUP($K1050,'Type Chart'!$C$2:$U$20,17,false)</f>
        <v>1</v>
      </c>
      <c r="AK1050" s="960">
        <f t="array" ref="AK1050">HLOOKUP($J1050,'Type Chart'!$C$2:$T$20,18,false)*HLOOKUP($K1050,'Type Chart'!$C$2:$U$20,18,false)</f>
        <v>1</v>
      </c>
      <c r="AL1050" s="960">
        <f t="array" ref="AL1050">HLOOKUP($J1050,'Type Chart'!$C$2:$T$20,19,false)*HLOOKUP($K1050,'Type Chart'!$C$2:$U$20,19,false)</f>
        <v>1</v>
      </c>
      <c r="AM1050" s="1145" t="s">
        <v>2205</v>
      </c>
      <c r="AN1050" s="1145" t="s">
        <v>1385</v>
      </c>
      <c r="AO1050" s="1146" t="s">
        <v>1259</v>
      </c>
      <c r="AP1050" s="936"/>
      <c r="AQ1050" s="967"/>
      <c r="AR1050" s="968"/>
      <c r="AS1050" s="936"/>
    </row>
    <row r="1051" ht="15.75" customHeight="1">
      <c r="A1051" s="936"/>
      <c r="B1051" s="948" t="s">
        <v>3916</v>
      </c>
      <c r="C1051" s="950" t="s">
        <v>3917</v>
      </c>
      <c r="D1051" s="950" t="s">
        <v>3917</v>
      </c>
      <c r="E1051" s="952" t="s">
        <v>3917</v>
      </c>
      <c r="F1051" s="940"/>
      <c r="G1051" s="953"/>
      <c r="H1051" s="969"/>
      <c r="I1051" s="956" t="s">
        <v>649</v>
      </c>
      <c r="J1051" s="1056" t="s">
        <v>81</v>
      </c>
      <c r="K1051" s="1214" t="s">
        <v>342</v>
      </c>
      <c r="L1051" s="959">
        <v>90.0</v>
      </c>
      <c r="M1051" s="960">
        <v>115.0</v>
      </c>
      <c r="N1051" s="960">
        <v>90.0</v>
      </c>
      <c r="O1051" s="960">
        <v>48.0</v>
      </c>
      <c r="P1051" s="960">
        <v>68.0</v>
      </c>
      <c r="Q1051" s="960">
        <v>74.0</v>
      </c>
      <c r="R1051" s="960">
        <v>184.0</v>
      </c>
      <c r="S1051" s="960">
        <v>247.0</v>
      </c>
      <c r="T1051" s="960">
        <v>271.0</v>
      </c>
      <c r="U1051" s="960">
        <f t="array" ref="U1051">HLOOKUP($J1051,'Type Chart'!$C$2:$T$20,2,false)*HLOOKUP($K1051,'Type Chart'!$C$2:$U$20,2,false)</f>
        <v>0.5</v>
      </c>
      <c r="V1051" s="960">
        <f t="array" ref="V1051">HLOOKUP($J1051,'Type Chart'!$C$2:$T$20,3,false)*HLOOKUP($K1051,'Type Chart'!$C$2:$U$20,3,false)</f>
        <v>2</v>
      </c>
      <c r="W1051" s="960">
        <f t="array" ref="W1051">HLOOKUP($J1051,'Type Chart'!$C$2:$T$20,4,false)*HLOOKUP($K1051,'Type Chart'!$C$2:$U$20,4,false)</f>
        <v>0.5</v>
      </c>
      <c r="X1051" s="960">
        <f t="array" ref="X1051">HLOOKUP($J1051,'Type Chart'!$C$2:$T$20,5,false)*HLOOKUP($K1051,'Type Chart'!$C$2:$U$20,5,false)</f>
        <v>0.5</v>
      </c>
      <c r="Y1051" s="960">
        <f t="array" ref="Y1051">HLOOKUP($J1051,'Type Chart'!$C$2:$T$20,6,false)*HLOOKUP($K1051,'Type Chart'!$C$2:$U$20,6,false)</f>
        <v>2</v>
      </c>
      <c r="Z1051" s="960">
        <f t="array" ref="Z1051">HLOOKUP($J1051,'Type Chart'!$C$2:$T$20,7,false)*HLOOKUP($K1051,'Type Chart'!$C$2:$U$20,7,false)</f>
        <v>1</v>
      </c>
      <c r="AA1051" s="960">
        <f t="array" ref="AA1051">HLOOKUP($J1051,'Type Chart'!$C$2:$T$20,8,false)*HLOOKUP($K1051,'Type Chart'!$C$2:$U$20,8,false)</f>
        <v>1</v>
      </c>
      <c r="AB1051" s="960">
        <f t="array" ref="AB1051">HLOOKUP($J1051,'Type Chart'!$C$2:$T$20,9,false)*HLOOKUP($K1051,'Type Chart'!$C$2:$U$20,9,false)</f>
        <v>1</v>
      </c>
      <c r="AC1051" s="960">
        <f t="array" ref="AC1051">HLOOKUP($J1051,'Type Chart'!$C$2:$T$20,10,false)*HLOOKUP($K1051,'Type Chart'!$C$2:$U$20,10,false)</f>
        <v>1</v>
      </c>
      <c r="AD1051" s="960">
        <f t="array" ref="AD1051">HLOOKUP($J1051,'Type Chart'!$C$2:$T$20,11,false)*HLOOKUP($K1051,'Type Chart'!$C$2:$U$20,11,false)</f>
        <v>0.25</v>
      </c>
      <c r="AE1051" s="960">
        <f t="array" ref="AE1051">HLOOKUP($J1051,'Type Chart'!$C$2:$T$20,12,false)*HLOOKUP($K1051,'Type Chart'!$C$2:$U$20,12,false)</f>
        <v>1</v>
      </c>
      <c r="AF1051" s="960">
        <f t="array" ref="AF1051">HLOOKUP($J1051,'Type Chart'!$C$2:$T$20,13,false)*HLOOKUP($K1051,'Type Chart'!$C$2:$U$20,13,false)</f>
        <v>4</v>
      </c>
      <c r="AG1051" s="960">
        <f t="array" ref="AG1051">HLOOKUP($J1051,'Type Chart'!$C$2:$T$20,14,false)*HLOOKUP($K1051,'Type Chart'!$C$2:$U$20,14,false)</f>
        <v>2</v>
      </c>
      <c r="AH1051" s="960">
        <f t="array" ref="AH1051">HLOOKUP($J1051,'Type Chart'!$C$2:$T$20,15,false)*HLOOKUP($K1051,'Type Chart'!$C$2:$U$20,15,false)</f>
        <v>1</v>
      </c>
      <c r="AI1051" s="960">
        <f t="array" ref="AI1051">HLOOKUP($J1051,'Type Chart'!$C$2:$T$20,16,false)*HLOOKUP($K1051,'Type Chart'!$C$2:$U$20,16,false)</f>
        <v>0.5</v>
      </c>
      <c r="AJ1051" s="960">
        <f t="array" ref="AJ1051">HLOOKUP($J1051,'Type Chart'!$C$2:$T$20,17,false)*HLOOKUP($K1051,'Type Chart'!$C$2:$U$20,17,false)</f>
        <v>1</v>
      </c>
      <c r="AK1051" s="960">
        <f t="array" ref="AK1051">HLOOKUP($J1051,'Type Chart'!$C$2:$T$20,18,false)*HLOOKUP($K1051,'Type Chart'!$C$2:$U$20,18,false)</f>
        <v>1</v>
      </c>
      <c r="AL1051" s="960">
        <f t="array" ref="AL1051">HLOOKUP($J1051,'Type Chart'!$C$2:$T$20,19,false)*HLOOKUP($K1051,'Type Chart'!$C$2:$U$20,19,false)</f>
        <v>1</v>
      </c>
      <c r="AM1051" s="964" t="s">
        <v>2205</v>
      </c>
      <c r="AN1051" s="964" t="s">
        <v>1385</v>
      </c>
      <c r="AO1051" s="966" t="s">
        <v>1259</v>
      </c>
      <c r="AP1051" s="936"/>
      <c r="AQ1051" s="967"/>
      <c r="AR1051" s="968"/>
      <c r="AS1051" s="936"/>
    </row>
    <row r="1052" ht="15.75" customHeight="1">
      <c r="A1052" s="936"/>
      <c r="B1052" s="948" t="s">
        <v>3918</v>
      </c>
      <c r="C1052" s="950" t="s">
        <v>3919</v>
      </c>
      <c r="D1052" s="950" t="s">
        <v>3919</v>
      </c>
      <c r="E1052" s="952" t="s">
        <v>3919</v>
      </c>
      <c r="F1052" s="940"/>
      <c r="G1052" s="953"/>
      <c r="H1052" s="969"/>
      <c r="I1052" s="956" t="s">
        <v>3920</v>
      </c>
      <c r="J1052" s="1196" t="s">
        <v>203</v>
      </c>
      <c r="K1052" s="984" t="s">
        <v>216</v>
      </c>
      <c r="L1052" s="959">
        <v>59.0</v>
      </c>
      <c r="M1052" s="960">
        <v>45.0</v>
      </c>
      <c r="N1052" s="960">
        <v>50.0</v>
      </c>
      <c r="O1052" s="960">
        <v>40.0</v>
      </c>
      <c r="P1052" s="960">
        <v>50.0</v>
      </c>
      <c r="Q1052" s="960">
        <v>26.0</v>
      </c>
      <c r="R1052" s="960">
        <v>88.0</v>
      </c>
      <c r="S1052" s="960">
        <v>151.0</v>
      </c>
      <c r="T1052" s="960">
        <v>166.0</v>
      </c>
      <c r="U1052" s="960">
        <f t="array" ref="U1052">HLOOKUP($J1052,'Type Chart'!$C$2:$T$20,2,false)*HLOOKUP($K1052,'Type Chart'!$C$2:$U$20,2,false)</f>
        <v>1</v>
      </c>
      <c r="V1052" s="960">
        <f t="array" ref="V1052">HLOOKUP($J1052,'Type Chart'!$C$2:$T$20,3,false)*HLOOKUP($K1052,'Type Chart'!$C$2:$U$20,3,false)</f>
        <v>1</v>
      </c>
      <c r="W1052" s="960">
        <f t="array" ref="W1052">HLOOKUP($J1052,'Type Chart'!$C$2:$T$20,4,false)*HLOOKUP($K1052,'Type Chart'!$C$2:$U$20,4,false)</f>
        <v>0.5</v>
      </c>
      <c r="X1052" s="960">
        <f t="array" ref="X1052">HLOOKUP($J1052,'Type Chart'!$C$2:$T$20,5,false)*HLOOKUP($K1052,'Type Chart'!$C$2:$U$20,5,false)</f>
        <v>1</v>
      </c>
      <c r="Y1052" s="960">
        <f t="array" ref="Y1052">HLOOKUP($J1052,'Type Chart'!$C$2:$T$20,6,false)*HLOOKUP($K1052,'Type Chart'!$C$2:$U$20,6,false)</f>
        <v>2</v>
      </c>
      <c r="Z1052" s="960">
        <f t="array" ref="Z1052">HLOOKUP($J1052,'Type Chart'!$C$2:$T$20,7,false)*HLOOKUP($K1052,'Type Chart'!$C$2:$U$20,7,false)</f>
        <v>1</v>
      </c>
      <c r="AA1052" s="960">
        <f t="array" ref="AA1052">HLOOKUP($J1052,'Type Chart'!$C$2:$T$20,8,false)*HLOOKUP($K1052,'Type Chart'!$C$2:$U$20,8,false)</f>
        <v>1</v>
      </c>
      <c r="AB1052" s="960">
        <f t="array" ref="AB1052">HLOOKUP($J1052,'Type Chart'!$C$2:$T$20,9,false)*HLOOKUP($K1052,'Type Chart'!$C$2:$U$20,9,false)</f>
        <v>1</v>
      </c>
      <c r="AC1052" s="960">
        <f t="array" ref="AC1052">HLOOKUP($J1052,'Type Chart'!$C$2:$T$20,10,false)*HLOOKUP($K1052,'Type Chart'!$C$2:$U$20,10,false)</f>
        <v>0.5</v>
      </c>
      <c r="AD1052" s="960">
        <f t="array" ref="AD1052">HLOOKUP($J1052,'Type Chart'!$C$2:$T$20,11,false)*HLOOKUP($K1052,'Type Chart'!$C$2:$U$20,11,false)</f>
        <v>1</v>
      </c>
      <c r="AE1052" s="960">
        <f t="array" ref="AE1052">HLOOKUP($J1052,'Type Chart'!$C$2:$T$20,12,false)*HLOOKUP($K1052,'Type Chart'!$C$2:$U$20,12,false)</f>
        <v>1</v>
      </c>
      <c r="AF1052" s="960">
        <f t="array" ref="AF1052">HLOOKUP($J1052,'Type Chart'!$C$2:$T$20,13,false)*HLOOKUP($K1052,'Type Chart'!$C$2:$U$20,13,false)</f>
        <v>1</v>
      </c>
      <c r="AG1052" s="960">
        <f t="array" ref="AG1052">HLOOKUP($J1052,'Type Chart'!$C$2:$T$20,14,false)*HLOOKUP($K1052,'Type Chart'!$C$2:$U$20,14,false)</f>
        <v>0.5</v>
      </c>
      <c r="AH1052" s="960">
        <f t="array" ref="AH1052">HLOOKUP($J1052,'Type Chart'!$C$2:$T$20,15,false)*HLOOKUP($K1052,'Type Chart'!$C$2:$U$20,15,false)</f>
        <v>1</v>
      </c>
      <c r="AI1052" s="960">
        <f t="array" ref="AI1052">HLOOKUP($J1052,'Type Chart'!$C$2:$T$20,16,false)*HLOOKUP($K1052,'Type Chart'!$C$2:$U$20,16,false)</f>
        <v>1</v>
      </c>
      <c r="AJ1052" s="960">
        <f t="array" ref="AJ1052">HLOOKUP($J1052,'Type Chart'!$C$2:$T$20,17,false)*HLOOKUP($K1052,'Type Chart'!$C$2:$U$20,17,false)</f>
        <v>1</v>
      </c>
      <c r="AK1052" s="960">
        <f t="array" ref="AK1052">HLOOKUP($J1052,'Type Chart'!$C$2:$T$20,18,false)*HLOOKUP($K1052,'Type Chart'!$C$2:$U$20,18,false)</f>
        <v>1</v>
      </c>
      <c r="AL1052" s="960">
        <f t="array" ref="AL1052">HLOOKUP($J1052,'Type Chart'!$C$2:$T$20,19,false)*HLOOKUP($K1052,'Type Chart'!$C$2:$U$20,19,false)</f>
        <v>1</v>
      </c>
      <c r="AM1052" s="964" t="s">
        <v>3921</v>
      </c>
      <c r="AN1052" s="965"/>
      <c r="AO1052" s="966" t="s">
        <v>1243</v>
      </c>
      <c r="AP1052" s="936"/>
      <c r="AQ1052" s="967"/>
      <c r="AR1052" s="968"/>
      <c r="AS1052" s="936"/>
    </row>
    <row r="1053" ht="15.75" customHeight="1">
      <c r="A1053" s="936"/>
      <c r="B1053" s="948" t="s">
        <v>3922</v>
      </c>
      <c r="C1053" s="950" t="s">
        <v>3923</v>
      </c>
      <c r="D1053" s="950" t="s">
        <v>3923</v>
      </c>
      <c r="E1053" s="952" t="s">
        <v>3923</v>
      </c>
      <c r="F1053" s="940"/>
      <c r="G1053" s="953"/>
      <c r="H1053" s="969"/>
      <c r="I1053" s="956" t="s">
        <v>3924</v>
      </c>
      <c r="J1053" s="1196" t="s">
        <v>203</v>
      </c>
      <c r="K1053" s="984" t="s">
        <v>216</v>
      </c>
      <c r="L1053" s="959">
        <v>69.0</v>
      </c>
      <c r="M1053" s="960">
        <v>90.0</v>
      </c>
      <c r="N1053" s="960">
        <v>60.0</v>
      </c>
      <c r="O1053" s="960">
        <v>90.0</v>
      </c>
      <c r="P1053" s="960">
        <v>60.0</v>
      </c>
      <c r="Q1053" s="960">
        <v>121.0</v>
      </c>
      <c r="R1053" s="960">
        <v>278.0</v>
      </c>
      <c r="S1053" s="960">
        <v>341.0</v>
      </c>
      <c r="T1053" s="960">
        <v>375.0</v>
      </c>
      <c r="U1053" s="960">
        <f t="array" ref="U1053">HLOOKUP($J1053,'Type Chart'!$C$2:$T$20,2,false)*HLOOKUP($K1053,'Type Chart'!$C$2:$U$20,2,false)</f>
        <v>1</v>
      </c>
      <c r="V1053" s="960">
        <f t="array" ref="V1053">HLOOKUP($J1053,'Type Chart'!$C$2:$T$20,3,false)*HLOOKUP($K1053,'Type Chart'!$C$2:$U$20,3,false)</f>
        <v>1</v>
      </c>
      <c r="W1053" s="960">
        <f t="array" ref="W1053">HLOOKUP($J1053,'Type Chart'!$C$2:$T$20,4,false)*HLOOKUP($K1053,'Type Chart'!$C$2:$U$20,4,false)</f>
        <v>0.5</v>
      </c>
      <c r="X1053" s="960">
        <f t="array" ref="X1053">HLOOKUP($J1053,'Type Chart'!$C$2:$T$20,5,false)*HLOOKUP($K1053,'Type Chart'!$C$2:$U$20,5,false)</f>
        <v>1</v>
      </c>
      <c r="Y1053" s="960">
        <f t="array" ref="Y1053">HLOOKUP($J1053,'Type Chart'!$C$2:$T$20,6,false)*HLOOKUP($K1053,'Type Chart'!$C$2:$U$20,6,false)</f>
        <v>2</v>
      </c>
      <c r="Z1053" s="960">
        <f t="array" ref="Z1053">HLOOKUP($J1053,'Type Chart'!$C$2:$T$20,7,false)*HLOOKUP($K1053,'Type Chart'!$C$2:$U$20,7,false)</f>
        <v>1</v>
      </c>
      <c r="AA1053" s="960">
        <f t="array" ref="AA1053">HLOOKUP($J1053,'Type Chart'!$C$2:$T$20,8,false)*HLOOKUP($K1053,'Type Chart'!$C$2:$U$20,8,false)</f>
        <v>1</v>
      </c>
      <c r="AB1053" s="960">
        <f t="array" ref="AB1053">HLOOKUP($J1053,'Type Chart'!$C$2:$T$20,9,false)*HLOOKUP($K1053,'Type Chart'!$C$2:$U$20,9,false)</f>
        <v>1</v>
      </c>
      <c r="AC1053" s="960">
        <f t="array" ref="AC1053">HLOOKUP($J1053,'Type Chart'!$C$2:$T$20,10,false)*HLOOKUP($K1053,'Type Chart'!$C$2:$U$20,10,false)</f>
        <v>0.5</v>
      </c>
      <c r="AD1053" s="960">
        <f t="array" ref="AD1053">HLOOKUP($J1053,'Type Chart'!$C$2:$T$20,11,false)*HLOOKUP($K1053,'Type Chart'!$C$2:$U$20,11,false)</f>
        <v>1</v>
      </c>
      <c r="AE1053" s="960">
        <f t="array" ref="AE1053">HLOOKUP($J1053,'Type Chart'!$C$2:$T$20,12,false)*HLOOKUP($K1053,'Type Chart'!$C$2:$U$20,12,false)</f>
        <v>1</v>
      </c>
      <c r="AF1053" s="960">
        <f t="array" ref="AF1053">HLOOKUP($J1053,'Type Chart'!$C$2:$T$20,13,false)*HLOOKUP($K1053,'Type Chart'!$C$2:$U$20,13,false)</f>
        <v>1</v>
      </c>
      <c r="AG1053" s="960">
        <f t="array" ref="AG1053">HLOOKUP($J1053,'Type Chart'!$C$2:$T$20,14,false)*HLOOKUP($K1053,'Type Chart'!$C$2:$U$20,14,false)</f>
        <v>0.5</v>
      </c>
      <c r="AH1053" s="960">
        <f t="array" ref="AH1053">HLOOKUP($J1053,'Type Chart'!$C$2:$T$20,15,false)*HLOOKUP($K1053,'Type Chart'!$C$2:$U$20,15,false)</f>
        <v>1</v>
      </c>
      <c r="AI1053" s="960">
        <f t="array" ref="AI1053">HLOOKUP($J1053,'Type Chart'!$C$2:$T$20,16,false)*HLOOKUP($K1053,'Type Chart'!$C$2:$U$20,16,false)</f>
        <v>1</v>
      </c>
      <c r="AJ1053" s="960">
        <f t="array" ref="AJ1053">HLOOKUP($J1053,'Type Chart'!$C$2:$T$20,17,false)*HLOOKUP($K1053,'Type Chart'!$C$2:$U$20,17,false)</f>
        <v>1</v>
      </c>
      <c r="AK1053" s="960">
        <f t="array" ref="AK1053">HLOOKUP($J1053,'Type Chart'!$C$2:$T$20,18,false)*HLOOKUP($K1053,'Type Chart'!$C$2:$U$20,18,false)</f>
        <v>1</v>
      </c>
      <c r="AL1053" s="960">
        <f t="array" ref="AL1053">HLOOKUP($J1053,'Type Chart'!$C$2:$T$20,19,false)*HLOOKUP($K1053,'Type Chart'!$C$2:$U$20,19,false)</f>
        <v>1</v>
      </c>
      <c r="AM1053" s="964" t="s">
        <v>2205</v>
      </c>
      <c r="AN1053" s="965"/>
      <c r="AO1053" s="966" t="s">
        <v>1185</v>
      </c>
      <c r="AP1053" s="936"/>
      <c r="AQ1053" s="967"/>
      <c r="AR1053" s="968"/>
      <c r="AS1053" s="936"/>
    </row>
    <row r="1054" ht="15.75" customHeight="1">
      <c r="A1054" s="936"/>
      <c r="B1054" s="948" t="s">
        <v>3925</v>
      </c>
      <c r="C1054" s="950" t="s">
        <v>3926</v>
      </c>
      <c r="D1054" s="950" t="s">
        <v>3926</v>
      </c>
      <c r="E1054" s="952" t="s">
        <v>3926</v>
      </c>
      <c r="F1054" s="940"/>
      <c r="G1054" s="953"/>
      <c r="H1054" s="969"/>
      <c r="I1054" s="956" t="s">
        <v>3927</v>
      </c>
      <c r="J1054" s="1214" t="s">
        <v>342</v>
      </c>
      <c r="K1054" s="984" t="s">
        <v>216</v>
      </c>
      <c r="L1054" s="959">
        <v>30.0</v>
      </c>
      <c r="M1054" s="960">
        <v>40.0</v>
      </c>
      <c r="N1054" s="960">
        <v>50.0</v>
      </c>
      <c r="O1054" s="960">
        <v>40.0</v>
      </c>
      <c r="P1054" s="960">
        <v>50.0</v>
      </c>
      <c r="Q1054" s="960">
        <v>30.0</v>
      </c>
      <c r="R1054" s="960">
        <v>96.0</v>
      </c>
      <c r="S1054" s="960">
        <v>159.0</v>
      </c>
      <c r="T1054" s="960">
        <v>174.0</v>
      </c>
      <c r="U1054" s="960">
        <f t="array" ref="U1054">HLOOKUP($J1054,'Type Chart'!$C$2:$T$20,2,false)*HLOOKUP($K1054,'Type Chart'!$C$2:$U$20,2,false)</f>
        <v>0.5</v>
      </c>
      <c r="V1054" s="960">
        <f t="array" ref="V1054">HLOOKUP($J1054,'Type Chart'!$C$2:$T$20,3,false)*HLOOKUP($K1054,'Type Chart'!$C$2:$U$20,3,false)</f>
        <v>2</v>
      </c>
      <c r="W1054" s="960">
        <f t="array" ref="W1054">HLOOKUP($J1054,'Type Chart'!$C$2:$T$20,4,false)*HLOOKUP($K1054,'Type Chart'!$C$2:$U$20,4,false)</f>
        <v>0.5</v>
      </c>
      <c r="X1054" s="960">
        <f t="array" ref="X1054">HLOOKUP($J1054,'Type Chart'!$C$2:$T$20,5,false)*HLOOKUP($K1054,'Type Chart'!$C$2:$U$20,5,false)</f>
        <v>0.5</v>
      </c>
      <c r="Y1054" s="960">
        <f t="array" ref="Y1054">HLOOKUP($J1054,'Type Chart'!$C$2:$T$20,6,false)*HLOOKUP($K1054,'Type Chart'!$C$2:$U$20,6,false)</f>
        <v>2</v>
      </c>
      <c r="Z1054" s="960">
        <f t="array" ref="Z1054">HLOOKUP($J1054,'Type Chart'!$C$2:$T$20,7,false)*HLOOKUP($K1054,'Type Chart'!$C$2:$U$20,7,false)</f>
        <v>1</v>
      </c>
      <c r="AA1054" s="960">
        <f t="array" ref="AA1054">HLOOKUP($J1054,'Type Chart'!$C$2:$T$20,8,false)*HLOOKUP($K1054,'Type Chart'!$C$2:$U$20,8,false)</f>
        <v>1</v>
      </c>
      <c r="AB1054" s="960">
        <f t="array" ref="AB1054">HLOOKUP($J1054,'Type Chart'!$C$2:$T$20,9,false)*HLOOKUP($K1054,'Type Chart'!$C$2:$U$20,9,false)</f>
        <v>1</v>
      </c>
      <c r="AC1054" s="960">
        <f t="array" ref="AC1054">HLOOKUP($J1054,'Type Chart'!$C$2:$T$20,10,false)*HLOOKUP($K1054,'Type Chart'!$C$2:$U$20,10,false)</f>
        <v>2</v>
      </c>
      <c r="AD1054" s="960">
        <f t="array" ref="AD1054">HLOOKUP($J1054,'Type Chart'!$C$2:$T$20,11,false)*HLOOKUP($K1054,'Type Chart'!$C$2:$U$20,11,false)</f>
        <v>0.5</v>
      </c>
      <c r="AE1054" s="960">
        <f t="array" ref="AE1054">HLOOKUP($J1054,'Type Chart'!$C$2:$T$20,12,false)*HLOOKUP($K1054,'Type Chart'!$C$2:$U$20,12,false)</f>
        <v>2</v>
      </c>
      <c r="AF1054" s="960">
        <f t="array" ref="AF1054">HLOOKUP($J1054,'Type Chart'!$C$2:$T$20,13,false)*HLOOKUP($K1054,'Type Chart'!$C$2:$U$20,13,false)</f>
        <v>2</v>
      </c>
      <c r="AG1054" s="960">
        <f t="array" ref="AG1054">HLOOKUP($J1054,'Type Chart'!$C$2:$T$20,14,false)*HLOOKUP($K1054,'Type Chart'!$C$2:$U$20,14,false)</f>
        <v>1</v>
      </c>
      <c r="AH1054" s="960">
        <f t="array" ref="AH1054">HLOOKUP($J1054,'Type Chart'!$C$2:$T$20,15,false)*HLOOKUP($K1054,'Type Chart'!$C$2:$U$20,15,false)</f>
        <v>1</v>
      </c>
      <c r="AI1054" s="960">
        <f t="array" ref="AI1054">HLOOKUP($J1054,'Type Chart'!$C$2:$T$20,16,false)*HLOOKUP($K1054,'Type Chart'!$C$2:$U$20,16,false)</f>
        <v>1</v>
      </c>
      <c r="AJ1054" s="960">
        <f t="array" ref="AJ1054">HLOOKUP($J1054,'Type Chart'!$C$2:$T$20,17,false)*HLOOKUP($K1054,'Type Chart'!$C$2:$U$20,17,false)</f>
        <v>1</v>
      </c>
      <c r="AK1054" s="960">
        <f t="array" ref="AK1054">HLOOKUP($J1054,'Type Chart'!$C$2:$T$20,18,false)*HLOOKUP($K1054,'Type Chart'!$C$2:$U$20,18,false)</f>
        <v>1</v>
      </c>
      <c r="AL1054" s="960">
        <f t="array" ref="AL1054">HLOOKUP($J1054,'Type Chart'!$C$2:$T$20,19,false)*HLOOKUP($K1054,'Type Chart'!$C$2:$U$20,19,false)</f>
        <v>1</v>
      </c>
      <c r="AM1054" s="964" t="s">
        <v>3928</v>
      </c>
      <c r="AN1054" s="964" t="s">
        <v>2580</v>
      </c>
      <c r="AO1054" s="966" t="s">
        <v>1172</v>
      </c>
      <c r="AP1054" s="936"/>
      <c r="AQ1054" s="967"/>
      <c r="AR1054" s="968"/>
      <c r="AS1054" s="936"/>
    </row>
    <row r="1055" ht="15.75" customHeight="1">
      <c r="A1055" s="936"/>
      <c r="B1055" s="948" t="s">
        <v>3929</v>
      </c>
      <c r="C1055" s="950" t="s">
        <v>3930</v>
      </c>
      <c r="D1055" s="950" t="s">
        <v>3930</v>
      </c>
      <c r="E1055" s="952" t="s">
        <v>3930</v>
      </c>
      <c r="F1055" s="940"/>
      <c r="G1055" s="953"/>
      <c r="H1055" s="969"/>
      <c r="I1055" s="956" t="s">
        <v>816</v>
      </c>
      <c r="J1055" s="1214" t="s">
        <v>342</v>
      </c>
      <c r="K1055" s="982" t="s">
        <v>150</v>
      </c>
      <c r="L1055" s="959">
        <v>80.0</v>
      </c>
      <c r="M1055" s="960">
        <v>60.0</v>
      </c>
      <c r="N1055" s="960">
        <v>90.0</v>
      </c>
      <c r="O1055" s="960">
        <v>60.0</v>
      </c>
      <c r="P1055" s="960">
        <v>70.0</v>
      </c>
      <c r="Q1055" s="960">
        <v>50.0</v>
      </c>
      <c r="R1055" s="960">
        <v>136.0</v>
      </c>
      <c r="S1055" s="960">
        <v>199.0</v>
      </c>
      <c r="T1055" s="960">
        <v>218.0</v>
      </c>
      <c r="U1055" s="960">
        <f t="array" ref="U1055">HLOOKUP($J1055,'Type Chart'!$C$2:$T$20,2,false)*HLOOKUP($K1055,'Type Chart'!$C$2:$U$20,2,false)</f>
        <v>0.5</v>
      </c>
      <c r="V1055" s="960">
        <f t="array" ref="V1055">HLOOKUP($J1055,'Type Chart'!$C$2:$T$20,3,false)*HLOOKUP($K1055,'Type Chart'!$C$2:$U$20,3,false)</f>
        <v>2</v>
      </c>
      <c r="W1055" s="960">
        <f t="array" ref="W1055">HLOOKUP($J1055,'Type Chart'!$C$2:$T$20,4,false)*HLOOKUP($K1055,'Type Chart'!$C$2:$U$20,4,false)</f>
        <v>0.5</v>
      </c>
      <c r="X1055" s="960">
        <f t="array" ref="X1055">HLOOKUP($J1055,'Type Chart'!$C$2:$T$20,5,false)*HLOOKUP($K1055,'Type Chart'!$C$2:$U$20,5,false)</f>
        <v>0.5</v>
      </c>
      <c r="Y1055" s="960">
        <f t="array" ref="Y1055">HLOOKUP($J1055,'Type Chart'!$C$2:$T$20,6,false)*HLOOKUP($K1055,'Type Chart'!$C$2:$U$20,6,false)</f>
        <v>4</v>
      </c>
      <c r="Z1055" s="960">
        <f t="array" ref="Z1055">HLOOKUP($J1055,'Type Chart'!$C$2:$T$20,7,false)*HLOOKUP($K1055,'Type Chart'!$C$2:$U$20,7,false)</f>
        <v>2</v>
      </c>
      <c r="AA1055" s="960">
        <f t="array" ref="AA1055">HLOOKUP($J1055,'Type Chart'!$C$2:$T$20,8,false)*HLOOKUP($K1055,'Type Chart'!$C$2:$U$20,8,false)</f>
        <v>0.5</v>
      </c>
      <c r="AB1055" s="960">
        <f t="array" ref="AB1055">HLOOKUP($J1055,'Type Chart'!$C$2:$T$20,9,false)*HLOOKUP($K1055,'Type Chart'!$C$2:$U$20,9,false)</f>
        <v>1</v>
      </c>
      <c r="AC1055" s="960">
        <f t="array" ref="AC1055">HLOOKUP($J1055,'Type Chart'!$C$2:$T$20,10,false)*HLOOKUP($K1055,'Type Chart'!$C$2:$U$20,10,false)</f>
        <v>1</v>
      </c>
      <c r="AD1055" s="960">
        <f t="array" ref="AD1055">HLOOKUP($J1055,'Type Chart'!$C$2:$T$20,11,false)*HLOOKUP($K1055,'Type Chart'!$C$2:$U$20,11,false)</f>
        <v>0.25</v>
      </c>
      <c r="AE1055" s="960">
        <f t="array" ref="AE1055">HLOOKUP($J1055,'Type Chart'!$C$2:$T$20,12,false)*HLOOKUP($K1055,'Type Chart'!$C$2:$U$20,12,false)</f>
        <v>4</v>
      </c>
      <c r="AF1055" s="960">
        <f t="array" ref="AF1055">HLOOKUP($J1055,'Type Chart'!$C$2:$T$20,13,false)*HLOOKUP($K1055,'Type Chart'!$C$2:$U$20,13,false)</f>
        <v>1</v>
      </c>
      <c r="AG1055" s="960">
        <f t="array" ref="AG1055">HLOOKUP($J1055,'Type Chart'!$C$2:$T$20,14,false)*HLOOKUP($K1055,'Type Chart'!$C$2:$U$20,14,false)</f>
        <v>1</v>
      </c>
      <c r="AH1055" s="960">
        <f t="array" ref="AH1055">HLOOKUP($J1055,'Type Chart'!$C$2:$T$20,15,false)*HLOOKUP($K1055,'Type Chart'!$C$2:$U$20,15,false)</f>
        <v>1</v>
      </c>
      <c r="AI1055" s="960">
        <f t="array" ref="AI1055">HLOOKUP($J1055,'Type Chart'!$C$2:$T$20,16,false)*HLOOKUP($K1055,'Type Chart'!$C$2:$U$20,16,false)</f>
        <v>0.5</v>
      </c>
      <c r="AJ1055" s="960">
        <f t="array" ref="AJ1055">HLOOKUP($J1055,'Type Chart'!$C$2:$T$20,17,false)*HLOOKUP($K1055,'Type Chart'!$C$2:$U$20,17,false)</f>
        <v>1</v>
      </c>
      <c r="AK1055" s="960">
        <f t="array" ref="AK1055">HLOOKUP($J1055,'Type Chart'!$C$2:$T$20,18,false)*HLOOKUP($K1055,'Type Chart'!$C$2:$U$20,18,false)</f>
        <v>1</v>
      </c>
      <c r="AL1055" s="960">
        <f t="array" ref="AL1055">HLOOKUP($J1055,'Type Chart'!$C$2:$T$20,19,false)*HLOOKUP($K1055,'Type Chart'!$C$2:$U$20,19,false)</f>
        <v>0.5</v>
      </c>
      <c r="AM1055" s="964" t="s">
        <v>3928</v>
      </c>
      <c r="AN1055" s="964" t="s">
        <v>1353</v>
      </c>
      <c r="AO1055" s="966" t="s">
        <v>1172</v>
      </c>
      <c r="AP1055" s="936"/>
      <c r="AQ1055" s="967"/>
      <c r="AR1055" s="968"/>
      <c r="AS1055" s="936"/>
    </row>
    <row r="1056" ht="15.75" customHeight="1">
      <c r="A1056" s="936"/>
      <c r="B1056" s="948" t="s">
        <v>3931</v>
      </c>
      <c r="C1056" s="950" t="s">
        <v>3932</v>
      </c>
      <c r="D1056" s="950" t="s">
        <v>3932</v>
      </c>
      <c r="E1056" s="952" t="s">
        <v>3932</v>
      </c>
      <c r="F1056" s="940"/>
      <c r="G1056" s="953"/>
      <c r="H1056" s="969"/>
      <c r="I1056" s="956" t="s">
        <v>674</v>
      </c>
      <c r="J1056" s="1214" t="s">
        <v>342</v>
      </c>
      <c r="K1056" s="982" t="s">
        <v>150</v>
      </c>
      <c r="L1056" s="959">
        <v>110.0</v>
      </c>
      <c r="M1056" s="960">
        <v>80.0</v>
      </c>
      <c r="N1056" s="960">
        <v>120.0</v>
      </c>
      <c r="O1056" s="960">
        <v>80.0</v>
      </c>
      <c r="P1056" s="960">
        <v>90.0</v>
      </c>
      <c r="Q1056" s="960">
        <v>30.0</v>
      </c>
      <c r="R1056" s="960">
        <v>96.0</v>
      </c>
      <c r="S1056" s="960">
        <v>159.0</v>
      </c>
      <c r="T1056" s="960">
        <v>174.0</v>
      </c>
      <c r="U1056" s="960">
        <f t="array" ref="U1056">HLOOKUP($J1056,'Type Chart'!$C$2:$T$20,2,false)*HLOOKUP($K1056,'Type Chart'!$C$2:$U$20,2,false)</f>
        <v>0.5</v>
      </c>
      <c r="V1056" s="960">
        <f t="array" ref="V1056">HLOOKUP($J1056,'Type Chart'!$C$2:$T$20,3,false)*HLOOKUP($K1056,'Type Chart'!$C$2:$U$20,3,false)</f>
        <v>2</v>
      </c>
      <c r="W1056" s="960">
        <f t="array" ref="W1056">HLOOKUP($J1056,'Type Chart'!$C$2:$T$20,4,false)*HLOOKUP($K1056,'Type Chart'!$C$2:$U$20,4,false)</f>
        <v>0.5</v>
      </c>
      <c r="X1056" s="960">
        <f t="array" ref="X1056">HLOOKUP($J1056,'Type Chart'!$C$2:$T$20,5,false)*HLOOKUP($K1056,'Type Chart'!$C$2:$U$20,5,false)</f>
        <v>0.5</v>
      </c>
      <c r="Y1056" s="960">
        <f t="array" ref="Y1056">HLOOKUP($J1056,'Type Chart'!$C$2:$T$20,6,false)*HLOOKUP($K1056,'Type Chart'!$C$2:$U$20,6,false)</f>
        <v>4</v>
      </c>
      <c r="Z1056" s="960">
        <f t="array" ref="Z1056">HLOOKUP($J1056,'Type Chart'!$C$2:$T$20,7,false)*HLOOKUP($K1056,'Type Chart'!$C$2:$U$20,7,false)</f>
        <v>2</v>
      </c>
      <c r="AA1056" s="960">
        <f t="array" ref="AA1056">HLOOKUP($J1056,'Type Chart'!$C$2:$T$20,8,false)*HLOOKUP($K1056,'Type Chart'!$C$2:$U$20,8,false)</f>
        <v>0.5</v>
      </c>
      <c r="AB1056" s="960">
        <f t="array" ref="AB1056">HLOOKUP($J1056,'Type Chart'!$C$2:$T$20,9,false)*HLOOKUP($K1056,'Type Chart'!$C$2:$U$20,9,false)</f>
        <v>1</v>
      </c>
      <c r="AC1056" s="960">
        <f t="array" ref="AC1056">HLOOKUP($J1056,'Type Chart'!$C$2:$T$20,10,false)*HLOOKUP($K1056,'Type Chart'!$C$2:$U$20,10,false)</f>
        <v>1</v>
      </c>
      <c r="AD1056" s="960">
        <f t="array" ref="AD1056">HLOOKUP($J1056,'Type Chart'!$C$2:$T$20,11,false)*HLOOKUP($K1056,'Type Chart'!$C$2:$U$20,11,false)</f>
        <v>0.25</v>
      </c>
      <c r="AE1056" s="960">
        <f t="array" ref="AE1056">HLOOKUP($J1056,'Type Chart'!$C$2:$T$20,12,false)*HLOOKUP($K1056,'Type Chart'!$C$2:$U$20,12,false)</f>
        <v>4</v>
      </c>
      <c r="AF1056" s="960">
        <f t="array" ref="AF1056">HLOOKUP($J1056,'Type Chart'!$C$2:$T$20,13,false)*HLOOKUP($K1056,'Type Chart'!$C$2:$U$20,13,false)</f>
        <v>1</v>
      </c>
      <c r="AG1056" s="960">
        <f t="array" ref="AG1056">HLOOKUP($J1056,'Type Chart'!$C$2:$T$20,14,false)*HLOOKUP($K1056,'Type Chart'!$C$2:$U$20,14,false)</f>
        <v>1</v>
      </c>
      <c r="AH1056" s="960">
        <f t="array" ref="AH1056">HLOOKUP($J1056,'Type Chart'!$C$2:$T$20,15,false)*HLOOKUP($K1056,'Type Chart'!$C$2:$U$20,15,false)</f>
        <v>1</v>
      </c>
      <c r="AI1056" s="960">
        <f t="array" ref="AI1056">HLOOKUP($J1056,'Type Chart'!$C$2:$T$20,16,false)*HLOOKUP($K1056,'Type Chart'!$C$2:$U$20,16,false)</f>
        <v>0.5</v>
      </c>
      <c r="AJ1056" s="960">
        <f t="array" ref="AJ1056">HLOOKUP($J1056,'Type Chart'!$C$2:$T$20,17,false)*HLOOKUP($K1056,'Type Chart'!$C$2:$U$20,17,false)</f>
        <v>1</v>
      </c>
      <c r="AK1056" s="960">
        <f t="array" ref="AK1056">HLOOKUP($J1056,'Type Chart'!$C$2:$T$20,18,false)*HLOOKUP($K1056,'Type Chart'!$C$2:$U$20,18,false)</f>
        <v>1</v>
      </c>
      <c r="AL1056" s="960">
        <f t="array" ref="AL1056">HLOOKUP($J1056,'Type Chart'!$C$2:$T$20,19,false)*HLOOKUP($K1056,'Type Chart'!$C$2:$U$20,19,false)</f>
        <v>0.5</v>
      </c>
      <c r="AM1056" s="964" t="s">
        <v>3928</v>
      </c>
      <c r="AN1056" s="964" t="s">
        <v>1353</v>
      </c>
      <c r="AO1056" s="966" t="s">
        <v>1172</v>
      </c>
      <c r="AP1056" s="936"/>
      <c r="AQ1056" s="967"/>
      <c r="AR1056" s="968"/>
      <c r="AS1056" s="936"/>
    </row>
    <row r="1057" ht="15.75" customHeight="1">
      <c r="A1057" s="936"/>
      <c r="B1057" s="948" t="s">
        <v>3933</v>
      </c>
      <c r="C1057" s="950" t="s">
        <v>3934</v>
      </c>
      <c r="D1057" s="950" t="s">
        <v>3934</v>
      </c>
      <c r="E1057" s="952" t="s">
        <v>3934</v>
      </c>
      <c r="F1057" s="940"/>
      <c r="G1057" s="953"/>
      <c r="H1057" s="969"/>
      <c r="I1057" s="956" t="s">
        <v>3935</v>
      </c>
      <c r="J1057" s="957" t="s">
        <v>209</v>
      </c>
      <c r="K1057" s="1006" t="s">
        <v>346</v>
      </c>
      <c r="L1057" s="959">
        <v>40.0</v>
      </c>
      <c r="M1057" s="960">
        <v>40.0</v>
      </c>
      <c r="N1057" s="960">
        <v>80.0</v>
      </c>
      <c r="O1057" s="960">
        <v>40.0</v>
      </c>
      <c r="P1057" s="960">
        <v>40.0</v>
      </c>
      <c r="Q1057" s="960">
        <v>20.0</v>
      </c>
      <c r="R1057" s="960">
        <v>76.0</v>
      </c>
      <c r="S1057" s="960">
        <v>139.0</v>
      </c>
      <c r="T1057" s="960">
        <v>152.0</v>
      </c>
      <c r="U1057" s="960">
        <f t="array" ref="U1057">HLOOKUP($J1057,'Type Chart'!$C$2:$T$20,2,false)*HLOOKUP($K1057,'Type Chart'!$C$2:$U$20,2,false)</f>
        <v>1</v>
      </c>
      <c r="V1057" s="960">
        <f t="array" ref="V1057">HLOOKUP($J1057,'Type Chart'!$C$2:$T$20,3,false)*HLOOKUP($K1057,'Type Chart'!$C$2:$U$20,3,false)</f>
        <v>1</v>
      </c>
      <c r="W1057" s="960">
        <f t="array" ref="W1057">HLOOKUP($J1057,'Type Chart'!$C$2:$T$20,4,false)*HLOOKUP($K1057,'Type Chart'!$C$2:$U$20,4,false)</f>
        <v>2</v>
      </c>
      <c r="X1057" s="960">
        <f t="array" ref="X1057">HLOOKUP($J1057,'Type Chart'!$C$2:$T$20,5,false)*HLOOKUP($K1057,'Type Chart'!$C$2:$U$20,5,false)</f>
        <v>2</v>
      </c>
      <c r="Y1057" s="960">
        <f t="array" ref="Y1057">HLOOKUP($J1057,'Type Chart'!$C$2:$T$20,6,false)*HLOOKUP($K1057,'Type Chart'!$C$2:$U$20,6,false)</f>
        <v>0.5</v>
      </c>
      <c r="Z1057" s="960">
        <f t="array" ref="Z1057">HLOOKUP($J1057,'Type Chart'!$C$2:$T$20,7,false)*HLOOKUP($K1057,'Type Chart'!$C$2:$U$20,7,false)</f>
        <v>1</v>
      </c>
      <c r="AA1057" s="960">
        <f t="array" ref="AA1057">HLOOKUP($J1057,'Type Chart'!$C$2:$T$20,8,false)*HLOOKUP($K1057,'Type Chart'!$C$2:$U$20,8,false)</f>
        <v>2</v>
      </c>
      <c r="AB1057" s="960">
        <f t="array" ref="AB1057">HLOOKUP($J1057,'Type Chart'!$C$2:$T$20,9,false)*HLOOKUP($K1057,'Type Chart'!$C$2:$U$20,9,false)</f>
        <v>1</v>
      </c>
      <c r="AC1057" s="960">
        <f t="array" ref="AC1057">HLOOKUP($J1057,'Type Chart'!$C$2:$T$20,10,false)*HLOOKUP($K1057,'Type Chart'!$C$2:$U$20,10,false)</f>
        <v>1</v>
      </c>
      <c r="AD1057" s="960">
        <f t="array" ref="AD1057">HLOOKUP($J1057,'Type Chart'!$C$2:$T$20,11,false)*HLOOKUP($K1057,'Type Chart'!$C$2:$U$20,11,false)</f>
        <v>1</v>
      </c>
      <c r="AE1057" s="960">
        <f t="array" ref="AE1057">HLOOKUP($J1057,'Type Chart'!$C$2:$T$20,12,false)*HLOOKUP($K1057,'Type Chart'!$C$2:$U$20,12,false)</f>
        <v>0.25</v>
      </c>
      <c r="AF1057" s="960">
        <f t="array" ref="AF1057">HLOOKUP($J1057,'Type Chart'!$C$2:$T$20,13,false)*HLOOKUP($K1057,'Type Chart'!$C$2:$U$20,13,false)</f>
        <v>0.25</v>
      </c>
      <c r="AG1057" s="960">
        <f t="array" ref="AG1057">HLOOKUP($J1057,'Type Chart'!$C$2:$T$20,14,false)*HLOOKUP($K1057,'Type Chart'!$C$2:$U$20,14,false)</f>
        <v>0.25</v>
      </c>
      <c r="AH1057" s="960">
        <f t="array" ref="AH1057">HLOOKUP($J1057,'Type Chart'!$C$2:$T$20,15,false)*HLOOKUP($K1057,'Type Chart'!$C$2:$U$20,15,false)</f>
        <v>1</v>
      </c>
      <c r="AI1057" s="960">
        <f t="array" ref="AI1057">HLOOKUP($J1057,'Type Chart'!$C$2:$T$20,16,false)*HLOOKUP($K1057,'Type Chart'!$C$2:$U$20,16,false)</f>
        <v>4</v>
      </c>
      <c r="AJ1057" s="960">
        <f t="array" ref="AJ1057">HLOOKUP($J1057,'Type Chart'!$C$2:$T$20,17,false)*HLOOKUP($K1057,'Type Chart'!$C$2:$U$20,17,false)</f>
        <v>2</v>
      </c>
      <c r="AK1057" s="960">
        <f t="array" ref="AK1057">HLOOKUP($J1057,'Type Chart'!$C$2:$T$20,18,false)*HLOOKUP($K1057,'Type Chart'!$C$2:$U$20,18,false)</f>
        <v>1</v>
      </c>
      <c r="AL1057" s="960">
        <f t="array" ref="AL1057">HLOOKUP($J1057,'Type Chart'!$C$2:$T$20,19,false)*HLOOKUP($K1057,'Type Chart'!$C$2:$U$20,19,false)</f>
        <v>2</v>
      </c>
      <c r="AM1057" s="964" t="s">
        <v>3936</v>
      </c>
      <c r="AN1057" s="964" t="s">
        <v>1044</v>
      </c>
      <c r="AO1057" s="966" t="s">
        <v>3259</v>
      </c>
      <c r="AP1057" s="936"/>
      <c r="AQ1057" s="967"/>
      <c r="AR1057" s="968"/>
      <c r="AS1057" s="936"/>
    </row>
    <row r="1058" ht="15.75" customHeight="1">
      <c r="A1058" s="936"/>
      <c r="B1058" s="948" t="s">
        <v>3937</v>
      </c>
      <c r="C1058" s="950" t="s">
        <v>3938</v>
      </c>
      <c r="D1058" s="950" t="s">
        <v>3938</v>
      </c>
      <c r="E1058" s="952" t="s">
        <v>3938</v>
      </c>
      <c r="F1058" s="940"/>
      <c r="G1058" s="953"/>
      <c r="H1058" s="969"/>
      <c r="I1058" s="956" t="s">
        <v>711</v>
      </c>
      <c r="J1058" s="957" t="s">
        <v>209</v>
      </c>
      <c r="K1058" s="1006" t="s">
        <v>346</v>
      </c>
      <c r="L1058" s="959">
        <v>70.0</v>
      </c>
      <c r="M1058" s="960">
        <v>110.0</v>
      </c>
      <c r="N1058" s="960">
        <v>80.0</v>
      </c>
      <c r="O1058" s="960">
        <v>95.0</v>
      </c>
      <c r="P1058" s="960">
        <v>60.0</v>
      </c>
      <c r="Q1058" s="960">
        <v>70.0</v>
      </c>
      <c r="R1058" s="960">
        <v>176.0</v>
      </c>
      <c r="S1058" s="960">
        <v>239.0</v>
      </c>
      <c r="T1058" s="960">
        <v>262.0</v>
      </c>
      <c r="U1058" s="960">
        <f t="array" ref="U1058">HLOOKUP($J1058,'Type Chart'!$C$2:$T$20,2,false)*HLOOKUP($K1058,'Type Chart'!$C$2:$U$20,2,false)</f>
        <v>1</v>
      </c>
      <c r="V1058" s="960">
        <f t="array" ref="V1058">HLOOKUP($J1058,'Type Chart'!$C$2:$T$20,3,false)*HLOOKUP($K1058,'Type Chart'!$C$2:$U$20,3,false)</f>
        <v>1</v>
      </c>
      <c r="W1058" s="960">
        <f t="array" ref="W1058">HLOOKUP($J1058,'Type Chart'!$C$2:$T$20,4,false)*HLOOKUP($K1058,'Type Chart'!$C$2:$U$20,4,false)</f>
        <v>2</v>
      </c>
      <c r="X1058" s="960">
        <f t="array" ref="X1058">HLOOKUP($J1058,'Type Chart'!$C$2:$T$20,5,false)*HLOOKUP($K1058,'Type Chart'!$C$2:$U$20,5,false)</f>
        <v>2</v>
      </c>
      <c r="Y1058" s="960">
        <f t="array" ref="Y1058">HLOOKUP($J1058,'Type Chart'!$C$2:$T$20,6,false)*HLOOKUP($K1058,'Type Chart'!$C$2:$U$20,6,false)</f>
        <v>0.5</v>
      </c>
      <c r="Z1058" s="960">
        <f t="array" ref="Z1058">HLOOKUP($J1058,'Type Chart'!$C$2:$T$20,7,false)*HLOOKUP($K1058,'Type Chart'!$C$2:$U$20,7,false)</f>
        <v>1</v>
      </c>
      <c r="AA1058" s="960">
        <f t="array" ref="AA1058">HLOOKUP($J1058,'Type Chart'!$C$2:$T$20,8,false)*HLOOKUP($K1058,'Type Chart'!$C$2:$U$20,8,false)</f>
        <v>2</v>
      </c>
      <c r="AB1058" s="960">
        <f t="array" ref="AB1058">HLOOKUP($J1058,'Type Chart'!$C$2:$T$20,9,false)*HLOOKUP($K1058,'Type Chart'!$C$2:$U$20,9,false)</f>
        <v>1</v>
      </c>
      <c r="AC1058" s="960">
        <f t="array" ref="AC1058">HLOOKUP($J1058,'Type Chart'!$C$2:$T$20,10,false)*HLOOKUP($K1058,'Type Chart'!$C$2:$U$20,10,false)</f>
        <v>1</v>
      </c>
      <c r="AD1058" s="960">
        <f t="array" ref="AD1058">HLOOKUP($J1058,'Type Chart'!$C$2:$T$20,11,false)*HLOOKUP($K1058,'Type Chart'!$C$2:$U$20,11,false)</f>
        <v>1</v>
      </c>
      <c r="AE1058" s="960">
        <f t="array" ref="AE1058">HLOOKUP($J1058,'Type Chart'!$C$2:$T$20,12,false)*HLOOKUP($K1058,'Type Chart'!$C$2:$U$20,12,false)</f>
        <v>0.25</v>
      </c>
      <c r="AF1058" s="960">
        <f t="array" ref="AF1058">HLOOKUP($J1058,'Type Chart'!$C$2:$T$20,13,false)*HLOOKUP($K1058,'Type Chart'!$C$2:$U$20,13,false)</f>
        <v>0.25</v>
      </c>
      <c r="AG1058" s="960">
        <f t="array" ref="AG1058">HLOOKUP($J1058,'Type Chart'!$C$2:$T$20,14,false)*HLOOKUP($K1058,'Type Chart'!$C$2:$U$20,14,false)</f>
        <v>0.25</v>
      </c>
      <c r="AH1058" s="960">
        <f t="array" ref="AH1058">HLOOKUP($J1058,'Type Chart'!$C$2:$T$20,15,false)*HLOOKUP($K1058,'Type Chart'!$C$2:$U$20,15,false)</f>
        <v>1</v>
      </c>
      <c r="AI1058" s="960">
        <f t="array" ref="AI1058">HLOOKUP($J1058,'Type Chart'!$C$2:$T$20,16,false)*HLOOKUP($K1058,'Type Chart'!$C$2:$U$20,16,false)</f>
        <v>4</v>
      </c>
      <c r="AJ1058" s="960">
        <f t="array" ref="AJ1058">HLOOKUP($J1058,'Type Chart'!$C$2:$T$20,17,false)*HLOOKUP($K1058,'Type Chart'!$C$2:$U$20,17,false)</f>
        <v>2</v>
      </c>
      <c r="AK1058" s="960">
        <f t="array" ref="AK1058">HLOOKUP($J1058,'Type Chart'!$C$2:$T$20,18,false)*HLOOKUP($K1058,'Type Chart'!$C$2:$U$20,18,false)</f>
        <v>1</v>
      </c>
      <c r="AL1058" s="960">
        <f t="array" ref="AL1058">HLOOKUP($J1058,'Type Chart'!$C$2:$T$20,19,false)*HLOOKUP($K1058,'Type Chart'!$C$2:$U$20,19,false)</f>
        <v>2</v>
      </c>
      <c r="AM1058" s="964" t="s">
        <v>3936</v>
      </c>
      <c r="AN1058" s="964" t="s">
        <v>1044</v>
      </c>
      <c r="AO1058" s="966" t="s">
        <v>1039</v>
      </c>
      <c r="AP1058" s="936"/>
      <c r="AQ1058" s="967"/>
      <c r="AR1058" s="968"/>
      <c r="AS1058" s="936"/>
    </row>
    <row r="1059" ht="15.75" customHeight="1">
      <c r="A1059" s="936"/>
      <c r="B1059" s="948" t="s">
        <v>3939</v>
      </c>
      <c r="C1059" s="950" t="s">
        <v>3940</v>
      </c>
      <c r="D1059" s="950" t="s">
        <v>3940</v>
      </c>
      <c r="E1059" s="952" t="s">
        <v>3941</v>
      </c>
      <c r="F1059" s="940"/>
      <c r="G1059" s="953"/>
      <c r="H1059" s="969"/>
      <c r="I1059" s="956" t="s">
        <v>3942</v>
      </c>
      <c r="J1059" s="957" t="s">
        <v>209</v>
      </c>
      <c r="K1059" s="1006" t="s">
        <v>346</v>
      </c>
      <c r="L1059" s="959">
        <v>70.0</v>
      </c>
      <c r="M1059" s="960">
        <v>110.0</v>
      </c>
      <c r="N1059" s="960">
        <v>80.0</v>
      </c>
      <c r="O1059" s="960">
        <v>95.0</v>
      </c>
      <c r="P1059" s="960">
        <v>60.0</v>
      </c>
      <c r="Q1059" s="960">
        <v>70.0</v>
      </c>
      <c r="R1059" s="960">
        <v>176.0</v>
      </c>
      <c r="S1059" s="960">
        <v>239.0</v>
      </c>
      <c r="T1059" s="960">
        <v>262.0</v>
      </c>
      <c r="U1059" s="960">
        <f t="array" ref="U1059">HLOOKUP($J1059,'Type Chart'!$C$2:$T$20,2,false)*HLOOKUP($K1059,'Type Chart'!$C$2:$U$20,2,false)</f>
        <v>1</v>
      </c>
      <c r="V1059" s="960">
        <f t="array" ref="V1059">HLOOKUP($J1059,'Type Chart'!$C$2:$T$20,3,false)*HLOOKUP($K1059,'Type Chart'!$C$2:$U$20,3,false)</f>
        <v>1</v>
      </c>
      <c r="W1059" s="960">
        <f t="array" ref="W1059">HLOOKUP($J1059,'Type Chart'!$C$2:$T$20,4,false)*HLOOKUP($K1059,'Type Chart'!$C$2:$U$20,4,false)</f>
        <v>2</v>
      </c>
      <c r="X1059" s="960">
        <f t="array" ref="X1059">HLOOKUP($J1059,'Type Chart'!$C$2:$T$20,5,false)*HLOOKUP($K1059,'Type Chart'!$C$2:$U$20,5,false)</f>
        <v>2</v>
      </c>
      <c r="Y1059" s="960">
        <f t="array" ref="Y1059">HLOOKUP($J1059,'Type Chart'!$C$2:$T$20,6,false)*HLOOKUP($K1059,'Type Chart'!$C$2:$U$20,6,false)</f>
        <v>0.5</v>
      </c>
      <c r="Z1059" s="960">
        <f t="array" ref="Z1059">HLOOKUP($J1059,'Type Chart'!$C$2:$T$20,7,false)*HLOOKUP($K1059,'Type Chart'!$C$2:$U$20,7,false)</f>
        <v>1</v>
      </c>
      <c r="AA1059" s="960">
        <f t="array" ref="AA1059">HLOOKUP($J1059,'Type Chart'!$C$2:$T$20,8,false)*HLOOKUP($K1059,'Type Chart'!$C$2:$U$20,8,false)</f>
        <v>2</v>
      </c>
      <c r="AB1059" s="960">
        <f t="array" ref="AB1059">HLOOKUP($J1059,'Type Chart'!$C$2:$T$20,9,false)*HLOOKUP($K1059,'Type Chart'!$C$2:$U$20,9,false)</f>
        <v>1</v>
      </c>
      <c r="AC1059" s="960">
        <f t="array" ref="AC1059">HLOOKUP($J1059,'Type Chart'!$C$2:$T$20,10,false)*HLOOKUP($K1059,'Type Chart'!$C$2:$U$20,10,false)</f>
        <v>1</v>
      </c>
      <c r="AD1059" s="960">
        <f t="array" ref="AD1059">HLOOKUP($J1059,'Type Chart'!$C$2:$T$20,11,false)*HLOOKUP($K1059,'Type Chart'!$C$2:$U$20,11,false)</f>
        <v>1</v>
      </c>
      <c r="AE1059" s="960">
        <f t="array" ref="AE1059">HLOOKUP($J1059,'Type Chart'!$C$2:$T$20,12,false)*HLOOKUP($K1059,'Type Chart'!$C$2:$U$20,12,false)</f>
        <v>0.25</v>
      </c>
      <c r="AF1059" s="960">
        <f t="array" ref="AF1059">HLOOKUP($J1059,'Type Chart'!$C$2:$T$20,13,false)*HLOOKUP($K1059,'Type Chart'!$C$2:$U$20,13,false)</f>
        <v>0.25</v>
      </c>
      <c r="AG1059" s="960">
        <f t="array" ref="AG1059">HLOOKUP($J1059,'Type Chart'!$C$2:$T$20,14,false)*HLOOKUP($K1059,'Type Chart'!$C$2:$U$20,14,false)</f>
        <v>0.25</v>
      </c>
      <c r="AH1059" s="960">
        <f t="array" ref="AH1059">HLOOKUP($J1059,'Type Chart'!$C$2:$T$20,15,false)*HLOOKUP($K1059,'Type Chart'!$C$2:$U$20,15,false)</f>
        <v>1</v>
      </c>
      <c r="AI1059" s="960">
        <f t="array" ref="AI1059">HLOOKUP($J1059,'Type Chart'!$C$2:$T$20,16,false)*HLOOKUP($K1059,'Type Chart'!$C$2:$U$20,16,false)</f>
        <v>4</v>
      </c>
      <c r="AJ1059" s="960">
        <f t="array" ref="AJ1059">HLOOKUP($J1059,'Type Chart'!$C$2:$T$20,17,false)*HLOOKUP($K1059,'Type Chart'!$C$2:$U$20,17,false)</f>
        <v>2</v>
      </c>
      <c r="AK1059" s="960">
        <f t="array" ref="AK1059">HLOOKUP($J1059,'Type Chart'!$C$2:$T$20,18,false)*HLOOKUP($K1059,'Type Chart'!$C$2:$U$20,18,false)</f>
        <v>1</v>
      </c>
      <c r="AL1059" s="960">
        <f t="array" ref="AL1059">HLOOKUP($J1059,'Type Chart'!$C$2:$T$20,19,false)*HLOOKUP($K1059,'Type Chart'!$C$2:$U$20,19,false)</f>
        <v>2</v>
      </c>
      <c r="AM1059" s="964" t="s">
        <v>3936</v>
      </c>
      <c r="AN1059" s="964" t="s">
        <v>1044</v>
      </c>
      <c r="AO1059" s="966" t="s">
        <v>1039</v>
      </c>
      <c r="AP1059" s="936"/>
      <c r="AQ1059" s="967"/>
      <c r="AR1059" s="968"/>
      <c r="AS1059" s="936"/>
    </row>
    <row r="1060" ht="15.75" customHeight="1">
      <c r="A1060" s="936"/>
      <c r="B1060" s="948" t="s">
        <v>3943</v>
      </c>
      <c r="C1060" s="950" t="s">
        <v>3944</v>
      </c>
      <c r="D1060" s="950" t="s">
        <v>3944</v>
      </c>
      <c r="E1060" s="952" t="s">
        <v>3944</v>
      </c>
      <c r="F1060" s="940"/>
      <c r="G1060" s="953"/>
      <c r="H1060" s="969"/>
      <c r="I1060" s="998" t="s">
        <v>671</v>
      </c>
      <c r="J1060" s="957" t="s">
        <v>209</v>
      </c>
      <c r="K1060" s="1006" t="s">
        <v>346</v>
      </c>
      <c r="L1060" s="959">
        <v>110.0</v>
      </c>
      <c r="M1060" s="960">
        <v>85.0</v>
      </c>
      <c r="N1060" s="960">
        <v>80.0</v>
      </c>
      <c r="O1060" s="960">
        <v>100.0</v>
      </c>
      <c r="P1060" s="960">
        <v>80.0</v>
      </c>
      <c r="Q1060" s="960">
        <v>30.0</v>
      </c>
      <c r="R1060" s="960">
        <v>96.0</v>
      </c>
      <c r="S1060" s="960">
        <v>159.0</v>
      </c>
      <c r="T1060" s="960">
        <v>174.0</v>
      </c>
      <c r="U1060" s="960">
        <f t="array" ref="U1060">HLOOKUP($J1060,'Type Chart'!$C$2:$T$20,2,false)*HLOOKUP($K1060,'Type Chart'!$C$2:$U$20,2,false)</f>
        <v>1</v>
      </c>
      <c r="V1060" s="960">
        <f t="array" ref="V1060">HLOOKUP($J1060,'Type Chart'!$C$2:$T$20,3,false)*HLOOKUP($K1060,'Type Chart'!$C$2:$U$20,3,false)</f>
        <v>1</v>
      </c>
      <c r="W1060" s="960">
        <f t="array" ref="W1060">HLOOKUP($J1060,'Type Chart'!$C$2:$T$20,4,false)*HLOOKUP($K1060,'Type Chart'!$C$2:$U$20,4,false)</f>
        <v>2</v>
      </c>
      <c r="X1060" s="960">
        <f t="array" ref="X1060">HLOOKUP($J1060,'Type Chart'!$C$2:$T$20,5,false)*HLOOKUP($K1060,'Type Chart'!$C$2:$U$20,5,false)</f>
        <v>2</v>
      </c>
      <c r="Y1060" s="960">
        <f t="array" ref="Y1060">HLOOKUP($J1060,'Type Chart'!$C$2:$T$20,6,false)*HLOOKUP($K1060,'Type Chart'!$C$2:$U$20,6,false)</f>
        <v>0.5</v>
      </c>
      <c r="Z1060" s="960">
        <f t="array" ref="Z1060">HLOOKUP($J1060,'Type Chart'!$C$2:$T$20,7,false)*HLOOKUP($K1060,'Type Chart'!$C$2:$U$20,7,false)</f>
        <v>1</v>
      </c>
      <c r="AA1060" s="960">
        <f t="array" ref="AA1060">HLOOKUP($J1060,'Type Chart'!$C$2:$T$20,8,false)*HLOOKUP($K1060,'Type Chart'!$C$2:$U$20,8,false)</f>
        <v>2</v>
      </c>
      <c r="AB1060" s="960">
        <f t="array" ref="AB1060">HLOOKUP($J1060,'Type Chart'!$C$2:$T$20,9,false)*HLOOKUP($K1060,'Type Chart'!$C$2:$U$20,9,false)</f>
        <v>1</v>
      </c>
      <c r="AC1060" s="960">
        <f t="array" ref="AC1060">HLOOKUP($J1060,'Type Chart'!$C$2:$T$20,10,false)*HLOOKUP($K1060,'Type Chart'!$C$2:$U$20,10,false)</f>
        <v>1</v>
      </c>
      <c r="AD1060" s="960">
        <f t="array" ref="AD1060">HLOOKUP($J1060,'Type Chart'!$C$2:$T$20,11,false)*HLOOKUP($K1060,'Type Chart'!$C$2:$U$20,11,false)</f>
        <v>1</v>
      </c>
      <c r="AE1060" s="960">
        <f t="array" ref="AE1060">HLOOKUP($J1060,'Type Chart'!$C$2:$T$20,12,false)*HLOOKUP($K1060,'Type Chart'!$C$2:$U$20,12,false)</f>
        <v>0.25</v>
      </c>
      <c r="AF1060" s="960">
        <f t="array" ref="AF1060">HLOOKUP($J1060,'Type Chart'!$C$2:$T$20,13,false)*HLOOKUP($K1060,'Type Chart'!$C$2:$U$20,13,false)</f>
        <v>0.25</v>
      </c>
      <c r="AG1060" s="960">
        <f t="array" ref="AG1060">HLOOKUP($J1060,'Type Chart'!$C$2:$T$20,14,false)*HLOOKUP($K1060,'Type Chart'!$C$2:$U$20,14,false)</f>
        <v>0.25</v>
      </c>
      <c r="AH1060" s="960">
        <f t="array" ref="AH1060">HLOOKUP($J1060,'Type Chart'!$C$2:$T$20,15,false)*HLOOKUP($K1060,'Type Chart'!$C$2:$U$20,15,false)</f>
        <v>1</v>
      </c>
      <c r="AI1060" s="960">
        <f t="array" ref="AI1060">HLOOKUP($J1060,'Type Chart'!$C$2:$T$20,16,false)*HLOOKUP($K1060,'Type Chart'!$C$2:$U$20,16,false)</f>
        <v>4</v>
      </c>
      <c r="AJ1060" s="960">
        <f t="array" ref="AJ1060">HLOOKUP($J1060,'Type Chart'!$C$2:$T$20,17,false)*HLOOKUP($K1060,'Type Chart'!$C$2:$U$20,17,false)</f>
        <v>2</v>
      </c>
      <c r="AK1060" s="960">
        <f t="array" ref="AK1060">HLOOKUP($J1060,'Type Chart'!$C$2:$T$20,18,false)*HLOOKUP($K1060,'Type Chart'!$C$2:$U$20,18,false)</f>
        <v>1</v>
      </c>
      <c r="AL1060" s="960">
        <f t="array" ref="AL1060">HLOOKUP($J1060,'Type Chart'!$C$2:$T$20,19,false)*HLOOKUP($K1060,'Type Chart'!$C$2:$U$20,19,false)</f>
        <v>2</v>
      </c>
      <c r="AM1060" s="964" t="s">
        <v>3936</v>
      </c>
      <c r="AN1060" s="964" t="s">
        <v>1044</v>
      </c>
      <c r="AO1060" s="966" t="s">
        <v>760</v>
      </c>
      <c r="AP1060" s="936"/>
      <c r="AQ1060" s="967"/>
      <c r="AR1060" s="968"/>
      <c r="AS1060" s="936"/>
    </row>
    <row r="1061" ht="15.75" customHeight="1">
      <c r="A1061" s="1099"/>
      <c r="B1061" s="948" t="s">
        <v>3945</v>
      </c>
      <c r="C1061" s="950" t="s">
        <v>3946</v>
      </c>
      <c r="D1061" s="950" t="s">
        <v>3946</v>
      </c>
      <c r="E1061" s="952" t="s">
        <v>3946</v>
      </c>
      <c r="F1061" s="940"/>
      <c r="G1061" s="953"/>
      <c r="H1061" s="969"/>
      <c r="I1061" s="956" t="s">
        <v>3947</v>
      </c>
      <c r="J1061" s="1204" t="s">
        <v>80</v>
      </c>
      <c r="K1061" s="984" t="s">
        <v>216</v>
      </c>
      <c r="L1061" s="959">
        <v>52.0</v>
      </c>
      <c r="M1061" s="960">
        <v>57.0</v>
      </c>
      <c r="N1061" s="960">
        <v>75.0</v>
      </c>
      <c r="O1061" s="960">
        <v>35.0</v>
      </c>
      <c r="P1061" s="960">
        <v>50.0</v>
      </c>
      <c r="Q1061" s="960">
        <v>46.0</v>
      </c>
      <c r="R1061" s="960">
        <v>128.0</v>
      </c>
      <c r="S1061" s="960">
        <v>191.0</v>
      </c>
      <c r="T1061" s="960">
        <v>210.0</v>
      </c>
      <c r="U1061" s="960">
        <f t="array" ref="U1061">HLOOKUP($J1061,'Type Chart'!$C$2:$T$20,2,false)*HLOOKUP($K1061,'Type Chart'!$C$2:$U$20,2,false)</f>
        <v>1</v>
      </c>
      <c r="V1061" s="960">
        <f t="array" ref="V1061">HLOOKUP($J1061,'Type Chart'!$C$2:$T$20,3,false)*HLOOKUP($K1061,'Type Chart'!$C$2:$U$20,3,false)</f>
        <v>1</v>
      </c>
      <c r="W1061" s="960">
        <f t="array" ref="W1061">HLOOKUP($J1061,'Type Chart'!$C$2:$T$20,4,false)*HLOOKUP($K1061,'Type Chart'!$C$2:$U$20,4,false)</f>
        <v>1</v>
      </c>
      <c r="X1061" s="960">
        <f t="array" ref="X1061">HLOOKUP($J1061,'Type Chart'!$C$2:$T$20,5,false)*HLOOKUP($K1061,'Type Chart'!$C$2:$U$20,5,false)</f>
        <v>0.5</v>
      </c>
      <c r="Y1061" s="960">
        <f t="array" ref="Y1061">HLOOKUP($J1061,'Type Chart'!$C$2:$T$20,6,false)*HLOOKUP($K1061,'Type Chart'!$C$2:$U$20,6,false)</f>
        <v>1</v>
      </c>
      <c r="Z1061" s="960">
        <f t="array" ref="Z1061">HLOOKUP($J1061,'Type Chart'!$C$2:$T$20,7,false)*HLOOKUP($K1061,'Type Chart'!$C$2:$U$20,7,false)</f>
        <v>0.5</v>
      </c>
      <c r="AA1061" s="960">
        <f t="array" ref="AA1061">HLOOKUP($J1061,'Type Chart'!$C$2:$T$20,8,false)*HLOOKUP($K1061,'Type Chart'!$C$2:$U$20,8,false)</f>
        <v>1</v>
      </c>
      <c r="AB1061" s="960">
        <f t="array" ref="AB1061">HLOOKUP($J1061,'Type Chart'!$C$2:$T$20,9,false)*HLOOKUP($K1061,'Type Chart'!$C$2:$U$20,9,false)</f>
        <v>1</v>
      </c>
      <c r="AC1061" s="960">
        <f t="array" ref="AC1061">HLOOKUP($J1061,'Type Chart'!$C$2:$T$20,10,false)*HLOOKUP($K1061,'Type Chart'!$C$2:$U$20,10,false)</f>
        <v>1</v>
      </c>
      <c r="AD1061" s="960">
        <f t="array" ref="AD1061">HLOOKUP($J1061,'Type Chart'!$C$2:$T$20,11,false)*HLOOKUP($K1061,'Type Chart'!$C$2:$U$20,11,false)</f>
        <v>1</v>
      </c>
      <c r="AE1061" s="960">
        <f t="array" ref="AE1061">HLOOKUP($J1061,'Type Chart'!$C$2:$T$20,12,false)*HLOOKUP($K1061,'Type Chart'!$C$2:$U$20,12,false)</f>
        <v>2</v>
      </c>
      <c r="AF1061" s="960">
        <f t="array" ref="AF1061">HLOOKUP($J1061,'Type Chart'!$C$2:$T$20,13,false)*HLOOKUP($K1061,'Type Chart'!$C$2:$U$20,13,false)</f>
        <v>2</v>
      </c>
      <c r="AG1061" s="960">
        <f t="array" ref="AG1061">HLOOKUP($J1061,'Type Chart'!$C$2:$T$20,14,false)*HLOOKUP($K1061,'Type Chart'!$C$2:$U$20,14,false)</f>
        <v>0</v>
      </c>
      <c r="AH1061" s="960">
        <f t="array" ref="AH1061">HLOOKUP($J1061,'Type Chart'!$C$2:$T$20,15,false)*HLOOKUP($K1061,'Type Chart'!$C$2:$U$20,15,false)</f>
        <v>1</v>
      </c>
      <c r="AI1061" s="960">
        <f t="array" ref="AI1061">HLOOKUP($J1061,'Type Chart'!$C$2:$T$20,16,false)*HLOOKUP($K1061,'Type Chart'!$C$2:$U$20,16,false)</f>
        <v>2</v>
      </c>
      <c r="AJ1061" s="960">
        <f t="array" ref="AJ1061">HLOOKUP($J1061,'Type Chart'!$C$2:$T$20,17,false)*HLOOKUP($K1061,'Type Chart'!$C$2:$U$20,17,false)</f>
        <v>1</v>
      </c>
      <c r="AK1061" s="960">
        <f t="array" ref="AK1061">HLOOKUP($J1061,'Type Chart'!$C$2:$T$20,18,false)*HLOOKUP($K1061,'Type Chart'!$C$2:$U$20,18,false)</f>
        <v>1</v>
      </c>
      <c r="AL1061" s="960">
        <f t="array" ref="AL1061">HLOOKUP($J1061,'Type Chart'!$C$2:$T$20,19,false)*HLOOKUP($K1061,'Type Chart'!$C$2:$U$20,19,false)</f>
        <v>1</v>
      </c>
      <c r="AM1061" s="1145" t="s">
        <v>3948</v>
      </c>
      <c r="AN1061" s="964" t="s">
        <v>998</v>
      </c>
      <c r="AO1061" s="966" t="s">
        <v>1129</v>
      </c>
      <c r="AP1061" s="936"/>
      <c r="AQ1061" s="967"/>
      <c r="AR1061" s="968"/>
      <c r="AS1061" s="936"/>
    </row>
    <row r="1062" ht="15.75" customHeight="1">
      <c r="A1062" s="936"/>
      <c r="B1062" s="948" t="s">
        <v>3949</v>
      </c>
      <c r="C1062" s="950" t="s">
        <v>3950</v>
      </c>
      <c r="D1062" s="950" t="s">
        <v>3950</v>
      </c>
      <c r="E1062" s="952" t="s">
        <v>3950</v>
      </c>
      <c r="F1062" s="940"/>
      <c r="G1062" s="953"/>
      <c r="H1062" s="969"/>
      <c r="I1062" s="956" t="s">
        <v>722</v>
      </c>
      <c r="J1062" s="1204" t="s">
        <v>80</v>
      </c>
      <c r="K1062" s="984" t="s">
        <v>216</v>
      </c>
      <c r="L1062" s="959">
        <v>72.0</v>
      </c>
      <c r="M1062" s="960">
        <v>107.0</v>
      </c>
      <c r="N1062" s="960">
        <v>125.0</v>
      </c>
      <c r="O1062" s="960">
        <v>65.0</v>
      </c>
      <c r="P1062" s="960">
        <v>70.0</v>
      </c>
      <c r="Q1062" s="960">
        <v>71.0</v>
      </c>
      <c r="R1062" s="960">
        <v>178.0</v>
      </c>
      <c r="S1062" s="960">
        <v>241.0</v>
      </c>
      <c r="T1062" s="960">
        <v>265.0</v>
      </c>
      <c r="U1062" s="960">
        <f t="array" ref="U1062">HLOOKUP($J1062,'Type Chart'!$C$2:$T$20,2,false)*HLOOKUP($K1062,'Type Chart'!$C$2:$U$20,2,false)</f>
        <v>1</v>
      </c>
      <c r="V1062" s="960">
        <f t="array" ref="V1062">HLOOKUP($J1062,'Type Chart'!$C$2:$T$20,3,false)*HLOOKUP($K1062,'Type Chart'!$C$2:$U$20,3,false)</f>
        <v>1</v>
      </c>
      <c r="W1062" s="960">
        <f t="array" ref="W1062">HLOOKUP($J1062,'Type Chart'!$C$2:$T$20,4,false)*HLOOKUP($K1062,'Type Chart'!$C$2:$U$20,4,false)</f>
        <v>1</v>
      </c>
      <c r="X1062" s="960">
        <f t="array" ref="X1062">HLOOKUP($J1062,'Type Chart'!$C$2:$T$20,5,false)*HLOOKUP($K1062,'Type Chart'!$C$2:$U$20,5,false)</f>
        <v>0.5</v>
      </c>
      <c r="Y1062" s="960">
        <f t="array" ref="Y1062">HLOOKUP($J1062,'Type Chart'!$C$2:$T$20,6,false)*HLOOKUP($K1062,'Type Chart'!$C$2:$U$20,6,false)</f>
        <v>1</v>
      </c>
      <c r="Z1062" s="960">
        <f t="array" ref="Z1062">HLOOKUP($J1062,'Type Chart'!$C$2:$T$20,7,false)*HLOOKUP($K1062,'Type Chart'!$C$2:$U$20,7,false)</f>
        <v>0.5</v>
      </c>
      <c r="AA1062" s="960">
        <f t="array" ref="AA1062">HLOOKUP($J1062,'Type Chart'!$C$2:$T$20,8,false)*HLOOKUP($K1062,'Type Chart'!$C$2:$U$20,8,false)</f>
        <v>1</v>
      </c>
      <c r="AB1062" s="960">
        <f t="array" ref="AB1062">HLOOKUP($J1062,'Type Chart'!$C$2:$T$20,9,false)*HLOOKUP($K1062,'Type Chart'!$C$2:$U$20,9,false)</f>
        <v>1</v>
      </c>
      <c r="AC1062" s="960">
        <f t="array" ref="AC1062">HLOOKUP($J1062,'Type Chart'!$C$2:$T$20,10,false)*HLOOKUP($K1062,'Type Chart'!$C$2:$U$20,10,false)</f>
        <v>1</v>
      </c>
      <c r="AD1062" s="960">
        <f t="array" ref="AD1062">HLOOKUP($J1062,'Type Chart'!$C$2:$T$20,11,false)*HLOOKUP($K1062,'Type Chart'!$C$2:$U$20,11,false)</f>
        <v>1</v>
      </c>
      <c r="AE1062" s="960">
        <f t="array" ref="AE1062">HLOOKUP($J1062,'Type Chart'!$C$2:$T$20,12,false)*HLOOKUP($K1062,'Type Chart'!$C$2:$U$20,12,false)</f>
        <v>2</v>
      </c>
      <c r="AF1062" s="960">
        <f t="array" ref="AF1062">HLOOKUP($J1062,'Type Chart'!$C$2:$T$20,13,false)*HLOOKUP($K1062,'Type Chart'!$C$2:$U$20,13,false)</f>
        <v>2</v>
      </c>
      <c r="AG1062" s="960">
        <f t="array" ref="AG1062">HLOOKUP($J1062,'Type Chart'!$C$2:$T$20,14,false)*HLOOKUP($K1062,'Type Chart'!$C$2:$U$20,14,false)</f>
        <v>0</v>
      </c>
      <c r="AH1062" s="960">
        <f t="array" ref="AH1062">HLOOKUP($J1062,'Type Chart'!$C$2:$T$20,15,false)*HLOOKUP($K1062,'Type Chart'!$C$2:$U$20,15,false)</f>
        <v>1</v>
      </c>
      <c r="AI1062" s="960">
        <f t="array" ref="AI1062">HLOOKUP($J1062,'Type Chart'!$C$2:$T$20,16,false)*HLOOKUP($K1062,'Type Chart'!$C$2:$U$20,16,false)</f>
        <v>2</v>
      </c>
      <c r="AJ1062" s="960">
        <f t="array" ref="AJ1062">HLOOKUP($J1062,'Type Chart'!$C$2:$T$20,17,false)*HLOOKUP($K1062,'Type Chart'!$C$2:$U$20,17,false)</f>
        <v>1</v>
      </c>
      <c r="AK1062" s="960">
        <f t="array" ref="AK1062">HLOOKUP($J1062,'Type Chart'!$C$2:$T$20,18,false)*HLOOKUP($K1062,'Type Chart'!$C$2:$U$20,18,false)</f>
        <v>1</v>
      </c>
      <c r="AL1062" s="960">
        <f t="array" ref="AL1062">HLOOKUP($J1062,'Type Chart'!$C$2:$T$20,19,false)*HLOOKUP($K1062,'Type Chart'!$C$2:$U$20,19,false)</f>
        <v>1</v>
      </c>
      <c r="AM1062" s="964" t="s">
        <v>3948</v>
      </c>
      <c r="AN1062" s="964" t="s">
        <v>998</v>
      </c>
      <c r="AO1062" s="966" t="s">
        <v>1129</v>
      </c>
      <c r="AP1062" s="936"/>
      <c r="AQ1062" s="967"/>
      <c r="AR1062" s="968"/>
      <c r="AS1062" s="936"/>
    </row>
    <row r="1063" ht="15.75" customHeight="1">
      <c r="A1063" s="936"/>
      <c r="B1063" s="948" t="s">
        <v>3951</v>
      </c>
      <c r="C1063" s="950" t="s">
        <v>3952</v>
      </c>
      <c r="D1063" s="950" t="s">
        <v>3952</v>
      </c>
      <c r="E1063" s="952" t="s">
        <v>3952</v>
      </c>
      <c r="F1063" s="940"/>
      <c r="G1063" s="953"/>
      <c r="H1063" s="969"/>
      <c r="I1063" s="998" t="s">
        <v>794</v>
      </c>
      <c r="J1063" s="1001" t="s">
        <v>128</v>
      </c>
      <c r="K1063" s="1056" t="s">
        <v>81</v>
      </c>
      <c r="L1063" s="959">
        <v>70.0</v>
      </c>
      <c r="M1063" s="960">
        <v>85.0</v>
      </c>
      <c r="N1063" s="960">
        <v>55.0</v>
      </c>
      <c r="O1063" s="960">
        <v>85.0</v>
      </c>
      <c r="P1063" s="960">
        <v>95.0</v>
      </c>
      <c r="Q1063" s="960">
        <v>85.0</v>
      </c>
      <c r="R1063" s="960">
        <v>206.0</v>
      </c>
      <c r="S1063" s="960">
        <v>269.0</v>
      </c>
      <c r="T1063" s="960">
        <v>295.0</v>
      </c>
      <c r="U1063" s="960">
        <f t="array" ref="U1063">HLOOKUP($J1063,'Type Chart'!$C$2:$T$20,2,false)*HLOOKUP($K1063,'Type Chart'!$C$2:$U$20,2,false)</f>
        <v>1</v>
      </c>
      <c r="V1063" s="960">
        <f t="array" ref="V1063">HLOOKUP($J1063,'Type Chart'!$C$2:$T$20,3,false)*HLOOKUP($K1063,'Type Chart'!$C$2:$U$20,3,false)</f>
        <v>0.5</v>
      </c>
      <c r="W1063" s="960">
        <f t="array" ref="W1063">HLOOKUP($J1063,'Type Chart'!$C$2:$T$20,4,false)*HLOOKUP($K1063,'Type Chart'!$C$2:$U$20,4,false)</f>
        <v>1</v>
      </c>
      <c r="X1063" s="960">
        <f t="array" ref="X1063">HLOOKUP($J1063,'Type Chart'!$C$2:$T$20,5,false)*HLOOKUP($K1063,'Type Chart'!$C$2:$U$20,5,false)</f>
        <v>1</v>
      </c>
      <c r="Y1063" s="960">
        <f t="array" ref="Y1063">HLOOKUP($J1063,'Type Chart'!$C$2:$T$20,6,false)*HLOOKUP($K1063,'Type Chart'!$C$2:$U$20,6,false)</f>
        <v>0</v>
      </c>
      <c r="Z1063" s="960">
        <f t="array" ref="Z1063">HLOOKUP($J1063,'Type Chart'!$C$2:$T$20,7,false)*HLOOKUP($K1063,'Type Chart'!$C$2:$U$20,7,false)</f>
        <v>2</v>
      </c>
      <c r="AA1063" s="960">
        <f t="array" ref="AA1063">HLOOKUP($J1063,'Type Chart'!$C$2:$T$20,8,false)*HLOOKUP($K1063,'Type Chart'!$C$2:$U$20,8,false)</f>
        <v>0.5</v>
      </c>
      <c r="AB1063" s="960">
        <f t="array" ref="AB1063">HLOOKUP($J1063,'Type Chart'!$C$2:$T$20,9,false)*HLOOKUP($K1063,'Type Chart'!$C$2:$U$20,9,false)</f>
        <v>1</v>
      </c>
      <c r="AC1063" s="960">
        <f t="array" ref="AC1063">HLOOKUP($J1063,'Type Chart'!$C$2:$T$20,10,false)*HLOOKUP($K1063,'Type Chart'!$C$2:$U$20,10,false)</f>
        <v>0.5</v>
      </c>
      <c r="AD1063" s="960">
        <f t="array" ref="AD1063">HLOOKUP($J1063,'Type Chart'!$C$2:$T$20,11,false)*HLOOKUP($K1063,'Type Chart'!$C$2:$U$20,11,false)</f>
        <v>0.5</v>
      </c>
      <c r="AE1063" s="960">
        <f t="array" ref="AE1063">HLOOKUP($J1063,'Type Chart'!$C$2:$T$20,12,false)*HLOOKUP($K1063,'Type Chart'!$C$2:$U$20,12,false)</f>
        <v>0.5</v>
      </c>
      <c r="AF1063" s="960">
        <f t="array" ref="AF1063">HLOOKUP($J1063,'Type Chart'!$C$2:$T$20,13,false)*HLOOKUP($K1063,'Type Chart'!$C$2:$U$20,13,false)</f>
        <v>1</v>
      </c>
      <c r="AG1063" s="960">
        <f t="array" ref="AG1063">HLOOKUP($J1063,'Type Chart'!$C$2:$T$20,14,false)*HLOOKUP($K1063,'Type Chart'!$C$2:$U$20,14,false)</f>
        <v>4</v>
      </c>
      <c r="AH1063" s="960">
        <f t="array" ref="AH1063">HLOOKUP($J1063,'Type Chart'!$C$2:$T$20,15,false)*HLOOKUP($K1063,'Type Chart'!$C$2:$U$20,15,false)</f>
        <v>1</v>
      </c>
      <c r="AI1063" s="960">
        <f t="array" ref="AI1063">HLOOKUP($J1063,'Type Chart'!$C$2:$T$20,16,false)*HLOOKUP($K1063,'Type Chart'!$C$2:$U$20,16,false)</f>
        <v>1</v>
      </c>
      <c r="AJ1063" s="960">
        <f t="array" ref="AJ1063">HLOOKUP($J1063,'Type Chart'!$C$2:$T$20,17,false)*HLOOKUP($K1063,'Type Chart'!$C$2:$U$20,17,false)</f>
        <v>1</v>
      </c>
      <c r="AK1063" s="960">
        <f t="array" ref="AK1063">HLOOKUP($J1063,'Type Chart'!$C$2:$T$20,18,false)*HLOOKUP($K1063,'Type Chart'!$C$2:$U$20,18,false)</f>
        <v>1</v>
      </c>
      <c r="AL1063" s="960">
        <f t="array" ref="AL1063">HLOOKUP($J1063,'Type Chart'!$C$2:$T$20,19,false)*HLOOKUP($K1063,'Type Chart'!$C$2:$U$20,19,false)</f>
        <v>1</v>
      </c>
      <c r="AM1063" s="964" t="s">
        <v>3953</v>
      </c>
      <c r="AN1063" s="965"/>
      <c r="AO1063" s="966"/>
      <c r="AP1063" s="936"/>
      <c r="AQ1063" s="967"/>
      <c r="AR1063" s="968"/>
      <c r="AS1063" s="936"/>
    </row>
    <row r="1064" ht="15.75" customHeight="1">
      <c r="A1064" s="936"/>
      <c r="B1064" s="948" t="s">
        <v>3954</v>
      </c>
      <c r="C1064" s="950" t="s">
        <v>3955</v>
      </c>
      <c r="D1064" s="950" t="s">
        <v>3955</v>
      </c>
      <c r="E1064" s="952" t="s">
        <v>3955</v>
      </c>
      <c r="F1064" s="940"/>
      <c r="G1064" s="953"/>
      <c r="H1064" s="969"/>
      <c r="I1064" s="956" t="s">
        <v>3956</v>
      </c>
      <c r="J1064" s="1056" t="s">
        <v>81</v>
      </c>
      <c r="K1064" s="984" t="s">
        <v>216</v>
      </c>
      <c r="L1064" s="959">
        <v>41.0</v>
      </c>
      <c r="M1064" s="960">
        <v>63.0</v>
      </c>
      <c r="N1064" s="960">
        <v>40.0</v>
      </c>
      <c r="O1064" s="960">
        <v>40.0</v>
      </c>
      <c r="P1064" s="960">
        <v>30.0</v>
      </c>
      <c r="Q1064" s="960">
        <v>66.0</v>
      </c>
      <c r="R1064" s="960">
        <v>168.0</v>
      </c>
      <c r="S1064" s="960">
        <v>231.0</v>
      </c>
      <c r="T1064" s="960">
        <v>254.0</v>
      </c>
      <c r="U1064" s="960">
        <f t="array" ref="U1064">HLOOKUP($J1064,'Type Chart'!$C$2:$T$20,2,false)*HLOOKUP($K1064,'Type Chart'!$C$2:$U$20,2,false)</f>
        <v>1</v>
      </c>
      <c r="V1064" s="960">
        <f t="array" ref="V1064">HLOOKUP($J1064,'Type Chart'!$C$2:$T$20,3,false)*HLOOKUP($K1064,'Type Chart'!$C$2:$U$20,3,false)</f>
        <v>1</v>
      </c>
      <c r="W1064" s="960">
        <f t="array" ref="W1064">HLOOKUP($J1064,'Type Chart'!$C$2:$T$20,4,false)*HLOOKUP($K1064,'Type Chart'!$C$2:$U$20,4,false)</f>
        <v>1</v>
      </c>
      <c r="X1064" s="960">
        <f t="array" ref="X1064">HLOOKUP($J1064,'Type Chart'!$C$2:$T$20,5,false)*HLOOKUP($K1064,'Type Chart'!$C$2:$U$20,5,false)</f>
        <v>1</v>
      </c>
      <c r="Y1064" s="960">
        <f t="array" ref="Y1064">HLOOKUP($J1064,'Type Chart'!$C$2:$T$20,6,false)*HLOOKUP($K1064,'Type Chart'!$C$2:$U$20,6,false)</f>
        <v>1</v>
      </c>
      <c r="Z1064" s="960">
        <f t="array" ref="Z1064">HLOOKUP($J1064,'Type Chart'!$C$2:$T$20,7,false)*HLOOKUP($K1064,'Type Chart'!$C$2:$U$20,7,false)</f>
        <v>1</v>
      </c>
      <c r="AA1064" s="960">
        <f t="array" ref="AA1064">HLOOKUP($J1064,'Type Chart'!$C$2:$T$20,8,false)*HLOOKUP($K1064,'Type Chart'!$C$2:$U$20,8,false)</f>
        <v>1</v>
      </c>
      <c r="AB1064" s="960">
        <f t="array" ref="AB1064">HLOOKUP($J1064,'Type Chart'!$C$2:$T$20,9,false)*HLOOKUP($K1064,'Type Chart'!$C$2:$U$20,9,false)</f>
        <v>1</v>
      </c>
      <c r="AC1064" s="960">
        <f t="array" ref="AC1064">HLOOKUP($J1064,'Type Chart'!$C$2:$T$20,10,false)*HLOOKUP($K1064,'Type Chart'!$C$2:$U$20,10,false)</f>
        <v>0.5</v>
      </c>
      <c r="AD1064" s="960">
        <f t="array" ref="AD1064">HLOOKUP($J1064,'Type Chart'!$C$2:$T$20,11,false)*HLOOKUP($K1064,'Type Chart'!$C$2:$U$20,11,false)</f>
        <v>0.5</v>
      </c>
      <c r="AE1064" s="960">
        <f t="array" ref="AE1064">HLOOKUP($J1064,'Type Chart'!$C$2:$T$20,12,false)*HLOOKUP($K1064,'Type Chart'!$C$2:$U$20,12,false)</f>
        <v>0.5</v>
      </c>
      <c r="AF1064" s="960">
        <f t="array" ref="AF1064">HLOOKUP($J1064,'Type Chart'!$C$2:$T$20,13,false)*HLOOKUP($K1064,'Type Chart'!$C$2:$U$20,13,false)</f>
        <v>2</v>
      </c>
      <c r="AG1064" s="960">
        <f t="array" ref="AG1064">HLOOKUP($J1064,'Type Chart'!$C$2:$T$20,14,false)*HLOOKUP($K1064,'Type Chart'!$C$2:$U$20,14,false)</f>
        <v>2</v>
      </c>
      <c r="AH1064" s="960">
        <f t="array" ref="AH1064">HLOOKUP($J1064,'Type Chart'!$C$2:$T$20,15,false)*HLOOKUP($K1064,'Type Chart'!$C$2:$U$20,15,false)</f>
        <v>1</v>
      </c>
      <c r="AI1064" s="960">
        <f t="array" ref="AI1064">HLOOKUP($J1064,'Type Chart'!$C$2:$T$20,16,false)*HLOOKUP($K1064,'Type Chart'!$C$2:$U$20,16,false)</f>
        <v>0.5</v>
      </c>
      <c r="AJ1064" s="960">
        <f t="array" ref="AJ1064">HLOOKUP($J1064,'Type Chart'!$C$2:$T$20,17,false)*HLOOKUP($K1064,'Type Chart'!$C$2:$U$20,17,false)</f>
        <v>1</v>
      </c>
      <c r="AK1064" s="960">
        <f t="array" ref="AK1064">HLOOKUP($J1064,'Type Chart'!$C$2:$T$20,18,false)*HLOOKUP($K1064,'Type Chart'!$C$2:$U$20,18,false)</f>
        <v>1</v>
      </c>
      <c r="AL1064" s="960">
        <f t="array" ref="AL1064">HLOOKUP($J1064,'Type Chart'!$C$2:$T$20,19,false)*HLOOKUP($K1064,'Type Chart'!$C$2:$U$20,19,false)</f>
        <v>1</v>
      </c>
      <c r="AM1064" s="964" t="s">
        <v>1259</v>
      </c>
      <c r="AN1064" s="965"/>
      <c r="AO1064" s="966" t="s">
        <v>3957</v>
      </c>
      <c r="AP1064" s="936"/>
      <c r="AQ1064" s="967"/>
      <c r="AR1064" s="968"/>
      <c r="AS1064" s="936"/>
    </row>
    <row r="1065" ht="15.75" customHeight="1">
      <c r="A1065" s="936"/>
      <c r="B1065" s="948" t="s">
        <v>3958</v>
      </c>
      <c r="C1065" s="950" t="s">
        <v>3959</v>
      </c>
      <c r="D1065" s="950" t="s">
        <v>3959</v>
      </c>
      <c r="E1065" s="952" t="s">
        <v>3959</v>
      </c>
      <c r="F1065" s="940"/>
      <c r="G1065" s="953"/>
      <c r="H1065" s="969"/>
      <c r="I1065" s="956" t="s">
        <v>617</v>
      </c>
      <c r="J1065" s="1056" t="s">
        <v>81</v>
      </c>
      <c r="K1065" s="984" t="s">
        <v>216</v>
      </c>
      <c r="L1065" s="959">
        <v>61.0</v>
      </c>
      <c r="M1065" s="960">
        <v>123.0</v>
      </c>
      <c r="N1065" s="960">
        <v>60.0</v>
      </c>
      <c r="O1065" s="960">
        <v>60.0</v>
      </c>
      <c r="P1065" s="960">
        <v>50.0</v>
      </c>
      <c r="Q1065" s="960">
        <v>136.0</v>
      </c>
      <c r="R1065" s="960">
        <v>308.0</v>
      </c>
      <c r="S1065" s="960">
        <v>371.0</v>
      </c>
      <c r="T1065" s="960">
        <v>408.0</v>
      </c>
      <c r="U1065" s="960">
        <f t="array" ref="U1065">HLOOKUP($J1065,'Type Chart'!$C$2:$T$20,2,false)*HLOOKUP($K1065,'Type Chart'!$C$2:$U$20,2,false)</f>
        <v>1</v>
      </c>
      <c r="V1065" s="960">
        <f t="array" ref="V1065">HLOOKUP($J1065,'Type Chart'!$C$2:$T$20,3,false)*HLOOKUP($K1065,'Type Chart'!$C$2:$U$20,3,false)</f>
        <v>1</v>
      </c>
      <c r="W1065" s="960">
        <f t="array" ref="W1065">HLOOKUP($J1065,'Type Chart'!$C$2:$T$20,4,false)*HLOOKUP($K1065,'Type Chart'!$C$2:$U$20,4,false)</f>
        <v>1</v>
      </c>
      <c r="X1065" s="960">
        <f t="array" ref="X1065">HLOOKUP($J1065,'Type Chart'!$C$2:$T$20,5,false)*HLOOKUP($K1065,'Type Chart'!$C$2:$U$20,5,false)</f>
        <v>1</v>
      </c>
      <c r="Y1065" s="960">
        <f t="array" ref="Y1065">HLOOKUP($J1065,'Type Chart'!$C$2:$T$20,6,false)*HLOOKUP($K1065,'Type Chart'!$C$2:$U$20,6,false)</f>
        <v>1</v>
      </c>
      <c r="Z1065" s="960">
        <f t="array" ref="Z1065">HLOOKUP($J1065,'Type Chart'!$C$2:$T$20,7,false)*HLOOKUP($K1065,'Type Chart'!$C$2:$U$20,7,false)</f>
        <v>1</v>
      </c>
      <c r="AA1065" s="960">
        <f t="array" ref="AA1065">HLOOKUP($J1065,'Type Chart'!$C$2:$T$20,8,false)*HLOOKUP($K1065,'Type Chart'!$C$2:$U$20,8,false)</f>
        <v>1</v>
      </c>
      <c r="AB1065" s="960">
        <f t="array" ref="AB1065">HLOOKUP($J1065,'Type Chart'!$C$2:$T$20,9,false)*HLOOKUP($K1065,'Type Chart'!$C$2:$U$20,9,false)</f>
        <v>1</v>
      </c>
      <c r="AC1065" s="960">
        <f t="array" ref="AC1065">HLOOKUP($J1065,'Type Chart'!$C$2:$T$20,10,false)*HLOOKUP($K1065,'Type Chart'!$C$2:$U$20,10,false)</f>
        <v>0.5</v>
      </c>
      <c r="AD1065" s="960">
        <f t="array" ref="AD1065">HLOOKUP($J1065,'Type Chart'!$C$2:$T$20,11,false)*HLOOKUP($K1065,'Type Chart'!$C$2:$U$20,11,false)</f>
        <v>0.5</v>
      </c>
      <c r="AE1065" s="960">
        <f t="array" ref="AE1065">HLOOKUP($J1065,'Type Chart'!$C$2:$T$20,12,false)*HLOOKUP($K1065,'Type Chart'!$C$2:$U$20,12,false)</f>
        <v>0.5</v>
      </c>
      <c r="AF1065" s="960">
        <f t="array" ref="AF1065">HLOOKUP($J1065,'Type Chart'!$C$2:$T$20,13,false)*HLOOKUP($K1065,'Type Chart'!$C$2:$U$20,13,false)</f>
        <v>2</v>
      </c>
      <c r="AG1065" s="960">
        <f t="array" ref="AG1065">HLOOKUP($J1065,'Type Chart'!$C$2:$T$20,14,false)*HLOOKUP($K1065,'Type Chart'!$C$2:$U$20,14,false)</f>
        <v>2</v>
      </c>
      <c r="AH1065" s="960">
        <f t="array" ref="AH1065">HLOOKUP($J1065,'Type Chart'!$C$2:$T$20,15,false)*HLOOKUP($K1065,'Type Chart'!$C$2:$U$20,15,false)</f>
        <v>1</v>
      </c>
      <c r="AI1065" s="960">
        <f t="array" ref="AI1065">HLOOKUP($J1065,'Type Chart'!$C$2:$T$20,16,false)*HLOOKUP($K1065,'Type Chart'!$C$2:$U$20,16,false)</f>
        <v>0.5</v>
      </c>
      <c r="AJ1065" s="960">
        <f t="array" ref="AJ1065">HLOOKUP($J1065,'Type Chart'!$C$2:$T$20,17,false)*HLOOKUP($K1065,'Type Chart'!$C$2:$U$20,17,false)</f>
        <v>1</v>
      </c>
      <c r="AK1065" s="960">
        <f t="array" ref="AK1065">HLOOKUP($J1065,'Type Chart'!$C$2:$T$20,18,false)*HLOOKUP($K1065,'Type Chart'!$C$2:$U$20,18,false)</f>
        <v>1</v>
      </c>
      <c r="AL1065" s="960">
        <f t="array" ref="AL1065">HLOOKUP($J1065,'Type Chart'!$C$2:$T$20,19,false)*HLOOKUP($K1065,'Type Chart'!$C$2:$U$20,19,false)</f>
        <v>1</v>
      </c>
      <c r="AM1065" s="964" t="s">
        <v>1259</v>
      </c>
      <c r="AN1065" s="965"/>
      <c r="AO1065" s="966" t="s">
        <v>3957</v>
      </c>
      <c r="AP1065" s="936"/>
      <c r="AQ1065" s="967"/>
      <c r="AR1065" s="968"/>
      <c r="AS1065" s="936"/>
    </row>
    <row r="1066" ht="15.75" customHeight="1">
      <c r="A1066" s="936"/>
      <c r="B1066" s="948" t="s">
        <v>3960</v>
      </c>
      <c r="C1066" s="950" t="s">
        <v>3961</v>
      </c>
      <c r="D1066" s="950" t="s">
        <v>3961</v>
      </c>
      <c r="E1066" s="952" t="s">
        <v>3961</v>
      </c>
      <c r="F1066" s="940"/>
      <c r="G1066" s="953"/>
      <c r="H1066" s="969"/>
      <c r="I1066" s="956" t="s">
        <v>3962</v>
      </c>
      <c r="J1066" s="1196" t="s">
        <v>203</v>
      </c>
      <c r="K1066" s="958" t="s">
        <v>178</v>
      </c>
      <c r="L1066" s="959">
        <v>40.0</v>
      </c>
      <c r="M1066" s="960">
        <v>38.0</v>
      </c>
      <c r="N1066" s="960">
        <v>35.0</v>
      </c>
      <c r="O1066" s="960">
        <v>54.0</v>
      </c>
      <c r="P1066" s="960">
        <v>35.0</v>
      </c>
      <c r="Q1066" s="960">
        <v>40.0</v>
      </c>
      <c r="R1066" s="960">
        <v>116.0</v>
      </c>
      <c r="S1066" s="960">
        <v>179.0</v>
      </c>
      <c r="T1066" s="960">
        <v>196.0</v>
      </c>
      <c r="U1066" s="960">
        <f t="array" ref="U1066">HLOOKUP($J1066,'Type Chart'!$C$2:$T$20,2,false)*HLOOKUP($K1066,'Type Chart'!$C$2:$U$20,2,false)</f>
        <v>1</v>
      </c>
      <c r="V1066" s="960">
        <f t="array" ref="V1066">HLOOKUP($J1066,'Type Chart'!$C$2:$T$20,3,false)*HLOOKUP($K1066,'Type Chart'!$C$2:$U$20,3,false)</f>
        <v>0.5</v>
      </c>
      <c r="W1066" s="960">
        <f t="array" ref="W1066">HLOOKUP($J1066,'Type Chart'!$C$2:$T$20,4,false)*HLOOKUP($K1066,'Type Chart'!$C$2:$U$20,4,false)</f>
        <v>0.5</v>
      </c>
      <c r="X1066" s="960">
        <f t="array" ref="X1066">HLOOKUP($J1066,'Type Chart'!$C$2:$T$20,5,false)*HLOOKUP($K1066,'Type Chart'!$C$2:$U$20,5,false)</f>
        <v>0.5</v>
      </c>
      <c r="Y1066" s="960">
        <f t="array" ref="Y1066">HLOOKUP($J1066,'Type Chart'!$C$2:$T$20,6,false)*HLOOKUP($K1066,'Type Chart'!$C$2:$U$20,6,false)</f>
        <v>4</v>
      </c>
      <c r="Z1066" s="960">
        <f t="array" ref="Z1066">HLOOKUP($J1066,'Type Chart'!$C$2:$T$20,7,false)*HLOOKUP($K1066,'Type Chart'!$C$2:$U$20,7,false)</f>
        <v>1</v>
      </c>
      <c r="AA1066" s="960">
        <f t="array" ref="AA1066">HLOOKUP($J1066,'Type Chart'!$C$2:$T$20,8,false)*HLOOKUP($K1066,'Type Chart'!$C$2:$U$20,8,false)</f>
        <v>0.5</v>
      </c>
      <c r="AB1066" s="960">
        <f t="array" ref="AB1066">HLOOKUP($J1066,'Type Chart'!$C$2:$T$20,9,false)*HLOOKUP($K1066,'Type Chart'!$C$2:$U$20,9,false)</f>
        <v>1</v>
      </c>
      <c r="AC1066" s="960">
        <f t="array" ref="AC1066">HLOOKUP($J1066,'Type Chart'!$C$2:$T$20,10,false)*HLOOKUP($K1066,'Type Chart'!$C$2:$U$20,10,false)</f>
        <v>0.5</v>
      </c>
      <c r="AD1066" s="960">
        <f t="array" ref="AD1066">HLOOKUP($J1066,'Type Chart'!$C$2:$T$20,11,false)*HLOOKUP($K1066,'Type Chart'!$C$2:$U$20,11,false)</f>
        <v>1</v>
      </c>
      <c r="AE1066" s="960">
        <f t="array" ref="AE1066">HLOOKUP($J1066,'Type Chart'!$C$2:$T$20,12,false)*HLOOKUP($K1066,'Type Chart'!$C$2:$U$20,12,false)</f>
        <v>1</v>
      </c>
      <c r="AF1066" s="960">
        <f t="array" ref="AF1066">HLOOKUP($J1066,'Type Chart'!$C$2:$T$20,13,false)*HLOOKUP($K1066,'Type Chart'!$C$2:$U$20,13,false)</f>
        <v>0.5</v>
      </c>
      <c r="AG1066" s="960">
        <f t="array" ref="AG1066">HLOOKUP($J1066,'Type Chart'!$C$2:$T$20,14,false)*HLOOKUP($K1066,'Type Chart'!$C$2:$U$20,14,false)</f>
        <v>0.5</v>
      </c>
      <c r="AH1066" s="960">
        <f t="array" ref="AH1066">HLOOKUP($J1066,'Type Chart'!$C$2:$T$20,15,false)*HLOOKUP($K1066,'Type Chart'!$C$2:$U$20,15,false)</f>
        <v>2</v>
      </c>
      <c r="AI1066" s="960">
        <f t="array" ref="AI1066">HLOOKUP($J1066,'Type Chart'!$C$2:$T$20,16,false)*HLOOKUP($K1066,'Type Chart'!$C$2:$U$20,16,false)</f>
        <v>1</v>
      </c>
      <c r="AJ1066" s="960">
        <f t="array" ref="AJ1066">HLOOKUP($J1066,'Type Chart'!$C$2:$T$20,17,false)*HLOOKUP($K1066,'Type Chart'!$C$2:$U$20,17,false)</f>
        <v>1</v>
      </c>
      <c r="AK1066" s="960">
        <f t="array" ref="AK1066">HLOOKUP($J1066,'Type Chart'!$C$2:$T$20,18,false)*HLOOKUP($K1066,'Type Chart'!$C$2:$U$20,18,false)</f>
        <v>1</v>
      </c>
      <c r="AL1066" s="960">
        <f t="array" ref="AL1066">HLOOKUP($J1066,'Type Chart'!$C$2:$T$20,19,false)*HLOOKUP($K1066,'Type Chart'!$C$2:$U$20,19,false)</f>
        <v>0.5</v>
      </c>
      <c r="AM1066" s="964" t="s">
        <v>1243</v>
      </c>
      <c r="AN1066" s="964" t="s">
        <v>1067</v>
      </c>
      <c r="AO1066" s="966" t="s">
        <v>2552</v>
      </c>
      <c r="AP1066" s="936"/>
      <c r="AQ1066" s="967"/>
      <c r="AR1066" s="968"/>
      <c r="AS1066" s="936"/>
    </row>
    <row r="1067" ht="15.75" customHeight="1">
      <c r="A1067" s="936"/>
      <c r="B1067" s="948" t="s">
        <v>3963</v>
      </c>
      <c r="C1067" s="950" t="s">
        <v>3964</v>
      </c>
      <c r="D1067" s="950" t="s">
        <v>3964</v>
      </c>
      <c r="E1067" s="952" t="s">
        <v>3965</v>
      </c>
      <c r="F1067" s="940"/>
      <c r="G1067" s="953"/>
      <c r="H1067" s="969"/>
      <c r="I1067" s="956" t="s">
        <v>573</v>
      </c>
      <c r="J1067" s="1196" t="s">
        <v>203</v>
      </c>
      <c r="K1067" s="958" t="s">
        <v>178</v>
      </c>
      <c r="L1067" s="959">
        <v>75.0</v>
      </c>
      <c r="M1067" s="960">
        <v>98.0</v>
      </c>
      <c r="N1067" s="960">
        <v>70.0</v>
      </c>
      <c r="O1067" s="960">
        <v>114.0</v>
      </c>
      <c r="P1067" s="960">
        <v>70.0</v>
      </c>
      <c r="Q1067" s="960">
        <v>75.0</v>
      </c>
      <c r="R1067" s="960">
        <v>186.0</v>
      </c>
      <c r="S1067" s="960">
        <v>249.0</v>
      </c>
      <c r="T1067" s="960">
        <v>273.0</v>
      </c>
      <c r="U1067" s="960">
        <f t="array" ref="U1067">HLOOKUP($J1067,'Type Chart'!$C$2:$T$20,2,false)*HLOOKUP($K1067,'Type Chart'!$C$2:$U$20,2,false)</f>
        <v>1</v>
      </c>
      <c r="V1067" s="960">
        <f t="array" ref="V1067">HLOOKUP($J1067,'Type Chart'!$C$2:$T$20,3,false)*HLOOKUP($K1067,'Type Chart'!$C$2:$U$20,3,false)</f>
        <v>0.5</v>
      </c>
      <c r="W1067" s="960">
        <f t="array" ref="W1067">HLOOKUP($J1067,'Type Chart'!$C$2:$T$20,4,false)*HLOOKUP($K1067,'Type Chart'!$C$2:$U$20,4,false)</f>
        <v>0.5</v>
      </c>
      <c r="X1067" s="960">
        <f t="array" ref="X1067">HLOOKUP($J1067,'Type Chart'!$C$2:$T$20,5,false)*HLOOKUP($K1067,'Type Chart'!$C$2:$U$20,5,false)</f>
        <v>0.5</v>
      </c>
      <c r="Y1067" s="960">
        <f t="array" ref="Y1067">HLOOKUP($J1067,'Type Chart'!$C$2:$T$20,6,false)*HLOOKUP($K1067,'Type Chart'!$C$2:$U$20,6,false)</f>
        <v>4</v>
      </c>
      <c r="Z1067" s="960">
        <f t="array" ref="Z1067">HLOOKUP($J1067,'Type Chart'!$C$2:$T$20,7,false)*HLOOKUP($K1067,'Type Chart'!$C$2:$U$20,7,false)</f>
        <v>1</v>
      </c>
      <c r="AA1067" s="960">
        <f t="array" ref="AA1067">HLOOKUP($J1067,'Type Chart'!$C$2:$T$20,8,false)*HLOOKUP($K1067,'Type Chart'!$C$2:$U$20,8,false)</f>
        <v>0.5</v>
      </c>
      <c r="AB1067" s="960">
        <f t="array" ref="AB1067">HLOOKUP($J1067,'Type Chart'!$C$2:$T$20,9,false)*HLOOKUP($K1067,'Type Chart'!$C$2:$U$20,9,false)</f>
        <v>1</v>
      </c>
      <c r="AC1067" s="960">
        <f t="array" ref="AC1067">HLOOKUP($J1067,'Type Chart'!$C$2:$T$20,10,false)*HLOOKUP($K1067,'Type Chart'!$C$2:$U$20,10,false)</f>
        <v>0.5</v>
      </c>
      <c r="AD1067" s="960">
        <f t="array" ref="AD1067">HLOOKUP($J1067,'Type Chart'!$C$2:$T$20,11,false)*HLOOKUP($K1067,'Type Chart'!$C$2:$U$20,11,false)</f>
        <v>1</v>
      </c>
      <c r="AE1067" s="960">
        <f t="array" ref="AE1067">HLOOKUP($J1067,'Type Chart'!$C$2:$T$20,12,false)*HLOOKUP($K1067,'Type Chart'!$C$2:$U$20,12,false)</f>
        <v>1</v>
      </c>
      <c r="AF1067" s="960">
        <f t="array" ref="AF1067">HLOOKUP($J1067,'Type Chart'!$C$2:$T$20,13,false)*HLOOKUP($K1067,'Type Chart'!$C$2:$U$20,13,false)</f>
        <v>0.5</v>
      </c>
      <c r="AG1067" s="960">
        <f t="array" ref="AG1067">HLOOKUP($J1067,'Type Chart'!$C$2:$T$20,14,false)*HLOOKUP($K1067,'Type Chart'!$C$2:$U$20,14,false)</f>
        <v>0.5</v>
      </c>
      <c r="AH1067" s="960">
        <f t="array" ref="AH1067">HLOOKUP($J1067,'Type Chart'!$C$2:$T$20,15,false)*HLOOKUP($K1067,'Type Chart'!$C$2:$U$20,15,false)</f>
        <v>2</v>
      </c>
      <c r="AI1067" s="960">
        <f t="array" ref="AI1067">HLOOKUP($J1067,'Type Chart'!$C$2:$T$20,16,false)*HLOOKUP($K1067,'Type Chart'!$C$2:$U$20,16,false)</f>
        <v>1</v>
      </c>
      <c r="AJ1067" s="960">
        <f t="array" ref="AJ1067">HLOOKUP($J1067,'Type Chart'!$C$2:$T$20,17,false)*HLOOKUP($K1067,'Type Chart'!$C$2:$U$20,17,false)</f>
        <v>1</v>
      </c>
      <c r="AK1067" s="960">
        <f t="array" ref="AK1067">HLOOKUP($J1067,'Type Chart'!$C$2:$T$20,18,false)*HLOOKUP($K1067,'Type Chart'!$C$2:$U$20,18,false)</f>
        <v>1</v>
      </c>
      <c r="AL1067" s="960">
        <f t="array" ref="AL1067">HLOOKUP($J1067,'Type Chart'!$C$2:$T$20,19,false)*HLOOKUP($K1067,'Type Chart'!$C$2:$U$20,19,false)</f>
        <v>0.5</v>
      </c>
      <c r="AM1067" s="964" t="s">
        <v>3966</v>
      </c>
      <c r="AN1067" s="964" t="s">
        <v>1759</v>
      </c>
      <c r="AO1067" s="966" t="s">
        <v>1239</v>
      </c>
      <c r="AP1067" s="936"/>
      <c r="AQ1067" s="967"/>
      <c r="AR1067" s="968"/>
      <c r="AS1067" s="936"/>
    </row>
    <row r="1068" ht="15.75" customHeight="1">
      <c r="A1068" s="936"/>
      <c r="B1068" s="948" t="s">
        <v>3967</v>
      </c>
      <c r="C1068" s="950" t="s">
        <v>3968</v>
      </c>
      <c r="D1068" s="950" t="s">
        <v>3968</v>
      </c>
      <c r="E1068" s="952" t="s">
        <v>3969</v>
      </c>
      <c r="F1068" s="940"/>
      <c r="G1068" s="953"/>
      <c r="H1068" s="969"/>
      <c r="I1068" s="956" t="s">
        <v>3970</v>
      </c>
      <c r="J1068" s="1196" t="s">
        <v>203</v>
      </c>
      <c r="K1068" s="958" t="s">
        <v>178</v>
      </c>
      <c r="L1068" s="959">
        <v>75.0</v>
      </c>
      <c r="M1068" s="960">
        <v>98.0</v>
      </c>
      <c r="N1068" s="960">
        <v>70.0</v>
      </c>
      <c r="O1068" s="960">
        <v>114.0</v>
      </c>
      <c r="P1068" s="960">
        <v>70.0</v>
      </c>
      <c r="Q1068" s="960">
        <v>75.0</v>
      </c>
      <c r="R1068" s="960">
        <v>186.0</v>
      </c>
      <c r="S1068" s="960">
        <v>249.0</v>
      </c>
      <c r="T1068" s="960">
        <v>273.0</v>
      </c>
      <c r="U1068" s="960">
        <f t="array" ref="U1068">HLOOKUP($J1068,'Type Chart'!$C$2:$T$20,2,false)*HLOOKUP($K1068,'Type Chart'!$C$2:$U$20,2,false)</f>
        <v>1</v>
      </c>
      <c r="V1068" s="960">
        <f t="array" ref="V1068">HLOOKUP($J1068,'Type Chart'!$C$2:$T$20,3,false)*HLOOKUP($K1068,'Type Chart'!$C$2:$U$20,3,false)</f>
        <v>0.5</v>
      </c>
      <c r="W1068" s="960">
        <f t="array" ref="W1068">HLOOKUP($J1068,'Type Chart'!$C$2:$T$20,4,false)*HLOOKUP($K1068,'Type Chart'!$C$2:$U$20,4,false)</f>
        <v>0.5</v>
      </c>
      <c r="X1068" s="960">
        <f t="array" ref="X1068">HLOOKUP($J1068,'Type Chart'!$C$2:$T$20,5,false)*HLOOKUP($K1068,'Type Chart'!$C$2:$U$20,5,false)</f>
        <v>0.5</v>
      </c>
      <c r="Y1068" s="960">
        <f t="array" ref="Y1068">HLOOKUP($J1068,'Type Chart'!$C$2:$T$20,6,false)*HLOOKUP($K1068,'Type Chart'!$C$2:$U$20,6,false)</f>
        <v>4</v>
      </c>
      <c r="Z1068" s="960">
        <f t="array" ref="Z1068">HLOOKUP($J1068,'Type Chart'!$C$2:$T$20,7,false)*HLOOKUP($K1068,'Type Chart'!$C$2:$U$20,7,false)</f>
        <v>1</v>
      </c>
      <c r="AA1068" s="960">
        <f t="array" ref="AA1068">HLOOKUP($J1068,'Type Chart'!$C$2:$T$20,8,false)*HLOOKUP($K1068,'Type Chart'!$C$2:$U$20,8,false)</f>
        <v>0.5</v>
      </c>
      <c r="AB1068" s="960">
        <f t="array" ref="AB1068">HLOOKUP($J1068,'Type Chart'!$C$2:$T$20,9,false)*HLOOKUP($K1068,'Type Chart'!$C$2:$U$20,9,false)</f>
        <v>1</v>
      </c>
      <c r="AC1068" s="960">
        <f t="array" ref="AC1068">HLOOKUP($J1068,'Type Chart'!$C$2:$T$20,10,false)*HLOOKUP($K1068,'Type Chart'!$C$2:$U$20,10,false)</f>
        <v>0.5</v>
      </c>
      <c r="AD1068" s="960">
        <f t="array" ref="AD1068">HLOOKUP($J1068,'Type Chart'!$C$2:$T$20,11,false)*HLOOKUP($K1068,'Type Chart'!$C$2:$U$20,11,false)</f>
        <v>1</v>
      </c>
      <c r="AE1068" s="960">
        <f t="array" ref="AE1068">HLOOKUP($J1068,'Type Chart'!$C$2:$T$20,12,false)*HLOOKUP($K1068,'Type Chart'!$C$2:$U$20,12,false)</f>
        <v>1</v>
      </c>
      <c r="AF1068" s="960">
        <f t="array" ref="AF1068">HLOOKUP($J1068,'Type Chart'!$C$2:$T$20,13,false)*HLOOKUP($K1068,'Type Chart'!$C$2:$U$20,13,false)</f>
        <v>0.5</v>
      </c>
      <c r="AG1068" s="960">
        <f t="array" ref="AG1068">HLOOKUP($J1068,'Type Chart'!$C$2:$T$20,14,false)*HLOOKUP($K1068,'Type Chart'!$C$2:$U$20,14,false)</f>
        <v>0.5</v>
      </c>
      <c r="AH1068" s="960">
        <f t="array" ref="AH1068">HLOOKUP($J1068,'Type Chart'!$C$2:$T$20,15,false)*HLOOKUP($K1068,'Type Chart'!$C$2:$U$20,15,false)</f>
        <v>2</v>
      </c>
      <c r="AI1068" s="960">
        <f t="array" ref="AI1068">HLOOKUP($J1068,'Type Chart'!$C$2:$T$20,16,false)*HLOOKUP($K1068,'Type Chart'!$C$2:$U$20,16,false)</f>
        <v>1</v>
      </c>
      <c r="AJ1068" s="960">
        <f t="array" ref="AJ1068">HLOOKUP($J1068,'Type Chart'!$C$2:$T$20,17,false)*HLOOKUP($K1068,'Type Chart'!$C$2:$U$20,17,false)</f>
        <v>1</v>
      </c>
      <c r="AK1068" s="960">
        <f t="array" ref="AK1068">HLOOKUP($J1068,'Type Chart'!$C$2:$T$20,18,false)*HLOOKUP($K1068,'Type Chart'!$C$2:$U$20,18,false)</f>
        <v>1</v>
      </c>
      <c r="AL1068" s="960">
        <f t="array" ref="AL1068">HLOOKUP($J1068,'Type Chart'!$C$2:$T$20,19,false)*HLOOKUP($K1068,'Type Chart'!$C$2:$U$20,19,false)</f>
        <v>0.5</v>
      </c>
      <c r="AM1068" s="964" t="s">
        <v>3966</v>
      </c>
      <c r="AN1068" s="964" t="s">
        <v>2172</v>
      </c>
      <c r="AO1068" s="966" t="s">
        <v>1239</v>
      </c>
      <c r="AP1068" s="936"/>
      <c r="AQ1068" s="967"/>
      <c r="AR1068" s="968"/>
      <c r="AS1068" s="936"/>
    </row>
    <row r="1069" ht="15.75" customHeight="1">
      <c r="A1069" s="936"/>
      <c r="B1069" s="948" t="s">
        <v>3971</v>
      </c>
      <c r="C1069" s="950" t="s">
        <v>3972</v>
      </c>
      <c r="D1069" s="950" t="s">
        <v>3972</v>
      </c>
      <c r="E1069" s="952" t="s">
        <v>3972</v>
      </c>
      <c r="F1069" s="940"/>
      <c r="G1069" s="953"/>
      <c r="H1069" s="969"/>
      <c r="I1069" s="956" t="s">
        <v>3973</v>
      </c>
      <c r="J1069" s="982" t="s">
        <v>150</v>
      </c>
      <c r="K1069" s="1180" t="s">
        <v>343</v>
      </c>
      <c r="L1069" s="959">
        <v>50.0</v>
      </c>
      <c r="M1069" s="960">
        <v>65.0</v>
      </c>
      <c r="N1069" s="960">
        <v>45.0</v>
      </c>
      <c r="O1069" s="960">
        <v>50.0</v>
      </c>
      <c r="P1069" s="960">
        <v>50.0</v>
      </c>
      <c r="Q1069" s="960">
        <v>45.0</v>
      </c>
      <c r="R1069" s="960">
        <v>126.0</v>
      </c>
      <c r="S1069" s="960">
        <v>189.0</v>
      </c>
      <c r="T1069" s="960">
        <v>207.0</v>
      </c>
      <c r="U1069" s="960">
        <f t="array" ref="U1069">HLOOKUP($J1069,'Type Chart'!$C$2:$T$20,2,false)*HLOOKUP($K1069,'Type Chart'!$C$2:$U$20,2,false)</f>
        <v>1</v>
      </c>
      <c r="V1069" s="960">
        <f t="array" ref="V1069">HLOOKUP($J1069,'Type Chart'!$C$2:$T$20,3,false)*HLOOKUP($K1069,'Type Chart'!$C$2:$U$20,3,false)</f>
        <v>0.5</v>
      </c>
      <c r="W1069" s="960">
        <f t="array" ref="W1069">HLOOKUP($J1069,'Type Chart'!$C$2:$T$20,4,false)*HLOOKUP($K1069,'Type Chart'!$C$2:$U$20,4,false)</f>
        <v>2</v>
      </c>
      <c r="X1069" s="960">
        <f t="array" ref="X1069">HLOOKUP($J1069,'Type Chart'!$C$2:$T$20,5,false)*HLOOKUP($K1069,'Type Chart'!$C$2:$U$20,5,false)</f>
        <v>1</v>
      </c>
      <c r="Y1069" s="960">
        <f t="array" ref="Y1069">HLOOKUP($J1069,'Type Chart'!$C$2:$T$20,6,false)*HLOOKUP($K1069,'Type Chart'!$C$2:$U$20,6,false)</f>
        <v>1</v>
      </c>
      <c r="Z1069" s="960">
        <f t="array" ref="Z1069">HLOOKUP($J1069,'Type Chart'!$C$2:$T$20,7,false)*HLOOKUP($K1069,'Type Chart'!$C$2:$U$20,7,false)</f>
        <v>4</v>
      </c>
      <c r="AA1069" s="960">
        <f t="array" ref="AA1069">HLOOKUP($J1069,'Type Chart'!$C$2:$T$20,8,false)*HLOOKUP($K1069,'Type Chart'!$C$2:$U$20,8,false)</f>
        <v>0.5</v>
      </c>
      <c r="AB1069" s="960">
        <f t="array" ref="AB1069">HLOOKUP($J1069,'Type Chart'!$C$2:$T$20,9,false)*HLOOKUP($K1069,'Type Chart'!$C$2:$U$20,9,false)</f>
        <v>1</v>
      </c>
      <c r="AC1069" s="960">
        <f t="array" ref="AC1069">HLOOKUP($J1069,'Type Chart'!$C$2:$T$20,10,false)*HLOOKUP($K1069,'Type Chart'!$C$2:$U$20,10,false)</f>
        <v>0.5</v>
      </c>
      <c r="AD1069" s="960">
        <f t="array" ref="AD1069">HLOOKUP($J1069,'Type Chart'!$C$2:$T$20,11,false)*HLOOKUP($K1069,'Type Chart'!$C$2:$U$20,11,false)</f>
        <v>1</v>
      </c>
      <c r="AE1069" s="960">
        <f t="array" ref="AE1069">HLOOKUP($J1069,'Type Chart'!$C$2:$T$20,12,false)*HLOOKUP($K1069,'Type Chart'!$C$2:$U$20,12,false)</f>
        <v>2</v>
      </c>
      <c r="AF1069" s="960">
        <f t="array" ref="AF1069">HLOOKUP($J1069,'Type Chart'!$C$2:$T$20,13,false)*HLOOKUP($K1069,'Type Chart'!$C$2:$U$20,13,false)</f>
        <v>0.25</v>
      </c>
      <c r="AG1069" s="960">
        <f t="array" ref="AG1069">HLOOKUP($J1069,'Type Chart'!$C$2:$T$20,14,false)*HLOOKUP($K1069,'Type Chart'!$C$2:$U$20,14,false)</f>
        <v>1</v>
      </c>
      <c r="AH1069" s="960">
        <f t="array" ref="AH1069">HLOOKUP($J1069,'Type Chart'!$C$2:$T$20,15,false)*HLOOKUP($K1069,'Type Chart'!$C$2:$U$20,15,false)</f>
        <v>1</v>
      </c>
      <c r="AI1069" s="960">
        <f t="array" ref="AI1069">HLOOKUP($J1069,'Type Chart'!$C$2:$T$20,16,false)*HLOOKUP($K1069,'Type Chart'!$C$2:$U$20,16,false)</f>
        <v>0.5</v>
      </c>
      <c r="AJ1069" s="960">
        <f t="array" ref="AJ1069">HLOOKUP($J1069,'Type Chart'!$C$2:$T$20,17,false)*HLOOKUP($K1069,'Type Chart'!$C$2:$U$20,17,false)</f>
        <v>1</v>
      </c>
      <c r="AK1069" s="960">
        <f t="array" ref="AK1069">HLOOKUP($J1069,'Type Chart'!$C$2:$T$20,18,false)*HLOOKUP($K1069,'Type Chart'!$C$2:$U$20,18,false)</f>
        <v>1</v>
      </c>
      <c r="AL1069" s="960">
        <f t="array" ref="AL1069">HLOOKUP($J1069,'Type Chart'!$C$2:$T$20,19,false)*HLOOKUP($K1069,'Type Chart'!$C$2:$U$20,19,false)</f>
        <v>0.5</v>
      </c>
      <c r="AM1069" s="964" t="s">
        <v>1172</v>
      </c>
      <c r="AN1069" s="964" t="s">
        <v>2224</v>
      </c>
      <c r="AO1069" s="966" t="s">
        <v>1353</v>
      </c>
      <c r="AP1069" s="936"/>
      <c r="AQ1069" s="967"/>
      <c r="AR1069" s="968"/>
      <c r="AS1069" s="936"/>
    </row>
    <row r="1070" ht="15.75" customHeight="1">
      <c r="A1070" s="936"/>
      <c r="B1070" s="948" t="s">
        <v>3974</v>
      </c>
      <c r="C1070" s="950" t="s">
        <v>3975</v>
      </c>
      <c r="D1070" s="950" t="s">
        <v>3975</v>
      </c>
      <c r="E1070" s="952" t="s">
        <v>3975</v>
      </c>
      <c r="F1070" s="940"/>
      <c r="G1070" s="953"/>
      <c r="H1070" s="969"/>
      <c r="I1070" s="956" t="s">
        <v>3976</v>
      </c>
      <c r="J1070" s="982" t="s">
        <v>150</v>
      </c>
      <c r="K1070" s="1180" t="s">
        <v>343</v>
      </c>
      <c r="L1070" s="959">
        <v>100.0</v>
      </c>
      <c r="M1070" s="960">
        <v>115.0</v>
      </c>
      <c r="N1070" s="960">
        <v>65.0</v>
      </c>
      <c r="O1070" s="960">
        <v>90.0</v>
      </c>
      <c r="P1070" s="960">
        <v>90.0</v>
      </c>
      <c r="Q1070" s="960">
        <v>65.0</v>
      </c>
      <c r="R1070" s="960">
        <v>166.0</v>
      </c>
      <c r="S1070" s="960">
        <v>229.0</v>
      </c>
      <c r="T1070" s="960">
        <v>251.0</v>
      </c>
      <c r="U1070" s="960">
        <f t="array" ref="U1070">HLOOKUP($J1070,'Type Chart'!$C$2:$T$20,2,false)*HLOOKUP($K1070,'Type Chart'!$C$2:$U$20,2,false)</f>
        <v>1</v>
      </c>
      <c r="V1070" s="960">
        <f t="array" ref="V1070">HLOOKUP($J1070,'Type Chart'!$C$2:$T$20,3,false)*HLOOKUP($K1070,'Type Chart'!$C$2:$U$20,3,false)</f>
        <v>0.5</v>
      </c>
      <c r="W1070" s="960">
        <f t="array" ref="W1070">HLOOKUP($J1070,'Type Chart'!$C$2:$T$20,4,false)*HLOOKUP($K1070,'Type Chart'!$C$2:$U$20,4,false)</f>
        <v>2</v>
      </c>
      <c r="X1070" s="960">
        <f t="array" ref="X1070">HLOOKUP($J1070,'Type Chart'!$C$2:$T$20,5,false)*HLOOKUP($K1070,'Type Chart'!$C$2:$U$20,5,false)</f>
        <v>1</v>
      </c>
      <c r="Y1070" s="960">
        <f t="array" ref="Y1070">HLOOKUP($J1070,'Type Chart'!$C$2:$T$20,6,false)*HLOOKUP($K1070,'Type Chart'!$C$2:$U$20,6,false)</f>
        <v>1</v>
      </c>
      <c r="Z1070" s="960">
        <f t="array" ref="Z1070">HLOOKUP($J1070,'Type Chart'!$C$2:$T$20,7,false)*HLOOKUP($K1070,'Type Chart'!$C$2:$U$20,7,false)</f>
        <v>4</v>
      </c>
      <c r="AA1070" s="960">
        <f t="array" ref="AA1070">HLOOKUP($J1070,'Type Chart'!$C$2:$T$20,8,false)*HLOOKUP($K1070,'Type Chart'!$C$2:$U$20,8,false)</f>
        <v>0.5</v>
      </c>
      <c r="AB1070" s="960">
        <f t="array" ref="AB1070">HLOOKUP($J1070,'Type Chart'!$C$2:$T$20,9,false)*HLOOKUP($K1070,'Type Chart'!$C$2:$U$20,9,false)</f>
        <v>1</v>
      </c>
      <c r="AC1070" s="960">
        <f t="array" ref="AC1070">HLOOKUP($J1070,'Type Chart'!$C$2:$T$20,10,false)*HLOOKUP($K1070,'Type Chart'!$C$2:$U$20,10,false)</f>
        <v>0.5</v>
      </c>
      <c r="AD1070" s="960">
        <f t="array" ref="AD1070">HLOOKUP($J1070,'Type Chart'!$C$2:$T$20,11,false)*HLOOKUP($K1070,'Type Chart'!$C$2:$U$20,11,false)</f>
        <v>1</v>
      </c>
      <c r="AE1070" s="960">
        <f t="array" ref="AE1070">HLOOKUP($J1070,'Type Chart'!$C$2:$T$20,12,false)*HLOOKUP($K1070,'Type Chart'!$C$2:$U$20,12,false)</f>
        <v>2</v>
      </c>
      <c r="AF1070" s="960">
        <f t="array" ref="AF1070">HLOOKUP($J1070,'Type Chart'!$C$2:$T$20,13,false)*HLOOKUP($K1070,'Type Chart'!$C$2:$U$20,13,false)</f>
        <v>0.25</v>
      </c>
      <c r="AG1070" s="960">
        <f t="array" ref="AG1070">HLOOKUP($J1070,'Type Chart'!$C$2:$T$20,14,false)*HLOOKUP($K1070,'Type Chart'!$C$2:$U$20,14,false)</f>
        <v>1</v>
      </c>
      <c r="AH1070" s="960">
        <f t="array" ref="AH1070">HLOOKUP($J1070,'Type Chart'!$C$2:$T$20,15,false)*HLOOKUP($K1070,'Type Chart'!$C$2:$U$20,15,false)</f>
        <v>1</v>
      </c>
      <c r="AI1070" s="960">
        <f t="array" ref="AI1070">HLOOKUP($J1070,'Type Chart'!$C$2:$T$20,16,false)*HLOOKUP($K1070,'Type Chart'!$C$2:$U$20,16,false)</f>
        <v>0.5</v>
      </c>
      <c r="AJ1070" s="960">
        <f t="array" ref="AJ1070">HLOOKUP($J1070,'Type Chart'!$C$2:$T$20,17,false)*HLOOKUP($K1070,'Type Chart'!$C$2:$U$20,17,false)</f>
        <v>1</v>
      </c>
      <c r="AK1070" s="960">
        <f t="array" ref="AK1070">HLOOKUP($J1070,'Type Chart'!$C$2:$T$20,18,false)*HLOOKUP($K1070,'Type Chart'!$C$2:$U$20,18,false)</f>
        <v>1</v>
      </c>
      <c r="AL1070" s="960">
        <f t="array" ref="AL1070">HLOOKUP($J1070,'Type Chart'!$C$2:$T$20,19,false)*HLOOKUP($K1070,'Type Chart'!$C$2:$U$20,19,false)</f>
        <v>0.5</v>
      </c>
      <c r="AM1070" s="964" t="s">
        <v>1172</v>
      </c>
      <c r="AN1070" s="964" t="s">
        <v>2224</v>
      </c>
      <c r="AO1070" s="966" t="s">
        <v>1353</v>
      </c>
      <c r="AP1070" s="936"/>
      <c r="AQ1070" s="967"/>
      <c r="AR1070" s="968"/>
      <c r="AS1070" s="936"/>
    </row>
    <row r="1071" ht="15.75" customHeight="1">
      <c r="A1071" s="936"/>
      <c r="B1071" s="948" t="s">
        <v>3977</v>
      </c>
      <c r="C1071" s="950" t="s">
        <v>3978</v>
      </c>
      <c r="D1071" s="950" t="s">
        <v>3978</v>
      </c>
      <c r="E1071" s="952" t="s">
        <v>3978</v>
      </c>
      <c r="F1071" s="940"/>
      <c r="G1071" s="953"/>
      <c r="H1071" s="969"/>
      <c r="I1071" s="998" t="s">
        <v>3979</v>
      </c>
      <c r="J1071" s="1213" t="s">
        <v>341</v>
      </c>
      <c r="K1071" s="984" t="s">
        <v>216</v>
      </c>
      <c r="L1071" s="959">
        <v>50.0</v>
      </c>
      <c r="M1071" s="960">
        <v>68.0</v>
      </c>
      <c r="N1071" s="960">
        <v>60.0</v>
      </c>
      <c r="O1071" s="960">
        <v>50.0</v>
      </c>
      <c r="P1071" s="960">
        <v>50.0</v>
      </c>
      <c r="Q1071" s="960">
        <v>32.0</v>
      </c>
      <c r="R1071" s="960">
        <v>100.0</v>
      </c>
      <c r="S1071" s="960">
        <v>163.0</v>
      </c>
      <c r="T1071" s="960">
        <v>179.0</v>
      </c>
      <c r="U1071" s="960">
        <f t="array" ref="U1071">HLOOKUP($J1071,'Type Chart'!$C$2:$T$20,2,false)*HLOOKUP($K1071,'Type Chart'!$C$2:$U$20,2,false)</f>
        <v>1</v>
      </c>
      <c r="V1071" s="960">
        <f t="array" ref="V1071">HLOOKUP($J1071,'Type Chart'!$C$2:$T$20,3,false)*HLOOKUP($K1071,'Type Chart'!$C$2:$U$20,3,false)</f>
        <v>1</v>
      </c>
      <c r="W1071" s="960">
        <f t="array" ref="W1071">HLOOKUP($J1071,'Type Chart'!$C$2:$T$20,4,false)*HLOOKUP($K1071,'Type Chart'!$C$2:$U$20,4,false)</f>
        <v>2</v>
      </c>
      <c r="X1071" s="960">
        <f t="array" ref="X1071">HLOOKUP($J1071,'Type Chart'!$C$2:$T$20,5,false)*HLOOKUP($K1071,'Type Chart'!$C$2:$U$20,5,false)</f>
        <v>1</v>
      </c>
      <c r="Y1071" s="960">
        <f t="array" ref="Y1071">HLOOKUP($J1071,'Type Chart'!$C$2:$T$20,6,false)*HLOOKUP($K1071,'Type Chart'!$C$2:$U$20,6,false)</f>
        <v>1</v>
      </c>
      <c r="Z1071" s="960">
        <f t="array" ref="Z1071">HLOOKUP($J1071,'Type Chart'!$C$2:$T$20,7,false)*HLOOKUP($K1071,'Type Chart'!$C$2:$U$20,7,false)</f>
        <v>0.5</v>
      </c>
      <c r="AA1071" s="960">
        <f t="array" ref="AA1071">HLOOKUP($J1071,'Type Chart'!$C$2:$T$20,8,false)*HLOOKUP($K1071,'Type Chart'!$C$2:$U$20,8,false)</f>
        <v>0.5</v>
      </c>
      <c r="AB1071" s="960">
        <f t="array" ref="AB1071">HLOOKUP($J1071,'Type Chart'!$C$2:$T$20,9,false)*HLOOKUP($K1071,'Type Chart'!$C$2:$U$20,9,false)</f>
        <v>1</v>
      </c>
      <c r="AC1071" s="960">
        <f t="array" ref="AC1071">HLOOKUP($J1071,'Type Chart'!$C$2:$T$20,10,false)*HLOOKUP($K1071,'Type Chart'!$C$2:$U$20,10,false)</f>
        <v>1</v>
      </c>
      <c r="AD1071" s="960">
        <f t="array" ref="AD1071">HLOOKUP($J1071,'Type Chart'!$C$2:$T$20,11,false)*HLOOKUP($K1071,'Type Chart'!$C$2:$U$20,11,false)</f>
        <v>1</v>
      </c>
      <c r="AE1071" s="960">
        <f t="array" ref="AE1071">HLOOKUP($J1071,'Type Chart'!$C$2:$T$20,12,false)*HLOOKUP($K1071,'Type Chart'!$C$2:$U$20,12,false)</f>
        <v>1</v>
      </c>
      <c r="AF1071" s="960">
        <f t="array" ref="AF1071">HLOOKUP($J1071,'Type Chart'!$C$2:$T$20,13,false)*HLOOKUP($K1071,'Type Chart'!$C$2:$U$20,13,false)</f>
        <v>1</v>
      </c>
      <c r="AG1071" s="960">
        <f t="array" ref="AG1071">HLOOKUP($J1071,'Type Chart'!$C$2:$T$20,14,false)*HLOOKUP($K1071,'Type Chart'!$C$2:$U$20,14,false)</f>
        <v>1</v>
      </c>
      <c r="AH1071" s="960">
        <f t="array" ref="AH1071">HLOOKUP($J1071,'Type Chart'!$C$2:$T$20,15,false)*HLOOKUP($K1071,'Type Chart'!$C$2:$U$20,15,false)</f>
        <v>2</v>
      </c>
      <c r="AI1071" s="960">
        <f t="array" ref="AI1071">HLOOKUP($J1071,'Type Chart'!$C$2:$T$20,16,false)*HLOOKUP($K1071,'Type Chart'!$C$2:$U$20,16,false)</f>
        <v>1</v>
      </c>
      <c r="AJ1071" s="960">
        <f t="array" ref="AJ1071">HLOOKUP($J1071,'Type Chart'!$C$2:$T$20,17,false)*HLOOKUP($K1071,'Type Chart'!$C$2:$U$20,17,false)</f>
        <v>1</v>
      </c>
      <c r="AK1071" s="960">
        <f t="array" ref="AK1071">HLOOKUP($J1071,'Type Chart'!$C$2:$T$20,18,false)*HLOOKUP($K1071,'Type Chart'!$C$2:$U$20,18,false)</f>
        <v>0.5</v>
      </c>
      <c r="AL1071" s="960">
        <f t="array" ref="AL1071">HLOOKUP($J1071,'Type Chart'!$C$2:$T$20,19,false)*HLOOKUP($K1071,'Type Chart'!$C$2:$U$20,19,false)</f>
        <v>2</v>
      </c>
      <c r="AM1071" s="964" t="s">
        <v>1250</v>
      </c>
      <c r="AN1071" s="965"/>
      <c r="AO1071" s="966" t="s">
        <v>1239</v>
      </c>
      <c r="AP1071" s="936"/>
      <c r="AQ1071" s="967"/>
      <c r="AR1071" s="968"/>
      <c r="AS1071" s="936"/>
    </row>
    <row r="1072" ht="15.75" customHeight="1">
      <c r="A1072" s="936"/>
      <c r="B1072" s="948" t="s">
        <v>3980</v>
      </c>
      <c r="C1072" s="950" t="s">
        <v>3981</v>
      </c>
      <c r="D1072" s="950" t="s">
        <v>3981</v>
      </c>
      <c r="E1072" s="952" t="s">
        <v>3981</v>
      </c>
      <c r="F1072" s="940"/>
      <c r="G1072" s="953"/>
      <c r="H1072" s="969"/>
      <c r="I1072" s="956" t="s">
        <v>3982</v>
      </c>
      <c r="J1072" s="1213" t="s">
        <v>341</v>
      </c>
      <c r="K1072" s="984" t="s">
        <v>216</v>
      </c>
      <c r="L1072" s="959">
        <v>80.0</v>
      </c>
      <c r="M1072" s="960">
        <v>118.0</v>
      </c>
      <c r="N1072" s="960">
        <v>90.0</v>
      </c>
      <c r="O1072" s="960">
        <v>70.0</v>
      </c>
      <c r="P1072" s="960">
        <v>80.0</v>
      </c>
      <c r="Q1072" s="960">
        <v>42.0</v>
      </c>
      <c r="R1072" s="960">
        <v>120.0</v>
      </c>
      <c r="S1072" s="960">
        <v>183.0</v>
      </c>
      <c r="T1072" s="960">
        <v>201.0</v>
      </c>
      <c r="U1072" s="960">
        <f t="array" ref="U1072">HLOOKUP($J1072,'Type Chart'!$C$2:$T$20,2,false)*HLOOKUP($K1072,'Type Chart'!$C$2:$U$20,2,false)</f>
        <v>1</v>
      </c>
      <c r="V1072" s="960">
        <f t="array" ref="V1072">HLOOKUP($J1072,'Type Chart'!$C$2:$T$20,3,false)*HLOOKUP($K1072,'Type Chart'!$C$2:$U$20,3,false)</f>
        <v>1</v>
      </c>
      <c r="W1072" s="960">
        <f t="array" ref="W1072">HLOOKUP($J1072,'Type Chart'!$C$2:$T$20,4,false)*HLOOKUP($K1072,'Type Chart'!$C$2:$U$20,4,false)</f>
        <v>2</v>
      </c>
      <c r="X1072" s="960">
        <f t="array" ref="X1072">HLOOKUP($J1072,'Type Chart'!$C$2:$T$20,5,false)*HLOOKUP($K1072,'Type Chart'!$C$2:$U$20,5,false)</f>
        <v>1</v>
      </c>
      <c r="Y1072" s="960">
        <f t="array" ref="Y1072">HLOOKUP($J1072,'Type Chart'!$C$2:$T$20,6,false)*HLOOKUP($K1072,'Type Chart'!$C$2:$U$20,6,false)</f>
        <v>1</v>
      </c>
      <c r="Z1072" s="960">
        <f t="array" ref="Z1072">HLOOKUP($J1072,'Type Chart'!$C$2:$T$20,7,false)*HLOOKUP($K1072,'Type Chart'!$C$2:$U$20,7,false)</f>
        <v>0.5</v>
      </c>
      <c r="AA1072" s="960">
        <f t="array" ref="AA1072">HLOOKUP($J1072,'Type Chart'!$C$2:$T$20,8,false)*HLOOKUP($K1072,'Type Chart'!$C$2:$U$20,8,false)</f>
        <v>0.5</v>
      </c>
      <c r="AB1072" s="960">
        <f t="array" ref="AB1072">HLOOKUP($J1072,'Type Chart'!$C$2:$T$20,9,false)*HLOOKUP($K1072,'Type Chart'!$C$2:$U$20,9,false)</f>
        <v>1</v>
      </c>
      <c r="AC1072" s="960">
        <f t="array" ref="AC1072">HLOOKUP($J1072,'Type Chart'!$C$2:$T$20,10,false)*HLOOKUP($K1072,'Type Chart'!$C$2:$U$20,10,false)</f>
        <v>1</v>
      </c>
      <c r="AD1072" s="960">
        <f t="array" ref="AD1072">HLOOKUP($J1072,'Type Chart'!$C$2:$T$20,11,false)*HLOOKUP($K1072,'Type Chart'!$C$2:$U$20,11,false)</f>
        <v>1</v>
      </c>
      <c r="AE1072" s="960">
        <f t="array" ref="AE1072">HLOOKUP($J1072,'Type Chart'!$C$2:$T$20,12,false)*HLOOKUP($K1072,'Type Chart'!$C$2:$U$20,12,false)</f>
        <v>1</v>
      </c>
      <c r="AF1072" s="960">
        <f t="array" ref="AF1072">HLOOKUP($J1072,'Type Chart'!$C$2:$T$20,13,false)*HLOOKUP($K1072,'Type Chart'!$C$2:$U$20,13,false)</f>
        <v>1</v>
      </c>
      <c r="AG1072" s="960">
        <f t="array" ref="AG1072">HLOOKUP($J1072,'Type Chart'!$C$2:$T$20,14,false)*HLOOKUP($K1072,'Type Chart'!$C$2:$U$20,14,false)</f>
        <v>1</v>
      </c>
      <c r="AH1072" s="960">
        <f t="array" ref="AH1072">HLOOKUP($J1072,'Type Chart'!$C$2:$T$20,15,false)*HLOOKUP($K1072,'Type Chart'!$C$2:$U$20,15,false)</f>
        <v>2</v>
      </c>
      <c r="AI1072" s="960">
        <f t="array" ref="AI1072">HLOOKUP($J1072,'Type Chart'!$C$2:$T$20,16,false)*HLOOKUP($K1072,'Type Chart'!$C$2:$U$20,16,false)</f>
        <v>1</v>
      </c>
      <c r="AJ1072" s="960">
        <f t="array" ref="AJ1072">HLOOKUP($J1072,'Type Chart'!$C$2:$T$20,17,false)*HLOOKUP($K1072,'Type Chart'!$C$2:$U$20,17,false)</f>
        <v>1</v>
      </c>
      <c r="AK1072" s="960">
        <f t="array" ref="AK1072">HLOOKUP($J1072,'Type Chart'!$C$2:$T$20,18,false)*HLOOKUP($K1072,'Type Chart'!$C$2:$U$20,18,false)</f>
        <v>0.5</v>
      </c>
      <c r="AL1072" s="960">
        <f t="array" ref="AL1072">HLOOKUP($J1072,'Type Chart'!$C$2:$T$20,19,false)*HLOOKUP($K1072,'Type Chart'!$C$2:$U$20,19,false)</f>
        <v>2</v>
      </c>
      <c r="AM1072" s="964" t="s">
        <v>1250</v>
      </c>
      <c r="AN1072" s="965"/>
      <c r="AO1072" s="966" t="s">
        <v>1239</v>
      </c>
      <c r="AP1072" s="936"/>
      <c r="AQ1072" s="967"/>
      <c r="AR1072" s="968"/>
      <c r="AS1072" s="936"/>
    </row>
    <row r="1073" ht="15.75" customHeight="1">
      <c r="A1073" s="936"/>
      <c r="B1073" s="948" t="s">
        <v>3983</v>
      </c>
      <c r="C1073" s="950" t="s">
        <v>3984</v>
      </c>
      <c r="D1073" s="950" t="s">
        <v>3984</v>
      </c>
      <c r="E1073" s="952" t="s">
        <v>3984</v>
      </c>
      <c r="F1073" s="940"/>
      <c r="G1073" s="953"/>
      <c r="H1073" s="969"/>
      <c r="I1073" s="956" t="s">
        <v>3985</v>
      </c>
      <c r="J1073" s="1220" t="s">
        <v>215</v>
      </c>
      <c r="K1073" s="984" t="s">
        <v>216</v>
      </c>
      <c r="L1073" s="959">
        <v>40.0</v>
      </c>
      <c r="M1073" s="960">
        <v>45.0</v>
      </c>
      <c r="N1073" s="960">
        <v>45.0</v>
      </c>
      <c r="O1073" s="960">
        <v>74.0</v>
      </c>
      <c r="P1073" s="960">
        <v>54.0</v>
      </c>
      <c r="Q1073" s="960">
        <v>50.0</v>
      </c>
      <c r="R1073" s="960">
        <v>136.0</v>
      </c>
      <c r="S1073" s="960">
        <v>199.0</v>
      </c>
      <c r="T1073" s="960">
        <v>218.0</v>
      </c>
      <c r="U1073" s="960">
        <f t="array" ref="U1073">HLOOKUP($J1073,'Type Chart'!$C$2:$T$20,2,false)*HLOOKUP($K1073,'Type Chart'!$C$2:$U$20,2,false)</f>
        <v>0</v>
      </c>
      <c r="V1073" s="960">
        <f t="array" ref="V1073">HLOOKUP($J1073,'Type Chart'!$C$2:$T$20,3,false)*HLOOKUP($K1073,'Type Chart'!$C$2:$U$20,3,false)</f>
        <v>0</v>
      </c>
      <c r="W1073" s="960">
        <f t="array" ref="W1073">HLOOKUP($J1073,'Type Chart'!$C$2:$T$20,4,false)*HLOOKUP($K1073,'Type Chart'!$C$2:$U$20,4,false)</f>
        <v>1</v>
      </c>
      <c r="X1073" s="960">
        <f t="array" ref="X1073">HLOOKUP($J1073,'Type Chart'!$C$2:$T$20,5,false)*HLOOKUP($K1073,'Type Chart'!$C$2:$U$20,5,false)</f>
        <v>0.5</v>
      </c>
      <c r="Y1073" s="960">
        <f t="array" ref="Y1073">HLOOKUP($J1073,'Type Chart'!$C$2:$T$20,6,false)*HLOOKUP($K1073,'Type Chart'!$C$2:$U$20,6,false)</f>
        <v>1</v>
      </c>
      <c r="Z1073" s="960">
        <f t="array" ref="Z1073">HLOOKUP($J1073,'Type Chart'!$C$2:$T$20,7,false)*HLOOKUP($K1073,'Type Chart'!$C$2:$U$20,7,false)</f>
        <v>1</v>
      </c>
      <c r="AA1073" s="960">
        <f t="array" ref="AA1073">HLOOKUP($J1073,'Type Chart'!$C$2:$T$20,8,false)*HLOOKUP($K1073,'Type Chart'!$C$2:$U$20,8,false)</f>
        <v>0.5</v>
      </c>
      <c r="AB1073" s="960">
        <f t="array" ref="AB1073">HLOOKUP($J1073,'Type Chart'!$C$2:$T$20,9,false)*HLOOKUP($K1073,'Type Chart'!$C$2:$U$20,9,false)</f>
        <v>2</v>
      </c>
      <c r="AC1073" s="960">
        <f t="array" ref="AC1073">HLOOKUP($J1073,'Type Chart'!$C$2:$T$20,10,false)*HLOOKUP($K1073,'Type Chart'!$C$2:$U$20,10,false)</f>
        <v>1</v>
      </c>
      <c r="AD1073" s="960">
        <f t="array" ref="AD1073">HLOOKUP($J1073,'Type Chart'!$C$2:$T$20,11,false)*HLOOKUP($K1073,'Type Chart'!$C$2:$U$20,11,false)</f>
        <v>1</v>
      </c>
      <c r="AE1073" s="960">
        <f t="array" ref="AE1073">HLOOKUP($J1073,'Type Chart'!$C$2:$T$20,12,false)*HLOOKUP($K1073,'Type Chart'!$C$2:$U$20,12,false)</f>
        <v>1</v>
      </c>
      <c r="AF1073" s="960">
        <f t="array" ref="AF1073">HLOOKUP($J1073,'Type Chart'!$C$2:$T$20,13,false)*HLOOKUP($K1073,'Type Chart'!$C$2:$U$20,13,false)</f>
        <v>1</v>
      </c>
      <c r="AG1073" s="960">
        <f t="array" ref="AG1073">HLOOKUP($J1073,'Type Chart'!$C$2:$T$20,14,false)*HLOOKUP($K1073,'Type Chart'!$C$2:$U$20,14,false)</f>
        <v>1</v>
      </c>
      <c r="AH1073" s="960">
        <f t="array" ref="AH1073">HLOOKUP($J1073,'Type Chart'!$C$2:$T$20,15,false)*HLOOKUP($K1073,'Type Chart'!$C$2:$U$20,15,false)</f>
        <v>1</v>
      </c>
      <c r="AI1073" s="960">
        <f t="array" ref="AI1073">HLOOKUP($J1073,'Type Chart'!$C$2:$T$20,16,false)*HLOOKUP($K1073,'Type Chart'!$C$2:$U$20,16,false)</f>
        <v>1</v>
      </c>
      <c r="AJ1073" s="960">
        <f t="array" ref="AJ1073">HLOOKUP($J1073,'Type Chart'!$C$2:$T$20,17,false)*HLOOKUP($K1073,'Type Chart'!$C$2:$U$20,17,false)</f>
        <v>1</v>
      </c>
      <c r="AK1073" s="960">
        <f t="array" ref="AK1073">HLOOKUP($J1073,'Type Chart'!$C$2:$T$20,18,false)*HLOOKUP($K1073,'Type Chart'!$C$2:$U$20,18,false)</f>
        <v>2</v>
      </c>
      <c r="AL1073" s="960">
        <f t="array" ref="AL1073">HLOOKUP($J1073,'Type Chart'!$C$2:$T$20,19,false)*HLOOKUP($K1073,'Type Chart'!$C$2:$U$20,19,false)</f>
        <v>1</v>
      </c>
      <c r="AM1073" s="964" t="s">
        <v>1450</v>
      </c>
      <c r="AN1073" s="965"/>
      <c r="AO1073" s="966" t="s">
        <v>1442</v>
      </c>
      <c r="AP1073" s="936"/>
      <c r="AQ1073" s="967"/>
      <c r="AR1073" s="968"/>
      <c r="AS1073" s="936"/>
    </row>
    <row r="1074" ht="15.75" customHeight="1">
      <c r="A1074" s="936"/>
      <c r="B1074" s="948" t="s">
        <v>3986</v>
      </c>
      <c r="C1074" s="950" t="s">
        <v>3987</v>
      </c>
      <c r="D1074" s="950" t="s">
        <v>3987</v>
      </c>
      <c r="E1074" s="952" t="s">
        <v>3987</v>
      </c>
      <c r="F1074" s="940"/>
      <c r="G1074" s="953"/>
      <c r="H1074" s="969"/>
      <c r="I1074" s="956" t="s">
        <v>659</v>
      </c>
      <c r="J1074" s="1220" t="s">
        <v>215</v>
      </c>
      <c r="K1074" s="984" t="s">
        <v>216</v>
      </c>
      <c r="L1074" s="959">
        <v>60.0</v>
      </c>
      <c r="M1074" s="960">
        <v>65.0</v>
      </c>
      <c r="N1074" s="960">
        <v>65.0</v>
      </c>
      <c r="O1074" s="960">
        <v>134.0</v>
      </c>
      <c r="P1074" s="960">
        <v>114.0</v>
      </c>
      <c r="Q1074" s="960">
        <v>70.0</v>
      </c>
      <c r="R1074" s="960">
        <v>176.0</v>
      </c>
      <c r="S1074" s="960">
        <v>239.0</v>
      </c>
      <c r="T1074" s="960">
        <v>262.0</v>
      </c>
      <c r="U1074" s="960">
        <f t="array" ref="U1074">HLOOKUP($J1074,'Type Chart'!$C$2:$T$20,2,false)*HLOOKUP($K1074,'Type Chart'!$C$2:$U$20,2,false)</f>
        <v>0</v>
      </c>
      <c r="V1074" s="960">
        <f t="array" ref="V1074">HLOOKUP($J1074,'Type Chart'!$C$2:$T$20,3,false)*HLOOKUP($K1074,'Type Chart'!$C$2:$U$20,3,false)</f>
        <v>0</v>
      </c>
      <c r="W1074" s="960">
        <f t="array" ref="W1074">HLOOKUP($J1074,'Type Chart'!$C$2:$T$20,4,false)*HLOOKUP($K1074,'Type Chart'!$C$2:$U$20,4,false)</f>
        <v>1</v>
      </c>
      <c r="X1074" s="960">
        <f t="array" ref="X1074">HLOOKUP($J1074,'Type Chart'!$C$2:$T$20,5,false)*HLOOKUP($K1074,'Type Chart'!$C$2:$U$20,5,false)</f>
        <v>0.5</v>
      </c>
      <c r="Y1074" s="960">
        <f t="array" ref="Y1074">HLOOKUP($J1074,'Type Chart'!$C$2:$T$20,6,false)*HLOOKUP($K1074,'Type Chart'!$C$2:$U$20,6,false)</f>
        <v>1</v>
      </c>
      <c r="Z1074" s="960">
        <f t="array" ref="Z1074">HLOOKUP($J1074,'Type Chart'!$C$2:$T$20,7,false)*HLOOKUP($K1074,'Type Chart'!$C$2:$U$20,7,false)</f>
        <v>1</v>
      </c>
      <c r="AA1074" s="960">
        <f t="array" ref="AA1074">HLOOKUP($J1074,'Type Chart'!$C$2:$T$20,8,false)*HLOOKUP($K1074,'Type Chart'!$C$2:$U$20,8,false)</f>
        <v>0.5</v>
      </c>
      <c r="AB1074" s="960">
        <f t="array" ref="AB1074">HLOOKUP($J1074,'Type Chart'!$C$2:$T$20,9,false)*HLOOKUP($K1074,'Type Chart'!$C$2:$U$20,9,false)</f>
        <v>2</v>
      </c>
      <c r="AC1074" s="960">
        <f t="array" ref="AC1074">HLOOKUP($J1074,'Type Chart'!$C$2:$T$20,10,false)*HLOOKUP($K1074,'Type Chart'!$C$2:$U$20,10,false)</f>
        <v>1</v>
      </c>
      <c r="AD1074" s="960">
        <f t="array" ref="AD1074">HLOOKUP($J1074,'Type Chart'!$C$2:$T$20,11,false)*HLOOKUP($K1074,'Type Chart'!$C$2:$U$20,11,false)</f>
        <v>1</v>
      </c>
      <c r="AE1074" s="960">
        <f t="array" ref="AE1074">HLOOKUP($J1074,'Type Chart'!$C$2:$T$20,12,false)*HLOOKUP($K1074,'Type Chart'!$C$2:$U$20,12,false)</f>
        <v>1</v>
      </c>
      <c r="AF1074" s="960">
        <f t="array" ref="AF1074">HLOOKUP($J1074,'Type Chart'!$C$2:$T$20,13,false)*HLOOKUP($K1074,'Type Chart'!$C$2:$U$20,13,false)</f>
        <v>1</v>
      </c>
      <c r="AG1074" s="960">
        <f t="array" ref="AG1074">HLOOKUP($J1074,'Type Chart'!$C$2:$T$20,14,false)*HLOOKUP($K1074,'Type Chart'!$C$2:$U$20,14,false)</f>
        <v>1</v>
      </c>
      <c r="AH1074" s="960">
        <f t="array" ref="AH1074">HLOOKUP($J1074,'Type Chart'!$C$2:$T$20,15,false)*HLOOKUP($K1074,'Type Chart'!$C$2:$U$20,15,false)</f>
        <v>1</v>
      </c>
      <c r="AI1074" s="960">
        <f t="array" ref="AI1074">HLOOKUP($J1074,'Type Chart'!$C$2:$T$20,16,false)*HLOOKUP($K1074,'Type Chart'!$C$2:$U$20,16,false)</f>
        <v>1</v>
      </c>
      <c r="AJ1074" s="960">
        <f t="array" ref="AJ1074">HLOOKUP($J1074,'Type Chart'!$C$2:$T$20,17,false)*HLOOKUP($K1074,'Type Chart'!$C$2:$U$20,17,false)</f>
        <v>1</v>
      </c>
      <c r="AK1074" s="960">
        <f t="array" ref="AK1074">HLOOKUP($J1074,'Type Chart'!$C$2:$T$20,18,false)*HLOOKUP($K1074,'Type Chart'!$C$2:$U$20,18,false)</f>
        <v>2</v>
      </c>
      <c r="AL1074" s="960">
        <f t="array" ref="AL1074">HLOOKUP($J1074,'Type Chart'!$C$2:$T$20,19,false)*HLOOKUP($K1074,'Type Chart'!$C$2:$U$20,19,false)</f>
        <v>1</v>
      </c>
      <c r="AM1074" s="964" t="s">
        <v>1450</v>
      </c>
      <c r="AN1074" s="965"/>
      <c r="AO1074" s="966" t="s">
        <v>1442</v>
      </c>
      <c r="AP1074" s="936"/>
      <c r="AQ1074" s="967"/>
      <c r="AR1074" s="968"/>
      <c r="AS1074" s="936"/>
    </row>
    <row r="1075" ht="15.75" customHeight="1">
      <c r="A1075" s="936"/>
      <c r="B1075" s="948" t="s">
        <v>3988</v>
      </c>
      <c r="C1075" s="950" t="s">
        <v>3989</v>
      </c>
      <c r="D1075" s="950" t="s">
        <v>3989</v>
      </c>
      <c r="E1075" s="952" t="s">
        <v>3989</v>
      </c>
      <c r="F1075" s="940"/>
      <c r="G1075" s="953"/>
      <c r="H1075" s="969"/>
      <c r="I1075" s="956" t="s">
        <v>3990</v>
      </c>
      <c r="J1075" s="1203" t="s">
        <v>344</v>
      </c>
      <c r="K1075" s="984" t="s">
        <v>216</v>
      </c>
      <c r="L1075" s="959">
        <v>42.0</v>
      </c>
      <c r="M1075" s="960">
        <v>30.0</v>
      </c>
      <c r="N1075" s="960">
        <v>45.0</v>
      </c>
      <c r="O1075" s="960">
        <v>56.0</v>
      </c>
      <c r="P1075" s="960">
        <v>53.0</v>
      </c>
      <c r="Q1075" s="960">
        <v>39.0</v>
      </c>
      <c r="R1075" s="960">
        <v>114.0</v>
      </c>
      <c r="S1075" s="960">
        <v>177.0</v>
      </c>
      <c r="T1075" s="960">
        <v>194.0</v>
      </c>
      <c r="U1075" s="960">
        <f t="array" ref="U1075">HLOOKUP($J1075,'Type Chart'!$C$2:$T$20,2,false)*HLOOKUP($K1075,'Type Chart'!$C$2:$U$20,2,false)</f>
        <v>1</v>
      </c>
      <c r="V1075" s="960">
        <f t="array" ref="V1075">HLOOKUP($J1075,'Type Chart'!$C$2:$T$20,3,false)*HLOOKUP($K1075,'Type Chart'!$C$2:$U$20,3,false)</f>
        <v>0.5</v>
      </c>
      <c r="W1075" s="960">
        <f t="array" ref="W1075">HLOOKUP($J1075,'Type Chart'!$C$2:$T$20,4,false)*HLOOKUP($K1075,'Type Chart'!$C$2:$U$20,4,false)</f>
        <v>1</v>
      </c>
      <c r="X1075" s="960">
        <f t="array" ref="X1075">HLOOKUP($J1075,'Type Chart'!$C$2:$T$20,5,false)*HLOOKUP($K1075,'Type Chart'!$C$2:$U$20,5,false)</f>
        <v>1</v>
      </c>
      <c r="Y1075" s="960">
        <f t="array" ref="Y1075">HLOOKUP($J1075,'Type Chart'!$C$2:$T$20,6,false)*HLOOKUP($K1075,'Type Chart'!$C$2:$U$20,6,false)</f>
        <v>1</v>
      </c>
      <c r="Z1075" s="960">
        <f t="array" ref="Z1075">HLOOKUP($J1075,'Type Chart'!$C$2:$T$20,7,false)*HLOOKUP($K1075,'Type Chart'!$C$2:$U$20,7,false)</f>
        <v>1</v>
      </c>
      <c r="AA1075" s="960">
        <f t="array" ref="AA1075">HLOOKUP($J1075,'Type Chart'!$C$2:$T$20,8,false)*HLOOKUP($K1075,'Type Chart'!$C$2:$U$20,8,false)</f>
        <v>2</v>
      </c>
      <c r="AB1075" s="960">
        <f t="array" ref="AB1075">HLOOKUP($J1075,'Type Chart'!$C$2:$T$20,9,false)*HLOOKUP($K1075,'Type Chart'!$C$2:$U$20,9,false)</f>
        <v>2</v>
      </c>
      <c r="AC1075" s="960">
        <f t="array" ref="AC1075">HLOOKUP($J1075,'Type Chart'!$C$2:$T$20,10,false)*HLOOKUP($K1075,'Type Chart'!$C$2:$U$20,10,false)</f>
        <v>1</v>
      </c>
      <c r="AD1075" s="960">
        <f t="array" ref="AD1075">HLOOKUP($J1075,'Type Chart'!$C$2:$T$20,11,false)*HLOOKUP($K1075,'Type Chart'!$C$2:$U$20,11,false)</f>
        <v>1</v>
      </c>
      <c r="AE1075" s="960">
        <f t="array" ref="AE1075">HLOOKUP($J1075,'Type Chart'!$C$2:$T$20,12,false)*HLOOKUP($K1075,'Type Chart'!$C$2:$U$20,12,false)</f>
        <v>1</v>
      </c>
      <c r="AF1075" s="960">
        <f t="array" ref="AF1075">HLOOKUP($J1075,'Type Chart'!$C$2:$T$20,13,false)*HLOOKUP($K1075,'Type Chart'!$C$2:$U$20,13,false)</f>
        <v>1</v>
      </c>
      <c r="AG1075" s="960">
        <f t="array" ref="AG1075">HLOOKUP($J1075,'Type Chart'!$C$2:$T$20,14,false)*HLOOKUP($K1075,'Type Chart'!$C$2:$U$20,14,false)</f>
        <v>1</v>
      </c>
      <c r="AH1075" s="960">
        <f t="array" ref="AH1075">HLOOKUP($J1075,'Type Chart'!$C$2:$T$20,15,false)*HLOOKUP($K1075,'Type Chart'!$C$2:$U$20,15,false)</f>
        <v>0.5</v>
      </c>
      <c r="AI1075" s="960">
        <f t="array" ref="AI1075">HLOOKUP($J1075,'Type Chart'!$C$2:$T$20,16,false)*HLOOKUP($K1075,'Type Chart'!$C$2:$U$20,16,false)</f>
        <v>1</v>
      </c>
      <c r="AJ1075" s="960">
        <f t="array" ref="AJ1075">HLOOKUP($J1075,'Type Chart'!$C$2:$T$20,17,false)*HLOOKUP($K1075,'Type Chart'!$C$2:$U$20,17,false)</f>
        <v>1</v>
      </c>
      <c r="AK1075" s="960">
        <f t="array" ref="AK1075">HLOOKUP($J1075,'Type Chart'!$C$2:$T$20,18,false)*HLOOKUP($K1075,'Type Chart'!$C$2:$U$20,18,false)</f>
        <v>2</v>
      </c>
      <c r="AL1075" s="960">
        <f t="array" ref="AL1075">HLOOKUP($J1075,'Type Chart'!$C$2:$T$20,19,false)*HLOOKUP($K1075,'Type Chart'!$C$2:$U$20,19,false)</f>
        <v>1</v>
      </c>
      <c r="AM1075" s="964" t="s">
        <v>1522</v>
      </c>
      <c r="AN1075" s="964" t="s">
        <v>1359</v>
      </c>
      <c r="AO1075" s="966" t="s">
        <v>1752</v>
      </c>
      <c r="AP1075" s="936"/>
      <c r="AQ1075" s="967"/>
      <c r="AR1075" s="968"/>
      <c r="AS1075" s="936"/>
    </row>
    <row r="1076" ht="15.75" customHeight="1">
      <c r="A1076" s="936"/>
      <c r="B1076" s="948" t="s">
        <v>3991</v>
      </c>
      <c r="C1076" s="950" t="s">
        <v>3992</v>
      </c>
      <c r="D1076" s="950" t="s">
        <v>3992</v>
      </c>
      <c r="E1076" s="952" t="s">
        <v>3992</v>
      </c>
      <c r="F1076" s="940"/>
      <c r="G1076" s="953"/>
      <c r="H1076" s="969"/>
      <c r="I1076" s="956" t="s">
        <v>905</v>
      </c>
      <c r="J1076" s="1203" t="s">
        <v>344</v>
      </c>
      <c r="K1076" s="984" t="s">
        <v>216</v>
      </c>
      <c r="L1076" s="959">
        <v>57.0</v>
      </c>
      <c r="M1076" s="960">
        <v>40.0</v>
      </c>
      <c r="N1076" s="960">
        <v>65.0</v>
      </c>
      <c r="O1076" s="960">
        <v>86.0</v>
      </c>
      <c r="P1076" s="960">
        <v>73.0</v>
      </c>
      <c r="Q1076" s="960">
        <v>49.0</v>
      </c>
      <c r="R1076" s="960">
        <v>134.0</v>
      </c>
      <c r="S1076" s="960">
        <v>197.0</v>
      </c>
      <c r="T1076" s="960">
        <v>216.0</v>
      </c>
      <c r="U1076" s="960">
        <f t="array" ref="U1076">HLOOKUP($J1076,'Type Chart'!$C$2:$T$20,2,false)*HLOOKUP($K1076,'Type Chart'!$C$2:$U$20,2,false)</f>
        <v>1</v>
      </c>
      <c r="V1076" s="960">
        <f t="array" ref="V1076">HLOOKUP($J1076,'Type Chart'!$C$2:$T$20,3,false)*HLOOKUP($K1076,'Type Chart'!$C$2:$U$20,3,false)</f>
        <v>0.5</v>
      </c>
      <c r="W1076" s="960">
        <f t="array" ref="W1076">HLOOKUP($J1076,'Type Chart'!$C$2:$T$20,4,false)*HLOOKUP($K1076,'Type Chart'!$C$2:$U$20,4,false)</f>
        <v>1</v>
      </c>
      <c r="X1076" s="960">
        <f t="array" ref="X1076">HLOOKUP($J1076,'Type Chart'!$C$2:$T$20,5,false)*HLOOKUP($K1076,'Type Chart'!$C$2:$U$20,5,false)</f>
        <v>1</v>
      </c>
      <c r="Y1076" s="960">
        <f t="array" ref="Y1076">HLOOKUP($J1076,'Type Chart'!$C$2:$T$20,6,false)*HLOOKUP($K1076,'Type Chart'!$C$2:$U$20,6,false)</f>
        <v>1</v>
      </c>
      <c r="Z1076" s="960">
        <f t="array" ref="Z1076">HLOOKUP($J1076,'Type Chart'!$C$2:$T$20,7,false)*HLOOKUP($K1076,'Type Chart'!$C$2:$U$20,7,false)</f>
        <v>1</v>
      </c>
      <c r="AA1076" s="960">
        <f t="array" ref="AA1076">HLOOKUP($J1076,'Type Chart'!$C$2:$T$20,8,false)*HLOOKUP($K1076,'Type Chart'!$C$2:$U$20,8,false)</f>
        <v>2</v>
      </c>
      <c r="AB1076" s="960">
        <f t="array" ref="AB1076">HLOOKUP($J1076,'Type Chart'!$C$2:$T$20,9,false)*HLOOKUP($K1076,'Type Chart'!$C$2:$U$20,9,false)</f>
        <v>2</v>
      </c>
      <c r="AC1076" s="960">
        <f t="array" ref="AC1076">HLOOKUP($J1076,'Type Chart'!$C$2:$T$20,10,false)*HLOOKUP($K1076,'Type Chart'!$C$2:$U$20,10,false)</f>
        <v>1</v>
      </c>
      <c r="AD1076" s="960">
        <f t="array" ref="AD1076">HLOOKUP($J1076,'Type Chart'!$C$2:$T$20,11,false)*HLOOKUP($K1076,'Type Chart'!$C$2:$U$20,11,false)</f>
        <v>1</v>
      </c>
      <c r="AE1076" s="960">
        <f t="array" ref="AE1076">HLOOKUP($J1076,'Type Chart'!$C$2:$T$20,12,false)*HLOOKUP($K1076,'Type Chart'!$C$2:$U$20,12,false)</f>
        <v>1</v>
      </c>
      <c r="AF1076" s="960">
        <f t="array" ref="AF1076">HLOOKUP($J1076,'Type Chart'!$C$2:$T$20,13,false)*HLOOKUP($K1076,'Type Chart'!$C$2:$U$20,13,false)</f>
        <v>1</v>
      </c>
      <c r="AG1076" s="960">
        <f t="array" ref="AG1076">HLOOKUP($J1076,'Type Chart'!$C$2:$T$20,14,false)*HLOOKUP($K1076,'Type Chart'!$C$2:$U$20,14,false)</f>
        <v>1</v>
      </c>
      <c r="AH1076" s="960">
        <f t="array" ref="AH1076">HLOOKUP($J1076,'Type Chart'!$C$2:$T$20,15,false)*HLOOKUP($K1076,'Type Chart'!$C$2:$U$20,15,false)</f>
        <v>0.5</v>
      </c>
      <c r="AI1076" s="960">
        <f t="array" ref="AI1076">HLOOKUP($J1076,'Type Chart'!$C$2:$T$20,16,false)*HLOOKUP($K1076,'Type Chart'!$C$2:$U$20,16,false)</f>
        <v>1</v>
      </c>
      <c r="AJ1076" s="960">
        <f t="array" ref="AJ1076">HLOOKUP($J1076,'Type Chart'!$C$2:$T$20,17,false)*HLOOKUP($K1076,'Type Chart'!$C$2:$U$20,17,false)</f>
        <v>1</v>
      </c>
      <c r="AK1076" s="960">
        <f t="array" ref="AK1076">HLOOKUP($J1076,'Type Chart'!$C$2:$T$20,18,false)*HLOOKUP($K1076,'Type Chart'!$C$2:$U$20,18,false)</f>
        <v>2</v>
      </c>
      <c r="AL1076" s="960">
        <f t="array" ref="AL1076">HLOOKUP($J1076,'Type Chart'!$C$2:$T$20,19,false)*HLOOKUP($K1076,'Type Chart'!$C$2:$U$20,19,false)</f>
        <v>1</v>
      </c>
      <c r="AM1076" s="964" t="s">
        <v>1522</v>
      </c>
      <c r="AN1076" s="964" t="s">
        <v>1359</v>
      </c>
      <c r="AO1076" s="966" t="s">
        <v>1752</v>
      </c>
      <c r="AP1076" s="936"/>
      <c r="AQ1076" s="967"/>
      <c r="AR1076" s="968"/>
      <c r="AS1076" s="936"/>
    </row>
    <row r="1077" ht="15.75" customHeight="1">
      <c r="A1077" s="936"/>
      <c r="B1077" s="948" t="s">
        <v>3993</v>
      </c>
      <c r="C1077" s="950" t="s">
        <v>3994</v>
      </c>
      <c r="D1077" s="950" t="s">
        <v>3994</v>
      </c>
      <c r="E1077" s="952" t="s">
        <v>3994</v>
      </c>
      <c r="F1077" s="940"/>
      <c r="G1077" s="953"/>
      <c r="H1077" s="969"/>
      <c r="I1077" s="956" t="s">
        <v>492</v>
      </c>
      <c r="J1077" s="1203" t="s">
        <v>344</v>
      </c>
      <c r="K1077" s="1207" t="s">
        <v>127</v>
      </c>
      <c r="L1077" s="959">
        <v>57.0</v>
      </c>
      <c r="M1077" s="960">
        <v>90.0</v>
      </c>
      <c r="N1077" s="960">
        <v>95.0</v>
      </c>
      <c r="O1077" s="960">
        <v>136.0</v>
      </c>
      <c r="P1077" s="960">
        <v>103.0</v>
      </c>
      <c r="Q1077" s="960">
        <v>29.0</v>
      </c>
      <c r="R1077" s="960">
        <v>94.0</v>
      </c>
      <c r="S1077" s="960">
        <v>157.0</v>
      </c>
      <c r="T1077" s="960">
        <v>172.0</v>
      </c>
      <c r="U1077" s="960">
        <f t="array" ref="U1077">HLOOKUP($J1077,'Type Chart'!$C$2:$T$20,2,false)*HLOOKUP($K1077,'Type Chart'!$C$2:$U$20,2,false)</f>
        <v>1</v>
      </c>
      <c r="V1077" s="960">
        <f t="array" ref="V1077">HLOOKUP($J1077,'Type Chart'!$C$2:$T$20,3,false)*HLOOKUP($K1077,'Type Chart'!$C$2:$U$20,3,false)</f>
        <v>0.25</v>
      </c>
      <c r="W1077" s="960">
        <f t="array" ref="W1077">HLOOKUP($J1077,'Type Chart'!$C$2:$T$20,4,false)*HLOOKUP($K1077,'Type Chart'!$C$2:$U$20,4,false)</f>
        <v>1</v>
      </c>
      <c r="X1077" s="960">
        <f t="array" ref="X1077">HLOOKUP($J1077,'Type Chart'!$C$2:$T$20,5,false)*HLOOKUP($K1077,'Type Chart'!$C$2:$U$20,5,false)</f>
        <v>2</v>
      </c>
      <c r="Y1077" s="960">
        <f t="array" ref="Y1077">HLOOKUP($J1077,'Type Chart'!$C$2:$T$20,6,false)*HLOOKUP($K1077,'Type Chart'!$C$2:$U$20,6,false)</f>
        <v>1</v>
      </c>
      <c r="Z1077" s="960">
        <f t="array" ref="Z1077">HLOOKUP($J1077,'Type Chart'!$C$2:$T$20,7,false)*HLOOKUP($K1077,'Type Chart'!$C$2:$U$20,7,false)</f>
        <v>1</v>
      </c>
      <c r="AA1077" s="960">
        <f t="array" ref="AA1077">HLOOKUP($J1077,'Type Chart'!$C$2:$T$20,8,false)*HLOOKUP($K1077,'Type Chart'!$C$2:$U$20,8,false)</f>
        <v>1</v>
      </c>
      <c r="AB1077" s="960">
        <f t="array" ref="AB1077">HLOOKUP($J1077,'Type Chart'!$C$2:$T$20,9,false)*HLOOKUP($K1077,'Type Chart'!$C$2:$U$20,9,false)</f>
        <v>2</v>
      </c>
      <c r="AC1077" s="960">
        <f t="array" ref="AC1077">HLOOKUP($J1077,'Type Chart'!$C$2:$T$20,10,false)*HLOOKUP($K1077,'Type Chart'!$C$2:$U$20,10,false)</f>
        <v>2</v>
      </c>
      <c r="AD1077" s="960">
        <f t="array" ref="AD1077">HLOOKUP($J1077,'Type Chart'!$C$2:$T$20,11,false)*HLOOKUP($K1077,'Type Chart'!$C$2:$U$20,11,false)</f>
        <v>1</v>
      </c>
      <c r="AE1077" s="960">
        <f t="array" ref="AE1077">HLOOKUP($J1077,'Type Chart'!$C$2:$T$20,12,false)*HLOOKUP($K1077,'Type Chart'!$C$2:$U$20,12,false)</f>
        <v>1</v>
      </c>
      <c r="AF1077" s="960">
        <f t="array" ref="AF1077">HLOOKUP($J1077,'Type Chart'!$C$2:$T$20,13,false)*HLOOKUP($K1077,'Type Chart'!$C$2:$U$20,13,false)</f>
        <v>1</v>
      </c>
      <c r="AG1077" s="960">
        <f t="array" ref="AG1077">HLOOKUP($J1077,'Type Chart'!$C$2:$T$20,14,false)*HLOOKUP($K1077,'Type Chart'!$C$2:$U$20,14,false)</f>
        <v>1</v>
      </c>
      <c r="AH1077" s="960">
        <f t="array" ref="AH1077">HLOOKUP($J1077,'Type Chart'!$C$2:$T$20,15,false)*HLOOKUP($K1077,'Type Chart'!$C$2:$U$20,15,false)</f>
        <v>0.5</v>
      </c>
      <c r="AI1077" s="960">
        <f t="array" ref="AI1077">HLOOKUP($J1077,'Type Chart'!$C$2:$T$20,16,false)*HLOOKUP($K1077,'Type Chart'!$C$2:$U$20,16,false)</f>
        <v>1</v>
      </c>
      <c r="AJ1077" s="960">
        <f t="array" ref="AJ1077">HLOOKUP($J1077,'Type Chart'!$C$2:$T$20,17,false)*HLOOKUP($K1077,'Type Chart'!$C$2:$U$20,17,false)</f>
        <v>0</v>
      </c>
      <c r="AK1077" s="960">
        <f t="array" ref="AK1077">HLOOKUP($J1077,'Type Chart'!$C$2:$T$20,18,false)*HLOOKUP($K1077,'Type Chart'!$C$2:$U$20,18,false)</f>
        <v>1</v>
      </c>
      <c r="AL1077" s="960">
        <f t="array" ref="AL1077">HLOOKUP($J1077,'Type Chart'!$C$2:$T$20,19,false)*HLOOKUP($K1077,'Type Chart'!$C$2:$U$20,19,false)</f>
        <v>1</v>
      </c>
      <c r="AM1077" s="964" t="s">
        <v>1522</v>
      </c>
      <c r="AN1077" s="964" t="s">
        <v>1359</v>
      </c>
      <c r="AO1077" s="966" t="s">
        <v>1752</v>
      </c>
      <c r="AP1077" s="936"/>
      <c r="AQ1077" s="967"/>
      <c r="AR1077" s="968"/>
      <c r="AS1077" s="936"/>
    </row>
    <row r="1078" ht="15.75" customHeight="1">
      <c r="A1078" s="936"/>
      <c r="B1078" s="948" t="s">
        <v>3995</v>
      </c>
      <c r="C1078" s="950" t="s">
        <v>3996</v>
      </c>
      <c r="D1078" s="950" t="s">
        <v>3996</v>
      </c>
      <c r="E1078" s="952" t="s">
        <v>3996</v>
      </c>
      <c r="F1078" s="940"/>
      <c r="G1078" s="953"/>
      <c r="H1078" s="969"/>
      <c r="I1078" s="956" t="s">
        <v>841</v>
      </c>
      <c r="J1078" s="1195" t="s">
        <v>193</v>
      </c>
      <c r="K1078" s="1207" t="s">
        <v>127</v>
      </c>
      <c r="L1078" s="959">
        <v>45.0</v>
      </c>
      <c r="M1078" s="960">
        <v>45.0</v>
      </c>
      <c r="N1078" s="960">
        <v>30.0</v>
      </c>
      <c r="O1078" s="960">
        <v>55.0</v>
      </c>
      <c r="P1078" s="960">
        <v>40.0</v>
      </c>
      <c r="Q1078" s="960">
        <v>50.0</v>
      </c>
      <c r="R1078" s="960">
        <v>136.0</v>
      </c>
      <c r="S1078" s="960">
        <v>199.0</v>
      </c>
      <c r="T1078" s="960">
        <v>218.0</v>
      </c>
      <c r="U1078" s="960">
        <f t="array" ref="U1078">HLOOKUP($J1078,'Type Chart'!$C$2:$T$20,2,false)*HLOOKUP($K1078,'Type Chart'!$C$2:$U$20,2,false)</f>
        <v>1</v>
      </c>
      <c r="V1078" s="960">
        <f t="array" ref="V1078">HLOOKUP($J1078,'Type Chart'!$C$2:$T$20,3,false)*HLOOKUP($K1078,'Type Chart'!$C$2:$U$20,3,false)</f>
        <v>1</v>
      </c>
      <c r="W1078" s="960">
        <f t="array" ref="W1078">HLOOKUP($J1078,'Type Chart'!$C$2:$T$20,4,false)*HLOOKUP($K1078,'Type Chart'!$C$2:$U$20,4,false)</f>
        <v>1</v>
      </c>
      <c r="X1078" s="960">
        <f t="array" ref="X1078">HLOOKUP($J1078,'Type Chart'!$C$2:$T$20,5,false)*HLOOKUP($K1078,'Type Chart'!$C$2:$U$20,5,false)</f>
        <v>2</v>
      </c>
      <c r="Y1078" s="960">
        <f t="array" ref="Y1078">HLOOKUP($J1078,'Type Chart'!$C$2:$T$20,6,false)*HLOOKUP($K1078,'Type Chart'!$C$2:$U$20,6,false)</f>
        <v>1</v>
      </c>
      <c r="Z1078" s="960">
        <f t="array" ref="Z1078">HLOOKUP($J1078,'Type Chart'!$C$2:$T$20,7,false)*HLOOKUP($K1078,'Type Chart'!$C$2:$U$20,7,false)</f>
        <v>1</v>
      </c>
      <c r="AA1078" s="960">
        <f t="array" ref="AA1078">HLOOKUP($J1078,'Type Chart'!$C$2:$T$20,8,false)*HLOOKUP($K1078,'Type Chart'!$C$2:$U$20,8,false)</f>
        <v>1</v>
      </c>
      <c r="AB1078" s="960">
        <f t="array" ref="AB1078">HLOOKUP($J1078,'Type Chart'!$C$2:$T$20,9,false)*HLOOKUP($K1078,'Type Chart'!$C$2:$U$20,9,false)</f>
        <v>0.5</v>
      </c>
      <c r="AC1078" s="960">
        <f t="array" ref="AC1078">HLOOKUP($J1078,'Type Chart'!$C$2:$T$20,10,false)*HLOOKUP($K1078,'Type Chart'!$C$2:$U$20,10,false)</f>
        <v>2</v>
      </c>
      <c r="AD1078" s="960">
        <f t="array" ref="AD1078">HLOOKUP($J1078,'Type Chart'!$C$2:$T$20,11,false)*HLOOKUP($K1078,'Type Chart'!$C$2:$U$20,11,false)</f>
        <v>1</v>
      </c>
      <c r="AE1078" s="960">
        <f t="array" ref="AE1078">HLOOKUP($J1078,'Type Chart'!$C$2:$T$20,12,false)*HLOOKUP($K1078,'Type Chart'!$C$2:$U$20,12,false)</f>
        <v>1</v>
      </c>
      <c r="AF1078" s="960">
        <f t="array" ref="AF1078">HLOOKUP($J1078,'Type Chart'!$C$2:$T$20,13,false)*HLOOKUP($K1078,'Type Chart'!$C$2:$U$20,13,false)</f>
        <v>1</v>
      </c>
      <c r="AG1078" s="960">
        <f t="array" ref="AG1078">HLOOKUP($J1078,'Type Chart'!$C$2:$T$20,14,false)*HLOOKUP($K1078,'Type Chart'!$C$2:$U$20,14,false)</f>
        <v>1</v>
      </c>
      <c r="AH1078" s="960">
        <f t="array" ref="AH1078">HLOOKUP($J1078,'Type Chart'!$C$2:$T$20,15,false)*HLOOKUP($K1078,'Type Chart'!$C$2:$U$20,15,false)</f>
        <v>0</v>
      </c>
      <c r="AI1078" s="960">
        <f t="array" ref="AI1078">HLOOKUP($J1078,'Type Chart'!$C$2:$T$20,16,false)*HLOOKUP($K1078,'Type Chart'!$C$2:$U$20,16,false)</f>
        <v>1</v>
      </c>
      <c r="AJ1078" s="960">
        <f t="array" ref="AJ1078">HLOOKUP($J1078,'Type Chart'!$C$2:$T$20,17,false)*HLOOKUP($K1078,'Type Chart'!$C$2:$U$20,17,false)</f>
        <v>0</v>
      </c>
      <c r="AK1078" s="960">
        <f t="array" ref="AK1078">HLOOKUP($J1078,'Type Chart'!$C$2:$T$20,18,false)*HLOOKUP($K1078,'Type Chart'!$C$2:$U$20,18,false)</f>
        <v>0.25</v>
      </c>
      <c r="AL1078" s="960">
        <f t="array" ref="AL1078">HLOOKUP($J1078,'Type Chart'!$C$2:$T$20,19,false)*HLOOKUP($K1078,'Type Chart'!$C$2:$U$20,19,false)</f>
        <v>2</v>
      </c>
      <c r="AM1078" s="964" t="s">
        <v>1813</v>
      </c>
      <c r="AN1078" s="964" t="s">
        <v>1188</v>
      </c>
      <c r="AO1078" s="966" t="s">
        <v>1869</v>
      </c>
      <c r="AP1078" s="936"/>
      <c r="AQ1078" s="967"/>
      <c r="AR1078" s="968"/>
      <c r="AS1078" s="936"/>
    </row>
    <row r="1079" ht="15.75" customHeight="1">
      <c r="A1079" s="936"/>
      <c r="B1079" s="948" t="s">
        <v>3997</v>
      </c>
      <c r="C1079" s="950" t="s">
        <v>3998</v>
      </c>
      <c r="D1079" s="950" t="s">
        <v>3998</v>
      </c>
      <c r="E1079" s="952" t="s">
        <v>3998</v>
      </c>
      <c r="F1079" s="940"/>
      <c r="G1079" s="953"/>
      <c r="H1079" s="969"/>
      <c r="I1079" s="956" t="s">
        <v>767</v>
      </c>
      <c r="J1079" s="1195" t="s">
        <v>193</v>
      </c>
      <c r="K1079" s="1207" t="s">
        <v>127</v>
      </c>
      <c r="L1079" s="959">
        <v>65.0</v>
      </c>
      <c r="M1079" s="960">
        <v>60.0</v>
      </c>
      <c r="N1079" s="960">
        <v>45.0</v>
      </c>
      <c r="O1079" s="960">
        <v>75.0</v>
      </c>
      <c r="P1079" s="960">
        <v>55.0</v>
      </c>
      <c r="Q1079" s="960">
        <v>70.0</v>
      </c>
      <c r="R1079" s="960">
        <v>176.0</v>
      </c>
      <c r="S1079" s="960">
        <v>239.0</v>
      </c>
      <c r="T1079" s="960">
        <v>262.0</v>
      </c>
      <c r="U1079" s="960">
        <f t="array" ref="U1079">HLOOKUP($J1079,'Type Chart'!$C$2:$T$20,2,false)*HLOOKUP($K1079,'Type Chart'!$C$2:$U$20,2,false)</f>
        <v>1</v>
      </c>
      <c r="V1079" s="960">
        <f t="array" ref="V1079">HLOOKUP($J1079,'Type Chart'!$C$2:$T$20,3,false)*HLOOKUP($K1079,'Type Chart'!$C$2:$U$20,3,false)</f>
        <v>1</v>
      </c>
      <c r="W1079" s="960">
        <f t="array" ref="W1079">HLOOKUP($J1079,'Type Chart'!$C$2:$T$20,4,false)*HLOOKUP($K1079,'Type Chart'!$C$2:$U$20,4,false)</f>
        <v>1</v>
      </c>
      <c r="X1079" s="960">
        <f t="array" ref="X1079">HLOOKUP($J1079,'Type Chart'!$C$2:$T$20,5,false)*HLOOKUP($K1079,'Type Chart'!$C$2:$U$20,5,false)</f>
        <v>2</v>
      </c>
      <c r="Y1079" s="960">
        <f t="array" ref="Y1079">HLOOKUP($J1079,'Type Chart'!$C$2:$T$20,6,false)*HLOOKUP($K1079,'Type Chart'!$C$2:$U$20,6,false)</f>
        <v>1</v>
      </c>
      <c r="Z1079" s="960">
        <f t="array" ref="Z1079">HLOOKUP($J1079,'Type Chart'!$C$2:$T$20,7,false)*HLOOKUP($K1079,'Type Chart'!$C$2:$U$20,7,false)</f>
        <v>1</v>
      </c>
      <c r="AA1079" s="960">
        <f t="array" ref="AA1079">HLOOKUP($J1079,'Type Chart'!$C$2:$T$20,8,false)*HLOOKUP($K1079,'Type Chart'!$C$2:$U$20,8,false)</f>
        <v>1</v>
      </c>
      <c r="AB1079" s="960">
        <f t="array" ref="AB1079">HLOOKUP($J1079,'Type Chart'!$C$2:$T$20,9,false)*HLOOKUP($K1079,'Type Chart'!$C$2:$U$20,9,false)</f>
        <v>0.5</v>
      </c>
      <c r="AC1079" s="960">
        <f t="array" ref="AC1079">HLOOKUP($J1079,'Type Chart'!$C$2:$T$20,10,false)*HLOOKUP($K1079,'Type Chart'!$C$2:$U$20,10,false)</f>
        <v>2</v>
      </c>
      <c r="AD1079" s="960">
        <f t="array" ref="AD1079">HLOOKUP($J1079,'Type Chart'!$C$2:$T$20,11,false)*HLOOKUP($K1079,'Type Chart'!$C$2:$U$20,11,false)</f>
        <v>1</v>
      </c>
      <c r="AE1079" s="960">
        <f t="array" ref="AE1079">HLOOKUP($J1079,'Type Chart'!$C$2:$T$20,12,false)*HLOOKUP($K1079,'Type Chart'!$C$2:$U$20,12,false)</f>
        <v>1</v>
      </c>
      <c r="AF1079" s="960">
        <f t="array" ref="AF1079">HLOOKUP($J1079,'Type Chart'!$C$2:$T$20,13,false)*HLOOKUP($K1079,'Type Chart'!$C$2:$U$20,13,false)</f>
        <v>1</v>
      </c>
      <c r="AG1079" s="960">
        <f t="array" ref="AG1079">HLOOKUP($J1079,'Type Chart'!$C$2:$T$20,14,false)*HLOOKUP($K1079,'Type Chart'!$C$2:$U$20,14,false)</f>
        <v>1</v>
      </c>
      <c r="AH1079" s="960">
        <f t="array" ref="AH1079">HLOOKUP($J1079,'Type Chart'!$C$2:$T$20,15,false)*HLOOKUP($K1079,'Type Chart'!$C$2:$U$20,15,false)</f>
        <v>0</v>
      </c>
      <c r="AI1079" s="960">
        <f t="array" ref="AI1079">HLOOKUP($J1079,'Type Chart'!$C$2:$T$20,16,false)*HLOOKUP($K1079,'Type Chart'!$C$2:$U$20,16,false)</f>
        <v>1</v>
      </c>
      <c r="AJ1079" s="960">
        <f t="array" ref="AJ1079">HLOOKUP($J1079,'Type Chart'!$C$2:$T$20,17,false)*HLOOKUP($K1079,'Type Chart'!$C$2:$U$20,17,false)</f>
        <v>0</v>
      </c>
      <c r="AK1079" s="960">
        <f t="array" ref="AK1079">HLOOKUP($J1079,'Type Chart'!$C$2:$T$20,18,false)*HLOOKUP($K1079,'Type Chart'!$C$2:$U$20,18,false)</f>
        <v>0.25</v>
      </c>
      <c r="AL1079" s="960">
        <f t="array" ref="AL1079">HLOOKUP($J1079,'Type Chart'!$C$2:$T$20,19,false)*HLOOKUP($K1079,'Type Chart'!$C$2:$U$20,19,false)</f>
        <v>2</v>
      </c>
      <c r="AM1079" s="964" t="s">
        <v>1813</v>
      </c>
      <c r="AN1079" s="964" t="s">
        <v>1188</v>
      </c>
      <c r="AO1079" s="966" t="s">
        <v>1869</v>
      </c>
      <c r="AP1079" s="936"/>
      <c r="AQ1079" s="967"/>
      <c r="AR1079" s="968"/>
      <c r="AS1079" s="936"/>
    </row>
    <row r="1080" ht="15.75" customHeight="1">
      <c r="A1080" s="936"/>
      <c r="B1080" s="948" t="s">
        <v>3999</v>
      </c>
      <c r="C1080" s="950" t="s">
        <v>116</v>
      </c>
      <c r="D1080" s="950" t="s">
        <v>116</v>
      </c>
      <c r="E1080" s="952" t="s">
        <v>116</v>
      </c>
      <c r="F1080" s="940"/>
      <c r="G1080" s="953"/>
      <c r="H1080" s="969"/>
      <c r="I1080" s="956" t="s">
        <v>185</v>
      </c>
      <c r="J1080" s="1195" t="s">
        <v>193</v>
      </c>
      <c r="K1080" s="1207" t="s">
        <v>127</v>
      </c>
      <c r="L1080" s="959">
        <v>95.0</v>
      </c>
      <c r="M1080" s="960">
        <v>120.0</v>
      </c>
      <c r="N1080" s="960">
        <v>65.0</v>
      </c>
      <c r="O1080" s="960">
        <v>95.0</v>
      </c>
      <c r="P1080" s="960">
        <v>75.0</v>
      </c>
      <c r="Q1080" s="960">
        <v>60.0</v>
      </c>
      <c r="R1080" s="960">
        <v>156.0</v>
      </c>
      <c r="S1080" s="960">
        <v>219.0</v>
      </c>
      <c r="T1080" s="960">
        <v>240.0</v>
      </c>
      <c r="U1080" s="960">
        <f t="array" ref="U1080">HLOOKUP($J1080,'Type Chart'!$C$2:$T$20,2,false)*HLOOKUP($K1080,'Type Chart'!$C$2:$U$20,2,false)</f>
        <v>1</v>
      </c>
      <c r="V1080" s="960">
        <f t="array" ref="V1080">HLOOKUP($J1080,'Type Chart'!$C$2:$T$20,3,false)*HLOOKUP($K1080,'Type Chart'!$C$2:$U$20,3,false)</f>
        <v>1</v>
      </c>
      <c r="W1080" s="960">
        <f t="array" ref="W1080">HLOOKUP($J1080,'Type Chart'!$C$2:$T$20,4,false)*HLOOKUP($K1080,'Type Chart'!$C$2:$U$20,4,false)</f>
        <v>1</v>
      </c>
      <c r="X1080" s="960">
        <f t="array" ref="X1080">HLOOKUP($J1080,'Type Chart'!$C$2:$T$20,5,false)*HLOOKUP($K1080,'Type Chart'!$C$2:$U$20,5,false)</f>
        <v>2</v>
      </c>
      <c r="Y1080" s="960">
        <f t="array" ref="Y1080">HLOOKUP($J1080,'Type Chart'!$C$2:$T$20,6,false)*HLOOKUP($K1080,'Type Chart'!$C$2:$U$20,6,false)</f>
        <v>1</v>
      </c>
      <c r="Z1080" s="960">
        <f t="array" ref="Z1080">HLOOKUP($J1080,'Type Chart'!$C$2:$T$20,7,false)*HLOOKUP($K1080,'Type Chart'!$C$2:$U$20,7,false)</f>
        <v>1</v>
      </c>
      <c r="AA1080" s="960">
        <f t="array" ref="AA1080">HLOOKUP($J1080,'Type Chart'!$C$2:$T$20,8,false)*HLOOKUP($K1080,'Type Chart'!$C$2:$U$20,8,false)</f>
        <v>1</v>
      </c>
      <c r="AB1080" s="960">
        <f t="array" ref="AB1080">HLOOKUP($J1080,'Type Chart'!$C$2:$T$20,9,false)*HLOOKUP($K1080,'Type Chart'!$C$2:$U$20,9,false)</f>
        <v>0.5</v>
      </c>
      <c r="AC1080" s="960">
        <f t="array" ref="AC1080">HLOOKUP($J1080,'Type Chart'!$C$2:$T$20,10,false)*HLOOKUP($K1080,'Type Chart'!$C$2:$U$20,10,false)</f>
        <v>2</v>
      </c>
      <c r="AD1080" s="960">
        <f t="array" ref="AD1080">HLOOKUP($J1080,'Type Chart'!$C$2:$T$20,11,false)*HLOOKUP($K1080,'Type Chart'!$C$2:$U$20,11,false)</f>
        <v>1</v>
      </c>
      <c r="AE1080" s="960">
        <f t="array" ref="AE1080">HLOOKUP($J1080,'Type Chart'!$C$2:$T$20,12,false)*HLOOKUP($K1080,'Type Chart'!$C$2:$U$20,12,false)</f>
        <v>1</v>
      </c>
      <c r="AF1080" s="960">
        <f t="array" ref="AF1080">HLOOKUP($J1080,'Type Chart'!$C$2:$T$20,13,false)*HLOOKUP($K1080,'Type Chart'!$C$2:$U$20,13,false)</f>
        <v>1</v>
      </c>
      <c r="AG1080" s="960">
        <f t="array" ref="AG1080">HLOOKUP($J1080,'Type Chart'!$C$2:$T$20,14,false)*HLOOKUP($K1080,'Type Chart'!$C$2:$U$20,14,false)</f>
        <v>1</v>
      </c>
      <c r="AH1080" s="960">
        <f t="array" ref="AH1080">HLOOKUP($J1080,'Type Chart'!$C$2:$T$20,15,false)*HLOOKUP($K1080,'Type Chart'!$C$2:$U$20,15,false)</f>
        <v>0</v>
      </c>
      <c r="AI1080" s="960">
        <f t="array" ref="AI1080">HLOOKUP($J1080,'Type Chart'!$C$2:$T$20,16,false)*HLOOKUP($K1080,'Type Chart'!$C$2:$U$20,16,false)</f>
        <v>1</v>
      </c>
      <c r="AJ1080" s="960">
        <f t="array" ref="AJ1080">HLOOKUP($J1080,'Type Chart'!$C$2:$T$20,17,false)*HLOOKUP($K1080,'Type Chart'!$C$2:$U$20,17,false)</f>
        <v>0</v>
      </c>
      <c r="AK1080" s="960">
        <f t="array" ref="AK1080">HLOOKUP($J1080,'Type Chart'!$C$2:$T$20,18,false)*HLOOKUP($K1080,'Type Chart'!$C$2:$U$20,18,false)</f>
        <v>0.25</v>
      </c>
      <c r="AL1080" s="960">
        <f t="array" ref="AL1080">HLOOKUP($J1080,'Type Chart'!$C$2:$T$20,19,false)*HLOOKUP($K1080,'Type Chart'!$C$2:$U$20,19,false)</f>
        <v>2</v>
      </c>
      <c r="AM1080" s="964" t="s">
        <v>1813</v>
      </c>
      <c r="AN1080" s="964" t="s">
        <v>1188</v>
      </c>
      <c r="AO1080" s="966" t="s">
        <v>1869</v>
      </c>
      <c r="AP1080" s="936"/>
      <c r="AQ1080" s="967"/>
      <c r="AR1080" s="968"/>
      <c r="AS1080" s="936"/>
    </row>
    <row r="1081" ht="15.75" customHeight="1">
      <c r="A1081" s="1099"/>
      <c r="B1081" s="948" t="s">
        <v>4000</v>
      </c>
      <c r="C1081" s="1197" t="s">
        <v>4001</v>
      </c>
      <c r="D1081" s="1197" t="s">
        <v>4001</v>
      </c>
      <c r="E1081" s="1147" t="s">
        <v>4001</v>
      </c>
      <c r="F1081" s="940"/>
      <c r="G1081" s="953"/>
      <c r="H1081" s="969"/>
      <c r="I1081" s="998" t="s">
        <v>4002</v>
      </c>
      <c r="J1081" s="1229" t="s">
        <v>193</v>
      </c>
      <c r="K1081" s="1216" t="s">
        <v>136</v>
      </c>
      <c r="L1081" s="1200">
        <v>93.0</v>
      </c>
      <c r="M1081" s="1201">
        <v>90.0</v>
      </c>
      <c r="N1081" s="1201">
        <v>101.0</v>
      </c>
      <c r="O1081" s="1201">
        <v>60.0</v>
      </c>
      <c r="P1081" s="1201">
        <v>81.0</v>
      </c>
      <c r="Q1081" s="1201">
        <v>95.0</v>
      </c>
      <c r="R1081" s="960">
        <v>226.0</v>
      </c>
      <c r="S1081" s="960">
        <v>289.0</v>
      </c>
      <c r="T1081" s="960">
        <v>317.0</v>
      </c>
      <c r="U1081" s="960">
        <f t="array" ref="U1081">HLOOKUP($J1081,'Type Chart'!$C$2:$T$20,2,false)*HLOOKUP($K1081,'Type Chart'!$C$2:$U$20,2,false)</f>
        <v>1</v>
      </c>
      <c r="V1081" s="960">
        <f t="array" ref="V1081">HLOOKUP($J1081,'Type Chart'!$C$2:$T$20,3,false)*HLOOKUP($K1081,'Type Chart'!$C$2:$U$20,3,false)</f>
        <v>4</v>
      </c>
      <c r="W1081" s="960">
        <f t="array" ref="W1081">HLOOKUP($J1081,'Type Chart'!$C$2:$T$20,4,false)*HLOOKUP($K1081,'Type Chart'!$C$2:$U$20,4,false)</f>
        <v>1</v>
      </c>
      <c r="X1081" s="960">
        <f t="array" ref="X1081">HLOOKUP($J1081,'Type Chart'!$C$2:$T$20,5,false)*HLOOKUP($K1081,'Type Chart'!$C$2:$U$20,5,false)</f>
        <v>1</v>
      </c>
      <c r="Y1081" s="960">
        <f t="array" ref="Y1081">HLOOKUP($J1081,'Type Chart'!$C$2:$T$20,6,false)*HLOOKUP($K1081,'Type Chart'!$C$2:$U$20,6,false)</f>
        <v>1</v>
      </c>
      <c r="Z1081" s="960">
        <f t="array" ref="Z1081">HLOOKUP($J1081,'Type Chart'!$C$2:$T$20,7,false)*HLOOKUP($K1081,'Type Chart'!$C$2:$U$20,7,false)</f>
        <v>1</v>
      </c>
      <c r="AA1081" s="960">
        <f t="array" ref="AA1081">HLOOKUP($J1081,'Type Chart'!$C$2:$T$20,8,false)*HLOOKUP($K1081,'Type Chart'!$C$2:$U$20,8,false)</f>
        <v>2</v>
      </c>
      <c r="AB1081" s="960">
        <f t="array" ref="AB1081">HLOOKUP($J1081,'Type Chart'!$C$2:$T$20,9,false)*HLOOKUP($K1081,'Type Chart'!$C$2:$U$20,9,false)</f>
        <v>0</v>
      </c>
      <c r="AC1081" s="960">
        <f t="array" ref="AC1081">HLOOKUP($J1081,'Type Chart'!$C$2:$T$20,10,false)*HLOOKUP($K1081,'Type Chart'!$C$2:$U$20,10,false)</f>
        <v>1</v>
      </c>
      <c r="AD1081" s="960">
        <f t="array" ref="AD1081">HLOOKUP($J1081,'Type Chart'!$C$2:$T$20,11,false)*HLOOKUP($K1081,'Type Chart'!$C$2:$U$20,11,false)</f>
        <v>1</v>
      </c>
      <c r="AE1081" s="960">
        <f t="array" ref="AE1081">HLOOKUP($J1081,'Type Chart'!$C$2:$T$20,12,false)*HLOOKUP($K1081,'Type Chart'!$C$2:$U$20,12,false)</f>
        <v>1</v>
      </c>
      <c r="AF1081" s="960">
        <f t="array" ref="AF1081">HLOOKUP($J1081,'Type Chart'!$C$2:$T$20,13,false)*HLOOKUP($K1081,'Type Chart'!$C$2:$U$20,13,false)</f>
        <v>1</v>
      </c>
      <c r="AG1081" s="960">
        <f t="array" ref="AG1081">HLOOKUP($J1081,'Type Chart'!$C$2:$T$20,14,false)*HLOOKUP($K1081,'Type Chart'!$C$2:$U$20,14,false)</f>
        <v>1</v>
      </c>
      <c r="AH1081" s="960">
        <f t="array" ref="AH1081">HLOOKUP($J1081,'Type Chart'!$C$2:$T$20,15,false)*HLOOKUP($K1081,'Type Chart'!$C$2:$U$20,15,false)</f>
        <v>0</v>
      </c>
      <c r="AI1081" s="960">
        <f t="array" ref="AI1081">HLOOKUP($J1081,'Type Chart'!$C$2:$T$20,16,false)*HLOOKUP($K1081,'Type Chart'!$C$2:$U$20,16,false)</f>
        <v>1</v>
      </c>
      <c r="AJ1081" s="960">
        <f t="array" ref="AJ1081">HLOOKUP($J1081,'Type Chart'!$C$2:$T$20,17,false)*HLOOKUP($K1081,'Type Chart'!$C$2:$U$20,17,false)</f>
        <v>1</v>
      </c>
      <c r="AK1081" s="960">
        <f t="array" ref="AK1081">HLOOKUP($J1081,'Type Chart'!$C$2:$T$20,18,false)*HLOOKUP($K1081,'Type Chart'!$C$2:$U$20,18,false)</f>
        <v>0.5</v>
      </c>
      <c r="AL1081" s="960">
        <f t="array" ref="AL1081">HLOOKUP($J1081,'Type Chart'!$C$2:$T$20,19,false)*HLOOKUP($K1081,'Type Chart'!$C$2:$U$20,19,false)</f>
        <v>2</v>
      </c>
      <c r="AM1081" s="1145" t="s">
        <v>1497</v>
      </c>
      <c r="AN1081" s="1145" t="s">
        <v>1038</v>
      </c>
      <c r="AO1081" s="1146" t="s">
        <v>1267</v>
      </c>
      <c r="AP1081" s="936"/>
      <c r="AQ1081" s="967"/>
      <c r="AR1081" s="968"/>
      <c r="AS1081" s="936"/>
    </row>
    <row r="1082" ht="15.75" customHeight="1">
      <c r="A1082" s="936"/>
      <c r="B1082" s="948" t="s">
        <v>4003</v>
      </c>
      <c r="C1082" s="950" t="s">
        <v>4004</v>
      </c>
      <c r="D1082" s="950" t="s">
        <v>4004</v>
      </c>
      <c r="E1082" s="952" t="s">
        <v>4004</v>
      </c>
      <c r="F1082" s="940"/>
      <c r="G1082" s="953"/>
      <c r="H1082" s="969"/>
      <c r="I1082" s="956" t="s">
        <v>718</v>
      </c>
      <c r="J1082" s="1206" t="s">
        <v>82</v>
      </c>
      <c r="K1082" s="984" t="s">
        <v>216</v>
      </c>
      <c r="L1082" s="959">
        <v>70.0</v>
      </c>
      <c r="M1082" s="960">
        <v>110.0</v>
      </c>
      <c r="N1082" s="960">
        <v>100.0</v>
      </c>
      <c r="O1082" s="960">
        <v>50.0</v>
      </c>
      <c r="P1082" s="960">
        <v>60.0</v>
      </c>
      <c r="Q1082" s="960">
        <v>50.0</v>
      </c>
      <c r="R1082" s="960">
        <v>136.0</v>
      </c>
      <c r="S1082" s="960">
        <v>199.0</v>
      </c>
      <c r="T1082" s="960">
        <v>218.0</v>
      </c>
      <c r="U1082" s="960">
        <f t="array" ref="U1082">HLOOKUP($J1082,'Type Chart'!$C$2:$T$20,2,false)*HLOOKUP($K1082,'Type Chart'!$C$2:$U$20,2,false)</f>
        <v>0.5</v>
      </c>
      <c r="V1082" s="960">
        <f t="array" ref="V1082">HLOOKUP($J1082,'Type Chart'!$C$2:$T$20,3,false)*HLOOKUP($K1082,'Type Chart'!$C$2:$U$20,3,false)</f>
        <v>2</v>
      </c>
      <c r="W1082" s="960">
        <f t="array" ref="W1082">HLOOKUP($J1082,'Type Chart'!$C$2:$T$20,4,false)*HLOOKUP($K1082,'Type Chart'!$C$2:$U$20,4,false)</f>
        <v>0.5</v>
      </c>
      <c r="X1082" s="960">
        <f t="array" ref="X1082">HLOOKUP($J1082,'Type Chart'!$C$2:$T$20,5,false)*HLOOKUP($K1082,'Type Chart'!$C$2:$U$20,5,false)</f>
        <v>0</v>
      </c>
      <c r="Y1082" s="960">
        <f t="array" ref="Y1082">HLOOKUP($J1082,'Type Chart'!$C$2:$T$20,6,false)*HLOOKUP($K1082,'Type Chart'!$C$2:$U$20,6,false)</f>
        <v>2</v>
      </c>
      <c r="Z1082" s="960">
        <f t="array" ref="Z1082">HLOOKUP($J1082,'Type Chart'!$C$2:$T$20,7,false)*HLOOKUP($K1082,'Type Chart'!$C$2:$U$20,7,false)</f>
        <v>0.5</v>
      </c>
      <c r="AA1082" s="960">
        <f t="array" ref="AA1082">HLOOKUP($J1082,'Type Chart'!$C$2:$T$20,8,false)*HLOOKUP($K1082,'Type Chart'!$C$2:$U$20,8,false)</f>
        <v>0.5</v>
      </c>
      <c r="AB1082" s="960">
        <f t="array" ref="AB1082">HLOOKUP($J1082,'Type Chart'!$C$2:$T$20,9,false)*HLOOKUP($K1082,'Type Chart'!$C$2:$U$20,9,false)</f>
        <v>1</v>
      </c>
      <c r="AC1082" s="960">
        <f t="array" ref="AC1082">HLOOKUP($J1082,'Type Chart'!$C$2:$T$20,10,false)*HLOOKUP($K1082,'Type Chart'!$C$2:$U$20,10,false)</f>
        <v>0.5</v>
      </c>
      <c r="AD1082" s="960">
        <f t="array" ref="AD1082">HLOOKUP($J1082,'Type Chart'!$C$2:$T$20,11,false)*HLOOKUP($K1082,'Type Chart'!$C$2:$U$20,11,false)</f>
        <v>2</v>
      </c>
      <c r="AE1082" s="960">
        <f t="array" ref="AE1082">HLOOKUP($J1082,'Type Chart'!$C$2:$T$20,12,false)*HLOOKUP($K1082,'Type Chart'!$C$2:$U$20,12,false)</f>
        <v>1</v>
      </c>
      <c r="AF1082" s="960">
        <f t="array" ref="AF1082">HLOOKUP($J1082,'Type Chart'!$C$2:$T$20,13,false)*HLOOKUP($K1082,'Type Chart'!$C$2:$U$20,13,false)</f>
        <v>0.5</v>
      </c>
      <c r="AG1082" s="960">
        <f t="array" ref="AG1082">HLOOKUP($J1082,'Type Chart'!$C$2:$T$20,14,false)*HLOOKUP($K1082,'Type Chart'!$C$2:$U$20,14,false)</f>
        <v>1</v>
      </c>
      <c r="AH1082" s="960">
        <f t="array" ref="AH1082">HLOOKUP($J1082,'Type Chart'!$C$2:$T$20,15,false)*HLOOKUP($K1082,'Type Chart'!$C$2:$U$20,15,false)</f>
        <v>0.5</v>
      </c>
      <c r="AI1082" s="960">
        <f t="array" ref="AI1082">HLOOKUP($J1082,'Type Chart'!$C$2:$T$20,16,false)*HLOOKUP($K1082,'Type Chart'!$C$2:$U$20,16,false)</f>
        <v>0.5</v>
      </c>
      <c r="AJ1082" s="960">
        <f t="array" ref="AJ1082">HLOOKUP($J1082,'Type Chart'!$C$2:$T$20,17,false)*HLOOKUP($K1082,'Type Chart'!$C$2:$U$20,17,false)</f>
        <v>0.5</v>
      </c>
      <c r="AK1082" s="960">
        <f t="array" ref="AK1082">HLOOKUP($J1082,'Type Chart'!$C$2:$T$20,18,false)*HLOOKUP($K1082,'Type Chart'!$C$2:$U$20,18,false)</f>
        <v>1</v>
      </c>
      <c r="AL1082" s="960">
        <f t="array" ref="AL1082">HLOOKUP($J1082,'Type Chart'!$C$2:$T$20,19,false)*HLOOKUP($K1082,'Type Chart'!$C$2:$U$20,19,false)</f>
        <v>0.5</v>
      </c>
      <c r="AM1082" s="964" t="s">
        <v>1487</v>
      </c>
      <c r="AN1082" s="964" t="s">
        <v>932</v>
      </c>
      <c r="AO1082" s="966" t="s">
        <v>4005</v>
      </c>
      <c r="AP1082" s="936"/>
      <c r="AQ1082" s="967"/>
      <c r="AR1082" s="968"/>
      <c r="AS1082" s="936"/>
    </row>
    <row r="1083" ht="15.75" customHeight="1">
      <c r="A1083" s="936"/>
      <c r="B1083" s="948" t="s">
        <v>4006</v>
      </c>
      <c r="C1083" s="950" t="s">
        <v>4007</v>
      </c>
      <c r="D1083" s="950" t="s">
        <v>4007</v>
      </c>
      <c r="E1083" s="952" t="s">
        <v>4007</v>
      </c>
      <c r="F1083" s="940"/>
      <c r="G1083" s="953"/>
      <c r="H1083" s="969"/>
      <c r="I1083" s="956" t="s">
        <v>4008</v>
      </c>
      <c r="J1083" s="1220" t="s">
        <v>215</v>
      </c>
      <c r="K1083" s="984" t="s">
        <v>216</v>
      </c>
      <c r="L1083" s="959">
        <v>60.0</v>
      </c>
      <c r="M1083" s="960">
        <v>95.0</v>
      </c>
      <c r="N1083" s="960">
        <v>50.0</v>
      </c>
      <c r="O1083" s="960">
        <v>145.0</v>
      </c>
      <c r="P1083" s="960">
        <v>130.0</v>
      </c>
      <c r="Q1083" s="960">
        <v>30.0</v>
      </c>
      <c r="R1083" s="960">
        <v>96.0</v>
      </c>
      <c r="S1083" s="960">
        <v>159.0</v>
      </c>
      <c r="T1083" s="960">
        <v>174.0</v>
      </c>
      <c r="U1083" s="960">
        <f t="array" ref="U1083">HLOOKUP($J1083,'Type Chart'!$C$2:$T$20,2,false)*HLOOKUP($K1083,'Type Chart'!$C$2:$U$20,2,false)</f>
        <v>0</v>
      </c>
      <c r="V1083" s="960">
        <f t="array" ref="V1083">HLOOKUP($J1083,'Type Chart'!$C$2:$T$20,3,false)*HLOOKUP($K1083,'Type Chart'!$C$2:$U$20,3,false)</f>
        <v>0</v>
      </c>
      <c r="W1083" s="960">
        <f t="array" ref="W1083">HLOOKUP($J1083,'Type Chart'!$C$2:$T$20,4,false)*HLOOKUP($K1083,'Type Chart'!$C$2:$U$20,4,false)</f>
        <v>1</v>
      </c>
      <c r="X1083" s="960">
        <f t="array" ref="X1083">HLOOKUP($J1083,'Type Chart'!$C$2:$T$20,5,false)*HLOOKUP($K1083,'Type Chart'!$C$2:$U$20,5,false)</f>
        <v>0.5</v>
      </c>
      <c r="Y1083" s="960">
        <f t="array" ref="Y1083">HLOOKUP($J1083,'Type Chart'!$C$2:$T$20,6,false)*HLOOKUP($K1083,'Type Chart'!$C$2:$U$20,6,false)</f>
        <v>1</v>
      </c>
      <c r="Z1083" s="960">
        <f t="array" ref="Z1083">HLOOKUP($J1083,'Type Chart'!$C$2:$T$20,7,false)*HLOOKUP($K1083,'Type Chart'!$C$2:$U$20,7,false)</f>
        <v>1</v>
      </c>
      <c r="AA1083" s="960">
        <f t="array" ref="AA1083">HLOOKUP($J1083,'Type Chart'!$C$2:$T$20,8,false)*HLOOKUP($K1083,'Type Chart'!$C$2:$U$20,8,false)</f>
        <v>0.5</v>
      </c>
      <c r="AB1083" s="960">
        <f t="array" ref="AB1083">HLOOKUP($J1083,'Type Chart'!$C$2:$T$20,9,false)*HLOOKUP($K1083,'Type Chart'!$C$2:$U$20,9,false)</f>
        <v>2</v>
      </c>
      <c r="AC1083" s="960">
        <f t="array" ref="AC1083">HLOOKUP($J1083,'Type Chart'!$C$2:$T$20,10,false)*HLOOKUP($K1083,'Type Chart'!$C$2:$U$20,10,false)</f>
        <v>1</v>
      </c>
      <c r="AD1083" s="960">
        <f t="array" ref="AD1083">HLOOKUP($J1083,'Type Chart'!$C$2:$T$20,11,false)*HLOOKUP($K1083,'Type Chart'!$C$2:$U$20,11,false)</f>
        <v>1</v>
      </c>
      <c r="AE1083" s="960">
        <f t="array" ref="AE1083">HLOOKUP($J1083,'Type Chart'!$C$2:$T$20,12,false)*HLOOKUP($K1083,'Type Chart'!$C$2:$U$20,12,false)</f>
        <v>1</v>
      </c>
      <c r="AF1083" s="960">
        <f t="array" ref="AF1083">HLOOKUP($J1083,'Type Chart'!$C$2:$T$20,13,false)*HLOOKUP($K1083,'Type Chart'!$C$2:$U$20,13,false)</f>
        <v>1</v>
      </c>
      <c r="AG1083" s="960">
        <f t="array" ref="AG1083">HLOOKUP($J1083,'Type Chart'!$C$2:$T$20,14,false)*HLOOKUP($K1083,'Type Chart'!$C$2:$U$20,14,false)</f>
        <v>1</v>
      </c>
      <c r="AH1083" s="960">
        <f t="array" ref="AH1083">HLOOKUP($J1083,'Type Chart'!$C$2:$T$20,15,false)*HLOOKUP($K1083,'Type Chart'!$C$2:$U$20,15,false)</f>
        <v>1</v>
      </c>
      <c r="AI1083" s="960">
        <f t="array" ref="AI1083">HLOOKUP($J1083,'Type Chart'!$C$2:$T$20,16,false)*HLOOKUP($K1083,'Type Chart'!$C$2:$U$20,16,false)</f>
        <v>1</v>
      </c>
      <c r="AJ1083" s="960">
        <f t="array" ref="AJ1083">HLOOKUP($J1083,'Type Chart'!$C$2:$T$20,17,false)*HLOOKUP($K1083,'Type Chart'!$C$2:$U$20,17,false)</f>
        <v>1</v>
      </c>
      <c r="AK1083" s="960">
        <f t="array" ref="AK1083">HLOOKUP($J1083,'Type Chart'!$C$2:$T$20,18,false)*HLOOKUP($K1083,'Type Chart'!$C$2:$U$20,18,false)</f>
        <v>2</v>
      </c>
      <c r="AL1083" s="960">
        <f t="array" ref="AL1083">HLOOKUP($J1083,'Type Chart'!$C$2:$T$20,19,false)*HLOOKUP($K1083,'Type Chart'!$C$2:$U$20,19,false)</f>
        <v>1</v>
      </c>
      <c r="AM1083" s="964" t="s">
        <v>1450</v>
      </c>
      <c r="AN1083" s="965"/>
      <c r="AO1083" s="966" t="s">
        <v>4009</v>
      </c>
      <c r="AP1083" s="936"/>
      <c r="AQ1083" s="967"/>
      <c r="AR1083" s="968"/>
      <c r="AS1083" s="936"/>
    </row>
    <row r="1084" ht="15.75" customHeight="1">
      <c r="A1084" s="1099"/>
      <c r="B1084" s="948" t="s">
        <v>4010</v>
      </c>
      <c r="C1084" s="1197" t="s">
        <v>4011</v>
      </c>
      <c r="D1084" s="1197" t="s">
        <v>4011</v>
      </c>
      <c r="E1084" s="1147" t="s">
        <v>4011</v>
      </c>
      <c r="F1084" s="940"/>
      <c r="G1084" s="953"/>
      <c r="H1084" s="969"/>
      <c r="I1084" s="998" t="s">
        <v>4012</v>
      </c>
      <c r="J1084" s="1212" t="s">
        <v>341</v>
      </c>
      <c r="K1084" s="1199" t="s">
        <v>216</v>
      </c>
      <c r="L1084" s="1200">
        <v>62.0</v>
      </c>
      <c r="M1084" s="1201">
        <v>135.0</v>
      </c>
      <c r="N1084" s="1201">
        <v>95.0</v>
      </c>
      <c r="O1084" s="1201">
        <v>68.0</v>
      </c>
      <c r="P1084" s="1201">
        <v>82.0</v>
      </c>
      <c r="Q1084" s="1201">
        <v>65.0</v>
      </c>
      <c r="R1084" s="960">
        <v>166.0</v>
      </c>
      <c r="S1084" s="960">
        <v>229.0</v>
      </c>
      <c r="T1084" s="960">
        <v>251.0</v>
      </c>
      <c r="U1084" s="960">
        <f t="array" ref="U1084">HLOOKUP($J1084,'Type Chart'!$C$2:$T$20,2,false)*HLOOKUP($K1084,'Type Chart'!$C$2:$U$20,2,false)</f>
        <v>1</v>
      </c>
      <c r="V1084" s="960">
        <f t="array" ref="V1084">HLOOKUP($J1084,'Type Chart'!$C$2:$T$20,3,false)*HLOOKUP($K1084,'Type Chart'!$C$2:$U$20,3,false)</f>
        <v>1</v>
      </c>
      <c r="W1084" s="960">
        <f t="array" ref="W1084">HLOOKUP($J1084,'Type Chart'!$C$2:$T$20,4,false)*HLOOKUP($K1084,'Type Chart'!$C$2:$U$20,4,false)</f>
        <v>2</v>
      </c>
      <c r="X1084" s="960">
        <f t="array" ref="X1084">HLOOKUP($J1084,'Type Chart'!$C$2:$T$20,5,false)*HLOOKUP($K1084,'Type Chart'!$C$2:$U$20,5,false)</f>
        <v>1</v>
      </c>
      <c r="Y1084" s="960">
        <f t="array" ref="Y1084">HLOOKUP($J1084,'Type Chart'!$C$2:$T$20,6,false)*HLOOKUP($K1084,'Type Chart'!$C$2:$U$20,6,false)</f>
        <v>1</v>
      </c>
      <c r="Z1084" s="960">
        <f t="array" ref="Z1084">HLOOKUP($J1084,'Type Chart'!$C$2:$T$20,7,false)*HLOOKUP($K1084,'Type Chart'!$C$2:$U$20,7,false)</f>
        <v>0.5</v>
      </c>
      <c r="AA1084" s="960">
        <f t="array" ref="AA1084">HLOOKUP($J1084,'Type Chart'!$C$2:$T$20,8,false)*HLOOKUP($K1084,'Type Chart'!$C$2:$U$20,8,false)</f>
        <v>0.5</v>
      </c>
      <c r="AB1084" s="960">
        <f t="array" ref="AB1084">HLOOKUP($J1084,'Type Chart'!$C$2:$T$20,9,false)*HLOOKUP($K1084,'Type Chart'!$C$2:$U$20,9,false)</f>
        <v>1</v>
      </c>
      <c r="AC1084" s="960">
        <f t="array" ref="AC1084">HLOOKUP($J1084,'Type Chart'!$C$2:$T$20,10,false)*HLOOKUP($K1084,'Type Chart'!$C$2:$U$20,10,false)</f>
        <v>1</v>
      </c>
      <c r="AD1084" s="960">
        <f t="array" ref="AD1084">HLOOKUP($J1084,'Type Chart'!$C$2:$T$20,11,false)*HLOOKUP($K1084,'Type Chart'!$C$2:$U$20,11,false)</f>
        <v>1</v>
      </c>
      <c r="AE1084" s="960">
        <f t="array" ref="AE1084">HLOOKUP($J1084,'Type Chart'!$C$2:$T$20,12,false)*HLOOKUP($K1084,'Type Chart'!$C$2:$U$20,12,false)</f>
        <v>1</v>
      </c>
      <c r="AF1084" s="960">
        <f t="array" ref="AF1084">HLOOKUP($J1084,'Type Chart'!$C$2:$T$20,13,false)*HLOOKUP($K1084,'Type Chart'!$C$2:$U$20,13,false)</f>
        <v>1</v>
      </c>
      <c r="AG1084" s="960">
        <f t="array" ref="AG1084">HLOOKUP($J1084,'Type Chart'!$C$2:$T$20,14,false)*HLOOKUP($K1084,'Type Chart'!$C$2:$U$20,14,false)</f>
        <v>1</v>
      </c>
      <c r="AH1084" s="960">
        <f t="array" ref="AH1084">HLOOKUP($J1084,'Type Chart'!$C$2:$T$20,15,false)*HLOOKUP($K1084,'Type Chart'!$C$2:$U$20,15,false)</f>
        <v>2</v>
      </c>
      <c r="AI1084" s="960">
        <f t="array" ref="AI1084">HLOOKUP($J1084,'Type Chart'!$C$2:$T$20,16,false)*HLOOKUP($K1084,'Type Chart'!$C$2:$U$20,16,false)</f>
        <v>1</v>
      </c>
      <c r="AJ1084" s="960">
        <f t="array" ref="AJ1084">HLOOKUP($J1084,'Type Chart'!$C$2:$T$20,17,false)*HLOOKUP($K1084,'Type Chart'!$C$2:$U$20,17,false)</f>
        <v>1</v>
      </c>
      <c r="AK1084" s="960">
        <f t="array" ref="AK1084">HLOOKUP($J1084,'Type Chart'!$C$2:$T$20,18,false)*HLOOKUP($K1084,'Type Chart'!$C$2:$U$20,18,false)</f>
        <v>0.5</v>
      </c>
      <c r="AL1084" s="960">
        <f t="array" ref="AL1084">HLOOKUP($J1084,'Type Chart'!$C$2:$T$20,19,false)*HLOOKUP($K1084,'Type Chart'!$C$2:$U$20,19,false)</f>
        <v>2</v>
      </c>
      <c r="AM1084" s="1145" t="s">
        <v>1306</v>
      </c>
      <c r="AN1084" s="1202"/>
      <c r="AO1084" s="1146" t="s">
        <v>1399</v>
      </c>
      <c r="AP1084" s="936"/>
      <c r="AQ1084" s="967"/>
      <c r="AR1084" s="968"/>
      <c r="AS1084" s="936"/>
    </row>
    <row r="1085" ht="15.75" customHeight="1">
      <c r="A1085" s="936"/>
      <c r="B1085" s="948" t="s">
        <v>4013</v>
      </c>
      <c r="C1085" s="950" t="s">
        <v>4014</v>
      </c>
      <c r="D1085" s="950" t="s">
        <v>4015</v>
      </c>
      <c r="E1085" s="952" t="s">
        <v>4014</v>
      </c>
      <c r="F1085" s="940"/>
      <c r="G1085" s="953"/>
      <c r="H1085" s="969"/>
      <c r="I1085" s="956" t="s">
        <v>4016</v>
      </c>
      <c r="J1085" s="1205" t="s">
        <v>345</v>
      </c>
      <c r="K1085" s="1203" t="s">
        <v>344</v>
      </c>
      <c r="L1085" s="959">
        <v>80.0</v>
      </c>
      <c r="M1085" s="960">
        <v>85.0</v>
      </c>
      <c r="N1085" s="960">
        <v>75.0</v>
      </c>
      <c r="O1085" s="960">
        <v>110.0</v>
      </c>
      <c r="P1085" s="960">
        <v>100.0</v>
      </c>
      <c r="Q1085" s="960">
        <v>70.0</v>
      </c>
      <c r="R1085" s="960">
        <v>176.0</v>
      </c>
      <c r="S1085" s="960">
        <v>239.0</v>
      </c>
      <c r="T1085" s="960">
        <v>262.0</v>
      </c>
      <c r="U1085" s="960">
        <f t="array" ref="U1085">HLOOKUP($J1085,'Type Chart'!$C$2:$T$20,2,false)*HLOOKUP($K1085,'Type Chart'!$C$2:$U$20,2,false)</f>
        <v>1</v>
      </c>
      <c r="V1085" s="960">
        <f t="array" ref="V1085">HLOOKUP($J1085,'Type Chart'!$C$2:$T$20,3,false)*HLOOKUP($K1085,'Type Chart'!$C$2:$U$20,3,false)</f>
        <v>1</v>
      </c>
      <c r="W1085" s="960">
        <f t="array" ref="W1085">HLOOKUP($J1085,'Type Chart'!$C$2:$T$20,4,false)*HLOOKUP($K1085,'Type Chart'!$C$2:$U$20,4,false)</f>
        <v>1</v>
      </c>
      <c r="X1085" s="960">
        <f t="array" ref="X1085">HLOOKUP($J1085,'Type Chart'!$C$2:$T$20,5,false)*HLOOKUP($K1085,'Type Chart'!$C$2:$U$20,5,false)</f>
        <v>1</v>
      </c>
      <c r="Y1085" s="960">
        <f t="array" ref="Y1085">HLOOKUP($J1085,'Type Chart'!$C$2:$T$20,6,false)*HLOOKUP($K1085,'Type Chart'!$C$2:$U$20,6,false)</f>
        <v>1</v>
      </c>
      <c r="Z1085" s="960">
        <f t="array" ref="Z1085">HLOOKUP($J1085,'Type Chart'!$C$2:$T$20,7,false)*HLOOKUP($K1085,'Type Chart'!$C$2:$U$20,7,false)</f>
        <v>2</v>
      </c>
      <c r="AA1085" s="960">
        <f t="array" ref="AA1085">HLOOKUP($J1085,'Type Chart'!$C$2:$T$20,8,false)*HLOOKUP($K1085,'Type Chart'!$C$2:$U$20,8,false)</f>
        <v>2</v>
      </c>
      <c r="AB1085" s="960">
        <f t="array" ref="AB1085">HLOOKUP($J1085,'Type Chart'!$C$2:$T$20,9,false)*HLOOKUP($K1085,'Type Chart'!$C$2:$U$20,9,false)</f>
        <v>2</v>
      </c>
      <c r="AC1085" s="960">
        <f t="array" ref="AC1085">HLOOKUP($J1085,'Type Chart'!$C$2:$T$20,10,false)*HLOOKUP($K1085,'Type Chart'!$C$2:$U$20,10,false)</f>
        <v>2</v>
      </c>
      <c r="AD1085" s="960">
        <f t="array" ref="AD1085">HLOOKUP($J1085,'Type Chart'!$C$2:$T$20,11,false)*HLOOKUP($K1085,'Type Chart'!$C$2:$U$20,11,false)</f>
        <v>2</v>
      </c>
      <c r="AE1085" s="960">
        <f t="array" ref="AE1085">HLOOKUP($J1085,'Type Chart'!$C$2:$T$20,12,false)*HLOOKUP($K1085,'Type Chart'!$C$2:$U$20,12,false)</f>
        <v>1</v>
      </c>
      <c r="AF1085" s="960">
        <f t="array" ref="AF1085">HLOOKUP($J1085,'Type Chart'!$C$2:$T$20,13,false)*HLOOKUP($K1085,'Type Chart'!$C$2:$U$20,13,false)</f>
        <v>1</v>
      </c>
      <c r="AG1085" s="960">
        <f t="array" ref="AG1085">HLOOKUP($J1085,'Type Chart'!$C$2:$T$20,14,false)*HLOOKUP($K1085,'Type Chart'!$C$2:$U$20,14,false)</f>
        <v>1</v>
      </c>
      <c r="AH1085" s="960">
        <f t="array" ref="AH1085">HLOOKUP($J1085,'Type Chart'!$C$2:$T$20,15,false)*HLOOKUP($K1085,'Type Chart'!$C$2:$U$20,15,false)</f>
        <v>0.5</v>
      </c>
      <c r="AI1085" s="960">
        <f t="array" ref="AI1085">HLOOKUP($J1085,'Type Chart'!$C$2:$T$20,16,false)*HLOOKUP($K1085,'Type Chart'!$C$2:$U$20,16,false)</f>
        <v>0.5</v>
      </c>
      <c r="AJ1085" s="960">
        <f t="array" ref="AJ1085">HLOOKUP($J1085,'Type Chart'!$C$2:$T$20,17,false)*HLOOKUP($K1085,'Type Chart'!$C$2:$U$20,17,false)</f>
        <v>1</v>
      </c>
      <c r="AK1085" s="960">
        <f t="array" ref="AK1085">HLOOKUP($J1085,'Type Chart'!$C$2:$T$20,18,false)*HLOOKUP($K1085,'Type Chart'!$C$2:$U$20,18,false)</f>
        <v>2</v>
      </c>
      <c r="AL1085" s="960">
        <f t="array" ref="AL1085">HLOOKUP($J1085,'Type Chart'!$C$2:$T$20,19,false)*HLOOKUP($K1085,'Type Chart'!$C$2:$U$20,19,false)</f>
        <v>1</v>
      </c>
      <c r="AM1085" s="964" t="s">
        <v>1023</v>
      </c>
      <c r="AN1085" s="964" t="s">
        <v>1563</v>
      </c>
      <c r="AO1085" s="966" t="s">
        <v>1410</v>
      </c>
      <c r="AP1085" s="936"/>
      <c r="AQ1085" s="967"/>
      <c r="AR1085" s="968"/>
      <c r="AS1085" s="936"/>
    </row>
    <row r="1086" ht="15.75" customHeight="1">
      <c r="A1086" s="936"/>
      <c r="B1086" s="948" t="s">
        <v>4017</v>
      </c>
      <c r="C1086" s="950" t="s">
        <v>4018</v>
      </c>
      <c r="D1086" s="950" t="s">
        <v>4018</v>
      </c>
      <c r="E1086" s="952" t="s">
        <v>4018</v>
      </c>
      <c r="F1086" s="940"/>
      <c r="G1086" s="953"/>
      <c r="H1086" s="969"/>
      <c r="I1086" s="956" t="s">
        <v>4019</v>
      </c>
      <c r="J1086" s="1204" t="s">
        <v>80</v>
      </c>
      <c r="K1086" s="1220" t="s">
        <v>215</v>
      </c>
      <c r="L1086" s="959">
        <v>58.0</v>
      </c>
      <c r="M1086" s="960">
        <v>95.0</v>
      </c>
      <c r="N1086" s="960">
        <v>145.0</v>
      </c>
      <c r="O1086" s="960">
        <v>50.0</v>
      </c>
      <c r="P1086" s="960">
        <v>105.0</v>
      </c>
      <c r="Q1086" s="960">
        <v>30.0</v>
      </c>
      <c r="R1086" s="960">
        <v>96.0</v>
      </c>
      <c r="S1086" s="960">
        <v>159.0</v>
      </c>
      <c r="T1086" s="960">
        <v>174.0</v>
      </c>
      <c r="U1086" s="960">
        <f t="array" ref="U1086">HLOOKUP($J1086,'Type Chart'!$C$2:$T$20,2,false)*HLOOKUP($K1086,'Type Chart'!$C$2:$U$20,2,false)</f>
        <v>0</v>
      </c>
      <c r="V1086" s="960">
        <f t="array" ref="V1086">HLOOKUP($J1086,'Type Chart'!$C$2:$T$20,3,false)*HLOOKUP($K1086,'Type Chart'!$C$2:$U$20,3,false)</f>
        <v>0</v>
      </c>
      <c r="W1086" s="960">
        <f t="array" ref="W1086">HLOOKUP($J1086,'Type Chart'!$C$2:$T$20,4,false)*HLOOKUP($K1086,'Type Chart'!$C$2:$U$20,4,false)</f>
        <v>1</v>
      </c>
      <c r="X1086" s="960">
        <f t="array" ref="X1086">HLOOKUP($J1086,'Type Chart'!$C$2:$T$20,5,false)*HLOOKUP($K1086,'Type Chart'!$C$2:$U$20,5,false)</f>
        <v>0.25</v>
      </c>
      <c r="Y1086" s="960">
        <f t="array" ref="Y1086">HLOOKUP($J1086,'Type Chart'!$C$2:$T$20,6,false)*HLOOKUP($K1086,'Type Chart'!$C$2:$U$20,6,false)</f>
        <v>1</v>
      </c>
      <c r="Z1086" s="960">
        <f t="array" ref="Z1086">HLOOKUP($J1086,'Type Chart'!$C$2:$T$20,7,false)*HLOOKUP($K1086,'Type Chart'!$C$2:$U$20,7,false)</f>
        <v>0.5</v>
      </c>
      <c r="AA1086" s="960">
        <f t="array" ref="AA1086">HLOOKUP($J1086,'Type Chart'!$C$2:$T$20,8,false)*HLOOKUP($K1086,'Type Chart'!$C$2:$U$20,8,false)</f>
        <v>0.5</v>
      </c>
      <c r="AB1086" s="960">
        <f t="array" ref="AB1086">HLOOKUP($J1086,'Type Chart'!$C$2:$T$20,9,false)*HLOOKUP($K1086,'Type Chart'!$C$2:$U$20,9,false)</f>
        <v>2</v>
      </c>
      <c r="AC1086" s="960">
        <f t="array" ref="AC1086">HLOOKUP($J1086,'Type Chart'!$C$2:$T$20,10,false)*HLOOKUP($K1086,'Type Chart'!$C$2:$U$20,10,false)</f>
        <v>1</v>
      </c>
      <c r="AD1086" s="960">
        <f t="array" ref="AD1086">HLOOKUP($J1086,'Type Chart'!$C$2:$T$20,11,false)*HLOOKUP($K1086,'Type Chart'!$C$2:$U$20,11,false)</f>
        <v>1</v>
      </c>
      <c r="AE1086" s="960">
        <f t="array" ref="AE1086">HLOOKUP($J1086,'Type Chart'!$C$2:$T$20,12,false)*HLOOKUP($K1086,'Type Chart'!$C$2:$U$20,12,false)</f>
        <v>2</v>
      </c>
      <c r="AF1086" s="960">
        <f t="array" ref="AF1086">HLOOKUP($J1086,'Type Chart'!$C$2:$T$20,13,false)*HLOOKUP($K1086,'Type Chart'!$C$2:$U$20,13,false)</f>
        <v>2</v>
      </c>
      <c r="AG1086" s="960">
        <f t="array" ref="AG1086">HLOOKUP($J1086,'Type Chart'!$C$2:$T$20,14,false)*HLOOKUP($K1086,'Type Chart'!$C$2:$U$20,14,false)</f>
        <v>0</v>
      </c>
      <c r="AH1086" s="960">
        <f t="array" ref="AH1086">HLOOKUP($J1086,'Type Chart'!$C$2:$T$20,15,false)*HLOOKUP($K1086,'Type Chart'!$C$2:$U$20,15,false)</f>
        <v>1</v>
      </c>
      <c r="AI1086" s="960">
        <f t="array" ref="AI1086">HLOOKUP($J1086,'Type Chart'!$C$2:$T$20,16,false)*HLOOKUP($K1086,'Type Chart'!$C$2:$U$20,16,false)</f>
        <v>2</v>
      </c>
      <c r="AJ1086" s="960">
        <f t="array" ref="AJ1086">HLOOKUP($J1086,'Type Chart'!$C$2:$T$20,17,false)*HLOOKUP($K1086,'Type Chart'!$C$2:$U$20,17,false)</f>
        <v>1</v>
      </c>
      <c r="AK1086" s="960">
        <f t="array" ref="AK1086">HLOOKUP($J1086,'Type Chart'!$C$2:$T$20,18,false)*HLOOKUP($K1086,'Type Chart'!$C$2:$U$20,18,false)</f>
        <v>2</v>
      </c>
      <c r="AL1086" s="960">
        <f t="array" ref="AL1086">HLOOKUP($J1086,'Type Chart'!$C$2:$T$20,19,false)*HLOOKUP($K1086,'Type Chart'!$C$2:$U$20,19,false)</f>
        <v>1</v>
      </c>
      <c r="AM1086" s="964" t="s">
        <v>3002</v>
      </c>
      <c r="AN1086" s="965"/>
      <c r="AO1086" s="966"/>
      <c r="AP1086" s="936"/>
      <c r="AQ1086" s="967"/>
      <c r="AR1086" s="968"/>
      <c r="AS1086" s="936"/>
    </row>
    <row r="1087" ht="15.75" customHeight="1">
      <c r="A1087" s="936"/>
      <c r="B1087" s="948" t="s">
        <v>4020</v>
      </c>
      <c r="C1087" s="950" t="s">
        <v>4021</v>
      </c>
      <c r="D1087" s="950" t="s">
        <v>4021</v>
      </c>
      <c r="E1087" s="1147" t="s">
        <v>4021</v>
      </c>
      <c r="F1087" s="940"/>
      <c r="G1087" s="953"/>
      <c r="H1087" s="969"/>
      <c r="I1087" s="956" t="s">
        <v>4022</v>
      </c>
      <c r="J1087" s="1207" t="s">
        <v>127</v>
      </c>
      <c r="K1087" s="984" t="s">
        <v>216</v>
      </c>
      <c r="L1087" s="959">
        <v>45.0</v>
      </c>
      <c r="M1087" s="960">
        <v>40.0</v>
      </c>
      <c r="N1087" s="960">
        <v>40.0</v>
      </c>
      <c r="O1087" s="960">
        <v>50.0</v>
      </c>
      <c r="P1087" s="960">
        <v>61.0</v>
      </c>
      <c r="Q1087" s="960">
        <v>34.0</v>
      </c>
      <c r="R1087" s="960">
        <v>104.0</v>
      </c>
      <c r="S1087" s="960">
        <v>167.0</v>
      </c>
      <c r="T1087" s="960">
        <v>183.0</v>
      </c>
      <c r="U1087" s="960">
        <f t="array" ref="U1087">HLOOKUP($J1087,'Type Chart'!$C$2:$T$20,2,false)*HLOOKUP($K1087,'Type Chart'!$C$2:$U$20,2,false)</f>
        <v>1</v>
      </c>
      <c r="V1087" s="960">
        <f t="array" ref="V1087">HLOOKUP($J1087,'Type Chart'!$C$2:$T$20,3,false)*HLOOKUP($K1087,'Type Chart'!$C$2:$U$20,3,false)</f>
        <v>0.5</v>
      </c>
      <c r="W1087" s="960">
        <f t="array" ref="W1087">HLOOKUP($J1087,'Type Chart'!$C$2:$T$20,4,false)*HLOOKUP($K1087,'Type Chart'!$C$2:$U$20,4,false)</f>
        <v>1</v>
      </c>
      <c r="X1087" s="960">
        <f t="array" ref="X1087">HLOOKUP($J1087,'Type Chart'!$C$2:$T$20,5,false)*HLOOKUP($K1087,'Type Chart'!$C$2:$U$20,5,false)</f>
        <v>2</v>
      </c>
      <c r="Y1087" s="960">
        <f t="array" ref="Y1087">HLOOKUP($J1087,'Type Chart'!$C$2:$T$20,6,false)*HLOOKUP($K1087,'Type Chart'!$C$2:$U$20,6,false)</f>
        <v>1</v>
      </c>
      <c r="Z1087" s="960">
        <f t="array" ref="Z1087">HLOOKUP($J1087,'Type Chart'!$C$2:$T$20,7,false)*HLOOKUP($K1087,'Type Chart'!$C$2:$U$20,7,false)</f>
        <v>1</v>
      </c>
      <c r="AA1087" s="960">
        <f t="array" ref="AA1087">HLOOKUP($J1087,'Type Chart'!$C$2:$T$20,8,false)*HLOOKUP($K1087,'Type Chart'!$C$2:$U$20,8,false)</f>
        <v>0.5</v>
      </c>
      <c r="AB1087" s="960">
        <f t="array" ref="AB1087">HLOOKUP($J1087,'Type Chart'!$C$2:$T$20,9,false)*HLOOKUP($K1087,'Type Chart'!$C$2:$U$20,9,false)</f>
        <v>1</v>
      </c>
      <c r="AC1087" s="960">
        <f t="array" ref="AC1087">HLOOKUP($J1087,'Type Chart'!$C$2:$T$20,10,false)*HLOOKUP($K1087,'Type Chart'!$C$2:$U$20,10,false)</f>
        <v>2</v>
      </c>
      <c r="AD1087" s="960">
        <f t="array" ref="AD1087">HLOOKUP($J1087,'Type Chart'!$C$2:$T$20,11,false)*HLOOKUP($K1087,'Type Chart'!$C$2:$U$20,11,false)</f>
        <v>1</v>
      </c>
      <c r="AE1087" s="960">
        <f t="array" ref="AE1087">HLOOKUP($J1087,'Type Chart'!$C$2:$T$20,12,false)*HLOOKUP($K1087,'Type Chart'!$C$2:$U$20,12,false)</f>
        <v>1</v>
      </c>
      <c r="AF1087" s="960">
        <f t="array" ref="AF1087">HLOOKUP($J1087,'Type Chart'!$C$2:$T$20,13,false)*HLOOKUP($K1087,'Type Chart'!$C$2:$U$20,13,false)</f>
        <v>1</v>
      </c>
      <c r="AG1087" s="960">
        <f t="array" ref="AG1087">HLOOKUP($J1087,'Type Chart'!$C$2:$T$20,14,false)*HLOOKUP($K1087,'Type Chart'!$C$2:$U$20,14,false)</f>
        <v>1</v>
      </c>
      <c r="AH1087" s="960">
        <f t="array" ref="AH1087">HLOOKUP($J1087,'Type Chart'!$C$2:$T$20,15,false)*HLOOKUP($K1087,'Type Chart'!$C$2:$U$20,15,false)</f>
        <v>1</v>
      </c>
      <c r="AI1087" s="960">
        <f t="array" ref="AI1087">HLOOKUP($J1087,'Type Chart'!$C$2:$T$20,16,false)*HLOOKUP($K1087,'Type Chart'!$C$2:$U$20,16,false)</f>
        <v>1</v>
      </c>
      <c r="AJ1087" s="960">
        <f t="array" ref="AJ1087">HLOOKUP($J1087,'Type Chart'!$C$2:$T$20,17,false)*HLOOKUP($K1087,'Type Chart'!$C$2:$U$20,17,false)</f>
        <v>0</v>
      </c>
      <c r="AK1087" s="960">
        <f t="array" ref="AK1087">HLOOKUP($J1087,'Type Chart'!$C$2:$T$20,18,false)*HLOOKUP($K1087,'Type Chart'!$C$2:$U$20,18,false)</f>
        <v>0.5</v>
      </c>
      <c r="AL1087" s="960">
        <f t="array" ref="AL1087">HLOOKUP($J1087,'Type Chart'!$C$2:$T$20,19,false)*HLOOKUP($K1087,'Type Chart'!$C$2:$U$20,19,false)</f>
        <v>1</v>
      </c>
      <c r="AM1087" s="964" t="s">
        <v>3380</v>
      </c>
      <c r="AN1087" s="965"/>
      <c r="AO1087" s="966" t="s">
        <v>3373</v>
      </c>
      <c r="AP1087" s="936"/>
      <c r="AQ1087" s="967"/>
      <c r="AR1087" s="968"/>
      <c r="AS1087" s="936"/>
    </row>
    <row r="1088" ht="15.75" customHeight="1">
      <c r="A1088" s="936"/>
      <c r="B1088" s="948" t="s">
        <v>4023</v>
      </c>
      <c r="C1088" s="950" t="s">
        <v>4024</v>
      </c>
      <c r="D1088" s="950" t="s">
        <v>4024</v>
      </c>
      <c r="E1088" s="1147" t="s">
        <v>4024</v>
      </c>
      <c r="F1088" s="940"/>
      <c r="G1088" s="953"/>
      <c r="H1088" s="969"/>
      <c r="I1088" s="956" t="s">
        <v>808</v>
      </c>
      <c r="J1088" s="1207" t="s">
        <v>127</v>
      </c>
      <c r="K1088" s="984" t="s">
        <v>216</v>
      </c>
      <c r="L1088" s="959">
        <v>65.0</v>
      </c>
      <c r="M1088" s="960">
        <v>60.0</v>
      </c>
      <c r="N1088" s="960">
        <v>75.0</v>
      </c>
      <c r="O1088" s="960">
        <v>110.0</v>
      </c>
      <c r="P1088" s="960">
        <v>121.0</v>
      </c>
      <c r="Q1088" s="960">
        <v>64.0</v>
      </c>
      <c r="R1088" s="960">
        <v>164.0</v>
      </c>
      <c r="S1088" s="960">
        <v>227.0</v>
      </c>
      <c r="T1088" s="960">
        <v>249.0</v>
      </c>
      <c r="U1088" s="960">
        <f t="array" ref="U1088">HLOOKUP($J1088,'Type Chart'!$C$2:$T$20,2,false)*HLOOKUP($K1088,'Type Chart'!$C$2:$U$20,2,false)</f>
        <v>1</v>
      </c>
      <c r="V1088" s="960">
        <f t="array" ref="V1088">HLOOKUP($J1088,'Type Chart'!$C$2:$T$20,3,false)*HLOOKUP($K1088,'Type Chart'!$C$2:$U$20,3,false)</f>
        <v>0.5</v>
      </c>
      <c r="W1088" s="960">
        <f t="array" ref="W1088">HLOOKUP($J1088,'Type Chart'!$C$2:$T$20,4,false)*HLOOKUP($K1088,'Type Chart'!$C$2:$U$20,4,false)</f>
        <v>1</v>
      </c>
      <c r="X1088" s="960">
        <f t="array" ref="X1088">HLOOKUP($J1088,'Type Chart'!$C$2:$T$20,5,false)*HLOOKUP($K1088,'Type Chart'!$C$2:$U$20,5,false)</f>
        <v>2</v>
      </c>
      <c r="Y1088" s="960">
        <f t="array" ref="Y1088">HLOOKUP($J1088,'Type Chart'!$C$2:$T$20,6,false)*HLOOKUP($K1088,'Type Chart'!$C$2:$U$20,6,false)</f>
        <v>1</v>
      </c>
      <c r="Z1088" s="960">
        <f t="array" ref="Z1088">HLOOKUP($J1088,'Type Chart'!$C$2:$T$20,7,false)*HLOOKUP($K1088,'Type Chart'!$C$2:$U$20,7,false)</f>
        <v>1</v>
      </c>
      <c r="AA1088" s="960">
        <f t="array" ref="AA1088">HLOOKUP($J1088,'Type Chart'!$C$2:$T$20,8,false)*HLOOKUP($K1088,'Type Chart'!$C$2:$U$20,8,false)</f>
        <v>0.5</v>
      </c>
      <c r="AB1088" s="960">
        <f t="array" ref="AB1088">HLOOKUP($J1088,'Type Chart'!$C$2:$T$20,9,false)*HLOOKUP($K1088,'Type Chart'!$C$2:$U$20,9,false)</f>
        <v>1</v>
      </c>
      <c r="AC1088" s="960">
        <f t="array" ref="AC1088">HLOOKUP($J1088,'Type Chart'!$C$2:$T$20,10,false)*HLOOKUP($K1088,'Type Chart'!$C$2:$U$20,10,false)</f>
        <v>2</v>
      </c>
      <c r="AD1088" s="960">
        <f t="array" ref="AD1088">HLOOKUP($J1088,'Type Chart'!$C$2:$T$20,11,false)*HLOOKUP($K1088,'Type Chart'!$C$2:$U$20,11,false)</f>
        <v>1</v>
      </c>
      <c r="AE1088" s="960">
        <f t="array" ref="AE1088">HLOOKUP($J1088,'Type Chart'!$C$2:$T$20,12,false)*HLOOKUP($K1088,'Type Chart'!$C$2:$U$20,12,false)</f>
        <v>1</v>
      </c>
      <c r="AF1088" s="960">
        <f t="array" ref="AF1088">HLOOKUP($J1088,'Type Chart'!$C$2:$T$20,13,false)*HLOOKUP($K1088,'Type Chart'!$C$2:$U$20,13,false)</f>
        <v>1</v>
      </c>
      <c r="AG1088" s="960">
        <f t="array" ref="AG1088">HLOOKUP($J1088,'Type Chart'!$C$2:$T$20,14,false)*HLOOKUP($K1088,'Type Chart'!$C$2:$U$20,14,false)</f>
        <v>1</v>
      </c>
      <c r="AH1088" s="960">
        <f t="array" ref="AH1088">HLOOKUP($J1088,'Type Chart'!$C$2:$T$20,15,false)*HLOOKUP($K1088,'Type Chart'!$C$2:$U$20,15,false)</f>
        <v>1</v>
      </c>
      <c r="AI1088" s="960">
        <f t="array" ref="AI1088">HLOOKUP($J1088,'Type Chart'!$C$2:$T$20,16,false)*HLOOKUP($K1088,'Type Chart'!$C$2:$U$20,16,false)</f>
        <v>1</v>
      </c>
      <c r="AJ1088" s="960">
        <f t="array" ref="AJ1088">HLOOKUP($J1088,'Type Chart'!$C$2:$T$20,17,false)*HLOOKUP($K1088,'Type Chart'!$C$2:$U$20,17,false)</f>
        <v>0</v>
      </c>
      <c r="AK1088" s="960">
        <f t="array" ref="AK1088">HLOOKUP($J1088,'Type Chart'!$C$2:$T$20,18,false)*HLOOKUP($K1088,'Type Chart'!$C$2:$U$20,18,false)</f>
        <v>0.5</v>
      </c>
      <c r="AL1088" s="960">
        <f t="array" ref="AL1088">HLOOKUP($J1088,'Type Chart'!$C$2:$T$20,19,false)*HLOOKUP($K1088,'Type Chart'!$C$2:$U$20,19,false)</f>
        <v>1</v>
      </c>
      <c r="AM1088" s="964" t="s">
        <v>3380</v>
      </c>
      <c r="AN1088" s="965"/>
      <c r="AO1088" s="966" t="s">
        <v>3373</v>
      </c>
      <c r="AP1088" s="936"/>
      <c r="AQ1088" s="967"/>
      <c r="AR1088" s="968"/>
      <c r="AS1088" s="936"/>
    </row>
    <row r="1089" ht="15.75" customHeight="1">
      <c r="A1089" s="936"/>
      <c r="B1089" s="948" t="s">
        <v>4025</v>
      </c>
      <c r="C1089" s="950" t="s">
        <v>4026</v>
      </c>
      <c r="D1089" s="950" t="s">
        <v>4026</v>
      </c>
      <c r="E1089" s="1147" t="s">
        <v>4026</v>
      </c>
      <c r="F1089" s="940"/>
      <c r="G1089" s="953"/>
      <c r="H1089" s="969"/>
      <c r="I1089" s="956" t="s">
        <v>750</v>
      </c>
      <c r="J1089" s="1213" t="s">
        <v>341</v>
      </c>
      <c r="K1089" s="984" t="s">
        <v>216</v>
      </c>
      <c r="L1089" s="959">
        <v>65.0</v>
      </c>
      <c r="M1089" s="960">
        <v>100.0</v>
      </c>
      <c r="N1089" s="960">
        <v>100.0</v>
      </c>
      <c r="O1089" s="960">
        <v>70.0</v>
      </c>
      <c r="P1089" s="960">
        <v>60.0</v>
      </c>
      <c r="Q1089" s="960">
        <v>75.0</v>
      </c>
      <c r="R1089" s="960">
        <v>186.0</v>
      </c>
      <c r="S1089" s="960">
        <v>249.0</v>
      </c>
      <c r="T1089" s="960">
        <v>273.0</v>
      </c>
      <c r="U1089" s="960">
        <f t="array" ref="U1089">HLOOKUP($J1089,'Type Chart'!$C$2:$T$20,2,false)*HLOOKUP($K1089,'Type Chart'!$C$2:$U$20,2,false)</f>
        <v>1</v>
      </c>
      <c r="V1089" s="960">
        <f t="array" ref="V1089">HLOOKUP($J1089,'Type Chart'!$C$2:$T$20,3,false)*HLOOKUP($K1089,'Type Chart'!$C$2:$U$20,3,false)</f>
        <v>1</v>
      </c>
      <c r="W1089" s="960">
        <f t="array" ref="W1089">HLOOKUP($J1089,'Type Chart'!$C$2:$T$20,4,false)*HLOOKUP($K1089,'Type Chart'!$C$2:$U$20,4,false)</f>
        <v>2</v>
      </c>
      <c r="X1089" s="960">
        <f t="array" ref="X1089">HLOOKUP($J1089,'Type Chart'!$C$2:$T$20,5,false)*HLOOKUP($K1089,'Type Chart'!$C$2:$U$20,5,false)</f>
        <v>1</v>
      </c>
      <c r="Y1089" s="960">
        <f t="array" ref="Y1089">HLOOKUP($J1089,'Type Chart'!$C$2:$T$20,6,false)*HLOOKUP($K1089,'Type Chart'!$C$2:$U$20,6,false)</f>
        <v>1</v>
      </c>
      <c r="Z1089" s="960">
        <f t="array" ref="Z1089">HLOOKUP($J1089,'Type Chart'!$C$2:$T$20,7,false)*HLOOKUP($K1089,'Type Chart'!$C$2:$U$20,7,false)</f>
        <v>0.5</v>
      </c>
      <c r="AA1089" s="960">
        <f t="array" ref="AA1089">HLOOKUP($J1089,'Type Chart'!$C$2:$T$20,8,false)*HLOOKUP($K1089,'Type Chart'!$C$2:$U$20,8,false)</f>
        <v>0.5</v>
      </c>
      <c r="AB1089" s="960">
        <f t="array" ref="AB1089">HLOOKUP($J1089,'Type Chart'!$C$2:$T$20,9,false)*HLOOKUP($K1089,'Type Chart'!$C$2:$U$20,9,false)</f>
        <v>1</v>
      </c>
      <c r="AC1089" s="960">
        <f t="array" ref="AC1089">HLOOKUP($J1089,'Type Chart'!$C$2:$T$20,10,false)*HLOOKUP($K1089,'Type Chart'!$C$2:$U$20,10,false)</f>
        <v>1</v>
      </c>
      <c r="AD1089" s="960">
        <f t="array" ref="AD1089">HLOOKUP($J1089,'Type Chart'!$C$2:$T$20,11,false)*HLOOKUP($K1089,'Type Chart'!$C$2:$U$20,11,false)</f>
        <v>1</v>
      </c>
      <c r="AE1089" s="960">
        <f t="array" ref="AE1089">HLOOKUP($J1089,'Type Chart'!$C$2:$T$20,12,false)*HLOOKUP($K1089,'Type Chart'!$C$2:$U$20,12,false)</f>
        <v>1</v>
      </c>
      <c r="AF1089" s="960">
        <f t="array" ref="AF1089">HLOOKUP($J1089,'Type Chart'!$C$2:$T$20,13,false)*HLOOKUP($K1089,'Type Chart'!$C$2:$U$20,13,false)</f>
        <v>1</v>
      </c>
      <c r="AG1089" s="960">
        <f t="array" ref="AG1089">HLOOKUP($J1089,'Type Chart'!$C$2:$T$20,14,false)*HLOOKUP($K1089,'Type Chart'!$C$2:$U$20,14,false)</f>
        <v>1</v>
      </c>
      <c r="AH1089" s="960">
        <f t="array" ref="AH1089">HLOOKUP($J1089,'Type Chart'!$C$2:$T$20,15,false)*HLOOKUP($K1089,'Type Chart'!$C$2:$U$20,15,false)</f>
        <v>2</v>
      </c>
      <c r="AI1089" s="960">
        <f t="array" ref="AI1089">HLOOKUP($J1089,'Type Chart'!$C$2:$T$20,16,false)*HLOOKUP($K1089,'Type Chart'!$C$2:$U$20,16,false)</f>
        <v>1</v>
      </c>
      <c r="AJ1089" s="960">
        <f t="array" ref="AJ1089">HLOOKUP($J1089,'Type Chart'!$C$2:$T$20,17,false)*HLOOKUP($K1089,'Type Chart'!$C$2:$U$20,17,false)</f>
        <v>1</v>
      </c>
      <c r="AK1089" s="960">
        <f t="array" ref="AK1089">HLOOKUP($J1089,'Type Chart'!$C$2:$T$20,18,false)*HLOOKUP($K1089,'Type Chart'!$C$2:$U$20,18,false)</f>
        <v>0.5</v>
      </c>
      <c r="AL1089" s="960">
        <f t="array" ref="AL1089">HLOOKUP($J1089,'Type Chart'!$C$2:$T$20,19,false)*HLOOKUP($K1089,'Type Chart'!$C$2:$U$20,19,false)</f>
        <v>2</v>
      </c>
      <c r="AM1089" s="964" t="s">
        <v>1487</v>
      </c>
      <c r="AN1089" s="965"/>
      <c r="AO1089" s="966" t="s">
        <v>1267</v>
      </c>
      <c r="AP1089" s="936"/>
      <c r="AQ1089" s="967"/>
      <c r="AR1089" s="968"/>
      <c r="AS1089" s="936"/>
    </row>
    <row r="1090" ht="15.75" customHeight="1">
      <c r="A1090" s="936"/>
      <c r="B1090" s="948" t="s">
        <v>4027</v>
      </c>
      <c r="C1090" s="950" t="s">
        <v>4028</v>
      </c>
      <c r="D1090" s="950" t="s">
        <v>4028</v>
      </c>
      <c r="E1090" s="1147" t="s">
        <v>4028</v>
      </c>
      <c r="F1090" s="940"/>
      <c r="G1090" s="953"/>
      <c r="H1090" s="969"/>
      <c r="I1090" s="956" t="s">
        <v>719</v>
      </c>
      <c r="J1090" s="1196" t="s">
        <v>203</v>
      </c>
      <c r="K1090" s="984" t="s">
        <v>216</v>
      </c>
      <c r="L1090" s="959">
        <v>48.0</v>
      </c>
      <c r="M1090" s="960">
        <v>101.0</v>
      </c>
      <c r="N1090" s="960">
        <v>95.0</v>
      </c>
      <c r="O1090" s="960">
        <v>91.0</v>
      </c>
      <c r="P1090" s="960">
        <v>85.0</v>
      </c>
      <c r="Q1090" s="960">
        <v>15.0</v>
      </c>
      <c r="R1090" s="960">
        <v>66.0</v>
      </c>
      <c r="S1090" s="960">
        <v>129.0</v>
      </c>
      <c r="T1090" s="960">
        <v>141.0</v>
      </c>
      <c r="U1090" s="960">
        <f t="array" ref="U1090">HLOOKUP($J1090,'Type Chart'!$C$2:$T$20,2,false)*HLOOKUP($K1090,'Type Chart'!$C$2:$U$20,2,false)</f>
        <v>1</v>
      </c>
      <c r="V1090" s="960">
        <f t="array" ref="V1090">HLOOKUP($J1090,'Type Chart'!$C$2:$T$20,3,false)*HLOOKUP($K1090,'Type Chart'!$C$2:$U$20,3,false)</f>
        <v>1</v>
      </c>
      <c r="W1090" s="960">
        <f t="array" ref="W1090">HLOOKUP($J1090,'Type Chart'!$C$2:$T$20,4,false)*HLOOKUP($K1090,'Type Chart'!$C$2:$U$20,4,false)</f>
        <v>0.5</v>
      </c>
      <c r="X1090" s="960">
        <f t="array" ref="X1090">HLOOKUP($J1090,'Type Chart'!$C$2:$T$20,5,false)*HLOOKUP($K1090,'Type Chart'!$C$2:$U$20,5,false)</f>
        <v>1</v>
      </c>
      <c r="Y1090" s="960">
        <f t="array" ref="Y1090">HLOOKUP($J1090,'Type Chart'!$C$2:$T$20,6,false)*HLOOKUP($K1090,'Type Chart'!$C$2:$U$20,6,false)</f>
        <v>2</v>
      </c>
      <c r="Z1090" s="960">
        <f t="array" ref="Z1090">HLOOKUP($J1090,'Type Chart'!$C$2:$T$20,7,false)*HLOOKUP($K1090,'Type Chart'!$C$2:$U$20,7,false)</f>
        <v>1</v>
      </c>
      <c r="AA1090" s="960">
        <f t="array" ref="AA1090">HLOOKUP($J1090,'Type Chart'!$C$2:$T$20,8,false)*HLOOKUP($K1090,'Type Chart'!$C$2:$U$20,8,false)</f>
        <v>1</v>
      </c>
      <c r="AB1090" s="960">
        <f t="array" ref="AB1090">HLOOKUP($J1090,'Type Chart'!$C$2:$T$20,9,false)*HLOOKUP($K1090,'Type Chart'!$C$2:$U$20,9,false)</f>
        <v>1</v>
      </c>
      <c r="AC1090" s="960">
        <f t="array" ref="AC1090">HLOOKUP($J1090,'Type Chart'!$C$2:$T$20,10,false)*HLOOKUP($K1090,'Type Chart'!$C$2:$U$20,10,false)</f>
        <v>0.5</v>
      </c>
      <c r="AD1090" s="960">
        <f t="array" ref="AD1090">HLOOKUP($J1090,'Type Chart'!$C$2:$T$20,11,false)*HLOOKUP($K1090,'Type Chart'!$C$2:$U$20,11,false)</f>
        <v>1</v>
      </c>
      <c r="AE1090" s="960">
        <f t="array" ref="AE1090">HLOOKUP($J1090,'Type Chart'!$C$2:$T$20,12,false)*HLOOKUP($K1090,'Type Chart'!$C$2:$U$20,12,false)</f>
        <v>1</v>
      </c>
      <c r="AF1090" s="960">
        <f t="array" ref="AF1090">HLOOKUP($J1090,'Type Chart'!$C$2:$T$20,13,false)*HLOOKUP($K1090,'Type Chart'!$C$2:$U$20,13,false)</f>
        <v>1</v>
      </c>
      <c r="AG1090" s="960">
        <f t="array" ref="AG1090">HLOOKUP($J1090,'Type Chart'!$C$2:$T$20,14,false)*HLOOKUP($K1090,'Type Chart'!$C$2:$U$20,14,false)</f>
        <v>0.5</v>
      </c>
      <c r="AH1090" s="960">
        <f t="array" ref="AH1090">HLOOKUP($J1090,'Type Chart'!$C$2:$T$20,15,false)*HLOOKUP($K1090,'Type Chart'!$C$2:$U$20,15,false)</f>
        <v>1</v>
      </c>
      <c r="AI1090" s="960">
        <f t="array" ref="AI1090">HLOOKUP($J1090,'Type Chart'!$C$2:$T$20,16,false)*HLOOKUP($K1090,'Type Chart'!$C$2:$U$20,16,false)</f>
        <v>1</v>
      </c>
      <c r="AJ1090" s="960">
        <f t="array" ref="AJ1090">HLOOKUP($J1090,'Type Chart'!$C$2:$T$20,17,false)*HLOOKUP($K1090,'Type Chart'!$C$2:$U$20,17,false)</f>
        <v>1</v>
      </c>
      <c r="AK1090" s="960">
        <f t="array" ref="AK1090">HLOOKUP($J1090,'Type Chart'!$C$2:$T$20,18,false)*HLOOKUP($K1090,'Type Chart'!$C$2:$U$20,18,false)</f>
        <v>1</v>
      </c>
      <c r="AL1090" s="960">
        <f t="array" ref="AL1090">HLOOKUP($J1090,'Type Chart'!$C$2:$T$20,19,false)*HLOOKUP($K1090,'Type Chart'!$C$2:$U$20,19,false)</f>
        <v>1</v>
      </c>
      <c r="AM1090" s="964" t="s">
        <v>4029</v>
      </c>
      <c r="AN1090" s="965"/>
      <c r="AO1090" s="966" t="s">
        <v>3758</v>
      </c>
      <c r="AP1090" s="936"/>
      <c r="AQ1090" s="967"/>
      <c r="AR1090" s="968"/>
      <c r="AS1090" s="936"/>
    </row>
    <row r="1091" ht="15.75" customHeight="1">
      <c r="A1091" s="1099"/>
      <c r="B1091" s="948" t="s">
        <v>4030</v>
      </c>
      <c r="C1091" s="1197" t="s">
        <v>4031</v>
      </c>
      <c r="D1091" s="1197" t="s">
        <v>4031</v>
      </c>
      <c r="E1091" s="1147" t="s">
        <v>4031</v>
      </c>
      <c r="F1091" s="940"/>
      <c r="G1091" s="953"/>
      <c r="H1091" s="969"/>
      <c r="I1091" s="998" t="s">
        <v>4032</v>
      </c>
      <c r="J1091" s="1224" t="s">
        <v>345</v>
      </c>
      <c r="K1091" s="1225" t="s">
        <v>343</v>
      </c>
      <c r="L1091" s="1200">
        <v>30.0</v>
      </c>
      <c r="M1091" s="1201">
        <v>25.0</v>
      </c>
      <c r="N1091" s="1201">
        <v>35.0</v>
      </c>
      <c r="O1091" s="1201">
        <v>45.0</v>
      </c>
      <c r="P1091" s="1201">
        <v>30.0</v>
      </c>
      <c r="Q1091" s="1201">
        <v>20.0</v>
      </c>
      <c r="R1091" s="960">
        <v>76.0</v>
      </c>
      <c r="S1091" s="960">
        <v>139.0</v>
      </c>
      <c r="T1091" s="960">
        <v>152.0</v>
      </c>
      <c r="U1091" s="960">
        <f t="array" ref="U1091">HLOOKUP($J1091,'Type Chart'!$C$2:$T$20,2,false)*HLOOKUP($K1091,'Type Chart'!$C$2:$U$20,2,false)</f>
        <v>1</v>
      </c>
      <c r="V1091" s="960">
        <f t="array" ref="V1091">HLOOKUP($J1091,'Type Chart'!$C$2:$T$20,3,false)*HLOOKUP($K1091,'Type Chart'!$C$2:$U$20,3,false)</f>
        <v>1</v>
      </c>
      <c r="W1091" s="960">
        <f t="array" ref="W1091">HLOOKUP($J1091,'Type Chart'!$C$2:$T$20,4,false)*HLOOKUP($K1091,'Type Chart'!$C$2:$U$20,4,false)</f>
        <v>2</v>
      </c>
      <c r="X1091" s="960">
        <f t="array" ref="X1091">HLOOKUP($J1091,'Type Chart'!$C$2:$T$20,5,false)*HLOOKUP($K1091,'Type Chart'!$C$2:$U$20,5,false)</f>
        <v>1</v>
      </c>
      <c r="Y1091" s="960">
        <f t="array" ref="Y1091">HLOOKUP($J1091,'Type Chart'!$C$2:$T$20,6,false)*HLOOKUP($K1091,'Type Chart'!$C$2:$U$20,6,false)</f>
        <v>0.5</v>
      </c>
      <c r="Z1091" s="960">
        <f t="array" ref="Z1091">HLOOKUP($J1091,'Type Chart'!$C$2:$T$20,7,false)*HLOOKUP($K1091,'Type Chart'!$C$2:$U$20,7,false)</f>
        <v>4</v>
      </c>
      <c r="AA1091" s="960">
        <f t="array" ref="AA1091">HLOOKUP($J1091,'Type Chart'!$C$2:$T$20,8,false)*HLOOKUP($K1091,'Type Chart'!$C$2:$U$20,8,false)</f>
        <v>1</v>
      </c>
      <c r="AB1091" s="960">
        <f t="array" ref="AB1091">HLOOKUP($J1091,'Type Chart'!$C$2:$T$20,9,false)*HLOOKUP($K1091,'Type Chart'!$C$2:$U$20,9,false)</f>
        <v>1</v>
      </c>
      <c r="AC1091" s="960">
        <f t="array" ref="AC1091">HLOOKUP($J1091,'Type Chart'!$C$2:$T$20,10,false)*HLOOKUP($K1091,'Type Chart'!$C$2:$U$20,10,false)</f>
        <v>2</v>
      </c>
      <c r="AD1091" s="960">
        <f t="array" ref="AD1091">HLOOKUP($J1091,'Type Chart'!$C$2:$T$20,11,false)*HLOOKUP($K1091,'Type Chart'!$C$2:$U$20,11,false)</f>
        <v>4</v>
      </c>
      <c r="AE1091" s="960">
        <f t="array" ref="AE1091">HLOOKUP($J1091,'Type Chart'!$C$2:$T$20,12,false)*HLOOKUP($K1091,'Type Chart'!$C$2:$U$20,12,false)</f>
        <v>1</v>
      </c>
      <c r="AF1091" s="960">
        <f t="array" ref="AF1091">HLOOKUP($J1091,'Type Chart'!$C$2:$T$20,13,false)*HLOOKUP($K1091,'Type Chart'!$C$2:$U$20,13,false)</f>
        <v>0.5</v>
      </c>
      <c r="AG1091" s="960">
        <f t="array" ref="AG1091">HLOOKUP($J1091,'Type Chart'!$C$2:$T$20,14,false)*HLOOKUP($K1091,'Type Chart'!$C$2:$U$20,14,false)</f>
        <v>1</v>
      </c>
      <c r="AH1091" s="960">
        <f t="array" ref="AH1091">HLOOKUP($J1091,'Type Chart'!$C$2:$T$20,15,false)*HLOOKUP($K1091,'Type Chart'!$C$2:$U$20,15,false)</f>
        <v>1</v>
      </c>
      <c r="AI1091" s="960">
        <f t="array" ref="AI1091">HLOOKUP($J1091,'Type Chart'!$C$2:$T$20,16,false)*HLOOKUP($K1091,'Type Chart'!$C$2:$U$20,16,false)</f>
        <v>0.5</v>
      </c>
      <c r="AJ1091" s="960">
        <f t="array" ref="AJ1091">HLOOKUP($J1091,'Type Chart'!$C$2:$T$20,17,false)*HLOOKUP($K1091,'Type Chart'!$C$2:$U$20,17,false)</f>
        <v>1</v>
      </c>
      <c r="AK1091" s="960">
        <f t="array" ref="AK1091">HLOOKUP($J1091,'Type Chart'!$C$2:$T$20,18,false)*HLOOKUP($K1091,'Type Chart'!$C$2:$U$20,18,false)</f>
        <v>1</v>
      </c>
      <c r="AL1091" s="960">
        <f t="array" ref="AL1091">HLOOKUP($J1091,'Type Chart'!$C$2:$T$20,19,false)*HLOOKUP($K1091,'Type Chart'!$C$2:$U$20,19,false)</f>
        <v>1</v>
      </c>
      <c r="AM1091" s="1145" t="s">
        <v>987</v>
      </c>
      <c r="AN1091" s="1202"/>
      <c r="AO1091" s="1146" t="s">
        <v>4033</v>
      </c>
      <c r="AP1091" s="936"/>
      <c r="AQ1091" s="967"/>
      <c r="AR1091" s="968"/>
      <c r="AS1091" s="936"/>
    </row>
    <row r="1092" ht="15.75" customHeight="1">
      <c r="A1092" s="1099"/>
      <c r="B1092" s="948" t="s">
        <v>4034</v>
      </c>
      <c r="C1092" s="1197" t="s">
        <v>4035</v>
      </c>
      <c r="D1092" s="1197" t="s">
        <v>4035</v>
      </c>
      <c r="E1092" s="1147" t="s">
        <v>4035</v>
      </c>
      <c r="F1092" s="940"/>
      <c r="G1092" s="953"/>
      <c r="H1092" s="969"/>
      <c r="I1092" s="998" t="s">
        <v>712</v>
      </c>
      <c r="J1092" s="1224" t="s">
        <v>345</v>
      </c>
      <c r="K1092" s="1225" t="s">
        <v>343</v>
      </c>
      <c r="L1092" s="1200">
        <v>70.0</v>
      </c>
      <c r="M1092" s="1201">
        <v>65.0</v>
      </c>
      <c r="N1092" s="1201">
        <v>60.0</v>
      </c>
      <c r="O1092" s="1201">
        <v>125.0</v>
      </c>
      <c r="P1092" s="1201">
        <v>90.0</v>
      </c>
      <c r="Q1092" s="1201">
        <v>65.0</v>
      </c>
      <c r="R1092" s="960">
        <v>166.0</v>
      </c>
      <c r="S1092" s="960">
        <v>229.0</v>
      </c>
      <c r="T1092" s="960">
        <v>251.0</v>
      </c>
      <c r="U1092" s="960">
        <f t="array" ref="U1092">HLOOKUP($J1092,'Type Chart'!$C$2:$T$20,2,false)*HLOOKUP($K1092,'Type Chart'!$C$2:$U$20,2,false)</f>
        <v>1</v>
      </c>
      <c r="V1092" s="960">
        <f t="array" ref="V1092">HLOOKUP($J1092,'Type Chart'!$C$2:$T$20,3,false)*HLOOKUP($K1092,'Type Chart'!$C$2:$U$20,3,false)</f>
        <v>1</v>
      </c>
      <c r="W1092" s="960">
        <f t="array" ref="W1092">HLOOKUP($J1092,'Type Chart'!$C$2:$T$20,4,false)*HLOOKUP($K1092,'Type Chart'!$C$2:$U$20,4,false)</f>
        <v>2</v>
      </c>
      <c r="X1092" s="960">
        <f t="array" ref="X1092">HLOOKUP($J1092,'Type Chart'!$C$2:$T$20,5,false)*HLOOKUP($K1092,'Type Chart'!$C$2:$U$20,5,false)</f>
        <v>1</v>
      </c>
      <c r="Y1092" s="960">
        <f t="array" ref="Y1092">HLOOKUP($J1092,'Type Chart'!$C$2:$T$20,6,false)*HLOOKUP($K1092,'Type Chart'!$C$2:$U$20,6,false)</f>
        <v>0.5</v>
      </c>
      <c r="Z1092" s="960">
        <f t="array" ref="Z1092">HLOOKUP($J1092,'Type Chart'!$C$2:$T$20,7,false)*HLOOKUP($K1092,'Type Chart'!$C$2:$U$20,7,false)</f>
        <v>4</v>
      </c>
      <c r="AA1092" s="960">
        <f t="array" ref="AA1092">HLOOKUP($J1092,'Type Chart'!$C$2:$T$20,8,false)*HLOOKUP($K1092,'Type Chart'!$C$2:$U$20,8,false)</f>
        <v>1</v>
      </c>
      <c r="AB1092" s="960">
        <f t="array" ref="AB1092">HLOOKUP($J1092,'Type Chart'!$C$2:$T$20,9,false)*HLOOKUP($K1092,'Type Chart'!$C$2:$U$20,9,false)</f>
        <v>1</v>
      </c>
      <c r="AC1092" s="960">
        <f t="array" ref="AC1092">HLOOKUP($J1092,'Type Chart'!$C$2:$T$20,10,false)*HLOOKUP($K1092,'Type Chart'!$C$2:$U$20,10,false)</f>
        <v>2</v>
      </c>
      <c r="AD1092" s="960">
        <f t="array" ref="AD1092">HLOOKUP($J1092,'Type Chart'!$C$2:$T$20,11,false)*HLOOKUP($K1092,'Type Chart'!$C$2:$U$20,11,false)</f>
        <v>4</v>
      </c>
      <c r="AE1092" s="960">
        <f t="array" ref="AE1092">HLOOKUP($J1092,'Type Chart'!$C$2:$T$20,12,false)*HLOOKUP($K1092,'Type Chart'!$C$2:$U$20,12,false)</f>
        <v>1</v>
      </c>
      <c r="AF1092" s="960">
        <f t="array" ref="AF1092">HLOOKUP($J1092,'Type Chart'!$C$2:$T$20,13,false)*HLOOKUP($K1092,'Type Chart'!$C$2:$U$20,13,false)</f>
        <v>0.5</v>
      </c>
      <c r="AG1092" s="960">
        <f t="array" ref="AG1092">HLOOKUP($J1092,'Type Chart'!$C$2:$T$20,14,false)*HLOOKUP($K1092,'Type Chart'!$C$2:$U$20,14,false)</f>
        <v>1</v>
      </c>
      <c r="AH1092" s="960">
        <f t="array" ref="AH1092">HLOOKUP($J1092,'Type Chart'!$C$2:$T$20,15,false)*HLOOKUP($K1092,'Type Chart'!$C$2:$U$20,15,false)</f>
        <v>1</v>
      </c>
      <c r="AI1092" s="960">
        <f t="array" ref="AI1092">HLOOKUP($J1092,'Type Chart'!$C$2:$T$20,16,false)*HLOOKUP($K1092,'Type Chart'!$C$2:$U$20,16,false)</f>
        <v>0.5</v>
      </c>
      <c r="AJ1092" s="960">
        <f t="array" ref="AJ1092">HLOOKUP($J1092,'Type Chart'!$C$2:$T$20,17,false)*HLOOKUP($K1092,'Type Chart'!$C$2:$U$20,17,false)</f>
        <v>1</v>
      </c>
      <c r="AK1092" s="960">
        <f t="array" ref="AK1092">HLOOKUP($J1092,'Type Chart'!$C$2:$T$20,18,false)*HLOOKUP($K1092,'Type Chart'!$C$2:$U$20,18,false)</f>
        <v>1</v>
      </c>
      <c r="AL1092" s="960">
        <f t="array" ref="AL1092">HLOOKUP($J1092,'Type Chart'!$C$2:$T$20,19,false)*HLOOKUP($K1092,'Type Chart'!$C$2:$U$20,19,false)</f>
        <v>1</v>
      </c>
      <c r="AM1092" s="1145" t="s">
        <v>987</v>
      </c>
      <c r="AN1092" s="965"/>
      <c r="AO1092" s="1146" t="s">
        <v>4033</v>
      </c>
      <c r="AP1092" s="936"/>
      <c r="AQ1092" s="967"/>
      <c r="AR1092" s="968"/>
      <c r="AS1092" s="936"/>
    </row>
    <row r="1093" ht="15.75" customHeight="1">
      <c r="A1093" s="936"/>
      <c r="B1093" s="948" t="s">
        <v>4036</v>
      </c>
      <c r="C1093" s="950" t="s">
        <v>4037</v>
      </c>
      <c r="D1093" s="950" t="s">
        <v>4037</v>
      </c>
      <c r="E1093" s="952" t="s">
        <v>4037</v>
      </c>
      <c r="F1093" s="940"/>
      <c r="G1093" s="953"/>
      <c r="H1093" s="969"/>
      <c r="I1093" s="956" t="s">
        <v>775</v>
      </c>
      <c r="J1093" s="1214" t="s">
        <v>342</v>
      </c>
      <c r="K1093" s="984" t="s">
        <v>216</v>
      </c>
      <c r="L1093" s="959">
        <v>100.0</v>
      </c>
      <c r="M1093" s="960">
        <v>125.0</v>
      </c>
      <c r="N1093" s="960">
        <v>135.0</v>
      </c>
      <c r="O1093" s="960">
        <v>20.0</v>
      </c>
      <c r="P1093" s="960">
        <v>20.0</v>
      </c>
      <c r="Q1093" s="960">
        <v>70.0</v>
      </c>
      <c r="R1093" s="960">
        <v>176.0</v>
      </c>
      <c r="S1093" s="960">
        <v>239.0</v>
      </c>
      <c r="T1093" s="960">
        <v>262.0</v>
      </c>
      <c r="U1093" s="960">
        <f t="array" ref="U1093">HLOOKUP($J1093,'Type Chart'!$C$2:$T$20,2,false)*HLOOKUP($K1093,'Type Chart'!$C$2:$U$20,2,false)</f>
        <v>0.5</v>
      </c>
      <c r="V1093" s="960">
        <f t="array" ref="V1093">HLOOKUP($J1093,'Type Chart'!$C$2:$T$20,3,false)*HLOOKUP($K1093,'Type Chart'!$C$2:$U$20,3,false)</f>
        <v>2</v>
      </c>
      <c r="W1093" s="960">
        <f t="array" ref="W1093">HLOOKUP($J1093,'Type Chart'!$C$2:$T$20,4,false)*HLOOKUP($K1093,'Type Chart'!$C$2:$U$20,4,false)</f>
        <v>0.5</v>
      </c>
      <c r="X1093" s="960">
        <f t="array" ref="X1093">HLOOKUP($J1093,'Type Chart'!$C$2:$T$20,5,false)*HLOOKUP($K1093,'Type Chart'!$C$2:$U$20,5,false)</f>
        <v>0.5</v>
      </c>
      <c r="Y1093" s="960">
        <f t="array" ref="Y1093">HLOOKUP($J1093,'Type Chart'!$C$2:$T$20,6,false)*HLOOKUP($K1093,'Type Chart'!$C$2:$U$20,6,false)</f>
        <v>2</v>
      </c>
      <c r="Z1093" s="960">
        <f t="array" ref="Z1093">HLOOKUP($J1093,'Type Chart'!$C$2:$T$20,7,false)*HLOOKUP($K1093,'Type Chart'!$C$2:$U$20,7,false)</f>
        <v>1</v>
      </c>
      <c r="AA1093" s="960">
        <f t="array" ref="AA1093">HLOOKUP($J1093,'Type Chart'!$C$2:$T$20,8,false)*HLOOKUP($K1093,'Type Chart'!$C$2:$U$20,8,false)</f>
        <v>1</v>
      </c>
      <c r="AB1093" s="960">
        <f t="array" ref="AB1093">HLOOKUP($J1093,'Type Chart'!$C$2:$T$20,9,false)*HLOOKUP($K1093,'Type Chart'!$C$2:$U$20,9,false)</f>
        <v>1</v>
      </c>
      <c r="AC1093" s="960">
        <f t="array" ref="AC1093">HLOOKUP($J1093,'Type Chart'!$C$2:$T$20,10,false)*HLOOKUP($K1093,'Type Chart'!$C$2:$U$20,10,false)</f>
        <v>2</v>
      </c>
      <c r="AD1093" s="960">
        <f t="array" ref="AD1093">HLOOKUP($J1093,'Type Chart'!$C$2:$T$20,11,false)*HLOOKUP($K1093,'Type Chart'!$C$2:$U$20,11,false)</f>
        <v>0.5</v>
      </c>
      <c r="AE1093" s="960">
        <f t="array" ref="AE1093">HLOOKUP($J1093,'Type Chart'!$C$2:$T$20,12,false)*HLOOKUP($K1093,'Type Chart'!$C$2:$U$20,12,false)</f>
        <v>2</v>
      </c>
      <c r="AF1093" s="960">
        <f t="array" ref="AF1093">HLOOKUP($J1093,'Type Chart'!$C$2:$T$20,13,false)*HLOOKUP($K1093,'Type Chart'!$C$2:$U$20,13,false)</f>
        <v>2</v>
      </c>
      <c r="AG1093" s="960">
        <f t="array" ref="AG1093">HLOOKUP($J1093,'Type Chart'!$C$2:$T$20,14,false)*HLOOKUP($K1093,'Type Chart'!$C$2:$U$20,14,false)</f>
        <v>1</v>
      </c>
      <c r="AH1093" s="960">
        <f t="array" ref="AH1093">HLOOKUP($J1093,'Type Chart'!$C$2:$T$20,15,false)*HLOOKUP($K1093,'Type Chart'!$C$2:$U$20,15,false)</f>
        <v>1</v>
      </c>
      <c r="AI1093" s="960">
        <f t="array" ref="AI1093">HLOOKUP($J1093,'Type Chart'!$C$2:$T$20,16,false)*HLOOKUP($K1093,'Type Chart'!$C$2:$U$20,16,false)</f>
        <v>1</v>
      </c>
      <c r="AJ1093" s="960">
        <f t="array" ref="AJ1093">HLOOKUP($J1093,'Type Chart'!$C$2:$T$20,17,false)*HLOOKUP($K1093,'Type Chart'!$C$2:$U$20,17,false)</f>
        <v>1</v>
      </c>
      <c r="AK1093" s="960">
        <f t="array" ref="AK1093">HLOOKUP($J1093,'Type Chart'!$C$2:$T$20,18,false)*HLOOKUP($K1093,'Type Chart'!$C$2:$U$20,18,false)</f>
        <v>1</v>
      </c>
      <c r="AL1093" s="960">
        <f t="array" ref="AL1093">HLOOKUP($J1093,'Type Chart'!$C$2:$T$20,19,false)*HLOOKUP($K1093,'Type Chart'!$C$2:$U$20,19,false)</f>
        <v>1</v>
      </c>
      <c r="AM1093" s="964" t="s">
        <v>4038</v>
      </c>
      <c r="AN1093" s="965"/>
      <c r="AO1093" s="966"/>
      <c r="AP1093" s="936"/>
      <c r="AQ1093" s="967"/>
      <c r="AR1093" s="968"/>
      <c r="AS1093" s="936"/>
    </row>
    <row r="1094" ht="15.75" customHeight="1">
      <c r="A1094" s="936"/>
      <c r="B1094" s="948" t="s">
        <v>4039</v>
      </c>
      <c r="C1094" s="950" t="s">
        <v>4040</v>
      </c>
      <c r="D1094" s="950" t="s">
        <v>4040</v>
      </c>
      <c r="E1094" s="952" t="s">
        <v>4040</v>
      </c>
      <c r="F1094" s="940"/>
      <c r="G1094" s="953"/>
      <c r="H1094" s="969"/>
      <c r="I1094" s="956" t="s">
        <v>749</v>
      </c>
      <c r="J1094" s="1205" t="s">
        <v>345</v>
      </c>
      <c r="K1094" s="984" t="s">
        <v>216</v>
      </c>
      <c r="L1094" s="959">
        <v>75.0</v>
      </c>
      <c r="M1094" s="960">
        <v>80.0</v>
      </c>
      <c r="N1094" s="960">
        <v>110.0</v>
      </c>
      <c r="O1094" s="960">
        <v>65.0</v>
      </c>
      <c r="P1094" s="960">
        <v>90.0</v>
      </c>
      <c r="Q1094" s="960">
        <v>50.0</v>
      </c>
      <c r="R1094" s="960">
        <v>136.0</v>
      </c>
      <c r="S1094" s="960">
        <v>199.0</v>
      </c>
      <c r="T1094" s="960">
        <v>218.0</v>
      </c>
      <c r="U1094" s="960">
        <f t="array" ref="U1094">HLOOKUP($J1094,'Type Chart'!$C$2:$T$20,2,false)*HLOOKUP($K1094,'Type Chart'!$C$2:$U$20,2,false)</f>
        <v>1</v>
      </c>
      <c r="V1094" s="960">
        <f t="array" ref="V1094">HLOOKUP($J1094,'Type Chart'!$C$2:$T$20,3,false)*HLOOKUP($K1094,'Type Chart'!$C$2:$U$20,3,false)</f>
        <v>2</v>
      </c>
      <c r="W1094" s="960">
        <f t="array" ref="W1094">HLOOKUP($J1094,'Type Chart'!$C$2:$T$20,4,false)*HLOOKUP($K1094,'Type Chart'!$C$2:$U$20,4,false)</f>
        <v>1</v>
      </c>
      <c r="X1094" s="960">
        <f t="array" ref="X1094">HLOOKUP($J1094,'Type Chart'!$C$2:$T$20,5,false)*HLOOKUP($K1094,'Type Chart'!$C$2:$U$20,5,false)</f>
        <v>1</v>
      </c>
      <c r="Y1094" s="960">
        <f t="array" ref="Y1094">HLOOKUP($J1094,'Type Chart'!$C$2:$T$20,6,false)*HLOOKUP($K1094,'Type Chart'!$C$2:$U$20,6,false)</f>
        <v>1</v>
      </c>
      <c r="Z1094" s="960">
        <f t="array" ref="Z1094">HLOOKUP($J1094,'Type Chart'!$C$2:$T$20,7,false)*HLOOKUP($K1094,'Type Chart'!$C$2:$U$20,7,false)</f>
        <v>2</v>
      </c>
      <c r="AA1094" s="960">
        <f t="array" ref="AA1094">HLOOKUP($J1094,'Type Chart'!$C$2:$T$20,8,false)*HLOOKUP($K1094,'Type Chart'!$C$2:$U$20,8,false)</f>
        <v>1</v>
      </c>
      <c r="AB1094" s="960">
        <f t="array" ref="AB1094">HLOOKUP($J1094,'Type Chart'!$C$2:$T$20,9,false)*HLOOKUP($K1094,'Type Chart'!$C$2:$U$20,9,false)</f>
        <v>1</v>
      </c>
      <c r="AC1094" s="960">
        <f t="array" ref="AC1094">HLOOKUP($J1094,'Type Chart'!$C$2:$T$20,10,false)*HLOOKUP($K1094,'Type Chart'!$C$2:$U$20,10,false)</f>
        <v>2</v>
      </c>
      <c r="AD1094" s="960">
        <f t="array" ref="AD1094">HLOOKUP($J1094,'Type Chart'!$C$2:$T$20,11,false)*HLOOKUP($K1094,'Type Chart'!$C$2:$U$20,11,false)</f>
        <v>2</v>
      </c>
      <c r="AE1094" s="960">
        <f t="array" ref="AE1094">HLOOKUP($J1094,'Type Chart'!$C$2:$T$20,12,false)*HLOOKUP($K1094,'Type Chart'!$C$2:$U$20,12,false)</f>
        <v>1</v>
      </c>
      <c r="AF1094" s="960">
        <f t="array" ref="AF1094">HLOOKUP($J1094,'Type Chart'!$C$2:$T$20,13,false)*HLOOKUP($K1094,'Type Chart'!$C$2:$U$20,13,false)</f>
        <v>1</v>
      </c>
      <c r="AG1094" s="960">
        <f t="array" ref="AG1094">HLOOKUP($J1094,'Type Chart'!$C$2:$T$20,14,false)*HLOOKUP($K1094,'Type Chart'!$C$2:$U$20,14,false)</f>
        <v>1</v>
      </c>
      <c r="AH1094" s="960">
        <f t="array" ref="AH1094">HLOOKUP($J1094,'Type Chart'!$C$2:$T$20,15,false)*HLOOKUP($K1094,'Type Chart'!$C$2:$U$20,15,false)</f>
        <v>1</v>
      </c>
      <c r="AI1094" s="960">
        <f t="array" ref="AI1094">HLOOKUP($J1094,'Type Chart'!$C$2:$T$20,16,false)*HLOOKUP($K1094,'Type Chart'!$C$2:$U$20,16,false)</f>
        <v>0.5</v>
      </c>
      <c r="AJ1094" s="960">
        <f t="array" ref="AJ1094">HLOOKUP($J1094,'Type Chart'!$C$2:$T$20,17,false)*HLOOKUP($K1094,'Type Chart'!$C$2:$U$20,17,false)</f>
        <v>1</v>
      </c>
      <c r="AK1094" s="960">
        <f t="array" ref="AK1094">HLOOKUP($J1094,'Type Chart'!$C$2:$T$20,18,false)*HLOOKUP($K1094,'Type Chart'!$C$2:$U$20,18,false)</f>
        <v>1</v>
      </c>
      <c r="AL1094" s="960">
        <f t="array" ref="AL1094">HLOOKUP($J1094,'Type Chart'!$C$2:$T$20,19,false)*HLOOKUP($K1094,'Type Chart'!$C$2:$U$20,19,false)</f>
        <v>1</v>
      </c>
      <c r="AM1094" s="964" t="s">
        <v>4041</v>
      </c>
      <c r="AN1094" s="965"/>
      <c r="AO1094" s="966"/>
      <c r="AP1094" s="936"/>
      <c r="AQ1094" s="967"/>
      <c r="AR1094" s="968"/>
      <c r="AS1094" s="936"/>
    </row>
    <row r="1095" ht="15.75" customHeight="1">
      <c r="A1095" s="936"/>
      <c r="B1095" s="948" t="s">
        <v>4042</v>
      </c>
      <c r="C1095" s="950" t="s">
        <v>4043</v>
      </c>
      <c r="D1095" s="950" t="s">
        <v>4043</v>
      </c>
      <c r="E1095" s="952" t="s">
        <v>4043</v>
      </c>
      <c r="F1095" s="940"/>
      <c r="G1095" s="953"/>
      <c r="H1095" s="969"/>
      <c r="I1095" s="956" t="s">
        <v>4044</v>
      </c>
      <c r="J1095" s="1205" t="s">
        <v>345</v>
      </c>
      <c r="K1095" s="984" t="s">
        <v>216</v>
      </c>
      <c r="L1095" s="959">
        <v>75.0</v>
      </c>
      <c r="M1095" s="960">
        <v>80.0</v>
      </c>
      <c r="N1095" s="960">
        <v>70.0</v>
      </c>
      <c r="O1095" s="960">
        <v>65.0</v>
      </c>
      <c r="P1095" s="960">
        <v>50.0</v>
      </c>
      <c r="Q1095" s="960">
        <v>130.0</v>
      </c>
      <c r="R1095" s="960">
        <v>296.0</v>
      </c>
      <c r="S1095" s="960">
        <v>359.0</v>
      </c>
      <c r="T1095" s="960">
        <v>394.0</v>
      </c>
      <c r="U1095" s="960">
        <f t="array" ref="U1095">HLOOKUP($J1095,'Type Chart'!$C$2:$T$20,2,false)*HLOOKUP($K1095,'Type Chart'!$C$2:$U$20,2,false)</f>
        <v>1</v>
      </c>
      <c r="V1095" s="960">
        <f t="array" ref="V1095">HLOOKUP($J1095,'Type Chart'!$C$2:$T$20,3,false)*HLOOKUP($K1095,'Type Chart'!$C$2:$U$20,3,false)</f>
        <v>2</v>
      </c>
      <c r="W1095" s="960">
        <f t="array" ref="W1095">HLOOKUP($J1095,'Type Chart'!$C$2:$T$20,4,false)*HLOOKUP($K1095,'Type Chart'!$C$2:$U$20,4,false)</f>
        <v>1</v>
      </c>
      <c r="X1095" s="960">
        <f t="array" ref="X1095">HLOOKUP($J1095,'Type Chart'!$C$2:$T$20,5,false)*HLOOKUP($K1095,'Type Chart'!$C$2:$U$20,5,false)</f>
        <v>1</v>
      </c>
      <c r="Y1095" s="960">
        <f t="array" ref="Y1095">HLOOKUP($J1095,'Type Chart'!$C$2:$T$20,6,false)*HLOOKUP($K1095,'Type Chart'!$C$2:$U$20,6,false)</f>
        <v>1</v>
      </c>
      <c r="Z1095" s="960">
        <f t="array" ref="Z1095">HLOOKUP($J1095,'Type Chart'!$C$2:$T$20,7,false)*HLOOKUP($K1095,'Type Chart'!$C$2:$U$20,7,false)</f>
        <v>2</v>
      </c>
      <c r="AA1095" s="960">
        <f t="array" ref="AA1095">HLOOKUP($J1095,'Type Chart'!$C$2:$T$20,8,false)*HLOOKUP($K1095,'Type Chart'!$C$2:$U$20,8,false)</f>
        <v>1</v>
      </c>
      <c r="AB1095" s="960">
        <f t="array" ref="AB1095">HLOOKUP($J1095,'Type Chart'!$C$2:$T$20,9,false)*HLOOKUP($K1095,'Type Chart'!$C$2:$U$20,9,false)</f>
        <v>1</v>
      </c>
      <c r="AC1095" s="960">
        <f t="array" ref="AC1095">HLOOKUP($J1095,'Type Chart'!$C$2:$T$20,10,false)*HLOOKUP($K1095,'Type Chart'!$C$2:$U$20,10,false)</f>
        <v>2</v>
      </c>
      <c r="AD1095" s="960">
        <f t="array" ref="AD1095">HLOOKUP($J1095,'Type Chart'!$C$2:$T$20,11,false)*HLOOKUP($K1095,'Type Chart'!$C$2:$U$20,11,false)</f>
        <v>2</v>
      </c>
      <c r="AE1095" s="960">
        <f t="array" ref="AE1095">HLOOKUP($J1095,'Type Chart'!$C$2:$T$20,12,false)*HLOOKUP($K1095,'Type Chart'!$C$2:$U$20,12,false)</f>
        <v>1</v>
      </c>
      <c r="AF1095" s="960">
        <f t="array" ref="AF1095">HLOOKUP($J1095,'Type Chart'!$C$2:$T$20,13,false)*HLOOKUP($K1095,'Type Chart'!$C$2:$U$20,13,false)</f>
        <v>1</v>
      </c>
      <c r="AG1095" s="960">
        <f t="array" ref="AG1095">HLOOKUP($J1095,'Type Chart'!$C$2:$T$20,14,false)*HLOOKUP($K1095,'Type Chart'!$C$2:$U$20,14,false)</f>
        <v>1</v>
      </c>
      <c r="AH1095" s="960">
        <f t="array" ref="AH1095">HLOOKUP($J1095,'Type Chart'!$C$2:$T$20,15,false)*HLOOKUP($K1095,'Type Chart'!$C$2:$U$20,15,false)</f>
        <v>1</v>
      </c>
      <c r="AI1095" s="960">
        <f t="array" ref="AI1095">HLOOKUP($J1095,'Type Chart'!$C$2:$T$20,16,false)*HLOOKUP($K1095,'Type Chart'!$C$2:$U$20,16,false)</f>
        <v>0.5</v>
      </c>
      <c r="AJ1095" s="960">
        <f t="array" ref="AJ1095">HLOOKUP($J1095,'Type Chart'!$C$2:$T$20,17,false)*HLOOKUP($K1095,'Type Chart'!$C$2:$U$20,17,false)</f>
        <v>1</v>
      </c>
      <c r="AK1095" s="960">
        <f t="array" ref="AK1095">HLOOKUP($J1095,'Type Chart'!$C$2:$T$20,18,false)*HLOOKUP($K1095,'Type Chart'!$C$2:$U$20,18,false)</f>
        <v>1</v>
      </c>
      <c r="AL1095" s="960">
        <f t="array" ref="AL1095">HLOOKUP($J1095,'Type Chart'!$C$2:$T$20,19,false)*HLOOKUP($K1095,'Type Chart'!$C$2:$U$20,19,false)</f>
        <v>1</v>
      </c>
      <c r="AM1095" s="964" t="s">
        <v>4041</v>
      </c>
      <c r="AN1095" s="965"/>
      <c r="AO1095" s="966"/>
      <c r="AP1095" s="936"/>
      <c r="AQ1095" s="967"/>
      <c r="AR1095" s="968"/>
      <c r="AS1095" s="936"/>
    </row>
    <row r="1096" ht="15.75" customHeight="1">
      <c r="A1096" s="936"/>
      <c r="B1096" s="948" t="s">
        <v>4045</v>
      </c>
      <c r="C1096" s="950" t="s">
        <v>4046</v>
      </c>
      <c r="D1096" s="950" t="s">
        <v>4046</v>
      </c>
      <c r="E1096" s="952" t="s">
        <v>4047</v>
      </c>
      <c r="F1096" s="940"/>
      <c r="G1096" s="953"/>
      <c r="H1096" s="969"/>
      <c r="I1096" s="956" t="s">
        <v>4048</v>
      </c>
      <c r="J1096" s="1203" t="s">
        <v>344</v>
      </c>
      <c r="K1096" s="1194" t="s">
        <v>136</v>
      </c>
      <c r="L1096" s="959">
        <v>60.0</v>
      </c>
      <c r="M1096" s="960">
        <v>65.0</v>
      </c>
      <c r="N1096" s="960">
        <v>55.0</v>
      </c>
      <c r="O1096" s="960">
        <v>105.0</v>
      </c>
      <c r="P1096" s="960">
        <v>95.0</v>
      </c>
      <c r="Q1096" s="960">
        <v>95.0</v>
      </c>
      <c r="R1096" s="960">
        <v>226.0</v>
      </c>
      <c r="S1096" s="960">
        <v>289.0</v>
      </c>
      <c r="T1096" s="960">
        <v>317.0</v>
      </c>
      <c r="U1096" s="960">
        <f t="array" ref="U1096">HLOOKUP($J1096,'Type Chart'!$C$2:$T$20,2,false)*HLOOKUP($K1096,'Type Chart'!$C$2:$U$20,2,false)</f>
        <v>1</v>
      </c>
      <c r="V1096" s="960">
        <f t="array" ref="V1096">HLOOKUP($J1096,'Type Chart'!$C$2:$T$20,3,false)*HLOOKUP($K1096,'Type Chart'!$C$2:$U$20,3,false)</f>
        <v>1</v>
      </c>
      <c r="W1096" s="960">
        <f t="array" ref="W1096">HLOOKUP($J1096,'Type Chart'!$C$2:$T$20,4,false)*HLOOKUP($K1096,'Type Chart'!$C$2:$U$20,4,false)</f>
        <v>1</v>
      </c>
      <c r="X1096" s="960">
        <f t="array" ref="X1096">HLOOKUP($J1096,'Type Chart'!$C$2:$T$20,5,false)*HLOOKUP($K1096,'Type Chart'!$C$2:$U$20,5,false)</f>
        <v>1</v>
      </c>
      <c r="Y1096" s="960">
        <f t="array" ref="Y1096">HLOOKUP($J1096,'Type Chart'!$C$2:$T$20,6,false)*HLOOKUP($K1096,'Type Chart'!$C$2:$U$20,6,false)</f>
        <v>1</v>
      </c>
      <c r="Z1096" s="960">
        <f t="array" ref="Z1096">HLOOKUP($J1096,'Type Chart'!$C$2:$T$20,7,false)*HLOOKUP($K1096,'Type Chart'!$C$2:$U$20,7,false)</f>
        <v>1</v>
      </c>
      <c r="AA1096" s="960">
        <f t="array" ref="AA1096">HLOOKUP($J1096,'Type Chart'!$C$2:$T$20,8,false)*HLOOKUP($K1096,'Type Chart'!$C$2:$U$20,8,false)</f>
        <v>2</v>
      </c>
      <c r="AB1096" s="960">
        <f t="array" ref="AB1096">HLOOKUP($J1096,'Type Chart'!$C$2:$T$20,9,false)*HLOOKUP($K1096,'Type Chart'!$C$2:$U$20,9,false)</f>
        <v>0</v>
      </c>
      <c r="AC1096" s="960">
        <f t="array" ref="AC1096">HLOOKUP($J1096,'Type Chart'!$C$2:$T$20,10,false)*HLOOKUP($K1096,'Type Chart'!$C$2:$U$20,10,false)</f>
        <v>1</v>
      </c>
      <c r="AD1096" s="960">
        <f t="array" ref="AD1096">HLOOKUP($J1096,'Type Chart'!$C$2:$T$20,11,false)*HLOOKUP($K1096,'Type Chart'!$C$2:$U$20,11,false)</f>
        <v>1</v>
      </c>
      <c r="AE1096" s="960">
        <f t="array" ref="AE1096">HLOOKUP($J1096,'Type Chart'!$C$2:$T$20,12,false)*HLOOKUP($K1096,'Type Chart'!$C$2:$U$20,12,false)</f>
        <v>1</v>
      </c>
      <c r="AF1096" s="960">
        <f t="array" ref="AF1096">HLOOKUP($J1096,'Type Chart'!$C$2:$T$20,13,false)*HLOOKUP($K1096,'Type Chart'!$C$2:$U$20,13,false)</f>
        <v>1</v>
      </c>
      <c r="AG1096" s="960">
        <f t="array" ref="AG1096">HLOOKUP($J1096,'Type Chart'!$C$2:$T$20,14,false)*HLOOKUP($K1096,'Type Chart'!$C$2:$U$20,14,false)</f>
        <v>1</v>
      </c>
      <c r="AH1096" s="960">
        <f t="array" ref="AH1096">HLOOKUP($J1096,'Type Chart'!$C$2:$T$20,15,false)*HLOOKUP($K1096,'Type Chart'!$C$2:$U$20,15,false)</f>
        <v>0.5</v>
      </c>
      <c r="AI1096" s="960">
        <f t="array" ref="AI1096">HLOOKUP($J1096,'Type Chart'!$C$2:$T$20,16,false)*HLOOKUP($K1096,'Type Chart'!$C$2:$U$20,16,false)</f>
        <v>1</v>
      </c>
      <c r="AJ1096" s="960">
        <f t="array" ref="AJ1096">HLOOKUP($J1096,'Type Chart'!$C$2:$T$20,17,false)*HLOOKUP($K1096,'Type Chart'!$C$2:$U$20,17,false)</f>
        <v>1</v>
      </c>
      <c r="AK1096" s="960">
        <f t="array" ref="AK1096">HLOOKUP($J1096,'Type Chart'!$C$2:$T$20,18,false)*HLOOKUP($K1096,'Type Chart'!$C$2:$U$20,18,false)</f>
        <v>2</v>
      </c>
      <c r="AL1096" s="960">
        <f t="array" ref="AL1096">HLOOKUP($J1096,'Type Chart'!$C$2:$T$20,19,false)*HLOOKUP($K1096,'Type Chart'!$C$2:$U$20,19,false)</f>
        <v>1</v>
      </c>
      <c r="AM1096" s="964" t="s">
        <v>1192</v>
      </c>
      <c r="AN1096" s="964" t="s">
        <v>1292</v>
      </c>
      <c r="AO1096" s="966" t="s">
        <v>3763</v>
      </c>
      <c r="AP1096" s="936"/>
      <c r="AQ1096" s="967"/>
      <c r="AR1096" s="968"/>
      <c r="AS1096" s="936"/>
    </row>
    <row r="1097" ht="15.75" customHeight="1">
      <c r="A1097" s="936"/>
      <c r="B1097" s="948" t="s">
        <v>4049</v>
      </c>
      <c r="C1097" s="950" t="s">
        <v>4050</v>
      </c>
      <c r="D1097" s="950" t="s">
        <v>4050</v>
      </c>
      <c r="E1097" s="952" t="s">
        <v>4051</v>
      </c>
      <c r="F1097" s="940"/>
      <c r="G1097" s="953"/>
      <c r="H1097" s="969"/>
      <c r="I1097" s="956" t="s">
        <v>626</v>
      </c>
      <c r="J1097" s="1203" t="s">
        <v>344</v>
      </c>
      <c r="K1097" s="1194" t="s">
        <v>136</v>
      </c>
      <c r="L1097" s="959">
        <v>70.0</v>
      </c>
      <c r="M1097" s="960">
        <v>55.0</v>
      </c>
      <c r="N1097" s="960">
        <v>65.0</v>
      </c>
      <c r="O1097" s="960">
        <v>95.0</v>
      </c>
      <c r="P1097" s="960">
        <v>105.0</v>
      </c>
      <c r="Q1097" s="960">
        <v>85.0</v>
      </c>
      <c r="R1097" s="960">
        <v>206.0</v>
      </c>
      <c r="S1097" s="960">
        <v>269.0</v>
      </c>
      <c r="T1097" s="960">
        <v>295.0</v>
      </c>
      <c r="U1097" s="960">
        <f t="array" ref="U1097">HLOOKUP($J1097,'Type Chart'!$C$2:$T$20,2,false)*HLOOKUP($K1097,'Type Chart'!$C$2:$U$20,2,false)</f>
        <v>1</v>
      </c>
      <c r="V1097" s="960">
        <f t="array" ref="V1097">HLOOKUP($J1097,'Type Chart'!$C$2:$T$20,3,false)*HLOOKUP($K1097,'Type Chart'!$C$2:$U$20,3,false)</f>
        <v>1</v>
      </c>
      <c r="W1097" s="960">
        <f t="array" ref="W1097">HLOOKUP($J1097,'Type Chart'!$C$2:$T$20,4,false)*HLOOKUP($K1097,'Type Chart'!$C$2:$U$20,4,false)</f>
        <v>1</v>
      </c>
      <c r="X1097" s="960">
        <f t="array" ref="X1097">HLOOKUP($J1097,'Type Chart'!$C$2:$T$20,5,false)*HLOOKUP($K1097,'Type Chart'!$C$2:$U$20,5,false)</f>
        <v>1</v>
      </c>
      <c r="Y1097" s="960">
        <f t="array" ref="Y1097">HLOOKUP($J1097,'Type Chart'!$C$2:$T$20,6,false)*HLOOKUP($K1097,'Type Chart'!$C$2:$U$20,6,false)</f>
        <v>1</v>
      </c>
      <c r="Z1097" s="960">
        <f t="array" ref="Z1097">HLOOKUP($J1097,'Type Chart'!$C$2:$T$20,7,false)*HLOOKUP($K1097,'Type Chart'!$C$2:$U$20,7,false)</f>
        <v>1</v>
      </c>
      <c r="AA1097" s="960">
        <f t="array" ref="AA1097">HLOOKUP($J1097,'Type Chart'!$C$2:$T$20,8,false)*HLOOKUP($K1097,'Type Chart'!$C$2:$U$20,8,false)</f>
        <v>2</v>
      </c>
      <c r="AB1097" s="960">
        <f t="array" ref="AB1097">HLOOKUP($J1097,'Type Chart'!$C$2:$T$20,9,false)*HLOOKUP($K1097,'Type Chart'!$C$2:$U$20,9,false)</f>
        <v>0</v>
      </c>
      <c r="AC1097" s="960">
        <f t="array" ref="AC1097">HLOOKUP($J1097,'Type Chart'!$C$2:$T$20,10,false)*HLOOKUP($K1097,'Type Chart'!$C$2:$U$20,10,false)</f>
        <v>1</v>
      </c>
      <c r="AD1097" s="960">
        <f t="array" ref="AD1097">HLOOKUP($J1097,'Type Chart'!$C$2:$T$20,11,false)*HLOOKUP($K1097,'Type Chart'!$C$2:$U$20,11,false)</f>
        <v>1</v>
      </c>
      <c r="AE1097" s="960">
        <f t="array" ref="AE1097">HLOOKUP($J1097,'Type Chart'!$C$2:$T$20,12,false)*HLOOKUP($K1097,'Type Chart'!$C$2:$U$20,12,false)</f>
        <v>1</v>
      </c>
      <c r="AF1097" s="960">
        <f t="array" ref="AF1097">HLOOKUP($J1097,'Type Chart'!$C$2:$T$20,13,false)*HLOOKUP($K1097,'Type Chart'!$C$2:$U$20,13,false)</f>
        <v>1</v>
      </c>
      <c r="AG1097" s="960">
        <f t="array" ref="AG1097">HLOOKUP($J1097,'Type Chart'!$C$2:$T$20,14,false)*HLOOKUP($K1097,'Type Chart'!$C$2:$U$20,14,false)</f>
        <v>1</v>
      </c>
      <c r="AH1097" s="960">
        <f t="array" ref="AH1097">HLOOKUP($J1097,'Type Chart'!$C$2:$T$20,15,false)*HLOOKUP($K1097,'Type Chart'!$C$2:$U$20,15,false)</f>
        <v>0.5</v>
      </c>
      <c r="AI1097" s="960">
        <f t="array" ref="AI1097">HLOOKUP($J1097,'Type Chart'!$C$2:$T$20,16,false)*HLOOKUP($K1097,'Type Chart'!$C$2:$U$20,16,false)</f>
        <v>1</v>
      </c>
      <c r="AJ1097" s="960">
        <f t="array" ref="AJ1097">HLOOKUP($J1097,'Type Chart'!$C$2:$T$20,17,false)*HLOOKUP($K1097,'Type Chart'!$C$2:$U$20,17,false)</f>
        <v>1</v>
      </c>
      <c r="AK1097" s="960">
        <f t="array" ref="AK1097">HLOOKUP($J1097,'Type Chart'!$C$2:$T$20,18,false)*HLOOKUP($K1097,'Type Chart'!$C$2:$U$20,18,false)</f>
        <v>2</v>
      </c>
      <c r="AL1097" s="960">
        <f t="array" ref="AL1097">HLOOKUP($J1097,'Type Chart'!$C$2:$T$20,19,false)*HLOOKUP($K1097,'Type Chart'!$C$2:$U$20,19,false)</f>
        <v>1</v>
      </c>
      <c r="AM1097" s="964" t="s">
        <v>1370</v>
      </c>
      <c r="AN1097" s="964" t="s">
        <v>1292</v>
      </c>
      <c r="AO1097" s="966" t="s">
        <v>3763</v>
      </c>
      <c r="AP1097" s="936"/>
      <c r="AQ1097" s="967"/>
      <c r="AR1097" s="968"/>
      <c r="AS1097" s="936"/>
    </row>
    <row r="1098" ht="15.75" customHeight="1">
      <c r="A1098" s="936"/>
      <c r="B1098" s="948" t="s">
        <v>4052</v>
      </c>
      <c r="C1098" s="950" t="s">
        <v>4053</v>
      </c>
      <c r="D1098" s="950" t="s">
        <v>4053</v>
      </c>
      <c r="E1098" s="952" t="s">
        <v>4053</v>
      </c>
      <c r="F1098" s="940"/>
      <c r="G1098" s="953"/>
      <c r="H1098" s="969"/>
      <c r="I1098" s="956" t="s">
        <v>732</v>
      </c>
      <c r="J1098" s="1196" t="s">
        <v>203</v>
      </c>
      <c r="K1098" s="1195" t="s">
        <v>193</v>
      </c>
      <c r="L1098" s="959">
        <v>58.0</v>
      </c>
      <c r="M1098" s="960">
        <v>95.0</v>
      </c>
      <c r="N1098" s="960">
        <v>58.0</v>
      </c>
      <c r="O1098" s="960">
        <v>70.0</v>
      </c>
      <c r="P1098" s="960">
        <v>58.0</v>
      </c>
      <c r="Q1098" s="960">
        <v>97.0</v>
      </c>
      <c r="R1098" s="960">
        <v>230.0</v>
      </c>
      <c r="S1098" s="960">
        <v>293.0</v>
      </c>
      <c r="T1098" s="960">
        <v>322.0</v>
      </c>
      <c r="U1098" s="960">
        <f t="array" ref="U1098">HLOOKUP($J1098,'Type Chart'!$C$2:$T$20,2,false)*HLOOKUP($K1098,'Type Chart'!$C$2:$U$20,2,false)</f>
        <v>1</v>
      </c>
      <c r="V1098" s="960">
        <f t="array" ref="V1098">HLOOKUP($J1098,'Type Chart'!$C$2:$T$20,3,false)*HLOOKUP($K1098,'Type Chart'!$C$2:$U$20,3,false)</f>
        <v>2</v>
      </c>
      <c r="W1098" s="960">
        <f t="array" ref="W1098">HLOOKUP($J1098,'Type Chart'!$C$2:$T$20,4,false)*HLOOKUP($K1098,'Type Chart'!$C$2:$U$20,4,false)</f>
        <v>0.5</v>
      </c>
      <c r="X1098" s="960">
        <f t="array" ref="X1098">HLOOKUP($J1098,'Type Chart'!$C$2:$T$20,5,false)*HLOOKUP($K1098,'Type Chart'!$C$2:$U$20,5,false)</f>
        <v>1</v>
      </c>
      <c r="Y1098" s="960">
        <f t="array" ref="Y1098">HLOOKUP($J1098,'Type Chart'!$C$2:$T$20,6,false)*HLOOKUP($K1098,'Type Chart'!$C$2:$U$20,6,false)</f>
        <v>2</v>
      </c>
      <c r="Z1098" s="960">
        <f t="array" ref="Z1098">HLOOKUP($J1098,'Type Chart'!$C$2:$T$20,7,false)*HLOOKUP($K1098,'Type Chart'!$C$2:$U$20,7,false)</f>
        <v>1</v>
      </c>
      <c r="AA1098" s="960">
        <f t="array" ref="AA1098">HLOOKUP($J1098,'Type Chart'!$C$2:$T$20,8,false)*HLOOKUP($K1098,'Type Chart'!$C$2:$U$20,8,false)</f>
        <v>2</v>
      </c>
      <c r="AB1098" s="960">
        <f t="array" ref="AB1098">HLOOKUP($J1098,'Type Chart'!$C$2:$T$20,9,false)*HLOOKUP($K1098,'Type Chart'!$C$2:$U$20,9,false)</f>
        <v>0.5</v>
      </c>
      <c r="AC1098" s="960">
        <f t="array" ref="AC1098">HLOOKUP($J1098,'Type Chart'!$C$2:$T$20,10,false)*HLOOKUP($K1098,'Type Chart'!$C$2:$U$20,10,false)</f>
        <v>0.5</v>
      </c>
      <c r="AD1098" s="960">
        <f t="array" ref="AD1098">HLOOKUP($J1098,'Type Chart'!$C$2:$T$20,11,false)*HLOOKUP($K1098,'Type Chart'!$C$2:$U$20,11,false)</f>
        <v>1</v>
      </c>
      <c r="AE1098" s="960">
        <f t="array" ref="AE1098">HLOOKUP($J1098,'Type Chart'!$C$2:$T$20,12,false)*HLOOKUP($K1098,'Type Chart'!$C$2:$U$20,12,false)</f>
        <v>1</v>
      </c>
      <c r="AF1098" s="960">
        <f t="array" ref="AF1098">HLOOKUP($J1098,'Type Chart'!$C$2:$T$20,13,false)*HLOOKUP($K1098,'Type Chart'!$C$2:$U$20,13,false)</f>
        <v>1</v>
      </c>
      <c r="AG1098" s="960">
        <f t="array" ref="AG1098">HLOOKUP($J1098,'Type Chart'!$C$2:$T$20,14,false)*HLOOKUP($K1098,'Type Chart'!$C$2:$U$20,14,false)</f>
        <v>0.5</v>
      </c>
      <c r="AH1098" s="960">
        <f t="array" ref="AH1098">HLOOKUP($J1098,'Type Chart'!$C$2:$T$20,15,false)*HLOOKUP($K1098,'Type Chart'!$C$2:$U$20,15,false)</f>
        <v>0</v>
      </c>
      <c r="AI1098" s="960">
        <f t="array" ref="AI1098">HLOOKUP($J1098,'Type Chart'!$C$2:$T$20,16,false)*HLOOKUP($K1098,'Type Chart'!$C$2:$U$20,16,false)</f>
        <v>1</v>
      </c>
      <c r="AJ1098" s="960">
        <f t="array" ref="AJ1098">HLOOKUP($J1098,'Type Chart'!$C$2:$T$20,17,false)*HLOOKUP($K1098,'Type Chart'!$C$2:$U$20,17,false)</f>
        <v>1</v>
      </c>
      <c r="AK1098" s="960">
        <f t="array" ref="AK1098">HLOOKUP($J1098,'Type Chart'!$C$2:$T$20,18,false)*HLOOKUP($K1098,'Type Chart'!$C$2:$U$20,18,false)</f>
        <v>0.5</v>
      </c>
      <c r="AL1098" s="960">
        <f t="array" ref="AL1098">HLOOKUP($J1098,'Type Chart'!$C$2:$T$20,19,false)*HLOOKUP($K1098,'Type Chart'!$C$2:$U$20,19,false)</f>
        <v>2</v>
      </c>
      <c r="AM1098" s="964" t="s">
        <v>4054</v>
      </c>
      <c r="AN1098" s="965"/>
      <c r="AO1098" s="966"/>
      <c r="AP1098" s="936"/>
      <c r="AQ1098" s="967"/>
      <c r="AR1098" s="968"/>
      <c r="AS1098" s="936"/>
    </row>
    <row r="1099" ht="15.75" customHeight="1">
      <c r="A1099" s="1099"/>
      <c r="B1099" s="948" t="s">
        <v>4055</v>
      </c>
      <c r="C1099" s="950" t="s">
        <v>4056</v>
      </c>
      <c r="D1099" s="950" t="s">
        <v>4056</v>
      </c>
      <c r="E1099" s="952" t="s">
        <v>4056</v>
      </c>
      <c r="F1099" s="940"/>
      <c r="G1099" s="953"/>
      <c r="H1099" s="969"/>
      <c r="I1099" s="956" t="s">
        <v>4057</v>
      </c>
      <c r="J1099" s="1196" t="s">
        <v>203</v>
      </c>
      <c r="K1099" s="1195" t="s">
        <v>193</v>
      </c>
      <c r="L1099" s="959">
        <v>58.0</v>
      </c>
      <c r="M1099" s="960">
        <v>95.0</v>
      </c>
      <c r="N1099" s="960">
        <v>58.0</v>
      </c>
      <c r="O1099" s="960">
        <v>70.0</v>
      </c>
      <c r="P1099" s="960">
        <v>58.0</v>
      </c>
      <c r="Q1099" s="960">
        <v>97.0</v>
      </c>
      <c r="R1099" s="960">
        <v>230.0</v>
      </c>
      <c r="S1099" s="960">
        <v>293.0</v>
      </c>
      <c r="T1099" s="960">
        <v>322.0</v>
      </c>
      <c r="U1099" s="960">
        <f t="array" ref="U1099">HLOOKUP($J1099,'Type Chart'!$C$2:$T$20,2,false)*HLOOKUP($K1099,'Type Chart'!$C$2:$U$20,2,false)</f>
        <v>1</v>
      </c>
      <c r="V1099" s="960">
        <f t="array" ref="V1099">HLOOKUP($J1099,'Type Chart'!$C$2:$T$20,3,false)*HLOOKUP($K1099,'Type Chart'!$C$2:$U$20,3,false)</f>
        <v>2</v>
      </c>
      <c r="W1099" s="960">
        <f t="array" ref="W1099">HLOOKUP($J1099,'Type Chart'!$C$2:$T$20,4,false)*HLOOKUP($K1099,'Type Chart'!$C$2:$U$20,4,false)</f>
        <v>0.5</v>
      </c>
      <c r="X1099" s="960">
        <f t="array" ref="X1099">HLOOKUP($J1099,'Type Chart'!$C$2:$T$20,5,false)*HLOOKUP($K1099,'Type Chart'!$C$2:$U$20,5,false)</f>
        <v>1</v>
      </c>
      <c r="Y1099" s="960">
        <f t="array" ref="Y1099">HLOOKUP($J1099,'Type Chart'!$C$2:$T$20,6,false)*HLOOKUP($K1099,'Type Chart'!$C$2:$U$20,6,false)</f>
        <v>2</v>
      </c>
      <c r="Z1099" s="960">
        <f t="array" ref="Z1099">HLOOKUP($J1099,'Type Chart'!$C$2:$T$20,7,false)*HLOOKUP($K1099,'Type Chart'!$C$2:$U$20,7,false)</f>
        <v>1</v>
      </c>
      <c r="AA1099" s="960">
        <f t="array" ref="AA1099">HLOOKUP($J1099,'Type Chart'!$C$2:$T$20,8,false)*HLOOKUP($K1099,'Type Chart'!$C$2:$U$20,8,false)</f>
        <v>2</v>
      </c>
      <c r="AB1099" s="960">
        <f t="array" ref="AB1099">HLOOKUP($J1099,'Type Chart'!$C$2:$T$20,9,false)*HLOOKUP($K1099,'Type Chart'!$C$2:$U$20,9,false)</f>
        <v>0.5</v>
      </c>
      <c r="AC1099" s="960">
        <f t="array" ref="AC1099">HLOOKUP($J1099,'Type Chart'!$C$2:$T$20,10,false)*HLOOKUP($K1099,'Type Chart'!$C$2:$U$20,10,false)</f>
        <v>0.5</v>
      </c>
      <c r="AD1099" s="960">
        <f t="array" ref="AD1099">HLOOKUP($J1099,'Type Chart'!$C$2:$T$20,11,false)*HLOOKUP($K1099,'Type Chart'!$C$2:$U$20,11,false)</f>
        <v>1</v>
      </c>
      <c r="AE1099" s="960">
        <f t="array" ref="AE1099">HLOOKUP($J1099,'Type Chart'!$C$2:$T$20,12,false)*HLOOKUP($K1099,'Type Chart'!$C$2:$U$20,12,false)</f>
        <v>1</v>
      </c>
      <c r="AF1099" s="960">
        <f t="array" ref="AF1099">HLOOKUP($J1099,'Type Chart'!$C$2:$T$20,13,false)*HLOOKUP($K1099,'Type Chart'!$C$2:$U$20,13,false)</f>
        <v>1</v>
      </c>
      <c r="AG1099" s="960">
        <f t="array" ref="AG1099">HLOOKUP($J1099,'Type Chart'!$C$2:$T$20,14,false)*HLOOKUP($K1099,'Type Chart'!$C$2:$U$20,14,false)</f>
        <v>0.5</v>
      </c>
      <c r="AH1099" s="960">
        <f t="array" ref="AH1099">HLOOKUP($J1099,'Type Chart'!$C$2:$T$20,15,false)*HLOOKUP($K1099,'Type Chart'!$C$2:$U$20,15,false)</f>
        <v>0</v>
      </c>
      <c r="AI1099" s="960">
        <f t="array" ref="AI1099">HLOOKUP($J1099,'Type Chart'!$C$2:$T$20,16,false)*HLOOKUP($K1099,'Type Chart'!$C$2:$U$20,16,false)</f>
        <v>1</v>
      </c>
      <c r="AJ1099" s="960">
        <f t="array" ref="AJ1099">HLOOKUP($J1099,'Type Chart'!$C$2:$T$20,17,false)*HLOOKUP($K1099,'Type Chart'!$C$2:$U$20,17,false)</f>
        <v>1</v>
      </c>
      <c r="AK1099" s="960">
        <f t="array" ref="AK1099">HLOOKUP($J1099,'Type Chart'!$C$2:$T$20,18,false)*HLOOKUP($K1099,'Type Chart'!$C$2:$U$20,18,false)</f>
        <v>0.5</v>
      </c>
      <c r="AL1099" s="960">
        <f t="array" ref="AL1099">HLOOKUP($J1099,'Type Chart'!$C$2:$T$20,19,false)*HLOOKUP($K1099,'Type Chart'!$C$2:$U$20,19,false)</f>
        <v>2</v>
      </c>
      <c r="AM1099" s="1145" t="s">
        <v>4054</v>
      </c>
      <c r="AN1099" s="1202"/>
      <c r="AO1099" s="1146"/>
      <c r="AP1099" s="936"/>
      <c r="AQ1099" s="967"/>
      <c r="AR1099" s="968"/>
      <c r="AS1099" s="936"/>
    </row>
    <row r="1100" ht="15.75" customHeight="1">
      <c r="A1100" s="936"/>
      <c r="B1100" s="948" t="s">
        <v>4058</v>
      </c>
      <c r="C1100" s="950" t="s">
        <v>4059</v>
      </c>
      <c r="D1100" s="950" t="s">
        <v>4059</v>
      </c>
      <c r="E1100" s="952" t="s">
        <v>4059</v>
      </c>
      <c r="F1100" s="940"/>
      <c r="G1100" s="953"/>
      <c r="H1100" s="969"/>
      <c r="I1100" s="956" t="s">
        <v>4060</v>
      </c>
      <c r="J1100" s="1206" t="s">
        <v>82</v>
      </c>
      <c r="K1100" s="984" t="s">
        <v>216</v>
      </c>
      <c r="L1100" s="959">
        <v>72.0</v>
      </c>
      <c r="M1100" s="960">
        <v>80.0</v>
      </c>
      <c r="N1100" s="960">
        <v>49.0</v>
      </c>
      <c r="O1100" s="960">
        <v>40.0</v>
      </c>
      <c r="P1100" s="960">
        <v>49.0</v>
      </c>
      <c r="Q1100" s="960">
        <v>40.0</v>
      </c>
      <c r="R1100" s="960">
        <v>116.0</v>
      </c>
      <c r="S1100" s="960">
        <v>179.0</v>
      </c>
      <c r="T1100" s="960">
        <v>196.0</v>
      </c>
      <c r="U1100" s="960">
        <f t="array" ref="U1100">HLOOKUP($J1100,'Type Chart'!$C$2:$T$20,2,false)*HLOOKUP($K1100,'Type Chart'!$C$2:$U$20,2,false)</f>
        <v>0.5</v>
      </c>
      <c r="V1100" s="960">
        <f t="array" ref="V1100">HLOOKUP($J1100,'Type Chart'!$C$2:$T$20,3,false)*HLOOKUP($K1100,'Type Chart'!$C$2:$U$20,3,false)</f>
        <v>2</v>
      </c>
      <c r="W1100" s="960">
        <f t="array" ref="W1100">HLOOKUP($J1100,'Type Chart'!$C$2:$T$20,4,false)*HLOOKUP($K1100,'Type Chart'!$C$2:$U$20,4,false)</f>
        <v>0.5</v>
      </c>
      <c r="X1100" s="960">
        <f t="array" ref="X1100">HLOOKUP($J1100,'Type Chart'!$C$2:$T$20,5,false)*HLOOKUP($K1100,'Type Chart'!$C$2:$U$20,5,false)</f>
        <v>0</v>
      </c>
      <c r="Y1100" s="960">
        <f t="array" ref="Y1100">HLOOKUP($J1100,'Type Chart'!$C$2:$T$20,6,false)*HLOOKUP($K1100,'Type Chart'!$C$2:$U$20,6,false)</f>
        <v>2</v>
      </c>
      <c r="Z1100" s="960">
        <f t="array" ref="Z1100">HLOOKUP($J1100,'Type Chart'!$C$2:$T$20,7,false)*HLOOKUP($K1100,'Type Chart'!$C$2:$U$20,7,false)</f>
        <v>0.5</v>
      </c>
      <c r="AA1100" s="960">
        <f t="array" ref="AA1100">HLOOKUP($J1100,'Type Chart'!$C$2:$T$20,8,false)*HLOOKUP($K1100,'Type Chart'!$C$2:$U$20,8,false)</f>
        <v>0.5</v>
      </c>
      <c r="AB1100" s="960">
        <f t="array" ref="AB1100">HLOOKUP($J1100,'Type Chart'!$C$2:$T$20,9,false)*HLOOKUP($K1100,'Type Chart'!$C$2:$U$20,9,false)</f>
        <v>1</v>
      </c>
      <c r="AC1100" s="960">
        <f t="array" ref="AC1100">HLOOKUP($J1100,'Type Chart'!$C$2:$T$20,10,false)*HLOOKUP($K1100,'Type Chart'!$C$2:$U$20,10,false)</f>
        <v>0.5</v>
      </c>
      <c r="AD1100" s="960">
        <f t="array" ref="AD1100">HLOOKUP($J1100,'Type Chart'!$C$2:$T$20,11,false)*HLOOKUP($K1100,'Type Chart'!$C$2:$U$20,11,false)</f>
        <v>2</v>
      </c>
      <c r="AE1100" s="960">
        <f t="array" ref="AE1100">HLOOKUP($J1100,'Type Chart'!$C$2:$T$20,12,false)*HLOOKUP($K1100,'Type Chart'!$C$2:$U$20,12,false)</f>
        <v>1</v>
      </c>
      <c r="AF1100" s="960">
        <f t="array" ref="AF1100">HLOOKUP($J1100,'Type Chart'!$C$2:$T$20,13,false)*HLOOKUP($K1100,'Type Chart'!$C$2:$U$20,13,false)</f>
        <v>0.5</v>
      </c>
      <c r="AG1100" s="960">
        <f t="array" ref="AG1100">HLOOKUP($J1100,'Type Chart'!$C$2:$T$20,14,false)*HLOOKUP($K1100,'Type Chart'!$C$2:$U$20,14,false)</f>
        <v>1</v>
      </c>
      <c r="AH1100" s="960">
        <f t="array" ref="AH1100">HLOOKUP($J1100,'Type Chart'!$C$2:$T$20,15,false)*HLOOKUP($K1100,'Type Chart'!$C$2:$U$20,15,false)</f>
        <v>0.5</v>
      </c>
      <c r="AI1100" s="960">
        <f t="array" ref="AI1100">HLOOKUP($J1100,'Type Chart'!$C$2:$T$20,16,false)*HLOOKUP($K1100,'Type Chart'!$C$2:$U$20,16,false)</f>
        <v>0.5</v>
      </c>
      <c r="AJ1100" s="960">
        <f t="array" ref="AJ1100">HLOOKUP($J1100,'Type Chart'!$C$2:$T$20,17,false)*HLOOKUP($K1100,'Type Chart'!$C$2:$U$20,17,false)</f>
        <v>0.5</v>
      </c>
      <c r="AK1100" s="960">
        <f t="array" ref="AK1100">HLOOKUP($J1100,'Type Chart'!$C$2:$T$20,18,false)*HLOOKUP($K1100,'Type Chart'!$C$2:$U$20,18,false)</f>
        <v>1</v>
      </c>
      <c r="AL1100" s="960">
        <f t="array" ref="AL1100">HLOOKUP($J1100,'Type Chart'!$C$2:$T$20,19,false)*HLOOKUP($K1100,'Type Chart'!$C$2:$U$20,19,false)</f>
        <v>0.5</v>
      </c>
      <c r="AM1100" s="964" t="s">
        <v>1153</v>
      </c>
      <c r="AN1100" s="965"/>
      <c r="AO1100" s="966" t="s">
        <v>2151</v>
      </c>
      <c r="AP1100" s="936"/>
      <c r="AQ1100" s="967"/>
      <c r="AR1100" s="968"/>
      <c r="AS1100" s="936"/>
    </row>
    <row r="1101" ht="15.75" customHeight="1">
      <c r="A1101" s="936"/>
      <c r="B1101" s="948" t="s">
        <v>4061</v>
      </c>
      <c r="C1101" s="950" t="s">
        <v>4062</v>
      </c>
      <c r="D1101" s="950" t="s">
        <v>4062</v>
      </c>
      <c r="E1101" s="952" t="s">
        <v>4062</v>
      </c>
      <c r="F1101" s="940"/>
      <c r="G1101" s="953"/>
      <c r="H1101" s="969"/>
      <c r="I1101" s="956" t="s">
        <v>560</v>
      </c>
      <c r="J1101" s="1206" t="s">
        <v>82</v>
      </c>
      <c r="K1101" s="984" t="s">
        <v>216</v>
      </c>
      <c r="L1101" s="959">
        <v>122.0</v>
      </c>
      <c r="M1101" s="960">
        <v>130.0</v>
      </c>
      <c r="N1101" s="960">
        <v>69.0</v>
      </c>
      <c r="O1101" s="960">
        <v>80.0</v>
      </c>
      <c r="P1101" s="960">
        <v>69.0</v>
      </c>
      <c r="Q1101" s="960">
        <v>30.0</v>
      </c>
      <c r="R1101" s="960">
        <v>96.0</v>
      </c>
      <c r="S1101" s="960">
        <v>159.0</v>
      </c>
      <c r="T1101" s="960">
        <v>174.0</v>
      </c>
      <c r="U1101" s="960">
        <f t="array" ref="U1101">HLOOKUP($J1101,'Type Chart'!$C$2:$T$20,2,false)*HLOOKUP($K1101,'Type Chart'!$C$2:$U$20,2,false)</f>
        <v>0.5</v>
      </c>
      <c r="V1101" s="960">
        <f t="array" ref="V1101">HLOOKUP($J1101,'Type Chart'!$C$2:$T$20,3,false)*HLOOKUP($K1101,'Type Chart'!$C$2:$U$20,3,false)</f>
        <v>2</v>
      </c>
      <c r="W1101" s="960">
        <f t="array" ref="W1101">HLOOKUP($J1101,'Type Chart'!$C$2:$T$20,4,false)*HLOOKUP($K1101,'Type Chart'!$C$2:$U$20,4,false)</f>
        <v>0.5</v>
      </c>
      <c r="X1101" s="960">
        <f t="array" ref="X1101">HLOOKUP($J1101,'Type Chart'!$C$2:$T$20,5,false)*HLOOKUP($K1101,'Type Chart'!$C$2:$U$20,5,false)</f>
        <v>0</v>
      </c>
      <c r="Y1101" s="960">
        <f t="array" ref="Y1101">HLOOKUP($J1101,'Type Chart'!$C$2:$T$20,6,false)*HLOOKUP($K1101,'Type Chart'!$C$2:$U$20,6,false)</f>
        <v>2</v>
      </c>
      <c r="Z1101" s="960">
        <f t="array" ref="Z1101">HLOOKUP($J1101,'Type Chart'!$C$2:$T$20,7,false)*HLOOKUP($K1101,'Type Chart'!$C$2:$U$20,7,false)</f>
        <v>0.5</v>
      </c>
      <c r="AA1101" s="960">
        <f t="array" ref="AA1101">HLOOKUP($J1101,'Type Chart'!$C$2:$T$20,8,false)*HLOOKUP($K1101,'Type Chart'!$C$2:$U$20,8,false)</f>
        <v>0.5</v>
      </c>
      <c r="AB1101" s="960">
        <f t="array" ref="AB1101">HLOOKUP($J1101,'Type Chart'!$C$2:$T$20,9,false)*HLOOKUP($K1101,'Type Chart'!$C$2:$U$20,9,false)</f>
        <v>1</v>
      </c>
      <c r="AC1101" s="960">
        <f t="array" ref="AC1101">HLOOKUP($J1101,'Type Chart'!$C$2:$T$20,10,false)*HLOOKUP($K1101,'Type Chart'!$C$2:$U$20,10,false)</f>
        <v>0.5</v>
      </c>
      <c r="AD1101" s="960">
        <f t="array" ref="AD1101">HLOOKUP($J1101,'Type Chart'!$C$2:$T$20,11,false)*HLOOKUP($K1101,'Type Chart'!$C$2:$U$20,11,false)</f>
        <v>2</v>
      </c>
      <c r="AE1101" s="960">
        <f t="array" ref="AE1101">HLOOKUP($J1101,'Type Chart'!$C$2:$T$20,12,false)*HLOOKUP($K1101,'Type Chart'!$C$2:$U$20,12,false)</f>
        <v>1</v>
      </c>
      <c r="AF1101" s="960">
        <f t="array" ref="AF1101">HLOOKUP($J1101,'Type Chart'!$C$2:$T$20,13,false)*HLOOKUP($K1101,'Type Chart'!$C$2:$U$20,13,false)</f>
        <v>0.5</v>
      </c>
      <c r="AG1101" s="960">
        <f t="array" ref="AG1101">HLOOKUP($J1101,'Type Chart'!$C$2:$T$20,14,false)*HLOOKUP($K1101,'Type Chart'!$C$2:$U$20,14,false)</f>
        <v>1</v>
      </c>
      <c r="AH1101" s="960">
        <f t="array" ref="AH1101">HLOOKUP($J1101,'Type Chart'!$C$2:$T$20,15,false)*HLOOKUP($K1101,'Type Chart'!$C$2:$U$20,15,false)</f>
        <v>0.5</v>
      </c>
      <c r="AI1101" s="960">
        <f t="array" ref="AI1101">HLOOKUP($J1101,'Type Chart'!$C$2:$T$20,16,false)*HLOOKUP($K1101,'Type Chart'!$C$2:$U$20,16,false)</f>
        <v>0.5</v>
      </c>
      <c r="AJ1101" s="960">
        <f t="array" ref="AJ1101">HLOOKUP($J1101,'Type Chart'!$C$2:$T$20,17,false)*HLOOKUP($K1101,'Type Chart'!$C$2:$U$20,17,false)</f>
        <v>0.5</v>
      </c>
      <c r="AK1101" s="960">
        <f t="array" ref="AK1101">HLOOKUP($J1101,'Type Chart'!$C$2:$T$20,18,false)*HLOOKUP($K1101,'Type Chart'!$C$2:$U$20,18,false)</f>
        <v>1</v>
      </c>
      <c r="AL1101" s="960">
        <f t="array" ref="AL1101">HLOOKUP($J1101,'Type Chart'!$C$2:$T$20,19,false)*HLOOKUP($K1101,'Type Chart'!$C$2:$U$20,19,false)</f>
        <v>0.5</v>
      </c>
      <c r="AM1101" s="964" t="s">
        <v>1153</v>
      </c>
      <c r="AN1101" s="965"/>
      <c r="AO1101" s="966" t="s">
        <v>2151</v>
      </c>
      <c r="AP1101" s="936"/>
      <c r="AQ1101" s="967"/>
      <c r="AR1101" s="968"/>
      <c r="AS1101" s="936"/>
    </row>
    <row r="1102" ht="15.75" customHeight="1">
      <c r="A1102" s="936"/>
      <c r="B1102" s="948" t="s">
        <v>4063</v>
      </c>
      <c r="C1102" s="950" t="s">
        <v>4064</v>
      </c>
      <c r="D1102" s="950" t="s">
        <v>4064</v>
      </c>
      <c r="E1102" s="952" t="s">
        <v>4064</v>
      </c>
      <c r="F1102" s="940"/>
      <c r="G1102" s="953"/>
      <c r="H1102" s="969"/>
      <c r="I1102" s="956" t="s">
        <v>4065</v>
      </c>
      <c r="J1102" s="1196" t="s">
        <v>203</v>
      </c>
      <c r="K1102" s="1006" t="s">
        <v>346</v>
      </c>
      <c r="L1102" s="959">
        <v>90.0</v>
      </c>
      <c r="M1102" s="960">
        <v>100.0</v>
      </c>
      <c r="N1102" s="960">
        <v>90.0</v>
      </c>
      <c r="O1102" s="960">
        <v>80.0</v>
      </c>
      <c r="P1102" s="960">
        <v>70.0</v>
      </c>
      <c r="Q1102" s="960">
        <v>75.0</v>
      </c>
      <c r="R1102" s="960">
        <v>186.0</v>
      </c>
      <c r="S1102" s="960">
        <v>249.0</v>
      </c>
      <c r="T1102" s="960">
        <v>273.0</v>
      </c>
      <c r="U1102" s="960">
        <f t="array" ref="U1102">HLOOKUP($J1102,'Type Chart'!$C$2:$T$20,2,false)*HLOOKUP($K1102,'Type Chart'!$C$2:$U$20,2,false)</f>
        <v>1</v>
      </c>
      <c r="V1102" s="960">
        <f t="array" ref="V1102">HLOOKUP($J1102,'Type Chart'!$C$2:$T$20,3,false)*HLOOKUP($K1102,'Type Chart'!$C$2:$U$20,3,false)</f>
        <v>1</v>
      </c>
      <c r="W1102" s="960">
        <f t="array" ref="W1102">HLOOKUP($J1102,'Type Chart'!$C$2:$T$20,4,false)*HLOOKUP($K1102,'Type Chart'!$C$2:$U$20,4,false)</f>
        <v>0.5</v>
      </c>
      <c r="X1102" s="960">
        <f t="array" ref="X1102">HLOOKUP($J1102,'Type Chart'!$C$2:$T$20,5,false)*HLOOKUP($K1102,'Type Chart'!$C$2:$U$20,5,false)</f>
        <v>1</v>
      </c>
      <c r="Y1102" s="960">
        <f t="array" ref="Y1102">HLOOKUP($J1102,'Type Chart'!$C$2:$T$20,6,false)*HLOOKUP($K1102,'Type Chart'!$C$2:$U$20,6,false)</f>
        <v>2</v>
      </c>
      <c r="Z1102" s="960">
        <f t="array" ref="Z1102">HLOOKUP($J1102,'Type Chart'!$C$2:$T$20,7,false)*HLOOKUP($K1102,'Type Chart'!$C$2:$U$20,7,false)</f>
        <v>1</v>
      </c>
      <c r="AA1102" s="960">
        <f t="array" ref="AA1102">HLOOKUP($J1102,'Type Chart'!$C$2:$T$20,8,false)*HLOOKUP($K1102,'Type Chart'!$C$2:$U$20,8,false)</f>
        <v>1</v>
      </c>
      <c r="AB1102" s="960">
        <f t="array" ref="AB1102">HLOOKUP($J1102,'Type Chart'!$C$2:$T$20,9,false)*HLOOKUP($K1102,'Type Chart'!$C$2:$U$20,9,false)</f>
        <v>1</v>
      </c>
      <c r="AC1102" s="960">
        <f t="array" ref="AC1102">HLOOKUP($J1102,'Type Chart'!$C$2:$T$20,10,false)*HLOOKUP($K1102,'Type Chart'!$C$2:$U$20,10,false)</f>
        <v>0.5</v>
      </c>
      <c r="AD1102" s="960">
        <f t="array" ref="AD1102">HLOOKUP($J1102,'Type Chart'!$C$2:$T$20,11,false)*HLOOKUP($K1102,'Type Chart'!$C$2:$U$20,11,false)</f>
        <v>0.5</v>
      </c>
      <c r="AE1102" s="960">
        <f t="array" ref="AE1102">HLOOKUP($J1102,'Type Chart'!$C$2:$T$20,12,false)*HLOOKUP($K1102,'Type Chart'!$C$2:$U$20,12,false)</f>
        <v>0.5</v>
      </c>
      <c r="AF1102" s="960">
        <f t="array" ref="AF1102">HLOOKUP($J1102,'Type Chart'!$C$2:$T$20,13,false)*HLOOKUP($K1102,'Type Chart'!$C$2:$U$20,13,false)</f>
        <v>0.5</v>
      </c>
      <c r="AG1102" s="960">
        <f t="array" ref="AG1102">HLOOKUP($J1102,'Type Chart'!$C$2:$T$20,14,false)*HLOOKUP($K1102,'Type Chart'!$C$2:$U$20,14,false)</f>
        <v>0.25</v>
      </c>
      <c r="AH1102" s="960">
        <f t="array" ref="AH1102">HLOOKUP($J1102,'Type Chart'!$C$2:$T$20,15,false)*HLOOKUP($K1102,'Type Chart'!$C$2:$U$20,15,false)</f>
        <v>1</v>
      </c>
      <c r="AI1102" s="960">
        <f t="array" ref="AI1102">HLOOKUP($J1102,'Type Chart'!$C$2:$T$20,16,false)*HLOOKUP($K1102,'Type Chart'!$C$2:$U$20,16,false)</f>
        <v>2</v>
      </c>
      <c r="AJ1102" s="960">
        <f t="array" ref="AJ1102">HLOOKUP($J1102,'Type Chart'!$C$2:$T$20,17,false)*HLOOKUP($K1102,'Type Chart'!$C$2:$U$20,17,false)</f>
        <v>2</v>
      </c>
      <c r="AK1102" s="960">
        <f t="array" ref="AK1102">HLOOKUP($J1102,'Type Chart'!$C$2:$T$20,18,false)*HLOOKUP($K1102,'Type Chart'!$C$2:$U$20,18,false)</f>
        <v>1</v>
      </c>
      <c r="AL1102" s="960">
        <f t="array" ref="AL1102">HLOOKUP($J1102,'Type Chart'!$C$2:$T$20,19,false)*HLOOKUP($K1102,'Type Chart'!$C$2:$U$20,19,false)</f>
        <v>2</v>
      </c>
      <c r="AM1102" s="964" t="s">
        <v>1614</v>
      </c>
      <c r="AN1102" s="964" t="s">
        <v>1039</v>
      </c>
      <c r="AO1102" s="966" t="s">
        <v>1130</v>
      </c>
      <c r="AP1102" s="936"/>
      <c r="AQ1102" s="967"/>
      <c r="AR1102" s="968"/>
      <c r="AS1102" s="936"/>
    </row>
    <row r="1103" ht="15.75" customHeight="1">
      <c r="A1103" s="1099"/>
      <c r="B1103" s="948" t="s">
        <v>4066</v>
      </c>
      <c r="C1103" s="950" t="s">
        <v>4067</v>
      </c>
      <c r="D1103" s="950" t="s">
        <v>4067</v>
      </c>
      <c r="E1103" s="952" t="s">
        <v>4067</v>
      </c>
      <c r="F1103" s="940"/>
      <c r="G1103" s="953"/>
      <c r="H1103" s="969"/>
      <c r="I1103" s="956" t="s">
        <v>4068</v>
      </c>
      <c r="J1103" s="1196" t="s">
        <v>203</v>
      </c>
      <c r="K1103" s="1205" t="s">
        <v>345</v>
      </c>
      <c r="L1103" s="959">
        <v>90.0</v>
      </c>
      <c r="M1103" s="960">
        <v>100.0</v>
      </c>
      <c r="N1103" s="960">
        <v>90.0</v>
      </c>
      <c r="O1103" s="960">
        <v>90.0</v>
      </c>
      <c r="P1103" s="960">
        <v>80.0</v>
      </c>
      <c r="Q1103" s="960">
        <v>55.0</v>
      </c>
      <c r="R1103" s="960">
        <v>146.0</v>
      </c>
      <c r="S1103" s="960">
        <v>209.0</v>
      </c>
      <c r="T1103" s="960">
        <v>229.0</v>
      </c>
      <c r="U1103" s="960">
        <f t="array" ref="U1103">HLOOKUP($J1103,'Type Chart'!$C$2:$T$20,2,false)*HLOOKUP($K1103,'Type Chart'!$C$2:$U$20,2,false)</f>
        <v>1</v>
      </c>
      <c r="V1103" s="960">
        <f t="array" ref="V1103">HLOOKUP($J1103,'Type Chart'!$C$2:$T$20,3,false)*HLOOKUP($K1103,'Type Chart'!$C$2:$U$20,3,false)</f>
        <v>2</v>
      </c>
      <c r="W1103" s="960">
        <f t="array" ref="W1103">HLOOKUP($J1103,'Type Chart'!$C$2:$T$20,4,false)*HLOOKUP($K1103,'Type Chart'!$C$2:$U$20,4,false)</f>
        <v>0.5</v>
      </c>
      <c r="X1103" s="960">
        <f t="array" ref="X1103">HLOOKUP($J1103,'Type Chart'!$C$2:$T$20,5,false)*HLOOKUP($K1103,'Type Chart'!$C$2:$U$20,5,false)</f>
        <v>1</v>
      </c>
      <c r="Y1103" s="960">
        <f t="array" ref="Y1103">HLOOKUP($J1103,'Type Chart'!$C$2:$T$20,6,false)*HLOOKUP($K1103,'Type Chart'!$C$2:$U$20,6,false)</f>
        <v>2</v>
      </c>
      <c r="Z1103" s="960">
        <f t="array" ref="Z1103">HLOOKUP($J1103,'Type Chart'!$C$2:$T$20,7,false)*HLOOKUP($K1103,'Type Chart'!$C$2:$U$20,7,false)</f>
        <v>2</v>
      </c>
      <c r="AA1103" s="960">
        <f t="array" ref="AA1103">HLOOKUP($J1103,'Type Chart'!$C$2:$T$20,8,false)*HLOOKUP($K1103,'Type Chart'!$C$2:$U$20,8,false)</f>
        <v>1</v>
      </c>
      <c r="AB1103" s="960">
        <f t="array" ref="AB1103">HLOOKUP($J1103,'Type Chart'!$C$2:$T$20,9,false)*HLOOKUP($K1103,'Type Chart'!$C$2:$U$20,9,false)</f>
        <v>1</v>
      </c>
      <c r="AC1103" s="960">
        <f t="array" ref="AC1103">HLOOKUP($J1103,'Type Chart'!$C$2:$T$20,10,false)*HLOOKUP($K1103,'Type Chart'!$C$2:$U$20,10,false)</f>
        <v>1</v>
      </c>
      <c r="AD1103" s="960">
        <f t="array" ref="AD1103">HLOOKUP($J1103,'Type Chart'!$C$2:$T$20,11,false)*HLOOKUP($K1103,'Type Chart'!$C$2:$U$20,11,false)</f>
        <v>2</v>
      </c>
      <c r="AE1103" s="960">
        <f t="array" ref="AE1103">HLOOKUP($J1103,'Type Chart'!$C$2:$T$20,12,false)*HLOOKUP($K1103,'Type Chart'!$C$2:$U$20,12,false)</f>
        <v>1</v>
      </c>
      <c r="AF1103" s="960">
        <f t="array" ref="AF1103">HLOOKUP($J1103,'Type Chart'!$C$2:$T$20,13,false)*HLOOKUP($K1103,'Type Chart'!$C$2:$U$20,13,false)</f>
        <v>1</v>
      </c>
      <c r="AG1103" s="960">
        <f t="array" ref="AG1103">HLOOKUP($J1103,'Type Chart'!$C$2:$T$20,14,false)*HLOOKUP($K1103,'Type Chart'!$C$2:$U$20,14,false)</f>
        <v>0.5</v>
      </c>
      <c r="AH1103" s="960">
        <f t="array" ref="AH1103">HLOOKUP($J1103,'Type Chart'!$C$2:$T$20,15,false)*HLOOKUP($K1103,'Type Chart'!$C$2:$U$20,15,false)</f>
        <v>1</v>
      </c>
      <c r="AI1103" s="960">
        <f t="array" ref="AI1103">HLOOKUP($J1103,'Type Chart'!$C$2:$T$20,16,false)*HLOOKUP($K1103,'Type Chart'!$C$2:$U$20,16,false)</f>
        <v>0.5</v>
      </c>
      <c r="AJ1103" s="960">
        <f t="array" ref="AJ1103">HLOOKUP($J1103,'Type Chart'!$C$2:$T$20,17,false)*HLOOKUP($K1103,'Type Chart'!$C$2:$U$20,17,false)</f>
        <v>1</v>
      </c>
      <c r="AK1103" s="960">
        <f t="array" ref="AK1103">HLOOKUP($J1103,'Type Chart'!$C$2:$T$20,18,false)*HLOOKUP($K1103,'Type Chart'!$C$2:$U$20,18,false)</f>
        <v>1</v>
      </c>
      <c r="AL1103" s="960">
        <f t="array" ref="AL1103">HLOOKUP($J1103,'Type Chart'!$C$2:$T$20,19,false)*HLOOKUP($K1103,'Type Chart'!$C$2:$U$20,19,false)</f>
        <v>1</v>
      </c>
      <c r="AM1103" s="1145" t="s">
        <v>1614</v>
      </c>
      <c r="AN1103" s="964" t="s">
        <v>1067</v>
      </c>
      <c r="AO1103" s="1146" t="s">
        <v>1136</v>
      </c>
      <c r="AP1103" s="936"/>
      <c r="AQ1103" s="967"/>
      <c r="AR1103" s="968"/>
      <c r="AS1103" s="936"/>
    </row>
    <row r="1104" ht="15.75" customHeight="1">
      <c r="A1104" s="936"/>
      <c r="B1104" s="948" t="s">
        <v>4069</v>
      </c>
      <c r="C1104" s="950" t="s">
        <v>4070</v>
      </c>
      <c r="D1104" s="950" t="s">
        <v>4070</v>
      </c>
      <c r="E1104" s="952" t="s">
        <v>4070</v>
      </c>
      <c r="F1104" s="940"/>
      <c r="G1104" s="953"/>
      <c r="H1104" s="969"/>
      <c r="I1104" s="956" t="s">
        <v>4071</v>
      </c>
      <c r="J1104" s="1056" t="s">
        <v>81</v>
      </c>
      <c r="K1104" s="1006" t="s">
        <v>346</v>
      </c>
      <c r="L1104" s="959">
        <v>90.0</v>
      </c>
      <c r="M1104" s="960">
        <v>90.0</v>
      </c>
      <c r="N1104" s="960">
        <v>100.0</v>
      </c>
      <c r="O1104" s="960">
        <v>70.0</v>
      </c>
      <c r="P1104" s="960">
        <v>80.0</v>
      </c>
      <c r="Q1104" s="960">
        <v>75.0</v>
      </c>
      <c r="R1104" s="960">
        <v>186.0</v>
      </c>
      <c r="S1104" s="960">
        <v>249.0</v>
      </c>
      <c r="T1104" s="960">
        <v>273.0</v>
      </c>
      <c r="U1104" s="960">
        <f t="array" ref="U1104">HLOOKUP($J1104,'Type Chart'!$C$2:$T$20,2,false)*HLOOKUP($K1104,'Type Chart'!$C$2:$U$20,2,false)</f>
        <v>1</v>
      </c>
      <c r="V1104" s="960">
        <f t="array" ref="V1104">HLOOKUP($J1104,'Type Chart'!$C$2:$T$20,3,false)*HLOOKUP($K1104,'Type Chart'!$C$2:$U$20,3,false)</f>
        <v>1</v>
      </c>
      <c r="W1104" s="960">
        <f t="array" ref="W1104">HLOOKUP($J1104,'Type Chart'!$C$2:$T$20,4,false)*HLOOKUP($K1104,'Type Chart'!$C$2:$U$20,4,false)</f>
        <v>1</v>
      </c>
      <c r="X1104" s="960">
        <f t="array" ref="X1104">HLOOKUP($J1104,'Type Chart'!$C$2:$T$20,5,false)*HLOOKUP($K1104,'Type Chart'!$C$2:$U$20,5,false)</f>
        <v>1</v>
      </c>
      <c r="Y1104" s="960">
        <f t="array" ref="Y1104">HLOOKUP($J1104,'Type Chart'!$C$2:$T$20,6,false)*HLOOKUP($K1104,'Type Chart'!$C$2:$U$20,6,false)</f>
        <v>1</v>
      </c>
      <c r="Z1104" s="960">
        <f t="array" ref="Z1104">HLOOKUP($J1104,'Type Chart'!$C$2:$T$20,7,false)*HLOOKUP($K1104,'Type Chart'!$C$2:$U$20,7,false)</f>
        <v>1</v>
      </c>
      <c r="AA1104" s="960">
        <f t="array" ref="AA1104">HLOOKUP($J1104,'Type Chart'!$C$2:$T$20,8,false)*HLOOKUP($K1104,'Type Chart'!$C$2:$U$20,8,false)</f>
        <v>1</v>
      </c>
      <c r="AB1104" s="960">
        <f t="array" ref="AB1104">HLOOKUP($J1104,'Type Chart'!$C$2:$T$20,9,false)*HLOOKUP($K1104,'Type Chart'!$C$2:$U$20,9,false)</f>
        <v>1</v>
      </c>
      <c r="AC1104" s="960">
        <f t="array" ref="AC1104">HLOOKUP($J1104,'Type Chart'!$C$2:$T$20,10,false)*HLOOKUP($K1104,'Type Chart'!$C$2:$U$20,10,false)</f>
        <v>0.5</v>
      </c>
      <c r="AD1104" s="960">
        <f t="array" ref="AD1104">HLOOKUP($J1104,'Type Chart'!$C$2:$T$20,11,false)*HLOOKUP($K1104,'Type Chart'!$C$2:$U$20,11,false)</f>
        <v>0.25</v>
      </c>
      <c r="AE1104" s="960">
        <f t="array" ref="AE1104">HLOOKUP($J1104,'Type Chart'!$C$2:$T$20,12,false)*HLOOKUP($K1104,'Type Chart'!$C$2:$U$20,12,false)</f>
        <v>0.25</v>
      </c>
      <c r="AF1104" s="960">
        <f t="array" ref="AF1104">HLOOKUP($J1104,'Type Chart'!$C$2:$T$20,13,false)*HLOOKUP($K1104,'Type Chart'!$C$2:$U$20,13,false)</f>
        <v>1</v>
      </c>
      <c r="AG1104" s="960">
        <f t="array" ref="AG1104">HLOOKUP($J1104,'Type Chart'!$C$2:$T$20,14,false)*HLOOKUP($K1104,'Type Chart'!$C$2:$U$20,14,false)</f>
        <v>1</v>
      </c>
      <c r="AH1104" s="960">
        <f t="array" ref="AH1104">HLOOKUP($J1104,'Type Chart'!$C$2:$T$20,15,false)*HLOOKUP($K1104,'Type Chart'!$C$2:$U$20,15,false)</f>
        <v>1</v>
      </c>
      <c r="AI1104" s="960">
        <f t="array" ref="AI1104">HLOOKUP($J1104,'Type Chart'!$C$2:$T$20,16,false)*HLOOKUP($K1104,'Type Chart'!$C$2:$U$20,16,false)</f>
        <v>1</v>
      </c>
      <c r="AJ1104" s="960">
        <f t="array" ref="AJ1104">HLOOKUP($J1104,'Type Chart'!$C$2:$T$20,17,false)*HLOOKUP($K1104,'Type Chart'!$C$2:$U$20,17,false)</f>
        <v>2</v>
      </c>
      <c r="AK1104" s="960">
        <f t="array" ref="AK1104">HLOOKUP($J1104,'Type Chart'!$C$2:$T$20,18,false)*HLOOKUP($K1104,'Type Chart'!$C$2:$U$20,18,false)</f>
        <v>1</v>
      </c>
      <c r="AL1104" s="960">
        <f t="array" ref="AL1104">HLOOKUP($J1104,'Type Chart'!$C$2:$T$20,19,false)*HLOOKUP($K1104,'Type Chart'!$C$2:$U$20,19,false)</f>
        <v>2</v>
      </c>
      <c r="AM1104" s="964" t="s">
        <v>1283</v>
      </c>
      <c r="AN1104" s="964" t="s">
        <v>2205</v>
      </c>
      <c r="AO1104" s="966" t="s">
        <v>1130</v>
      </c>
      <c r="AP1104" s="936"/>
      <c r="AQ1104" s="967"/>
      <c r="AR1104" s="968"/>
      <c r="AS1104" s="936"/>
    </row>
    <row r="1105" ht="15.75" customHeight="1">
      <c r="A1105" s="1099"/>
      <c r="B1105" s="948" t="s">
        <v>4072</v>
      </c>
      <c r="C1105" s="1197" t="s">
        <v>4073</v>
      </c>
      <c r="D1105" s="1197" t="s">
        <v>4073</v>
      </c>
      <c r="E1105" s="1147" t="s">
        <v>4073</v>
      </c>
      <c r="F1105" s="940"/>
      <c r="G1105" s="953"/>
      <c r="H1105" s="969"/>
      <c r="I1105" s="998" t="s">
        <v>4074</v>
      </c>
      <c r="J1105" s="1211" t="s">
        <v>81</v>
      </c>
      <c r="K1105" s="1224" t="s">
        <v>345</v>
      </c>
      <c r="L1105" s="1200">
        <v>90.0</v>
      </c>
      <c r="M1105" s="1201">
        <v>90.0</v>
      </c>
      <c r="N1105" s="1201">
        <v>100.0</v>
      </c>
      <c r="O1105" s="1201">
        <v>80.0</v>
      </c>
      <c r="P1105" s="1201">
        <v>90.0</v>
      </c>
      <c r="Q1105" s="1201">
        <v>55.0</v>
      </c>
      <c r="R1105" s="960">
        <v>146.0</v>
      </c>
      <c r="S1105" s="960">
        <v>209.0</v>
      </c>
      <c r="T1105" s="960">
        <v>229.0</v>
      </c>
      <c r="U1105" s="960">
        <f t="array" ref="U1105">HLOOKUP($J1105,'Type Chart'!$C$2:$T$20,2,false)*HLOOKUP($K1105,'Type Chart'!$C$2:$U$20,2,false)</f>
        <v>1</v>
      </c>
      <c r="V1105" s="960">
        <f t="array" ref="V1105">HLOOKUP($J1105,'Type Chart'!$C$2:$T$20,3,false)*HLOOKUP($K1105,'Type Chart'!$C$2:$U$20,3,false)</f>
        <v>2</v>
      </c>
      <c r="W1105" s="960">
        <f t="array" ref="W1105">HLOOKUP($J1105,'Type Chart'!$C$2:$T$20,4,false)*HLOOKUP($K1105,'Type Chart'!$C$2:$U$20,4,false)</f>
        <v>1</v>
      </c>
      <c r="X1105" s="960">
        <f t="array" ref="X1105">HLOOKUP($J1105,'Type Chart'!$C$2:$T$20,5,false)*HLOOKUP($K1105,'Type Chart'!$C$2:$U$20,5,false)</f>
        <v>1</v>
      </c>
      <c r="Y1105" s="960">
        <f t="array" ref="Y1105">HLOOKUP($J1105,'Type Chart'!$C$2:$T$20,6,false)*HLOOKUP($K1105,'Type Chart'!$C$2:$U$20,6,false)</f>
        <v>1</v>
      </c>
      <c r="Z1105" s="960">
        <f t="array" ref="Z1105">HLOOKUP($J1105,'Type Chart'!$C$2:$T$20,7,false)*HLOOKUP($K1105,'Type Chart'!$C$2:$U$20,7,false)</f>
        <v>2</v>
      </c>
      <c r="AA1105" s="960">
        <f t="array" ref="AA1105">HLOOKUP($J1105,'Type Chart'!$C$2:$T$20,8,false)*HLOOKUP($K1105,'Type Chart'!$C$2:$U$20,8,false)</f>
        <v>1</v>
      </c>
      <c r="AB1105" s="960">
        <f t="array" ref="AB1105">HLOOKUP($J1105,'Type Chart'!$C$2:$T$20,9,false)*HLOOKUP($K1105,'Type Chart'!$C$2:$U$20,9,false)</f>
        <v>1</v>
      </c>
      <c r="AC1105" s="960">
        <f t="array" ref="AC1105">HLOOKUP($J1105,'Type Chart'!$C$2:$T$20,10,false)*HLOOKUP($K1105,'Type Chart'!$C$2:$U$20,10,false)</f>
        <v>1</v>
      </c>
      <c r="AD1105" s="960">
        <f t="array" ref="AD1105">HLOOKUP($J1105,'Type Chart'!$C$2:$T$20,11,false)*HLOOKUP($K1105,'Type Chart'!$C$2:$U$20,11,false)</f>
        <v>1</v>
      </c>
      <c r="AE1105" s="960">
        <f t="array" ref="AE1105">HLOOKUP($J1105,'Type Chart'!$C$2:$T$20,12,false)*HLOOKUP($K1105,'Type Chart'!$C$2:$U$20,12,false)</f>
        <v>0.5</v>
      </c>
      <c r="AF1105" s="960">
        <f t="array" ref="AF1105">HLOOKUP($J1105,'Type Chart'!$C$2:$T$20,13,false)*HLOOKUP($K1105,'Type Chart'!$C$2:$U$20,13,false)</f>
        <v>2</v>
      </c>
      <c r="AG1105" s="960">
        <f t="array" ref="AG1105">HLOOKUP($J1105,'Type Chart'!$C$2:$T$20,14,false)*HLOOKUP($K1105,'Type Chart'!$C$2:$U$20,14,false)</f>
        <v>2</v>
      </c>
      <c r="AH1105" s="960">
        <f t="array" ref="AH1105">HLOOKUP($J1105,'Type Chart'!$C$2:$T$20,15,false)*HLOOKUP($K1105,'Type Chart'!$C$2:$U$20,15,false)</f>
        <v>1</v>
      </c>
      <c r="AI1105" s="960">
        <f t="array" ref="AI1105">HLOOKUP($J1105,'Type Chart'!$C$2:$T$20,16,false)*HLOOKUP($K1105,'Type Chart'!$C$2:$U$20,16,false)</f>
        <v>0.25</v>
      </c>
      <c r="AJ1105" s="960">
        <f t="array" ref="AJ1105">HLOOKUP($J1105,'Type Chart'!$C$2:$T$20,17,false)*HLOOKUP($K1105,'Type Chart'!$C$2:$U$20,17,false)</f>
        <v>1</v>
      </c>
      <c r="AK1105" s="960">
        <f t="array" ref="AK1105">HLOOKUP($J1105,'Type Chart'!$C$2:$T$20,18,false)*HLOOKUP($K1105,'Type Chart'!$C$2:$U$20,18,false)</f>
        <v>1</v>
      </c>
      <c r="AL1105" s="960">
        <f t="array" ref="AL1105">HLOOKUP($J1105,'Type Chart'!$C$2:$T$20,19,false)*HLOOKUP($K1105,'Type Chart'!$C$2:$U$20,19,false)</f>
        <v>1</v>
      </c>
      <c r="AM1105" s="1145" t="s">
        <v>1283</v>
      </c>
      <c r="AN1105" s="964" t="s">
        <v>1410</v>
      </c>
      <c r="AO1105" s="966" t="s">
        <v>1136</v>
      </c>
      <c r="AP1105" s="936"/>
      <c r="AQ1105" s="967"/>
      <c r="AR1105" s="968"/>
      <c r="AS1105" s="936"/>
    </row>
    <row r="1106" ht="15.75" customHeight="1">
      <c r="A1106" s="1099"/>
      <c r="B1106" s="948" t="s">
        <v>4075</v>
      </c>
      <c r="C1106" s="1197" t="s">
        <v>4076</v>
      </c>
      <c r="D1106" s="1197" t="s">
        <v>4076</v>
      </c>
      <c r="E1106" s="1147" t="s">
        <v>4076</v>
      </c>
      <c r="F1106" s="940"/>
      <c r="G1106" s="953"/>
      <c r="H1106" s="969"/>
      <c r="I1106" s="998" t="s">
        <v>703</v>
      </c>
      <c r="J1106" s="1233" t="s">
        <v>82</v>
      </c>
      <c r="K1106" s="1231" t="s">
        <v>346</v>
      </c>
      <c r="L1106" s="1200">
        <v>70.0</v>
      </c>
      <c r="M1106" s="1201">
        <v>95.0</v>
      </c>
      <c r="N1106" s="1201">
        <v>115.0</v>
      </c>
      <c r="O1106" s="1201">
        <v>120.0</v>
      </c>
      <c r="P1106" s="1201">
        <v>50.0</v>
      </c>
      <c r="Q1106" s="1201">
        <v>85.0</v>
      </c>
      <c r="R1106" s="960">
        <v>206.0</v>
      </c>
      <c r="S1106" s="960">
        <v>269.0</v>
      </c>
      <c r="T1106" s="960">
        <v>295.0</v>
      </c>
      <c r="U1106" s="960">
        <f t="array" ref="U1106">HLOOKUP($J1106,'Type Chart'!$C$2:$T$20,2,false)*HLOOKUP($K1106,'Type Chart'!$C$2:$U$20,2,false)</f>
        <v>0.5</v>
      </c>
      <c r="V1106" s="960">
        <f t="array" ref="V1106">HLOOKUP($J1106,'Type Chart'!$C$2:$T$20,3,false)*HLOOKUP($K1106,'Type Chart'!$C$2:$U$20,3,false)</f>
        <v>2</v>
      </c>
      <c r="W1106" s="960">
        <f t="array" ref="W1106">HLOOKUP($J1106,'Type Chart'!$C$2:$T$20,4,false)*HLOOKUP($K1106,'Type Chart'!$C$2:$U$20,4,false)</f>
        <v>0.5</v>
      </c>
      <c r="X1106" s="960">
        <f t="array" ref="X1106">HLOOKUP($J1106,'Type Chart'!$C$2:$T$20,5,false)*HLOOKUP($K1106,'Type Chart'!$C$2:$U$20,5,false)</f>
        <v>0</v>
      </c>
      <c r="Y1106" s="960">
        <f t="array" ref="Y1106">HLOOKUP($J1106,'Type Chart'!$C$2:$T$20,6,false)*HLOOKUP($K1106,'Type Chart'!$C$2:$U$20,6,false)</f>
        <v>2</v>
      </c>
      <c r="Z1106" s="960">
        <f t="array" ref="Z1106">HLOOKUP($J1106,'Type Chart'!$C$2:$T$20,7,false)*HLOOKUP($K1106,'Type Chart'!$C$2:$U$20,7,false)</f>
        <v>0.5</v>
      </c>
      <c r="AA1106" s="960">
        <f t="array" ref="AA1106">HLOOKUP($J1106,'Type Chart'!$C$2:$T$20,8,false)*HLOOKUP($K1106,'Type Chart'!$C$2:$U$20,8,false)</f>
        <v>0.5</v>
      </c>
      <c r="AB1106" s="960">
        <f t="array" ref="AB1106">HLOOKUP($J1106,'Type Chart'!$C$2:$T$20,9,false)*HLOOKUP($K1106,'Type Chart'!$C$2:$U$20,9,false)</f>
        <v>1</v>
      </c>
      <c r="AC1106" s="960">
        <f t="array" ref="AC1106">HLOOKUP($J1106,'Type Chart'!$C$2:$T$20,10,false)*HLOOKUP($K1106,'Type Chart'!$C$2:$U$20,10,false)</f>
        <v>0.5</v>
      </c>
      <c r="AD1106" s="960">
        <f t="array" ref="AD1106">HLOOKUP($J1106,'Type Chart'!$C$2:$T$20,11,false)*HLOOKUP($K1106,'Type Chart'!$C$2:$U$20,11,false)</f>
        <v>1</v>
      </c>
      <c r="AE1106" s="960">
        <f t="array" ref="AE1106">HLOOKUP($J1106,'Type Chart'!$C$2:$T$20,12,false)*HLOOKUP($K1106,'Type Chart'!$C$2:$U$20,12,false)</f>
        <v>0.5</v>
      </c>
      <c r="AF1106" s="960">
        <f t="array" ref="AF1106">HLOOKUP($J1106,'Type Chart'!$C$2:$T$20,13,false)*HLOOKUP($K1106,'Type Chart'!$C$2:$U$20,13,false)</f>
        <v>0.25</v>
      </c>
      <c r="AG1106" s="960">
        <f t="array" ref="AG1106">HLOOKUP($J1106,'Type Chart'!$C$2:$T$20,14,false)*HLOOKUP($K1106,'Type Chart'!$C$2:$U$20,14,false)</f>
        <v>0.5</v>
      </c>
      <c r="AH1106" s="960">
        <f t="array" ref="AH1106">HLOOKUP($J1106,'Type Chart'!$C$2:$T$20,15,false)*HLOOKUP($K1106,'Type Chart'!$C$2:$U$20,15,false)</f>
        <v>0.5</v>
      </c>
      <c r="AI1106" s="960">
        <f t="array" ref="AI1106">HLOOKUP($J1106,'Type Chart'!$C$2:$T$20,16,false)*HLOOKUP($K1106,'Type Chart'!$C$2:$U$20,16,false)</f>
        <v>1</v>
      </c>
      <c r="AJ1106" s="960">
        <f t="array" ref="AJ1106">HLOOKUP($J1106,'Type Chart'!$C$2:$T$20,17,false)*HLOOKUP($K1106,'Type Chart'!$C$2:$U$20,17,false)</f>
        <v>1</v>
      </c>
      <c r="AK1106" s="960">
        <f t="array" ref="AK1106">HLOOKUP($J1106,'Type Chart'!$C$2:$T$20,18,false)*HLOOKUP($K1106,'Type Chart'!$C$2:$U$20,18,false)</f>
        <v>1</v>
      </c>
      <c r="AL1106" s="960">
        <f t="array" ref="AL1106">HLOOKUP($J1106,'Type Chart'!$C$2:$T$20,19,false)*HLOOKUP($K1106,'Type Chart'!$C$2:$U$20,19,false)</f>
        <v>1</v>
      </c>
      <c r="AM1106" s="1145" t="s">
        <v>1854</v>
      </c>
      <c r="AN1106" s="1145" t="s">
        <v>2151</v>
      </c>
      <c r="AO1106" s="1146" t="s">
        <v>4077</v>
      </c>
      <c r="AP1106" s="936"/>
      <c r="AQ1106" s="967"/>
      <c r="AR1106" s="968"/>
      <c r="AS1106" s="936"/>
    </row>
    <row r="1107" ht="15.75" customHeight="1">
      <c r="A1107" s="1099"/>
      <c r="B1107" s="948" t="s">
        <v>4078</v>
      </c>
      <c r="C1107" s="1197" t="s">
        <v>4079</v>
      </c>
      <c r="D1107" s="1197" t="s">
        <v>4079</v>
      </c>
      <c r="E1107" s="1147" t="s">
        <v>4079</v>
      </c>
      <c r="F1107" s="940"/>
      <c r="G1107" s="953"/>
      <c r="H1107" s="969"/>
      <c r="I1107" s="998" t="s">
        <v>4080</v>
      </c>
      <c r="J1107" s="1231" t="s">
        <v>346</v>
      </c>
      <c r="K1107" s="1221" t="s">
        <v>215</v>
      </c>
      <c r="L1107" s="1200">
        <v>28.0</v>
      </c>
      <c r="M1107" s="1201">
        <v>60.0</v>
      </c>
      <c r="N1107" s="1201">
        <v>30.0</v>
      </c>
      <c r="O1107" s="1201">
        <v>40.0</v>
      </c>
      <c r="P1107" s="1201">
        <v>30.0</v>
      </c>
      <c r="Q1107" s="1201">
        <v>82.0</v>
      </c>
      <c r="R1107" s="960">
        <v>200.0</v>
      </c>
      <c r="S1107" s="960">
        <v>263.0</v>
      </c>
      <c r="T1107" s="960">
        <v>289.0</v>
      </c>
      <c r="U1107" s="960">
        <f t="array" ref="U1107">HLOOKUP($J1107,'Type Chart'!$C$2:$T$20,2,false)*HLOOKUP($K1107,'Type Chart'!$C$2:$U$20,2,false)</f>
        <v>0</v>
      </c>
      <c r="V1107" s="960">
        <f t="array" ref="V1107">HLOOKUP($J1107,'Type Chart'!$C$2:$T$20,3,false)*HLOOKUP($K1107,'Type Chart'!$C$2:$U$20,3,false)</f>
        <v>0</v>
      </c>
      <c r="W1107" s="960">
        <f t="array" ref="W1107">HLOOKUP($J1107,'Type Chart'!$C$2:$T$20,4,false)*HLOOKUP($K1107,'Type Chart'!$C$2:$U$20,4,false)</f>
        <v>1</v>
      </c>
      <c r="X1107" s="960">
        <f t="array" ref="X1107">HLOOKUP($J1107,'Type Chart'!$C$2:$T$20,5,false)*HLOOKUP($K1107,'Type Chart'!$C$2:$U$20,5,false)</f>
        <v>0.5</v>
      </c>
      <c r="Y1107" s="960">
        <f t="array" ref="Y1107">HLOOKUP($J1107,'Type Chart'!$C$2:$T$20,6,false)*HLOOKUP($K1107,'Type Chart'!$C$2:$U$20,6,false)</f>
        <v>1</v>
      </c>
      <c r="Z1107" s="960">
        <f t="array" ref="Z1107">HLOOKUP($J1107,'Type Chart'!$C$2:$T$20,7,false)*HLOOKUP($K1107,'Type Chart'!$C$2:$U$20,7,false)</f>
        <v>1</v>
      </c>
      <c r="AA1107" s="960">
        <f t="array" ref="AA1107">HLOOKUP($J1107,'Type Chart'!$C$2:$T$20,8,false)*HLOOKUP($K1107,'Type Chart'!$C$2:$U$20,8,false)</f>
        <v>0.5</v>
      </c>
      <c r="AB1107" s="960">
        <f t="array" ref="AB1107">HLOOKUP($J1107,'Type Chart'!$C$2:$T$20,9,false)*HLOOKUP($K1107,'Type Chart'!$C$2:$U$20,9,false)</f>
        <v>2</v>
      </c>
      <c r="AC1107" s="960">
        <f t="array" ref="AC1107">HLOOKUP($J1107,'Type Chart'!$C$2:$T$20,10,false)*HLOOKUP($K1107,'Type Chart'!$C$2:$U$20,10,false)</f>
        <v>1</v>
      </c>
      <c r="AD1107" s="960">
        <f t="array" ref="AD1107">HLOOKUP($J1107,'Type Chart'!$C$2:$T$20,11,false)*HLOOKUP($K1107,'Type Chart'!$C$2:$U$20,11,false)</f>
        <v>0.5</v>
      </c>
      <c r="AE1107" s="960">
        <f t="array" ref="AE1107">HLOOKUP($J1107,'Type Chart'!$C$2:$T$20,12,false)*HLOOKUP($K1107,'Type Chart'!$C$2:$U$20,12,false)</f>
        <v>0.5</v>
      </c>
      <c r="AF1107" s="960">
        <f t="array" ref="AF1107">HLOOKUP($J1107,'Type Chart'!$C$2:$T$20,13,false)*HLOOKUP($K1107,'Type Chart'!$C$2:$U$20,13,false)</f>
        <v>0.5</v>
      </c>
      <c r="AG1107" s="960">
        <f t="array" ref="AG1107">HLOOKUP($J1107,'Type Chart'!$C$2:$T$20,14,false)*HLOOKUP($K1107,'Type Chart'!$C$2:$U$20,14,false)</f>
        <v>0.5</v>
      </c>
      <c r="AH1107" s="960">
        <f t="array" ref="AH1107">HLOOKUP($J1107,'Type Chart'!$C$2:$T$20,15,false)*HLOOKUP($K1107,'Type Chart'!$C$2:$U$20,15,false)</f>
        <v>1</v>
      </c>
      <c r="AI1107" s="960">
        <f t="array" ref="AI1107">HLOOKUP($J1107,'Type Chart'!$C$2:$T$20,16,false)*HLOOKUP($K1107,'Type Chart'!$C$2:$U$20,16,false)</f>
        <v>2</v>
      </c>
      <c r="AJ1107" s="960">
        <f t="array" ref="AJ1107">HLOOKUP($J1107,'Type Chart'!$C$2:$T$20,17,false)*HLOOKUP($K1107,'Type Chart'!$C$2:$U$20,17,false)</f>
        <v>2</v>
      </c>
      <c r="AK1107" s="960">
        <f t="array" ref="AK1107">HLOOKUP($J1107,'Type Chart'!$C$2:$T$20,18,false)*HLOOKUP($K1107,'Type Chart'!$C$2:$U$20,18,false)</f>
        <v>2</v>
      </c>
      <c r="AL1107" s="960">
        <f t="array" ref="AL1107">HLOOKUP($J1107,'Type Chart'!$C$2:$T$20,19,false)*HLOOKUP($K1107,'Type Chart'!$C$2:$U$20,19,false)</f>
        <v>2</v>
      </c>
      <c r="AM1107" s="1145" t="s">
        <v>1324</v>
      </c>
      <c r="AN1107" s="1145" t="s">
        <v>1193</v>
      </c>
      <c r="AO1107" s="1146" t="s">
        <v>1442</v>
      </c>
      <c r="AP1107" s="936"/>
      <c r="AQ1107" s="967"/>
      <c r="AR1107" s="968"/>
      <c r="AS1107" s="936"/>
    </row>
    <row r="1108" ht="15.75" customHeight="1">
      <c r="A1108" s="1099"/>
      <c r="B1108" s="948" t="s">
        <v>4081</v>
      </c>
      <c r="C1108" s="1197" t="s">
        <v>4082</v>
      </c>
      <c r="D1108" s="1197" t="s">
        <v>4082</v>
      </c>
      <c r="E1108" s="1147" t="s">
        <v>4082</v>
      </c>
      <c r="F1108" s="940"/>
      <c r="G1108" s="953"/>
      <c r="H1108" s="969"/>
      <c r="I1108" s="998" t="s">
        <v>821</v>
      </c>
      <c r="J1108" s="1231" t="s">
        <v>346</v>
      </c>
      <c r="K1108" s="1221" t="s">
        <v>215</v>
      </c>
      <c r="L1108" s="1200">
        <v>68.0</v>
      </c>
      <c r="M1108" s="1201">
        <v>80.0</v>
      </c>
      <c r="N1108" s="1201">
        <v>50.0</v>
      </c>
      <c r="O1108" s="1201">
        <v>60.0</v>
      </c>
      <c r="P1108" s="1201">
        <v>50.0</v>
      </c>
      <c r="Q1108" s="1201">
        <v>102.0</v>
      </c>
      <c r="R1108" s="960">
        <v>240.0</v>
      </c>
      <c r="S1108" s="960">
        <v>303.0</v>
      </c>
      <c r="T1108" s="960">
        <v>333.0</v>
      </c>
      <c r="U1108" s="960">
        <f t="array" ref="U1108">HLOOKUP($J1108,'Type Chart'!$C$2:$T$20,2,false)*HLOOKUP($K1108,'Type Chart'!$C$2:$U$20,2,false)</f>
        <v>0</v>
      </c>
      <c r="V1108" s="960">
        <f t="array" ref="V1108">HLOOKUP($J1108,'Type Chart'!$C$2:$T$20,3,false)*HLOOKUP($K1108,'Type Chart'!$C$2:$U$20,3,false)</f>
        <v>0</v>
      </c>
      <c r="W1108" s="960">
        <f t="array" ref="W1108">HLOOKUP($J1108,'Type Chart'!$C$2:$T$20,4,false)*HLOOKUP($K1108,'Type Chart'!$C$2:$U$20,4,false)</f>
        <v>1</v>
      </c>
      <c r="X1108" s="960">
        <f t="array" ref="X1108">HLOOKUP($J1108,'Type Chart'!$C$2:$T$20,5,false)*HLOOKUP($K1108,'Type Chart'!$C$2:$U$20,5,false)</f>
        <v>0.5</v>
      </c>
      <c r="Y1108" s="960">
        <f t="array" ref="Y1108">HLOOKUP($J1108,'Type Chart'!$C$2:$T$20,6,false)*HLOOKUP($K1108,'Type Chart'!$C$2:$U$20,6,false)</f>
        <v>1</v>
      </c>
      <c r="Z1108" s="960">
        <f t="array" ref="Z1108">HLOOKUP($J1108,'Type Chart'!$C$2:$T$20,7,false)*HLOOKUP($K1108,'Type Chart'!$C$2:$U$20,7,false)</f>
        <v>1</v>
      </c>
      <c r="AA1108" s="960">
        <f t="array" ref="AA1108">HLOOKUP($J1108,'Type Chart'!$C$2:$T$20,8,false)*HLOOKUP($K1108,'Type Chart'!$C$2:$U$20,8,false)</f>
        <v>0.5</v>
      </c>
      <c r="AB1108" s="960">
        <f t="array" ref="AB1108">HLOOKUP($J1108,'Type Chart'!$C$2:$T$20,9,false)*HLOOKUP($K1108,'Type Chart'!$C$2:$U$20,9,false)</f>
        <v>2</v>
      </c>
      <c r="AC1108" s="960">
        <f t="array" ref="AC1108">HLOOKUP($J1108,'Type Chart'!$C$2:$T$20,10,false)*HLOOKUP($K1108,'Type Chart'!$C$2:$U$20,10,false)</f>
        <v>1</v>
      </c>
      <c r="AD1108" s="960">
        <f t="array" ref="AD1108">HLOOKUP($J1108,'Type Chart'!$C$2:$T$20,11,false)*HLOOKUP($K1108,'Type Chart'!$C$2:$U$20,11,false)</f>
        <v>0.5</v>
      </c>
      <c r="AE1108" s="960">
        <f t="array" ref="AE1108">HLOOKUP($J1108,'Type Chart'!$C$2:$T$20,12,false)*HLOOKUP($K1108,'Type Chart'!$C$2:$U$20,12,false)</f>
        <v>0.5</v>
      </c>
      <c r="AF1108" s="960">
        <f t="array" ref="AF1108">HLOOKUP($J1108,'Type Chart'!$C$2:$T$20,13,false)*HLOOKUP($K1108,'Type Chart'!$C$2:$U$20,13,false)</f>
        <v>0.5</v>
      </c>
      <c r="AG1108" s="960">
        <f t="array" ref="AG1108">HLOOKUP($J1108,'Type Chart'!$C$2:$T$20,14,false)*HLOOKUP($K1108,'Type Chart'!$C$2:$U$20,14,false)</f>
        <v>0.5</v>
      </c>
      <c r="AH1108" s="960">
        <f t="array" ref="AH1108">HLOOKUP($J1108,'Type Chart'!$C$2:$T$20,15,false)*HLOOKUP($K1108,'Type Chart'!$C$2:$U$20,15,false)</f>
        <v>1</v>
      </c>
      <c r="AI1108" s="960">
        <f t="array" ref="AI1108">HLOOKUP($J1108,'Type Chart'!$C$2:$T$20,16,false)*HLOOKUP($K1108,'Type Chart'!$C$2:$U$20,16,false)</f>
        <v>2</v>
      </c>
      <c r="AJ1108" s="960">
        <f t="array" ref="AJ1108">HLOOKUP($J1108,'Type Chart'!$C$2:$T$20,17,false)*HLOOKUP($K1108,'Type Chart'!$C$2:$U$20,17,false)</f>
        <v>2</v>
      </c>
      <c r="AK1108" s="960">
        <f t="array" ref="AK1108">HLOOKUP($J1108,'Type Chart'!$C$2:$T$20,18,false)*HLOOKUP($K1108,'Type Chart'!$C$2:$U$20,18,false)</f>
        <v>2</v>
      </c>
      <c r="AL1108" s="960">
        <f t="array" ref="AL1108">HLOOKUP($J1108,'Type Chart'!$C$2:$T$20,19,false)*HLOOKUP($K1108,'Type Chart'!$C$2:$U$20,19,false)</f>
        <v>2</v>
      </c>
      <c r="AM1108" s="1145" t="s">
        <v>1324</v>
      </c>
      <c r="AN1108" s="1145" t="s">
        <v>1193</v>
      </c>
      <c r="AO1108" s="1146" t="s">
        <v>1442</v>
      </c>
      <c r="AP1108" s="936"/>
      <c r="AQ1108" s="967"/>
      <c r="AR1108" s="968"/>
      <c r="AS1108" s="936"/>
    </row>
    <row r="1109" ht="15.75" customHeight="1">
      <c r="A1109" s="936"/>
      <c r="B1109" s="948" t="s">
        <v>4083</v>
      </c>
      <c r="C1109" s="950" t="s">
        <v>103</v>
      </c>
      <c r="D1109" s="950" t="s">
        <v>103</v>
      </c>
      <c r="E1109" s="952" t="s">
        <v>103</v>
      </c>
      <c r="F1109" s="940"/>
      <c r="G1109" s="953"/>
      <c r="H1109" s="969"/>
      <c r="I1109" s="956" t="s">
        <v>86</v>
      </c>
      <c r="J1109" s="1006" t="s">
        <v>346</v>
      </c>
      <c r="K1109" s="1220" t="s">
        <v>215</v>
      </c>
      <c r="L1109" s="959">
        <v>88.0</v>
      </c>
      <c r="M1109" s="960">
        <v>120.0</v>
      </c>
      <c r="N1109" s="960">
        <v>75.0</v>
      </c>
      <c r="O1109" s="960">
        <v>100.0</v>
      </c>
      <c r="P1109" s="960">
        <v>75.0</v>
      </c>
      <c r="Q1109" s="960">
        <v>142.0</v>
      </c>
      <c r="R1109" s="960">
        <v>320.0</v>
      </c>
      <c r="S1109" s="960">
        <v>383.0</v>
      </c>
      <c r="T1109" s="960">
        <v>421.0</v>
      </c>
      <c r="U1109" s="960">
        <f t="array" ref="U1109">HLOOKUP($J1109,'Type Chart'!$C$2:$T$20,2,false)*HLOOKUP($K1109,'Type Chart'!$C$2:$U$20,2,false)</f>
        <v>0</v>
      </c>
      <c r="V1109" s="960">
        <f t="array" ref="V1109">HLOOKUP($J1109,'Type Chart'!$C$2:$T$20,3,false)*HLOOKUP($K1109,'Type Chart'!$C$2:$U$20,3,false)</f>
        <v>0</v>
      </c>
      <c r="W1109" s="960">
        <f t="array" ref="W1109">HLOOKUP($J1109,'Type Chart'!$C$2:$T$20,4,false)*HLOOKUP($K1109,'Type Chart'!$C$2:$U$20,4,false)</f>
        <v>1</v>
      </c>
      <c r="X1109" s="960">
        <f t="array" ref="X1109">HLOOKUP($J1109,'Type Chart'!$C$2:$T$20,5,false)*HLOOKUP($K1109,'Type Chart'!$C$2:$U$20,5,false)</f>
        <v>0.5</v>
      </c>
      <c r="Y1109" s="960">
        <f t="array" ref="Y1109">HLOOKUP($J1109,'Type Chart'!$C$2:$T$20,6,false)*HLOOKUP($K1109,'Type Chart'!$C$2:$U$20,6,false)</f>
        <v>1</v>
      </c>
      <c r="Z1109" s="960">
        <f t="array" ref="Z1109">HLOOKUP($J1109,'Type Chart'!$C$2:$T$20,7,false)*HLOOKUP($K1109,'Type Chart'!$C$2:$U$20,7,false)</f>
        <v>1</v>
      </c>
      <c r="AA1109" s="960">
        <f t="array" ref="AA1109">HLOOKUP($J1109,'Type Chart'!$C$2:$T$20,8,false)*HLOOKUP($K1109,'Type Chart'!$C$2:$U$20,8,false)</f>
        <v>0.5</v>
      </c>
      <c r="AB1109" s="960">
        <f t="array" ref="AB1109">HLOOKUP($J1109,'Type Chart'!$C$2:$T$20,9,false)*HLOOKUP($K1109,'Type Chart'!$C$2:$U$20,9,false)</f>
        <v>2</v>
      </c>
      <c r="AC1109" s="960">
        <f t="array" ref="AC1109">HLOOKUP($J1109,'Type Chart'!$C$2:$T$20,10,false)*HLOOKUP($K1109,'Type Chart'!$C$2:$U$20,10,false)</f>
        <v>1</v>
      </c>
      <c r="AD1109" s="960">
        <f t="array" ref="AD1109">HLOOKUP($J1109,'Type Chart'!$C$2:$T$20,11,false)*HLOOKUP($K1109,'Type Chart'!$C$2:$U$20,11,false)</f>
        <v>0.5</v>
      </c>
      <c r="AE1109" s="960">
        <f t="array" ref="AE1109">HLOOKUP($J1109,'Type Chart'!$C$2:$T$20,12,false)*HLOOKUP($K1109,'Type Chart'!$C$2:$U$20,12,false)</f>
        <v>0.5</v>
      </c>
      <c r="AF1109" s="960">
        <f t="array" ref="AF1109">HLOOKUP($J1109,'Type Chart'!$C$2:$T$20,13,false)*HLOOKUP($K1109,'Type Chart'!$C$2:$U$20,13,false)</f>
        <v>0.5</v>
      </c>
      <c r="AG1109" s="960">
        <f t="array" ref="AG1109">HLOOKUP($J1109,'Type Chart'!$C$2:$T$20,14,false)*HLOOKUP($K1109,'Type Chart'!$C$2:$U$20,14,false)</f>
        <v>0.5</v>
      </c>
      <c r="AH1109" s="960">
        <f t="array" ref="AH1109">HLOOKUP($J1109,'Type Chart'!$C$2:$T$20,15,false)*HLOOKUP($K1109,'Type Chart'!$C$2:$U$20,15,false)</f>
        <v>1</v>
      </c>
      <c r="AI1109" s="960">
        <f t="array" ref="AI1109">HLOOKUP($J1109,'Type Chart'!$C$2:$T$20,16,false)*HLOOKUP($K1109,'Type Chart'!$C$2:$U$20,16,false)</f>
        <v>2</v>
      </c>
      <c r="AJ1109" s="960">
        <f t="array" ref="AJ1109">HLOOKUP($J1109,'Type Chart'!$C$2:$T$20,17,false)*HLOOKUP($K1109,'Type Chart'!$C$2:$U$20,17,false)</f>
        <v>2</v>
      </c>
      <c r="AK1109" s="960">
        <f t="array" ref="AK1109">HLOOKUP($J1109,'Type Chart'!$C$2:$T$20,18,false)*HLOOKUP($K1109,'Type Chart'!$C$2:$U$20,18,false)</f>
        <v>2</v>
      </c>
      <c r="AL1109" s="960">
        <f t="array" ref="AL1109">HLOOKUP($J1109,'Type Chart'!$C$2:$T$20,19,false)*HLOOKUP($K1109,'Type Chart'!$C$2:$U$20,19,false)</f>
        <v>2</v>
      </c>
      <c r="AM1109" s="964" t="s">
        <v>1324</v>
      </c>
      <c r="AN1109" s="964" t="s">
        <v>1193</v>
      </c>
      <c r="AO1109" s="966" t="s">
        <v>1442</v>
      </c>
      <c r="AP1109" s="936"/>
      <c r="AQ1109" s="967"/>
      <c r="AR1109" s="968"/>
      <c r="AS1109" s="936"/>
    </row>
    <row r="1110" ht="15.75" customHeight="1">
      <c r="A1110" s="1099"/>
      <c r="B1110" s="948" t="s">
        <v>4084</v>
      </c>
      <c r="C1110" s="1197" t="s">
        <v>4085</v>
      </c>
      <c r="D1110" s="1197" t="s">
        <v>4085</v>
      </c>
      <c r="E1110" s="1147" t="s">
        <v>4085</v>
      </c>
      <c r="F1110" s="940"/>
      <c r="G1110" s="953"/>
      <c r="H1110" s="969"/>
      <c r="I1110" s="998" t="s">
        <v>286</v>
      </c>
      <c r="J1110" s="1234" t="s">
        <v>127</v>
      </c>
      <c r="K1110" s="1199" t="s">
        <v>216</v>
      </c>
      <c r="L1110" s="1200">
        <v>92.0</v>
      </c>
      <c r="M1110" s="1201">
        <v>130.0</v>
      </c>
      <c r="N1110" s="1201">
        <v>115.0</v>
      </c>
      <c r="O1110" s="1201">
        <v>80.0</v>
      </c>
      <c r="P1110" s="1201">
        <v>115.0</v>
      </c>
      <c r="Q1110" s="1201">
        <v>138.0</v>
      </c>
      <c r="R1110" s="960">
        <v>312.0</v>
      </c>
      <c r="S1110" s="960">
        <v>375.0</v>
      </c>
      <c r="T1110" s="960">
        <v>412.0</v>
      </c>
      <c r="U1110" s="960">
        <f t="array" ref="U1110">HLOOKUP($J1110,'Type Chart'!$C$2:$T$20,2,false)*HLOOKUP($K1110,'Type Chart'!$C$2:$U$20,2,false)</f>
        <v>1</v>
      </c>
      <c r="V1110" s="960">
        <f t="array" ref="V1110">HLOOKUP($J1110,'Type Chart'!$C$2:$T$20,3,false)*HLOOKUP($K1110,'Type Chart'!$C$2:$U$20,3,false)</f>
        <v>0.5</v>
      </c>
      <c r="W1110" s="960">
        <f t="array" ref="W1110">HLOOKUP($J1110,'Type Chart'!$C$2:$T$20,4,false)*HLOOKUP($K1110,'Type Chart'!$C$2:$U$20,4,false)</f>
        <v>1</v>
      </c>
      <c r="X1110" s="960">
        <f t="array" ref="X1110">HLOOKUP($J1110,'Type Chart'!$C$2:$T$20,5,false)*HLOOKUP($K1110,'Type Chart'!$C$2:$U$20,5,false)</f>
        <v>2</v>
      </c>
      <c r="Y1110" s="960">
        <f t="array" ref="Y1110">HLOOKUP($J1110,'Type Chart'!$C$2:$T$20,6,false)*HLOOKUP($K1110,'Type Chart'!$C$2:$U$20,6,false)</f>
        <v>1</v>
      </c>
      <c r="Z1110" s="960">
        <f t="array" ref="Z1110">HLOOKUP($J1110,'Type Chart'!$C$2:$T$20,7,false)*HLOOKUP($K1110,'Type Chart'!$C$2:$U$20,7,false)</f>
        <v>1</v>
      </c>
      <c r="AA1110" s="960">
        <f t="array" ref="AA1110">HLOOKUP($J1110,'Type Chart'!$C$2:$T$20,8,false)*HLOOKUP($K1110,'Type Chart'!$C$2:$U$20,8,false)</f>
        <v>0.5</v>
      </c>
      <c r="AB1110" s="960">
        <f t="array" ref="AB1110">HLOOKUP($J1110,'Type Chart'!$C$2:$T$20,9,false)*HLOOKUP($K1110,'Type Chart'!$C$2:$U$20,9,false)</f>
        <v>1</v>
      </c>
      <c r="AC1110" s="960">
        <f t="array" ref="AC1110">HLOOKUP($J1110,'Type Chart'!$C$2:$T$20,10,false)*HLOOKUP($K1110,'Type Chart'!$C$2:$U$20,10,false)</f>
        <v>2</v>
      </c>
      <c r="AD1110" s="960">
        <f t="array" ref="AD1110">HLOOKUP($J1110,'Type Chart'!$C$2:$T$20,11,false)*HLOOKUP($K1110,'Type Chart'!$C$2:$U$20,11,false)</f>
        <v>1</v>
      </c>
      <c r="AE1110" s="960">
        <f t="array" ref="AE1110">HLOOKUP($J1110,'Type Chart'!$C$2:$T$20,12,false)*HLOOKUP($K1110,'Type Chart'!$C$2:$U$20,12,false)</f>
        <v>1</v>
      </c>
      <c r="AF1110" s="960">
        <f t="array" ref="AF1110">HLOOKUP($J1110,'Type Chart'!$C$2:$T$20,13,false)*HLOOKUP($K1110,'Type Chart'!$C$2:$U$20,13,false)</f>
        <v>1</v>
      </c>
      <c r="AG1110" s="960">
        <f t="array" ref="AG1110">HLOOKUP($J1110,'Type Chart'!$C$2:$T$20,14,false)*HLOOKUP($K1110,'Type Chart'!$C$2:$U$20,14,false)</f>
        <v>1</v>
      </c>
      <c r="AH1110" s="960">
        <f t="array" ref="AH1110">HLOOKUP($J1110,'Type Chart'!$C$2:$T$20,15,false)*HLOOKUP($K1110,'Type Chart'!$C$2:$U$20,15,false)</f>
        <v>1</v>
      </c>
      <c r="AI1110" s="960">
        <f t="array" ref="AI1110">HLOOKUP($J1110,'Type Chart'!$C$2:$T$20,16,false)*HLOOKUP($K1110,'Type Chart'!$C$2:$U$20,16,false)</f>
        <v>1</v>
      </c>
      <c r="AJ1110" s="960">
        <f t="array" ref="AJ1110">HLOOKUP($J1110,'Type Chart'!$C$2:$T$20,17,false)*HLOOKUP($K1110,'Type Chart'!$C$2:$U$20,17,false)</f>
        <v>0</v>
      </c>
      <c r="AK1110" s="960">
        <f t="array" ref="AK1110">HLOOKUP($J1110,'Type Chart'!$C$2:$T$20,18,false)*HLOOKUP($K1110,'Type Chart'!$C$2:$U$20,18,false)</f>
        <v>0.5</v>
      </c>
      <c r="AL1110" s="960">
        <f t="array" ref="AL1110">HLOOKUP($J1110,'Type Chart'!$C$2:$T$20,19,false)*HLOOKUP($K1110,'Type Chart'!$C$2:$U$20,19,false)</f>
        <v>1</v>
      </c>
      <c r="AM1110" s="1145" t="s">
        <v>4086</v>
      </c>
      <c r="AN1110" s="1202"/>
      <c r="AO1110" s="1146"/>
      <c r="AP1110" s="936"/>
      <c r="AQ1110" s="967"/>
      <c r="AR1110" s="968"/>
      <c r="AS1110" s="936"/>
    </row>
    <row r="1111" ht="15.75" customHeight="1">
      <c r="A1111" s="1099"/>
      <c r="B1111" s="948" t="s">
        <v>4087</v>
      </c>
      <c r="C1111" s="1197" t="s">
        <v>4088</v>
      </c>
      <c r="D1111" s="1197" t="s">
        <v>4088</v>
      </c>
      <c r="E1111" s="1147" t="s">
        <v>4088</v>
      </c>
      <c r="F1111" s="940"/>
      <c r="G1111" s="953"/>
      <c r="H1111" s="969"/>
      <c r="I1111" s="1226" t="s">
        <v>287</v>
      </c>
      <c r="J1111" s="1234" t="s">
        <v>127</v>
      </c>
      <c r="K1111" s="1233" t="s">
        <v>82</v>
      </c>
      <c r="L1111" s="1200">
        <v>92.0</v>
      </c>
      <c r="M1111" s="1201">
        <v>170.0</v>
      </c>
      <c r="N1111" s="1201">
        <v>115.0</v>
      </c>
      <c r="O1111" s="1201">
        <v>80.0</v>
      </c>
      <c r="P1111" s="1201">
        <v>115.0</v>
      </c>
      <c r="Q1111" s="1201">
        <v>148.0</v>
      </c>
      <c r="R1111" s="960">
        <v>332.0</v>
      </c>
      <c r="S1111" s="960">
        <v>395.0</v>
      </c>
      <c r="T1111" s="960">
        <v>434.0</v>
      </c>
      <c r="U1111" s="960">
        <f t="array" ref="U1111">HLOOKUP($J1111,'Type Chart'!$C$2:$T$20,2,false)*HLOOKUP($K1111,'Type Chart'!$C$2:$U$20,2,false)</f>
        <v>0.5</v>
      </c>
      <c r="V1111" s="960">
        <f t="array" ref="V1111">HLOOKUP($J1111,'Type Chart'!$C$2:$T$20,3,false)*HLOOKUP($K1111,'Type Chart'!$C$2:$U$20,3,false)</f>
        <v>1</v>
      </c>
      <c r="W1111" s="960">
        <f t="array" ref="W1111">HLOOKUP($J1111,'Type Chart'!$C$2:$T$20,4,false)*HLOOKUP($K1111,'Type Chart'!$C$2:$U$20,4,false)</f>
        <v>0.5</v>
      </c>
      <c r="X1111" s="960">
        <f t="array" ref="X1111">HLOOKUP($J1111,'Type Chart'!$C$2:$T$20,5,false)*HLOOKUP($K1111,'Type Chart'!$C$2:$U$20,5,false)</f>
        <v>0</v>
      </c>
      <c r="Y1111" s="960">
        <f t="array" ref="Y1111">HLOOKUP($J1111,'Type Chart'!$C$2:$T$20,6,false)*HLOOKUP($K1111,'Type Chart'!$C$2:$U$20,6,false)</f>
        <v>2</v>
      </c>
      <c r="Z1111" s="960">
        <f t="array" ref="Z1111">HLOOKUP($J1111,'Type Chart'!$C$2:$T$20,7,false)*HLOOKUP($K1111,'Type Chart'!$C$2:$U$20,7,false)</f>
        <v>0.5</v>
      </c>
      <c r="AA1111" s="960">
        <f t="array" ref="AA1111">HLOOKUP($J1111,'Type Chart'!$C$2:$T$20,8,false)*HLOOKUP($K1111,'Type Chart'!$C$2:$U$20,8,false)</f>
        <v>0.25</v>
      </c>
      <c r="AB1111" s="960">
        <f t="array" ref="AB1111">HLOOKUP($J1111,'Type Chart'!$C$2:$T$20,9,false)*HLOOKUP($K1111,'Type Chart'!$C$2:$U$20,9,false)</f>
        <v>1</v>
      </c>
      <c r="AC1111" s="960">
        <f t="array" ref="AC1111">HLOOKUP($J1111,'Type Chart'!$C$2:$T$20,10,false)*HLOOKUP($K1111,'Type Chart'!$C$2:$U$20,10,false)</f>
        <v>1</v>
      </c>
      <c r="AD1111" s="960">
        <f t="array" ref="AD1111">HLOOKUP($J1111,'Type Chart'!$C$2:$T$20,11,false)*HLOOKUP($K1111,'Type Chart'!$C$2:$U$20,11,false)</f>
        <v>2</v>
      </c>
      <c r="AE1111" s="960">
        <f t="array" ref="AE1111">HLOOKUP($J1111,'Type Chart'!$C$2:$T$20,12,false)*HLOOKUP($K1111,'Type Chart'!$C$2:$U$20,12,false)</f>
        <v>1</v>
      </c>
      <c r="AF1111" s="960">
        <f t="array" ref="AF1111">HLOOKUP($J1111,'Type Chart'!$C$2:$T$20,13,false)*HLOOKUP($K1111,'Type Chart'!$C$2:$U$20,13,false)</f>
        <v>0.5</v>
      </c>
      <c r="AG1111" s="960">
        <f t="array" ref="AG1111">HLOOKUP($J1111,'Type Chart'!$C$2:$T$20,14,false)*HLOOKUP($K1111,'Type Chart'!$C$2:$U$20,14,false)</f>
        <v>1</v>
      </c>
      <c r="AH1111" s="960">
        <f t="array" ref="AH1111">HLOOKUP($J1111,'Type Chart'!$C$2:$T$20,15,false)*HLOOKUP($K1111,'Type Chart'!$C$2:$U$20,15,false)</f>
        <v>0.5</v>
      </c>
      <c r="AI1111" s="960">
        <f t="array" ref="AI1111">HLOOKUP($J1111,'Type Chart'!$C$2:$T$20,16,false)*HLOOKUP($K1111,'Type Chart'!$C$2:$U$20,16,false)</f>
        <v>0.5</v>
      </c>
      <c r="AJ1111" s="960">
        <f t="array" ref="AJ1111">HLOOKUP($J1111,'Type Chart'!$C$2:$T$20,17,false)*HLOOKUP($K1111,'Type Chart'!$C$2:$U$20,17,false)</f>
        <v>0</v>
      </c>
      <c r="AK1111" s="960">
        <f t="array" ref="AK1111">HLOOKUP($J1111,'Type Chart'!$C$2:$T$20,18,false)*HLOOKUP($K1111,'Type Chart'!$C$2:$U$20,18,false)</f>
        <v>0.5</v>
      </c>
      <c r="AL1111" s="960">
        <f t="array" ref="AL1111">HLOOKUP($J1111,'Type Chart'!$C$2:$T$20,19,false)*HLOOKUP($K1111,'Type Chart'!$C$2:$U$20,19,false)</f>
        <v>0.5</v>
      </c>
      <c r="AM1111" s="1145" t="s">
        <v>4086</v>
      </c>
      <c r="AN1111" s="1202"/>
      <c r="AO1111" s="1146"/>
      <c r="AP1111" s="936"/>
      <c r="AQ1111" s="967"/>
      <c r="AR1111" s="968"/>
      <c r="AS1111" s="936"/>
    </row>
    <row r="1112" ht="15.75" customHeight="1">
      <c r="A1112" s="936"/>
      <c r="B1112" s="948" t="s">
        <v>4089</v>
      </c>
      <c r="C1112" s="950" t="s">
        <v>4090</v>
      </c>
      <c r="D1112" s="950" t="s">
        <v>4090</v>
      </c>
      <c r="E1112" s="952" t="s">
        <v>4090</v>
      </c>
      <c r="F1112" s="940"/>
      <c r="G1112" s="953"/>
      <c r="H1112" s="969"/>
      <c r="I1112" s="956" t="s">
        <v>289</v>
      </c>
      <c r="J1112" s="1213" t="s">
        <v>341</v>
      </c>
      <c r="K1112" s="984" t="s">
        <v>216</v>
      </c>
      <c r="L1112" s="959">
        <v>92.0</v>
      </c>
      <c r="M1112" s="960">
        <v>130.0</v>
      </c>
      <c r="N1112" s="960">
        <v>115.0</v>
      </c>
      <c r="O1112" s="960">
        <v>80.0</v>
      </c>
      <c r="P1112" s="960">
        <v>115.0</v>
      </c>
      <c r="Q1112" s="960">
        <v>138.0</v>
      </c>
      <c r="R1112" s="960">
        <v>312.0</v>
      </c>
      <c r="S1112" s="960">
        <v>375.0</v>
      </c>
      <c r="T1112" s="960">
        <v>412.0</v>
      </c>
      <c r="U1112" s="960">
        <f t="array" ref="U1112">HLOOKUP($J1112,'Type Chart'!$C$2:$T$20,2,false)*HLOOKUP($K1112,'Type Chart'!$C$2:$U$20,2,false)</f>
        <v>1</v>
      </c>
      <c r="V1112" s="960">
        <f t="array" ref="V1112">HLOOKUP($J1112,'Type Chart'!$C$2:$T$20,3,false)*HLOOKUP($K1112,'Type Chart'!$C$2:$U$20,3,false)</f>
        <v>1</v>
      </c>
      <c r="W1112" s="960">
        <f t="array" ref="W1112">HLOOKUP($J1112,'Type Chart'!$C$2:$T$20,4,false)*HLOOKUP($K1112,'Type Chart'!$C$2:$U$20,4,false)</f>
        <v>2</v>
      </c>
      <c r="X1112" s="960">
        <f t="array" ref="X1112">HLOOKUP($J1112,'Type Chart'!$C$2:$T$20,5,false)*HLOOKUP($K1112,'Type Chart'!$C$2:$U$20,5,false)</f>
        <v>1</v>
      </c>
      <c r="Y1112" s="960">
        <f t="array" ref="Y1112">HLOOKUP($J1112,'Type Chart'!$C$2:$T$20,6,false)*HLOOKUP($K1112,'Type Chart'!$C$2:$U$20,6,false)</f>
        <v>1</v>
      </c>
      <c r="Z1112" s="960">
        <f t="array" ref="Z1112">HLOOKUP($J1112,'Type Chart'!$C$2:$T$20,7,false)*HLOOKUP($K1112,'Type Chart'!$C$2:$U$20,7,false)</f>
        <v>0.5</v>
      </c>
      <c r="AA1112" s="960">
        <f t="array" ref="AA1112">HLOOKUP($J1112,'Type Chart'!$C$2:$T$20,8,false)*HLOOKUP($K1112,'Type Chart'!$C$2:$U$20,8,false)</f>
        <v>0.5</v>
      </c>
      <c r="AB1112" s="960">
        <f t="array" ref="AB1112">HLOOKUP($J1112,'Type Chart'!$C$2:$T$20,9,false)*HLOOKUP($K1112,'Type Chart'!$C$2:$U$20,9,false)</f>
        <v>1</v>
      </c>
      <c r="AC1112" s="960">
        <f t="array" ref="AC1112">HLOOKUP($J1112,'Type Chart'!$C$2:$T$20,10,false)*HLOOKUP($K1112,'Type Chart'!$C$2:$U$20,10,false)</f>
        <v>1</v>
      </c>
      <c r="AD1112" s="960">
        <f t="array" ref="AD1112">HLOOKUP($J1112,'Type Chart'!$C$2:$T$20,11,false)*HLOOKUP($K1112,'Type Chart'!$C$2:$U$20,11,false)</f>
        <v>1</v>
      </c>
      <c r="AE1112" s="960">
        <f t="array" ref="AE1112">HLOOKUP($J1112,'Type Chart'!$C$2:$T$20,12,false)*HLOOKUP($K1112,'Type Chart'!$C$2:$U$20,12,false)</f>
        <v>1</v>
      </c>
      <c r="AF1112" s="960">
        <f t="array" ref="AF1112">HLOOKUP($J1112,'Type Chart'!$C$2:$T$20,13,false)*HLOOKUP($K1112,'Type Chart'!$C$2:$U$20,13,false)</f>
        <v>1</v>
      </c>
      <c r="AG1112" s="960">
        <f t="array" ref="AG1112">HLOOKUP($J1112,'Type Chart'!$C$2:$T$20,14,false)*HLOOKUP($K1112,'Type Chart'!$C$2:$U$20,14,false)</f>
        <v>1</v>
      </c>
      <c r="AH1112" s="960">
        <f t="array" ref="AH1112">HLOOKUP($J1112,'Type Chart'!$C$2:$T$20,15,false)*HLOOKUP($K1112,'Type Chart'!$C$2:$U$20,15,false)</f>
        <v>2</v>
      </c>
      <c r="AI1112" s="960">
        <f t="array" ref="AI1112">HLOOKUP($J1112,'Type Chart'!$C$2:$T$20,16,false)*HLOOKUP($K1112,'Type Chart'!$C$2:$U$20,16,false)</f>
        <v>1</v>
      </c>
      <c r="AJ1112" s="960">
        <f t="array" ref="AJ1112">HLOOKUP($J1112,'Type Chart'!$C$2:$T$20,17,false)*HLOOKUP($K1112,'Type Chart'!$C$2:$U$20,17,false)</f>
        <v>1</v>
      </c>
      <c r="AK1112" s="960">
        <f t="array" ref="AK1112">HLOOKUP($J1112,'Type Chart'!$C$2:$T$20,18,false)*HLOOKUP($K1112,'Type Chart'!$C$2:$U$20,18,false)</f>
        <v>0.5</v>
      </c>
      <c r="AL1112" s="960">
        <f t="array" ref="AL1112">HLOOKUP($J1112,'Type Chart'!$C$2:$T$20,19,false)*HLOOKUP($K1112,'Type Chart'!$C$2:$U$20,19,false)</f>
        <v>2</v>
      </c>
      <c r="AM1112" s="964" t="s">
        <v>4091</v>
      </c>
      <c r="AN1112" s="965"/>
      <c r="AO1112" s="966"/>
      <c r="AP1112" s="936"/>
      <c r="AQ1112" s="967"/>
      <c r="AR1112" s="968"/>
      <c r="AS1112" s="936"/>
    </row>
    <row r="1113" ht="15.75" customHeight="1">
      <c r="A1113" s="936"/>
      <c r="B1113" s="948" t="s">
        <v>4092</v>
      </c>
      <c r="C1113" s="950" t="s">
        <v>4093</v>
      </c>
      <c r="D1113" s="950" t="s">
        <v>4093</v>
      </c>
      <c r="E1113" s="952" t="s">
        <v>4093</v>
      </c>
      <c r="F1113" s="940"/>
      <c r="G1113" s="953"/>
      <c r="H1113" s="969"/>
      <c r="I1113" s="1226" t="s">
        <v>268</v>
      </c>
      <c r="J1113" s="1213" t="s">
        <v>341</v>
      </c>
      <c r="K1113" s="1206" t="s">
        <v>82</v>
      </c>
      <c r="L1113" s="959">
        <v>92.0</v>
      </c>
      <c r="M1113" s="960">
        <v>130.0</v>
      </c>
      <c r="N1113" s="960">
        <v>145.0</v>
      </c>
      <c r="O1113" s="960">
        <v>80.0</v>
      </c>
      <c r="P1113" s="960">
        <v>145.0</v>
      </c>
      <c r="Q1113" s="960">
        <v>128.0</v>
      </c>
      <c r="R1113" s="960">
        <v>292.0</v>
      </c>
      <c r="S1113" s="960">
        <v>355.0</v>
      </c>
      <c r="T1113" s="960">
        <v>390.0</v>
      </c>
      <c r="U1113" s="960">
        <f t="array" ref="U1113">HLOOKUP($J1113,'Type Chart'!$C$2:$T$20,2,false)*HLOOKUP($K1113,'Type Chart'!$C$2:$U$20,2,false)</f>
        <v>0.5</v>
      </c>
      <c r="V1113" s="960">
        <f t="array" ref="V1113">HLOOKUP($J1113,'Type Chart'!$C$2:$T$20,3,false)*HLOOKUP($K1113,'Type Chart'!$C$2:$U$20,3,false)</f>
        <v>2</v>
      </c>
      <c r="W1113" s="960">
        <f t="array" ref="W1113">HLOOKUP($J1113,'Type Chart'!$C$2:$T$20,4,false)*HLOOKUP($K1113,'Type Chart'!$C$2:$U$20,4,false)</f>
        <v>1</v>
      </c>
      <c r="X1113" s="960">
        <f t="array" ref="X1113">HLOOKUP($J1113,'Type Chart'!$C$2:$T$20,5,false)*HLOOKUP($K1113,'Type Chart'!$C$2:$U$20,5,false)</f>
        <v>0</v>
      </c>
      <c r="Y1113" s="960">
        <f t="array" ref="Y1113">HLOOKUP($J1113,'Type Chart'!$C$2:$T$20,6,false)*HLOOKUP($K1113,'Type Chart'!$C$2:$U$20,6,false)</f>
        <v>2</v>
      </c>
      <c r="Z1113" s="960">
        <f t="array" ref="Z1113">HLOOKUP($J1113,'Type Chart'!$C$2:$T$20,7,false)*HLOOKUP($K1113,'Type Chart'!$C$2:$U$20,7,false)</f>
        <v>0.25</v>
      </c>
      <c r="AA1113" s="960">
        <f t="array" ref="AA1113">HLOOKUP($J1113,'Type Chart'!$C$2:$T$20,8,false)*HLOOKUP($K1113,'Type Chart'!$C$2:$U$20,8,false)</f>
        <v>0.25</v>
      </c>
      <c r="AB1113" s="960">
        <f t="array" ref="AB1113">HLOOKUP($J1113,'Type Chart'!$C$2:$T$20,9,false)*HLOOKUP($K1113,'Type Chart'!$C$2:$U$20,9,false)</f>
        <v>1</v>
      </c>
      <c r="AC1113" s="960">
        <f t="array" ref="AC1113">HLOOKUP($J1113,'Type Chart'!$C$2:$T$20,10,false)*HLOOKUP($K1113,'Type Chart'!$C$2:$U$20,10,false)</f>
        <v>0.5</v>
      </c>
      <c r="AD1113" s="960">
        <f t="array" ref="AD1113">HLOOKUP($J1113,'Type Chart'!$C$2:$T$20,11,false)*HLOOKUP($K1113,'Type Chart'!$C$2:$U$20,11,false)</f>
        <v>2</v>
      </c>
      <c r="AE1113" s="960">
        <f t="array" ref="AE1113">HLOOKUP($J1113,'Type Chart'!$C$2:$T$20,12,false)*HLOOKUP($K1113,'Type Chart'!$C$2:$U$20,12,false)</f>
        <v>1</v>
      </c>
      <c r="AF1113" s="960">
        <f t="array" ref="AF1113">HLOOKUP($J1113,'Type Chart'!$C$2:$T$20,13,false)*HLOOKUP($K1113,'Type Chart'!$C$2:$U$20,13,false)</f>
        <v>0.5</v>
      </c>
      <c r="AG1113" s="960">
        <f t="array" ref="AG1113">HLOOKUP($J1113,'Type Chart'!$C$2:$T$20,14,false)*HLOOKUP($K1113,'Type Chart'!$C$2:$U$20,14,false)</f>
        <v>1</v>
      </c>
      <c r="AH1113" s="960">
        <f t="array" ref="AH1113">HLOOKUP($J1113,'Type Chart'!$C$2:$T$20,15,false)*HLOOKUP($K1113,'Type Chart'!$C$2:$U$20,15,false)</f>
        <v>1</v>
      </c>
      <c r="AI1113" s="960">
        <f t="array" ref="AI1113">HLOOKUP($J1113,'Type Chart'!$C$2:$T$20,16,false)*HLOOKUP($K1113,'Type Chart'!$C$2:$U$20,16,false)</f>
        <v>0.5</v>
      </c>
      <c r="AJ1113" s="960">
        <f t="array" ref="AJ1113">HLOOKUP($J1113,'Type Chart'!$C$2:$T$20,17,false)*HLOOKUP($K1113,'Type Chart'!$C$2:$U$20,17,false)</f>
        <v>0.5</v>
      </c>
      <c r="AK1113" s="960">
        <f t="array" ref="AK1113">HLOOKUP($J1113,'Type Chart'!$C$2:$T$20,18,false)*HLOOKUP($K1113,'Type Chart'!$C$2:$U$20,18,false)</f>
        <v>0.5</v>
      </c>
      <c r="AL1113" s="960">
        <f t="array" ref="AL1113">HLOOKUP($J1113,'Type Chart'!$C$2:$T$20,19,false)*HLOOKUP($K1113,'Type Chart'!$C$2:$U$20,19,false)</f>
        <v>1</v>
      </c>
      <c r="AM1113" s="964" t="s">
        <v>4091</v>
      </c>
      <c r="AN1113" s="965"/>
      <c r="AO1113" s="966"/>
      <c r="AP1113" s="936"/>
      <c r="AQ1113" s="967"/>
      <c r="AR1113" s="968"/>
      <c r="AS1113" s="936"/>
    </row>
    <row r="1114" ht="15.75" customHeight="1">
      <c r="A1114" s="936"/>
      <c r="B1114" s="948" t="s">
        <v>4094</v>
      </c>
      <c r="C1114" s="950" t="s">
        <v>4095</v>
      </c>
      <c r="D1114" s="950" t="s">
        <v>4095</v>
      </c>
      <c r="E1114" s="952" t="s">
        <v>4095</v>
      </c>
      <c r="F1114" s="940"/>
      <c r="G1114" s="953"/>
      <c r="H1114" s="969"/>
      <c r="I1114" s="956" t="s">
        <v>240</v>
      </c>
      <c r="J1114" s="958" t="s">
        <v>178</v>
      </c>
      <c r="K1114" s="1006" t="s">
        <v>346</v>
      </c>
      <c r="L1114" s="959">
        <v>140.0</v>
      </c>
      <c r="M1114" s="960">
        <v>85.0</v>
      </c>
      <c r="N1114" s="960">
        <v>95.0</v>
      </c>
      <c r="O1114" s="960">
        <v>145.0</v>
      </c>
      <c r="P1114" s="960">
        <v>95.0</v>
      </c>
      <c r="Q1114" s="960">
        <v>130.0</v>
      </c>
      <c r="R1114" s="960">
        <v>296.0</v>
      </c>
      <c r="S1114" s="960">
        <v>359.0</v>
      </c>
      <c r="T1114" s="960">
        <v>394.0</v>
      </c>
      <c r="U1114" s="960">
        <f t="array" ref="U1114">HLOOKUP($J1114,'Type Chart'!$C$2:$T$20,2,false)*HLOOKUP($K1114,'Type Chart'!$C$2:$U$20,2,false)</f>
        <v>1</v>
      </c>
      <c r="V1114" s="960">
        <f t="array" ref="V1114">HLOOKUP($J1114,'Type Chart'!$C$2:$T$20,3,false)*HLOOKUP($K1114,'Type Chart'!$C$2:$U$20,3,false)</f>
        <v>0.5</v>
      </c>
      <c r="W1114" s="960">
        <f t="array" ref="W1114">HLOOKUP($J1114,'Type Chart'!$C$2:$T$20,4,false)*HLOOKUP($K1114,'Type Chart'!$C$2:$U$20,4,false)</f>
        <v>1</v>
      </c>
      <c r="X1114" s="960">
        <f t="array" ref="X1114">HLOOKUP($J1114,'Type Chart'!$C$2:$T$20,5,false)*HLOOKUP($K1114,'Type Chart'!$C$2:$U$20,5,false)</f>
        <v>0.5</v>
      </c>
      <c r="Y1114" s="960">
        <f t="array" ref="Y1114">HLOOKUP($J1114,'Type Chart'!$C$2:$T$20,6,false)*HLOOKUP($K1114,'Type Chart'!$C$2:$U$20,6,false)</f>
        <v>2</v>
      </c>
      <c r="Z1114" s="960">
        <f t="array" ref="Z1114">HLOOKUP($J1114,'Type Chart'!$C$2:$T$20,7,false)*HLOOKUP($K1114,'Type Chart'!$C$2:$U$20,7,false)</f>
        <v>1</v>
      </c>
      <c r="AA1114" s="960">
        <f t="array" ref="AA1114">HLOOKUP($J1114,'Type Chart'!$C$2:$T$20,8,false)*HLOOKUP($K1114,'Type Chart'!$C$2:$U$20,8,false)</f>
        <v>0.5</v>
      </c>
      <c r="AB1114" s="960">
        <f t="array" ref="AB1114">HLOOKUP($J1114,'Type Chart'!$C$2:$T$20,9,false)*HLOOKUP($K1114,'Type Chart'!$C$2:$U$20,9,false)</f>
        <v>1</v>
      </c>
      <c r="AC1114" s="960">
        <f t="array" ref="AC1114">HLOOKUP($J1114,'Type Chart'!$C$2:$T$20,10,false)*HLOOKUP($K1114,'Type Chart'!$C$2:$U$20,10,false)</f>
        <v>1</v>
      </c>
      <c r="AD1114" s="960">
        <f t="array" ref="AD1114">HLOOKUP($J1114,'Type Chart'!$C$2:$T$20,11,false)*HLOOKUP($K1114,'Type Chart'!$C$2:$U$20,11,false)</f>
        <v>0.5</v>
      </c>
      <c r="AE1114" s="960">
        <f t="array" ref="AE1114">HLOOKUP($J1114,'Type Chart'!$C$2:$T$20,12,false)*HLOOKUP($K1114,'Type Chart'!$C$2:$U$20,12,false)</f>
        <v>0.5</v>
      </c>
      <c r="AF1114" s="960">
        <f t="array" ref="AF1114">HLOOKUP($J1114,'Type Chart'!$C$2:$T$20,13,false)*HLOOKUP($K1114,'Type Chart'!$C$2:$U$20,13,false)</f>
        <v>0.25</v>
      </c>
      <c r="AG1114" s="960">
        <f t="array" ref="AG1114">HLOOKUP($J1114,'Type Chart'!$C$2:$T$20,14,false)*HLOOKUP($K1114,'Type Chart'!$C$2:$U$20,14,false)</f>
        <v>0.5</v>
      </c>
      <c r="AH1114" s="960">
        <f t="array" ref="AH1114">HLOOKUP($J1114,'Type Chart'!$C$2:$T$20,15,false)*HLOOKUP($K1114,'Type Chart'!$C$2:$U$20,15,false)</f>
        <v>2</v>
      </c>
      <c r="AI1114" s="960">
        <f t="array" ref="AI1114">HLOOKUP($J1114,'Type Chart'!$C$2:$T$20,16,false)*HLOOKUP($K1114,'Type Chart'!$C$2:$U$20,16,false)</f>
        <v>2</v>
      </c>
      <c r="AJ1114" s="960">
        <f t="array" ref="AJ1114">HLOOKUP($J1114,'Type Chart'!$C$2:$T$20,17,false)*HLOOKUP($K1114,'Type Chart'!$C$2:$U$20,17,false)</f>
        <v>2</v>
      </c>
      <c r="AK1114" s="960">
        <f t="array" ref="AK1114">HLOOKUP($J1114,'Type Chart'!$C$2:$T$20,18,false)*HLOOKUP($K1114,'Type Chart'!$C$2:$U$20,18,false)</f>
        <v>1</v>
      </c>
      <c r="AL1114" s="960">
        <f t="array" ref="AL1114">HLOOKUP($J1114,'Type Chart'!$C$2:$T$20,19,false)*HLOOKUP($K1114,'Type Chart'!$C$2:$U$20,19,false)</f>
        <v>1</v>
      </c>
      <c r="AM1114" s="964" t="s">
        <v>1636</v>
      </c>
      <c r="AN1114" s="965"/>
      <c r="AO1114" s="966"/>
      <c r="AP1114" s="936"/>
      <c r="AQ1114" s="967"/>
      <c r="AR1114" s="968"/>
      <c r="AS1114" s="936"/>
    </row>
    <row r="1115" ht="15.75" customHeight="1">
      <c r="A1115" s="936"/>
      <c r="B1115" s="948" t="s">
        <v>4096</v>
      </c>
      <c r="C1115" s="950" t="s">
        <v>4097</v>
      </c>
      <c r="D1115" s="950" t="s">
        <v>4097</v>
      </c>
      <c r="E1115" s="952" t="s">
        <v>4097</v>
      </c>
      <c r="F1115" s="940"/>
      <c r="G1115" s="953"/>
      <c r="H1115" s="969"/>
      <c r="I1115" s="956" t="s">
        <v>4098</v>
      </c>
      <c r="J1115" s="958" t="s">
        <v>178</v>
      </c>
      <c r="K1115" s="1006" t="s">
        <v>346</v>
      </c>
      <c r="L1115" s="959">
        <v>255.0</v>
      </c>
      <c r="M1115" s="960">
        <v>115.0</v>
      </c>
      <c r="N1115" s="960">
        <v>250.0</v>
      </c>
      <c r="O1115" s="960">
        <v>125.0</v>
      </c>
      <c r="P1115" s="960">
        <v>250.0</v>
      </c>
      <c r="Q1115" s="960">
        <v>130.0</v>
      </c>
      <c r="R1115" s="960">
        <v>296.0</v>
      </c>
      <c r="S1115" s="960">
        <v>359.0</v>
      </c>
      <c r="T1115" s="960">
        <v>394.0</v>
      </c>
      <c r="U1115" s="960">
        <f t="array" ref="U1115">HLOOKUP($J1115,'Type Chart'!$C$2:$T$20,2,false)*HLOOKUP($K1115,'Type Chart'!$C$2:$U$20,2,false)</f>
        <v>1</v>
      </c>
      <c r="V1115" s="960">
        <f t="array" ref="V1115">HLOOKUP($J1115,'Type Chart'!$C$2:$T$20,3,false)*HLOOKUP($K1115,'Type Chart'!$C$2:$U$20,3,false)</f>
        <v>0.5</v>
      </c>
      <c r="W1115" s="960">
        <f t="array" ref="W1115">HLOOKUP($J1115,'Type Chart'!$C$2:$T$20,4,false)*HLOOKUP($K1115,'Type Chart'!$C$2:$U$20,4,false)</f>
        <v>1</v>
      </c>
      <c r="X1115" s="960">
        <f t="array" ref="X1115">HLOOKUP($J1115,'Type Chart'!$C$2:$T$20,5,false)*HLOOKUP($K1115,'Type Chart'!$C$2:$U$20,5,false)</f>
        <v>0.5</v>
      </c>
      <c r="Y1115" s="960">
        <f t="array" ref="Y1115">HLOOKUP($J1115,'Type Chart'!$C$2:$T$20,6,false)*HLOOKUP($K1115,'Type Chart'!$C$2:$U$20,6,false)</f>
        <v>2</v>
      </c>
      <c r="Z1115" s="960">
        <f t="array" ref="Z1115">HLOOKUP($J1115,'Type Chart'!$C$2:$T$20,7,false)*HLOOKUP($K1115,'Type Chart'!$C$2:$U$20,7,false)</f>
        <v>1</v>
      </c>
      <c r="AA1115" s="960">
        <f t="array" ref="AA1115">HLOOKUP($J1115,'Type Chart'!$C$2:$T$20,8,false)*HLOOKUP($K1115,'Type Chart'!$C$2:$U$20,8,false)</f>
        <v>0.5</v>
      </c>
      <c r="AB1115" s="960">
        <f t="array" ref="AB1115">HLOOKUP($J1115,'Type Chart'!$C$2:$T$20,9,false)*HLOOKUP($K1115,'Type Chart'!$C$2:$U$20,9,false)</f>
        <v>1</v>
      </c>
      <c r="AC1115" s="960">
        <f t="array" ref="AC1115">HLOOKUP($J1115,'Type Chart'!$C$2:$T$20,10,false)*HLOOKUP($K1115,'Type Chart'!$C$2:$U$20,10,false)</f>
        <v>1</v>
      </c>
      <c r="AD1115" s="960">
        <f t="array" ref="AD1115">HLOOKUP($J1115,'Type Chart'!$C$2:$T$20,11,false)*HLOOKUP($K1115,'Type Chart'!$C$2:$U$20,11,false)</f>
        <v>0.5</v>
      </c>
      <c r="AE1115" s="960">
        <f t="array" ref="AE1115">HLOOKUP($J1115,'Type Chart'!$C$2:$T$20,12,false)*HLOOKUP($K1115,'Type Chart'!$C$2:$U$20,12,false)</f>
        <v>0.5</v>
      </c>
      <c r="AF1115" s="960">
        <f t="array" ref="AF1115">HLOOKUP($J1115,'Type Chart'!$C$2:$T$20,13,false)*HLOOKUP($K1115,'Type Chart'!$C$2:$U$20,13,false)</f>
        <v>0.25</v>
      </c>
      <c r="AG1115" s="960">
        <f t="array" ref="AG1115">HLOOKUP($J1115,'Type Chart'!$C$2:$T$20,14,false)*HLOOKUP($K1115,'Type Chart'!$C$2:$U$20,14,false)</f>
        <v>0.5</v>
      </c>
      <c r="AH1115" s="960">
        <f t="array" ref="AH1115">HLOOKUP($J1115,'Type Chart'!$C$2:$T$20,15,false)*HLOOKUP($K1115,'Type Chart'!$C$2:$U$20,15,false)</f>
        <v>2</v>
      </c>
      <c r="AI1115" s="960">
        <f t="array" ref="AI1115">HLOOKUP($J1115,'Type Chart'!$C$2:$T$20,16,false)*HLOOKUP($K1115,'Type Chart'!$C$2:$U$20,16,false)</f>
        <v>2</v>
      </c>
      <c r="AJ1115" s="960">
        <f t="array" ref="AJ1115">HLOOKUP($J1115,'Type Chart'!$C$2:$T$20,17,false)*HLOOKUP($K1115,'Type Chart'!$C$2:$U$20,17,false)</f>
        <v>2</v>
      </c>
      <c r="AK1115" s="960">
        <f t="array" ref="AK1115">HLOOKUP($J1115,'Type Chart'!$C$2:$T$20,18,false)*HLOOKUP($K1115,'Type Chart'!$C$2:$U$20,18,false)</f>
        <v>1</v>
      </c>
      <c r="AL1115" s="960">
        <f t="array" ref="AL1115">HLOOKUP($J1115,'Type Chart'!$C$2:$T$20,19,false)*HLOOKUP($K1115,'Type Chart'!$C$2:$U$20,19,false)</f>
        <v>1</v>
      </c>
      <c r="AM1115" s="964" t="s">
        <v>1636</v>
      </c>
      <c r="AN1115" s="965"/>
      <c r="AO1115" s="966"/>
      <c r="AP1115" s="936"/>
      <c r="AQ1115" s="967"/>
      <c r="AR1115" s="968"/>
      <c r="AS1115" s="936"/>
    </row>
    <row r="1116" ht="15.75" customHeight="1">
      <c r="A1116" s="936"/>
      <c r="B1116" s="948" t="s">
        <v>4099</v>
      </c>
      <c r="C1116" s="950" t="s">
        <v>4100</v>
      </c>
      <c r="D1116" s="950" t="s">
        <v>4100</v>
      </c>
      <c r="E1116" s="952" t="s">
        <v>4100</v>
      </c>
      <c r="F1116" s="940"/>
      <c r="G1116" s="953"/>
      <c r="H1116" s="969"/>
      <c r="I1116" s="956" t="s">
        <v>4101</v>
      </c>
      <c r="J1116" s="1213" t="s">
        <v>341</v>
      </c>
      <c r="K1116" s="964" t="s">
        <v>216</v>
      </c>
      <c r="L1116" s="959">
        <v>60.0</v>
      </c>
      <c r="M1116" s="960">
        <v>90.0</v>
      </c>
      <c r="N1116" s="960">
        <v>60.0</v>
      </c>
      <c r="O1116" s="960">
        <v>53.0</v>
      </c>
      <c r="P1116" s="960">
        <v>50.0</v>
      </c>
      <c r="Q1116" s="960">
        <v>72.0</v>
      </c>
      <c r="R1116" s="960">
        <v>180.0</v>
      </c>
      <c r="S1116" s="960">
        <v>243.0</v>
      </c>
      <c r="T1116" s="960">
        <v>267.0</v>
      </c>
      <c r="U1116" s="960">
        <f t="array" ref="U1116">HLOOKUP($J1116,'Type Chart'!$C$2:$T$20,2,false)*HLOOKUP($K1116,'Type Chart'!$C$2:$U$20,2,false)</f>
        <v>1</v>
      </c>
      <c r="V1116" s="960">
        <f t="array" ref="V1116">HLOOKUP($J1116,'Type Chart'!$C$2:$T$20,3,false)*HLOOKUP($K1116,'Type Chart'!$C$2:$U$20,3,false)</f>
        <v>1</v>
      </c>
      <c r="W1116" s="960">
        <f t="array" ref="W1116">HLOOKUP($J1116,'Type Chart'!$C$2:$T$20,4,false)*HLOOKUP($K1116,'Type Chart'!$C$2:$U$20,4,false)</f>
        <v>2</v>
      </c>
      <c r="X1116" s="960">
        <f t="array" ref="X1116">HLOOKUP($J1116,'Type Chart'!$C$2:$T$20,5,false)*HLOOKUP($K1116,'Type Chart'!$C$2:$U$20,5,false)</f>
        <v>1</v>
      </c>
      <c r="Y1116" s="960">
        <f t="array" ref="Y1116">HLOOKUP($J1116,'Type Chart'!$C$2:$T$20,6,false)*HLOOKUP($K1116,'Type Chart'!$C$2:$U$20,6,false)</f>
        <v>1</v>
      </c>
      <c r="Z1116" s="960">
        <f t="array" ref="Z1116">HLOOKUP($J1116,'Type Chart'!$C$2:$T$20,7,false)*HLOOKUP($K1116,'Type Chart'!$C$2:$U$20,7,false)</f>
        <v>0.5</v>
      </c>
      <c r="AA1116" s="960">
        <f t="array" ref="AA1116">HLOOKUP($J1116,'Type Chart'!$C$2:$T$20,8,false)*HLOOKUP($K1116,'Type Chart'!$C$2:$U$20,8,false)</f>
        <v>0.5</v>
      </c>
      <c r="AB1116" s="960">
        <f t="array" ref="AB1116">HLOOKUP($J1116,'Type Chart'!$C$2:$T$20,9,false)*HLOOKUP($K1116,'Type Chart'!$C$2:$U$20,9,false)</f>
        <v>1</v>
      </c>
      <c r="AC1116" s="960">
        <f t="array" ref="AC1116">HLOOKUP($J1116,'Type Chart'!$C$2:$T$20,10,false)*HLOOKUP($K1116,'Type Chart'!$C$2:$U$20,10,false)</f>
        <v>1</v>
      </c>
      <c r="AD1116" s="960">
        <f t="array" ref="AD1116">HLOOKUP($J1116,'Type Chart'!$C$2:$T$20,11,false)*HLOOKUP($K1116,'Type Chart'!$C$2:$U$20,11,false)</f>
        <v>1</v>
      </c>
      <c r="AE1116" s="960">
        <f t="array" ref="AE1116">HLOOKUP($J1116,'Type Chart'!$C$2:$T$20,12,false)*HLOOKUP($K1116,'Type Chart'!$C$2:$U$20,12,false)</f>
        <v>1</v>
      </c>
      <c r="AF1116" s="960">
        <f t="array" ref="AF1116">HLOOKUP($J1116,'Type Chart'!$C$2:$T$20,13,false)*HLOOKUP($K1116,'Type Chart'!$C$2:$U$20,13,false)</f>
        <v>1</v>
      </c>
      <c r="AG1116" s="960">
        <f t="array" ref="AG1116">HLOOKUP($J1116,'Type Chart'!$C$2:$T$20,14,false)*HLOOKUP($K1116,'Type Chart'!$C$2:$U$20,14,false)</f>
        <v>1</v>
      </c>
      <c r="AH1116" s="960">
        <f t="array" ref="AH1116">HLOOKUP($J1116,'Type Chart'!$C$2:$T$20,15,false)*HLOOKUP($K1116,'Type Chart'!$C$2:$U$20,15,false)</f>
        <v>2</v>
      </c>
      <c r="AI1116" s="960">
        <f t="array" ref="AI1116">HLOOKUP($J1116,'Type Chart'!$C$2:$T$20,16,false)*HLOOKUP($K1116,'Type Chart'!$C$2:$U$20,16,false)</f>
        <v>1</v>
      </c>
      <c r="AJ1116" s="960">
        <f t="array" ref="AJ1116">HLOOKUP($J1116,'Type Chart'!$C$2:$T$20,17,false)*HLOOKUP($K1116,'Type Chart'!$C$2:$U$20,17,false)</f>
        <v>1</v>
      </c>
      <c r="AK1116" s="960">
        <f t="array" ref="AK1116">HLOOKUP($J1116,'Type Chart'!$C$2:$T$20,18,false)*HLOOKUP($K1116,'Type Chart'!$C$2:$U$20,18,false)</f>
        <v>0.5</v>
      </c>
      <c r="AL1116" s="960">
        <f t="array" ref="AL1116">HLOOKUP($J1116,'Type Chart'!$C$2:$T$20,19,false)*HLOOKUP($K1116,'Type Chart'!$C$2:$U$20,19,false)</f>
        <v>2</v>
      </c>
      <c r="AM1116" s="964" t="s">
        <v>1192</v>
      </c>
      <c r="AN1116" s="965"/>
      <c r="AO1116" s="966"/>
      <c r="AP1116" s="936"/>
      <c r="AQ1116" s="967"/>
      <c r="AR1116" s="968"/>
      <c r="AS1116" s="936"/>
    </row>
    <row r="1117" ht="15.75" customHeight="1">
      <c r="A1117" s="936"/>
      <c r="B1117" s="948" t="s">
        <v>4102</v>
      </c>
      <c r="C1117" s="950" t="s">
        <v>4103</v>
      </c>
      <c r="D1117" s="950" t="s">
        <v>4103</v>
      </c>
      <c r="E1117" s="952" t="s">
        <v>4104</v>
      </c>
      <c r="F1117" s="940"/>
      <c r="G1117" s="953"/>
      <c r="H1117" s="969"/>
      <c r="I1117" s="956" t="s">
        <v>118</v>
      </c>
      <c r="J1117" s="1213" t="s">
        <v>341</v>
      </c>
      <c r="K1117" s="1195" t="s">
        <v>193</v>
      </c>
      <c r="L1117" s="959">
        <v>100.0</v>
      </c>
      <c r="M1117" s="960">
        <v>130.0</v>
      </c>
      <c r="N1117" s="960">
        <v>100.0</v>
      </c>
      <c r="O1117" s="960">
        <v>63.0</v>
      </c>
      <c r="P1117" s="960">
        <v>60.0</v>
      </c>
      <c r="Q1117" s="960">
        <v>97.0</v>
      </c>
      <c r="R1117" s="960">
        <v>230.0</v>
      </c>
      <c r="S1117" s="960">
        <v>293.0</v>
      </c>
      <c r="T1117" s="960">
        <v>322.0</v>
      </c>
      <c r="U1117" s="960">
        <f t="array" ref="U1117">HLOOKUP($J1117,'Type Chart'!$C$2:$T$20,2,false)*HLOOKUP($K1117,'Type Chart'!$C$2:$U$20,2,false)</f>
        <v>1</v>
      </c>
      <c r="V1117" s="960">
        <f t="array" ref="V1117">HLOOKUP($J1117,'Type Chart'!$C$2:$T$20,3,false)*HLOOKUP($K1117,'Type Chart'!$C$2:$U$20,3,false)</f>
        <v>2</v>
      </c>
      <c r="W1117" s="960">
        <f t="array" ref="W1117">HLOOKUP($J1117,'Type Chart'!$C$2:$T$20,4,false)*HLOOKUP($K1117,'Type Chart'!$C$2:$U$20,4,false)</f>
        <v>2</v>
      </c>
      <c r="X1117" s="960">
        <f t="array" ref="X1117">HLOOKUP($J1117,'Type Chart'!$C$2:$T$20,5,false)*HLOOKUP($K1117,'Type Chart'!$C$2:$U$20,5,false)</f>
        <v>1</v>
      </c>
      <c r="Y1117" s="960">
        <f t="array" ref="Y1117">HLOOKUP($J1117,'Type Chart'!$C$2:$T$20,6,false)*HLOOKUP($K1117,'Type Chart'!$C$2:$U$20,6,false)</f>
        <v>1</v>
      </c>
      <c r="Z1117" s="960">
        <f t="array" ref="Z1117">HLOOKUP($J1117,'Type Chart'!$C$2:$T$20,7,false)*HLOOKUP($K1117,'Type Chart'!$C$2:$U$20,7,false)</f>
        <v>0.5</v>
      </c>
      <c r="AA1117" s="960">
        <f t="array" ref="AA1117">HLOOKUP($J1117,'Type Chart'!$C$2:$T$20,8,false)*HLOOKUP($K1117,'Type Chart'!$C$2:$U$20,8,false)</f>
        <v>1</v>
      </c>
      <c r="AB1117" s="960">
        <f t="array" ref="AB1117">HLOOKUP($J1117,'Type Chart'!$C$2:$T$20,9,false)*HLOOKUP($K1117,'Type Chart'!$C$2:$U$20,9,false)</f>
        <v>0.5</v>
      </c>
      <c r="AC1117" s="960">
        <f t="array" ref="AC1117">HLOOKUP($J1117,'Type Chart'!$C$2:$T$20,10,false)*HLOOKUP($K1117,'Type Chart'!$C$2:$U$20,10,false)</f>
        <v>1</v>
      </c>
      <c r="AD1117" s="960">
        <f t="array" ref="AD1117">HLOOKUP($J1117,'Type Chart'!$C$2:$T$20,11,false)*HLOOKUP($K1117,'Type Chart'!$C$2:$U$20,11,false)</f>
        <v>1</v>
      </c>
      <c r="AE1117" s="960">
        <f t="array" ref="AE1117">HLOOKUP($J1117,'Type Chart'!$C$2:$T$20,12,false)*HLOOKUP($K1117,'Type Chart'!$C$2:$U$20,12,false)</f>
        <v>1</v>
      </c>
      <c r="AF1117" s="960">
        <f t="array" ref="AF1117">HLOOKUP($J1117,'Type Chart'!$C$2:$T$20,13,false)*HLOOKUP($K1117,'Type Chart'!$C$2:$U$20,13,false)</f>
        <v>1</v>
      </c>
      <c r="AG1117" s="960">
        <f t="array" ref="AG1117">HLOOKUP($J1117,'Type Chart'!$C$2:$T$20,14,false)*HLOOKUP($K1117,'Type Chart'!$C$2:$U$20,14,false)</f>
        <v>1</v>
      </c>
      <c r="AH1117" s="960">
        <f t="array" ref="AH1117">HLOOKUP($J1117,'Type Chart'!$C$2:$T$20,15,false)*HLOOKUP($K1117,'Type Chart'!$C$2:$U$20,15,false)</f>
        <v>0</v>
      </c>
      <c r="AI1117" s="960">
        <f t="array" ref="AI1117">HLOOKUP($J1117,'Type Chart'!$C$2:$T$20,16,false)*HLOOKUP($K1117,'Type Chart'!$C$2:$U$20,16,false)</f>
        <v>1</v>
      </c>
      <c r="AJ1117" s="960">
        <f t="array" ref="AJ1117">HLOOKUP($J1117,'Type Chart'!$C$2:$T$20,17,false)*HLOOKUP($K1117,'Type Chart'!$C$2:$U$20,17,false)</f>
        <v>1</v>
      </c>
      <c r="AK1117" s="960">
        <f t="array" ref="AK1117">HLOOKUP($J1117,'Type Chart'!$C$2:$T$20,18,false)*HLOOKUP($K1117,'Type Chart'!$C$2:$U$20,18,false)</f>
        <v>0.25</v>
      </c>
      <c r="AL1117" s="960">
        <f t="array" ref="AL1117">HLOOKUP($J1117,'Type Chart'!$C$2:$T$20,19,false)*HLOOKUP($K1117,'Type Chart'!$C$2:$U$20,19,false)</f>
        <v>4</v>
      </c>
      <c r="AM1117" s="964" t="s">
        <v>4105</v>
      </c>
      <c r="AN1117" s="965"/>
      <c r="AO1117" s="966"/>
      <c r="AP1117" s="936"/>
      <c r="AQ1117" s="967"/>
      <c r="AR1117" s="968"/>
      <c r="AS1117" s="936"/>
    </row>
    <row r="1118" ht="15.75" customHeight="1">
      <c r="A1118" s="936"/>
      <c r="B1118" s="948" t="s">
        <v>4106</v>
      </c>
      <c r="C1118" s="950" t="s">
        <v>4107</v>
      </c>
      <c r="D1118" s="950" t="s">
        <v>4108</v>
      </c>
      <c r="E1118" s="952" t="s">
        <v>4107</v>
      </c>
      <c r="F1118" s="940"/>
      <c r="G1118" s="953"/>
      <c r="H1118" s="969"/>
      <c r="I1118" s="956" t="s">
        <v>417</v>
      </c>
      <c r="J1118" s="1213" t="s">
        <v>341</v>
      </c>
      <c r="K1118" s="1056" t="s">
        <v>81</v>
      </c>
      <c r="L1118" s="959">
        <v>100.0</v>
      </c>
      <c r="M1118" s="960">
        <v>130.0</v>
      </c>
      <c r="N1118" s="960">
        <v>100.0</v>
      </c>
      <c r="O1118" s="960">
        <v>63.0</v>
      </c>
      <c r="P1118" s="960">
        <v>60.0</v>
      </c>
      <c r="Q1118" s="960">
        <v>97.0</v>
      </c>
      <c r="R1118" s="960">
        <v>230.0</v>
      </c>
      <c r="S1118" s="960">
        <v>293.0</v>
      </c>
      <c r="T1118" s="960">
        <v>322.0</v>
      </c>
      <c r="U1118" s="960">
        <f t="array" ref="U1118">HLOOKUP($J1118,'Type Chart'!$C$2:$T$20,2,false)*HLOOKUP($K1118,'Type Chart'!$C$2:$U$20,2,false)</f>
        <v>1</v>
      </c>
      <c r="V1118" s="960">
        <f t="array" ref="V1118">HLOOKUP($J1118,'Type Chart'!$C$2:$T$20,3,false)*HLOOKUP($K1118,'Type Chart'!$C$2:$U$20,3,false)</f>
        <v>1</v>
      </c>
      <c r="W1118" s="960">
        <f t="array" ref="W1118">HLOOKUP($J1118,'Type Chart'!$C$2:$T$20,4,false)*HLOOKUP($K1118,'Type Chart'!$C$2:$U$20,4,false)</f>
        <v>2</v>
      </c>
      <c r="X1118" s="960">
        <f t="array" ref="X1118">HLOOKUP($J1118,'Type Chart'!$C$2:$T$20,5,false)*HLOOKUP($K1118,'Type Chart'!$C$2:$U$20,5,false)</f>
        <v>1</v>
      </c>
      <c r="Y1118" s="960">
        <f t="array" ref="Y1118">HLOOKUP($J1118,'Type Chart'!$C$2:$T$20,6,false)*HLOOKUP($K1118,'Type Chart'!$C$2:$U$20,6,false)</f>
        <v>1</v>
      </c>
      <c r="Z1118" s="960">
        <f t="array" ref="Z1118">HLOOKUP($J1118,'Type Chart'!$C$2:$T$20,7,false)*HLOOKUP($K1118,'Type Chart'!$C$2:$U$20,7,false)</f>
        <v>0.5</v>
      </c>
      <c r="AA1118" s="960">
        <f t="array" ref="AA1118">HLOOKUP($J1118,'Type Chart'!$C$2:$T$20,8,false)*HLOOKUP($K1118,'Type Chart'!$C$2:$U$20,8,false)</f>
        <v>0.5</v>
      </c>
      <c r="AB1118" s="960">
        <f t="array" ref="AB1118">HLOOKUP($J1118,'Type Chart'!$C$2:$T$20,9,false)*HLOOKUP($K1118,'Type Chart'!$C$2:$U$20,9,false)</f>
        <v>1</v>
      </c>
      <c r="AC1118" s="960">
        <f t="array" ref="AC1118">HLOOKUP($J1118,'Type Chart'!$C$2:$T$20,10,false)*HLOOKUP($K1118,'Type Chart'!$C$2:$U$20,10,false)</f>
        <v>0.5</v>
      </c>
      <c r="AD1118" s="960">
        <f t="array" ref="AD1118">HLOOKUP($J1118,'Type Chart'!$C$2:$T$20,11,false)*HLOOKUP($K1118,'Type Chart'!$C$2:$U$20,11,false)</f>
        <v>0.5</v>
      </c>
      <c r="AE1118" s="960">
        <f t="array" ref="AE1118">HLOOKUP($J1118,'Type Chart'!$C$2:$T$20,12,false)*HLOOKUP($K1118,'Type Chart'!$C$2:$U$20,12,false)</f>
        <v>0.5</v>
      </c>
      <c r="AF1118" s="960">
        <f t="array" ref="AF1118">HLOOKUP($J1118,'Type Chart'!$C$2:$T$20,13,false)*HLOOKUP($K1118,'Type Chart'!$C$2:$U$20,13,false)</f>
        <v>2</v>
      </c>
      <c r="AG1118" s="960">
        <f t="array" ref="AG1118">HLOOKUP($J1118,'Type Chart'!$C$2:$T$20,14,false)*HLOOKUP($K1118,'Type Chart'!$C$2:$U$20,14,false)</f>
        <v>2</v>
      </c>
      <c r="AH1118" s="960">
        <f t="array" ref="AH1118">HLOOKUP($J1118,'Type Chart'!$C$2:$T$20,15,false)*HLOOKUP($K1118,'Type Chart'!$C$2:$U$20,15,false)</f>
        <v>2</v>
      </c>
      <c r="AI1118" s="960">
        <f t="array" ref="AI1118">HLOOKUP($J1118,'Type Chart'!$C$2:$T$20,16,false)*HLOOKUP($K1118,'Type Chart'!$C$2:$U$20,16,false)</f>
        <v>0.5</v>
      </c>
      <c r="AJ1118" s="960">
        <f t="array" ref="AJ1118">HLOOKUP($J1118,'Type Chart'!$C$2:$T$20,17,false)*HLOOKUP($K1118,'Type Chart'!$C$2:$U$20,17,false)</f>
        <v>1</v>
      </c>
      <c r="AK1118" s="960">
        <f t="array" ref="AK1118">HLOOKUP($J1118,'Type Chart'!$C$2:$T$20,18,false)*HLOOKUP($K1118,'Type Chart'!$C$2:$U$20,18,false)</f>
        <v>0.5</v>
      </c>
      <c r="AL1118" s="960">
        <f t="array" ref="AL1118">HLOOKUP($J1118,'Type Chart'!$C$2:$T$20,19,false)*HLOOKUP($K1118,'Type Chart'!$C$2:$U$20,19,false)</f>
        <v>2</v>
      </c>
      <c r="AM1118" s="964" t="s">
        <v>4105</v>
      </c>
      <c r="AN1118" s="965"/>
      <c r="AO1118" s="966"/>
      <c r="AP1118" s="936"/>
      <c r="AQ1118" s="967"/>
      <c r="AR1118" s="968"/>
      <c r="AS1118" s="936"/>
    </row>
    <row r="1119" ht="15.75" customHeight="1">
      <c r="A1119" s="936"/>
      <c r="B1119" s="948" t="s">
        <v>4109</v>
      </c>
      <c r="C1119" s="950" t="s">
        <v>4110</v>
      </c>
      <c r="D1119" s="950" t="s">
        <v>4110</v>
      </c>
      <c r="E1119" s="952" t="s">
        <v>4110</v>
      </c>
      <c r="F1119" s="940"/>
      <c r="G1119" s="953"/>
      <c r="H1119" s="969"/>
      <c r="I1119" s="956" t="s">
        <v>434</v>
      </c>
      <c r="J1119" s="1195" t="s">
        <v>193</v>
      </c>
      <c r="K1119" s="957" t="s">
        <v>209</v>
      </c>
      <c r="L1119" s="959">
        <v>105.0</v>
      </c>
      <c r="M1119" s="960">
        <v>120.0</v>
      </c>
      <c r="N1119" s="960">
        <v>105.0</v>
      </c>
      <c r="O1119" s="960">
        <v>70.0</v>
      </c>
      <c r="P1119" s="960">
        <v>95.0</v>
      </c>
      <c r="Q1119" s="960">
        <v>105.0</v>
      </c>
      <c r="R1119" s="960">
        <v>246.0</v>
      </c>
      <c r="S1119" s="960">
        <v>309.0</v>
      </c>
      <c r="T1119" s="960">
        <v>339.0</v>
      </c>
      <c r="U1119" s="960">
        <f t="array" ref="U1119">HLOOKUP($J1119,'Type Chart'!$C$2:$T$20,2,false)*HLOOKUP($K1119,'Type Chart'!$C$2:$U$20,2,false)</f>
        <v>1</v>
      </c>
      <c r="V1119" s="960">
        <f t="array" ref="V1119">HLOOKUP($J1119,'Type Chart'!$C$2:$T$20,3,false)*HLOOKUP($K1119,'Type Chart'!$C$2:$U$20,3,false)</f>
        <v>2</v>
      </c>
      <c r="W1119" s="960">
        <f t="array" ref="W1119">HLOOKUP($J1119,'Type Chart'!$C$2:$T$20,4,false)*HLOOKUP($K1119,'Type Chart'!$C$2:$U$20,4,false)</f>
        <v>2</v>
      </c>
      <c r="X1119" s="960">
        <f t="array" ref="X1119">HLOOKUP($J1119,'Type Chart'!$C$2:$T$20,5,false)*HLOOKUP($K1119,'Type Chart'!$C$2:$U$20,5,false)</f>
        <v>2</v>
      </c>
      <c r="Y1119" s="960">
        <f t="array" ref="Y1119">HLOOKUP($J1119,'Type Chart'!$C$2:$T$20,6,false)*HLOOKUP($K1119,'Type Chart'!$C$2:$U$20,6,false)</f>
        <v>0.5</v>
      </c>
      <c r="Z1119" s="960">
        <f t="array" ref="Z1119">HLOOKUP($J1119,'Type Chart'!$C$2:$T$20,7,false)*HLOOKUP($K1119,'Type Chart'!$C$2:$U$20,7,false)</f>
        <v>1</v>
      </c>
      <c r="AA1119" s="960">
        <f t="array" ref="AA1119">HLOOKUP($J1119,'Type Chart'!$C$2:$T$20,8,false)*HLOOKUP($K1119,'Type Chart'!$C$2:$U$20,8,false)</f>
        <v>4</v>
      </c>
      <c r="AB1119" s="960">
        <f t="array" ref="AB1119">HLOOKUP($J1119,'Type Chart'!$C$2:$T$20,9,false)*HLOOKUP($K1119,'Type Chart'!$C$2:$U$20,9,false)</f>
        <v>0.5</v>
      </c>
      <c r="AC1119" s="960">
        <f t="array" ref="AC1119">HLOOKUP($J1119,'Type Chart'!$C$2:$T$20,10,false)*HLOOKUP($K1119,'Type Chart'!$C$2:$U$20,10,false)</f>
        <v>1</v>
      </c>
      <c r="AD1119" s="960">
        <f t="array" ref="AD1119">HLOOKUP($J1119,'Type Chart'!$C$2:$T$20,11,false)*HLOOKUP($K1119,'Type Chart'!$C$2:$U$20,11,false)</f>
        <v>2</v>
      </c>
      <c r="AE1119" s="960">
        <f t="array" ref="AE1119">HLOOKUP($J1119,'Type Chart'!$C$2:$T$20,12,false)*HLOOKUP($K1119,'Type Chart'!$C$2:$U$20,12,false)</f>
        <v>0.5</v>
      </c>
      <c r="AF1119" s="960">
        <f t="array" ref="AF1119">HLOOKUP($J1119,'Type Chart'!$C$2:$T$20,13,false)*HLOOKUP($K1119,'Type Chart'!$C$2:$U$20,13,false)</f>
        <v>0.5</v>
      </c>
      <c r="AG1119" s="960">
        <f t="array" ref="AG1119">HLOOKUP($J1119,'Type Chart'!$C$2:$T$20,14,false)*HLOOKUP($K1119,'Type Chart'!$C$2:$U$20,14,false)</f>
        <v>0.5</v>
      </c>
      <c r="AH1119" s="960">
        <f t="array" ref="AH1119">HLOOKUP($J1119,'Type Chart'!$C$2:$T$20,15,false)*HLOOKUP($K1119,'Type Chart'!$C$2:$U$20,15,false)</f>
        <v>0</v>
      </c>
      <c r="AI1119" s="960">
        <f t="array" ref="AI1119">HLOOKUP($J1119,'Type Chart'!$C$2:$T$20,16,false)*HLOOKUP($K1119,'Type Chart'!$C$2:$U$20,16,false)</f>
        <v>2</v>
      </c>
      <c r="AJ1119" s="960">
        <f t="array" ref="AJ1119">HLOOKUP($J1119,'Type Chart'!$C$2:$T$20,17,false)*HLOOKUP($K1119,'Type Chart'!$C$2:$U$20,17,false)</f>
        <v>1</v>
      </c>
      <c r="AK1119" s="960">
        <f t="array" ref="AK1119">HLOOKUP($J1119,'Type Chart'!$C$2:$T$20,18,false)*HLOOKUP($K1119,'Type Chart'!$C$2:$U$20,18,false)</f>
        <v>0.5</v>
      </c>
      <c r="AL1119" s="960">
        <f t="array" ref="AL1119">HLOOKUP($J1119,'Type Chart'!$C$2:$T$20,19,false)*HLOOKUP($K1119,'Type Chart'!$C$2:$U$20,19,false)</f>
        <v>2</v>
      </c>
      <c r="AM1119" s="964" t="s">
        <v>1526</v>
      </c>
      <c r="AN1119" s="965"/>
      <c r="AO1119" s="966"/>
      <c r="AP1119" s="936"/>
      <c r="AQ1119" s="967"/>
      <c r="AR1119" s="968"/>
      <c r="AS1119" s="936"/>
    </row>
    <row r="1120" ht="15.75" customHeight="1">
      <c r="A1120" s="936"/>
      <c r="B1120" s="948" t="s">
        <v>4111</v>
      </c>
      <c r="C1120" s="950" t="s">
        <v>4112</v>
      </c>
      <c r="D1120" s="950" t="s">
        <v>4112</v>
      </c>
      <c r="E1120" s="952" t="s">
        <v>4112</v>
      </c>
      <c r="F1120" s="940"/>
      <c r="G1120" s="953"/>
      <c r="H1120" s="969"/>
      <c r="I1120" s="956" t="s">
        <v>4113</v>
      </c>
      <c r="J1120" s="1195" t="s">
        <v>193</v>
      </c>
      <c r="K1120" s="957" t="s">
        <v>209</v>
      </c>
      <c r="L1120" s="959">
        <v>105.0</v>
      </c>
      <c r="M1120" s="960">
        <v>120.0</v>
      </c>
      <c r="N1120" s="960">
        <v>105.0</v>
      </c>
      <c r="O1120" s="960">
        <v>70.0</v>
      </c>
      <c r="P1120" s="960">
        <v>95.0</v>
      </c>
      <c r="Q1120" s="960">
        <v>105.0</v>
      </c>
      <c r="R1120" s="960">
        <v>246.0</v>
      </c>
      <c r="S1120" s="960">
        <v>309.0</v>
      </c>
      <c r="T1120" s="960">
        <v>339.0</v>
      </c>
      <c r="U1120" s="960">
        <f t="array" ref="U1120">HLOOKUP($J1120,'Type Chart'!$C$2:$T$20,2,false)*HLOOKUP($K1120,'Type Chart'!$C$2:$U$20,2,false)</f>
        <v>1</v>
      </c>
      <c r="V1120" s="960">
        <f t="array" ref="V1120">HLOOKUP($J1120,'Type Chart'!$C$2:$T$20,3,false)*HLOOKUP($K1120,'Type Chart'!$C$2:$U$20,3,false)</f>
        <v>2</v>
      </c>
      <c r="W1120" s="960">
        <f t="array" ref="W1120">HLOOKUP($J1120,'Type Chart'!$C$2:$T$20,4,false)*HLOOKUP($K1120,'Type Chart'!$C$2:$U$20,4,false)</f>
        <v>2</v>
      </c>
      <c r="X1120" s="960">
        <f t="array" ref="X1120">HLOOKUP($J1120,'Type Chart'!$C$2:$T$20,5,false)*HLOOKUP($K1120,'Type Chart'!$C$2:$U$20,5,false)</f>
        <v>2</v>
      </c>
      <c r="Y1120" s="960">
        <f t="array" ref="Y1120">HLOOKUP($J1120,'Type Chart'!$C$2:$T$20,6,false)*HLOOKUP($K1120,'Type Chart'!$C$2:$U$20,6,false)</f>
        <v>0.5</v>
      </c>
      <c r="Z1120" s="960">
        <f t="array" ref="Z1120">HLOOKUP($J1120,'Type Chart'!$C$2:$T$20,7,false)*HLOOKUP($K1120,'Type Chart'!$C$2:$U$20,7,false)</f>
        <v>1</v>
      </c>
      <c r="AA1120" s="960">
        <f t="array" ref="AA1120">HLOOKUP($J1120,'Type Chart'!$C$2:$T$20,8,false)*HLOOKUP($K1120,'Type Chart'!$C$2:$U$20,8,false)</f>
        <v>4</v>
      </c>
      <c r="AB1120" s="960">
        <f t="array" ref="AB1120">HLOOKUP($J1120,'Type Chart'!$C$2:$T$20,9,false)*HLOOKUP($K1120,'Type Chart'!$C$2:$U$20,9,false)</f>
        <v>0.5</v>
      </c>
      <c r="AC1120" s="960">
        <f t="array" ref="AC1120">HLOOKUP($J1120,'Type Chart'!$C$2:$T$20,10,false)*HLOOKUP($K1120,'Type Chart'!$C$2:$U$20,10,false)</f>
        <v>1</v>
      </c>
      <c r="AD1120" s="960">
        <f t="array" ref="AD1120">HLOOKUP($J1120,'Type Chart'!$C$2:$T$20,11,false)*HLOOKUP($K1120,'Type Chart'!$C$2:$U$20,11,false)</f>
        <v>2</v>
      </c>
      <c r="AE1120" s="960">
        <f t="array" ref="AE1120">HLOOKUP($J1120,'Type Chart'!$C$2:$T$20,12,false)*HLOOKUP($K1120,'Type Chart'!$C$2:$U$20,12,false)</f>
        <v>0.5</v>
      </c>
      <c r="AF1120" s="960">
        <f t="array" ref="AF1120">HLOOKUP($J1120,'Type Chart'!$C$2:$T$20,13,false)*HLOOKUP($K1120,'Type Chart'!$C$2:$U$20,13,false)</f>
        <v>0.5</v>
      </c>
      <c r="AG1120" s="960">
        <f t="array" ref="AG1120">HLOOKUP($J1120,'Type Chart'!$C$2:$T$20,14,false)*HLOOKUP($K1120,'Type Chart'!$C$2:$U$20,14,false)</f>
        <v>0.5</v>
      </c>
      <c r="AH1120" s="960">
        <f t="array" ref="AH1120">HLOOKUP($J1120,'Type Chart'!$C$2:$T$20,15,false)*HLOOKUP($K1120,'Type Chart'!$C$2:$U$20,15,false)</f>
        <v>0</v>
      </c>
      <c r="AI1120" s="960">
        <f t="array" ref="AI1120">HLOOKUP($J1120,'Type Chart'!$C$2:$T$20,16,false)*HLOOKUP($K1120,'Type Chart'!$C$2:$U$20,16,false)</f>
        <v>2</v>
      </c>
      <c r="AJ1120" s="960">
        <f t="array" ref="AJ1120">HLOOKUP($J1120,'Type Chart'!$C$2:$T$20,17,false)*HLOOKUP($K1120,'Type Chart'!$C$2:$U$20,17,false)</f>
        <v>1</v>
      </c>
      <c r="AK1120" s="960">
        <f t="array" ref="AK1120">HLOOKUP($J1120,'Type Chart'!$C$2:$T$20,18,false)*HLOOKUP($K1120,'Type Chart'!$C$2:$U$20,18,false)</f>
        <v>0.5</v>
      </c>
      <c r="AL1120" s="960">
        <f t="array" ref="AL1120">HLOOKUP($J1120,'Type Chart'!$C$2:$T$20,19,false)*HLOOKUP($K1120,'Type Chart'!$C$2:$U$20,19,false)</f>
        <v>2</v>
      </c>
      <c r="AM1120" s="964" t="s">
        <v>1526</v>
      </c>
      <c r="AN1120" s="965"/>
      <c r="AO1120" s="966"/>
      <c r="AP1120" s="936"/>
      <c r="AQ1120" s="967"/>
      <c r="AR1120" s="968"/>
      <c r="AS1120" s="936"/>
    </row>
    <row r="1121" ht="15.75" customHeight="1">
      <c r="A1121" s="936"/>
      <c r="B1121" s="948" t="s">
        <v>4114</v>
      </c>
      <c r="C1121" s="950" t="s">
        <v>4115</v>
      </c>
      <c r="D1121" s="950" t="s">
        <v>4115</v>
      </c>
      <c r="E1121" s="952" t="s">
        <v>4115</v>
      </c>
      <c r="F1121" s="940"/>
      <c r="G1121" s="953"/>
      <c r="H1121" s="969"/>
      <c r="I1121" s="956" t="s">
        <v>90</v>
      </c>
      <c r="J1121" s="1196" t="s">
        <v>203</v>
      </c>
      <c r="K1121" s="964" t="s">
        <v>216</v>
      </c>
      <c r="L1121" s="959">
        <v>80.0</v>
      </c>
      <c r="M1121" s="960">
        <v>100.0</v>
      </c>
      <c r="N1121" s="960">
        <v>50.0</v>
      </c>
      <c r="O1121" s="960">
        <v>100.0</v>
      </c>
      <c r="P1121" s="960">
        <v>50.0</v>
      </c>
      <c r="Q1121" s="960">
        <v>200.0</v>
      </c>
      <c r="R1121" s="960">
        <v>436.0</v>
      </c>
      <c r="S1121" s="960">
        <v>499.0</v>
      </c>
      <c r="T1121" s="960">
        <v>548.0</v>
      </c>
      <c r="U1121" s="960">
        <f t="array" ref="U1121">HLOOKUP($J1121,'Type Chart'!$C$2:$T$20,2,false)*HLOOKUP($K1121,'Type Chart'!$C$2:$U$20,2,false)</f>
        <v>1</v>
      </c>
      <c r="V1121" s="960">
        <f t="array" ref="V1121">HLOOKUP($J1121,'Type Chart'!$C$2:$T$20,3,false)*HLOOKUP($K1121,'Type Chart'!$C$2:$U$20,3,false)</f>
        <v>1</v>
      </c>
      <c r="W1121" s="960">
        <f t="array" ref="W1121">HLOOKUP($J1121,'Type Chart'!$C$2:$T$20,4,false)*HLOOKUP($K1121,'Type Chart'!$C$2:$U$20,4,false)</f>
        <v>0.5</v>
      </c>
      <c r="X1121" s="960">
        <f t="array" ref="X1121">HLOOKUP($J1121,'Type Chart'!$C$2:$T$20,5,false)*HLOOKUP($K1121,'Type Chart'!$C$2:$U$20,5,false)</f>
        <v>1</v>
      </c>
      <c r="Y1121" s="960">
        <f t="array" ref="Y1121">HLOOKUP($J1121,'Type Chart'!$C$2:$T$20,6,false)*HLOOKUP($K1121,'Type Chart'!$C$2:$U$20,6,false)</f>
        <v>2</v>
      </c>
      <c r="Z1121" s="960">
        <f t="array" ref="Z1121">HLOOKUP($J1121,'Type Chart'!$C$2:$T$20,7,false)*HLOOKUP($K1121,'Type Chart'!$C$2:$U$20,7,false)</f>
        <v>1</v>
      </c>
      <c r="AA1121" s="960">
        <f t="array" ref="AA1121">HLOOKUP($J1121,'Type Chart'!$C$2:$T$20,8,false)*HLOOKUP($K1121,'Type Chart'!$C$2:$U$20,8,false)</f>
        <v>1</v>
      </c>
      <c r="AB1121" s="960">
        <f t="array" ref="AB1121">HLOOKUP($J1121,'Type Chart'!$C$2:$T$20,9,false)*HLOOKUP($K1121,'Type Chart'!$C$2:$U$20,9,false)</f>
        <v>1</v>
      </c>
      <c r="AC1121" s="960">
        <f t="array" ref="AC1121">HLOOKUP($J1121,'Type Chart'!$C$2:$T$20,10,false)*HLOOKUP($K1121,'Type Chart'!$C$2:$U$20,10,false)</f>
        <v>0.5</v>
      </c>
      <c r="AD1121" s="960">
        <f t="array" ref="AD1121">HLOOKUP($J1121,'Type Chart'!$C$2:$T$20,11,false)*HLOOKUP($K1121,'Type Chart'!$C$2:$U$20,11,false)</f>
        <v>1</v>
      </c>
      <c r="AE1121" s="960">
        <f t="array" ref="AE1121">HLOOKUP($J1121,'Type Chart'!$C$2:$T$20,12,false)*HLOOKUP($K1121,'Type Chart'!$C$2:$U$20,12,false)</f>
        <v>1</v>
      </c>
      <c r="AF1121" s="960">
        <f t="array" ref="AF1121">HLOOKUP($J1121,'Type Chart'!$C$2:$T$20,13,false)*HLOOKUP($K1121,'Type Chart'!$C$2:$U$20,13,false)</f>
        <v>1</v>
      </c>
      <c r="AG1121" s="960">
        <f t="array" ref="AG1121">HLOOKUP($J1121,'Type Chart'!$C$2:$T$20,14,false)*HLOOKUP($K1121,'Type Chart'!$C$2:$U$20,14,false)</f>
        <v>0.5</v>
      </c>
      <c r="AH1121" s="960">
        <f t="array" ref="AH1121">HLOOKUP($J1121,'Type Chart'!$C$2:$T$20,15,false)*HLOOKUP($K1121,'Type Chart'!$C$2:$U$20,15,false)</f>
        <v>1</v>
      </c>
      <c r="AI1121" s="960">
        <f t="array" ref="AI1121">HLOOKUP($J1121,'Type Chart'!$C$2:$T$20,16,false)*HLOOKUP($K1121,'Type Chart'!$C$2:$U$20,16,false)</f>
        <v>1</v>
      </c>
      <c r="AJ1121" s="960">
        <f t="array" ref="AJ1121">HLOOKUP($J1121,'Type Chart'!$C$2:$T$20,17,false)*HLOOKUP($K1121,'Type Chart'!$C$2:$U$20,17,false)</f>
        <v>1</v>
      </c>
      <c r="AK1121" s="960">
        <f t="array" ref="AK1121">HLOOKUP($J1121,'Type Chart'!$C$2:$T$20,18,false)*HLOOKUP($K1121,'Type Chart'!$C$2:$U$20,18,false)</f>
        <v>1</v>
      </c>
      <c r="AL1121" s="960">
        <f t="array" ref="AL1121">HLOOKUP($J1121,'Type Chart'!$C$2:$T$20,19,false)*HLOOKUP($K1121,'Type Chart'!$C$2:$U$20,19,false)</f>
        <v>1</v>
      </c>
      <c r="AM1121" s="964" t="s">
        <v>4116</v>
      </c>
      <c r="AN1121" s="965"/>
      <c r="AO1121" s="966"/>
      <c r="AP1121" s="936"/>
      <c r="AQ1121" s="967"/>
      <c r="AR1121" s="968"/>
      <c r="AS1121" s="936"/>
    </row>
    <row r="1122" ht="15.75" customHeight="1">
      <c r="A1122" s="936"/>
      <c r="B1122" s="948" t="s">
        <v>4117</v>
      </c>
      <c r="C1122" s="950" t="s">
        <v>4118</v>
      </c>
      <c r="D1122" s="950" t="s">
        <v>4118</v>
      </c>
      <c r="E1122" s="952" t="s">
        <v>4118</v>
      </c>
      <c r="F1122" s="940"/>
      <c r="G1122" s="953"/>
      <c r="H1122" s="969"/>
      <c r="I1122" s="956" t="s">
        <v>598</v>
      </c>
      <c r="J1122" s="1006" t="s">
        <v>346</v>
      </c>
      <c r="K1122" s="964" t="s">
        <v>216</v>
      </c>
      <c r="L1122" s="959">
        <v>200.0</v>
      </c>
      <c r="M1122" s="960">
        <v>100.0</v>
      </c>
      <c r="N1122" s="960">
        <v>50.0</v>
      </c>
      <c r="O1122" s="960">
        <v>100.0</v>
      </c>
      <c r="P1122" s="960">
        <v>50.0</v>
      </c>
      <c r="Q1122" s="960">
        <v>80.0</v>
      </c>
      <c r="R1122" s="960">
        <v>196.0</v>
      </c>
      <c r="S1122" s="960">
        <v>259.0</v>
      </c>
      <c r="T1122" s="960">
        <v>284.0</v>
      </c>
      <c r="U1122" s="960">
        <f t="array" ref="U1122">HLOOKUP($J1122,'Type Chart'!$C$2:$T$20,2,false)*HLOOKUP($K1122,'Type Chart'!$C$2:$U$20,2,false)</f>
        <v>1</v>
      </c>
      <c r="V1122" s="960">
        <f t="array" ref="V1122">HLOOKUP($J1122,'Type Chart'!$C$2:$T$20,3,false)*HLOOKUP($K1122,'Type Chart'!$C$2:$U$20,3,false)</f>
        <v>1</v>
      </c>
      <c r="W1122" s="960">
        <f t="array" ref="W1122">HLOOKUP($J1122,'Type Chart'!$C$2:$T$20,4,false)*HLOOKUP($K1122,'Type Chart'!$C$2:$U$20,4,false)</f>
        <v>1</v>
      </c>
      <c r="X1122" s="960">
        <f t="array" ref="X1122">HLOOKUP($J1122,'Type Chart'!$C$2:$T$20,5,false)*HLOOKUP($K1122,'Type Chart'!$C$2:$U$20,5,false)</f>
        <v>1</v>
      </c>
      <c r="Y1122" s="960">
        <f t="array" ref="Y1122">HLOOKUP($J1122,'Type Chart'!$C$2:$T$20,6,false)*HLOOKUP($K1122,'Type Chart'!$C$2:$U$20,6,false)</f>
        <v>1</v>
      </c>
      <c r="Z1122" s="960">
        <f t="array" ref="Z1122">HLOOKUP($J1122,'Type Chart'!$C$2:$T$20,7,false)*HLOOKUP($K1122,'Type Chart'!$C$2:$U$20,7,false)</f>
        <v>1</v>
      </c>
      <c r="AA1122" s="960">
        <f t="array" ref="AA1122">HLOOKUP($J1122,'Type Chart'!$C$2:$T$20,8,false)*HLOOKUP($K1122,'Type Chart'!$C$2:$U$20,8,false)</f>
        <v>1</v>
      </c>
      <c r="AB1122" s="960">
        <f t="array" ref="AB1122">HLOOKUP($J1122,'Type Chart'!$C$2:$T$20,9,false)*HLOOKUP($K1122,'Type Chart'!$C$2:$U$20,9,false)</f>
        <v>1</v>
      </c>
      <c r="AC1122" s="960">
        <f t="array" ref="AC1122">HLOOKUP($J1122,'Type Chart'!$C$2:$T$20,10,false)*HLOOKUP($K1122,'Type Chart'!$C$2:$U$20,10,false)</f>
        <v>1</v>
      </c>
      <c r="AD1122" s="960">
        <f t="array" ref="AD1122">HLOOKUP($J1122,'Type Chart'!$C$2:$T$20,11,false)*HLOOKUP($K1122,'Type Chart'!$C$2:$U$20,11,false)</f>
        <v>0.5</v>
      </c>
      <c r="AE1122" s="960">
        <f t="array" ref="AE1122">HLOOKUP($J1122,'Type Chart'!$C$2:$T$20,12,false)*HLOOKUP($K1122,'Type Chart'!$C$2:$U$20,12,false)</f>
        <v>0.5</v>
      </c>
      <c r="AF1122" s="960">
        <f t="array" ref="AF1122">HLOOKUP($J1122,'Type Chart'!$C$2:$T$20,13,false)*HLOOKUP($K1122,'Type Chart'!$C$2:$U$20,13,false)</f>
        <v>0.5</v>
      </c>
      <c r="AG1122" s="960">
        <f t="array" ref="AG1122">HLOOKUP($J1122,'Type Chart'!$C$2:$T$20,14,false)*HLOOKUP($K1122,'Type Chart'!$C$2:$U$20,14,false)</f>
        <v>0.5</v>
      </c>
      <c r="AH1122" s="960">
        <f t="array" ref="AH1122">HLOOKUP($J1122,'Type Chart'!$C$2:$T$20,15,false)*HLOOKUP($K1122,'Type Chart'!$C$2:$U$20,15,false)</f>
        <v>1</v>
      </c>
      <c r="AI1122" s="960">
        <f t="array" ref="AI1122">HLOOKUP($J1122,'Type Chart'!$C$2:$T$20,16,false)*HLOOKUP($K1122,'Type Chart'!$C$2:$U$20,16,false)</f>
        <v>2</v>
      </c>
      <c r="AJ1122" s="960">
        <f t="array" ref="AJ1122">HLOOKUP($J1122,'Type Chart'!$C$2:$T$20,17,false)*HLOOKUP($K1122,'Type Chart'!$C$2:$U$20,17,false)</f>
        <v>2</v>
      </c>
      <c r="AK1122" s="960">
        <f t="array" ref="AK1122">HLOOKUP($J1122,'Type Chart'!$C$2:$T$20,18,false)*HLOOKUP($K1122,'Type Chart'!$C$2:$U$20,18,false)</f>
        <v>1</v>
      </c>
      <c r="AL1122" s="960">
        <f t="array" ref="AL1122">HLOOKUP($J1122,'Type Chart'!$C$2:$T$20,19,false)*HLOOKUP($K1122,'Type Chart'!$C$2:$U$20,19,false)</f>
        <v>2</v>
      </c>
      <c r="AM1122" s="964" t="s">
        <v>4119</v>
      </c>
      <c r="AN1122" s="965"/>
      <c r="AO1122" s="966"/>
      <c r="AP1122" s="936"/>
      <c r="AQ1122" s="967"/>
      <c r="AR1122" s="968"/>
      <c r="AS1122" s="936"/>
    </row>
    <row r="1123" ht="15.75" customHeight="1">
      <c r="A1123" s="936"/>
      <c r="B1123" s="948" t="s">
        <v>4120</v>
      </c>
      <c r="C1123" s="950" t="s">
        <v>4121</v>
      </c>
      <c r="D1123" s="950" t="s">
        <v>4121</v>
      </c>
      <c r="E1123" s="952" t="s">
        <v>4121</v>
      </c>
      <c r="F1123" s="940"/>
      <c r="G1123" s="953"/>
      <c r="H1123" s="969"/>
      <c r="I1123" s="956" t="s">
        <v>587</v>
      </c>
      <c r="J1123" s="1205" t="s">
        <v>345</v>
      </c>
      <c r="K1123" s="964" t="s">
        <v>216</v>
      </c>
      <c r="L1123" s="959">
        <v>100.0</v>
      </c>
      <c r="M1123" s="960">
        <v>145.0</v>
      </c>
      <c r="N1123" s="960">
        <v>130.0</v>
      </c>
      <c r="O1123" s="960">
        <v>65.0</v>
      </c>
      <c r="P1123" s="960">
        <v>110.0</v>
      </c>
      <c r="Q1123" s="960">
        <v>30.0</v>
      </c>
      <c r="R1123" s="960">
        <v>96.0</v>
      </c>
      <c r="S1123" s="960">
        <v>159.0</v>
      </c>
      <c r="T1123" s="960">
        <v>174.0</v>
      </c>
      <c r="U1123" s="960">
        <f t="array" ref="U1123">HLOOKUP($J1123,'Type Chart'!$C$2:$T$20,2,false)*HLOOKUP($K1123,'Type Chart'!$C$2:$U$20,2,false)</f>
        <v>1</v>
      </c>
      <c r="V1123" s="960">
        <f t="array" ref="V1123">HLOOKUP($J1123,'Type Chart'!$C$2:$T$20,3,false)*HLOOKUP($K1123,'Type Chart'!$C$2:$U$20,3,false)</f>
        <v>2</v>
      </c>
      <c r="W1123" s="960">
        <f t="array" ref="W1123">HLOOKUP($J1123,'Type Chart'!$C$2:$T$20,4,false)*HLOOKUP($K1123,'Type Chart'!$C$2:$U$20,4,false)</f>
        <v>1</v>
      </c>
      <c r="X1123" s="960">
        <f t="array" ref="X1123">HLOOKUP($J1123,'Type Chart'!$C$2:$T$20,5,false)*HLOOKUP($K1123,'Type Chart'!$C$2:$U$20,5,false)</f>
        <v>1</v>
      </c>
      <c r="Y1123" s="960">
        <f t="array" ref="Y1123">HLOOKUP($J1123,'Type Chart'!$C$2:$T$20,6,false)*HLOOKUP($K1123,'Type Chart'!$C$2:$U$20,6,false)</f>
        <v>1</v>
      </c>
      <c r="Z1123" s="960">
        <f t="array" ref="Z1123">HLOOKUP($J1123,'Type Chart'!$C$2:$T$20,7,false)*HLOOKUP($K1123,'Type Chart'!$C$2:$U$20,7,false)</f>
        <v>2</v>
      </c>
      <c r="AA1123" s="960">
        <f t="array" ref="AA1123">HLOOKUP($J1123,'Type Chart'!$C$2:$T$20,8,false)*HLOOKUP($K1123,'Type Chart'!$C$2:$U$20,8,false)</f>
        <v>1</v>
      </c>
      <c r="AB1123" s="960">
        <f t="array" ref="AB1123">HLOOKUP($J1123,'Type Chart'!$C$2:$T$20,9,false)*HLOOKUP($K1123,'Type Chart'!$C$2:$U$20,9,false)</f>
        <v>1</v>
      </c>
      <c r="AC1123" s="960">
        <f t="array" ref="AC1123">HLOOKUP($J1123,'Type Chart'!$C$2:$T$20,10,false)*HLOOKUP($K1123,'Type Chart'!$C$2:$U$20,10,false)</f>
        <v>2</v>
      </c>
      <c r="AD1123" s="960">
        <f t="array" ref="AD1123">HLOOKUP($J1123,'Type Chart'!$C$2:$T$20,11,false)*HLOOKUP($K1123,'Type Chart'!$C$2:$U$20,11,false)</f>
        <v>2</v>
      </c>
      <c r="AE1123" s="960">
        <f t="array" ref="AE1123">HLOOKUP($J1123,'Type Chart'!$C$2:$T$20,12,false)*HLOOKUP($K1123,'Type Chart'!$C$2:$U$20,12,false)</f>
        <v>1</v>
      </c>
      <c r="AF1123" s="960">
        <f t="array" ref="AF1123">HLOOKUP($J1123,'Type Chart'!$C$2:$T$20,13,false)*HLOOKUP($K1123,'Type Chart'!$C$2:$U$20,13,false)</f>
        <v>1</v>
      </c>
      <c r="AG1123" s="960">
        <f t="array" ref="AG1123">HLOOKUP($J1123,'Type Chart'!$C$2:$T$20,14,false)*HLOOKUP($K1123,'Type Chart'!$C$2:$U$20,14,false)</f>
        <v>1</v>
      </c>
      <c r="AH1123" s="960">
        <f t="array" ref="AH1123">HLOOKUP($J1123,'Type Chart'!$C$2:$T$20,15,false)*HLOOKUP($K1123,'Type Chart'!$C$2:$U$20,15,false)</f>
        <v>1</v>
      </c>
      <c r="AI1123" s="960">
        <f t="array" ref="AI1123">HLOOKUP($J1123,'Type Chart'!$C$2:$T$20,16,false)*HLOOKUP($K1123,'Type Chart'!$C$2:$U$20,16,false)</f>
        <v>0.5</v>
      </c>
      <c r="AJ1123" s="960">
        <f t="array" ref="AJ1123">HLOOKUP($J1123,'Type Chart'!$C$2:$T$20,17,false)*HLOOKUP($K1123,'Type Chart'!$C$2:$U$20,17,false)</f>
        <v>1</v>
      </c>
      <c r="AK1123" s="960">
        <f t="array" ref="AK1123">HLOOKUP($J1123,'Type Chart'!$C$2:$T$20,18,false)*HLOOKUP($K1123,'Type Chart'!$C$2:$U$20,18,false)</f>
        <v>1</v>
      </c>
      <c r="AL1123" s="960">
        <f t="array" ref="AL1123">HLOOKUP($J1123,'Type Chart'!$C$2:$T$20,19,false)*HLOOKUP($K1123,'Type Chart'!$C$2:$U$20,19,false)</f>
        <v>1</v>
      </c>
      <c r="AM1123" s="964" t="s">
        <v>4122</v>
      </c>
      <c r="AN1123" s="965"/>
      <c r="AO1123" s="966"/>
      <c r="AP1123" s="936"/>
      <c r="AQ1123" s="967"/>
      <c r="AR1123" s="968"/>
      <c r="AS1123" s="936"/>
    </row>
    <row r="1124" ht="15.75" customHeight="1">
      <c r="A1124" s="936"/>
      <c r="B1124" s="948" t="s">
        <v>4123</v>
      </c>
      <c r="C1124" s="950" t="s">
        <v>183</v>
      </c>
      <c r="D1124" s="950" t="s">
        <v>183</v>
      </c>
      <c r="E1124" s="952" t="s">
        <v>183</v>
      </c>
      <c r="F1124" s="940"/>
      <c r="G1124" s="953"/>
      <c r="H1124" s="969"/>
      <c r="I1124" s="956" t="s">
        <v>165</v>
      </c>
      <c r="J1124" s="1220" t="s">
        <v>215</v>
      </c>
      <c r="K1124" s="964" t="s">
        <v>216</v>
      </c>
      <c r="L1124" s="959">
        <v>100.0</v>
      </c>
      <c r="M1124" s="960">
        <v>65.0</v>
      </c>
      <c r="N1124" s="960">
        <v>60.0</v>
      </c>
      <c r="O1124" s="960">
        <v>145.0</v>
      </c>
      <c r="P1124" s="960">
        <v>80.0</v>
      </c>
      <c r="Q1124" s="960">
        <v>130.0</v>
      </c>
      <c r="R1124" s="960">
        <v>296.0</v>
      </c>
      <c r="S1124" s="960">
        <v>359.0</v>
      </c>
      <c r="T1124" s="960">
        <v>394.0</v>
      </c>
      <c r="U1124" s="960">
        <f t="array" ref="U1124">HLOOKUP($J1124,'Type Chart'!$C$2:$T$20,2,false)*HLOOKUP($K1124,'Type Chart'!$C$2:$U$20,2,false)</f>
        <v>0</v>
      </c>
      <c r="V1124" s="960">
        <f t="array" ref="V1124">HLOOKUP($J1124,'Type Chart'!$C$2:$T$20,3,false)*HLOOKUP($K1124,'Type Chart'!$C$2:$U$20,3,false)</f>
        <v>0</v>
      </c>
      <c r="W1124" s="960">
        <f t="array" ref="W1124">HLOOKUP($J1124,'Type Chart'!$C$2:$T$20,4,false)*HLOOKUP($K1124,'Type Chart'!$C$2:$U$20,4,false)</f>
        <v>1</v>
      </c>
      <c r="X1124" s="960">
        <f t="array" ref="X1124">HLOOKUP($J1124,'Type Chart'!$C$2:$T$20,5,false)*HLOOKUP($K1124,'Type Chart'!$C$2:$U$20,5,false)</f>
        <v>0.5</v>
      </c>
      <c r="Y1124" s="960">
        <f t="array" ref="Y1124">HLOOKUP($J1124,'Type Chart'!$C$2:$T$20,6,false)*HLOOKUP($K1124,'Type Chart'!$C$2:$U$20,6,false)</f>
        <v>1</v>
      </c>
      <c r="Z1124" s="960">
        <f t="array" ref="Z1124">HLOOKUP($J1124,'Type Chart'!$C$2:$T$20,7,false)*HLOOKUP($K1124,'Type Chart'!$C$2:$U$20,7,false)</f>
        <v>1</v>
      </c>
      <c r="AA1124" s="960">
        <f t="array" ref="AA1124">HLOOKUP($J1124,'Type Chart'!$C$2:$T$20,8,false)*HLOOKUP($K1124,'Type Chart'!$C$2:$U$20,8,false)</f>
        <v>0.5</v>
      </c>
      <c r="AB1124" s="960">
        <f t="array" ref="AB1124">HLOOKUP($J1124,'Type Chart'!$C$2:$T$20,9,false)*HLOOKUP($K1124,'Type Chart'!$C$2:$U$20,9,false)</f>
        <v>2</v>
      </c>
      <c r="AC1124" s="960">
        <f t="array" ref="AC1124">HLOOKUP($J1124,'Type Chart'!$C$2:$T$20,10,false)*HLOOKUP($K1124,'Type Chart'!$C$2:$U$20,10,false)</f>
        <v>1</v>
      </c>
      <c r="AD1124" s="960">
        <f t="array" ref="AD1124">HLOOKUP($J1124,'Type Chart'!$C$2:$T$20,11,false)*HLOOKUP($K1124,'Type Chart'!$C$2:$U$20,11,false)</f>
        <v>1</v>
      </c>
      <c r="AE1124" s="960">
        <f t="array" ref="AE1124">HLOOKUP($J1124,'Type Chart'!$C$2:$T$20,12,false)*HLOOKUP($K1124,'Type Chart'!$C$2:$U$20,12,false)</f>
        <v>1</v>
      </c>
      <c r="AF1124" s="960">
        <f t="array" ref="AF1124">HLOOKUP($J1124,'Type Chart'!$C$2:$T$20,13,false)*HLOOKUP($K1124,'Type Chart'!$C$2:$U$20,13,false)</f>
        <v>1</v>
      </c>
      <c r="AG1124" s="960">
        <f t="array" ref="AG1124">HLOOKUP($J1124,'Type Chart'!$C$2:$T$20,14,false)*HLOOKUP($K1124,'Type Chart'!$C$2:$U$20,14,false)</f>
        <v>1</v>
      </c>
      <c r="AH1124" s="960">
        <f t="array" ref="AH1124">HLOOKUP($J1124,'Type Chart'!$C$2:$T$20,15,false)*HLOOKUP($K1124,'Type Chart'!$C$2:$U$20,15,false)</f>
        <v>1</v>
      </c>
      <c r="AI1124" s="960">
        <f t="array" ref="AI1124">HLOOKUP($J1124,'Type Chart'!$C$2:$T$20,16,false)*HLOOKUP($K1124,'Type Chart'!$C$2:$U$20,16,false)</f>
        <v>1</v>
      </c>
      <c r="AJ1124" s="960">
        <f t="array" ref="AJ1124">HLOOKUP($J1124,'Type Chart'!$C$2:$T$20,17,false)*HLOOKUP($K1124,'Type Chart'!$C$2:$U$20,17,false)</f>
        <v>1</v>
      </c>
      <c r="AK1124" s="960">
        <f t="array" ref="AK1124">HLOOKUP($J1124,'Type Chart'!$C$2:$T$20,18,false)*HLOOKUP($K1124,'Type Chart'!$C$2:$U$20,18,false)</f>
        <v>2</v>
      </c>
      <c r="AL1124" s="960">
        <f t="array" ref="AL1124">HLOOKUP($J1124,'Type Chart'!$C$2:$T$20,19,false)*HLOOKUP($K1124,'Type Chart'!$C$2:$U$20,19,false)</f>
        <v>1</v>
      </c>
      <c r="AM1124" s="964" t="s">
        <v>4124</v>
      </c>
      <c r="AN1124" s="965"/>
      <c r="AO1124" s="966"/>
      <c r="AP1124" s="936"/>
      <c r="AQ1124" s="967"/>
      <c r="AR1124" s="968"/>
      <c r="AS1124" s="936"/>
    </row>
    <row r="1125" ht="15.75" customHeight="1">
      <c r="A1125" s="1099"/>
      <c r="B1125" s="948" t="s">
        <v>4125</v>
      </c>
      <c r="C1125" s="950" t="s">
        <v>4126</v>
      </c>
      <c r="D1125" s="950" t="s">
        <v>4126</v>
      </c>
      <c r="E1125" s="952" t="s">
        <v>4126</v>
      </c>
      <c r="F1125" s="940"/>
      <c r="G1125" s="953"/>
      <c r="H1125" s="969"/>
      <c r="I1125" s="956" t="s">
        <v>815</v>
      </c>
      <c r="J1125" s="1203" t="s">
        <v>344</v>
      </c>
      <c r="K1125" s="957" t="s">
        <v>209</v>
      </c>
      <c r="L1125" s="959">
        <v>100.0</v>
      </c>
      <c r="M1125" s="960">
        <v>80.0</v>
      </c>
      <c r="N1125" s="960">
        <v>80.0</v>
      </c>
      <c r="O1125" s="960">
        <v>80.0</v>
      </c>
      <c r="P1125" s="960">
        <v>80.0</v>
      </c>
      <c r="Q1125" s="960">
        <v>80.0</v>
      </c>
      <c r="R1125" s="960">
        <v>196.0</v>
      </c>
      <c r="S1125" s="960">
        <v>259.0</v>
      </c>
      <c r="T1125" s="960">
        <v>284.0</v>
      </c>
      <c r="U1125" s="960">
        <f t="array" ref="U1125">HLOOKUP($J1125,'Type Chart'!$C$2:$T$20,2,false)*HLOOKUP($K1125,'Type Chart'!$C$2:$U$20,2,false)</f>
        <v>1</v>
      </c>
      <c r="V1125" s="960">
        <f t="array" ref="V1125">HLOOKUP($J1125,'Type Chart'!$C$2:$T$20,3,false)*HLOOKUP($K1125,'Type Chart'!$C$2:$U$20,3,false)</f>
        <v>0.5</v>
      </c>
      <c r="W1125" s="960">
        <f t="array" ref="W1125">HLOOKUP($J1125,'Type Chart'!$C$2:$T$20,4,false)*HLOOKUP($K1125,'Type Chart'!$C$2:$U$20,4,false)</f>
        <v>2</v>
      </c>
      <c r="X1125" s="960">
        <f t="array" ref="X1125">HLOOKUP($J1125,'Type Chart'!$C$2:$T$20,5,false)*HLOOKUP($K1125,'Type Chart'!$C$2:$U$20,5,false)</f>
        <v>2</v>
      </c>
      <c r="Y1125" s="960">
        <f t="array" ref="Y1125">HLOOKUP($J1125,'Type Chart'!$C$2:$T$20,6,false)*HLOOKUP($K1125,'Type Chart'!$C$2:$U$20,6,false)</f>
        <v>0.5</v>
      </c>
      <c r="Z1125" s="960">
        <f t="array" ref="Z1125">HLOOKUP($J1125,'Type Chart'!$C$2:$T$20,7,false)*HLOOKUP($K1125,'Type Chart'!$C$2:$U$20,7,false)</f>
        <v>1</v>
      </c>
      <c r="AA1125" s="960">
        <f t="array" ref="AA1125">HLOOKUP($J1125,'Type Chart'!$C$2:$T$20,8,false)*HLOOKUP($K1125,'Type Chart'!$C$2:$U$20,8,false)</f>
        <v>4</v>
      </c>
      <c r="AB1125" s="960">
        <f t="array" ref="AB1125">HLOOKUP($J1125,'Type Chart'!$C$2:$T$20,9,false)*HLOOKUP($K1125,'Type Chart'!$C$2:$U$20,9,false)</f>
        <v>2</v>
      </c>
      <c r="AC1125" s="960">
        <f t="array" ref="AC1125">HLOOKUP($J1125,'Type Chart'!$C$2:$T$20,10,false)*HLOOKUP($K1125,'Type Chart'!$C$2:$U$20,10,false)</f>
        <v>1</v>
      </c>
      <c r="AD1125" s="960">
        <f t="array" ref="AD1125">HLOOKUP($J1125,'Type Chart'!$C$2:$T$20,11,false)*HLOOKUP($K1125,'Type Chart'!$C$2:$U$20,11,false)</f>
        <v>2</v>
      </c>
      <c r="AE1125" s="960">
        <f t="array" ref="AE1125">HLOOKUP($J1125,'Type Chart'!$C$2:$T$20,12,false)*HLOOKUP($K1125,'Type Chart'!$C$2:$U$20,12,false)</f>
        <v>0.5</v>
      </c>
      <c r="AF1125" s="960">
        <f t="array" ref="AF1125">HLOOKUP($J1125,'Type Chart'!$C$2:$T$20,13,false)*HLOOKUP($K1125,'Type Chart'!$C$2:$U$20,13,false)</f>
        <v>0.5</v>
      </c>
      <c r="AG1125" s="960">
        <f t="array" ref="AG1125">HLOOKUP($J1125,'Type Chart'!$C$2:$T$20,14,false)*HLOOKUP($K1125,'Type Chart'!$C$2:$U$20,14,false)</f>
        <v>0.5</v>
      </c>
      <c r="AH1125" s="960">
        <f t="array" ref="AH1125">HLOOKUP($J1125,'Type Chart'!$C$2:$T$20,15,false)*HLOOKUP($K1125,'Type Chart'!$C$2:$U$20,15,false)</f>
        <v>0.5</v>
      </c>
      <c r="AI1125" s="960">
        <f t="array" ref="AI1125">HLOOKUP($J1125,'Type Chart'!$C$2:$T$20,16,false)*HLOOKUP($K1125,'Type Chart'!$C$2:$U$20,16,false)</f>
        <v>2</v>
      </c>
      <c r="AJ1125" s="960">
        <f t="array" ref="AJ1125">HLOOKUP($J1125,'Type Chart'!$C$2:$T$20,17,false)*HLOOKUP($K1125,'Type Chart'!$C$2:$U$20,17,false)</f>
        <v>1</v>
      </c>
      <c r="AK1125" s="960">
        <f t="array" ref="AK1125">HLOOKUP($J1125,'Type Chart'!$C$2:$T$20,18,false)*HLOOKUP($K1125,'Type Chart'!$C$2:$U$20,18,false)</f>
        <v>2</v>
      </c>
      <c r="AL1125" s="960">
        <f t="array" ref="AL1125">HLOOKUP($J1125,'Type Chart'!$C$2:$T$20,19,false)*HLOOKUP($K1125,'Type Chart'!$C$2:$U$20,19,false)</f>
        <v>1</v>
      </c>
      <c r="AM1125" s="1145" t="s">
        <v>1062</v>
      </c>
      <c r="AN1125" s="1202"/>
      <c r="AO1125" s="1146"/>
      <c r="AP1125" s="936"/>
      <c r="AQ1125" s="967"/>
      <c r="AR1125" s="968"/>
      <c r="AS1125" s="936"/>
    </row>
    <row r="1126" ht="15.75" customHeight="1">
      <c r="A1126" s="936"/>
      <c r="B1126" s="948" t="s">
        <v>4127</v>
      </c>
      <c r="C1126" s="950" t="s">
        <v>4128</v>
      </c>
      <c r="D1126" s="950" t="s">
        <v>4128</v>
      </c>
      <c r="E1126" s="952" t="s">
        <v>4129</v>
      </c>
      <c r="F1126" s="940"/>
      <c r="G1126" s="953"/>
      <c r="H1126" s="969"/>
      <c r="I1126" s="1226" t="s">
        <v>212</v>
      </c>
      <c r="J1126" s="1203" t="s">
        <v>344</v>
      </c>
      <c r="K1126" s="1205" t="s">
        <v>345</v>
      </c>
      <c r="L1126" s="959">
        <v>100.0</v>
      </c>
      <c r="M1126" s="960">
        <v>165.0</v>
      </c>
      <c r="N1126" s="960">
        <v>150.0</v>
      </c>
      <c r="O1126" s="960">
        <v>85.0</v>
      </c>
      <c r="P1126" s="960">
        <v>130.0</v>
      </c>
      <c r="Q1126" s="960">
        <v>50.0</v>
      </c>
      <c r="R1126" s="960">
        <v>136.0</v>
      </c>
      <c r="S1126" s="960">
        <v>199.0</v>
      </c>
      <c r="T1126" s="960">
        <v>218.0</v>
      </c>
      <c r="U1126" s="960">
        <f t="array" ref="U1126">HLOOKUP($J1126,'Type Chart'!$C$2:$T$20,2,false)*HLOOKUP($K1126,'Type Chart'!$C$2:$U$20,2,false)</f>
        <v>1</v>
      </c>
      <c r="V1126" s="960">
        <f t="array" ref="V1126">HLOOKUP($J1126,'Type Chart'!$C$2:$T$20,3,false)*HLOOKUP($K1126,'Type Chart'!$C$2:$U$20,3,false)</f>
        <v>1</v>
      </c>
      <c r="W1126" s="960">
        <f t="array" ref="W1126">HLOOKUP($J1126,'Type Chart'!$C$2:$T$20,4,false)*HLOOKUP($K1126,'Type Chart'!$C$2:$U$20,4,false)</f>
        <v>1</v>
      </c>
      <c r="X1126" s="960">
        <f t="array" ref="X1126">HLOOKUP($J1126,'Type Chart'!$C$2:$T$20,5,false)*HLOOKUP($K1126,'Type Chart'!$C$2:$U$20,5,false)</f>
        <v>1</v>
      </c>
      <c r="Y1126" s="960">
        <f t="array" ref="Y1126">HLOOKUP($J1126,'Type Chart'!$C$2:$T$20,6,false)*HLOOKUP($K1126,'Type Chart'!$C$2:$U$20,6,false)</f>
        <v>1</v>
      </c>
      <c r="Z1126" s="960">
        <f t="array" ref="Z1126">HLOOKUP($J1126,'Type Chart'!$C$2:$T$20,7,false)*HLOOKUP($K1126,'Type Chart'!$C$2:$U$20,7,false)</f>
        <v>2</v>
      </c>
      <c r="AA1126" s="960">
        <f t="array" ref="AA1126">HLOOKUP($J1126,'Type Chart'!$C$2:$T$20,8,false)*HLOOKUP($K1126,'Type Chart'!$C$2:$U$20,8,false)</f>
        <v>2</v>
      </c>
      <c r="AB1126" s="960">
        <f t="array" ref="AB1126">HLOOKUP($J1126,'Type Chart'!$C$2:$T$20,9,false)*HLOOKUP($K1126,'Type Chart'!$C$2:$U$20,9,false)</f>
        <v>2</v>
      </c>
      <c r="AC1126" s="960">
        <f t="array" ref="AC1126">HLOOKUP($J1126,'Type Chart'!$C$2:$T$20,10,false)*HLOOKUP($K1126,'Type Chart'!$C$2:$U$20,10,false)</f>
        <v>2</v>
      </c>
      <c r="AD1126" s="960">
        <f t="array" ref="AD1126">HLOOKUP($J1126,'Type Chart'!$C$2:$T$20,11,false)*HLOOKUP($K1126,'Type Chart'!$C$2:$U$20,11,false)</f>
        <v>2</v>
      </c>
      <c r="AE1126" s="960">
        <f t="array" ref="AE1126">HLOOKUP($J1126,'Type Chart'!$C$2:$T$20,12,false)*HLOOKUP($K1126,'Type Chart'!$C$2:$U$20,12,false)</f>
        <v>1</v>
      </c>
      <c r="AF1126" s="960">
        <f t="array" ref="AF1126">HLOOKUP($J1126,'Type Chart'!$C$2:$T$20,13,false)*HLOOKUP($K1126,'Type Chart'!$C$2:$U$20,13,false)</f>
        <v>1</v>
      </c>
      <c r="AG1126" s="960">
        <f t="array" ref="AG1126">HLOOKUP($J1126,'Type Chart'!$C$2:$T$20,14,false)*HLOOKUP($K1126,'Type Chart'!$C$2:$U$20,14,false)</f>
        <v>1</v>
      </c>
      <c r="AH1126" s="960">
        <f t="array" ref="AH1126">HLOOKUP($J1126,'Type Chart'!$C$2:$T$20,15,false)*HLOOKUP($K1126,'Type Chart'!$C$2:$U$20,15,false)</f>
        <v>0.5</v>
      </c>
      <c r="AI1126" s="960">
        <f t="array" ref="AI1126">HLOOKUP($J1126,'Type Chart'!$C$2:$T$20,16,false)*HLOOKUP($K1126,'Type Chart'!$C$2:$U$20,16,false)</f>
        <v>0.5</v>
      </c>
      <c r="AJ1126" s="960">
        <f t="array" ref="AJ1126">HLOOKUP($J1126,'Type Chart'!$C$2:$T$20,17,false)*HLOOKUP($K1126,'Type Chart'!$C$2:$U$20,17,false)</f>
        <v>1</v>
      </c>
      <c r="AK1126" s="960">
        <f t="array" ref="AK1126">HLOOKUP($J1126,'Type Chart'!$C$2:$T$20,18,false)*HLOOKUP($K1126,'Type Chart'!$C$2:$U$20,18,false)</f>
        <v>2</v>
      </c>
      <c r="AL1126" s="960">
        <f t="array" ref="AL1126">HLOOKUP($J1126,'Type Chart'!$C$2:$T$20,19,false)*HLOOKUP($K1126,'Type Chart'!$C$2:$U$20,19,false)</f>
        <v>1</v>
      </c>
      <c r="AM1126" s="964" t="s">
        <v>4130</v>
      </c>
      <c r="AN1126" s="965"/>
      <c r="AO1126" s="966"/>
      <c r="AP1126" s="936"/>
      <c r="AQ1126" s="967"/>
      <c r="AR1126" s="968"/>
      <c r="AS1126" s="936"/>
    </row>
    <row r="1127" ht="15.75" customHeight="1">
      <c r="A1127" s="1099"/>
      <c r="B1127" s="948" t="s">
        <v>4131</v>
      </c>
      <c r="C1127" s="950" t="s">
        <v>4132</v>
      </c>
      <c r="D1127" s="950" t="s">
        <v>4132</v>
      </c>
      <c r="E1127" s="1147" t="s">
        <v>4133</v>
      </c>
      <c r="F1127" s="940"/>
      <c r="G1127" s="953"/>
      <c r="H1127" s="969"/>
      <c r="I1127" s="1226" t="s">
        <v>226</v>
      </c>
      <c r="J1127" s="1203" t="s">
        <v>344</v>
      </c>
      <c r="K1127" s="1220" t="s">
        <v>215</v>
      </c>
      <c r="L1127" s="959">
        <v>100.0</v>
      </c>
      <c r="M1127" s="960">
        <v>85.0</v>
      </c>
      <c r="N1127" s="960">
        <v>80.0</v>
      </c>
      <c r="O1127" s="960">
        <v>165.0</v>
      </c>
      <c r="P1127" s="960">
        <v>100.0</v>
      </c>
      <c r="Q1127" s="960">
        <v>150.0</v>
      </c>
      <c r="R1127" s="960">
        <v>336.0</v>
      </c>
      <c r="S1127" s="960">
        <v>399.0</v>
      </c>
      <c r="T1127" s="960">
        <v>438.0</v>
      </c>
      <c r="U1127" s="960">
        <f t="array" ref="U1127">HLOOKUP($J1127,'Type Chart'!$C$2:$T$20,2,false)*HLOOKUP($K1127,'Type Chart'!$C$2:$U$20,2,false)</f>
        <v>0</v>
      </c>
      <c r="V1127" s="960">
        <f t="array" ref="V1127">HLOOKUP($J1127,'Type Chart'!$C$2:$T$20,3,false)*HLOOKUP($K1127,'Type Chart'!$C$2:$U$20,3,false)</f>
        <v>0</v>
      </c>
      <c r="W1127" s="960">
        <f t="array" ref="W1127">HLOOKUP($J1127,'Type Chart'!$C$2:$T$20,4,false)*HLOOKUP($K1127,'Type Chart'!$C$2:$U$20,4,false)</f>
        <v>1</v>
      </c>
      <c r="X1127" s="960">
        <f t="array" ref="X1127">HLOOKUP($J1127,'Type Chart'!$C$2:$T$20,5,false)*HLOOKUP($K1127,'Type Chart'!$C$2:$U$20,5,false)</f>
        <v>0.5</v>
      </c>
      <c r="Y1127" s="960">
        <f t="array" ref="Y1127">HLOOKUP($J1127,'Type Chart'!$C$2:$T$20,6,false)*HLOOKUP($K1127,'Type Chart'!$C$2:$U$20,6,false)</f>
        <v>1</v>
      </c>
      <c r="Z1127" s="960">
        <f t="array" ref="Z1127">HLOOKUP($J1127,'Type Chart'!$C$2:$T$20,7,false)*HLOOKUP($K1127,'Type Chart'!$C$2:$U$20,7,false)</f>
        <v>1</v>
      </c>
      <c r="AA1127" s="960">
        <f t="array" ref="AA1127">HLOOKUP($J1127,'Type Chart'!$C$2:$T$20,8,false)*HLOOKUP($K1127,'Type Chart'!$C$2:$U$20,8,false)</f>
        <v>1</v>
      </c>
      <c r="AB1127" s="960">
        <f t="array" ref="AB1127">HLOOKUP($J1127,'Type Chart'!$C$2:$T$20,9,false)*HLOOKUP($K1127,'Type Chart'!$C$2:$U$20,9,false)</f>
        <v>4</v>
      </c>
      <c r="AC1127" s="960">
        <f t="array" ref="AC1127">HLOOKUP($J1127,'Type Chart'!$C$2:$T$20,10,false)*HLOOKUP($K1127,'Type Chart'!$C$2:$U$20,10,false)</f>
        <v>1</v>
      </c>
      <c r="AD1127" s="960">
        <f t="array" ref="AD1127">HLOOKUP($J1127,'Type Chart'!$C$2:$T$20,11,false)*HLOOKUP($K1127,'Type Chart'!$C$2:$U$20,11,false)</f>
        <v>1</v>
      </c>
      <c r="AE1127" s="960">
        <f t="array" ref="AE1127">HLOOKUP($J1127,'Type Chart'!$C$2:$T$20,12,false)*HLOOKUP($K1127,'Type Chart'!$C$2:$U$20,12,false)</f>
        <v>1</v>
      </c>
      <c r="AF1127" s="960">
        <f t="array" ref="AF1127">HLOOKUP($J1127,'Type Chart'!$C$2:$T$20,13,false)*HLOOKUP($K1127,'Type Chart'!$C$2:$U$20,13,false)</f>
        <v>1</v>
      </c>
      <c r="AG1127" s="960">
        <f t="array" ref="AG1127">HLOOKUP($J1127,'Type Chart'!$C$2:$T$20,14,false)*HLOOKUP($K1127,'Type Chart'!$C$2:$U$20,14,false)</f>
        <v>1</v>
      </c>
      <c r="AH1127" s="960">
        <f t="array" ref="AH1127">HLOOKUP($J1127,'Type Chart'!$C$2:$T$20,15,false)*HLOOKUP($K1127,'Type Chart'!$C$2:$U$20,15,false)</f>
        <v>0.5</v>
      </c>
      <c r="AI1127" s="960">
        <f t="array" ref="AI1127">HLOOKUP($J1127,'Type Chart'!$C$2:$T$20,16,false)*HLOOKUP($K1127,'Type Chart'!$C$2:$U$20,16,false)</f>
        <v>1</v>
      </c>
      <c r="AJ1127" s="960">
        <f t="array" ref="AJ1127">HLOOKUP($J1127,'Type Chart'!$C$2:$T$20,17,false)*HLOOKUP($K1127,'Type Chart'!$C$2:$U$20,17,false)</f>
        <v>1</v>
      </c>
      <c r="AK1127" s="960">
        <f t="array" ref="AK1127">HLOOKUP($J1127,'Type Chart'!$C$2:$T$20,18,false)*HLOOKUP($K1127,'Type Chart'!$C$2:$U$20,18,false)</f>
        <v>4</v>
      </c>
      <c r="AL1127" s="960">
        <f t="array" ref="AL1127">HLOOKUP($J1127,'Type Chart'!$C$2:$T$20,19,false)*HLOOKUP($K1127,'Type Chart'!$C$2:$U$20,19,false)</f>
        <v>1</v>
      </c>
      <c r="AM1127" s="1145" t="s">
        <v>4130</v>
      </c>
      <c r="AN1127" s="1202"/>
      <c r="AO1127" s="1146"/>
      <c r="AP1127" s="936"/>
      <c r="AQ1127" s="967"/>
      <c r="AR1127" s="968"/>
      <c r="AS1127" s="936"/>
    </row>
    <row r="1128" ht="15.75" customHeight="1">
      <c r="A1128" s="1099"/>
      <c r="B1128" s="948" t="s">
        <v>4134</v>
      </c>
      <c r="C1128" s="950" t="s">
        <v>4135</v>
      </c>
      <c r="D1128" s="950" t="s">
        <v>4135</v>
      </c>
      <c r="E1128" s="1147" t="s">
        <v>4135</v>
      </c>
      <c r="F1128" s="940"/>
      <c r="G1128" s="953"/>
      <c r="H1128" s="969"/>
      <c r="I1128" s="998" t="s">
        <v>725</v>
      </c>
      <c r="J1128" s="1194" t="s">
        <v>136</v>
      </c>
      <c r="K1128" s="1203" t="s">
        <v>344</v>
      </c>
      <c r="L1128" s="959">
        <v>103.0</v>
      </c>
      <c r="M1128" s="960">
        <v>105.0</v>
      </c>
      <c r="N1128" s="960">
        <v>72.0</v>
      </c>
      <c r="O1128" s="960">
        <v>105.0</v>
      </c>
      <c r="P1128" s="960">
        <v>75.0</v>
      </c>
      <c r="Q1128" s="960">
        <v>65.0</v>
      </c>
      <c r="R1128" s="960">
        <v>166.0</v>
      </c>
      <c r="S1128" s="960">
        <v>229.0</v>
      </c>
      <c r="T1128" s="960">
        <v>251.0</v>
      </c>
      <c r="U1128" s="960">
        <f t="array" ref="U1128">HLOOKUP($J1128,'Type Chart'!$C$2:$T$20,2,false)*HLOOKUP($K1128,'Type Chart'!$C$2:$U$20,2,false)</f>
        <v>1</v>
      </c>
      <c r="V1128" s="960">
        <f t="array" ref="V1128">HLOOKUP($J1128,'Type Chart'!$C$2:$T$20,3,false)*HLOOKUP($K1128,'Type Chart'!$C$2:$U$20,3,false)</f>
        <v>1</v>
      </c>
      <c r="W1128" s="960">
        <f t="array" ref="W1128">HLOOKUP($J1128,'Type Chart'!$C$2:$T$20,4,false)*HLOOKUP($K1128,'Type Chart'!$C$2:$U$20,4,false)</f>
        <v>1</v>
      </c>
      <c r="X1128" s="960">
        <f t="array" ref="X1128">HLOOKUP($J1128,'Type Chart'!$C$2:$T$20,5,false)*HLOOKUP($K1128,'Type Chart'!$C$2:$U$20,5,false)</f>
        <v>1</v>
      </c>
      <c r="Y1128" s="960">
        <f t="array" ref="Y1128">HLOOKUP($J1128,'Type Chart'!$C$2:$T$20,6,false)*HLOOKUP($K1128,'Type Chart'!$C$2:$U$20,6,false)</f>
        <v>1</v>
      </c>
      <c r="Z1128" s="960">
        <f t="array" ref="Z1128">HLOOKUP($J1128,'Type Chart'!$C$2:$T$20,7,false)*HLOOKUP($K1128,'Type Chart'!$C$2:$U$20,7,false)</f>
        <v>1</v>
      </c>
      <c r="AA1128" s="960">
        <f t="array" ref="AA1128">HLOOKUP($J1128,'Type Chart'!$C$2:$T$20,8,false)*HLOOKUP($K1128,'Type Chart'!$C$2:$U$20,8,false)</f>
        <v>2</v>
      </c>
      <c r="AB1128" s="960">
        <f t="array" ref="AB1128">HLOOKUP($J1128,'Type Chart'!$C$2:$T$20,9,false)*HLOOKUP($K1128,'Type Chart'!$C$2:$U$20,9,false)</f>
        <v>0</v>
      </c>
      <c r="AC1128" s="960">
        <f t="array" ref="AC1128">HLOOKUP($J1128,'Type Chart'!$C$2:$T$20,10,false)*HLOOKUP($K1128,'Type Chart'!$C$2:$U$20,10,false)</f>
        <v>1</v>
      </c>
      <c r="AD1128" s="960">
        <f t="array" ref="AD1128">HLOOKUP($J1128,'Type Chart'!$C$2:$T$20,11,false)*HLOOKUP($K1128,'Type Chart'!$C$2:$U$20,11,false)</f>
        <v>1</v>
      </c>
      <c r="AE1128" s="960">
        <f t="array" ref="AE1128">HLOOKUP($J1128,'Type Chart'!$C$2:$T$20,12,false)*HLOOKUP($K1128,'Type Chart'!$C$2:$U$20,12,false)</f>
        <v>1</v>
      </c>
      <c r="AF1128" s="960">
        <f t="array" ref="AF1128">HLOOKUP($J1128,'Type Chart'!$C$2:$T$20,13,false)*HLOOKUP($K1128,'Type Chart'!$C$2:$U$20,13,false)</f>
        <v>1</v>
      </c>
      <c r="AG1128" s="960">
        <f t="array" ref="AG1128">HLOOKUP($J1128,'Type Chart'!$C$2:$T$20,14,false)*HLOOKUP($K1128,'Type Chart'!$C$2:$U$20,14,false)</f>
        <v>1</v>
      </c>
      <c r="AH1128" s="960">
        <f t="array" ref="AH1128">HLOOKUP($J1128,'Type Chart'!$C$2:$T$20,15,false)*HLOOKUP($K1128,'Type Chart'!$C$2:$U$20,15,false)</f>
        <v>0.5</v>
      </c>
      <c r="AI1128" s="960">
        <f t="array" ref="AI1128">HLOOKUP($J1128,'Type Chart'!$C$2:$T$20,16,false)*HLOOKUP($K1128,'Type Chart'!$C$2:$U$20,16,false)</f>
        <v>1</v>
      </c>
      <c r="AJ1128" s="960">
        <f t="array" ref="AJ1128">HLOOKUP($J1128,'Type Chart'!$C$2:$T$20,17,false)*HLOOKUP($K1128,'Type Chart'!$C$2:$U$20,17,false)</f>
        <v>1</v>
      </c>
      <c r="AK1128" s="960">
        <f t="array" ref="AK1128">HLOOKUP($J1128,'Type Chart'!$C$2:$T$20,18,false)*HLOOKUP($K1128,'Type Chart'!$C$2:$U$20,18,false)</f>
        <v>2</v>
      </c>
      <c r="AL1128" s="960">
        <f t="array" ref="AL1128">HLOOKUP($J1128,'Type Chart'!$C$2:$T$20,19,false)*HLOOKUP($K1128,'Type Chart'!$C$2:$U$20,19,false)</f>
        <v>1</v>
      </c>
      <c r="AM1128" s="1145" t="s">
        <v>1061</v>
      </c>
      <c r="AN1128" s="1145" t="s">
        <v>1188</v>
      </c>
      <c r="AO1128" s="1146" t="s">
        <v>1772</v>
      </c>
      <c r="AP1128" s="936"/>
      <c r="AQ1128" s="967"/>
      <c r="AR1128" s="968"/>
      <c r="AS1128" s="936"/>
    </row>
    <row r="1129" ht="15.75" customHeight="1">
      <c r="A1129" s="936"/>
      <c r="B1129" s="948">
        <v>900.0</v>
      </c>
      <c r="C1129" s="950" t="s">
        <v>4136</v>
      </c>
      <c r="D1129" s="950" t="s">
        <v>4136</v>
      </c>
      <c r="E1129" s="952" t="s">
        <v>4136</v>
      </c>
      <c r="F1129" s="940"/>
      <c r="G1129" s="953"/>
      <c r="H1129" s="969"/>
      <c r="I1129" s="956" t="s">
        <v>325</v>
      </c>
      <c r="J1129" s="1180" t="s">
        <v>343</v>
      </c>
      <c r="K1129" s="1214" t="s">
        <v>342</v>
      </c>
      <c r="L1129" s="959">
        <v>70.0</v>
      </c>
      <c r="M1129" s="960">
        <v>130.0</v>
      </c>
      <c r="N1129" s="960">
        <v>95.0</v>
      </c>
      <c r="O1129" s="960">
        <v>45.0</v>
      </c>
      <c r="P1129" s="960">
        <v>75.0</v>
      </c>
      <c r="Q1129" s="960">
        <v>85.0</v>
      </c>
      <c r="R1129" s="960">
        <v>206.0</v>
      </c>
      <c r="S1129" s="960">
        <v>269.0</v>
      </c>
      <c r="T1129" s="960">
        <v>295.0</v>
      </c>
      <c r="U1129" s="960">
        <f t="array" ref="U1129">HLOOKUP($J1129,'Type Chart'!$C$2:$T$20,2,false)*HLOOKUP($K1129,'Type Chart'!$C$2:$U$20,2,false)</f>
        <v>0.5</v>
      </c>
      <c r="V1129" s="960">
        <f t="array" ref="V1129">HLOOKUP($J1129,'Type Chart'!$C$2:$T$20,3,false)*HLOOKUP($K1129,'Type Chart'!$C$2:$U$20,3,false)</f>
        <v>1</v>
      </c>
      <c r="W1129" s="960">
        <f t="array" ref="W1129">HLOOKUP($J1129,'Type Chart'!$C$2:$T$20,4,false)*HLOOKUP($K1129,'Type Chart'!$C$2:$U$20,4,false)</f>
        <v>1</v>
      </c>
      <c r="X1129" s="960">
        <f t="array" ref="X1129">HLOOKUP($J1129,'Type Chart'!$C$2:$T$20,5,false)*HLOOKUP($K1129,'Type Chart'!$C$2:$U$20,5,false)</f>
        <v>0.5</v>
      </c>
      <c r="Y1129" s="960">
        <f t="array" ref="Y1129">HLOOKUP($J1129,'Type Chart'!$C$2:$T$20,6,false)*HLOOKUP($K1129,'Type Chart'!$C$2:$U$20,6,false)</f>
        <v>1</v>
      </c>
      <c r="Z1129" s="960">
        <f t="array" ref="Z1129">HLOOKUP($J1129,'Type Chart'!$C$2:$T$20,7,false)*HLOOKUP($K1129,'Type Chart'!$C$2:$U$20,7,false)</f>
        <v>2</v>
      </c>
      <c r="AA1129" s="960">
        <f t="array" ref="AA1129">HLOOKUP($J1129,'Type Chart'!$C$2:$T$20,8,false)*HLOOKUP($K1129,'Type Chart'!$C$2:$U$20,8,false)</f>
        <v>1</v>
      </c>
      <c r="AB1129" s="960">
        <f t="array" ref="AB1129">HLOOKUP($J1129,'Type Chart'!$C$2:$T$20,9,false)*HLOOKUP($K1129,'Type Chart'!$C$2:$U$20,9,false)</f>
        <v>1</v>
      </c>
      <c r="AC1129" s="960">
        <f t="array" ref="AC1129">HLOOKUP($J1129,'Type Chart'!$C$2:$T$20,10,false)*HLOOKUP($K1129,'Type Chart'!$C$2:$U$20,10,false)</f>
        <v>2</v>
      </c>
      <c r="AD1129" s="960">
        <f t="array" ref="AD1129">HLOOKUP($J1129,'Type Chart'!$C$2:$T$20,11,false)*HLOOKUP($K1129,'Type Chart'!$C$2:$U$20,11,false)</f>
        <v>1</v>
      </c>
      <c r="AE1129" s="960">
        <f t="array" ref="AE1129">HLOOKUP($J1129,'Type Chart'!$C$2:$T$20,12,false)*HLOOKUP($K1129,'Type Chart'!$C$2:$U$20,12,false)</f>
        <v>2</v>
      </c>
      <c r="AF1129" s="960">
        <f t="array" ref="AF1129">HLOOKUP($J1129,'Type Chart'!$C$2:$T$20,13,false)*HLOOKUP($K1129,'Type Chart'!$C$2:$U$20,13,false)</f>
        <v>1</v>
      </c>
      <c r="AG1129" s="960">
        <f t="array" ref="AG1129">HLOOKUP($J1129,'Type Chart'!$C$2:$T$20,14,false)*HLOOKUP($K1129,'Type Chart'!$C$2:$U$20,14,false)</f>
        <v>1</v>
      </c>
      <c r="AH1129" s="960">
        <f t="array" ref="AH1129">HLOOKUP($J1129,'Type Chart'!$C$2:$T$20,15,false)*HLOOKUP($K1129,'Type Chart'!$C$2:$U$20,15,false)</f>
        <v>1</v>
      </c>
      <c r="AI1129" s="960">
        <f t="array" ref="AI1129">HLOOKUP($J1129,'Type Chart'!$C$2:$T$20,16,false)*HLOOKUP($K1129,'Type Chart'!$C$2:$U$20,16,false)</f>
        <v>1</v>
      </c>
      <c r="AJ1129" s="960">
        <f t="array" ref="AJ1129">HLOOKUP($J1129,'Type Chart'!$C$2:$T$20,17,false)*HLOOKUP($K1129,'Type Chart'!$C$2:$U$20,17,false)</f>
        <v>1</v>
      </c>
      <c r="AK1129" s="960">
        <f t="array" ref="AK1129">HLOOKUP($J1129,'Type Chart'!$C$2:$T$20,18,false)*HLOOKUP($K1129,'Type Chart'!$C$2:$U$20,18,false)</f>
        <v>1</v>
      </c>
      <c r="AL1129" s="960">
        <f t="array" ref="AL1129">HLOOKUP($J1129,'Type Chart'!$C$2:$T$20,19,false)*HLOOKUP($K1129,'Type Chart'!$C$2:$U$20,19,false)</f>
        <v>1</v>
      </c>
      <c r="AM1129" s="964" t="s">
        <v>1013</v>
      </c>
      <c r="AN1129" s="964" t="s">
        <v>1153</v>
      </c>
      <c r="AO1129" s="966" t="s">
        <v>1306</v>
      </c>
      <c r="AP1129" s="936"/>
      <c r="AQ1129" s="967"/>
      <c r="AR1129" s="968"/>
      <c r="AS1129" s="936"/>
    </row>
    <row r="1130" ht="15.75" customHeight="1">
      <c r="A1130" s="936"/>
      <c r="B1130" s="948">
        <v>901.0</v>
      </c>
      <c r="C1130" s="950" t="s">
        <v>4137</v>
      </c>
      <c r="D1130" s="950" t="s">
        <v>4137</v>
      </c>
      <c r="E1130" s="952" t="s">
        <v>4137</v>
      </c>
      <c r="F1130" s="940"/>
      <c r="G1130" s="953"/>
      <c r="H1130" s="969"/>
      <c r="I1130" s="956" t="s">
        <v>430</v>
      </c>
      <c r="J1130" s="1204" t="s">
        <v>80</v>
      </c>
      <c r="K1130" s="1194" t="s">
        <v>136</v>
      </c>
      <c r="L1130" s="959">
        <v>130.0</v>
      </c>
      <c r="M1130" s="960">
        <v>140.0</v>
      </c>
      <c r="N1130" s="960">
        <v>105.0</v>
      </c>
      <c r="O1130" s="960">
        <v>45.0</v>
      </c>
      <c r="P1130" s="960">
        <v>80.0</v>
      </c>
      <c r="Q1130" s="960">
        <v>50.0</v>
      </c>
      <c r="R1130" s="960">
        <v>136.0</v>
      </c>
      <c r="S1130" s="960">
        <v>199.0</v>
      </c>
      <c r="T1130" s="960">
        <v>218.0</v>
      </c>
      <c r="U1130" s="960">
        <f t="array" ref="U1130">HLOOKUP($J1130,'Type Chart'!$C$2:$T$20,2,false)*HLOOKUP($K1130,'Type Chart'!$C$2:$U$20,2,false)</f>
        <v>1</v>
      </c>
      <c r="V1130" s="960">
        <f t="array" ref="V1130">HLOOKUP($J1130,'Type Chart'!$C$2:$T$20,3,false)*HLOOKUP($K1130,'Type Chart'!$C$2:$U$20,3,false)</f>
        <v>2</v>
      </c>
      <c r="W1130" s="960">
        <f t="array" ref="W1130">HLOOKUP($J1130,'Type Chart'!$C$2:$T$20,4,false)*HLOOKUP($K1130,'Type Chart'!$C$2:$U$20,4,false)</f>
        <v>1</v>
      </c>
      <c r="X1130" s="960">
        <f t="array" ref="X1130">HLOOKUP($J1130,'Type Chart'!$C$2:$T$20,5,false)*HLOOKUP($K1130,'Type Chart'!$C$2:$U$20,5,false)</f>
        <v>0.5</v>
      </c>
      <c r="Y1130" s="960">
        <f t="array" ref="Y1130">HLOOKUP($J1130,'Type Chart'!$C$2:$T$20,6,false)*HLOOKUP($K1130,'Type Chart'!$C$2:$U$20,6,false)</f>
        <v>1</v>
      </c>
      <c r="Z1130" s="960">
        <f t="array" ref="Z1130">HLOOKUP($J1130,'Type Chart'!$C$2:$T$20,7,false)*HLOOKUP($K1130,'Type Chart'!$C$2:$U$20,7,false)</f>
        <v>0.5</v>
      </c>
      <c r="AA1130" s="960">
        <f t="array" ref="AA1130">HLOOKUP($J1130,'Type Chart'!$C$2:$T$20,8,false)*HLOOKUP($K1130,'Type Chart'!$C$2:$U$20,8,false)</f>
        <v>1</v>
      </c>
      <c r="AB1130" s="960">
        <f t="array" ref="AB1130">HLOOKUP($J1130,'Type Chart'!$C$2:$T$20,9,false)*HLOOKUP($K1130,'Type Chart'!$C$2:$U$20,9,false)</f>
        <v>0</v>
      </c>
      <c r="AC1130" s="960">
        <f t="array" ref="AC1130">HLOOKUP($J1130,'Type Chart'!$C$2:$T$20,10,false)*HLOOKUP($K1130,'Type Chart'!$C$2:$U$20,10,false)</f>
        <v>1</v>
      </c>
      <c r="AD1130" s="960">
        <f t="array" ref="AD1130">HLOOKUP($J1130,'Type Chart'!$C$2:$T$20,11,false)*HLOOKUP($K1130,'Type Chart'!$C$2:$U$20,11,false)</f>
        <v>1</v>
      </c>
      <c r="AE1130" s="960">
        <f t="array" ref="AE1130">HLOOKUP($J1130,'Type Chart'!$C$2:$T$20,12,false)*HLOOKUP($K1130,'Type Chart'!$C$2:$U$20,12,false)</f>
        <v>2</v>
      </c>
      <c r="AF1130" s="960">
        <f t="array" ref="AF1130">HLOOKUP($J1130,'Type Chart'!$C$2:$T$20,13,false)*HLOOKUP($K1130,'Type Chart'!$C$2:$U$20,13,false)</f>
        <v>2</v>
      </c>
      <c r="AG1130" s="960">
        <f t="array" ref="AG1130">HLOOKUP($J1130,'Type Chart'!$C$2:$T$20,14,false)*HLOOKUP($K1130,'Type Chart'!$C$2:$U$20,14,false)</f>
        <v>0</v>
      </c>
      <c r="AH1130" s="960">
        <f t="array" ref="AH1130">HLOOKUP($J1130,'Type Chart'!$C$2:$T$20,15,false)*HLOOKUP($K1130,'Type Chart'!$C$2:$U$20,15,false)</f>
        <v>1</v>
      </c>
      <c r="AI1130" s="960">
        <f t="array" ref="AI1130">HLOOKUP($J1130,'Type Chart'!$C$2:$T$20,16,false)*HLOOKUP($K1130,'Type Chart'!$C$2:$U$20,16,false)</f>
        <v>2</v>
      </c>
      <c r="AJ1130" s="960">
        <f t="array" ref="AJ1130">HLOOKUP($J1130,'Type Chart'!$C$2:$T$20,17,false)*HLOOKUP($K1130,'Type Chart'!$C$2:$U$20,17,false)</f>
        <v>1</v>
      </c>
      <c r="AK1130" s="960">
        <f t="array" ref="AK1130">HLOOKUP($J1130,'Type Chart'!$C$2:$T$20,18,false)*HLOOKUP($K1130,'Type Chart'!$C$2:$U$20,18,false)</f>
        <v>1</v>
      </c>
      <c r="AL1130" s="960">
        <f t="array" ref="AL1130">HLOOKUP($J1130,'Type Chart'!$C$2:$T$20,19,false)*HLOOKUP($K1130,'Type Chart'!$C$2:$U$20,19,false)</f>
        <v>1</v>
      </c>
      <c r="AM1130" s="964" t="s">
        <v>1038</v>
      </c>
      <c r="AN1130" s="964" t="s">
        <v>3259</v>
      </c>
      <c r="AO1130" s="966" t="s">
        <v>1062</v>
      </c>
      <c r="AP1130" s="936"/>
      <c r="AQ1130" s="967"/>
      <c r="AR1130" s="968"/>
      <c r="AS1130" s="936"/>
    </row>
    <row r="1131" ht="15.75" customHeight="1">
      <c r="A1131" s="936"/>
      <c r="B1131" s="948">
        <v>902.0</v>
      </c>
      <c r="C1131" s="950" t="s">
        <v>4138</v>
      </c>
      <c r="D1131" s="950" t="s">
        <v>4138</v>
      </c>
      <c r="E1131" s="952" t="s">
        <v>4138</v>
      </c>
      <c r="F1131" s="940"/>
      <c r="G1131" s="953"/>
      <c r="H1131" s="969"/>
      <c r="I1131" s="956" t="s">
        <v>267</v>
      </c>
      <c r="J1131" s="1056" t="s">
        <v>81</v>
      </c>
      <c r="K1131" s="1220" t="s">
        <v>215</v>
      </c>
      <c r="L1131" s="959">
        <v>120.0</v>
      </c>
      <c r="M1131" s="960">
        <v>112.0</v>
      </c>
      <c r="N1131" s="960">
        <v>65.0</v>
      </c>
      <c r="O1131" s="960">
        <v>80.0</v>
      </c>
      <c r="P1131" s="960">
        <v>75.0</v>
      </c>
      <c r="Q1131" s="960">
        <v>78.0</v>
      </c>
      <c r="R1131" s="960">
        <v>192.0</v>
      </c>
      <c r="S1131" s="960">
        <v>255.0</v>
      </c>
      <c r="T1131" s="960">
        <v>280.0</v>
      </c>
      <c r="U1131" s="960">
        <f t="array" ref="U1131">HLOOKUP($J1131,'Type Chart'!$C$2:$T$20,2,false)*HLOOKUP($K1131,'Type Chart'!$C$2:$U$20,2,false)</f>
        <v>0</v>
      </c>
      <c r="V1131" s="960">
        <f t="array" ref="V1131">HLOOKUP($J1131,'Type Chart'!$C$2:$T$20,3,false)*HLOOKUP($K1131,'Type Chart'!$C$2:$U$20,3,false)</f>
        <v>0</v>
      </c>
      <c r="W1131" s="960">
        <f t="array" ref="W1131">HLOOKUP($J1131,'Type Chart'!$C$2:$T$20,4,false)*HLOOKUP($K1131,'Type Chart'!$C$2:$U$20,4,false)</f>
        <v>1</v>
      </c>
      <c r="X1131" s="960">
        <f t="array" ref="X1131">HLOOKUP($J1131,'Type Chart'!$C$2:$T$20,5,false)*HLOOKUP($K1131,'Type Chart'!$C$2:$U$20,5,false)</f>
        <v>0.5</v>
      </c>
      <c r="Y1131" s="960">
        <f t="array" ref="Y1131">HLOOKUP($J1131,'Type Chart'!$C$2:$T$20,6,false)*HLOOKUP($K1131,'Type Chart'!$C$2:$U$20,6,false)</f>
        <v>1</v>
      </c>
      <c r="Z1131" s="960">
        <f t="array" ref="Z1131">HLOOKUP($J1131,'Type Chart'!$C$2:$T$20,7,false)*HLOOKUP($K1131,'Type Chart'!$C$2:$U$20,7,false)</f>
        <v>1</v>
      </c>
      <c r="AA1131" s="960">
        <f t="array" ref="AA1131">HLOOKUP($J1131,'Type Chart'!$C$2:$T$20,8,false)*HLOOKUP($K1131,'Type Chart'!$C$2:$U$20,8,false)</f>
        <v>0.5</v>
      </c>
      <c r="AB1131" s="960">
        <f t="array" ref="AB1131">HLOOKUP($J1131,'Type Chart'!$C$2:$T$20,9,false)*HLOOKUP($K1131,'Type Chart'!$C$2:$U$20,9,false)</f>
        <v>2</v>
      </c>
      <c r="AC1131" s="960">
        <f t="array" ref="AC1131">HLOOKUP($J1131,'Type Chart'!$C$2:$T$20,10,false)*HLOOKUP($K1131,'Type Chart'!$C$2:$U$20,10,false)</f>
        <v>0.5</v>
      </c>
      <c r="AD1131" s="960">
        <f t="array" ref="AD1131">HLOOKUP($J1131,'Type Chart'!$C$2:$T$20,11,false)*HLOOKUP($K1131,'Type Chart'!$C$2:$U$20,11,false)</f>
        <v>0.5</v>
      </c>
      <c r="AE1131" s="960">
        <f t="array" ref="AE1131">HLOOKUP($J1131,'Type Chart'!$C$2:$T$20,12,false)*HLOOKUP($K1131,'Type Chart'!$C$2:$U$20,12,false)</f>
        <v>0.5</v>
      </c>
      <c r="AF1131" s="960">
        <f t="array" ref="AF1131">HLOOKUP($J1131,'Type Chart'!$C$2:$T$20,13,false)*HLOOKUP($K1131,'Type Chart'!$C$2:$U$20,13,false)</f>
        <v>2</v>
      </c>
      <c r="AG1131" s="960">
        <f t="array" ref="AG1131">HLOOKUP($J1131,'Type Chart'!$C$2:$T$20,14,false)*HLOOKUP($K1131,'Type Chart'!$C$2:$U$20,14,false)</f>
        <v>2</v>
      </c>
      <c r="AH1131" s="960">
        <f t="array" ref="AH1131">HLOOKUP($J1131,'Type Chart'!$C$2:$T$20,15,false)*HLOOKUP($K1131,'Type Chart'!$C$2:$U$20,15,false)</f>
        <v>1</v>
      </c>
      <c r="AI1131" s="960">
        <f t="array" ref="AI1131">HLOOKUP($J1131,'Type Chart'!$C$2:$T$20,16,false)*HLOOKUP($K1131,'Type Chart'!$C$2:$U$20,16,false)</f>
        <v>0.5</v>
      </c>
      <c r="AJ1131" s="960">
        <f t="array" ref="AJ1131">HLOOKUP($J1131,'Type Chart'!$C$2:$T$20,17,false)*HLOOKUP($K1131,'Type Chart'!$C$2:$U$20,17,false)</f>
        <v>1</v>
      </c>
      <c r="AK1131" s="960">
        <f t="array" ref="AK1131">HLOOKUP($J1131,'Type Chart'!$C$2:$T$20,18,false)*HLOOKUP($K1131,'Type Chart'!$C$2:$U$20,18,false)</f>
        <v>2</v>
      </c>
      <c r="AL1131" s="960">
        <f t="array" ref="AL1131">HLOOKUP($J1131,'Type Chart'!$C$2:$T$20,19,false)*HLOOKUP($K1131,'Type Chart'!$C$2:$U$20,19,false)</f>
        <v>1</v>
      </c>
      <c r="AM1131" s="964" t="s">
        <v>1243</v>
      </c>
      <c r="AN1131" s="964" t="s">
        <v>1018</v>
      </c>
      <c r="AO1131" s="966" t="s">
        <v>1576</v>
      </c>
      <c r="AP1131" s="936"/>
      <c r="AQ1131" s="967"/>
      <c r="AR1131" s="968"/>
      <c r="AS1131" s="936"/>
    </row>
    <row r="1132" ht="15.75" customHeight="1">
      <c r="A1132" s="936"/>
      <c r="B1132" s="948" t="s">
        <v>4139</v>
      </c>
      <c r="C1132" s="950" t="s">
        <v>4140</v>
      </c>
      <c r="D1132" s="950" t="s">
        <v>4141</v>
      </c>
      <c r="E1132" s="952" t="s">
        <v>4140</v>
      </c>
      <c r="F1132" s="940"/>
      <c r="G1132" s="953"/>
      <c r="H1132" s="969"/>
      <c r="I1132" s="956" t="s">
        <v>4142</v>
      </c>
      <c r="J1132" s="1056" t="s">
        <v>81</v>
      </c>
      <c r="K1132" s="1220" t="s">
        <v>215</v>
      </c>
      <c r="L1132" s="959">
        <v>120.0</v>
      </c>
      <c r="M1132" s="960">
        <v>92.0</v>
      </c>
      <c r="N1132" s="960">
        <v>65.0</v>
      </c>
      <c r="O1132" s="960">
        <v>100.0</v>
      </c>
      <c r="P1132" s="960">
        <v>75.0</v>
      </c>
      <c r="Q1132" s="960">
        <v>78.0</v>
      </c>
      <c r="R1132" s="960">
        <v>192.0</v>
      </c>
      <c r="S1132" s="960">
        <v>255.0</v>
      </c>
      <c r="T1132" s="960">
        <v>280.0</v>
      </c>
      <c r="U1132" s="960">
        <f t="array" ref="U1132">HLOOKUP($J1132,'Type Chart'!$C$2:$T$20,2,false)*HLOOKUP($K1132,'Type Chart'!$C$2:$U$20,2,false)</f>
        <v>0</v>
      </c>
      <c r="V1132" s="960">
        <f t="array" ref="V1132">HLOOKUP($J1132,'Type Chart'!$C$2:$T$20,3,false)*HLOOKUP($K1132,'Type Chart'!$C$2:$U$20,3,false)</f>
        <v>0</v>
      </c>
      <c r="W1132" s="960">
        <f t="array" ref="W1132">HLOOKUP($J1132,'Type Chart'!$C$2:$T$20,4,false)*HLOOKUP($K1132,'Type Chart'!$C$2:$U$20,4,false)</f>
        <v>1</v>
      </c>
      <c r="X1132" s="960">
        <f t="array" ref="X1132">HLOOKUP($J1132,'Type Chart'!$C$2:$T$20,5,false)*HLOOKUP($K1132,'Type Chart'!$C$2:$U$20,5,false)</f>
        <v>0.5</v>
      </c>
      <c r="Y1132" s="960">
        <f t="array" ref="Y1132">HLOOKUP($J1132,'Type Chart'!$C$2:$T$20,6,false)*HLOOKUP($K1132,'Type Chart'!$C$2:$U$20,6,false)</f>
        <v>1</v>
      </c>
      <c r="Z1132" s="960">
        <f t="array" ref="Z1132">HLOOKUP($J1132,'Type Chart'!$C$2:$T$20,7,false)*HLOOKUP($K1132,'Type Chart'!$C$2:$U$20,7,false)</f>
        <v>1</v>
      </c>
      <c r="AA1132" s="960">
        <f t="array" ref="AA1132">HLOOKUP($J1132,'Type Chart'!$C$2:$T$20,8,false)*HLOOKUP($K1132,'Type Chart'!$C$2:$U$20,8,false)</f>
        <v>0.5</v>
      </c>
      <c r="AB1132" s="960">
        <f t="array" ref="AB1132">HLOOKUP($J1132,'Type Chart'!$C$2:$T$20,9,false)*HLOOKUP($K1132,'Type Chart'!$C$2:$U$20,9,false)</f>
        <v>2</v>
      </c>
      <c r="AC1132" s="960">
        <f t="array" ref="AC1132">HLOOKUP($J1132,'Type Chart'!$C$2:$T$20,10,false)*HLOOKUP($K1132,'Type Chart'!$C$2:$U$20,10,false)</f>
        <v>0.5</v>
      </c>
      <c r="AD1132" s="960">
        <f t="array" ref="AD1132">HLOOKUP($J1132,'Type Chart'!$C$2:$T$20,11,false)*HLOOKUP($K1132,'Type Chart'!$C$2:$U$20,11,false)</f>
        <v>0.5</v>
      </c>
      <c r="AE1132" s="960">
        <f t="array" ref="AE1132">HLOOKUP($J1132,'Type Chart'!$C$2:$T$20,12,false)*HLOOKUP($K1132,'Type Chart'!$C$2:$U$20,12,false)</f>
        <v>0.5</v>
      </c>
      <c r="AF1132" s="960">
        <f t="array" ref="AF1132">HLOOKUP($J1132,'Type Chart'!$C$2:$T$20,13,false)*HLOOKUP($K1132,'Type Chart'!$C$2:$U$20,13,false)</f>
        <v>2</v>
      </c>
      <c r="AG1132" s="960">
        <f t="array" ref="AG1132">HLOOKUP($J1132,'Type Chart'!$C$2:$T$20,14,false)*HLOOKUP($K1132,'Type Chart'!$C$2:$U$20,14,false)</f>
        <v>2</v>
      </c>
      <c r="AH1132" s="960">
        <f t="array" ref="AH1132">HLOOKUP($J1132,'Type Chart'!$C$2:$T$20,15,false)*HLOOKUP($K1132,'Type Chart'!$C$2:$U$20,15,false)</f>
        <v>1</v>
      </c>
      <c r="AI1132" s="960">
        <f t="array" ref="AI1132">HLOOKUP($J1132,'Type Chart'!$C$2:$T$20,16,false)*HLOOKUP($K1132,'Type Chart'!$C$2:$U$20,16,false)</f>
        <v>0.5</v>
      </c>
      <c r="AJ1132" s="960">
        <f t="array" ref="AJ1132">HLOOKUP($J1132,'Type Chart'!$C$2:$T$20,17,false)*HLOOKUP($K1132,'Type Chart'!$C$2:$U$20,17,false)</f>
        <v>1</v>
      </c>
      <c r="AK1132" s="960">
        <f t="array" ref="AK1132">HLOOKUP($J1132,'Type Chart'!$C$2:$T$20,18,false)*HLOOKUP($K1132,'Type Chart'!$C$2:$U$20,18,false)</f>
        <v>2</v>
      </c>
      <c r="AL1132" s="960">
        <f t="array" ref="AL1132">HLOOKUP($J1132,'Type Chart'!$C$2:$T$20,19,false)*HLOOKUP($K1132,'Type Chart'!$C$2:$U$20,19,false)</f>
        <v>1</v>
      </c>
      <c r="AM1132" s="964" t="s">
        <v>1243</v>
      </c>
      <c r="AN1132" s="964" t="s">
        <v>1018</v>
      </c>
      <c r="AO1132" s="966" t="s">
        <v>1576</v>
      </c>
      <c r="AP1132" s="936"/>
      <c r="AQ1132" s="967"/>
      <c r="AR1132" s="968"/>
      <c r="AS1132" s="936"/>
    </row>
    <row r="1133" ht="15.75" customHeight="1">
      <c r="A1133" s="936"/>
      <c r="B1133" s="948" t="s">
        <v>4143</v>
      </c>
      <c r="C1133" s="950" t="s">
        <v>4144</v>
      </c>
      <c r="D1133" s="950" t="s">
        <v>4144</v>
      </c>
      <c r="E1133" s="952" t="s">
        <v>4144</v>
      </c>
      <c r="F1133" s="940"/>
      <c r="G1133" s="953"/>
      <c r="H1133" s="969"/>
      <c r="I1133" s="956" t="s">
        <v>168</v>
      </c>
      <c r="J1133" s="1213" t="s">
        <v>341</v>
      </c>
      <c r="K1133" s="958" t="s">
        <v>178</v>
      </c>
      <c r="L1133" s="959">
        <v>80.0</v>
      </c>
      <c r="M1133" s="960">
        <v>130.0</v>
      </c>
      <c r="N1133" s="960">
        <v>60.0</v>
      </c>
      <c r="O1133" s="960">
        <v>40.0</v>
      </c>
      <c r="P1133" s="960">
        <v>80.0</v>
      </c>
      <c r="Q1133" s="960">
        <v>120.0</v>
      </c>
      <c r="R1133" s="960">
        <v>276.0</v>
      </c>
      <c r="S1133" s="960">
        <v>339.0</v>
      </c>
      <c r="T1133" s="960">
        <v>372.0</v>
      </c>
      <c r="U1133" s="960">
        <f t="array" ref="U1133">HLOOKUP($J1133,'Type Chart'!$C$2:$T$20,2,false)*HLOOKUP($K1133,'Type Chart'!$C$2:$U$20,2,false)</f>
        <v>1</v>
      </c>
      <c r="V1133" s="960">
        <f t="array" ref="V1133">HLOOKUP($J1133,'Type Chart'!$C$2:$T$20,3,false)*HLOOKUP($K1133,'Type Chart'!$C$2:$U$20,3,false)</f>
        <v>0.5</v>
      </c>
      <c r="W1133" s="960">
        <f t="array" ref="W1133">HLOOKUP($J1133,'Type Chart'!$C$2:$T$20,4,false)*HLOOKUP($K1133,'Type Chart'!$C$2:$U$20,4,false)</f>
        <v>2</v>
      </c>
      <c r="X1133" s="960">
        <f t="array" ref="X1133">HLOOKUP($J1133,'Type Chart'!$C$2:$T$20,5,false)*HLOOKUP($K1133,'Type Chart'!$C$2:$U$20,5,false)</f>
        <v>0.5</v>
      </c>
      <c r="Y1133" s="960">
        <f t="array" ref="Y1133">HLOOKUP($J1133,'Type Chart'!$C$2:$T$20,6,false)*HLOOKUP($K1133,'Type Chart'!$C$2:$U$20,6,false)</f>
        <v>2</v>
      </c>
      <c r="Z1133" s="960">
        <f t="array" ref="Z1133">HLOOKUP($J1133,'Type Chart'!$C$2:$T$20,7,false)*HLOOKUP($K1133,'Type Chart'!$C$2:$U$20,7,false)</f>
        <v>0.5</v>
      </c>
      <c r="AA1133" s="960">
        <f t="array" ref="AA1133">HLOOKUP($J1133,'Type Chart'!$C$2:$T$20,8,false)*HLOOKUP($K1133,'Type Chart'!$C$2:$U$20,8,false)</f>
        <v>0.25</v>
      </c>
      <c r="AB1133" s="960">
        <f t="array" ref="AB1133">HLOOKUP($J1133,'Type Chart'!$C$2:$T$20,9,false)*HLOOKUP($K1133,'Type Chart'!$C$2:$U$20,9,false)</f>
        <v>1</v>
      </c>
      <c r="AC1133" s="960">
        <f t="array" ref="AC1133">HLOOKUP($J1133,'Type Chart'!$C$2:$T$20,10,false)*HLOOKUP($K1133,'Type Chart'!$C$2:$U$20,10,false)</f>
        <v>1</v>
      </c>
      <c r="AD1133" s="960">
        <f t="array" ref="AD1133">HLOOKUP($J1133,'Type Chart'!$C$2:$T$20,11,false)*HLOOKUP($K1133,'Type Chart'!$C$2:$U$20,11,false)</f>
        <v>1</v>
      </c>
      <c r="AE1133" s="960">
        <f t="array" ref="AE1133">HLOOKUP($J1133,'Type Chart'!$C$2:$T$20,12,false)*HLOOKUP($K1133,'Type Chart'!$C$2:$U$20,12,false)</f>
        <v>1</v>
      </c>
      <c r="AF1133" s="960">
        <f t="array" ref="AF1133">HLOOKUP($J1133,'Type Chart'!$C$2:$T$20,13,false)*HLOOKUP($K1133,'Type Chart'!$C$2:$U$20,13,false)</f>
        <v>0.5</v>
      </c>
      <c r="AG1133" s="960">
        <f t="array" ref="AG1133">HLOOKUP($J1133,'Type Chart'!$C$2:$T$20,14,false)*HLOOKUP($K1133,'Type Chart'!$C$2:$U$20,14,false)</f>
        <v>1</v>
      </c>
      <c r="AH1133" s="960">
        <f t="array" ref="AH1133">HLOOKUP($J1133,'Type Chart'!$C$2:$T$20,15,false)*HLOOKUP($K1133,'Type Chart'!$C$2:$U$20,15,false)</f>
        <v>4</v>
      </c>
      <c r="AI1133" s="960">
        <f t="array" ref="AI1133">HLOOKUP($J1133,'Type Chart'!$C$2:$T$20,16,false)*HLOOKUP($K1133,'Type Chart'!$C$2:$U$20,16,false)</f>
        <v>1</v>
      </c>
      <c r="AJ1133" s="960">
        <f t="array" ref="AJ1133">HLOOKUP($J1133,'Type Chart'!$C$2:$T$20,17,false)*HLOOKUP($K1133,'Type Chart'!$C$2:$U$20,17,false)</f>
        <v>1</v>
      </c>
      <c r="AK1133" s="960">
        <f t="array" ref="AK1133">HLOOKUP($J1133,'Type Chart'!$C$2:$T$20,18,false)*HLOOKUP($K1133,'Type Chart'!$C$2:$U$20,18,false)</f>
        <v>0.5</v>
      </c>
      <c r="AL1133" s="960">
        <f t="array" ref="AL1133">HLOOKUP($J1133,'Type Chart'!$C$2:$T$20,19,false)*HLOOKUP($K1133,'Type Chart'!$C$2:$U$20,19,false)</f>
        <v>1</v>
      </c>
      <c r="AM1133" s="964" t="s">
        <v>1636</v>
      </c>
      <c r="AN1133" s="964" t="s">
        <v>1498</v>
      </c>
      <c r="AO1133" s="966" t="s">
        <v>1417</v>
      </c>
      <c r="AP1133" s="936"/>
      <c r="AQ1133" s="967"/>
      <c r="AR1133" s="968"/>
      <c r="AS1133" s="936"/>
    </row>
    <row r="1134" ht="15.75" customHeight="1">
      <c r="A1134" s="936"/>
      <c r="B1134" s="948" t="s">
        <v>4145</v>
      </c>
      <c r="C1134" s="950" t="s">
        <v>4146</v>
      </c>
      <c r="D1134" s="950" t="s">
        <v>4146</v>
      </c>
      <c r="E1134" s="952" t="s">
        <v>4146</v>
      </c>
      <c r="F1134" s="940"/>
      <c r="G1134" s="953"/>
      <c r="H1134" s="969"/>
      <c r="I1134" s="956" t="s">
        <v>510</v>
      </c>
      <c r="J1134" s="1195" t="s">
        <v>193</v>
      </c>
      <c r="K1134" s="958" t="s">
        <v>178</v>
      </c>
      <c r="L1134" s="959">
        <v>85.0</v>
      </c>
      <c r="M1134" s="960">
        <v>115.0</v>
      </c>
      <c r="N1134" s="960">
        <v>95.0</v>
      </c>
      <c r="O1134" s="960">
        <v>65.0</v>
      </c>
      <c r="P1134" s="960">
        <v>65.0</v>
      </c>
      <c r="Q1134" s="960">
        <v>85.0</v>
      </c>
      <c r="R1134" s="960">
        <v>206.0</v>
      </c>
      <c r="S1134" s="960">
        <v>269.0</v>
      </c>
      <c r="T1134" s="960">
        <v>295.0</v>
      </c>
      <c r="U1134" s="960">
        <f t="array" ref="U1134">HLOOKUP($J1134,'Type Chart'!$C$2:$T$20,2,false)*HLOOKUP($K1134,'Type Chart'!$C$2:$U$20,2,false)</f>
        <v>1</v>
      </c>
      <c r="V1134" s="960">
        <f t="array" ref="V1134">HLOOKUP($J1134,'Type Chart'!$C$2:$T$20,3,false)*HLOOKUP($K1134,'Type Chart'!$C$2:$U$20,3,false)</f>
        <v>1</v>
      </c>
      <c r="W1134" s="960">
        <f t="array" ref="W1134">HLOOKUP($J1134,'Type Chart'!$C$2:$T$20,4,false)*HLOOKUP($K1134,'Type Chart'!$C$2:$U$20,4,false)</f>
        <v>1</v>
      </c>
      <c r="X1134" s="960">
        <f t="array" ref="X1134">HLOOKUP($J1134,'Type Chart'!$C$2:$T$20,5,false)*HLOOKUP($K1134,'Type Chart'!$C$2:$U$20,5,false)</f>
        <v>0.5</v>
      </c>
      <c r="Y1134" s="960">
        <f t="array" ref="Y1134">HLOOKUP($J1134,'Type Chart'!$C$2:$T$20,6,false)*HLOOKUP($K1134,'Type Chart'!$C$2:$U$20,6,false)</f>
        <v>2</v>
      </c>
      <c r="Z1134" s="960">
        <f t="array" ref="Z1134">HLOOKUP($J1134,'Type Chart'!$C$2:$T$20,7,false)*HLOOKUP($K1134,'Type Chart'!$C$2:$U$20,7,false)</f>
        <v>1</v>
      </c>
      <c r="AA1134" s="960">
        <f t="array" ref="AA1134">HLOOKUP($J1134,'Type Chart'!$C$2:$T$20,8,false)*HLOOKUP($K1134,'Type Chart'!$C$2:$U$20,8,false)</f>
        <v>1</v>
      </c>
      <c r="AB1134" s="960">
        <f t="array" ref="AB1134">HLOOKUP($J1134,'Type Chart'!$C$2:$T$20,9,false)*HLOOKUP($K1134,'Type Chart'!$C$2:$U$20,9,false)</f>
        <v>0.5</v>
      </c>
      <c r="AC1134" s="960">
        <f t="array" ref="AC1134">HLOOKUP($J1134,'Type Chart'!$C$2:$T$20,10,false)*HLOOKUP($K1134,'Type Chart'!$C$2:$U$20,10,false)</f>
        <v>1</v>
      </c>
      <c r="AD1134" s="960">
        <f t="array" ref="AD1134">HLOOKUP($J1134,'Type Chart'!$C$2:$T$20,11,false)*HLOOKUP($K1134,'Type Chart'!$C$2:$U$20,11,false)</f>
        <v>1</v>
      </c>
      <c r="AE1134" s="960">
        <f t="array" ref="AE1134">HLOOKUP($J1134,'Type Chart'!$C$2:$T$20,12,false)*HLOOKUP($K1134,'Type Chart'!$C$2:$U$20,12,false)</f>
        <v>1</v>
      </c>
      <c r="AF1134" s="960">
        <f t="array" ref="AF1134">HLOOKUP($J1134,'Type Chart'!$C$2:$T$20,13,false)*HLOOKUP($K1134,'Type Chart'!$C$2:$U$20,13,false)</f>
        <v>0.5</v>
      </c>
      <c r="AG1134" s="960">
        <f t="array" ref="AG1134">HLOOKUP($J1134,'Type Chart'!$C$2:$T$20,14,false)*HLOOKUP($K1134,'Type Chart'!$C$2:$U$20,14,false)</f>
        <v>1</v>
      </c>
      <c r="AH1134" s="960">
        <f t="array" ref="AH1134">HLOOKUP($J1134,'Type Chart'!$C$2:$T$20,15,false)*HLOOKUP($K1134,'Type Chart'!$C$2:$U$20,15,false)</f>
        <v>0</v>
      </c>
      <c r="AI1134" s="960">
        <f t="array" ref="AI1134">HLOOKUP($J1134,'Type Chart'!$C$2:$T$20,16,false)*HLOOKUP($K1134,'Type Chart'!$C$2:$U$20,16,false)</f>
        <v>1</v>
      </c>
      <c r="AJ1134" s="960">
        <f t="array" ref="AJ1134">HLOOKUP($J1134,'Type Chart'!$C$2:$T$20,17,false)*HLOOKUP($K1134,'Type Chart'!$C$2:$U$20,17,false)</f>
        <v>1</v>
      </c>
      <c r="AK1134" s="960">
        <f t="array" ref="AK1134">HLOOKUP($J1134,'Type Chart'!$C$2:$T$20,18,false)*HLOOKUP($K1134,'Type Chart'!$C$2:$U$20,18,false)</f>
        <v>0.5</v>
      </c>
      <c r="AL1134" s="960">
        <f t="array" ref="AL1134">HLOOKUP($J1134,'Type Chart'!$C$2:$T$20,19,false)*HLOOKUP($K1134,'Type Chart'!$C$2:$U$20,19,false)</f>
        <v>1</v>
      </c>
      <c r="AM1134" s="964" t="s">
        <v>1146</v>
      </c>
      <c r="AN1134" s="964" t="s">
        <v>1259</v>
      </c>
      <c r="AO1134" s="966" t="s">
        <v>1061</v>
      </c>
      <c r="AP1134" s="936"/>
      <c r="AQ1134" s="967"/>
      <c r="AR1134" s="968"/>
      <c r="AS1134" s="936"/>
    </row>
    <row r="1135" ht="15.75" customHeight="1">
      <c r="A1135" s="936"/>
      <c r="B1135" s="948" t="s">
        <v>4147</v>
      </c>
      <c r="C1135" s="950" t="s">
        <v>4148</v>
      </c>
      <c r="D1135" s="950" t="s">
        <v>4148</v>
      </c>
      <c r="E1135" s="952" t="s">
        <v>4148</v>
      </c>
      <c r="F1135" s="940"/>
      <c r="G1135" s="953"/>
      <c r="H1135" s="969"/>
      <c r="I1135" s="1226" t="s">
        <v>96</v>
      </c>
      <c r="J1135" s="1207" t="s">
        <v>127</v>
      </c>
      <c r="K1135" s="1001" t="s">
        <v>128</v>
      </c>
      <c r="L1135" s="959">
        <v>74.0</v>
      </c>
      <c r="M1135" s="960">
        <v>115.0</v>
      </c>
      <c r="N1135" s="960">
        <v>70.0</v>
      </c>
      <c r="O1135" s="960">
        <v>135.0</v>
      </c>
      <c r="P1135" s="960">
        <v>80.0</v>
      </c>
      <c r="Q1135" s="960">
        <v>106.0</v>
      </c>
      <c r="R1135" s="960">
        <v>248.0</v>
      </c>
      <c r="S1135" s="960">
        <v>311.0</v>
      </c>
      <c r="T1135" s="960">
        <v>342.0</v>
      </c>
      <c r="U1135" s="960">
        <f t="array" ref="U1135">HLOOKUP($J1135,'Type Chart'!$C$2:$T$20,2,false)*HLOOKUP($K1135,'Type Chart'!$C$2:$U$20,2,false)</f>
        <v>1</v>
      </c>
      <c r="V1135" s="960">
        <f t="array" ref="V1135">HLOOKUP($J1135,'Type Chart'!$C$2:$T$20,3,false)*HLOOKUP($K1135,'Type Chart'!$C$2:$U$20,3,false)</f>
        <v>0.25</v>
      </c>
      <c r="W1135" s="960">
        <f t="array" ref="W1135">HLOOKUP($J1135,'Type Chart'!$C$2:$T$20,4,false)*HLOOKUP($K1135,'Type Chart'!$C$2:$U$20,4,false)</f>
        <v>1</v>
      </c>
      <c r="X1135" s="960">
        <f t="array" ref="X1135">HLOOKUP($J1135,'Type Chart'!$C$2:$T$20,5,false)*HLOOKUP($K1135,'Type Chart'!$C$2:$U$20,5,false)</f>
        <v>2</v>
      </c>
      <c r="Y1135" s="960">
        <f t="array" ref="Y1135">HLOOKUP($J1135,'Type Chart'!$C$2:$T$20,6,false)*HLOOKUP($K1135,'Type Chart'!$C$2:$U$20,6,false)</f>
        <v>0</v>
      </c>
      <c r="Z1135" s="960">
        <f t="array" ref="Z1135">HLOOKUP($J1135,'Type Chart'!$C$2:$T$20,7,false)*HLOOKUP($K1135,'Type Chart'!$C$2:$U$20,7,false)</f>
        <v>2</v>
      </c>
      <c r="AA1135" s="960">
        <f t="array" ref="AA1135">HLOOKUP($J1135,'Type Chart'!$C$2:$T$20,8,false)*HLOOKUP($K1135,'Type Chart'!$C$2:$U$20,8,false)</f>
        <v>0.25</v>
      </c>
      <c r="AB1135" s="960">
        <f t="array" ref="AB1135">HLOOKUP($J1135,'Type Chart'!$C$2:$T$20,9,false)*HLOOKUP($K1135,'Type Chart'!$C$2:$U$20,9,false)</f>
        <v>1</v>
      </c>
      <c r="AC1135" s="960">
        <f t="array" ref="AC1135">HLOOKUP($J1135,'Type Chart'!$C$2:$T$20,10,false)*HLOOKUP($K1135,'Type Chart'!$C$2:$U$20,10,false)</f>
        <v>2</v>
      </c>
      <c r="AD1135" s="960">
        <f t="array" ref="AD1135">HLOOKUP($J1135,'Type Chart'!$C$2:$T$20,11,false)*HLOOKUP($K1135,'Type Chart'!$C$2:$U$20,11,false)</f>
        <v>1</v>
      </c>
      <c r="AE1135" s="960">
        <f t="array" ref="AE1135">HLOOKUP($J1135,'Type Chart'!$C$2:$T$20,12,false)*HLOOKUP($K1135,'Type Chart'!$C$2:$U$20,12,false)</f>
        <v>1</v>
      </c>
      <c r="AF1135" s="960">
        <f t="array" ref="AF1135">HLOOKUP($J1135,'Type Chart'!$C$2:$T$20,13,false)*HLOOKUP($K1135,'Type Chart'!$C$2:$U$20,13,false)</f>
        <v>0.5</v>
      </c>
      <c r="AG1135" s="960">
        <f t="array" ref="AG1135">HLOOKUP($J1135,'Type Chart'!$C$2:$T$20,14,false)*HLOOKUP($K1135,'Type Chart'!$C$2:$U$20,14,false)</f>
        <v>2</v>
      </c>
      <c r="AH1135" s="960">
        <f t="array" ref="AH1135">HLOOKUP($J1135,'Type Chart'!$C$2:$T$20,15,false)*HLOOKUP($K1135,'Type Chart'!$C$2:$U$20,15,false)</f>
        <v>1</v>
      </c>
      <c r="AI1135" s="960">
        <f t="array" ref="AI1135">HLOOKUP($J1135,'Type Chart'!$C$2:$T$20,16,false)*HLOOKUP($K1135,'Type Chart'!$C$2:$U$20,16,false)</f>
        <v>2</v>
      </c>
      <c r="AJ1135" s="960">
        <f t="array" ref="AJ1135">HLOOKUP($J1135,'Type Chart'!$C$2:$T$20,17,false)*HLOOKUP($K1135,'Type Chart'!$C$2:$U$20,17,false)</f>
        <v>0</v>
      </c>
      <c r="AK1135" s="960">
        <f t="array" ref="AK1135">HLOOKUP($J1135,'Type Chart'!$C$2:$T$20,18,false)*HLOOKUP($K1135,'Type Chart'!$C$2:$U$20,18,false)</f>
        <v>0.5</v>
      </c>
      <c r="AL1135" s="960">
        <f t="array" ref="AL1135">HLOOKUP($J1135,'Type Chart'!$C$2:$T$20,19,false)*HLOOKUP($K1135,'Type Chart'!$C$2:$U$20,19,false)</f>
        <v>1</v>
      </c>
      <c r="AM1135" s="964" t="s">
        <v>1522</v>
      </c>
      <c r="AN1135" s="965"/>
      <c r="AO1135" s="966" t="s">
        <v>1861</v>
      </c>
      <c r="AP1135" s="936"/>
      <c r="AQ1135" s="967"/>
      <c r="AR1135" s="968"/>
      <c r="AS1135" s="936"/>
    </row>
    <row r="1136" ht="15.75" customHeight="1">
      <c r="A1136" s="936"/>
      <c r="B1136" s="948" t="s">
        <v>4149</v>
      </c>
      <c r="C1136" s="950" t="s">
        <v>4150</v>
      </c>
      <c r="D1136" s="950" t="s">
        <v>4150</v>
      </c>
      <c r="E1136" s="952" t="s">
        <v>4150</v>
      </c>
      <c r="F1136" s="940"/>
      <c r="G1136" s="953"/>
      <c r="H1136" s="969"/>
      <c r="I1136" s="998" t="s">
        <v>303</v>
      </c>
      <c r="J1136" s="1207" t="s">
        <v>127</v>
      </c>
      <c r="K1136" s="1001" t="s">
        <v>128</v>
      </c>
      <c r="L1136" s="959">
        <v>74.0</v>
      </c>
      <c r="M1136" s="960">
        <v>115.0</v>
      </c>
      <c r="N1136" s="960">
        <v>110.0</v>
      </c>
      <c r="O1136" s="960">
        <v>135.0</v>
      </c>
      <c r="P1136" s="960">
        <v>100.0</v>
      </c>
      <c r="Q1136" s="960">
        <v>46.0</v>
      </c>
      <c r="R1136" s="960">
        <v>128.0</v>
      </c>
      <c r="S1136" s="960">
        <v>191.0</v>
      </c>
      <c r="T1136" s="960">
        <v>210.0</v>
      </c>
      <c r="U1136" s="960">
        <f t="array" ref="U1136">HLOOKUP($J1136,'Type Chart'!$C$2:$T$20,2,false)*HLOOKUP($K1136,'Type Chart'!$C$2:$U$20,2,false)</f>
        <v>1</v>
      </c>
      <c r="V1136" s="960">
        <f t="array" ref="V1136">HLOOKUP($J1136,'Type Chart'!$C$2:$T$20,3,false)*HLOOKUP($K1136,'Type Chart'!$C$2:$U$20,3,false)</f>
        <v>0.25</v>
      </c>
      <c r="W1136" s="960">
        <f t="array" ref="W1136">HLOOKUP($J1136,'Type Chart'!$C$2:$T$20,4,false)*HLOOKUP($K1136,'Type Chart'!$C$2:$U$20,4,false)</f>
        <v>1</v>
      </c>
      <c r="X1136" s="960">
        <f t="array" ref="X1136">HLOOKUP($J1136,'Type Chart'!$C$2:$T$20,5,false)*HLOOKUP($K1136,'Type Chart'!$C$2:$U$20,5,false)</f>
        <v>2</v>
      </c>
      <c r="Y1136" s="960">
        <f t="array" ref="Y1136">HLOOKUP($J1136,'Type Chart'!$C$2:$T$20,6,false)*HLOOKUP($K1136,'Type Chart'!$C$2:$U$20,6,false)</f>
        <v>0</v>
      </c>
      <c r="Z1136" s="960">
        <f t="array" ref="Z1136">HLOOKUP($J1136,'Type Chart'!$C$2:$T$20,7,false)*HLOOKUP($K1136,'Type Chart'!$C$2:$U$20,7,false)</f>
        <v>2</v>
      </c>
      <c r="AA1136" s="960">
        <f t="array" ref="AA1136">HLOOKUP($J1136,'Type Chart'!$C$2:$T$20,8,false)*HLOOKUP($K1136,'Type Chart'!$C$2:$U$20,8,false)</f>
        <v>0.25</v>
      </c>
      <c r="AB1136" s="960">
        <f t="array" ref="AB1136">HLOOKUP($J1136,'Type Chart'!$C$2:$T$20,9,false)*HLOOKUP($K1136,'Type Chart'!$C$2:$U$20,9,false)</f>
        <v>1</v>
      </c>
      <c r="AC1136" s="960">
        <f t="array" ref="AC1136">HLOOKUP($J1136,'Type Chart'!$C$2:$T$20,10,false)*HLOOKUP($K1136,'Type Chart'!$C$2:$U$20,10,false)</f>
        <v>2</v>
      </c>
      <c r="AD1136" s="960">
        <f t="array" ref="AD1136">HLOOKUP($J1136,'Type Chart'!$C$2:$T$20,11,false)*HLOOKUP($K1136,'Type Chart'!$C$2:$U$20,11,false)</f>
        <v>1</v>
      </c>
      <c r="AE1136" s="960">
        <f t="array" ref="AE1136">HLOOKUP($J1136,'Type Chart'!$C$2:$T$20,12,false)*HLOOKUP($K1136,'Type Chart'!$C$2:$U$20,12,false)</f>
        <v>1</v>
      </c>
      <c r="AF1136" s="960">
        <f t="array" ref="AF1136">HLOOKUP($J1136,'Type Chart'!$C$2:$T$20,13,false)*HLOOKUP($K1136,'Type Chart'!$C$2:$U$20,13,false)</f>
        <v>0.5</v>
      </c>
      <c r="AG1136" s="960">
        <f t="array" ref="AG1136">HLOOKUP($J1136,'Type Chart'!$C$2:$T$20,14,false)*HLOOKUP($K1136,'Type Chart'!$C$2:$U$20,14,false)</f>
        <v>2</v>
      </c>
      <c r="AH1136" s="960">
        <f t="array" ref="AH1136">HLOOKUP($J1136,'Type Chart'!$C$2:$T$20,15,false)*HLOOKUP($K1136,'Type Chart'!$C$2:$U$20,15,false)</f>
        <v>1</v>
      </c>
      <c r="AI1136" s="960">
        <f t="array" ref="AI1136">HLOOKUP($J1136,'Type Chart'!$C$2:$T$20,16,false)*HLOOKUP($K1136,'Type Chart'!$C$2:$U$20,16,false)</f>
        <v>2</v>
      </c>
      <c r="AJ1136" s="960">
        <f t="array" ref="AJ1136">HLOOKUP($J1136,'Type Chart'!$C$2:$T$20,17,false)*HLOOKUP($K1136,'Type Chart'!$C$2:$U$20,17,false)</f>
        <v>0</v>
      </c>
      <c r="AK1136" s="960">
        <f t="array" ref="AK1136">HLOOKUP($J1136,'Type Chart'!$C$2:$T$20,18,false)*HLOOKUP($K1136,'Type Chart'!$C$2:$U$20,18,false)</f>
        <v>0.5</v>
      </c>
      <c r="AL1136" s="960">
        <f t="array" ref="AL1136">HLOOKUP($J1136,'Type Chart'!$C$2:$T$20,19,false)*HLOOKUP($K1136,'Type Chart'!$C$2:$U$20,19,false)</f>
        <v>1</v>
      </c>
      <c r="AM1136" s="964" t="s">
        <v>1431</v>
      </c>
      <c r="AN1136" s="965"/>
      <c r="AO1136" s="966"/>
      <c r="AP1136" s="936"/>
      <c r="AQ1136" s="967"/>
      <c r="AR1136" s="968"/>
      <c r="AS1136" s="936"/>
    </row>
    <row r="1137" ht="15.75" customHeight="1">
      <c r="A1137" s="936"/>
      <c r="B1137" s="948" t="s">
        <v>4151</v>
      </c>
      <c r="C1137" s="950" t="s">
        <v>4152</v>
      </c>
      <c r="D1137" s="950" t="s">
        <v>4152</v>
      </c>
      <c r="E1137" s="952" t="s">
        <v>4152</v>
      </c>
      <c r="F1137" s="940"/>
      <c r="G1137" s="953"/>
      <c r="H1137" s="969"/>
      <c r="I1137" s="956" t="s">
        <v>4153</v>
      </c>
      <c r="J1137" s="957" t="s">
        <v>209</v>
      </c>
      <c r="K1137" s="1235" t="s">
        <v>216</v>
      </c>
      <c r="L1137" s="959">
        <v>40.0</v>
      </c>
      <c r="M1137" s="960">
        <v>61.0</v>
      </c>
      <c r="N1137" s="960">
        <v>54.0</v>
      </c>
      <c r="O1137" s="960">
        <v>45.0</v>
      </c>
      <c r="P1137" s="960">
        <v>45.0</v>
      </c>
      <c r="Q1137" s="960">
        <v>65.0</v>
      </c>
      <c r="R1137" s="960">
        <v>166.0</v>
      </c>
      <c r="S1137" s="960">
        <v>229.0</v>
      </c>
      <c r="T1137" s="960">
        <v>251.0</v>
      </c>
      <c r="U1137" s="960">
        <f t="array" ref="U1137">HLOOKUP($J1137,'Type Chart'!$C$2:$T$20,2,false)*HLOOKUP($K1137,'Type Chart'!$C$2:$U$20,2,false)</f>
        <v>1</v>
      </c>
      <c r="V1137" s="960">
        <f t="array" ref="V1137">HLOOKUP($J1137,'Type Chart'!$C$2:$T$20,3,false)*HLOOKUP($K1137,'Type Chart'!$C$2:$U$20,3,false)</f>
        <v>1</v>
      </c>
      <c r="W1137" s="960">
        <f t="array" ref="W1137">HLOOKUP($J1137,'Type Chart'!$C$2:$T$20,4,false)*HLOOKUP($K1137,'Type Chart'!$C$2:$U$20,4,false)</f>
        <v>2</v>
      </c>
      <c r="X1137" s="960">
        <f t="array" ref="X1137">HLOOKUP($J1137,'Type Chart'!$C$2:$T$20,5,false)*HLOOKUP($K1137,'Type Chart'!$C$2:$U$20,5,false)</f>
        <v>2</v>
      </c>
      <c r="Y1137" s="960">
        <f t="array" ref="Y1137">HLOOKUP($J1137,'Type Chart'!$C$2:$T$20,6,false)*HLOOKUP($K1137,'Type Chart'!$C$2:$U$20,6,false)</f>
        <v>0.5</v>
      </c>
      <c r="Z1137" s="960">
        <f t="array" ref="Z1137">HLOOKUP($J1137,'Type Chart'!$C$2:$T$20,7,false)*HLOOKUP($K1137,'Type Chart'!$C$2:$U$20,7,false)</f>
        <v>1</v>
      </c>
      <c r="AA1137" s="960">
        <f t="array" ref="AA1137">HLOOKUP($J1137,'Type Chart'!$C$2:$T$20,8,false)*HLOOKUP($K1137,'Type Chart'!$C$2:$U$20,8,false)</f>
        <v>2</v>
      </c>
      <c r="AB1137" s="960">
        <f t="array" ref="AB1137">HLOOKUP($J1137,'Type Chart'!$C$2:$T$20,9,false)*HLOOKUP($K1137,'Type Chart'!$C$2:$U$20,9,false)</f>
        <v>1</v>
      </c>
      <c r="AC1137" s="960">
        <f t="array" ref="AC1137">HLOOKUP($J1137,'Type Chart'!$C$2:$T$20,10,false)*HLOOKUP($K1137,'Type Chart'!$C$2:$U$20,10,false)</f>
        <v>1</v>
      </c>
      <c r="AD1137" s="960">
        <f t="array" ref="AD1137">HLOOKUP($J1137,'Type Chart'!$C$2:$T$20,11,false)*HLOOKUP($K1137,'Type Chart'!$C$2:$U$20,11,false)</f>
        <v>2</v>
      </c>
      <c r="AE1137" s="960">
        <f t="array" ref="AE1137">HLOOKUP($J1137,'Type Chart'!$C$2:$T$20,12,false)*HLOOKUP($K1137,'Type Chart'!$C$2:$U$20,12,false)</f>
        <v>0.5</v>
      </c>
      <c r="AF1137" s="960">
        <f t="array" ref="AF1137">HLOOKUP($J1137,'Type Chart'!$C$2:$T$20,13,false)*HLOOKUP($K1137,'Type Chart'!$C$2:$U$20,13,false)</f>
        <v>0.5</v>
      </c>
      <c r="AG1137" s="960">
        <f t="array" ref="AG1137">HLOOKUP($J1137,'Type Chart'!$C$2:$T$20,14,false)*HLOOKUP($K1137,'Type Chart'!$C$2:$U$20,14,false)</f>
        <v>0.5</v>
      </c>
      <c r="AH1137" s="960">
        <f t="array" ref="AH1137">HLOOKUP($J1137,'Type Chart'!$C$2:$T$20,15,false)*HLOOKUP($K1137,'Type Chart'!$C$2:$U$20,15,false)</f>
        <v>1</v>
      </c>
      <c r="AI1137" s="960">
        <f t="array" ref="AI1137">HLOOKUP($J1137,'Type Chart'!$C$2:$T$20,16,false)*HLOOKUP($K1137,'Type Chart'!$C$2:$U$20,16,false)</f>
        <v>2</v>
      </c>
      <c r="AJ1137" s="960">
        <f t="array" ref="AJ1137">HLOOKUP($J1137,'Type Chart'!$C$2:$T$20,17,false)*HLOOKUP($K1137,'Type Chart'!$C$2:$U$20,17,false)</f>
        <v>1</v>
      </c>
      <c r="AK1137" s="960">
        <f t="array" ref="AK1137">HLOOKUP($J1137,'Type Chart'!$C$2:$T$20,18,false)*HLOOKUP($K1137,'Type Chart'!$C$2:$U$20,18,false)</f>
        <v>1</v>
      </c>
      <c r="AL1137" s="960">
        <f t="array" ref="AL1137">HLOOKUP($J1137,'Type Chart'!$C$2:$T$20,19,false)*HLOOKUP($K1137,'Type Chart'!$C$2:$U$20,19,false)</f>
        <v>1</v>
      </c>
      <c r="AM1137" s="964" t="s">
        <v>522</v>
      </c>
      <c r="AN1137" s="965"/>
      <c r="AO1137" s="966" t="s">
        <v>2314</v>
      </c>
      <c r="AP1137" s="936"/>
      <c r="AQ1137" s="967"/>
      <c r="AR1137" s="968"/>
      <c r="AS1137" s="936"/>
    </row>
    <row r="1138" ht="15.75" customHeight="1">
      <c r="A1138" s="936"/>
      <c r="B1138" s="948">
        <v>907.0</v>
      </c>
      <c r="C1138" s="950" t="s">
        <v>4154</v>
      </c>
      <c r="D1138" s="950" t="s">
        <v>4154</v>
      </c>
      <c r="E1138" s="952" t="s">
        <v>4154</v>
      </c>
      <c r="F1138" s="940"/>
      <c r="G1138" s="953"/>
      <c r="H1138" s="969"/>
      <c r="I1138" s="956" t="s">
        <v>810</v>
      </c>
      <c r="J1138" s="957" t="s">
        <v>209</v>
      </c>
      <c r="K1138" s="1235" t="s">
        <v>216</v>
      </c>
      <c r="L1138" s="959">
        <v>61.0</v>
      </c>
      <c r="M1138" s="960">
        <v>80.0</v>
      </c>
      <c r="N1138" s="960">
        <v>63.0</v>
      </c>
      <c r="O1138" s="960">
        <v>60.0</v>
      </c>
      <c r="P1138" s="960">
        <v>63.0</v>
      </c>
      <c r="Q1138" s="960">
        <v>83.0</v>
      </c>
      <c r="R1138" s="960">
        <v>202.0</v>
      </c>
      <c r="S1138" s="960">
        <v>265.0</v>
      </c>
      <c r="T1138" s="960">
        <v>291.0</v>
      </c>
      <c r="U1138" s="960">
        <f t="array" ref="U1138">HLOOKUP($J1138,'Type Chart'!$C$2:$T$20,2,false)*HLOOKUP($K1138,'Type Chart'!$C$2:$U$20,2,false)</f>
        <v>1</v>
      </c>
      <c r="V1138" s="960">
        <f t="array" ref="V1138">HLOOKUP($J1138,'Type Chart'!$C$2:$T$20,3,false)*HLOOKUP($K1138,'Type Chart'!$C$2:$U$20,3,false)</f>
        <v>1</v>
      </c>
      <c r="W1138" s="960">
        <f t="array" ref="W1138">HLOOKUP($J1138,'Type Chart'!$C$2:$T$20,4,false)*HLOOKUP($K1138,'Type Chart'!$C$2:$U$20,4,false)</f>
        <v>2</v>
      </c>
      <c r="X1138" s="960">
        <f t="array" ref="X1138">HLOOKUP($J1138,'Type Chart'!$C$2:$T$20,5,false)*HLOOKUP($K1138,'Type Chart'!$C$2:$U$20,5,false)</f>
        <v>2</v>
      </c>
      <c r="Y1138" s="960">
        <f t="array" ref="Y1138">HLOOKUP($J1138,'Type Chart'!$C$2:$T$20,6,false)*HLOOKUP($K1138,'Type Chart'!$C$2:$U$20,6,false)</f>
        <v>0.5</v>
      </c>
      <c r="Z1138" s="960">
        <f t="array" ref="Z1138">HLOOKUP($J1138,'Type Chart'!$C$2:$T$20,7,false)*HLOOKUP($K1138,'Type Chart'!$C$2:$U$20,7,false)</f>
        <v>1</v>
      </c>
      <c r="AA1138" s="960">
        <f t="array" ref="AA1138">HLOOKUP($J1138,'Type Chart'!$C$2:$T$20,8,false)*HLOOKUP($K1138,'Type Chart'!$C$2:$U$20,8,false)</f>
        <v>2</v>
      </c>
      <c r="AB1138" s="960">
        <f t="array" ref="AB1138">HLOOKUP($J1138,'Type Chart'!$C$2:$T$20,9,false)*HLOOKUP($K1138,'Type Chart'!$C$2:$U$20,9,false)</f>
        <v>1</v>
      </c>
      <c r="AC1138" s="960">
        <f t="array" ref="AC1138">HLOOKUP($J1138,'Type Chart'!$C$2:$T$20,10,false)*HLOOKUP($K1138,'Type Chart'!$C$2:$U$20,10,false)</f>
        <v>1</v>
      </c>
      <c r="AD1138" s="960">
        <f t="array" ref="AD1138">HLOOKUP($J1138,'Type Chart'!$C$2:$T$20,11,false)*HLOOKUP($K1138,'Type Chart'!$C$2:$U$20,11,false)</f>
        <v>2</v>
      </c>
      <c r="AE1138" s="960">
        <f t="array" ref="AE1138">HLOOKUP($J1138,'Type Chart'!$C$2:$T$20,12,false)*HLOOKUP($K1138,'Type Chart'!$C$2:$U$20,12,false)</f>
        <v>0.5</v>
      </c>
      <c r="AF1138" s="960">
        <f t="array" ref="AF1138">HLOOKUP($J1138,'Type Chart'!$C$2:$T$20,13,false)*HLOOKUP($K1138,'Type Chart'!$C$2:$U$20,13,false)</f>
        <v>0.5</v>
      </c>
      <c r="AG1138" s="960">
        <f t="array" ref="AG1138">HLOOKUP($J1138,'Type Chart'!$C$2:$T$20,14,false)*HLOOKUP($K1138,'Type Chart'!$C$2:$U$20,14,false)</f>
        <v>0.5</v>
      </c>
      <c r="AH1138" s="960">
        <f t="array" ref="AH1138">HLOOKUP($J1138,'Type Chart'!$C$2:$T$20,15,false)*HLOOKUP($K1138,'Type Chart'!$C$2:$U$20,15,false)</f>
        <v>1</v>
      </c>
      <c r="AI1138" s="960">
        <f t="array" ref="AI1138">HLOOKUP($J1138,'Type Chart'!$C$2:$T$20,16,false)*HLOOKUP($K1138,'Type Chart'!$C$2:$U$20,16,false)</f>
        <v>2</v>
      </c>
      <c r="AJ1138" s="960">
        <f t="array" ref="AJ1138">HLOOKUP($J1138,'Type Chart'!$C$2:$T$20,17,false)*HLOOKUP($K1138,'Type Chart'!$C$2:$U$20,17,false)</f>
        <v>1</v>
      </c>
      <c r="AK1138" s="960">
        <f t="array" ref="AK1138">HLOOKUP($J1138,'Type Chart'!$C$2:$T$20,18,false)*HLOOKUP($K1138,'Type Chart'!$C$2:$U$20,18,false)</f>
        <v>1</v>
      </c>
      <c r="AL1138" s="960">
        <f t="array" ref="AL1138">HLOOKUP($J1138,'Type Chart'!$C$2:$T$20,19,false)*HLOOKUP($K1138,'Type Chart'!$C$2:$U$20,19,false)</f>
        <v>1</v>
      </c>
      <c r="AM1138" s="964" t="s">
        <v>522</v>
      </c>
      <c r="AN1138" s="965"/>
      <c r="AO1138" s="966" t="s">
        <v>2314</v>
      </c>
      <c r="AP1138" s="936"/>
      <c r="AQ1138" s="967"/>
      <c r="AR1138" s="968"/>
      <c r="AS1138" s="936"/>
    </row>
    <row r="1139" ht="15.75" customHeight="1">
      <c r="A1139" s="936"/>
      <c r="B1139" s="948">
        <v>908.0</v>
      </c>
      <c r="C1139" s="950" t="s">
        <v>105</v>
      </c>
      <c r="D1139" s="950" t="s">
        <v>105</v>
      </c>
      <c r="E1139" s="952" t="s">
        <v>105</v>
      </c>
      <c r="F1139" s="940"/>
      <c r="G1139" s="953"/>
      <c r="H1139" s="969"/>
      <c r="I1139" s="956" t="s">
        <v>123</v>
      </c>
      <c r="J1139" s="957" t="s">
        <v>209</v>
      </c>
      <c r="K1139" s="1195" t="s">
        <v>193</v>
      </c>
      <c r="L1139" s="959">
        <v>76.0</v>
      </c>
      <c r="M1139" s="960">
        <v>110.0</v>
      </c>
      <c r="N1139" s="960">
        <v>70.0</v>
      </c>
      <c r="O1139" s="960">
        <v>81.0</v>
      </c>
      <c r="P1139" s="960">
        <v>70.0</v>
      </c>
      <c r="Q1139" s="960">
        <v>123.0</v>
      </c>
      <c r="R1139" s="960">
        <v>282.0</v>
      </c>
      <c r="S1139" s="960">
        <v>345.0</v>
      </c>
      <c r="T1139" s="960">
        <v>379.0</v>
      </c>
      <c r="U1139" s="960">
        <f t="array" ref="U1139">HLOOKUP($J1139,'Type Chart'!$C$2:$T$20,2,false)*HLOOKUP($K1139,'Type Chart'!$C$2:$U$20,2,false)</f>
        <v>1</v>
      </c>
      <c r="V1139" s="960">
        <f t="array" ref="V1139">HLOOKUP($J1139,'Type Chart'!$C$2:$T$20,3,false)*HLOOKUP($K1139,'Type Chart'!$C$2:$U$20,3,false)</f>
        <v>2</v>
      </c>
      <c r="W1139" s="960">
        <f t="array" ref="W1139">HLOOKUP($J1139,'Type Chart'!$C$2:$T$20,4,false)*HLOOKUP($K1139,'Type Chart'!$C$2:$U$20,4,false)</f>
        <v>2</v>
      </c>
      <c r="X1139" s="960">
        <f t="array" ref="X1139">HLOOKUP($J1139,'Type Chart'!$C$2:$T$20,5,false)*HLOOKUP($K1139,'Type Chart'!$C$2:$U$20,5,false)</f>
        <v>2</v>
      </c>
      <c r="Y1139" s="960">
        <f t="array" ref="Y1139">HLOOKUP($J1139,'Type Chart'!$C$2:$T$20,6,false)*HLOOKUP($K1139,'Type Chart'!$C$2:$U$20,6,false)</f>
        <v>0.5</v>
      </c>
      <c r="Z1139" s="960">
        <f t="array" ref="Z1139">HLOOKUP($J1139,'Type Chart'!$C$2:$T$20,7,false)*HLOOKUP($K1139,'Type Chart'!$C$2:$U$20,7,false)</f>
        <v>1</v>
      </c>
      <c r="AA1139" s="960">
        <f t="array" ref="AA1139">HLOOKUP($J1139,'Type Chart'!$C$2:$T$20,8,false)*HLOOKUP($K1139,'Type Chart'!$C$2:$U$20,8,false)</f>
        <v>4</v>
      </c>
      <c r="AB1139" s="960">
        <f t="array" ref="AB1139">HLOOKUP($J1139,'Type Chart'!$C$2:$T$20,9,false)*HLOOKUP($K1139,'Type Chart'!$C$2:$U$20,9,false)</f>
        <v>0.5</v>
      </c>
      <c r="AC1139" s="960">
        <f t="array" ref="AC1139">HLOOKUP($J1139,'Type Chart'!$C$2:$T$20,10,false)*HLOOKUP($K1139,'Type Chart'!$C$2:$U$20,10,false)</f>
        <v>1</v>
      </c>
      <c r="AD1139" s="960">
        <f t="array" ref="AD1139">HLOOKUP($J1139,'Type Chart'!$C$2:$T$20,11,false)*HLOOKUP($K1139,'Type Chart'!$C$2:$U$20,11,false)</f>
        <v>2</v>
      </c>
      <c r="AE1139" s="960">
        <f t="array" ref="AE1139">HLOOKUP($J1139,'Type Chart'!$C$2:$T$20,12,false)*HLOOKUP($K1139,'Type Chart'!$C$2:$U$20,12,false)</f>
        <v>0.5</v>
      </c>
      <c r="AF1139" s="960">
        <f t="array" ref="AF1139">HLOOKUP($J1139,'Type Chart'!$C$2:$T$20,13,false)*HLOOKUP($K1139,'Type Chart'!$C$2:$U$20,13,false)</f>
        <v>0.5</v>
      </c>
      <c r="AG1139" s="960">
        <f t="array" ref="AG1139">HLOOKUP($J1139,'Type Chart'!$C$2:$T$20,14,false)*HLOOKUP($K1139,'Type Chart'!$C$2:$U$20,14,false)</f>
        <v>0.5</v>
      </c>
      <c r="AH1139" s="960">
        <f t="array" ref="AH1139">HLOOKUP($J1139,'Type Chart'!$C$2:$T$20,15,false)*HLOOKUP($K1139,'Type Chart'!$C$2:$U$20,15,false)</f>
        <v>0</v>
      </c>
      <c r="AI1139" s="960">
        <f t="array" ref="AI1139">HLOOKUP($J1139,'Type Chart'!$C$2:$T$20,16,false)*HLOOKUP($K1139,'Type Chart'!$C$2:$U$20,16,false)</f>
        <v>2</v>
      </c>
      <c r="AJ1139" s="960">
        <f t="array" ref="AJ1139">HLOOKUP($J1139,'Type Chart'!$C$2:$T$20,17,false)*HLOOKUP($K1139,'Type Chart'!$C$2:$U$20,17,false)</f>
        <v>1</v>
      </c>
      <c r="AK1139" s="960">
        <f t="array" ref="AK1139">HLOOKUP($J1139,'Type Chart'!$C$2:$T$20,18,false)*HLOOKUP($K1139,'Type Chart'!$C$2:$U$20,18,false)</f>
        <v>0.5</v>
      </c>
      <c r="AL1139" s="960">
        <f t="array" ref="AL1139">HLOOKUP($J1139,'Type Chart'!$C$2:$T$20,19,false)*HLOOKUP($K1139,'Type Chart'!$C$2:$U$20,19,false)</f>
        <v>2</v>
      </c>
      <c r="AM1139" s="964" t="s">
        <v>522</v>
      </c>
      <c r="AN1139" s="965"/>
      <c r="AO1139" s="966" t="s">
        <v>2314</v>
      </c>
      <c r="AP1139" s="936"/>
      <c r="AQ1139" s="967"/>
      <c r="AR1139" s="968"/>
      <c r="AS1139" s="936"/>
    </row>
    <row r="1140" ht="15.75" customHeight="1">
      <c r="A1140" s="936"/>
      <c r="B1140" s="948">
        <v>909.0</v>
      </c>
      <c r="C1140" s="950" t="s">
        <v>4155</v>
      </c>
      <c r="D1140" s="950" t="s">
        <v>4155</v>
      </c>
      <c r="E1140" s="952" t="s">
        <v>4155</v>
      </c>
      <c r="F1140" s="940"/>
      <c r="G1140" s="953"/>
      <c r="H1140" s="969"/>
      <c r="I1140" s="956" t="s">
        <v>4156</v>
      </c>
      <c r="J1140" s="982" t="s">
        <v>150</v>
      </c>
      <c r="K1140" s="1235" t="s">
        <v>216</v>
      </c>
      <c r="L1140" s="959">
        <v>67.0</v>
      </c>
      <c r="M1140" s="960">
        <v>45.0</v>
      </c>
      <c r="N1140" s="960">
        <v>59.0</v>
      </c>
      <c r="O1140" s="960">
        <v>63.0</v>
      </c>
      <c r="P1140" s="960">
        <v>40.0</v>
      </c>
      <c r="Q1140" s="960">
        <v>36.0</v>
      </c>
      <c r="R1140" s="960">
        <v>108.0</v>
      </c>
      <c r="S1140" s="960">
        <v>171.0</v>
      </c>
      <c r="T1140" s="960">
        <v>188.0</v>
      </c>
      <c r="U1140" s="960">
        <f t="array" ref="U1140">HLOOKUP($J1140,'Type Chart'!$C$2:$T$20,2,false)*HLOOKUP($K1140,'Type Chart'!$C$2:$U$20,2,false)</f>
        <v>1</v>
      </c>
      <c r="V1140" s="960">
        <f t="array" ref="V1140">HLOOKUP($J1140,'Type Chart'!$C$2:$T$20,3,false)*HLOOKUP($K1140,'Type Chart'!$C$2:$U$20,3,false)</f>
        <v>1</v>
      </c>
      <c r="W1140" s="960">
        <f t="array" ref="W1140">HLOOKUP($J1140,'Type Chart'!$C$2:$T$20,4,false)*HLOOKUP($K1140,'Type Chart'!$C$2:$U$20,4,false)</f>
        <v>1</v>
      </c>
      <c r="X1140" s="960">
        <f t="array" ref="X1140">HLOOKUP($J1140,'Type Chart'!$C$2:$T$20,5,false)*HLOOKUP($K1140,'Type Chart'!$C$2:$U$20,5,false)</f>
        <v>1</v>
      </c>
      <c r="Y1140" s="960">
        <f t="array" ref="Y1140">HLOOKUP($J1140,'Type Chart'!$C$2:$T$20,6,false)*HLOOKUP($K1140,'Type Chart'!$C$2:$U$20,6,false)</f>
        <v>2</v>
      </c>
      <c r="Z1140" s="960">
        <f t="array" ref="Z1140">HLOOKUP($J1140,'Type Chart'!$C$2:$T$20,7,false)*HLOOKUP($K1140,'Type Chart'!$C$2:$U$20,7,false)</f>
        <v>2</v>
      </c>
      <c r="AA1140" s="960">
        <f t="array" ref="AA1140">HLOOKUP($J1140,'Type Chart'!$C$2:$T$20,8,false)*HLOOKUP($K1140,'Type Chart'!$C$2:$U$20,8,false)</f>
        <v>0.5</v>
      </c>
      <c r="AB1140" s="960">
        <f t="array" ref="AB1140">HLOOKUP($J1140,'Type Chart'!$C$2:$T$20,9,false)*HLOOKUP($K1140,'Type Chart'!$C$2:$U$20,9,false)</f>
        <v>1</v>
      </c>
      <c r="AC1140" s="960">
        <f t="array" ref="AC1140">HLOOKUP($J1140,'Type Chart'!$C$2:$T$20,10,false)*HLOOKUP($K1140,'Type Chart'!$C$2:$U$20,10,false)</f>
        <v>0.5</v>
      </c>
      <c r="AD1140" s="960">
        <f t="array" ref="AD1140">HLOOKUP($J1140,'Type Chart'!$C$2:$T$20,11,false)*HLOOKUP($K1140,'Type Chart'!$C$2:$U$20,11,false)</f>
        <v>0.5</v>
      </c>
      <c r="AE1140" s="960">
        <f t="array" ref="AE1140">HLOOKUP($J1140,'Type Chart'!$C$2:$T$20,12,false)*HLOOKUP($K1140,'Type Chart'!$C$2:$U$20,12,false)</f>
        <v>2</v>
      </c>
      <c r="AF1140" s="960">
        <f t="array" ref="AF1140">HLOOKUP($J1140,'Type Chart'!$C$2:$T$20,13,false)*HLOOKUP($K1140,'Type Chart'!$C$2:$U$20,13,false)</f>
        <v>0.5</v>
      </c>
      <c r="AG1140" s="960">
        <f t="array" ref="AG1140">HLOOKUP($J1140,'Type Chart'!$C$2:$T$20,14,false)*HLOOKUP($K1140,'Type Chart'!$C$2:$U$20,14,false)</f>
        <v>1</v>
      </c>
      <c r="AH1140" s="960">
        <f t="array" ref="AH1140">HLOOKUP($J1140,'Type Chart'!$C$2:$T$20,15,false)*HLOOKUP($K1140,'Type Chart'!$C$2:$U$20,15,false)</f>
        <v>1</v>
      </c>
      <c r="AI1140" s="960">
        <f t="array" ref="AI1140">HLOOKUP($J1140,'Type Chart'!$C$2:$T$20,16,false)*HLOOKUP($K1140,'Type Chart'!$C$2:$U$20,16,false)</f>
        <v>0.5</v>
      </c>
      <c r="AJ1140" s="960">
        <f t="array" ref="AJ1140">HLOOKUP($J1140,'Type Chart'!$C$2:$T$20,17,false)*HLOOKUP($K1140,'Type Chart'!$C$2:$U$20,17,false)</f>
        <v>1</v>
      </c>
      <c r="AK1140" s="960">
        <f t="array" ref="AK1140">HLOOKUP($J1140,'Type Chart'!$C$2:$T$20,18,false)*HLOOKUP($K1140,'Type Chart'!$C$2:$U$20,18,false)</f>
        <v>1</v>
      </c>
      <c r="AL1140" s="960">
        <f t="array" ref="AL1140">HLOOKUP($J1140,'Type Chart'!$C$2:$T$20,19,false)*HLOOKUP($K1140,'Type Chart'!$C$2:$U$20,19,false)</f>
        <v>0.5</v>
      </c>
      <c r="AM1140" s="964" t="s">
        <v>830</v>
      </c>
      <c r="AN1140" s="965"/>
      <c r="AO1140" s="966" t="s">
        <v>1169</v>
      </c>
      <c r="AP1140" s="936"/>
      <c r="AQ1140" s="967"/>
      <c r="AR1140" s="968"/>
      <c r="AS1140" s="936"/>
    </row>
    <row r="1141" ht="15.75" customHeight="1">
      <c r="A1141" s="936"/>
      <c r="B1141" s="948">
        <v>910.0</v>
      </c>
      <c r="C1141" s="950" t="s">
        <v>4157</v>
      </c>
      <c r="D1141" s="950" t="s">
        <v>4157</v>
      </c>
      <c r="E1141" s="952" t="s">
        <v>4157</v>
      </c>
      <c r="F1141" s="940"/>
      <c r="G1141" s="953"/>
      <c r="H1141" s="969"/>
      <c r="I1141" s="998" t="s">
        <v>809</v>
      </c>
      <c r="J1141" s="982" t="s">
        <v>150</v>
      </c>
      <c r="K1141" s="1235" t="s">
        <v>216</v>
      </c>
      <c r="L1141" s="959">
        <v>81.0</v>
      </c>
      <c r="M1141" s="960">
        <v>55.0</v>
      </c>
      <c r="N1141" s="960">
        <v>78.0</v>
      </c>
      <c r="O1141" s="960">
        <v>90.0</v>
      </c>
      <c r="P1141" s="960">
        <v>58.0</v>
      </c>
      <c r="Q1141" s="960">
        <v>49.0</v>
      </c>
      <c r="R1141" s="960">
        <v>134.0</v>
      </c>
      <c r="S1141" s="960">
        <v>197.0</v>
      </c>
      <c r="T1141" s="960">
        <v>216.0</v>
      </c>
      <c r="U1141" s="960">
        <f t="array" ref="U1141">HLOOKUP($J1141,'Type Chart'!$C$2:$T$20,2,false)*HLOOKUP($K1141,'Type Chart'!$C$2:$U$20,2,false)</f>
        <v>1</v>
      </c>
      <c r="V1141" s="960">
        <f t="array" ref="V1141">HLOOKUP($J1141,'Type Chart'!$C$2:$T$20,3,false)*HLOOKUP($K1141,'Type Chart'!$C$2:$U$20,3,false)</f>
        <v>1</v>
      </c>
      <c r="W1141" s="960">
        <f t="array" ref="W1141">HLOOKUP($J1141,'Type Chart'!$C$2:$T$20,4,false)*HLOOKUP($K1141,'Type Chart'!$C$2:$U$20,4,false)</f>
        <v>1</v>
      </c>
      <c r="X1141" s="960">
        <f t="array" ref="X1141">HLOOKUP($J1141,'Type Chart'!$C$2:$T$20,5,false)*HLOOKUP($K1141,'Type Chart'!$C$2:$U$20,5,false)</f>
        <v>1</v>
      </c>
      <c r="Y1141" s="960">
        <f t="array" ref="Y1141">HLOOKUP($J1141,'Type Chart'!$C$2:$T$20,6,false)*HLOOKUP($K1141,'Type Chart'!$C$2:$U$20,6,false)</f>
        <v>2</v>
      </c>
      <c r="Z1141" s="960">
        <f t="array" ref="Z1141">HLOOKUP($J1141,'Type Chart'!$C$2:$T$20,7,false)*HLOOKUP($K1141,'Type Chart'!$C$2:$U$20,7,false)</f>
        <v>2</v>
      </c>
      <c r="AA1141" s="960">
        <f t="array" ref="AA1141">HLOOKUP($J1141,'Type Chart'!$C$2:$T$20,8,false)*HLOOKUP($K1141,'Type Chart'!$C$2:$U$20,8,false)</f>
        <v>0.5</v>
      </c>
      <c r="AB1141" s="960">
        <f t="array" ref="AB1141">HLOOKUP($J1141,'Type Chart'!$C$2:$T$20,9,false)*HLOOKUP($K1141,'Type Chart'!$C$2:$U$20,9,false)</f>
        <v>1</v>
      </c>
      <c r="AC1141" s="960">
        <f t="array" ref="AC1141">HLOOKUP($J1141,'Type Chart'!$C$2:$T$20,10,false)*HLOOKUP($K1141,'Type Chart'!$C$2:$U$20,10,false)</f>
        <v>0.5</v>
      </c>
      <c r="AD1141" s="960">
        <f t="array" ref="AD1141">HLOOKUP($J1141,'Type Chart'!$C$2:$T$20,11,false)*HLOOKUP($K1141,'Type Chart'!$C$2:$U$20,11,false)</f>
        <v>0.5</v>
      </c>
      <c r="AE1141" s="960">
        <f t="array" ref="AE1141">HLOOKUP($J1141,'Type Chart'!$C$2:$T$20,12,false)*HLOOKUP($K1141,'Type Chart'!$C$2:$U$20,12,false)</f>
        <v>2</v>
      </c>
      <c r="AF1141" s="960">
        <f t="array" ref="AF1141">HLOOKUP($J1141,'Type Chart'!$C$2:$T$20,13,false)*HLOOKUP($K1141,'Type Chart'!$C$2:$U$20,13,false)</f>
        <v>0.5</v>
      </c>
      <c r="AG1141" s="960">
        <f t="array" ref="AG1141">HLOOKUP($J1141,'Type Chart'!$C$2:$T$20,14,false)*HLOOKUP($K1141,'Type Chart'!$C$2:$U$20,14,false)</f>
        <v>1</v>
      </c>
      <c r="AH1141" s="960">
        <f t="array" ref="AH1141">HLOOKUP($J1141,'Type Chart'!$C$2:$T$20,15,false)*HLOOKUP($K1141,'Type Chart'!$C$2:$U$20,15,false)</f>
        <v>1</v>
      </c>
      <c r="AI1141" s="960">
        <f t="array" ref="AI1141">HLOOKUP($J1141,'Type Chart'!$C$2:$T$20,16,false)*HLOOKUP($K1141,'Type Chart'!$C$2:$U$20,16,false)</f>
        <v>0.5</v>
      </c>
      <c r="AJ1141" s="960">
        <f t="array" ref="AJ1141">HLOOKUP($J1141,'Type Chart'!$C$2:$T$20,17,false)*HLOOKUP($K1141,'Type Chart'!$C$2:$U$20,17,false)</f>
        <v>1</v>
      </c>
      <c r="AK1141" s="960">
        <f t="array" ref="AK1141">HLOOKUP($J1141,'Type Chart'!$C$2:$T$20,18,false)*HLOOKUP($K1141,'Type Chart'!$C$2:$U$20,18,false)</f>
        <v>1</v>
      </c>
      <c r="AL1141" s="960">
        <f t="array" ref="AL1141">HLOOKUP($J1141,'Type Chart'!$C$2:$T$20,19,false)*HLOOKUP($K1141,'Type Chart'!$C$2:$U$20,19,false)</f>
        <v>0.5</v>
      </c>
      <c r="AM1141" s="964" t="s">
        <v>830</v>
      </c>
      <c r="AN1141" s="965"/>
      <c r="AO1141" s="966" t="s">
        <v>1169</v>
      </c>
      <c r="AP1141" s="936"/>
      <c r="AQ1141" s="967"/>
      <c r="AR1141" s="968"/>
      <c r="AS1141" s="936"/>
    </row>
    <row r="1142" ht="15.75" customHeight="1">
      <c r="A1142" s="936"/>
      <c r="B1142" s="948">
        <v>911.0</v>
      </c>
      <c r="C1142" s="950" t="s">
        <v>4158</v>
      </c>
      <c r="D1142" s="950" t="s">
        <v>4158</v>
      </c>
      <c r="E1142" s="952" t="s">
        <v>4158</v>
      </c>
      <c r="F1142" s="940"/>
      <c r="G1142" s="953"/>
      <c r="H1142" s="969"/>
      <c r="I1142" s="956" t="s">
        <v>397</v>
      </c>
      <c r="J1142" s="982" t="s">
        <v>150</v>
      </c>
      <c r="K1142" s="1220" t="s">
        <v>215</v>
      </c>
      <c r="L1142" s="959">
        <v>104.0</v>
      </c>
      <c r="M1142" s="960">
        <v>75.0</v>
      </c>
      <c r="N1142" s="960">
        <v>100.0</v>
      </c>
      <c r="O1142" s="960">
        <v>110.0</v>
      </c>
      <c r="P1142" s="960">
        <v>75.0</v>
      </c>
      <c r="Q1142" s="960">
        <v>66.0</v>
      </c>
      <c r="R1142" s="960">
        <v>168.0</v>
      </c>
      <c r="S1142" s="960">
        <v>231.0</v>
      </c>
      <c r="T1142" s="960">
        <v>254.0</v>
      </c>
      <c r="U1142" s="960">
        <f t="array" ref="U1142">HLOOKUP($J1142,'Type Chart'!$C$2:$T$20,2,false)*HLOOKUP($K1142,'Type Chart'!$C$2:$U$20,2,false)</f>
        <v>0</v>
      </c>
      <c r="V1142" s="960">
        <f t="array" ref="V1142">HLOOKUP($J1142,'Type Chart'!$C$2:$T$20,3,false)*HLOOKUP($K1142,'Type Chart'!$C$2:$U$20,3,false)</f>
        <v>0</v>
      </c>
      <c r="W1142" s="960">
        <f t="array" ref="W1142">HLOOKUP($J1142,'Type Chart'!$C$2:$T$20,4,false)*HLOOKUP($K1142,'Type Chart'!$C$2:$U$20,4,false)</f>
        <v>1</v>
      </c>
      <c r="X1142" s="960">
        <f t="array" ref="X1142">HLOOKUP($J1142,'Type Chart'!$C$2:$T$20,5,false)*HLOOKUP($K1142,'Type Chart'!$C$2:$U$20,5,false)</f>
        <v>0.5</v>
      </c>
      <c r="Y1142" s="960">
        <f t="array" ref="Y1142">HLOOKUP($J1142,'Type Chart'!$C$2:$T$20,6,false)*HLOOKUP($K1142,'Type Chart'!$C$2:$U$20,6,false)</f>
        <v>2</v>
      </c>
      <c r="Z1142" s="960">
        <f t="array" ref="Z1142">HLOOKUP($J1142,'Type Chart'!$C$2:$T$20,7,false)*HLOOKUP($K1142,'Type Chart'!$C$2:$U$20,7,false)</f>
        <v>2</v>
      </c>
      <c r="AA1142" s="960">
        <f t="array" ref="AA1142">HLOOKUP($J1142,'Type Chart'!$C$2:$T$20,8,false)*HLOOKUP($K1142,'Type Chart'!$C$2:$U$20,8,false)</f>
        <v>0.25</v>
      </c>
      <c r="AB1142" s="960">
        <f t="array" ref="AB1142">HLOOKUP($J1142,'Type Chart'!$C$2:$T$20,9,false)*HLOOKUP($K1142,'Type Chart'!$C$2:$U$20,9,false)</f>
        <v>2</v>
      </c>
      <c r="AC1142" s="960">
        <f t="array" ref="AC1142">HLOOKUP($J1142,'Type Chart'!$C$2:$T$20,10,false)*HLOOKUP($K1142,'Type Chart'!$C$2:$U$20,10,false)</f>
        <v>0.5</v>
      </c>
      <c r="AD1142" s="960">
        <f t="array" ref="AD1142">HLOOKUP($J1142,'Type Chart'!$C$2:$T$20,11,false)*HLOOKUP($K1142,'Type Chart'!$C$2:$U$20,11,false)</f>
        <v>0.5</v>
      </c>
      <c r="AE1142" s="960">
        <f t="array" ref="AE1142">HLOOKUP($J1142,'Type Chart'!$C$2:$T$20,12,false)*HLOOKUP($K1142,'Type Chart'!$C$2:$U$20,12,false)</f>
        <v>2</v>
      </c>
      <c r="AF1142" s="960">
        <f t="array" ref="AF1142">HLOOKUP($J1142,'Type Chart'!$C$2:$T$20,13,false)*HLOOKUP($K1142,'Type Chart'!$C$2:$U$20,13,false)</f>
        <v>0.5</v>
      </c>
      <c r="AG1142" s="960">
        <f t="array" ref="AG1142">HLOOKUP($J1142,'Type Chart'!$C$2:$T$20,14,false)*HLOOKUP($K1142,'Type Chart'!$C$2:$U$20,14,false)</f>
        <v>1</v>
      </c>
      <c r="AH1142" s="960">
        <f t="array" ref="AH1142">HLOOKUP($J1142,'Type Chart'!$C$2:$T$20,15,false)*HLOOKUP($K1142,'Type Chart'!$C$2:$U$20,15,false)</f>
        <v>1</v>
      </c>
      <c r="AI1142" s="960">
        <f t="array" ref="AI1142">HLOOKUP($J1142,'Type Chart'!$C$2:$T$20,16,false)*HLOOKUP($K1142,'Type Chart'!$C$2:$U$20,16,false)</f>
        <v>0.5</v>
      </c>
      <c r="AJ1142" s="960">
        <f t="array" ref="AJ1142">HLOOKUP($J1142,'Type Chart'!$C$2:$T$20,17,false)*HLOOKUP($K1142,'Type Chart'!$C$2:$U$20,17,false)</f>
        <v>1</v>
      </c>
      <c r="AK1142" s="960">
        <f t="array" ref="AK1142">HLOOKUP($J1142,'Type Chart'!$C$2:$T$20,18,false)*HLOOKUP($K1142,'Type Chart'!$C$2:$U$20,18,false)</f>
        <v>2</v>
      </c>
      <c r="AL1142" s="960">
        <f t="array" ref="AL1142">HLOOKUP($J1142,'Type Chart'!$C$2:$T$20,19,false)*HLOOKUP($K1142,'Type Chart'!$C$2:$U$20,19,false)</f>
        <v>0.5</v>
      </c>
      <c r="AM1142" s="964" t="s">
        <v>830</v>
      </c>
      <c r="AN1142" s="965"/>
      <c r="AO1142" s="966" t="s">
        <v>1169</v>
      </c>
      <c r="AP1142" s="936"/>
      <c r="AQ1142" s="967"/>
      <c r="AR1142" s="968"/>
      <c r="AS1142" s="936"/>
    </row>
    <row r="1143" ht="15.75" customHeight="1">
      <c r="A1143" s="936"/>
      <c r="B1143" s="948">
        <v>912.0</v>
      </c>
      <c r="C1143" s="950" t="s">
        <v>4159</v>
      </c>
      <c r="D1143" s="950" t="s">
        <v>4159</v>
      </c>
      <c r="E1143" s="952" t="s">
        <v>4159</v>
      </c>
      <c r="F1143" s="940"/>
      <c r="G1143" s="953"/>
      <c r="H1143" s="969"/>
      <c r="I1143" s="956" t="s">
        <v>4160</v>
      </c>
      <c r="J1143" s="1056" t="s">
        <v>81</v>
      </c>
      <c r="K1143" s="1235" t="s">
        <v>216</v>
      </c>
      <c r="L1143" s="959">
        <v>55.0</v>
      </c>
      <c r="M1143" s="960">
        <v>65.0</v>
      </c>
      <c r="N1143" s="960">
        <v>45.0</v>
      </c>
      <c r="O1143" s="960">
        <v>50.0</v>
      </c>
      <c r="P1143" s="960">
        <v>45.0</v>
      </c>
      <c r="Q1143" s="960">
        <v>50.0</v>
      </c>
      <c r="R1143" s="960">
        <v>136.0</v>
      </c>
      <c r="S1143" s="960">
        <v>199.0</v>
      </c>
      <c r="T1143" s="960">
        <v>218.0</v>
      </c>
      <c r="U1143" s="960">
        <f t="array" ref="U1143">HLOOKUP($J1143,'Type Chart'!$C$2:$T$20,2,false)*HLOOKUP($K1143,'Type Chart'!$C$2:$U$20,2,false)</f>
        <v>1</v>
      </c>
      <c r="V1143" s="960">
        <f t="array" ref="V1143">HLOOKUP($J1143,'Type Chart'!$C$2:$T$20,3,false)*HLOOKUP($K1143,'Type Chart'!$C$2:$U$20,3,false)</f>
        <v>1</v>
      </c>
      <c r="W1143" s="960">
        <f t="array" ref="W1143">HLOOKUP($J1143,'Type Chart'!$C$2:$T$20,4,false)*HLOOKUP($K1143,'Type Chart'!$C$2:$U$20,4,false)</f>
        <v>1</v>
      </c>
      <c r="X1143" s="960">
        <f t="array" ref="X1143">HLOOKUP($J1143,'Type Chart'!$C$2:$T$20,5,false)*HLOOKUP($K1143,'Type Chart'!$C$2:$U$20,5,false)</f>
        <v>1</v>
      </c>
      <c r="Y1143" s="960">
        <f t="array" ref="Y1143">HLOOKUP($J1143,'Type Chart'!$C$2:$T$20,6,false)*HLOOKUP($K1143,'Type Chart'!$C$2:$U$20,6,false)</f>
        <v>1</v>
      </c>
      <c r="Z1143" s="960">
        <f t="array" ref="Z1143">HLOOKUP($J1143,'Type Chart'!$C$2:$T$20,7,false)*HLOOKUP($K1143,'Type Chart'!$C$2:$U$20,7,false)</f>
        <v>1</v>
      </c>
      <c r="AA1143" s="960">
        <f t="array" ref="AA1143">HLOOKUP($J1143,'Type Chart'!$C$2:$T$20,8,false)*HLOOKUP($K1143,'Type Chart'!$C$2:$U$20,8,false)</f>
        <v>1</v>
      </c>
      <c r="AB1143" s="960">
        <f t="array" ref="AB1143">HLOOKUP($J1143,'Type Chart'!$C$2:$T$20,9,false)*HLOOKUP($K1143,'Type Chart'!$C$2:$U$20,9,false)</f>
        <v>1</v>
      </c>
      <c r="AC1143" s="960">
        <f t="array" ref="AC1143">HLOOKUP($J1143,'Type Chart'!$C$2:$T$20,10,false)*HLOOKUP($K1143,'Type Chart'!$C$2:$U$20,10,false)</f>
        <v>0.5</v>
      </c>
      <c r="AD1143" s="960">
        <f t="array" ref="AD1143">HLOOKUP($J1143,'Type Chart'!$C$2:$T$20,11,false)*HLOOKUP($K1143,'Type Chart'!$C$2:$U$20,11,false)</f>
        <v>0.5</v>
      </c>
      <c r="AE1143" s="960">
        <f t="array" ref="AE1143">HLOOKUP($J1143,'Type Chart'!$C$2:$T$20,12,false)*HLOOKUP($K1143,'Type Chart'!$C$2:$U$20,12,false)</f>
        <v>0.5</v>
      </c>
      <c r="AF1143" s="960">
        <f t="array" ref="AF1143">HLOOKUP($J1143,'Type Chart'!$C$2:$T$20,13,false)*HLOOKUP($K1143,'Type Chart'!$C$2:$U$20,13,false)</f>
        <v>2</v>
      </c>
      <c r="AG1143" s="960">
        <f t="array" ref="AG1143">HLOOKUP($J1143,'Type Chart'!$C$2:$T$20,14,false)*HLOOKUP($K1143,'Type Chart'!$C$2:$U$20,14,false)</f>
        <v>2</v>
      </c>
      <c r="AH1143" s="960">
        <f t="array" ref="AH1143">HLOOKUP($J1143,'Type Chart'!$C$2:$T$20,15,false)*HLOOKUP($K1143,'Type Chart'!$C$2:$U$20,15,false)</f>
        <v>1</v>
      </c>
      <c r="AI1143" s="960">
        <f t="array" ref="AI1143">HLOOKUP($J1143,'Type Chart'!$C$2:$T$20,16,false)*HLOOKUP($K1143,'Type Chart'!$C$2:$U$20,16,false)</f>
        <v>0.5</v>
      </c>
      <c r="AJ1143" s="960">
        <f t="array" ref="AJ1143">HLOOKUP($J1143,'Type Chart'!$C$2:$T$20,17,false)*HLOOKUP($K1143,'Type Chart'!$C$2:$U$20,17,false)</f>
        <v>1</v>
      </c>
      <c r="AK1143" s="960">
        <f t="array" ref="AK1143">HLOOKUP($J1143,'Type Chart'!$C$2:$T$20,18,false)*HLOOKUP($K1143,'Type Chart'!$C$2:$U$20,18,false)</f>
        <v>1</v>
      </c>
      <c r="AL1143" s="960">
        <f t="array" ref="AL1143">HLOOKUP($J1143,'Type Chart'!$C$2:$T$20,19,false)*HLOOKUP($K1143,'Type Chart'!$C$2:$U$20,19,false)</f>
        <v>1</v>
      </c>
      <c r="AM1143" s="964" t="s">
        <v>959</v>
      </c>
      <c r="AN1143" s="965"/>
      <c r="AO1143" s="966" t="s">
        <v>1577</v>
      </c>
      <c r="AP1143" s="936"/>
      <c r="AQ1143" s="967"/>
      <c r="AR1143" s="968"/>
      <c r="AS1143" s="936"/>
    </row>
    <row r="1144" ht="15.75" customHeight="1">
      <c r="A1144" s="936"/>
      <c r="B1144" s="948">
        <v>913.0</v>
      </c>
      <c r="C1144" s="950" t="s">
        <v>4161</v>
      </c>
      <c r="D1144" s="950" t="s">
        <v>4161</v>
      </c>
      <c r="E1144" s="952" t="s">
        <v>4161</v>
      </c>
      <c r="F1144" s="940"/>
      <c r="G1144" s="953"/>
      <c r="H1144" s="969"/>
      <c r="I1144" s="956" t="s">
        <v>811</v>
      </c>
      <c r="J1144" s="1056" t="s">
        <v>81</v>
      </c>
      <c r="K1144" s="1235" t="s">
        <v>216</v>
      </c>
      <c r="L1144" s="959">
        <v>70.0</v>
      </c>
      <c r="M1144" s="960">
        <v>85.0</v>
      </c>
      <c r="N1144" s="960">
        <v>65.0</v>
      </c>
      <c r="O1144" s="960">
        <v>65.0</v>
      </c>
      <c r="P1144" s="960">
        <v>60.0</v>
      </c>
      <c r="Q1144" s="960">
        <v>65.0</v>
      </c>
      <c r="R1144" s="960">
        <v>166.0</v>
      </c>
      <c r="S1144" s="960">
        <v>229.0</v>
      </c>
      <c r="T1144" s="960">
        <v>251.0</v>
      </c>
      <c r="U1144" s="960">
        <f t="array" ref="U1144">HLOOKUP($J1144,'Type Chart'!$C$2:$T$20,2,false)*HLOOKUP($K1144,'Type Chart'!$C$2:$U$20,2,false)</f>
        <v>1</v>
      </c>
      <c r="V1144" s="960">
        <f t="array" ref="V1144">HLOOKUP($J1144,'Type Chart'!$C$2:$T$20,3,false)*HLOOKUP($K1144,'Type Chart'!$C$2:$U$20,3,false)</f>
        <v>1</v>
      </c>
      <c r="W1144" s="960">
        <f t="array" ref="W1144">HLOOKUP($J1144,'Type Chart'!$C$2:$T$20,4,false)*HLOOKUP($K1144,'Type Chart'!$C$2:$U$20,4,false)</f>
        <v>1</v>
      </c>
      <c r="X1144" s="960">
        <f t="array" ref="X1144">HLOOKUP($J1144,'Type Chart'!$C$2:$T$20,5,false)*HLOOKUP($K1144,'Type Chart'!$C$2:$U$20,5,false)</f>
        <v>1</v>
      </c>
      <c r="Y1144" s="960">
        <f t="array" ref="Y1144">HLOOKUP($J1144,'Type Chart'!$C$2:$T$20,6,false)*HLOOKUP($K1144,'Type Chart'!$C$2:$U$20,6,false)</f>
        <v>1</v>
      </c>
      <c r="Z1144" s="960">
        <f t="array" ref="Z1144">HLOOKUP($J1144,'Type Chart'!$C$2:$T$20,7,false)*HLOOKUP($K1144,'Type Chart'!$C$2:$U$20,7,false)</f>
        <v>1</v>
      </c>
      <c r="AA1144" s="960">
        <f t="array" ref="AA1144">HLOOKUP($J1144,'Type Chart'!$C$2:$T$20,8,false)*HLOOKUP($K1144,'Type Chart'!$C$2:$U$20,8,false)</f>
        <v>1</v>
      </c>
      <c r="AB1144" s="960">
        <f t="array" ref="AB1144">HLOOKUP($J1144,'Type Chart'!$C$2:$T$20,9,false)*HLOOKUP($K1144,'Type Chart'!$C$2:$U$20,9,false)</f>
        <v>1</v>
      </c>
      <c r="AC1144" s="960">
        <f t="array" ref="AC1144">HLOOKUP($J1144,'Type Chart'!$C$2:$T$20,10,false)*HLOOKUP($K1144,'Type Chart'!$C$2:$U$20,10,false)</f>
        <v>0.5</v>
      </c>
      <c r="AD1144" s="960">
        <f t="array" ref="AD1144">HLOOKUP($J1144,'Type Chart'!$C$2:$T$20,11,false)*HLOOKUP($K1144,'Type Chart'!$C$2:$U$20,11,false)</f>
        <v>0.5</v>
      </c>
      <c r="AE1144" s="960">
        <f t="array" ref="AE1144">HLOOKUP($J1144,'Type Chart'!$C$2:$T$20,12,false)*HLOOKUP($K1144,'Type Chart'!$C$2:$U$20,12,false)</f>
        <v>0.5</v>
      </c>
      <c r="AF1144" s="960">
        <f t="array" ref="AF1144">HLOOKUP($J1144,'Type Chart'!$C$2:$T$20,13,false)*HLOOKUP($K1144,'Type Chart'!$C$2:$U$20,13,false)</f>
        <v>2</v>
      </c>
      <c r="AG1144" s="960">
        <f t="array" ref="AG1144">HLOOKUP($J1144,'Type Chart'!$C$2:$T$20,14,false)*HLOOKUP($K1144,'Type Chart'!$C$2:$U$20,14,false)</f>
        <v>2</v>
      </c>
      <c r="AH1144" s="960">
        <f t="array" ref="AH1144">HLOOKUP($J1144,'Type Chart'!$C$2:$T$20,15,false)*HLOOKUP($K1144,'Type Chart'!$C$2:$U$20,15,false)</f>
        <v>1</v>
      </c>
      <c r="AI1144" s="960">
        <f t="array" ref="AI1144">HLOOKUP($J1144,'Type Chart'!$C$2:$T$20,16,false)*HLOOKUP($K1144,'Type Chart'!$C$2:$U$20,16,false)</f>
        <v>0.5</v>
      </c>
      <c r="AJ1144" s="960">
        <f t="array" ref="AJ1144">HLOOKUP($J1144,'Type Chart'!$C$2:$T$20,17,false)*HLOOKUP($K1144,'Type Chart'!$C$2:$U$20,17,false)</f>
        <v>1</v>
      </c>
      <c r="AK1144" s="960">
        <f t="array" ref="AK1144">HLOOKUP($J1144,'Type Chart'!$C$2:$T$20,18,false)*HLOOKUP($K1144,'Type Chart'!$C$2:$U$20,18,false)</f>
        <v>1</v>
      </c>
      <c r="AL1144" s="960">
        <f t="array" ref="AL1144">HLOOKUP($J1144,'Type Chart'!$C$2:$T$20,19,false)*HLOOKUP($K1144,'Type Chart'!$C$2:$U$20,19,false)</f>
        <v>1</v>
      </c>
      <c r="AM1144" s="964" t="s">
        <v>959</v>
      </c>
      <c r="AN1144" s="965"/>
      <c r="AO1144" s="966" t="s">
        <v>1577</v>
      </c>
      <c r="AP1144" s="936"/>
      <c r="AQ1144" s="967"/>
      <c r="AR1144" s="968"/>
      <c r="AS1144" s="936"/>
    </row>
    <row r="1145" ht="15.75" customHeight="1">
      <c r="A1145" s="936"/>
      <c r="B1145" s="948">
        <v>914.0</v>
      </c>
      <c r="C1145" s="950" t="s">
        <v>4162</v>
      </c>
      <c r="D1145" s="950" t="s">
        <v>4162</v>
      </c>
      <c r="E1145" s="952" t="s">
        <v>4162</v>
      </c>
      <c r="F1145" s="940"/>
      <c r="G1145" s="953"/>
      <c r="H1145" s="969"/>
      <c r="I1145" s="956" t="s">
        <v>404</v>
      </c>
      <c r="J1145" s="1056" t="s">
        <v>81</v>
      </c>
      <c r="K1145" s="1213" t="s">
        <v>341</v>
      </c>
      <c r="L1145" s="959">
        <v>85.0</v>
      </c>
      <c r="M1145" s="960">
        <v>120.0</v>
      </c>
      <c r="N1145" s="960">
        <v>80.0</v>
      </c>
      <c r="O1145" s="960">
        <v>85.0</v>
      </c>
      <c r="P1145" s="960">
        <v>75.0</v>
      </c>
      <c r="Q1145" s="960">
        <v>85.0</v>
      </c>
      <c r="R1145" s="960">
        <v>206.0</v>
      </c>
      <c r="S1145" s="960">
        <v>269.0</v>
      </c>
      <c r="T1145" s="960">
        <v>295.0</v>
      </c>
      <c r="U1145" s="960">
        <f t="array" ref="U1145">HLOOKUP($J1145,'Type Chart'!$C$2:$T$20,2,false)*HLOOKUP($K1145,'Type Chart'!$C$2:$U$20,2,false)</f>
        <v>1</v>
      </c>
      <c r="V1145" s="960">
        <f t="array" ref="V1145">HLOOKUP($J1145,'Type Chart'!$C$2:$T$20,3,false)*HLOOKUP($K1145,'Type Chart'!$C$2:$U$20,3,false)</f>
        <v>1</v>
      </c>
      <c r="W1145" s="960">
        <f t="array" ref="W1145">HLOOKUP($J1145,'Type Chart'!$C$2:$T$20,4,false)*HLOOKUP($K1145,'Type Chart'!$C$2:$U$20,4,false)</f>
        <v>2</v>
      </c>
      <c r="X1145" s="960">
        <f t="array" ref="X1145">HLOOKUP($J1145,'Type Chart'!$C$2:$T$20,5,false)*HLOOKUP($K1145,'Type Chart'!$C$2:$U$20,5,false)</f>
        <v>1</v>
      </c>
      <c r="Y1145" s="960">
        <f t="array" ref="Y1145">HLOOKUP($J1145,'Type Chart'!$C$2:$T$20,6,false)*HLOOKUP($K1145,'Type Chart'!$C$2:$U$20,6,false)</f>
        <v>1</v>
      </c>
      <c r="Z1145" s="960">
        <f t="array" ref="Z1145">HLOOKUP($J1145,'Type Chart'!$C$2:$T$20,7,false)*HLOOKUP($K1145,'Type Chart'!$C$2:$U$20,7,false)</f>
        <v>0.5</v>
      </c>
      <c r="AA1145" s="960">
        <f t="array" ref="AA1145">HLOOKUP($J1145,'Type Chart'!$C$2:$T$20,8,false)*HLOOKUP($K1145,'Type Chart'!$C$2:$U$20,8,false)</f>
        <v>0.5</v>
      </c>
      <c r="AB1145" s="960">
        <f t="array" ref="AB1145">HLOOKUP($J1145,'Type Chart'!$C$2:$T$20,9,false)*HLOOKUP($K1145,'Type Chart'!$C$2:$U$20,9,false)</f>
        <v>1</v>
      </c>
      <c r="AC1145" s="960">
        <f t="array" ref="AC1145">HLOOKUP($J1145,'Type Chart'!$C$2:$T$20,10,false)*HLOOKUP($K1145,'Type Chart'!$C$2:$U$20,10,false)</f>
        <v>0.5</v>
      </c>
      <c r="AD1145" s="960">
        <f t="array" ref="AD1145">HLOOKUP($J1145,'Type Chart'!$C$2:$T$20,11,false)*HLOOKUP($K1145,'Type Chart'!$C$2:$U$20,11,false)</f>
        <v>0.5</v>
      </c>
      <c r="AE1145" s="960">
        <f t="array" ref="AE1145">HLOOKUP($J1145,'Type Chart'!$C$2:$T$20,12,false)*HLOOKUP($K1145,'Type Chart'!$C$2:$U$20,12,false)</f>
        <v>0.5</v>
      </c>
      <c r="AF1145" s="960">
        <f t="array" ref="AF1145">HLOOKUP($J1145,'Type Chart'!$C$2:$T$20,13,false)*HLOOKUP($K1145,'Type Chart'!$C$2:$U$20,13,false)</f>
        <v>2</v>
      </c>
      <c r="AG1145" s="960">
        <f t="array" ref="AG1145">HLOOKUP($J1145,'Type Chart'!$C$2:$T$20,14,false)*HLOOKUP($K1145,'Type Chart'!$C$2:$U$20,14,false)</f>
        <v>2</v>
      </c>
      <c r="AH1145" s="960">
        <f t="array" ref="AH1145">HLOOKUP($J1145,'Type Chart'!$C$2:$T$20,15,false)*HLOOKUP($K1145,'Type Chart'!$C$2:$U$20,15,false)</f>
        <v>2</v>
      </c>
      <c r="AI1145" s="960">
        <f t="array" ref="AI1145">HLOOKUP($J1145,'Type Chart'!$C$2:$T$20,16,false)*HLOOKUP($K1145,'Type Chart'!$C$2:$U$20,16,false)</f>
        <v>0.5</v>
      </c>
      <c r="AJ1145" s="960">
        <f t="array" ref="AJ1145">HLOOKUP($J1145,'Type Chart'!$C$2:$T$20,17,false)*HLOOKUP($K1145,'Type Chart'!$C$2:$U$20,17,false)</f>
        <v>1</v>
      </c>
      <c r="AK1145" s="960">
        <f t="array" ref="AK1145">HLOOKUP($J1145,'Type Chart'!$C$2:$T$20,18,false)*HLOOKUP($K1145,'Type Chart'!$C$2:$U$20,18,false)</f>
        <v>0.5</v>
      </c>
      <c r="AL1145" s="960">
        <f t="array" ref="AL1145">HLOOKUP($J1145,'Type Chart'!$C$2:$T$20,19,false)*HLOOKUP($K1145,'Type Chart'!$C$2:$U$20,19,false)</f>
        <v>2</v>
      </c>
      <c r="AM1145" s="964" t="s">
        <v>959</v>
      </c>
      <c r="AN1145" s="965"/>
      <c r="AO1145" s="966" t="s">
        <v>1577</v>
      </c>
      <c r="AP1145" s="936"/>
      <c r="AQ1145" s="967"/>
      <c r="AR1145" s="968"/>
      <c r="AS1145" s="936"/>
    </row>
    <row r="1146" ht="15.75" customHeight="1">
      <c r="A1146" s="936"/>
      <c r="B1146" s="948">
        <v>915.0</v>
      </c>
      <c r="C1146" s="950" t="s">
        <v>4163</v>
      </c>
      <c r="D1146" s="950" t="s">
        <v>4163</v>
      </c>
      <c r="E1146" s="952" t="s">
        <v>4163</v>
      </c>
      <c r="F1146" s="940"/>
      <c r="G1146" s="953"/>
      <c r="H1146" s="969"/>
      <c r="I1146" s="956" t="s">
        <v>4164</v>
      </c>
      <c r="J1146" s="1194" t="s">
        <v>136</v>
      </c>
      <c r="K1146" s="1235" t="s">
        <v>216</v>
      </c>
      <c r="L1146" s="959">
        <v>54.0</v>
      </c>
      <c r="M1146" s="960">
        <v>45.0</v>
      </c>
      <c r="N1146" s="960">
        <v>40.0</v>
      </c>
      <c r="O1146" s="960">
        <v>35.0</v>
      </c>
      <c r="P1146" s="960">
        <v>45.0</v>
      </c>
      <c r="Q1146" s="960">
        <v>35.0</v>
      </c>
      <c r="R1146" s="960">
        <v>106.0</v>
      </c>
      <c r="S1146" s="960">
        <v>169.0</v>
      </c>
      <c r="T1146" s="960">
        <v>185.0</v>
      </c>
      <c r="U1146" s="960">
        <f t="array" ref="U1146">HLOOKUP($J1146,'Type Chart'!$C$2:$T$20,2,false)*HLOOKUP($K1146,'Type Chart'!$C$2:$U$20,2,false)</f>
        <v>1</v>
      </c>
      <c r="V1146" s="960">
        <f t="array" ref="V1146">HLOOKUP($J1146,'Type Chart'!$C$2:$T$20,3,false)*HLOOKUP($K1146,'Type Chart'!$C$2:$U$20,3,false)</f>
        <v>2</v>
      </c>
      <c r="W1146" s="960">
        <f t="array" ref="W1146">HLOOKUP($J1146,'Type Chart'!$C$2:$T$20,4,false)*HLOOKUP($K1146,'Type Chart'!$C$2:$U$20,4,false)</f>
        <v>1</v>
      </c>
      <c r="X1146" s="960">
        <f t="array" ref="X1146">HLOOKUP($J1146,'Type Chart'!$C$2:$T$20,5,false)*HLOOKUP($K1146,'Type Chart'!$C$2:$U$20,5,false)</f>
        <v>1</v>
      </c>
      <c r="Y1146" s="960">
        <f t="array" ref="Y1146">HLOOKUP($J1146,'Type Chart'!$C$2:$T$20,6,false)*HLOOKUP($K1146,'Type Chart'!$C$2:$U$20,6,false)</f>
        <v>1</v>
      </c>
      <c r="Z1146" s="960">
        <f t="array" ref="Z1146">HLOOKUP($J1146,'Type Chart'!$C$2:$T$20,7,false)*HLOOKUP($K1146,'Type Chart'!$C$2:$U$20,7,false)</f>
        <v>1</v>
      </c>
      <c r="AA1146" s="960">
        <f t="array" ref="AA1146">HLOOKUP($J1146,'Type Chart'!$C$2:$T$20,8,false)*HLOOKUP($K1146,'Type Chart'!$C$2:$U$20,8,false)</f>
        <v>1</v>
      </c>
      <c r="AB1146" s="960">
        <f t="array" ref="AB1146">HLOOKUP($J1146,'Type Chart'!$C$2:$T$20,9,false)*HLOOKUP($K1146,'Type Chart'!$C$2:$U$20,9,false)</f>
        <v>0</v>
      </c>
      <c r="AC1146" s="960">
        <f t="array" ref="AC1146">HLOOKUP($J1146,'Type Chart'!$C$2:$T$20,10,false)*HLOOKUP($K1146,'Type Chart'!$C$2:$U$20,10,false)</f>
        <v>1</v>
      </c>
      <c r="AD1146" s="960">
        <f t="array" ref="AD1146">HLOOKUP($J1146,'Type Chart'!$C$2:$T$20,11,false)*HLOOKUP($K1146,'Type Chart'!$C$2:$U$20,11,false)</f>
        <v>1</v>
      </c>
      <c r="AE1146" s="960">
        <f t="array" ref="AE1146">HLOOKUP($J1146,'Type Chart'!$C$2:$T$20,12,false)*HLOOKUP($K1146,'Type Chart'!$C$2:$U$20,12,false)</f>
        <v>1</v>
      </c>
      <c r="AF1146" s="960">
        <f t="array" ref="AF1146">HLOOKUP($J1146,'Type Chart'!$C$2:$T$20,13,false)*HLOOKUP($K1146,'Type Chart'!$C$2:$U$20,13,false)</f>
        <v>1</v>
      </c>
      <c r="AG1146" s="960">
        <f t="array" ref="AG1146">HLOOKUP($J1146,'Type Chart'!$C$2:$T$20,14,false)*HLOOKUP($K1146,'Type Chart'!$C$2:$U$20,14,false)</f>
        <v>1</v>
      </c>
      <c r="AH1146" s="960">
        <f t="array" ref="AH1146">HLOOKUP($J1146,'Type Chart'!$C$2:$T$20,15,false)*HLOOKUP($K1146,'Type Chart'!$C$2:$U$20,15,false)</f>
        <v>1</v>
      </c>
      <c r="AI1146" s="960">
        <f t="array" ref="AI1146">HLOOKUP($J1146,'Type Chart'!$C$2:$T$20,16,false)*HLOOKUP($K1146,'Type Chart'!$C$2:$U$20,16,false)</f>
        <v>1</v>
      </c>
      <c r="AJ1146" s="960">
        <f t="array" ref="AJ1146">HLOOKUP($J1146,'Type Chart'!$C$2:$T$20,17,false)*HLOOKUP($K1146,'Type Chart'!$C$2:$U$20,17,false)</f>
        <v>1</v>
      </c>
      <c r="AK1146" s="960">
        <f t="array" ref="AK1146">HLOOKUP($J1146,'Type Chart'!$C$2:$T$20,18,false)*HLOOKUP($K1146,'Type Chart'!$C$2:$U$20,18,false)</f>
        <v>1</v>
      </c>
      <c r="AL1146" s="960">
        <f t="array" ref="AL1146">HLOOKUP($J1146,'Type Chart'!$C$2:$T$20,19,false)*HLOOKUP($K1146,'Type Chart'!$C$2:$U$20,19,false)</f>
        <v>1</v>
      </c>
      <c r="AM1146" s="964" t="s">
        <v>3373</v>
      </c>
      <c r="AN1146" s="964" t="s">
        <v>1044</v>
      </c>
      <c r="AO1146" s="966" t="s">
        <v>760</v>
      </c>
      <c r="AP1146" s="936"/>
      <c r="AQ1146" s="967"/>
      <c r="AR1146" s="968"/>
      <c r="AS1146" s="936"/>
    </row>
    <row r="1147" ht="15.75" customHeight="1">
      <c r="A1147" s="936"/>
      <c r="B1147" s="948">
        <v>916.0</v>
      </c>
      <c r="C1147" s="950" t="s">
        <v>4165</v>
      </c>
      <c r="D1147" s="950" t="s">
        <v>4165</v>
      </c>
      <c r="E1147" s="952" t="s">
        <v>4165</v>
      </c>
      <c r="F1147" s="940"/>
      <c r="G1147" s="953"/>
      <c r="H1147" s="969"/>
      <c r="I1147" s="956" t="s">
        <v>769</v>
      </c>
      <c r="J1147" s="1194" t="s">
        <v>136</v>
      </c>
      <c r="K1147" s="1235" t="s">
        <v>216</v>
      </c>
      <c r="L1147" s="959">
        <v>110.0</v>
      </c>
      <c r="M1147" s="960">
        <v>100.0</v>
      </c>
      <c r="N1147" s="960">
        <v>75.0</v>
      </c>
      <c r="O1147" s="960">
        <v>59.0</v>
      </c>
      <c r="P1147" s="960">
        <v>80.0</v>
      </c>
      <c r="Q1147" s="960">
        <v>65.0</v>
      </c>
      <c r="R1147" s="960">
        <v>166.0</v>
      </c>
      <c r="S1147" s="960">
        <v>229.0</v>
      </c>
      <c r="T1147" s="960">
        <v>251.0</v>
      </c>
      <c r="U1147" s="960">
        <f t="array" ref="U1147">HLOOKUP($J1147,'Type Chart'!$C$2:$T$20,2,false)*HLOOKUP($K1147,'Type Chart'!$C$2:$U$20,2,false)</f>
        <v>1</v>
      </c>
      <c r="V1147" s="960">
        <f t="array" ref="V1147">HLOOKUP($J1147,'Type Chart'!$C$2:$T$20,3,false)*HLOOKUP($K1147,'Type Chart'!$C$2:$U$20,3,false)</f>
        <v>2</v>
      </c>
      <c r="W1147" s="960">
        <f t="array" ref="W1147">HLOOKUP($J1147,'Type Chart'!$C$2:$T$20,4,false)*HLOOKUP($K1147,'Type Chart'!$C$2:$U$20,4,false)</f>
        <v>1</v>
      </c>
      <c r="X1147" s="960">
        <f t="array" ref="X1147">HLOOKUP($J1147,'Type Chart'!$C$2:$T$20,5,false)*HLOOKUP($K1147,'Type Chart'!$C$2:$U$20,5,false)</f>
        <v>1</v>
      </c>
      <c r="Y1147" s="960">
        <f t="array" ref="Y1147">HLOOKUP($J1147,'Type Chart'!$C$2:$T$20,6,false)*HLOOKUP($K1147,'Type Chart'!$C$2:$U$20,6,false)</f>
        <v>1</v>
      </c>
      <c r="Z1147" s="960">
        <f t="array" ref="Z1147">HLOOKUP($J1147,'Type Chart'!$C$2:$T$20,7,false)*HLOOKUP($K1147,'Type Chart'!$C$2:$U$20,7,false)</f>
        <v>1</v>
      </c>
      <c r="AA1147" s="960">
        <f t="array" ref="AA1147">HLOOKUP($J1147,'Type Chart'!$C$2:$T$20,8,false)*HLOOKUP($K1147,'Type Chart'!$C$2:$U$20,8,false)</f>
        <v>1</v>
      </c>
      <c r="AB1147" s="960">
        <f t="array" ref="AB1147">HLOOKUP($J1147,'Type Chart'!$C$2:$T$20,9,false)*HLOOKUP($K1147,'Type Chart'!$C$2:$U$20,9,false)</f>
        <v>0</v>
      </c>
      <c r="AC1147" s="960">
        <f t="array" ref="AC1147">HLOOKUP($J1147,'Type Chart'!$C$2:$T$20,10,false)*HLOOKUP($K1147,'Type Chart'!$C$2:$U$20,10,false)</f>
        <v>1</v>
      </c>
      <c r="AD1147" s="960">
        <f t="array" ref="AD1147">HLOOKUP($J1147,'Type Chart'!$C$2:$T$20,11,false)*HLOOKUP($K1147,'Type Chart'!$C$2:$U$20,11,false)</f>
        <v>1</v>
      </c>
      <c r="AE1147" s="960">
        <f t="array" ref="AE1147">HLOOKUP($J1147,'Type Chart'!$C$2:$T$20,12,false)*HLOOKUP($K1147,'Type Chart'!$C$2:$U$20,12,false)</f>
        <v>1</v>
      </c>
      <c r="AF1147" s="960">
        <f t="array" ref="AF1147">HLOOKUP($J1147,'Type Chart'!$C$2:$T$20,13,false)*HLOOKUP($K1147,'Type Chart'!$C$2:$U$20,13,false)</f>
        <v>1</v>
      </c>
      <c r="AG1147" s="960">
        <f t="array" ref="AG1147">HLOOKUP($J1147,'Type Chart'!$C$2:$T$20,14,false)*HLOOKUP($K1147,'Type Chart'!$C$2:$U$20,14,false)</f>
        <v>1</v>
      </c>
      <c r="AH1147" s="960">
        <f t="array" ref="AH1147">HLOOKUP($J1147,'Type Chart'!$C$2:$T$20,15,false)*HLOOKUP($K1147,'Type Chart'!$C$2:$U$20,15,false)</f>
        <v>1</v>
      </c>
      <c r="AI1147" s="960">
        <f t="array" ref="AI1147">HLOOKUP($J1147,'Type Chart'!$C$2:$T$20,16,false)*HLOOKUP($K1147,'Type Chart'!$C$2:$U$20,16,false)</f>
        <v>1</v>
      </c>
      <c r="AJ1147" s="960">
        <f t="array" ref="AJ1147">HLOOKUP($J1147,'Type Chart'!$C$2:$T$20,17,false)*HLOOKUP($K1147,'Type Chart'!$C$2:$U$20,17,false)</f>
        <v>1</v>
      </c>
      <c r="AK1147" s="960">
        <f t="array" ref="AK1147">HLOOKUP($J1147,'Type Chart'!$C$2:$T$20,18,false)*HLOOKUP($K1147,'Type Chart'!$C$2:$U$20,18,false)</f>
        <v>1</v>
      </c>
      <c r="AL1147" s="960">
        <f t="array" ref="AL1147">HLOOKUP($J1147,'Type Chart'!$C$2:$T$20,19,false)*HLOOKUP($K1147,'Type Chart'!$C$2:$U$20,19,false)</f>
        <v>1</v>
      </c>
      <c r="AM1147" s="964" t="s">
        <v>4166</v>
      </c>
      <c r="AN1147" s="964" t="s">
        <v>1044</v>
      </c>
      <c r="AO1147" s="966" t="s">
        <v>760</v>
      </c>
      <c r="AP1147" s="936"/>
      <c r="AQ1147" s="967"/>
      <c r="AR1147" s="968"/>
      <c r="AS1147" s="936"/>
    </row>
    <row r="1148" ht="15.75" customHeight="1">
      <c r="A1148" s="936"/>
      <c r="B1148" s="948" t="s">
        <v>4167</v>
      </c>
      <c r="C1148" s="950" t="s">
        <v>4168</v>
      </c>
      <c r="D1148" s="950" t="s">
        <v>4169</v>
      </c>
      <c r="E1148" s="952" t="s">
        <v>4168</v>
      </c>
      <c r="F1148" s="940"/>
      <c r="G1148" s="953"/>
      <c r="H1148" s="969"/>
      <c r="I1148" s="956" t="s">
        <v>4170</v>
      </c>
      <c r="J1148" s="1194" t="s">
        <v>136</v>
      </c>
      <c r="K1148" s="1235" t="s">
        <v>216</v>
      </c>
      <c r="L1148" s="959">
        <v>125.0</v>
      </c>
      <c r="M1148" s="960">
        <v>100.0</v>
      </c>
      <c r="N1148" s="960">
        <v>80.0</v>
      </c>
      <c r="O1148" s="960">
        <v>85.0</v>
      </c>
      <c r="P1148" s="960">
        <v>75.0</v>
      </c>
      <c r="Q1148" s="960">
        <v>55.0</v>
      </c>
      <c r="R1148" s="960">
        <v>146.0</v>
      </c>
      <c r="S1148" s="960">
        <v>209.0</v>
      </c>
      <c r="T1148" s="960">
        <v>229.0</v>
      </c>
      <c r="U1148" s="960">
        <f t="array" ref="U1148">HLOOKUP($J1148,'Type Chart'!$C$2:$T$20,2,false)*HLOOKUP($K1148,'Type Chart'!$C$2:$U$20,2,false)</f>
        <v>1</v>
      </c>
      <c r="V1148" s="960">
        <f t="array" ref="V1148">HLOOKUP($J1148,'Type Chart'!$C$2:$T$20,3,false)*HLOOKUP($K1148,'Type Chart'!$C$2:$U$20,3,false)</f>
        <v>2</v>
      </c>
      <c r="W1148" s="960">
        <f t="array" ref="W1148">HLOOKUP($J1148,'Type Chart'!$C$2:$T$20,4,false)*HLOOKUP($K1148,'Type Chart'!$C$2:$U$20,4,false)</f>
        <v>1</v>
      </c>
      <c r="X1148" s="960">
        <f t="array" ref="X1148">HLOOKUP($J1148,'Type Chart'!$C$2:$T$20,5,false)*HLOOKUP($K1148,'Type Chart'!$C$2:$U$20,5,false)</f>
        <v>1</v>
      </c>
      <c r="Y1148" s="960">
        <f t="array" ref="Y1148">HLOOKUP($J1148,'Type Chart'!$C$2:$T$20,6,false)*HLOOKUP($K1148,'Type Chart'!$C$2:$U$20,6,false)</f>
        <v>1</v>
      </c>
      <c r="Z1148" s="960">
        <f t="array" ref="Z1148">HLOOKUP($J1148,'Type Chart'!$C$2:$T$20,7,false)*HLOOKUP($K1148,'Type Chart'!$C$2:$U$20,7,false)</f>
        <v>1</v>
      </c>
      <c r="AA1148" s="960">
        <f t="array" ref="AA1148">HLOOKUP($J1148,'Type Chart'!$C$2:$T$20,8,false)*HLOOKUP($K1148,'Type Chart'!$C$2:$U$20,8,false)</f>
        <v>1</v>
      </c>
      <c r="AB1148" s="960">
        <f t="array" ref="AB1148">HLOOKUP($J1148,'Type Chart'!$C$2:$T$20,9,false)*HLOOKUP($K1148,'Type Chart'!$C$2:$U$20,9,false)</f>
        <v>0</v>
      </c>
      <c r="AC1148" s="960">
        <f t="array" ref="AC1148">HLOOKUP($J1148,'Type Chart'!$C$2:$T$20,10,false)*HLOOKUP($K1148,'Type Chart'!$C$2:$U$20,10,false)</f>
        <v>1</v>
      </c>
      <c r="AD1148" s="960">
        <f t="array" ref="AD1148">HLOOKUP($J1148,'Type Chart'!$C$2:$T$20,11,false)*HLOOKUP($K1148,'Type Chart'!$C$2:$U$20,11,false)</f>
        <v>1</v>
      </c>
      <c r="AE1148" s="960">
        <f t="array" ref="AE1148">HLOOKUP($J1148,'Type Chart'!$C$2:$T$20,12,false)*HLOOKUP($K1148,'Type Chart'!$C$2:$U$20,12,false)</f>
        <v>1</v>
      </c>
      <c r="AF1148" s="960">
        <f t="array" ref="AF1148">HLOOKUP($J1148,'Type Chart'!$C$2:$T$20,13,false)*HLOOKUP($K1148,'Type Chart'!$C$2:$U$20,13,false)</f>
        <v>1</v>
      </c>
      <c r="AG1148" s="960">
        <f t="array" ref="AG1148">HLOOKUP($J1148,'Type Chart'!$C$2:$T$20,14,false)*HLOOKUP($K1148,'Type Chart'!$C$2:$U$20,14,false)</f>
        <v>1</v>
      </c>
      <c r="AH1148" s="960">
        <f t="array" ref="AH1148">HLOOKUP($J1148,'Type Chart'!$C$2:$T$20,15,false)*HLOOKUP($K1148,'Type Chart'!$C$2:$U$20,15,false)</f>
        <v>1</v>
      </c>
      <c r="AI1148" s="960">
        <f t="array" ref="AI1148">HLOOKUP($J1148,'Type Chart'!$C$2:$T$20,16,false)*HLOOKUP($K1148,'Type Chart'!$C$2:$U$20,16,false)</f>
        <v>1</v>
      </c>
      <c r="AJ1148" s="960">
        <f t="array" ref="AJ1148">HLOOKUP($J1148,'Type Chart'!$C$2:$T$20,17,false)*HLOOKUP($K1148,'Type Chart'!$C$2:$U$20,17,false)</f>
        <v>1</v>
      </c>
      <c r="AK1148" s="960">
        <f t="array" ref="AK1148">HLOOKUP($J1148,'Type Chart'!$C$2:$T$20,18,false)*HLOOKUP($K1148,'Type Chart'!$C$2:$U$20,18,false)</f>
        <v>1</v>
      </c>
      <c r="AL1148" s="960">
        <f t="array" ref="AL1148">HLOOKUP($J1148,'Type Chart'!$C$2:$T$20,19,false)*HLOOKUP($K1148,'Type Chart'!$C$2:$U$20,19,false)</f>
        <v>1</v>
      </c>
      <c r="AM1148" s="964" t="s">
        <v>3373</v>
      </c>
      <c r="AN1148" s="964" t="s">
        <v>1044</v>
      </c>
      <c r="AO1148" s="966" t="s">
        <v>760</v>
      </c>
      <c r="AP1148" s="936"/>
      <c r="AQ1148" s="967"/>
      <c r="AR1148" s="968"/>
      <c r="AS1148" s="936"/>
    </row>
    <row r="1149" ht="15.75" customHeight="1">
      <c r="A1149" s="936"/>
      <c r="B1149" s="948" t="s">
        <v>4171</v>
      </c>
      <c r="C1149" s="950" t="s">
        <v>4172</v>
      </c>
      <c r="D1149" s="950" t="s">
        <v>4172</v>
      </c>
      <c r="E1149" s="952" t="s">
        <v>4172</v>
      </c>
      <c r="F1149" s="940"/>
      <c r="G1149" s="953"/>
      <c r="H1149" s="969"/>
      <c r="I1149" s="956" t="s">
        <v>562</v>
      </c>
      <c r="J1149" s="1194" t="s">
        <v>136</v>
      </c>
      <c r="K1149" s="1235" t="s">
        <v>216</v>
      </c>
      <c r="L1149" s="959">
        <v>125.0</v>
      </c>
      <c r="M1149" s="960">
        <v>100.0</v>
      </c>
      <c r="N1149" s="960">
        <v>80.0</v>
      </c>
      <c r="O1149" s="960">
        <v>85.0</v>
      </c>
      <c r="P1149" s="960">
        <v>75.0</v>
      </c>
      <c r="Q1149" s="960">
        <v>55.0</v>
      </c>
      <c r="R1149" s="960">
        <v>146.0</v>
      </c>
      <c r="S1149" s="960">
        <v>209.0</v>
      </c>
      <c r="T1149" s="960">
        <v>229.0</v>
      </c>
      <c r="U1149" s="960">
        <f t="array" ref="U1149">HLOOKUP($J1149,'Type Chart'!$C$2:$T$20,2,false)*HLOOKUP($K1149,'Type Chart'!$C$2:$U$20,2,false)</f>
        <v>1</v>
      </c>
      <c r="V1149" s="960">
        <f t="array" ref="V1149">HLOOKUP($J1149,'Type Chart'!$C$2:$T$20,3,false)*HLOOKUP($K1149,'Type Chart'!$C$2:$U$20,3,false)</f>
        <v>2</v>
      </c>
      <c r="W1149" s="960">
        <f t="array" ref="W1149">HLOOKUP($J1149,'Type Chart'!$C$2:$T$20,4,false)*HLOOKUP($K1149,'Type Chart'!$C$2:$U$20,4,false)</f>
        <v>1</v>
      </c>
      <c r="X1149" s="960">
        <f t="array" ref="X1149">HLOOKUP($J1149,'Type Chart'!$C$2:$T$20,5,false)*HLOOKUP($K1149,'Type Chart'!$C$2:$U$20,5,false)</f>
        <v>1</v>
      </c>
      <c r="Y1149" s="960">
        <f t="array" ref="Y1149">HLOOKUP($J1149,'Type Chart'!$C$2:$T$20,6,false)*HLOOKUP($K1149,'Type Chart'!$C$2:$U$20,6,false)</f>
        <v>1</v>
      </c>
      <c r="Z1149" s="960">
        <f t="array" ref="Z1149">HLOOKUP($J1149,'Type Chart'!$C$2:$T$20,7,false)*HLOOKUP($K1149,'Type Chart'!$C$2:$U$20,7,false)</f>
        <v>1</v>
      </c>
      <c r="AA1149" s="960">
        <f t="array" ref="AA1149">HLOOKUP($J1149,'Type Chart'!$C$2:$T$20,8,false)*HLOOKUP($K1149,'Type Chart'!$C$2:$U$20,8,false)</f>
        <v>1</v>
      </c>
      <c r="AB1149" s="960">
        <f t="array" ref="AB1149">HLOOKUP($J1149,'Type Chart'!$C$2:$T$20,9,false)*HLOOKUP($K1149,'Type Chart'!$C$2:$U$20,9,false)</f>
        <v>0</v>
      </c>
      <c r="AC1149" s="960">
        <f t="array" ref="AC1149">HLOOKUP($J1149,'Type Chart'!$C$2:$T$20,10,false)*HLOOKUP($K1149,'Type Chart'!$C$2:$U$20,10,false)</f>
        <v>1</v>
      </c>
      <c r="AD1149" s="960">
        <f t="array" ref="AD1149">HLOOKUP($J1149,'Type Chart'!$C$2:$T$20,11,false)*HLOOKUP($K1149,'Type Chart'!$C$2:$U$20,11,false)</f>
        <v>1</v>
      </c>
      <c r="AE1149" s="960">
        <f t="array" ref="AE1149">HLOOKUP($J1149,'Type Chart'!$C$2:$T$20,12,false)*HLOOKUP($K1149,'Type Chart'!$C$2:$U$20,12,false)</f>
        <v>1</v>
      </c>
      <c r="AF1149" s="960">
        <f t="array" ref="AF1149">HLOOKUP($J1149,'Type Chart'!$C$2:$T$20,13,false)*HLOOKUP($K1149,'Type Chart'!$C$2:$U$20,13,false)</f>
        <v>1</v>
      </c>
      <c r="AG1149" s="960">
        <f t="array" ref="AG1149">HLOOKUP($J1149,'Type Chart'!$C$2:$T$20,14,false)*HLOOKUP($K1149,'Type Chart'!$C$2:$U$20,14,false)</f>
        <v>1</v>
      </c>
      <c r="AH1149" s="960">
        <f t="array" ref="AH1149">HLOOKUP($J1149,'Type Chart'!$C$2:$T$20,15,false)*HLOOKUP($K1149,'Type Chart'!$C$2:$U$20,15,false)</f>
        <v>1</v>
      </c>
      <c r="AI1149" s="960">
        <f t="array" ref="AI1149">HLOOKUP($J1149,'Type Chart'!$C$2:$T$20,16,false)*HLOOKUP($K1149,'Type Chart'!$C$2:$U$20,16,false)</f>
        <v>1</v>
      </c>
      <c r="AJ1149" s="960">
        <f t="array" ref="AJ1149">HLOOKUP($J1149,'Type Chart'!$C$2:$T$20,17,false)*HLOOKUP($K1149,'Type Chart'!$C$2:$U$20,17,false)</f>
        <v>1</v>
      </c>
      <c r="AK1149" s="960">
        <f t="array" ref="AK1149">HLOOKUP($J1149,'Type Chart'!$C$2:$T$20,18,false)*HLOOKUP($K1149,'Type Chart'!$C$2:$U$20,18,false)</f>
        <v>1</v>
      </c>
      <c r="AL1149" s="960">
        <f t="array" ref="AL1149">HLOOKUP($J1149,'Type Chart'!$C$2:$T$20,19,false)*HLOOKUP($K1149,'Type Chart'!$C$2:$U$20,19,false)</f>
        <v>1</v>
      </c>
      <c r="AM1149" s="964" t="s">
        <v>1521</v>
      </c>
      <c r="AN1149" s="964" t="s">
        <v>988</v>
      </c>
      <c r="AO1149" s="966" t="s">
        <v>1243</v>
      </c>
      <c r="AP1149" s="936"/>
      <c r="AQ1149" s="967"/>
      <c r="AR1149" s="968"/>
      <c r="AS1149" s="936"/>
    </row>
    <row r="1150" ht="15.75" customHeight="1">
      <c r="A1150" s="1099"/>
      <c r="B1150" s="948">
        <v>918.0</v>
      </c>
      <c r="C1150" s="1197" t="s">
        <v>4173</v>
      </c>
      <c r="D1150" s="1197" t="s">
        <v>4173</v>
      </c>
      <c r="E1150" s="1147" t="s">
        <v>4173</v>
      </c>
      <c r="F1150" s="940"/>
      <c r="G1150" s="953"/>
      <c r="H1150" s="969"/>
      <c r="I1150" s="998" t="s">
        <v>4174</v>
      </c>
      <c r="J1150" s="1225" t="s">
        <v>343</v>
      </c>
      <c r="K1150" s="1235" t="s">
        <v>216</v>
      </c>
      <c r="L1150" s="1200">
        <v>35.0</v>
      </c>
      <c r="M1150" s="1201">
        <v>41.0</v>
      </c>
      <c r="N1150" s="1201">
        <v>45.0</v>
      </c>
      <c r="O1150" s="1201">
        <v>29.0</v>
      </c>
      <c r="P1150" s="1201">
        <v>40.0</v>
      </c>
      <c r="Q1150" s="1201">
        <v>20.0</v>
      </c>
      <c r="R1150" s="960">
        <v>76.0</v>
      </c>
      <c r="S1150" s="960">
        <v>139.0</v>
      </c>
      <c r="T1150" s="960">
        <v>152.0</v>
      </c>
      <c r="U1150" s="960">
        <f t="array" ref="U1150">HLOOKUP($J1150,'Type Chart'!$C$2:$T$20,2,false)*HLOOKUP($K1150,'Type Chart'!$C$2:$U$20,2,false)</f>
        <v>1</v>
      </c>
      <c r="V1150" s="960">
        <f t="array" ref="V1150">HLOOKUP($J1150,'Type Chart'!$C$2:$T$20,3,false)*HLOOKUP($K1150,'Type Chart'!$C$2:$U$20,3,false)</f>
        <v>0.5</v>
      </c>
      <c r="W1150" s="960">
        <f t="array" ref="W1150">HLOOKUP($J1150,'Type Chart'!$C$2:$T$20,4,false)*HLOOKUP($K1150,'Type Chart'!$C$2:$U$20,4,false)</f>
        <v>2</v>
      </c>
      <c r="X1150" s="960">
        <f t="array" ref="X1150">HLOOKUP($J1150,'Type Chart'!$C$2:$T$20,5,false)*HLOOKUP($K1150,'Type Chart'!$C$2:$U$20,5,false)</f>
        <v>1</v>
      </c>
      <c r="Y1150" s="960">
        <f t="array" ref="Y1150">HLOOKUP($J1150,'Type Chart'!$C$2:$T$20,6,false)*HLOOKUP($K1150,'Type Chart'!$C$2:$U$20,6,false)</f>
        <v>0.5</v>
      </c>
      <c r="Z1150" s="960">
        <f t="array" ref="Z1150">HLOOKUP($J1150,'Type Chart'!$C$2:$T$20,7,false)*HLOOKUP($K1150,'Type Chart'!$C$2:$U$20,7,false)</f>
        <v>2</v>
      </c>
      <c r="AA1150" s="960">
        <f t="array" ref="AA1150">HLOOKUP($J1150,'Type Chart'!$C$2:$T$20,8,false)*HLOOKUP($K1150,'Type Chart'!$C$2:$U$20,8,false)</f>
        <v>1</v>
      </c>
      <c r="AB1150" s="960">
        <f t="array" ref="AB1150">HLOOKUP($J1150,'Type Chart'!$C$2:$T$20,9,false)*HLOOKUP($K1150,'Type Chart'!$C$2:$U$20,9,false)</f>
        <v>1</v>
      </c>
      <c r="AC1150" s="960">
        <f t="array" ref="AC1150">HLOOKUP($J1150,'Type Chart'!$C$2:$T$20,10,false)*HLOOKUP($K1150,'Type Chart'!$C$2:$U$20,10,false)</f>
        <v>1</v>
      </c>
      <c r="AD1150" s="960">
        <f t="array" ref="AD1150">HLOOKUP($J1150,'Type Chart'!$C$2:$T$20,11,false)*HLOOKUP($K1150,'Type Chart'!$C$2:$U$20,11,false)</f>
        <v>2</v>
      </c>
      <c r="AE1150" s="960">
        <f t="array" ref="AE1150">HLOOKUP($J1150,'Type Chart'!$C$2:$T$20,12,false)*HLOOKUP($K1150,'Type Chart'!$C$2:$U$20,12,false)</f>
        <v>1</v>
      </c>
      <c r="AF1150" s="960">
        <f t="array" ref="AF1150">HLOOKUP($J1150,'Type Chart'!$C$2:$T$20,13,false)*HLOOKUP($K1150,'Type Chart'!$C$2:$U$20,13,false)</f>
        <v>0.5</v>
      </c>
      <c r="AG1150" s="960">
        <f t="array" ref="AG1150">HLOOKUP($J1150,'Type Chart'!$C$2:$T$20,14,false)*HLOOKUP($K1150,'Type Chart'!$C$2:$U$20,14,false)</f>
        <v>1</v>
      </c>
      <c r="AH1150" s="960">
        <f t="array" ref="AH1150">HLOOKUP($J1150,'Type Chart'!$C$2:$T$20,15,false)*HLOOKUP($K1150,'Type Chart'!$C$2:$U$20,15,false)</f>
        <v>1</v>
      </c>
      <c r="AI1150" s="960">
        <f t="array" ref="AI1150">HLOOKUP($J1150,'Type Chart'!$C$2:$T$20,16,false)*HLOOKUP($K1150,'Type Chart'!$C$2:$U$20,16,false)</f>
        <v>1</v>
      </c>
      <c r="AJ1150" s="960">
        <f t="array" ref="AJ1150">HLOOKUP($J1150,'Type Chart'!$C$2:$T$20,17,false)*HLOOKUP($K1150,'Type Chart'!$C$2:$U$20,17,false)</f>
        <v>1</v>
      </c>
      <c r="AK1150" s="960">
        <f t="array" ref="AK1150">HLOOKUP($J1150,'Type Chart'!$C$2:$T$20,18,false)*HLOOKUP($K1150,'Type Chart'!$C$2:$U$20,18,false)</f>
        <v>1</v>
      </c>
      <c r="AL1150" s="960">
        <f t="array" ref="AL1150">HLOOKUP($J1150,'Type Chart'!$C$2:$T$20,19,false)*HLOOKUP($K1150,'Type Chart'!$C$2:$U$20,19,false)</f>
        <v>1</v>
      </c>
      <c r="AM1150" s="1145" t="s">
        <v>1454</v>
      </c>
      <c r="AN1150" s="1145"/>
      <c r="AO1150" s="1146" t="s">
        <v>3548</v>
      </c>
      <c r="AP1150" s="936"/>
      <c r="AQ1150" s="967"/>
      <c r="AR1150" s="968"/>
      <c r="AS1150" s="936"/>
    </row>
    <row r="1151" ht="15.75" customHeight="1">
      <c r="A1151" s="936"/>
      <c r="B1151" s="948">
        <v>919.0</v>
      </c>
      <c r="C1151" s="950" t="s">
        <v>4175</v>
      </c>
      <c r="D1151" s="950" t="s">
        <v>4175</v>
      </c>
      <c r="E1151" s="952" t="s">
        <v>4175</v>
      </c>
      <c r="F1151" s="940"/>
      <c r="G1151" s="953"/>
      <c r="H1151" s="969"/>
      <c r="I1151" s="956" t="s">
        <v>774</v>
      </c>
      <c r="J1151" s="1180" t="s">
        <v>343</v>
      </c>
      <c r="K1151" s="1235" t="s">
        <v>216</v>
      </c>
      <c r="L1151" s="959">
        <v>60.0</v>
      </c>
      <c r="M1151" s="960">
        <v>79.0</v>
      </c>
      <c r="N1151" s="960">
        <v>92.0</v>
      </c>
      <c r="O1151" s="960">
        <v>52.0</v>
      </c>
      <c r="P1151" s="960">
        <v>86.0</v>
      </c>
      <c r="Q1151" s="960">
        <v>35.0</v>
      </c>
      <c r="R1151" s="960">
        <v>106.0</v>
      </c>
      <c r="S1151" s="960">
        <v>169.0</v>
      </c>
      <c r="T1151" s="960">
        <v>185.0</v>
      </c>
      <c r="U1151" s="960">
        <f t="array" ref="U1151">HLOOKUP($J1151,'Type Chart'!$C$2:$T$20,2,false)*HLOOKUP($K1151,'Type Chart'!$C$2:$U$20,2,false)</f>
        <v>1</v>
      </c>
      <c r="V1151" s="960">
        <f t="array" ref="V1151">HLOOKUP($J1151,'Type Chart'!$C$2:$T$20,3,false)*HLOOKUP($K1151,'Type Chart'!$C$2:$U$20,3,false)</f>
        <v>0.5</v>
      </c>
      <c r="W1151" s="960">
        <f t="array" ref="W1151">HLOOKUP($J1151,'Type Chart'!$C$2:$T$20,4,false)*HLOOKUP($K1151,'Type Chart'!$C$2:$U$20,4,false)</f>
        <v>2</v>
      </c>
      <c r="X1151" s="960">
        <f t="array" ref="X1151">HLOOKUP($J1151,'Type Chart'!$C$2:$T$20,5,false)*HLOOKUP($K1151,'Type Chart'!$C$2:$U$20,5,false)</f>
        <v>1</v>
      </c>
      <c r="Y1151" s="960">
        <f t="array" ref="Y1151">HLOOKUP($J1151,'Type Chart'!$C$2:$T$20,6,false)*HLOOKUP($K1151,'Type Chart'!$C$2:$U$20,6,false)</f>
        <v>0.5</v>
      </c>
      <c r="Z1151" s="960">
        <f t="array" ref="Z1151">HLOOKUP($J1151,'Type Chart'!$C$2:$T$20,7,false)*HLOOKUP($K1151,'Type Chart'!$C$2:$U$20,7,false)</f>
        <v>2</v>
      </c>
      <c r="AA1151" s="960">
        <f t="array" ref="AA1151">HLOOKUP($J1151,'Type Chart'!$C$2:$T$20,8,false)*HLOOKUP($K1151,'Type Chart'!$C$2:$U$20,8,false)</f>
        <v>1</v>
      </c>
      <c r="AB1151" s="960">
        <f t="array" ref="AB1151">HLOOKUP($J1151,'Type Chart'!$C$2:$T$20,9,false)*HLOOKUP($K1151,'Type Chart'!$C$2:$U$20,9,false)</f>
        <v>1</v>
      </c>
      <c r="AC1151" s="960">
        <f t="array" ref="AC1151">HLOOKUP($J1151,'Type Chart'!$C$2:$T$20,10,false)*HLOOKUP($K1151,'Type Chart'!$C$2:$U$20,10,false)</f>
        <v>1</v>
      </c>
      <c r="AD1151" s="960">
        <f t="array" ref="AD1151">HLOOKUP($J1151,'Type Chart'!$C$2:$T$20,11,false)*HLOOKUP($K1151,'Type Chart'!$C$2:$U$20,11,false)</f>
        <v>2</v>
      </c>
      <c r="AE1151" s="960">
        <f t="array" ref="AE1151">HLOOKUP($J1151,'Type Chart'!$C$2:$T$20,12,false)*HLOOKUP($K1151,'Type Chart'!$C$2:$U$20,12,false)</f>
        <v>1</v>
      </c>
      <c r="AF1151" s="960">
        <f t="array" ref="AF1151">HLOOKUP($J1151,'Type Chart'!$C$2:$T$20,13,false)*HLOOKUP($K1151,'Type Chart'!$C$2:$U$20,13,false)</f>
        <v>0.5</v>
      </c>
      <c r="AG1151" s="960">
        <f t="array" ref="AG1151">HLOOKUP($J1151,'Type Chart'!$C$2:$T$20,14,false)*HLOOKUP($K1151,'Type Chart'!$C$2:$U$20,14,false)</f>
        <v>1</v>
      </c>
      <c r="AH1151" s="960">
        <f t="array" ref="AH1151">HLOOKUP($J1151,'Type Chart'!$C$2:$T$20,15,false)*HLOOKUP($K1151,'Type Chart'!$C$2:$U$20,15,false)</f>
        <v>1</v>
      </c>
      <c r="AI1151" s="960">
        <f t="array" ref="AI1151">HLOOKUP($J1151,'Type Chart'!$C$2:$T$20,16,false)*HLOOKUP($K1151,'Type Chart'!$C$2:$U$20,16,false)</f>
        <v>1</v>
      </c>
      <c r="AJ1151" s="960">
        <f t="array" ref="AJ1151">HLOOKUP($J1151,'Type Chart'!$C$2:$T$20,17,false)*HLOOKUP($K1151,'Type Chart'!$C$2:$U$20,17,false)</f>
        <v>1</v>
      </c>
      <c r="AK1151" s="960">
        <f t="array" ref="AK1151">HLOOKUP($J1151,'Type Chart'!$C$2:$T$20,18,false)*HLOOKUP($K1151,'Type Chart'!$C$2:$U$20,18,false)</f>
        <v>1</v>
      </c>
      <c r="AL1151" s="960">
        <f t="array" ref="AL1151">HLOOKUP($J1151,'Type Chart'!$C$2:$T$20,19,false)*HLOOKUP($K1151,'Type Chart'!$C$2:$U$20,19,false)</f>
        <v>1</v>
      </c>
      <c r="AM1151" s="964" t="s">
        <v>1454</v>
      </c>
      <c r="AN1151" s="964"/>
      <c r="AO1151" s="966" t="s">
        <v>3548</v>
      </c>
      <c r="AP1151" s="936"/>
      <c r="AQ1151" s="967"/>
      <c r="AR1151" s="968"/>
      <c r="AS1151" s="936"/>
    </row>
    <row r="1152" ht="15.75" customHeight="1">
      <c r="A1152" s="1099"/>
      <c r="B1152" s="948">
        <v>920.0</v>
      </c>
      <c r="C1152" s="1197" t="s">
        <v>4176</v>
      </c>
      <c r="D1152" s="1197" t="s">
        <v>4176</v>
      </c>
      <c r="E1152" s="1147" t="s">
        <v>4176</v>
      </c>
      <c r="F1152" s="940"/>
      <c r="G1152" s="953"/>
      <c r="H1152" s="969"/>
      <c r="I1152" s="998" t="s">
        <v>4177</v>
      </c>
      <c r="J1152" s="1225" t="s">
        <v>343</v>
      </c>
      <c r="K1152" s="1235" t="s">
        <v>216</v>
      </c>
      <c r="L1152" s="1200">
        <v>33.0</v>
      </c>
      <c r="M1152" s="1201">
        <v>46.0</v>
      </c>
      <c r="N1152" s="1201">
        <v>40.0</v>
      </c>
      <c r="O1152" s="1201">
        <v>21.0</v>
      </c>
      <c r="P1152" s="1201">
        <v>25.0</v>
      </c>
      <c r="Q1152" s="1201">
        <v>45.0</v>
      </c>
      <c r="R1152" s="960">
        <v>126.0</v>
      </c>
      <c r="S1152" s="960">
        <v>189.0</v>
      </c>
      <c r="T1152" s="960">
        <v>207.0</v>
      </c>
      <c r="U1152" s="960">
        <f t="array" ref="U1152">HLOOKUP($J1152,'Type Chart'!$C$2:$T$20,2,false)*HLOOKUP($K1152,'Type Chart'!$C$2:$U$20,2,false)</f>
        <v>1</v>
      </c>
      <c r="V1152" s="960">
        <f t="array" ref="V1152">HLOOKUP($J1152,'Type Chart'!$C$2:$T$20,3,false)*HLOOKUP($K1152,'Type Chart'!$C$2:$U$20,3,false)</f>
        <v>0.5</v>
      </c>
      <c r="W1152" s="960">
        <f t="array" ref="W1152">HLOOKUP($J1152,'Type Chart'!$C$2:$T$20,4,false)*HLOOKUP($K1152,'Type Chart'!$C$2:$U$20,4,false)</f>
        <v>2</v>
      </c>
      <c r="X1152" s="960">
        <f t="array" ref="X1152">HLOOKUP($J1152,'Type Chart'!$C$2:$T$20,5,false)*HLOOKUP($K1152,'Type Chart'!$C$2:$U$20,5,false)</f>
        <v>1</v>
      </c>
      <c r="Y1152" s="960">
        <f t="array" ref="Y1152">HLOOKUP($J1152,'Type Chart'!$C$2:$T$20,6,false)*HLOOKUP($K1152,'Type Chart'!$C$2:$U$20,6,false)</f>
        <v>0.5</v>
      </c>
      <c r="Z1152" s="960">
        <f t="array" ref="Z1152">HLOOKUP($J1152,'Type Chart'!$C$2:$T$20,7,false)*HLOOKUP($K1152,'Type Chart'!$C$2:$U$20,7,false)</f>
        <v>2</v>
      </c>
      <c r="AA1152" s="960">
        <f t="array" ref="AA1152">HLOOKUP($J1152,'Type Chart'!$C$2:$T$20,8,false)*HLOOKUP($K1152,'Type Chart'!$C$2:$U$20,8,false)</f>
        <v>1</v>
      </c>
      <c r="AB1152" s="960">
        <f t="array" ref="AB1152">HLOOKUP($J1152,'Type Chart'!$C$2:$T$20,9,false)*HLOOKUP($K1152,'Type Chart'!$C$2:$U$20,9,false)</f>
        <v>1</v>
      </c>
      <c r="AC1152" s="960">
        <f t="array" ref="AC1152">HLOOKUP($J1152,'Type Chart'!$C$2:$T$20,10,false)*HLOOKUP($K1152,'Type Chart'!$C$2:$U$20,10,false)</f>
        <v>1</v>
      </c>
      <c r="AD1152" s="960">
        <f t="array" ref="AD1152">HLOOKUP($J1152,'Type Chart'!$C$2:$T$20,11,false)*HLOOKUP($K1152,'Type Chart'!$C$2:$U$20,11,false)</f>
        <v>2</v>
      </c>
      <c r="AE1152" s="960">
        <f t="array" ref="AE1152">HLOOKUP($J1152,'Type Chart'!$C$2:$T$20,12,false)*HLOOKUP($K1152,'Type Chart'!$C$2:$U$20,12,false)</f>
        <v>1</v>
      </c>
      <c r="AF1152" s="960">
        <f t="array" ref="AF1152">HLOOKUP($J1152,'Type Chart'!$C$2:$T$20,13,false)*HLOOKUP($K1152,'Type Chart'!$C$2:$U$20,13,false)</f>
        <v>0.5</v>
      </c>
      <c r="AG1152" s="960">
        <f t="array" ref="AG1152">HLOOKUP($J1152,'Type Chart'!$C$2:$T$20,14,false)*HLOOKUP($K1152,'Type Chart'!$C$2:$U$20,14,false)</f>
        <v>1</v>
      </c>
      <c r="AH1152" s="960">
        <f t="array" ref="AH1152">HLOOKUP($J1152,'Type Chart'!$C$2:$T$20,15,false)*HLOOKUP($K1152,'Type Chart'!$C$2:$U$20,15,false)</f>
        <v>1</v>
      </c>
      <c r="AI1152" s="960">
        <f t="array" ref="AI1152">HLOOKUP($J1152,'Type Chart'!$C$2:$T$20,16,false)*HLOOKUP($K1152,'Type Chart'!$C$2:$U$20,16,false)</f>
        <v>1</v>
      </c>
      <c r="AJ1152" s="960">
        <f t="array" ref="AJ1152">HLOOKUP($J1152,'Type Chart'!$C$2:$T$20,17,false)*HLOOKUP($K1152,'Type Chart'!$C$2:$U$20,17,false)</f>
        <v>1</v>
      </c>
      <c r="AK1152" s="960">
        <f t="array" ref="AK1152">HLOOKUP($J1152,'Type Chart'!$C$2:$T$20,18,false)*HLOOKUP($K1152,'Type Chart'!$C$2:$U$20,18,false)</f>
        <v>1</v>
      </c>
      <c r="AL1152" s="960">
        <f t="array" ref="AL1152">HLOOKUP($J1152,'Type Chart'!$C$2:$T$20,19,false)*HLOOKUP($K1152,'Type Chart'!$C$2:$U$20,19,false)</f>
        <v>1</v>
      </c>
      <c r="AM1152" s="1145" t="s">
        <v>1013</v>
      </c>
      <c r="AN1152" s="965"/>
      <c r="AO1152" s="966" t="s">
        <v>1003</v>
      </c>
      <c r="AP1152" s="936"/>
      <c r="AQ1152" s="967"/>
      <c r="AR1152" s="968"/>
      <c r="AS1152" s="936"/>
    </row>
    <row r="1153" ht="15.75" customHeight="1">
      <c r="A1153" s="1099"/>
      <c r="B1153" s="948">
        <v>921.0</v>
      </c>
      <c r="C1153" s="1197" t="s">
        <v>4178</v>
      </c>
      <c r="D1153" s="1197" t="s">
        <v>4178</v>
      </c>
      <c r="E1153" s="1147" t="s">
        <v>4178</v>
      </c>
      <c r="F1153" s="940"/>
      <c r="G1153" s="953"/>
      <c r="H1153" s="969"/>
      <c r="I1153" s="998" t="s">
        <v>540</v>
      </c>
      <c r="J1153" s="1225" t="s">
        <v>343</v>
      </c>
      <c r="K1153" s="1229" t="s">
        <v>193</v>
      </c>
      <c r="L1153" s="1200">
        <v>71.0</v>
      </c>
      <c r="M1153" s="1201">
        <v>102.0</v>
      </c>
      <c r="N1153" s="1201">
        <v>78.0</v>
      </c>
      <c r="O1153" s="1201">
        <v>52.0</v>
      </c>
      <c r="P1153" s="1201">
        <v>55.0</v>
      </c>
      <c r="Q1153" s="1201">
        <v>92.0</v>
      </c>
      <c r="R1153" s="960">
        <v>220.0</v>
      </c>
      <c r="S1153" s="960">
        <v>283.0</v>
      </c>
      <c r="T1153" s="960">
        <v>311.0</v>
      </c>
      <c r="U1153" s="960">
        <f t="array" ref="U1153">HLOOKUP($J1153,'Type Chart'!$C$2:$T$20,2,false)*HLOOKUP($K1153,'Type Chart'!$C$2:$U$20,2,false)</f>
        <v>1</v>
      </c>
      <c r="V1153" s="960">
        <f t="array" ref="V1153">HLOOKUP($J1153,'Type Chart'!$C$2:$T$20,3,false)*HLOOKUP($K1153,'Type Chart'!$C$2:$U$20,3,false)</f>
        <v>1</v>
      </c>
      <c r="W1153" s="960">
        <f t="array" ref="W1153">HLOOKUP($J1153,'Type Chart'!$C$2:$T$20,4,false)*HLOOKUP($K1153,'Type Chart'!$C$2:$U$20,4,false)</f>
        <v>2</v>
      </c>
      <c r="X1153" s="960">
        <f t="array" ref="X1153">HLOOKUP($J1153,'Type Chart'!$C$2:$T$20,5,false)*HLOOKUP($K1153,'Type Chart'!$C$2:$U$20,5,false)</f>
        <v>1</v>
      </c>
      <c r="Y1153" s="960">
        <f t="array" ref="Y1153">HLOOKUP($J1153,'Type Chart'!$C$2:$T$20,6,false)*HLOOKUP($K1153,'Type Chart'!$C$2:$U$20,6,false)</f>
        <v>0.5</v>
      </c>
      <c r="Z1153" s="960">
        <f t="array" ref="Z1153">HLOOKUP($J1153,'Type Chart'!$C$2:$T$20,7,false)*HLOOKUP($K1153,'Type Chart'!$C$2:$U$20,7,false)</f>
        <v>2</v>
      </c>
      <c r="AA1153" s="960">
        <f t="array" ref="AA1153">HLOOKUP($J1153,'Type Chart'!$C$2:$T$20,8,false)*HLOOKUP($K1153,'Type Chart'!$C$2:$U$20,8,false)</f>
        <v>2</v>
      </c>
      <c r="AB1153" s="960">
        <f t="array" ref="AB1153">HLOOKUP($J1153,'Type Chart'!$C$2:$T$20,9,false)*HLOOKUP($K1153,'Type Chart'!$C$2:$U$20,9,false)</f>
        <v>0.5</v>
      </c>
      <c r="AC1153" s="960">
        <f t="array" ref="AC1153">HLOOKUP($J1153,'Type Chart'!$C$2:$T$20,10,false)*HLOOKUP($K1153,'Type Chart'!$C$2:$U$20,10,false)</f>
        <v>1</v>
      </c>
      <c r="AD1153" s="960">
        <f t="array" ref="AD1153">HLOOKUP($J1153,'Type Chart'!$C$2:$T$20,11,false)*HLOOKUP($K1153,'Type Chart'!$C$2:$U$20,11,false)</f>
        <v>2</v>
      </c>
      <c r="AE1153" s="960">
        <f t="array" ref="AE1153">HLOOKUP($J1153,'Type Chart'!$C$2:$T$20,12,false)*HLOOKUP($K1153,'Type Chart'!$C$2:$U$20,12,false)</f>
        <v>1</v>
      </c>
      <c r="AF1153" s="960">
        <f t="array" ref="AF1153">HLOOKUP($J1153,'Type Chart'!$C$2:$T$20,13,false)*HLOOKUP($K1153,'Type Chart'!$C$2:$U$20,13,false)</f>
        <v>0.5</v>
      </c>
      <c r="AG1153" s="960">
        <f t="array" ref="AG1153">HLOOKUP($J1153,'Type Chart'!$C$2:$T$20,14,false)*HLOOKUP($K1153,'Type Chart'!$C$2:$U$20,14,false)</f>
        <v>1</v>
      </c>
      <c r="AH1153" s="960">
        <f t="array" ref="AH1153">HLOOKUP($J1153,'Type Chart'!$C$2:$T$20,15,false)*HLOOKUP($K1153,'Type Chart'!$C$2:$U$20,15,false)</f>
        <v>0</v>
      </c>
      <c r="AI1153" s="960">
        <f t="array" ref="AI1153">HLOOKUP($J1153,'Type Chart'!$C$2:$T$20,16,false)*HLOOKUP($K1153,'Type Chart'!$C$2:$U$20,16,false)</f>
        <v>1</v>
      </c>
      <c r="AJ1153" s="960">
        <f t="array" ref="AJ1153">HLOOKUP($J1153,'Type Chart'!$C$2:$T$20,17,false)*HLOOKUP($K1153,'Type Chart'!$C$2:$U$20,17,false)</f>
        <v>1</v>
      </c>
      <c r="AK1153" s="960">
        <f t="array" ref="AK1153">HLOOKUP($J1153,'Type Chart'!$C$2:$T$20,18,false)*HLOOKUP($K1153,'Type Chart'!$C$2:$U$20,18,false)</f>
        <v>0.5</v>
      </c>
      <c r="AL1153" s="960">
        <f t="array" ref="AL1153">HLOOKUP($J1153,'Type Chart'!$C$2:$T$20,19,false)*HLOOKUP($K1153,'Type Chart'!$C$2:$U$20,19,false)</f>
        <v>2</v>
      </c>
      <c r="AM1153" s="1145" t="s">
        <v>1013</v>
      </c>
      <c r="AN1153" s="965"/>
      <c r="AO1153" s="966" t="s">
        <v>1003</v>
      </c>
      <c r="AP1153" s="936"/>
      <c r="AQ1153" s="967"/>
      <c r="AR1153" s="968"/>
      <c r="AS1153" s="936"/>
    </row>
    <row r="1154" ht="15.75" customHeight="1">
      <c r="A1154" s="936"/>
      <c r="B1154" s="948">
        <v>922.0</v>
      </c>
      <c r="C1154" s="950" t="s">
        <v>4179</v>
      </c>
      <c r="D1154" s="950" t="s">
        <v>4179</v>
      </c>
      <c r="E1154" s="952" t="s">
        <v>4179</v>
      </c>
      <c r="F1154" s="940"/>
      <c r="G1154" s="953"/>
      <c r="H1154" s="969"/>
      <c r="I1154" s="956" t="s">
        <v>4180</v>
      </c>
      <c r="J1154" s="1180" t="s">
        <v>343</v>
      </c>
      <c r="K1154" s="1235" t="s">
        <v>216</v>
      </c>
      <c r="L1154" s="959">
        <v>41.0</v>
      </c>
      <c r="M1154" s="960">
        <v>50.0</v>
      </c>
      <c r="N1154" s="960">
        <v>60.0</v>
      </c>
      <c r="O1154" s="960">
        <v>31.0</v>
      </c>
      <c r="P1154" s="960">
        <v>58.0</v>
      </c>
      <c r="Q1154" s="960">
        <v>30.0</v>
      </c>
      <c r="R1154" s="960">
        <v>96.0</v>
      </c>
      <c r="S1154" s="960">
        <v>159.0</v>
      </c>
      <c r="T1154" s="960">
        <v>174.0</v>
      </c>
      <c r="U1154" s="960">
        <f t="array" ref="U1154">HLOOKUP($J1154,'Type Chart'!$C$2:$T$20,2,false)*HLOOKUP($K1154,'Type Chart'!$C$2:$U$20,2,false)</f>
        <v>1</v>
      </c>
      <c r="V1154" s="960">
        <f t="array" ref="V1154">HLOOKUP($J1154,'Type Chart'!$C$2:$T$20,3,false)*HLOOKUP($K1154,'Type Chart'!$C$2:$U$20,3,false)</f>
        <v>0.5</v>
      </c>
      <c r="W1154" s="960">
        <f t="array" ref="W1154">HLOOKUP($J1154,'Type Chart'!$C$2:$T$20,4,false)*HLOOKUP($K1154,'Type Chart'!$C$2:$U$20,4,false)</f>
        <v>2</v>
      </c>
      <c r="X1154" s="960">
        <f t="array" ref="X1154">HLOOKUP($J1154,'Type Chart'!$C$2:$T$20,5,false)*HLOOKUP($K1154,'Type Chart'!$C$2:$U$20,5,false)</f>
        <v>1</v>
      </c>
      <c r="Y1154" s="960">
        <f t="array" ref="Y1154">HLOOKUP($J1154,'Type Chart'!$C$2:$T$20,6,false)*HLOOKUP($K1154,'Type Chart'!$C$2:$U$20,6,false)</f>
        <v>0.5</v>
      </c>
      <c r="Z1154" s="960">
        <f t="array" ref="Z1154">HLOOKUP($J1154,'Type Chart'!$C$2:$T$20,7,false)*HLOOKUP($K1154,'Type Chart'!$C$2:$U$20,7,false)</f>
        <v>2</v>
      </c>
      <c r="AA1154" s="960">
        <f t="array" ref="AA1154">HLOOKUP($J1154,'Type Chart'!$C$2:$T$20,8,false)*HLOOKUP($K1154,'Type Chart'!$C$2:$U$20,8,false)</f>
        <v>1</v>
      </c>
      <c r="AB1154" s="960">
        <f t="array" ref="AB1154">HLOOKUP($J1154,'Type Chart'!$C$2:$T$20,9,false)*HLOOKUP($K1154,'Type Chart'!$C$2:$U$20,9,false)</f>
        <v>1</v>
      </c>
      <c r="AC1154" s="960">
        <f t="array" ref="AC1154">HLOOKUP($J1154,'Type Chart'!$C$2:$T$20,10,false)*HLOOKUP($K1154,'Type Chart'!$C$2:$U$20,10,false)</f>
        <v>1</v>
      </c>
      <c r="AD1154" s="960">
        <f t="array" ref="AD1154">HLOOKUP($J1154,'Type Chart'!$C$2:$T$20,11,false)*HLOOKUP($K1154,'Type Chart'!$C$2:$U$20,11,false)</f>
        <v>2</v>
      </c>
      <c r="AE1154" s="960">
        <f t="array" ref="AE1154">HLOOKUP($J1154,'Type Chart'!$C$2:$T$20,12,false)*HLOOKUP($K1154,'Type Chart'!$C$2:$U$20,12,false)</f>
        <v>1</v>
      </c>
      <c r="AF1154" s="960">
        <f t="array" ref="AF1154">HLOOKUP($J1154,'Type Chart'!$C$2:$T$20,13,false)*HLOOKUP($K1154,'Type Chart'!$C$2:$U$20,13,false)</f>
        <v>0.5</v>
      </c>
      <c r="AG1154" s="960">
        <f t="array" ref="AG1154">HLOOKUP($J1154,'Type Chart'!$C$2:$T$20,14,false)*HLOOKUP($K1154,'Type Chart'!$C$2:$U$20,14,false)</f>
        <v>1</v>
      </c>
      <c r="AH1154" s="960">
        <f t="array" ref="AH1154">HLOOKUP($J1154,'Type Chart'!$C$2:$T$20,15,false)*HLOOKUP($K1154,'Type Chart'!$C$2:$U$20,15,false)</f>
        <v>1</v>
      </c>
      <c r="AI1154" s="960">
        <f t="array" ref="AI1154">HLOOKUP($J1154,'Type Chart'!$C$2:$T$20,16,false)*HLOOKUP($K1154,'Type Chart'!$C$2:$U$20,16,false)</f>
        <v>1</v>
      </c>
      <c r="AJ1154" s="960">
        <f t="array" ref="AJ1154">HLOOKUP($J1154,'Type Chart'!$C$2:$T$20,17,false)*HLOOKUP($K1154,'Type Chart'!$C$2:$U$20,17,false)</f>
        <v>1</v>
      </c>
      <c r="AK1154" s="960">
        <f t="array" ref="AK1154">HLOOKUP($J1154,'Type Chart'!$C$2:$T$20,18,false)*HLOOKUP($K1154,'Type Chart'!$C$2:$U$20,18,false)</f>
        <v>1</v>
      </c>
      <c r="AL1154" s="960">
        <f t="array" ref="AL1154">HLOOKUP($J1154,'Type Chart'!$C$2:$T$20,19,false)*HLOOKUP($K1154,'Type Chart'!$C$2:$U$20,19,false)</f>
        <v>1</v>
      </c>
      <c r="AM1154" s="964" t="s">
        <v>4181</v>
      </c>
      <c r="AN1154" s="965"/>
      <c r="AO1154" s="966" t="s">
        <v>998</v>
      </c>
      <c r="AP1154" s="936"/>
      <c r="AQ1154" s="967"/>
      <c r="AR1154" s="968"/>
      <c r="AS1154" s="936"/>
    </row>
    <row r="1155" ht="15.75" customHeight="1">
      <c r="A1155" s="936"/>
      <c r="B1155" s="948">
        <v>923.0</v>
      </c>
      <c r="C1155" s="950" t="s">
        <v>4182</v>
      </c>
      <c r="D1155" s="950" t="s">
        <v>4182</v>
      </c>
      <c r="E1155" s="952" t="s">
        <v>4182</v>
      </c>
      <c r="F1155" s="940"/>
      <c r="G1155" s="953"/>
      <c r="H1155" s="969"/>
      <c r="I1155" s="956" t="s">
        <v>668</v>
      </c>
      <c r="J1155" s="1180" t="s">
        <v>343</v>
      </c>
      <c r="K1155" s="1203" t="s">
        <v>344</v>
      </c>
      <c r="L1155" s="959">
        <v>75.0</v>
      </c>
      <c r="M1155" s="960">
        <v>50.0</v>
      </c>
      <c r="N1155" s="960">
        <v>85.0</v>
      </c>
      <c r="O1155" s="960">
        <v>115.0</v>
      </c>
      <c r="P1155" s="960">
        <v>100.0</v>
      </c>
      <c r="Q1155" s="960">
        <v>45.0</v>
      </c>
      <c r="R1155" s="960">
        <v>126.0</v>
      </c>
      <c r="S1155" s="960">
        <v>189.0</v>
      </c>
      <c r="T1155" s="960">
        <v>207.0</v>
      </c>
      <c r="U1155" s="960">
        <f t="array" ref="U1155">HLOOKUP($J1155,'Type Chart'!$C$2:$T$20,2,false)*HLOOKUP($K1155,'Type Chart'!$C$2:$U$20,2,false)</f>
        <v>1</v>
      </c>
      <c r="V1155" s="960">
        <f t="array" ref="V1155">HLOOKUP($J1155,'Type Chart'!$C$2:$T$20,3,false)*HLOOKUP($K1155,'Type Chart'!$C$2:$U$20,3,false)</f>
        <v>0.25</v>
      </c>
      <c r="W1155" s="960">
        <f t="array" ref="W1155">HLOOKUP($J1155,'Type Chart'!$C$2:$T$20,4,false)*HLOOKUP($K1155,'Type Chart'!$C$2:$U$20,4,false)</f>
        <v>2</v>
      </c>
      <c r="X1155" s="960">
        <f t="array" ref="X1155">HLOOKUP($J1155,'Type Chart'!$C$2:$T$20,5,false)*HLOOKUP($K1155,'Type Chart'!$C$2:$U$20,5,false)</f>
        <v>1</v>
      </c>
      <c r="Y1155" s="960">
        <f t="array" ref="Y1155">HLOOKUP($J1155,'Type Chart'!$C$2:$T$20,6,false)*HLOOKUP($K1155,'Type Chart'!$C$2:$U$20,6,false)</f>
        <v>0.5</v>
      </c>
      <c r="Z1155" s="960">
        <f t="array" ref="Z1155">HLOOKUP($J1155,'Type Chart'!$C$2:$T$20,7,false)*HLOOKUP($K1155,'Type Chart'!$C$2:$U$20,7,false)</f>
        <v>2</v>
      </c>
      <c r="AA1155" s="960">
        <f t="array" ref="AA1155">HLOOKUP($J1155,'Type Chart'!$C$2:$T$20,8,false)*HLOOKUP($K1155,'Type Chart'!$C$2:$U$20,8,false)</f>
        <v>2</v>
      </c>
      <c r="AB1155" s="960">
        <f t="array" ref="AB1155">HLOOKUP($J1155,'Type Chart'!$C$2:$T$20,9,false)*HLOOKUP($K1155,'Type Chart'!$C$2:$U$20,9,false)</f>
        <v>2</v>
      </c>
      <c r="AC1155" s="960">
        <f t="array" ref="AC1155">HLOOKUP($J1155,'Type Chart'!$C$2:$T$20,10,false)*HLOOKUP($K1155,'Type Chart'!$C$2:$U$20,10,false)</f>
        <v>1</v>
      </c>
      <c r="AD1155" s="960">
        <f t="array" ref="AD1155">HLOOKUP($J1155,'Type Chart'!$C$2:$T$20,11,false)*HLOOKUP($K1155,'Type Chart'!$C$2:$U$20,11,false)</f>
        <v>2</v>
      </c>
      <c r="AE1155" s="960">
        <f t="array" ref="AE1155">HLOOKUP($J1155,'Type Chart'!$C$2:$T$20,12,false)*HLOOKUP($K1155,'Type Chart'!$C$2:$U$20,12,false)</f>
        <v>1</v>
      </c>
      <c r="AF1155" s="960">
        <f t="array" ref="AF1155">HLOOKUP($J1155,'Type Chart'!$C$2:$T$20,13,false)*HLOOKUP($K1155,'Type Chart'!$C$2:$U$20,13,false)</f>
        <v>0.5</v>
      </c>
      <c r="AG1155" s="960">
        <f t="array" ref="AG1155">HLOOKUP($J1155,'Type Chart'!$C$2:$T$20,14,false)*HLOOKUP($K1155,'Type Chart'!$C$2:$U$20,14,false)</f>
        <v>1</v>
      </c>
      <c r="AH1155" s="960">
        <f t="array" ref="AH1155">HLOOKUP($J1155,'Type Chart'!$C$2:$T$20,15,false)*HLOOKUP($K1155,'Type Chart'!$C$2:$U$20,15,false)</f>
        <v>0.5</v>
      </c>
      <c r="AI1155" s="960">
        <f t="array" ref="AI1155">HLOOKUP($J1155,'Type Chart'!$C$2:$T$20,16,false)*HLOOKUP($K1155,'Type Chart'!$C$2:$U$20,16,false)</f>
        <v>1</v>
      </c>
      <c r="AJ1155" s="960">
        <f t="array" ref="AJ1155">HLOOKUP($J1155,'Type Chart'!$C$2:$T$20,17,false)*HLOOKUP($K1155,'Type Chart'!$C$2:$U$20,17,false)</f>
        <v>1</v>
      </c>
      <c r="AK1155" s="960">
        <f t="array" ref="AK1155">HLOOKUP($J1155,'Type Chart'!$C$2:$T$20,18,false)*HLOOKUP($K1155,'Type Chart'!$C$2:$U$20,18,false)</f>
        <v>2</v>
      </c>
      <c r="AL1155" s="960">
        <f t="array" ref="AL1155">HLOOKUP($J1155,'Type Chart'!$C$2:$T$20,19,false)*HLOOKUP($K1155,'Type Chart'!$C$2:$U$20,19,false)</f>
        <v>1</v>
      </c>
      <c r="AM1155" s="964" t="s">
        <v>1292</v>
      </c>
      <c r="AN1155" s="965"/>
      <c r="AO1155" s="966" t="s">
        <v>1828</v>
      </c>
      <c r="AP1155" s="936"/>
      <c r="AQ1155" s="967"/>
      <c r="AR1155" s="968"/>
      <c r="AS1155" s="936"/>
    </row>
    <row r="1156" ht="15.75" customHeight="1">
      <c r="A1156" s="936"/>
      <c r="B1156" s="948">
        <v>924.0</v>
      </c>
      <c r="C1156" s="950" t="s">
        <v>4183</v>
      </c>
      <c r="D1156" s="950" t="s">
        <v>4183</v>
      </c>
      <c r="E1156" s="952" t="s">
        <v>4183</v>
      </c>
      <c r="F1156" s="940"/>
      <c r="G1156" s="953"/>
      <c r="H1156" s="969"/>
      <c r="I1156" s="956" t="s">
        <v>4184</v>
      </c>
      <c r="J1156" s="1220" t="s">
        <v>215</v>
      </c>
      <c r="K1156" s="1235" t="s">
        <v>216</v>
      </c>
      <c r="L1156" s="959">
        <v>50.0</v>
      </c>
      <c r="M1156" s="960">
        <v>61.0</v>
      </c>
      <c r="N1156" s="960">
        <v>60.0</v>
      </c>
      <c r="O1156" s="960">
        <v>30.0</v>
      </c>
      <c r="P1156" s="960">
        <v>55.0</v>
      </c>
      <c r="Q1156" s="960">
        <v>34.0</v>
      </c>
      <c r="R1156" s="960">
        <v>104.0</v>
      </c>
      <c r="S1156" s="960">
        <v>167.0</v>
      </c>
      <c r="T1156" s="960">
        <v>183.0</v>
      </c>
      <c r="U1156" s="960">
        <f t="array" ref="U1156">HLOOKUP($J1156,'Type Chart'!$C$2:$T$20,2,false)*HLOOKUP($K1156,'Type Chart'!$C$2:$U$20,2,false)</f>
        <v>0</v>
      </c>
      <c r="V1156" s="960">
        <f t="array" ref="V1156">HLOOKUP($J1156,'Type Chart'!$C$2:$T$20,3,false)*HLOOKUP($K1156,'Type Chart'!$C$2:$U$20,3,false)</f>
        <v>0</v>
      </c>
      <c r="W1156" s="960">
        <f t="array" ref="W1156">HLOOKUP($J1156,'Type Chart'!$C$2:$T$20,4,false)*HLOOKUP($K1156,'Type Chart'!$C$2:$U$20,4,false)</f>
        <v>1</v>
      </c>
      <c r="X1156" s="960">
        <f t="array" ref="X1156">HLOOKUP($J1156,'Type Chart'!$C$2:$T$20,5,false)*HLOOKUP($K1156,'Type Chart'!$C$2:$U$20,5,false)</f>
        <v>0.5</v>
      </c>
      <c r="Y1156" s="960">
        <f t="array" ref="Y1156">HLOOKUP($J1156,'Type Chart'!$C$2:$T$20,6,false)*HLOOKUP($K1156,'Type Chart'!$C$2:$U$20,6,false)</f>
        <v>1</v>
      </c>
      <c r="Z1156" s="960">
        <f t="array" ref="Z1156">HLOOKUP($J1156,'Type Chart'!$C$2:$T$20,7,false)*HLOOKUP($K1156,'Type Chart'!$C$2:$U$20,7,false)</f>
        <v>1</v>
      </c>
      <c r="AA1156" s="960">
        <f t="array" ref="AA1156">HLOOKUP($J1156,'Type Chart'!$C$2:$T$20,8,false)*HLOOKUP($K1156,'Type Chart'!$C$2:$U$20,8,false)</f>
        <v>0.5</v>
      </c>
      <c r="AB1156" s="960">
        <f t="array" ref="AB1156">HLOOKUP($J1156,'Type Chart'!$C$2:$T$20,9,false)*HLOOKUP($K1156,'Type Chart'!$C$2:$U$20,9,false)</f>
        <v>2</v>
      </c>
      <c r="AC1156" s="960">
        <f t="array" ref="AC1156">HLOOKUP($J1156,'Type Chart'!$C$2:$T$20,10,false)*HLOOKUP($K1156,'Type Chart'!$C$2:$U$20,10,false)</f>
        <v>1</v>
      </c>
      <c r="AD1156" s="960">
        <f t="array" ref="AD1156">HLOOKUP($J1156,'Type Chart'!$C$2:$T$20,11,false)*HLOOKUP($K1156,'Type Chart'!$C$2:$U$20,11,false)</f>
        <v>1</v>
      </c>
      <c r="AE1156" s="960">
        <f t="array" ref="AE1156">HLOOKUP($J1156,'Type Chart'!$C$2:$T$20,12,false)*HLOOKUP($K1156,'Type Chart'!$C$2:$U$20,12,false)</f>
        <v>1</v>
      </c>
      <c r="AF1156" s="960">
        <f t="array" ref="AF1156">HLOOKUP($J1156,'Type Chart'!$C$2:$T$20,13,false)*HLOOKUP($K1156,'Type Chart'!$C$2:$U$20,13,false)</f>
        <v>1</v>
      </c>
      <c r="AG1156" s="960">
        <f t="array" ref="AG1156">HLOOKUP($J1156,'Type Chart'!$C$2:$T$20,14,false)*HLOOKUP($K1156,'Type Chart'!$C$2:$U$20,14,false)</f>
        <v>1</v>
      </c>
      <c r="AH1156" s="960">
        <f t="array" ref="AH1156">HLOOKUP($J1156,'Type Chart'!$C$2:$T$20,15,false)*HLOOKUP($K1156,'Type Chart'!$C$2:$U$20,15,false)</f>
        <v>1</v>
      </c>
      <c r="AI1156" s="960">
        <f t="array" ref="AI1156">HLOOKUP($J1156,'Type Chart'!$C$2:$T$20,16,false)*HLOOKUP($K1156,'Type Chart'!$C$2:$U$20,16,false)</f>
        <v>1</v>
      </c>
      <c r="AJ1156" s="960">
        <f t="array" ref="AJ1156">HLOOKUP($J1156,'Type Chart'!$C$2:$T$20,17,false)*HLOOKUP($K1156,'Type Chart'!$C$2:$U$20,17,false)</f>
        <v>1</v>
      </c>
      <c r="AK1156" s="960">
        <f t="array" ref="AK1156">HLOOKUP($J1156,'Type Chart'!$C$2:$T$20,18,false)*HLOOKUP($K1156,'Type Chart'!$C$2:$U$20,18,false)</f>
        <v>2</v>
      </c>
      <c r="AL1156" s="960">
        <f t="array" ref="AL1156">HLOOKUP($J1156,'Type Chart'!$C$2:$T$20,19,false)*HLOOKUP($K1156,'Type Chart'!$C$2:$U$20,19,false)</f>
        <v>1</v>
      </c>
      <c r="AM1156" s="964" t="s">
        <v>1238</v>
      </c>
      <c r="AN1156" s="965"/>
      <c r="AO1156" s="966" t="s">
        <v>3633</v>
      </c>
      <c r="AP1156" s="936"/>
      <c r="AQ1156" s="967"/>
      <c r="AR1156" s="968"/>
      <c r="AS1156" s="936"/>
    </row>
    <row r="1157" ht="15.75" customHeight="1">
      <c r="A1157" s="936"/>
      <c r="B1157" s="948">
        <v>925.0</v>
      </c>
      <c r="C1157" s="950" t="s">
        <v>4185</v>
      </c>
      <c r="D1157" s="950" t="s">
        <v>4185</v>
      </c>
      <c r="E1157" s="952" t="s">
        <v>4185</v>
      </c>
      <c r="F1157" s="940"/>
      <c r="G1157" s="953"/>
      <c r="H1157" s="969"/>
      <c r="I1157" s="956" t="s">
        <v>625</v>
      </c>
      <c r="J1157" s="1220" t="s">
        <v>215</v>
      </c>
      <c r="K1157" s="1235" t="s">
        <v>216</v>
      </c>
      <c r="L1157" s="959">
        <v>72.0</v>
      </c>
      <c r="M1157" s="960">
        <v>101.0</v>
      </c>
      <c r="N1157" s="960">
        <v>100.0</v>
      </c>
      <c r="O1157" s="960">
        <v>50.0</v>
      </c>
      <c r="P1157" s="960">
        <v>97.0</v>
      </c>
      <c r="Q1157" s="960">
        <v>68.0</v>
      </c>
      <c r="R1157" s="960">
        <v>172.0</v>
      </c>
      <c r="S1157" s="960">
        <v>235.0</v>
      </c>
      <c r="T1157" s="960">
        <v>258.0</v>
      </c>
      <c r="U1157" s="960">
        <f t="array" ref="U1157">HLOOKUP($J1157,'Type Chart'!$C$2:$T$20,2,false)*HLOOKUP($K1157,'Type Chart'!$C$2:$U$20,2,false)</f>
        <v>0</v>
      </c>
      <c r="V1157" s="960">
        <f t="array" ref="V1157">HLOOKUP($J1157,'Type Chart'!$C$2:$T$20,3,false)*HLOOKUP($K1157,'Type Chart'!$C$2:$U$20,3,false)</f>
        <v>0</v>
      </c>
      <c r="W1157" s="960">
        <f t="array" ref="W1157">HLOOKUP($J1157,'Type Chart'!$C$2:$T$20,4,false)*HLOOKUP($K1157,'Type Chart'!$C$2:$U$20,4,false)</f>
        <v>1</v>
      </c>
      <c r="X1157" s="960">
        <f t="array" ref="X1157">HLOOKUP($J1157,'Type Chart'!$C$2:$T$20,5,false)*HLOOKUP($K1157,'Type Chart'!$C$2:$U$20,5,false)</f>
        <v>0.5</v>
      </c>
      <c r="Y1157" s="960">
        <f t="array" ref="Y1157">HLOOKUP($J1157,'Type Chart'!$C$2:$T$20,6,false)*HLOOKUP($K1157,'Type Chart'!$C$2:$U$20,6,false)</f>
        <v>1</v>
      </c>
      <c r="Z1157" s="960">
        <f t="array" ref="Z1157">HLOOKUP($J1157,'Type Chart'!$C$2:$T$20,7,false)*HLOOKUP($K1157,'Type Chart'!$C$2:$U$20,7,false)</f>
        <v>1</v>
      </c>
      <c r="AA1157" s="960">
        <f t="array" ref="AA1157">HLOOKUP($J1157,'Type Chart'!$C$2:$T$20,8,false)*HLOOKUP($K1157,'Type Chart'!$C$2:$U$20,8,false)</f>
        <v>0.5</v>
      </c>
      <c r="AB1157" s="960">
        <f t="array" ref="AB1157">HLOOKUP($J1157,'Type Chart'!$C$2:$T$20,9,false)*HLOOKUP($K1157,'Type Chart'!$C$2:$U$20,9,false)</f>
        <v>2</v>
      </c>
      <c r="AC1157" s="960">
        <f t="array" ref="AC1157">HLOOKUP($J1157,'Type Chart'!$C$2:$T$20,10,false)*HLOOKUP($K1157,'Type Chart'!$C$2:$U$20,10,false)</f>
        <v>1</v>
      </c>
      <c r="AD1157" s="960">
        <f t="array" ref="AD1157">HLOOKUP($J1157,'Type Chart'!$C$2:$T$20,11,false)*HLOOKUP($K1157,'Type Chart'!$C$2:$U$20,11,false)</f>
        <v>1</v>
      </c>
      <c r="AE1157" s="960">
        <f t="array" ref="AE1157">HLOOKUP($J1157,'Type Chart'!$C$2:$T$20,12,false)*HLOOKUP($K1157,'Type Chart'!$C$2:$U$20,12,false)</f>
        <v>1</v>
      </c>
      <c r="AF1157" s="960">
        <f t="array" ref="AF1157">HLOOKUP($J1157,'Type Chart'!$C$2:$T$20,13,false)*HLOOKUP($K1157,'Type Chart'!$C$2:$U$20,13,false)</f>
        <v>1</v>
      </c>
      <c r="AG1157" s="960">
        <f t="array" ref="AG1157">HLOOKUP($J1157,'Type Chart'!$C$2:$T$20,14,false)*HLOOKUP($K1157,'Type Chart'!$C$2:$U$20,14,false)</f>
        <v>1</v>
      </c>
      <c r="AH1157" s="960">
        <f t="array" ref="AH1157">HLOOKUP($J1157,'Type Chart'!$C$2:$T$20,15,false)*HLOOKUP($K1157,'Type Chart'!$C$2:$U$20,15,false)</f>
        <v>1</v>
      </c>
      <c r="AI1157" s="960">
        <f t="array" ref="AI1157">HLOOKUP($J1157,'Type Chart'!$C$2:$T$20,16,false)*HLOOKUP($K1157,'Type Chart'!$C$2:$U$20,16,false)</f>
        <v>1</v>
      </c>
      <c r="AJ1157" s="960">
        <f t="array" ref="AJ1157">HLOOKUP($J1157,'Type Chart'!$C$2:$T$20,17,false)*HLOOKUP($K1157,'Type Chart'!$C$2:$U$20,17,false)</f>
        <v>1</v>
      </c>
      <c r="AK1157" s="960">
        <f t="array" ref="AK1157">HLOOKUP($J1157,'Type Chart'!$C$2:$T$20,18,false)*HLOOKUP($K1157,'Type Chart'!$C$2:$U$20,18,false)</f>
        <v>2</v>
      </c>
      <c r="AL1157" s="960">
        <f t="array" ref="AL1157">HLOOKUP($J1157,'Type Chart'!$C$2:$T$20,19,false)*HLOOKUP($K1157,'Type Chart'!$C$2:$U$20,19,false)</f>
        <v>1</v>
      </c>
      <c r="AM1157" s="964" t="s">
        <v>1130</v>
      </c>
      <c r="AN1157" s="965"/>
      <c r="AO1157" s="966" t="s">
        <v>3633</v>
      </c>
      <c r="AP1157" s="936"/>
      <c r="AQ1157" s="967"/>
      <c r="AR1157" s="968"/>
      <c r="AS1157" s="936"/>
    </row>
    <row r="1158" ht="15.75" customHeight="1">
      <c r="A1158" s="936"/>
      <c r="B1158" s="948">
        <v>926.0</v>
      </c>
      <c r="C1158" s="950" t="s">
        <v>4186</v>
      </c>
      <c r="D1158" s="950" t="s">
        <v>4186</v>
      </c>
      <c r="E1158" s="952" t="s">
        <v>4186</v>
      </c>
      <c r="F1158" s="940"/>
      <c r="G1158" s="953"/>
      <c r="H1158" s="969"/>
      <c r="I1158" s="956" t="s">
        <v>4187</v>
      </c>
      <c r="J1158" s="1203" t="s">
        <v>344</v>
      </c>
      <c r="K1158" s="1235" t="s">
        <v>216</v>
      </c>
      <c r="L1158" s="959">
        <v>30.0</v>
      </c>
      <c r="M1158" s="960">
        <v>35.0</v>
      </c>
      <c r="N1158" s="960">
        <v>30.0</v>
      </c>
      <c r="O1158" s="960">
        <v>55.0</v>
      </c>
      <c r="P1158" s="960">
        <v>40.0</v>
      </c>
      <c r="Q1158" s="960">
        <v>75.0</v>
      </c>
      <c r="R1158" s="960">
        <v>186.0</v>
      </c>
      <c r="S1158" s="960">
        <v>249.0</v>
      </c>
      <c r="T1158" s="960">
        <v>273.0</v>
      </c>
      <c r="U1158" s="960">
        <f t="array" ref="U1158">HLOOKUP($J1158,'Type Chart'!$C$2:$T$20,2,false)*HLOOKUP($K1158,'Type Chart'!$C$2:$U$20,2,false)</f>
        <v>1</v>
      </c>
      <c r="V1158" s="960">
        <f t="array" ref="V1158">HLOOKUP($J1158,'Type Chart'!$C$2:$T$20,3,false)*HLOOKUP($K1158,'Type Chart'!$C$2:$U$20,3,false)</f>
        <v>0.5</v>
      </c>
      <c r="W1158" s="960">
        <f t="array" ref="W1158">HLOOKUP($J1158,'Type Chart'!$C$2:$T$20,4,false)*HLOOKUP($K1158,'Type Chart'!$C$2:$U$20,4,false)</f>
        <v>1</v>
      </c>
      <c r="X1158" s="960">
        <f t="array" ref="X1158">HLOOKUP($J1158,'Type Chart'!$C$2:$T$20,5,false)*HLOOKUP($K1158,'Type Chart'!$C$2:$U$20,5,false)</f>
        <v>1</v>
      </c>
      <c r="Y1158" s="960">
        <f t="array" ref="Y1158">HLOOKUP($J1158,'Type Chart'!$C$2:$T$20,6,false)*HLOOKUP($K1158,'Type Chart'!$C$2:$U$20,6,false)</f>
        <v>1</v>
      </c>
      <c r="Z1158" s="960">
        <f t="array" ref="Z1158">HLOOKUP($J1158,'Type Chart'!$C$2:$T$20,7,false)*HLOOKUP($K1158,'Type Chart'!$C$2:$U$20,7,false)</f>
        <v>1</v>
      </c>
      <c r="AA1158" s="960">
        <f t="array" ref="AA1158">HLOOKUP($J1158,'Type Chart'!$C$2:$T$20,8,false)*HLOOKUP($K1158,'Type Chart'!$C$2:$U$20,8,false)</f>
        <v>2</v>
      </c>
      <c r="AB1158" s="960">
        <f t="array" ref="AB1158">HLOOKUP($J1158,'Type Chart'!$C$2:$T$20,9,false)*HLOOKUP($K1158,'Type Chart'!$C$2:$U$20,9,false)</f>
        <v>2</v>
      </c>
      <c r="AC1158" s="960">
        <f t="array" ref="AC1158">HLOOKUP($J1158,'Type Chart'!$C$2:$T$20,10,false)*HLOOKUP($K1158,'Type Chart'!$C$2:$U$20,10,false)</f>
        <v>1</v>
      </c>
      <c r="AD1158" s="960">
        <f t="array" ref="AD1158">HLOOKUP($J1158,'Type Chart'!$C$2:$T$20,11,false)*HLOOKUP($K1158,'Type Chart'!$C$2:$U$20,11,false)</f>
        <v>1</v>
      </c>
      <c r="AE1158" s="960">
        <f t="array" ref="AE1158">HLOOKUP($J1158,'Type Chart'!$C$2:$T$20,12,false)*HLOOKUP($K1158,'Type Chart'!$C$2:$U$20,12,false)</f>
        <v>1</v>
      </c>
      <c r="AF1158" s="960">
        <f t="array" ref="AF1158">HLOOKUP($J1158,'Type Chart'!$C$2:$T$20,13,false)*HLOOKUP($K1158,'Type Chart'!$C$2:$U$20,13,false)</f>
        <v>1</v>
      </c>
      <c r="AG1158" s="960">
        <f t="array" ref="AG1158">HLOOKUP($J1158,'Type Chart'!$C$2:$T$20,14,false)*HLOOKUP($K1158,'Type Chart'!$C$2:$U$20,14,false)</f>
        <v>1</v>
      </c>
      <c r="AH1158" s="960">
        <f t="array" ref="AH1158">HLOOKUP($J1158,'Type Chart'!$C$2:$T$20,15,false)*HLOOKUP($K1158,'Type Chart'!$C$2:$U$20,15,false)</f>
        <v>0.5</v>
      </c>
      <c r="AI1158" s="960">
        <f t="array" ref="AI1158">HLOOKUP($J1158,'Type Chart'!$C$2:$T$20,16,false)*HLOOKUP($K1158,'Type Chart'!$C$2:$U$20,16,false)</f>
        <v>1</v>
      </c>
      <c r="AJ1158" s="960">
        <f t="array" ref="AJ1158">HLOOKUP($J1158,'Type Chart'!$C$2:$T$20,17,false)*HLOOKUP($K1158,'Type Chart'!$C$2:$U$20,17,false)</f>
        <v>1</v>
      </c>
      <c r="AK1158" s="960">
        <f t="array" ref="AK1158">HLOOKUP($J1158,'Type Chart'!$C$2:$T$20,18,false)*HLOOKUP($K1158,'Type Chart'!$C$2:$U$20,18,false)</f>
        <v>2</v>
      </c>
      <c r="AL1158" s="960">
        <f t="array" ref="AL1158">HLOOKUP($J1158,'Type Chart'!$C$2:$T$20,19,false)*HLOOKUP($K1158,'Type Chart'!$C$2:$U$20,19,false)</f>
        <v>1</v>
      </c>
      <c r="AM1158" s="964" t="s">
        <v>1359</v>
      </c>
      <c r="AN1158" s="964" t="s">
        <v>1188</v>
      </c>
      <c r="AO1158" s="966" t="s">
        <v>1798</v>
      </c>
      <c r="AP1158" s="936"/>
      <c r="AQ1158" s="967"/>
      <c r="AR1158" s="968"/>
      <c r="AS1158" s="936"/>
    </row>
    <row r="1159" ht="15.75" customHeight="1">
      <c r="A1159" s="1099"/>
      <c r="B1159" s="948">
        <v>927.0</v>
      </c>
      <c r="C1159" s="1197" t="s">
        <v>4188</v>
      </c>
      <c r="D1159" s="1197" t="s">
        <v>4188</v>
      </c>
      <c r="E1159" s="1147" t="s">
        <v>4188</v>
      </c>
      <c r="F1159" s="940"/>
      <c r="G1159" s="953"/>
      <c r="H1159" s="969"/>
      <c r="I1159" s="998" t="s">
        <v>536</v>
      </c>
      <c r="J1159" s="1215" t="s">
        <v>344</v>
      </c>
      <c r="K1159" s="1235" t="s">
        <v>216</v>
      </c>
      <c r="L1159" s="1200">
        <v>95.0</v>
      </c>
      <c r="M1159" s="1201">
        <v>60.0</v>
      </c>
      <c r="N1159" s="1201">
        <v>60.0</v>
      </c>
      <c r="O1159" s="1201">
        <v>101.0</v>
      </c>
      <c r="P1159" s="1201">
        <v>60.0</v>
      </c>
      <c r="Q1159" s="1201">
        <v>105.0</v>
      </c>
      <c r="R1159" s="960">
        <v>246.0</v>
      </c>
      <c r="S1159" s="960">
        <v>309.0</v>
      </c>
      <c r="T1159" s="960">
        <v>339.0</v>
      </c>
      <c r="U1159" s="960">
        <f t="array" ref="U1159">HLOOKUP($J1159,'Type Chart'!$C$2:$T$20,2,false)*HLOOKUP($K1159,'Type Chart'!$C$2:$U$20,2,false)</f>
        <v>1</v>
      </c>
      <c r="V1159" s="960">
        <f t="array" ref="V1159">HLOOKUP($J1159,'Type Chart'!$C$2:$T$20,3,false)*HLOOKUP($K1159,'Type Chart'!$C$2:$U$20,3,false)</f>
        <v>0.5</v>
      </c>
      <c r="W1159" s="960">
        <f t="array" ref="W1159">HLOOKUP($J1159,'Type Chart'!$C$2:$T$20,4,false)*HLOOKUP($K1159,'Type Chart'!$C$2:$U$20,4,false)</f>
        <v>1</v>
      </c>
      <c r="X1159" s="960">
        <f t="array" ref="X1159">HLOOKUP($J1159,'Type Chart'!$C$2:$T$20,5,false)*HLOOKUP($K1159,'Type Chart'!$C$2:$U$20,5,false)</f>
        <v>1</v>
      </c>
      <c r="Y1159" s="960">
        <f t="array" ref="Y1159">HLOOKUP($J1159,'Type Chart'!$C$2:$T$20,6,false)*HLOOKUP($K1159,'Type Chart'!$C$2:$U$20,6,false)</f>
        <v>1</v>
      </c>
      <c r="Z1159" s="960">
        <f t="array" ref="Z1159">HLOOKUP($J1159,'Type Chart'!$C$2:$T$20,7,false)*HLOOKUP($K1159,'Type Chart'!$C$2:$U$20,7,false)</f>
        <v>1</v>
      </c>
      <c r="AA1159" s="960">
        <f t="array" ref="AA1159">HLOOKUP($J1159,'Type Chart'!$C$2:$T$20,8,false)*HLOOKUP($K1159,'Type Chart'!$C$2:$U$20,8,false)</f>
        <v>2</v>
      </c>
      <c r="AB1159" s="960">
        <f t="array" ref="AB1159">HLOOKUP($J1159,'Type Chart'!$C$2:$T$20,9,false)*HLOOKUP($K1159,'Type Chart'!$C$2:$U$20,9,false)</f>
        <v>2</v>
      </c>
      <c r="AC1159" s="960">
        <f t="array" ref="AC1159">HLOOKUP($J1159,'Type Chart'!$C$2:$T$20,10,false)*HLOOKUP($K1159,'Type Chart'!$C$2:$U$20,10,false)</f>
        <v>1</v>
      </c>
      <c r="AD1159" s="960">
        <f t="array" ref="AD1159">HLOOKUP($J1159,'Type Chart'!$C$2:$T$20,11,false)*HLOOKUP($K1159,'Type Chart'!$C$2:$U$20,11,false)</f>
        <v>1</v>
      </c>
      <c r="AE1159" s="960">
        <f t="array" ref="AE1159">HLOOKUP($J1159,'Type Chart'!$C$2:$T$20,12,false)*HLOOKUP($K1159,'Type Chart'!$C$2:$U$20,12,false)</f>
        <v>1</v>
      </c>
      <c r="AF1159" s="960">
        <f t="array" ref="AF1159">HLOOKUP($J1159,'Type Chart'!$C$2:$T$20,13,false)*HLOOKUP($K1159,'Type Chart'!$C$2:$U$20,13,false)</f>
        <v>1</v>
      </c>
      <c r="AG1159" s="960">
        <f t="array" ref="AG1159">HLOOKUP($J1159,'Type Chart'!$C$2:$T$20,14,false)*HLOOKUP($K1159,'Type Chart'!$C$2:$U$20,14,false)</f>
        <v>1</v>
      </c>
      <c r="AH1159" s="960">
        <f t="array" ref="AH1159">HLOOKUP($J1159,'Type Chart'!$C$2:$T$20,15,false)*HLOOKUP($K1159,'Type Chart'!$C$2:$U$20,15,false)</f>
        <v>0.5</v>
      </c>
      <c r="AI1159" s="960">
        <f t="array" ref="AI1159">HLOOKUP($J1159,'Type Chart'!$C$2:$T$20,16,false)*HLOOKUP($K1159,'Type Chart'!$C$2:$U$20,16,false)</f>
        <v>1</v>
      </c>
      <c r="AJ1159" s="960">
        <f t="array" ref="AJ1159">HLOOKUP($J1159,'Type Chart'!$C$2:$T$20,17,false)*HLOOKUP($K1159,'Type Chart'!$C$2:$U$20,17,false)</f>
        <v>1</v>
      </c>
      <c r="AK1159" s="960">
        <f t="array" ref="AK1159">HLOOKUP($J1159,'Type Chart'!$C$2:$T$20,18,false)*HLOOKUP($K1159,'Type Chart'!$C$2:$U$20,18,false)</f>
        <v>2</v>
      </c>
      <c r="AL1159" s="960">
        <f t="array" ref="AL1159">HLOOKUP($J1159,'Type Chart'!$C$2:$T$20,19,false)*HLOOKUP($K1159,'Type Chart'!$C$2:$U$20,19,false)</f>
        <v>1</v>
      </c>
      <c r="AM1159" s="1145" t="s">
        <v>4189</v>
      </c>
      <c r="AN1159" s="1145" t="s">
        <v>1188</v>
      </c>
      <c r="AO1159" s="1146" t="s">
        <v>1798</v>
      </c>
      <c r="AP1159" s="936"/>
      <c r="AQ1159" s="967"/>
      <c r="AR1159" s="968"/>
      <c r="AS1159" s="936"/>
    </row>
    <row r="1160" ht="15.75" customHeight="1">
      <c r="A1160" s="1099"/>
      <c r="B1160" s="948">
        <v>928.0</v>
      </c>
      <c r="C1160" s="1197" t="s">
        <v>4190</v>
      </c>
      <c r="D1160" s="1197" t="s">
        <v>4190</v>
      </c>
      <c r="E1160" s="1147" t="s">
        <v>4190</v>
      </c>
      <c r="F1160" s="940"/>
      <c r="G1160" s="953"/>
      <c r="H1160" s="969"/>
      <c r="I1160" s="998" t="s">
        <v>583</v>
      </c>
      <c r="J1160" s="1216" t="s">
        <v>136</v>
      </c>
      <c r="K1160" s="1215" t="s">
        <v>344</v>
      </c>
      <c r="L1160" s="1200">
        <v>120.0</v>
      </c>
      <c r="M1160" s="1201">
        <v>90.0</v>
      </c>
      <c r="N1160" s="1201">
        <v>70.0</v>
      </c>
      <c r="O1160" s="1201">
        <v>110.0</v>
      </c>
      <c r="P1160" s="1201">
        <v>70.0</v>
      </c>
      <c r="Q1160" s="1201">
        <v>60.0</v>
      </c>
      <c r="R1160" s="960">
        <v>156.0</v>
      </c>
      <c r="S1160" s="960">
        <v>219.0</v>
      </c>
      <c r="T1160" s="960">
        <v>240.0</v>
      </c>
      <c r="U1160" s="960">
        <f t="array" ref="U1160">HLOOKUP($J1160,'Type Chart'!$C$2:$T$20,2,false)*HLOOKUP($K1160,'Type Chart'!$C$2:$U$20,2,false)</f>
        <v>1</v>
      </c>
      <c r="V1160" s="960">
        <f t="array" ref="V1160">HLOOKUP($J1160,'Type Chart'!$C$2:$T$20,3,false)*HLOOKUP($K1160,'Type Chart'!$C$2:$U$20,3,false)</f>
        <v>1</v>
      </c>
      <c r="W1160" s="960">
        <f t="array" ref="W1160">HLOOKUP($J1160,'Type Chart'!$C$2:$T$20,4,false)*HLOOKUP($K1160,'Type Chart'!$C$2:$U$20,4,false)</f>
        <v>1</v>
      </c>
      <c r="X1160" s="960">
        <f t="array" ref="X1160">HLOOKUP($J1160,'Type Chart'!$C$2:$T$20,5,false)*HLOOKUP($K1160,'Type Chart'!$C$2:$U$20,5,false)</f>
        <v>1</v>
      </c>
      <c r="Y1160" s="960">
        <f t="array" ref="Y1160">HLOOKUP($J1160,'Type Chart'!$C$2:$T$20,6,false)*HLOOKUP($K1160,'Type Chart'!$C$2:$U$20,6,false)</f>
        <v>1</v>
      </c>
      <c r="Z1160" s="960">
        <f t="array" ref="Z1160">HLOOKUP($J1160,'Type Chart'!$C$2:$T$20,7,false)*HLOOKUP($K1160,'Type Chart'!$C$2:$U$20,7,false)</f>
        <v>1</v>
      </c>
      <c r="AA1160" s="960">
        <f t="array" ref="AA1160">HLOOKUP($J1160,'Type Chart'!$C$2:$T$20,8,false)*HLOOKUP($K1160,'Type Chart'!$C$2:$U$20,8,false)</f>
        <v>2</v>
      </c>
      <c r="AB1160" s="960">
        <f t="array" ref="AB1160">HLOOKUP($J1160,'Type Chart'!$C$2:$T$20,9,false)*HLOOKUP($K1160,'Type Chart'!$C$2:$U$20,9,false)</f>
        <v>0</v>
      </c>
      <c r="AC1160" s="960">
        <f t="array" ref="AC1160">HLOOKUP($J1160,'Type Chart'!$C$2:$T$20,10,false)*HLOOKUP($K1160,'Type Chart'!$C$2:$U$20,10,false)</f>
        <v>1</v>
      </c>
      <c r="AD1160" s="960">
        <f t="array" ref="AD1160">HLOOKUP($J1160,'Type Chart'!$C$2:$T$20,11,false)*HLOOKUP($K1160,'Type Chart'!$C$2:$U$20,11,false)</f>
        <v>1</v>
      </c>
      <c r="AE1160" s="960">
        <f t="array" ref="AE1160">HLOOKUP($J1160,'Type Chart'!$C$2:$T$20,12,false)*HLOOKUP($K1160,'Type Chart'!$C$2:$U$20,12,false)</f>
        <v>1</v>
      </c>
      <c r="AF1160" s="960">
        <f t="array" ref="AF1160">HLOOKUP($J1160,'Type Chart'!$C$2:$T$20,13,false)*HLOOKUP($K1160,'Type Chart'!$C$2:$U$20,13,false)</f>
        <v>1</v>
      </c>
      <c r="AG1160" s="960">
        <f t="array" ref="AG1160">HLOOKUP($J1160,'Type Chart'!$C$2:$T$20,14,false)*HLOOKUP($K1160,'Type Chart'!$C$2:$U$20,14,false)</f>
        <v>1</v>
      </c>
      <c r="AH1160" s="960">
        <f t="array" ref="AH1160">HLOOKUP($J1160,'Type Chart'!$C$2:$T$20,15,false)*HLOOKUP($K1160,'Type Chart'!$C$2:$U$20,15,false)</f>
        <v>0.5</v>
      </c>
      <c r="AI1160" s="960">
        <f t="array" ref="AI1160">HLOOKUP($J1160,'Type Chart'!$C$2:$T$20,16,false)*HLOOKUP($K1160,'Type Chart'!$C$2:$U$20,16,false)</f>
        <v>1</v>
      </c>
      <c r="AJ1160" s="960">
        <f t="array" ref="AJ1160">HLOOKUP($J1160,'Type Chart'!$C$2:$T$20,17,false)*HLOOKUP($K1160,'Type Chart'!$C$2:$U$20,17,false)</f>
        <v>1</v>
      </c>
      <c r="AK1160" s="960">
        <f t="array" ref="AK1160">HLOOKUP($J1160,'Type Chart'!$C$2:$T$20,18,false)*HLOOKUP($K1160,'Type Chart'!$C$2:$U$20,18,false)</f>
        <v>2</v>
      </c>
      <c r="AL1160" s="960">
        <f t="array" ref="AL1160">HLOOKUP($J1160,'Type Chart'!$C$2:$T$20,19,false)*HLOOKUP($K1160,'Type Chart'!$C$2:$U$20,19,false)</f>
        <v>1</v>
      </c>
      <c r="AM1160" s="1145" t="s">
        <v>4191</v>
      </c>
      <c r="AN1160" s="1145" t="s">
        <v>4192</v>
      </c>
      <c r="AO1160" s="1146" t="s">
        <v>1772</v>
      </c>
      <c r="AP1160" s="936"/>
      <c r="AQ1160" s="967"/>
      <c r="AR1160" s="968"/>
      <c r="AS1160" s="936"/>
    </row>
    <row r="1161" ht="15.75" customHeight="1">
      <c r="A1161" s="936"/>
      <c r="B1161" s="948">
        <v>929.0</v>
      </c>
      <c r="C1161" s="950" t="s">
        <v>4193</v>
      </c>
      <c r="D1161" s="950" t="s">
        <v>4193</v>
      </c>
      <c r="E1161" s="952" t="s">
        <v>4193</v>
      </c>
      <c r="F1161" s="940"/>
      <c r="G1161" s="953"/>
      <c r="H1161" s="969"/>
      <c r="I1161" s="956" t="s">
        <v>4194</v>
      </c>
      <c r="J1161" s="1056" t="s">
        <v>81</v>
      </c>
      <c r="K1161" s="1235" t="s">
        <v>216</v>
      </c>
      <c r="L1161" s="959">
        <v>10.0</v>
      </c>
      <c r="M1161" s="960">
        <v>55.0</v>
      </c>
      <c r="N1161" s="960">
        <v>25.0</v>
      </c>
      <c r="O1161" s="960">
        <v>35.0</v>
      </c>
      <c r="P1161" s="960">
        <v>25.0</v>
      </c>
      <c r="Q1161" s="960">
        <v>95.0</v>
      </c>
      <c r="R1161" s="960">
        <v>226.0</v>
      </c>
      <c r="S1161" s="960">
        <v>289.0</v>
      </c>
      <c r="T1161" s="960">
        <v>317.0</v>
      </c>
      <c r="U1161" s="960">
        <f t="array" ref="U1161">HLOOKUP($J1161,'Type Chart'!$C$2:$T$20,2,false)*HLOOKUP($K1161,'Type Chart'!$C$2:$U$20,2,false)</f>
        <v>1</v>
      </c>
      <c r="V1161" s="960">
        <f t="array" ref="V1161">HLOOKUP($J1161,'Type Chart'!$C$2:$T$20,3,false)*HLOOKUP($K1161,'Type Chart'!$C$2:$U$20,3,false)</f>
        <v>1</v>
      </c>
      <c r="W1161" s="960">
        <f t="array" ref="W1161">HLOOKUP($J1161,'Type Chart'!$C$2:$T$20,4,false)*HLOOKUP($K1161,'Type Chart'!$C$2:$U$20,4,false)</f>
        <v>1</v>
      </c>
      <c r="X1161" s="960">
        <f t="array" ref="X1161">HLOOKUP($J1161,'Type Chart'!$C$2:$T$20,5,false)*HLOOKUP($K1161,'Type Chart'!$C$2:$U$20,5,false)</f>
        <v>1</v>
      </c>
      <c r="Y1161" s="960">
        <f t="array" ref="Y1161">HLOOKUP($J1161,'Type Chart'!$C$2:$T$20,6,false)*HLOOKUP($K1161,'Type Chart'!$C$2:$U$20,6,false)</f>
        <v>1</v>
      </c>
      <c r="Z1161" s="960">
        <f t="array" ref="Z1161">HLOOKUP($J1161,'Type Chart'!$C$2:$T$20,7,false)*HLOOKUP($K1161,'Type Chart'!$C$2:$U$20,7,false)</f>
        <v>1</v>
      </c>
      <c r="AA1161" s="960">
        <f t="array" ref="AA1161">HLOOKUP($J1161,'Type Chart'!$C$2:$T$20,8,false)*HLOOKUP($K1161,'Type Chart'!$C$2:$U$20,8,false)</f>
        <v>1</v>
      </c>
      <c r="AB1161" s="960">
        <f t="array" ref="AB1161">HLOOKUP($J1161,'Type Chart'!$C$2:$T$20,9,false)*HLOOKUP($K1161,'Type Chart'!$C$2:$U$20,9,false)</f>
        <v>1</v>
      </c>
      <c r="AC1161" s="960">
        <f t="array" ref="AC1161">HLOOKUP($J1161,'Type Chart'!$C$2:$T$20,10,false)*HLOOKUP($K1161,'Type Chart'!$C$2:$U$20,10,false)</f>
        <v>0.5</v>
      </c>
      <c r="AD1161" s="960">
        <f t="array" ref="AD1161">HLOOKUP($J1161,'Type Chart'!$C$2:$T$20,11,false)*HLOOKUP($K1161,'Type Chart'!$C$2:$U$20,11,false)</f>
        <v>0.5</v>
      </c>
      <c r="AE1161" s="960">
        <f t="array" ref="AE1161">HLOOKUP($J1161,'Type Chart'!$C$2:$T$20,12,false)*HLOOKUP($K1161,'Type Chart'!$C$2:$U$20,12,false)</f>
        <v>0.5</v>
      </c>
      <c r="AF1161" s="960">
        <f t="array" ref="AF1161">HLOOKUP($J1161,'Type Chart'!$C$2:$T$20,13,false)*HLOOKUP($K1161,'Type Chart'!$C$2:$U$20,13,false)</f>
        <v>2</v>
      </c>
      <c r="AG1161" s="960">
        <f t="array" ref="AG1161">HLOOKUP($J1161,'Type Chart'!$C$2:$T$20,14,false)*HLOOKUP($K1161,'Type Chart'!$C$2:$U$20,14,false)</f>
        <v>2</v>
      </c>
      <c r="AH1161" s="960">
        <f t="array" ref="AH1161">HLOOKUP($J1161,'Type Chart'!$C$2:$T$20,15,false)*HLOOKUP($K1161,'Type Chart'!$C$2:$U$20,15,false)</f>
        <v>1</v>
      </c>
      <c r="AI1161" s="960">
        <f t="array" ref="AI1161">HLOOKUP($J1161,'Type Chart'!$C$2:$T$20,16,false)*HLOOKUP($K1161,'Type Chart'!$C$2:$U$20,16,false)</f>
        <v>0.5</v>
      </c>
      <c r="AJ1161" s="960">
        <f t="array" ref="AJ1161">HLOOKUP($J1161,'Type Chart'!$C$2:$T$20,17,false)*HLOOKUP($K1161,'Type Chart'!$C$2:$U$20,17,false)</f>
        <v>1</v>
      </c>
      <c r="AK1161" s="960">
        <f t="array" ref="AK1161">HLOOKUP($J1161,'Type Chart'!$C$2:$T$20,18,false)*HLOOKUP($K1161,'Type Chart'!$C$2:$U$20,18,false)</f>
        <v>1</v>
      </c>
      <c r="AL1161" s="960">
        <f t="array" ref="AL1161">HLOOKUP($J1161,'Type Chart'!$C$2:$T$20,19,false)*HLOOKUP($K1161,'Type Chart'!$C$2:$U$20,19,false)</f>
        <v>1</v>
      </c>
      <c r="AM1161" s="964" t="s">
        <v>3434</v>
      </c>
      <c r="AN1161" s="964" t="s">
        <v>1243</v>
      </c>
      <c r="AO1161" s="966" t="s">
        <v>1129</v>
      </c>
      <c r="AP1161" s="936"/>
      <c r="AQ1161" s="967"/>
      <c r="AR1161" s="968"/>
      <c r="AS1161" s="936"/>
    </row>
    <row r="1162" ht="15.75" customHeight="1">
      <c r="A1162" s="936"/>
      <c r="B1162" s="948">
        <v>930.0</v>
      </c>
      <c r="C1162" s="950" t="s">
        <v>4195</v>
      </c>
      <c r="D1162" s="950" t="s">
        <v>4195</v>
      </c>
      <c r="E1162" s="952" t="s">
        <v>4195</v>
      </c>
      <c r="F1162" s="940"/>
      <c r="G1162" s="953"/>
      <c r="H1162" s="969"/>
      <c r="I1162" s="956" t="s">
        <v>874</v>
      </c>
      <c r="J1162" s="1056" t="s">
        <v>81</v>
      </c>
      <c r="K1162" s="1235" t="s">
        <v>216</v>
      </c>
      <c r="L1162" s="959">
        <v>35.0</v>
      </c>
      <c r="M1162" s="960">
        <v>100.0</v>
      </c>
      <c r="N1162" s="960">
        <v>50.0</v>
      </c>
      <c r="O1162" s="960">
        <v>50.0</v>
      </c>
      <c r="P1162" s="960">
        <v>70.0</v>
      </c>
      <c r="Q1162" s="960">
        <v>120.0</v>
      </c>
      <c r="R1162" s="960">
        <v>276.0</v>
      </c>
      <c r="S1162" s="960">
        <v>339.0</v>
      </c>
      <c r="T1162" s="960">
        <v>372.0</v>
      </c>
      <c r="U1162" s="960">
        <f t="array" ref="U1162">HLOOKUP($J1162,'Type Chart'!$C$2:$T$20,2,false)*HLOOKUP($K1162,'Type Chart'!$C$2:$U$20,2,false)</f>
        <v>1</v>
      </c>
      <c r="V1162" s="960">
        <f t="array" ref="V1162">HLOOKUP($J1162,'Type Chart'!$C$2:$T$20,3,false)*HLOOKUP($K1162,'Type Chart'!$C$2:$U$20,3,false)</f>
        <v>1</v>
      </c>
      <c r="W1162" s="960">
        <f t="array" ref="W1162">HLOOKUP($J1162,'Type Chart'!$C$2:$T$20,4,false)*HLOOKUP($K1162,'Type Chart'!$C$2:$U$20,4,false)</f>
        <v>1</v>
      </c>
      <c r="X1162" s="960">
        <f t="array" ref="X1162">HLOOKUP($J1162,'Type Chart'!$C$2:$T$20,5,false)*HLOOKUP($K1162,'Type Chart'!$C$2:$U$20,5,false)</f>
        <v>1</v>
      </c>
      <c r="Y1162" s="960">
        <f t="array" ref="Y1162">HLOOKUP($J1162,'Type Chart'!$C$2:$T$20,6,false)*HLOOKUP($K1162,'Type Chart'!$C$2:$U$20,6,false)</f>
        <v>1</v>
      </c>
      <c r="Z1162" s="960">
        <f t="array" ref="Z1162">HLOOKUP($J1162,'Type Chart'!$C$2:$T$20,7,false)*HLOOKUP($K1162,'Type Chart'!$C$2:$U$20,7,false)</f>
        <v>1</v>
      </c>
      <c r="AA1162" s="960">
        <f t="array" ref="AA1162">HLOOKUP($J1162,'Type Chart'!$C$2:$T$20,8,false)*HLOOKUP($K1162,'Type Chart'!$C$2:$U$20,8,false)</f>
        <v>1</v>
      </c>
      <c r="AB1162" s="960">
        <f t="array" ref="AB1162">HLOOKUP($J1162,'Type Chart'!$C$2:$T$20,9,false)*HLOOKUP($K1162,'Type Chart'!$C$2:$U$20,9,false)</f>
        <v>1</v>
      </c>
      <c r="AC1162" s="960">
        <f t="array" ref="AC1162">HLOOKUP($J1162,'Type Chart'!$C$2:$T$20,10,false)*HLOOKUP($K1162,'Type Chart'!$C$2:$U$20,10,false)</f>
        <v>0.5</v>
      </c>
      <c r="AD1162" s="960">
        <f t="array" ref="AD1162">HLOOKUP($J1162,'Type Chart'!$C$2:$T$20,11,false)*HLOOKUP($K1162,'Type Chart'!$C$2:$U$20,11,false)</f>
        <v>0.5</v>
      </c>
      <c r="AE1162" s="960">
        <f t="array" ref="AE1162">HLOOKUP($J1162,'Type Chart'!$C$2:$T$20,12,false)*HLOOKUP($K1162,'Type Chart'!$C$2:$U$20,12,false)</f>
        <v>0.5</v>
      </c>
      <c r="AF1162" s="960">
        <f t="array" ref="AF1162">HLOOKUP($J1162,'Type Chart'!$C$2:$T$20,13,false)*HLOOKUP($K1162,'Type Chart'!$C$2:$U$20,13,false)</f>
        <v>2</v>
      </c>
      <c r="AG1162" s="960">
        <f t="array" ref="AG1162">HLOOKUP($J1162,'Type Chart'!$C$2:$T$20,14,false)*HLOOKUP($K1162,'Type Chart'!$C$2:$U$20,14,false)</f>
        <v>2</v>
      </c>
      <c r="AH1162" s="960">
        <f t="array" ref="AH1162">HLOOKUP($J1162,'Type Chart'!$C$2:$T$20,15,false)*HLOOKUP($K1162,'Type Chart'!$C$2:$U$20,15,false)</f>
        <v>1</v>
      </c>
      <c r="AI1162" s="960">
        <f t="array" ref="AI1162">HLOOKUP($J1162,'Type Chart'!$C$2:$T$20,16,false)*HLOOKUP($K1162,'Type Chart'!$C$2:$U$20,16,false)</f>
        <v>0.5</v>
      </c>
      <c r="AJ1162" s="960">
        <f t="array" ref="AJ1162">HLOOKUP($J1162,'Type Chart'!$C$2:$T$20,17,false)*HLOOKUP($K1162,'Type Chart'!$C$2:$U$20,17,false)</f>
        <v>1</v>
      </c>
      <c r="AK1162" s="960">
        <f t="array" ref="AK1162">HLOOKUP($J1162,'Type Chart'!$C$2:$T$20,18,false)*HLOOKUP($K1162,'Type Chart'!$C$2:$U$20,18,false)</f>
        <v>1</v>
      </c>
      <c r="AL1162" s="960">
        <f t="array" ref="AL1162">HLOOKUP($J1162,'Type Chart'!$C$2:$T$20,19,false)*HLOOKUP($K1162,'Type Chart'!$C$2:$U$20,19,false)</f>
        <v>1</v>
      </c>
      <c r="AM1162" s="964" t="s">
        <v>3434</v>
      </c>
      <c r="AN1162" s="964" t="s">
        <v>1243</v>
      </c>
      <c r="AO1162" s="966" t="s">
        <v>1129</v>
      </c>
      <c r="AP1162" s="936"/>
      <c r="AQ1162" s="967"/>
      <c r="AR1162" s="968"/>
      <c r="AS1162" s="936"/>
    </row>
    <row r="1163" ht="15.75" customHeight="1">
      <c r="A1163" s="936"/>
      <c r="B1163" s="948">
        <v>931.0</v>
      </c>
      <c r="C1163" s="950" t="s">
        <v>4196</v>
      </c>
      <c r="D1163" s="950" t="s">
        <v>4196</v>
      </c>
      <c r="E1163" s="952" t="s">
        <v>4196</v>
      </c>
      <c r="F1163" s="940"/>
      <c r="G1163" s="953"/>
      <c r="H1163" s="969"/>
      <c r="I1163" s="956" t="s">
        <v>533</v>
      </c>
      <c r="J1163" s="1056" t="s">
        <v>81</v>
      </c>
      <c r="K1163" s="1235" t="s">
        <v>216</v>
      </c>
      <c r="L1163" s="959">
        <v>150.0</v>
      </c>
      <c r="M1163" s="960">
        <v>100.0</v>
      </c>
      <c r="N1163" s="960">
        <v>115.0</v>
      </c>
      <c r="O1163" s="960">
        <v>65.0</v>
      </c>
      <c r="P1163" s="960">
        <v>65.0</v>
      </c>
      <c r="Q1163" s="960">
        <v>35.0</v>
      </c>
      <c r="R1163" s="960">
        <v>106.0</v>
      </c>
      <c r="S1163" s="960">
        <v>169.0</v>
      </c>
      <c r="T1163" s="960">
        <v>185.0</v>
      </c>
      <c r="U1163" s="960">
        <f t="array" ref="U1163">HLOOKUP($J1163,'Type Chart'!$C$2:$T$20,2,false)*HLOOKUP($K1163,'Type Chart'!$C$2:$U$20,2,false)</f>
        <v>1</v>
      </c>
      <c r="V1163" s="960">
        <f t="array" ref="V1163">HLOOKUP($J1163,'Type Chart'!$C$2:$T$20,3,false)*HLOOKUP($K1163,'Type Chart'!$C$2:$U$20,3,false)</f>
        <v>1</v>
      </c>
      <c r="W1163" s="960">
        <f t="array" ref="W1163">HLOOKUP($J1163,'Type Chart'!$C$2:$T$20,4,false)*HLOOKUP($K1163,'Type Chart'!$C$2:$U$20,4,false)</f>
        <v>1</v>
      </c>
      <c r="X1163" s="960">
        <f t="array" ref="X1163">HLOOKUP($J1163,'Type Chart'!$C$2:$T$20,5,false)*HLOOKUP($K1163,'Type Chart'!$C$2:$U$20,5,false)</f>
        <v>1</v>
      </c>
      <c r="Y1163" s="960">
        <f t="array" ref="Y1163">HLOOKUP($J1163,'Type Chart'!$C$2:$T$20,6,false)*HLOOKUP($K1163,'Type Chart'!$C$2:$U$20,6,false)</f>
        <v>1</v>
      </c>
      <c r="Z1163" s="960">
        <f t="array" ref="Z1163">HLOOKUP($J1163,'Type Chart'!$C$2:$T$20,7,false)*HLOOKUP($K1163,'Type Chart'!$C$2:$U$20,7,false)</f>
        <v>1</v>
      </c>
      <c r="AA1163" s="960">
        <f t="array" ref="AA1163">HLOOKUP($J1163,'Type Chart'!$C$2:$T$20,8,false)*HLOOKUP($K1163,'Type Chart'!$C$2:$U$20,8,false)</f>
        <v>1</v>
      </c>
      <c r="AB1163" s="960">
        <f t="array" ref="AB1163">HLOOKUP($J1163,'Type Chart'!$C$2:$T$20,9,false)*HLOOKUP($K1163,'Type Chart'!$C$2:$U$20,9,false)</f>
        <v>1</v>
      </c>
      <c r="AC1163" s="960">
        <f t="array" ref="AC1163">HLOOKUP($J1163,'Type Chart'!$C$2:$T$20,10,false)*HLOOKUP($K1163,'Type Chart'!$C$2:$U$20,10,false)</f>
        <v>0.5</v>
      </c>
      <c r="AD1163" s="960">
        <f t="array" ref="AD1163">HLOOKUP($J1163,'Type Chart'!$C$2:$T$20,11,false)*HLOOKUP($K1163,'Type Chart'!$C$2:$U$20,11,false)</f>
        <v>0.5</v>
      </c>
      <c r="AE1163" s="960">
        <f t="array" ref="AE1163">HLOOKUP($J1163,'Type Chart'!$C$2:$T$20,12,false)*HLOOKUP($K1163,'Type Chart'!$C$2:$U$20,12,false)</f>
        <v>0.5</v>
      </c>
      <c r="AF1163" s="960">
        <f t="array" ref="AF1163">HLOOKUP($J1163,'Type Chart'!$C$2:$T$20,13,false)*HLOOKUP($K1163,'Type Chart'!$C$2:$U$20,13,false)</f>
        <v>2</v>
      </c>
      <c r="AG1163" s="960">
        <f t="array" ref="AG1163">HLOOKUP($J1163,'Type Chart'!$C$2:$T$20,14,false)*HLOOKUP($K1163,'Type Chart'!$C$2:$U$20,14,false)</f>
        <v>2</v>
      </c>
      <c r="AH1163" s="960">
        <f t="array" ref="AH1163">HLOOKUP($J1163,'Type Chart'!$C$2:$T$20,15,false)*HLOOKUP($K1163,'Type Chart'!$C$2:$U$20,15,false)</f>
        <v>1</v>
      </c>
      <c r="AI1163" s="960">
        <f t="array" ref="AI1163">HLOOKUP($J1163,'Type Chart'!$C$2:$T$20,16,false)*HLOOKUP($K1163,'Type Chart'!$C$2:$U$20,16,false)</f>
        <v>0.5</v>
      </c>
      <c r="AJ1163" s="960">
        <f t="array" ref="AJ1163">HLOOKUP($J1163,'Type Chart'!$C$2:$T$20,17,false)*HLOOKUP($K1163,'Type Chart'!$C$2:$U$20,17,false)</f>
        <v>1</v>
      </c>
      <c r="AK1163" s="960">
        <f t="array" ref="AK1163">HLOOKUP($J1163,'Type Chart'!$C$2:$T$20,18,false)*HLOOKUP($K1163,'Type Chart'!$C$2:$U$20,18,false)</f>
        <v>1</v>
      </c>
      <c r="AL1163" s="960">
        <f t="array" ref="AL1163">HLOOKUP($J1163,'Type Chart'!$C$2:$T$20,19,false)*HLOOKUP($K1163,'Type Chart'!$C$2:$U$20,19,false)</f>
        <v>1</v>
      </c>
      <c r="AM1163" s="964" t="s">
        <v>1169</v>
      </c>
      <c r="AN1163" s="964" t="s">
        <v>1369</v>
      </c>
      <c r="AO1163" s="966" t="s">
        <v>1542</v>
      </c>
      <c r="AP1163" s="936"/>
      <c r="AQ1163" s="967"/>
      <c r="AR1163" s="968"/>
      <c r="AS1163" s="936"/>
    </row>
    <row r="1164" ht="15.75" customHeight="1">
      <c r="A1164" s="936"/>
      <c r="B1164" s="948">
        <v>932.0</v>
      </c>
      <c r="C1164" s="950" t="s">
        <v>4197</v>
      </c>
      <c r="D1164" s="950" t="s">
        <v>4197</v>
      </c>
      <c r="E1164" s="952" t="s">
        <v>4197</v>
      </c>
      <c r="F1164" s="940"/>
      <c r="G1164" s="953"/>
      <c r="H1164" s="969"/>
      <c r="I1164" s="956" t="s">
        <v>776</v>
      </c>
      <c r="J1164" s="1056" t="s">
        <v>81</v>
      </c>
      <c r="K1164" s="1203" t="s">
        <v>344</v>
      </c>
      <c r="L1164" s="959">
        <v>90.0</v>
      </c>
      <c r="M1164" s="960">
        <v>102.0</v>
      </c>
      <c r="N1164" s="960">
        <v>73.0</v>
      </c>
      <c r="O1164" s="960">
        <v>78.0</v>
      </c>
      <c r="P1164" s="960">
        <v>65.0</v>
      </c>
      <c r="Q1164" s="960">
        <v>70.0</v>
      </c>
      <c r="R1164" s="960">
        <v>176.0</v>
      </c>
      <c r="S1164" s="960">
        <v>239.0</v>
      </c>
      <c r="T1164" s="960">
        <v>262.0</v>
      </c>
      <c r="U1164" s="960">
        <f t="array" ref="U1164">HLOOKUP($J1164,'Type Chart'!$C$2:$T$20,2,false)*HLOOKUP($K1164,'Type Chart'!$C$2:$U$20,2,false)</f>
        <v>1</v>
      </c>
      <c r="V1164" s="960">
        <f t="array" ref="V1164">HLOOKUP($J1164,'Type Chart'!$C$2:$T$20,3,false)*HLOOKUP($K1164,'Type Chart'!$C$2:$U$20,3,false)</f>
        <v>0.5</v>
      </c>
      <c r="W1164" s="960">
        <f t="array" ref="W1164">HLOOKUP($J1164,'Type Chart'!$C$2:$T$20,4,false)*HLOOKUP($K1164,'Type Chart'!$C$2:$U$20,4,false)</f>
        <v>1</v>
      </c>
      <c r="X1164" s="960">
        <f t="array" ref="X1164">HLOOKUP($J1164,'Type Chart'!$C$2:$T$20,5,false)*HLOOKUP($K1164,'Type Chart'!$C$2:$U$20,5,false)</f>
        <v>1</v>
      </c>
      <c r="Y1164" s="960">
        <f t="array" ref="Y1164">HLOOKUP($J1164,'Type Chart'!$C$2:$T$20,6,false)*HLOOKUP($K1164,'Type Chart'!$C$2:$U$20,6,false)</f>
        <v>1</v>
      </c>
      <c r="Z1164" s="960">
        <f t="array" ref="Z1164">HLOOKUP($J1164,'Type Chart'!$C$2:$T$20,7,false)*HLOOKUP($K1164,'Type Chart'!$C$2:$U$20,7,false)</f>
        <v>1</v>
      </c>
      <c r="AA1164" s="960">
        <f t="array" ref="AA1164">HLOOKUP($J1164,'Type Chart'!$C$2:$T$20,8,false)*HLOOKUP($K1164,'Type Chart'!$C$2:$U$20,8,false)</f>
        <v>2</v>
      </c>
      <c r="AB1164" s="960">
        <f t="array" ref="AB1164">HLOOKUP($J1164,'Type Chart'!$C$2:$T$20,9,false)*HLOOKUP($K1164,'Type Chart'!$C$2:$U$20,9,false)</f>
        <v>2</v>
      </c>
      <c r="AC1164" s="960">
        <f t="array" ref="AC1164">HLOOKUP($J1164,'Type Chart'!$C$2:$T$20,10,false)*HLOOKUP($K1164,'Type Chart'!$C$2:$U$20,10,false)</f>
        <v>0.5</v>
      </c>
      <c r="AD1164" s="960">
        <f t="array" ref="AD1164">HLOOKUP($J1164,'Type Chart'!$C$2:$T$20,11,false)*HLOOKUP($K1164,'Type Chart'!$C$2:$U$20,11,false)</f>
        <v>0.5</v>
      </c>
      <c r="AE1164" s="960">
        <f t="array" ref="AE1164">HLOOKUP($J1164,'Type Chart'!$C$2:$T$20,12,false)*HLOOKUP($K1164,'Type Chart'!$C$2:$U$20,12,false)</f>
        <v>0.5</v>
      </c>
      <c r="AF1164" s="960">
        <f t="array" ref="AF1164">HLOOKUP($J1164,'Type Chart'!$C$2:$T$20,13,false)*HLOOKUP($K1164,'Type Chart'!$C$2:$U$20,13,false)</f>
        <v>2</v>
      </c>
      <c r="AG1164" s="960">
        <f t="array" ref="AG1164">HLOOKUP($J1164,'Type Chart'!$C$2:$T$20,14,false)*HLOOKUP($K1164,'Type Chart'!$C$2:$U$20,14,false)</f>
        <v>2</v>
      </c>
      <c r="AH1164" s="960">
        <f t="array" ref="AH1164">HLOOKUP($J1164,'Type Chart'!$C$2:$T$20,15,false)*HLOOKUP($K1164,'Type Chart'!$C$2:$U$20,15,false)</f>
        <v>0.5</v>
      </c>
      <c r="AI1164" s="960">
        <f t="array" ref="AI1164">HLOOKUP($J1164,'Type Chart'!$C$2:$T$20,16,false)*HLOOKUP($K1164,'Type Chart'!$C$2:$U$20,16,false)</f>
        <v>0.5</v>
      </c>
      <c r="AJ1164" s="960">
        <f t="array" ref="AJ1164">HLOOKUP($J1164,'Type Chart'!$C$2:$T$20,17,false)*HLOOKUP($K1164,'Type Chart'!$C$2:$U$20,17,false)</f>
        <v>1</v>
      </c>
      <c r="AK1164" s="960">
        <f t="array" ref="AK1164">HLOOKUP($J1164,'Type Chart'!$C$2:$T$20,18,false)*HLOOKUP($K1164,'Type Chart'!$C$2:$U$20,18,false)</f>
        <v>2</v>
      </c>
      <c r="AL1164" s="960">
        <f t="array" ref="AL1164">HLOOKUP($J1164,'Type Chart'!$C$2:$T$20,19,false)*HLOOKUP($K1164,'Type Chart'!$C$2:$U$20,19,false)</f>
        <v>1</v>
      </c>
      <c r="AM1164" s="964" t="s">
        <v>1576</v>
      </c>
      <c r="AN1164" s="964"/>
      <c r="AO1164" s="966" t="s">
        <v>4198</v>
      </c>
      <c r="AP1164" s="936"/>
      <c r="AQ1164" s="967"/>
      <c r="AR1164" s="968"/>
      <c r="AS1164" s="936"/>
    </row>
    <row r="1165" ht="15.75" customHeight="1">
      <c r="A1165" s="936"/>
      <c r="B1165" s="948">
        <v>933.0</v>
      </c>
      <c r="C1165" s="950" t="s">
        <v>4199</v>
      </c>
      <c r="D1165" s="950" t="s">
        <v>4199</v>
      </c>
      <c r="E1165" s="952" t="s">
        <v>4199</v>
      </c>
      <c r="F1165" s="940"/>
      <c r="G1165" s="953"/>
      <c r="H1165" s="969"/>
      <c r="I1165" s="956" t="s">
        <v>4200</v>
      </c>
      <c r="J1165" s="1056" t="s">
        <v>81</v>
      </c>
      <c r="K1165" s="1235" t="s">
        <v>216</v>
      </c>
      <c r="L1165" s="959">
        <v>70.0</v>
      </c>
      <c r="M1165" s="960">
        <v>45.0</v>
      </c>
      <c r="N1165" s="960">
        <v>40.0</v>
      </c>
      <c r="O1165" s="960">
        <v>45.0</v>
      </c>
      <c r="P1165" s="960">
        <v>40.0</v>
      </c>
      <c r="Q1165" s="960">
        <v>75.0</v>
      </c>
      <c r="R1165" s="960">
        <v>186.0</v>
      </c>
      <c r="S1165" s="960">
        <v>249.0</v>
      </c>
      <c r="T1165" s="960">
        <v>273.0</v>
      </c>
      <c r="U1165" s="960">
        <f t="array" ref="U1165">HLOOKUP($J1165,'Type Chart'!$C$2:$T$20,2,false)*HLOOKUP($K1165,'Type Chart'!$C$2:$U$20,2,false)</f>
        <v>1</v>
      </c>
      <c r="V1165" s="960">
        <f t="array" ref="V1165">HLOOKUP($J1165,'Type Chart'!$C$2:$T$20,3,false)*HLOOKUP($K1165,'Type Chart'!$C$2:$U$20,3,false)</f>
        <v>1</v>
      </c>
      <c r="W1165" s="960">
        <f t="array" ref="W1165">HLOOKUP($J1165,'Type Chart'!$C$2:$T$20,4,false)*HLOOKUP($K1165,'Type Chart'!$C$2:$U$20,4,false)</f>
        <v>1</v>
      </c>
      <c r="X1165" s="960">
        <f t="array" ref="X1165">HLOOKUP($J1165,'Type Chart'!$C$2:$T$20,5,false)*HLOOKUP($K1165,'Type Chart'!$C$2:$U$20,5,false)</f>
        <v>1</v>
      </c>
      <c r="Y1165" s="960">
        <f t="array" ref="Y1165">HLOOKUP($J1165,'Type Chart'!$C$2:$T$20,6,false)*HLOOKUP($K1165,'Type Chart'!$C$2:$U$20,6,false)</f>
        <v>1</v>
      </c>
      <c r="Z1165" s="960">
        <f t="array" ref="Z1165">HLOOKUP($J1165,'Type Chart'!$C$2:$T$20,7,false)*HLOOKUP($K1165,'Type Chart'!$C$2:$U$20,7,false)</f>
        <v>1</v>
      </c>
      <c r="AA1165" s="960">
        <f t="array" ref="AA1165">HLOOKUP($J1165,'Type Chart'!$C$2:$T$20,8,false)*HLOOKUP($K1165,'Type Chart'!$C$2:$U$20,8,false)</f>
        <v>1</v>
      </c>
      <c r="AB1165" s="960">
        <f t="array" ref="AB1165">HLOOKUP($J1165,'Type Chart'!$C$2:$T$20,9,false)*HLOOKUP($K1165,'Type Chart'!$C$2:$U$20,9,false)</f>
        <v>1</v>
      </c>
      <c r="AC1165" s="960">
        <f t="array" ref="AC1165">HLOOKUP($J1165,'Type Chart'!$C$2:$T$20,10,false)*HLOOKUP($K1165,'Type Chart'!$C$2:$U$20,10,false)</f>
        <v>0.5</v>
      </c>
      <c r="AD1165" s="960">
        <f t="array" ref="AD1165">HLOOKUP($J1165,'Type Chart'!$C$2:$T$20,11,false)*HLOOKUP($K1165,'Type Chart'!$C$2:$U$20,11,false)</f>
        <v>0.5</v>
      </c>
      <c r="AE1165" s="960">
        <f t="array" ref="AE1165">HLOOKUP($J1165,'Type Chart'!$C$2:$T$20,12,false)*HLOOKUP($K1165,'Type Chart'!$C$2:$U$20,12,false)</f>
        <v>0.5</v>
      </c>
      <c r="AF1165" s="960">
        <f t="array" ref="AF1165">HLOOKUP($J1165,'Type Chart'!$C$2:$T$20,13,false)*HLOOKUP($K1165,'Type Chart'!$C$2:$U$20,13,false)</f>
        <v>2</v>
      </c>
      <c r="AG1165" s="960">
        <f t="array" ref="AG1165">HLOOKUP($J1165,'Type Chart'!$C$2:$T$20,14,false)*HLOOKUP($K1165,'Type Chart'!$C$2:$U$20,14,false)</f>
        <v>2</v>
      </c>
      <c r="AH1165" s="960">
        <f t="array" ref="AH1165">HLOOKUP($J1165,'Type Chart'!$C$2:$T$20,15,false)*HLOOKUP($K1165,'Type Chart'!$C$2:$U$20,15,false)</f>
        <v>1</v>
      </c>
      <c r="AI1165" s="960">
        <f t="array" ref="AI1165">HLOOKUP($J1165,'Type Chart'!$C$2:$T$20,16,false)*HLOOKUP($K1165,'Type Chart'!$C$2:$U$20,16,false)</f>
        <v>0.5</v>
      </c>
      <c r="AJ1165" s="960">
        <f t="array" ref="AJ1165">HLOOKUP($J1165,'Type Chart'!$C$2:$T$20,17,false)*HLOOKUP($K1165,'Type Chart'!$C$2:$U$20,17,false)</f>
        <v>1</v>
      </c>
      <c r="AK1165" s="960">
        <f t="array" ref="AK1165">HLOOKUP($J1165,'Type Chart'!$C$2:$T$20,18,false)*HLOOKUP($K1165,'Type Chart'!$C$2:$U$20,18,false)</f>
        <v>1</v>
      </c>
      <c r="AL1165" s="960">
        <f t="array" ref="AL1165">HLOOKUP($J1165,'Type Chart'!$C$2:$T$20,19,false)*HLOOKUP($K1165,'Type Chart'!$C$2:$U$20,19,false)</f>
        <v>1</v>
      </c>
      <c r="AM1165" s="964" t="s">
        <v>1542</v>
      </c>
      <c r="AN1165" s="964"/>
      <c r="AO1165" s="966"/>
      <c r="AP1165" s="936"/>
      <c r="AQ1165" s="967"/>
      <c r="AR1165" s="968"/>
      <c r="AS1165" s="936"/>
    </row>
    <row r="1166" ht="15.75" customHeight="1">
      <c r="A1166" s="936"/>
      <c r="B1166" s="948">
        <v>934.0</v>
      </c>
      <c r="C1166" s="950" t="s">
        <v>125</v>
      </c>
      <c r="D1166" s="950" t="s">
        <v>125</v>
      </c>
      <c r="E1166" s="952" t="s">
        <v>125</v>
      </c>
      <c r="F1166" s="940"/>
      <c r="G1166" s="953"/>
      <c r="H1166" s="969"/>
      <c r="I1166" s="956" t="s">
        <v>99</v>
      </c>
      <c r="J1166" s="1056" t="s">
        <v>81</v>
      </c>
      <c r="K1166" s="1235" t="s">
        <v>216</v>
      </c>
      <c r="L1166" s="959">
        <v>100.0</v>
      </c>
      <c r="M1166" s="960">
        <v>70.0</v>
      </c>
      <c r="N1166" s="960">
        <v>72.0</v>
      </c>
      <c r="O1166" s="960">
        <v>53.0</v>
      </c>
      <c r="P1166" s="960">
        <v>62.0</v>
      </c>
      <c r="Q1166" s="960">
        <v>100.0</v>
      </c>
      <c r="R1166" s="960">
        <v>236.0</v>
      </c>
      <c r="S1166" s="960">
        <v>299.0</v>
      </c>
      <c r="T1166" s="960">
        <v>328.0</v>
      </c>
      <c r="U1166" s="960">
        <f t="array" ref="U1166">HLOOKUP($J1166,'Type Chart'!$C$2:$T$20,2,false)*HLOOKUP($K1166,'Type Chart'!$C$2:$U$20,2,false)</f>
        <v>1</v>
      </c>
      <c r="V1166" s="960">
        <f t="array" ref="V1166">HLOOKUP($J1166,'Type Chart'!$C$2:$T$20,3,false)*HLOOKUP($K1166,'Type Chart'!$C$2:$U$20,3,false)</f>
        <v>1</v>
      </c>
      <c r="W1166" s="960">
        <f t="array" ref="W1166">HLOOKUP($J1166,'Type Chart'!$C$2:$T$20,4,false)*HLOOKUP($K1166,'Type Chart'!$C$2:$U$20,4,false)</f>
        <v>1</v>
      </c>
      <c r="X1166" s="960">
        <f t="array" ref="X1166">HLOOKUP($J1166,'Type Chart'!$C$2:$T$20,5,false)*HLOOKUP($K1166,'Type Chart'!$C$2:$U$20,5,false)</f>
        <v>1</v>
      </c>
      <c r="Y1166" s="960">
        <f t="array" ref="Y1166">HLOOKUP($J1166,'Type Chart'!$C$2:$T$20,6,false)*HLOOKUP($K1166,'Type Chart'!$C$2:$U$20,6,false)</f>
        <v>1</v>
      </c>
      <c r="Z1166" s="960">
        <f t="array" ref="Z1166">HLOOKUP($J1166,'Type Chart'!$C$2:$T$20,7,false)*HLOOKUP($K1166,'Type Chart'!$C$2:$U$20,7,false)</f>
        <v>1</v>
      </c>
      <c r="AA1166" s="960">
        <f t="array" ref="AA1166">HLOOKUP($J1166,'Type Chart'!$C$2:$T$20,8,false)*HLOOKUP($K1166,'Type Chart'!$C$2:$U$20,8,false)</f>
        <v>1</v>
      </c>
      <c r="AB1166" s="960">
        <f t="array" ref="AB1166">HLOOKUP($J1166,'Type Chart'!$C$2:$T$20,9,false)*HLOOKUP($K1166,'Type Chart'!$C$2:$U$20,9,false)</f>
        <v>1</v>
      </c>
      <c r="AC1166" s="960">
        <f t="array" ref="AC1166">HLOOKUP($J1166,'Type Chart'!$C$2:$T$20,10,false)*HLOOKUP($K1166,'Type Chart'!$C$2:$U$20,10,false)</f>
        <v>0.5</v>
      </c>
      <c r="AD1166" s="960">
        <f t="array" ref="AD1166">HLOOKUP($J1166,'Type Chart'!$C$2:$T$20,11,false)*HLOOKUP($K1166,'Type Chart'!$C$2:$U$20,11,false)</f>
        <v>0.5</v>
      </c>
      <c r="AE1166" s="960">
        <f t="array" ref="AE1166">HLOOKUP($J1166,'Type Chart'!$C$2:$T$20,12,false)*HLOOKUP($K1166,'Type Chart'!$C$2:$U$20,12,false)</f>
        <v>0.5</v>
      </c>
      <c r="AF1166" s="960">
        <f t="array" ref="AF1166">HLOOKUP($J1166,'Type Chart'!$C$2:$T$20,13,false)*HLOOKUP($K1166,'Type Chart'!$C$2:$U$20,13,false)</f>
        <v>2</v>
      </c>
      <c r="AG1166" s="960">
        <f t="array" ref="AG1166">HLOOKUP($J1166,'Type Chart'!$C$2:$T$20,14,false)*HLOOKUP($K1166,'Type Chart'!$C$2:$U$20,14,false)</f>
        <v>2</v>
      </c>
      <c r="AH1166" s="960">
        <f t="array" ref="AH1166">HLOOKUP($J1166,'Type Chart'!$C$2:$T$20,15,false)*HLOOKUP($K1166,'Type Chart'!$C$2:$U$20,15,false)</f>
        <v>1</v>
      </c>
      <c r="AI1166" s="960">
        <f t="array" ref="AI1166">HLOOKUP($J1166,'Type Chart'!$C$2:$T$20,16,false)*HLOOKUP($K1166,'Type Chart'!$C$2:$U$20,16,false)</f>
        <v>0.5</v>
      </c>
      <c r="AJ1166" s="960">
        <f t="array" ref="AJ1166">HLOOKUP($J1166,'Type Chart'!$C$2:$T$20,17,false)*HLOOKUP($K1166,'Type Chart'!$C$2:$U$20,17,false)</f>
        <v>1</v>
      </c>
      <c r="AK1166" s="960">
        <f t="array" ref="AK1166">HLOOKUP($J1166,'Type Chart'!$C$2:$T$20,18,false)*HLOOKUP($K1166,'Type Chart'!$C$2:$U$20,18,false)</f>
        <v>1</v>
      </c>
      <c r="AL1166" s="960">
        <f t="array" ref="AL1166">HLOOKUP($J1166,'Type Chart'!$C$2:$T$20,19,false)*HLOOKUP($K1166,'Type Chart'!$C$2:$U$20,19,false)</f>
        <v>1</v>
      </c>
      <c r="AM1166" s="964" t="s">
        <v>4201</v>
      </c>
      <c r="AN1166" s="965"/>
      <c r="AO1166" s="966"/>
      <c r="AP1166" s="936"/>
      <c r="AQ1166" s="967"/>
      <c r="AR1166" s="968"/>
      <c r="AS1166" s="936"/>
    </row>
    <row r="1167" ht="15.75" customHeight="1">
      <c r="A1167" s="936"/>
      <c r="B1167" s="948" t="s">
        <v>4202</v>
      </c>
      <c r="C1167" s="950" t="s">
        <v>125</v>
      </c>
      <c r="D1167" s="950" t="s">
        <v>4203</v>
      </c>
      <c r="E1167" s="952" t="s">
        <v>4203</v>
      </c>
      <c r="F1167" s="940"/>
      <c r="G1167" s="953"/>
      <c r="H1167" s="969"/>
      <c r="I1167" s="956" t="s">
        <v>307</v>
      </c>
      <c r="J1167" s="1056" t="s">
        <v>81</v>
      </c>
      <c r="K1167" s="1235" t="s">
        <v>216</v>
      </c>
      <c r="L1167" s="959">
        <v>100.0</v>
      </c>
      <c r="M1167" s="960">
        <v>160.0</v>
      </c>
      <c r="N1167" s="960">
        <v>97.0</v>
      </c>
      <c r="O1167" s="960">
        <v>106.0</v>
      </c>
      <c r="P1167" s="960">
        <v>87.0</v>
      </c>
      <c r="Q1167" s="960">
        <v>100.0</v>
      </c>
      <c r="R1167" s="960">
        <v>236.0</v>
      </c>
      <c r="S1167" s="960">
        <v>299.0</v>
      </c>
      <c r="T1167" s="960">
        <v>328.0</v>
      </c>
      <c r="U1167" s="960">
        <f t="array" ref="U1167">HLOOKUP($J1167,'Type Chart'!$C$2:$T$20,2,false)*HLOOKUP($K1167,'Type Chart'!$C$2:$U$20,2,false)</f>
        <v>1</v>
      </c>
      <c r="V1167" s="960">
        <f t="array" ref="V1167">HLOOKUP($J1167,'Type Chart'!$C$2:$T$20,3,false)*HLOOKUP($K1167,'Type Chart'!$C$2:$U$20,3,false)</f>
        <v>1</v>
      </c>
      <c r="W1167" s="960">
        <f t="array" ref="W1167">HLOOKUP($J1167,'Type Chart'!$C$2:$T$20,4,false)*HLOOKUP($K1167,'Type Chart'!$C$2:$U$20,4,false)</f>
        <v>1</v>
      </c>
      <c r="X1167" s="960">
        <f t="array" ref="X1167">HLOOKUP($J1167,'Type Chart'!$C$2:$T$20,5,false)*HLOOKUP($K1167,'Type Chart'!$C$2:$U$20,5,false)</f>
        <v>1</v>
      </c>
      <c r="Y1167" s="960">
        <f t="array" ref="Y1167">HLOOKUP($J1167,'Type Chart'!$C$2:$T$20,6,false)*HLOOKUP($K1167,'Type Chart'!$C$2:$U$20,6,false)</f>
        <v>1</v>
      </c>
      <c r="Z1167" s="960">
        <f t="array" ref="Z1167">HLOOKUP($J1167,'Type Chart'!$C$2:$T$20,7,false)*HLOOKUP($K1167,'Type Chart'!$C$2:$U$20,7,false)</f>
        <v>1</v>
      </c>
      <c r="AA1167" s="960">
        <f t="array" ref="AA1167">HLOOKUP($J1167,'Type Chart'!$C$2:$T$20,8,false)*HLOOKUP($K1167,'Type Chart'!$C$2:$U$20,8,false)</f>
        <v>1</v>
      </c>
      <c r="AB1167" s="960">
        <f t="array" ref="AB1167">HLOOKUP($J1167,'Type Chart'!$C$2:$T$20,9,false)*HLOOKUP($K1167,'Type Chart'!$C$2:$U$20,9,false)</f>
        <v>1</v>
      </c>
      <c r="AC1167" s="960">
        <f t="array" ref="AC1167">HLOOKUP($J1167,'Type Chart'!$C$2:$T$20,10,false)*HLOOKUP($K1167,'Type Chart'!$C$2:$U$20,10,false)</f>
        <v>0.5</v>
      </c>
      <c r="AD1167" s="960">
        <f t="array" ref="AD1167">HLOOKUP($J1167,'Type Chart'!$C$2:$T$20,11,false)*HLOOKUP($K1167,'Type Chart'!$C$2:$U$20,11,false)</f>
        <v>0.5</v>
      </c>
      <c r="AE1167" s="960">
        <f t="array" ref="AE1167">HLOOKUP($J1167,'Type Chart'!$C$2:$T$20,12,false)*HLOOKUP($K1167,'Type Chart'!$C$2:$U$20,12,false)</f>
        <v>0.5</v>
      </c>
      <c r="AF1167" s="960">
        <f t="array" ref="AF1167">HLOOKUP($J1167,'Type Chart'!$C$2:$T$20,13,false)*HLOOKUP($K1167,'Type Chart'!$C$2:$U$20,13,false)</f>
        <v>2</v>
      </c>
      <c r="AG1167" s="960">
        <f t="array" ref="AG1167">HLOOKUP($J1167,'Type Chart'!$C$2:$T$20,14,false)*HLOOKUP($K1167,'Type Chart'!$C$2:$U$20,14,false)</f>
        <v>2</v>
      </c>
      <c r="AH1167" s="960">
        <f t="array" ref="AH1167">HLOOKUP($J1167,'Type Chart'!$C$2:$T$20,15,false)*HLOOKUP($K1167,'Type Chart'!$C$2:$U$20,15,false)</f>
        <v>1</v>
      </c>
      <c r="AI1167" s="960">
        <f t="array" ref="AI1167">HLOOKUP($J1167,'Type Chart'!$C$2:$T$20,16,false)*HLOOKUP($K1167,'Type Chart'!$C$2:$U$20,16,false)</f>
        <v>0.5</v>
      </c>
      <c r="AJ1167" s="960">
        <f t="array" ref="AJ1167">HLOOKUP($J1167,'Type Chart'!$C$2:$T$20,17,false)*HLOOKUP($K1167,'Type Chart'!$C$2:$U$20,17,false)</f>
        <v>1</v>
      </c>
      <c r="AK1167" s="960">
        <f t="array" ref="AK1167">HLOOKUP($J1167,'Type Chart'!$C$2:$T$20,18,false)*HLOOKUP($K1167,'Type Chart'!$C$2:$U$20,18,false)</f>
        <v>1</v>
      </c>
      <c r="AL1167" s="960">
        <f t="array" ref="AL1167">HLOOKUP($J1167,'Type Chart'!$C$2:$T$20,19,false)*HLOOKUP($K1167,'Type Chart'!$C$2:$U$20,19,false)</f>
        <v>1</v>
      </c>
      <c r="AM1167" s="964" t="s">
        <v>4201</v>
      </c>
      <c r="AN1167" s="965"/>
      <c r="AO1167" s="966"/>
      <c r="AP1167" s="936"/>
      <c r="AQ1167" s="967"/>
      <c r="AR1167" s="968"/>
      <c r="AS1167" s="936"/>
    </row>
    <row r="1168" ht="15.75" customHeight="1">
      <c r="A1168" s="936"/>
      <c r="B1168" s="948" t="s">
        <v>4204</v>
      </c>
      <c r="C1168" s="950" t="s">
        <v>4205</v>
      </c>
      <c r="D1168" s="950" t="s">
        <v>4205</v>
      </c>
      <c r="E1168" s="952" t="s">
        <v>4205</v>
      </c>
      <c r="F1168" s="940"/>
      <c r="G1168" s="953"/>
      <c r="H1168" s="969"/>
      <c r="I1168" s="956" t="s">
        <v>4206</v>
      </c>
      <c r="J1168" s="957" t="s">
        <v>209</v>
      </c>
      <c r="K1168" s="1194" t="s">
        <v>136</v>
      </c>
      <c r="L1168" s="959">
        <v>41.0</v>
      </c>
      <c r="M1168" s="960">
        <v>35.0</v>
      </c>
      <c r="N1168" s="960">
        <v>45.0</v>
      </c>
      <c r="O1168" s="960">
        <v>58.0</v>
      </c>
      <c r="P1168" s="960">
        <v>51.0</v>
      </c>
      <c r="Q1168" s="960">
        <v>30.0</v>
      </c>
      <c r="R1168" s="960">
        <v>96.0</v>
      </c>
      <c r="S1168" s="960">
        <v>159.0</v>
      </c>
      <c r="T1168" s="960">
        <v>174.0</v>
      </c>
      <c r="U1168" s="960">
        <f t="array" ref="U1168">HLOOKUP($J1168,'Type Chart'!$C$2:$T$20,2,false)*HLOOKUP($K1168,'Type Chart'!$C$2:$U$20,2,false)</f>
        <v>1</v>
      </c>
      <c r="V1168" s="960">
        <f t="array" ref="V1168">HLOOKUP($J1168,'Type Chart'!$C$2:$T$20,3,false)*HLOOKUP($K1168,'Type Chart'!$C$2:$U$20,3,false)</f>
        <v>2</v>
      </c>
      <c r="W1168" s="960">
        <f t="array" ref="W1168">HLOOKUP($J1168,'Type Chart'!$C$2:$T$20,4,false)*HLOOKUP($K1168,'Type Chart'!$C$2:$U$20,4,false)</f>
        <v>2</v>
      </c>
      <c r="X1168" s="960">
        <f t="array" ref="X1168">HLOOKUP($J1168,'Type Chart'!$C$2:$T$20,5,false)*HLOOKUP($K1168,'Type Chart'!$C$2:$U$20,5,false)</f>
        <v>2</v>
      </c>
      <c r="Y1168" s="960">
        <f t="array" ref="Y1168">HLOOKUP($J1168,'Type Chart'!$C$2:$T$20,6,false)*HLOOKUP($K1168,'Type Chart'!$C$2:$U$20,6,false)</f>
        <v>0.5</v>
      </c>
      <c r="Z1168" s="960">
        <f t="array" ref="Z1168">HLOOKUP($J1168,'Type Chart'!$C$2:$T$20,7,false)*HLOOKUP($K1168,'Type Chart'!$C$2:$U$20,7,false)</f>
        <v>1</v>
      </c>
      <c r="AA1168" s="960">
        <f t="array" ref="AA1168">HLOOKUP($J1168,'Type Chart'!$C$2:$T$20,8,false)*HLOOKUP($K1168,'Type Chart'!$C$2:$U$20,8,false)</f>
        <v>2</v>
      </c>
      <c r="AB1168" s="960">
        <f t="array" ref="AB1168">HLOOKUP($J1168,'Type Chart'!$C$2:$T$20,9,false)*HLOOKUP($K1168,'Type Chart'!$C$2:$U$20,9,false)</f>
        <v>0</v>
      </c>
      <c r="AC1168" s="960">
        <f t="array" ref="AC1168">HLOOKUP($J1168,'Type Chart'!$C$2:$T$20,10,false)*HLOOKUP($K1168,'Type Chart'!$C$2:$U$20,10,false)</f>
        <v>1</v>
      </c>
      <c r="AD1168" s="960">
        <f t="array" ref="AD1168">HLOOKUP($J1168,'Type Chart'!$C$2:$T$20,11,false)*HLOOKUP($K1168,'Type Chart'!$C$2:$U$20,11,false)</f>
        <v>2</v>
      </c>
      <c r="AE1168" s="960">
        <f t="array" ref="AE1168">HLOOKUP($J1168,'Type Chart'!$C$2:$T$20,12,false)*HLOOKUP($K1168,'Type Chart'!$C$2:$U$20,12,false)</f>
        <v>0.5</v>
      </c>
      <c r="AF1168" s="960">
        <f t="array" ref="AF1168">HLOOKUP($J1168,'Type Chart'!$C$2:$T$20,13,false)*HLOOKUP($K1168,'Type Chart'!$C$2:$U$20,13,false)</f>
        <v>0.5</v>
      </c>
      <c r="AG1168" s="960">
        <f t="array" ref="AG1168">HLOOKUP($J1168,'Type Chart'!$C$2:$T$20,14,false)*HLOOKUP($K1168,'Type Chart'!$C$2:$U$20,14,false)</f>
        <v>0.5</v>
      </c>
      <c r="AH1168" s="960">
        <f t="array" ref="AH1168">HLOOKUP($J1168,'Type Chart'!$C$2:$T$20,15,false)*HLOOKUP($K1168,'Type Chart'!$C$2:$U$20,15,false)</f>
        <v>1</v>
      </c>
      <c r="AI1168" s="960">
        <f t="array" ref="AI1168">HLOOKUP($J1168,'Type Chart'!$C$2:$T$20,16,false)*HLOOKUP($K1168,'Type Chart'!$C$2:$U$20,16,false)</f>
        <v>2</v>
      </c>
      <c r="AJ1168" s="960">
        <f t="array" ref="AJ1168">HLOOKUP($J1168,'Type Chart'!$C$2:$T$20,17,false)*HLOOKUP($K1168,'Type Chart'!$C$2:$U$20,17,false)</f>
        <v>1</v>
      </c>
      <c r="AK1168" s="960">
        <f t="array" ref="AK1168">HLOOKUP($J1168,'Type Chart'!$C$2:$T$20,18,false)*HLOOKUP($K1168,'Type Chart'!$C$2:$U$20,18,false)</f>
        <v>1</v>
      </c>
      <c r="AL1168" s="960">
        <f t="array" ref="AL1168">HLOOKUP($J1168,'Type Chart'!$C$2:$T$20,19,false)*HLOOKUP($K1168,'Type Chart'!$C$2:$U$20,19,false)</f>
        <v>1</v>
      </c>
      <c r="AM1168" s="964" t="s">
        <v>1403</v>
      </c>
      <c r="AN1168" s="965"/>
      <c r="AO1168" s="966" t="s">
        <v>1478</v>
      </c>
      <c r="AP1168" s="936"/>
      <c r="AQ1168" s="967"/>
      <c r="AR1168" s="968"/>
      <c r="AS1168" s="936"/>
    </row>
    <row r="1169" ht="15.75" customHeight="1">
      <c r="A1169" s="936"/>
      <c r="B1169" s="948">
        <v>936.0</v>
      </c>
      <c r="C1169" s="950" t="s">
        <v>4207</v>
      </c>
      <c r="D1169" s="950" t="s">
        <v>4207</v>
      </c>
      <c r="E1169" s="952" t="s">
        <v>4207</v>
      </c>
      <c r="F1169" s="940"/>
      <c r="G1169" s="953"/>
      <c r="H1169" s="969"/>
      <c r="I1169" s="956" t="s">
        <v>4208</v>
      </c>
      <c r="J1169" s="957" t="s">
        <v>209</v>
      </c>
      <c r="K1169" s="1194" t="s">
        <v>136</v>
      </c>
      <c r="L1169" s="959">
        <v>52.0</v>
      </c>
      <c r="M1169" s="960">
        <v>53.0</v>
      </c>
      <c r="N1169" s="960">
        <v>60.0</v>
      </c>
      <c r="O1169" s="960">
        <v>78.0</v>
      </c>
      <c r="P1169" s="960">
        <v>78.0</v>
      </c>
      <c r="Q1169" s="960">
        <v>33.0</v>
      </c>
      <c r="R1169" s="960">
        <v>102.0</v>
      </c>
      <c r="S1169" s="960">
        <v>165.0</v>
      </c>
      <c r="T1169" s="960">
        <v>181.0</v>
      </c>
      <c r="U1169" s="960">
        <f t="array" ref="U1169">HLOOKUP($J1169,'Type Chart'!$C$2:$T$20,2,false)*HLOOKUP($K1169,'Type Chart'!$C$2:$U$20,2,false)</f>
        <v>1</v>
      </c>
      <c r="V1169" s="960">
        <f t="array" ref="V1169">HLOOKUP($J1169,'Type Chart'!$C$2:$T$20,3,false)*HLOOKUP($K1169,'Type Chart'!$C$2:$U$20,3,false)</f>
        <v>2</v>
      </c>
      <c r="W1169" s="960">
        <f t="array" ref="W1169">HLOOKUP($J1169,'Type Chart'!$C$2:$T$20,4,false)*HLOOKUP($K1169,'Type Chart'!$C$2:$U$20,4,false)</f>
        <v>2</v>
      </c>
      <c r="X1169" s="960">
        <f t="array" ref="X1169">HLOOKUP($J1169,'Type Chart'!$C$2:$T$20,5,false)*HLOOKUP($K1169,'Type Chart'!$C$2:$U$20,5,false)</f>
        <v>2</v>
      </c>
      <c r="Y1169" s="960">
        <f t="array" ref="Y1169">HLOOKUP($J1169,'Type Chart'!$C$2:$T$20,6,false)*HLOOKUP($K1169,'Type Chart'!$C$2:$U$20,6,false)</f>
        <v>0.5</v>
      </c>
      <c r="Z1169" s="960">
        <f t="array" ref="Z1169">HLOOKUP($J1169,'Type Chart'!$C$2:$T$20,7,false)*HLOOKUP($K1169,'Type Chart'!$C$2:$U$20,7,false)</f>
        <v>1</v>
      </c>
      <c r="AA1169" s="960">
        <f t="array" ref="AA1169">HLOOKUP($J1169,'Type Chart'!$C$2:$T$20,8,false)*HLOOKUP($K1169,'Type Chart'!$C$2:$U$20,8,false)</f>
        <v>2</v>
      </c>
      <c r="AB1169" s="960">
        <f t="array" ref="AB1169">HLOOKUP($J1169,'Type Chart'!$C$2:$T$20,9,false)*HLOOKUP($K1169,'Type Chart'!$C$2:$U$20,9,false)</f>
        <v>0</v>
      </c>
      <c r="AC1169" s="960">
        <f t="array" ref="AC1169">HLOOKUP($J1169,'Type Chart'!$C$2:$T$20,10,false)*HLOOKUP($K1169,'Type Chart'!$C$2:$U$20,10,false)</f>
        <v>1</v>
      </c>
      <c r="AD1169" s="960">
        <f t="array" ref="AD1169">HLOOKUP($J1169,'Type Chart'!$C$2:$T$20,11,false)*HLOOKUP($K1169,'Type Chart'!$C$2:$U$20,11,false)</f>
        <v>2</v>
      </c>
      <c r="AE1169" s="960">
        <f t="array" ref="AE1169">HLOOKUP($J1169,'Type Chart'!$C$2:$T$20,12,false)*HLOOKUP($K1169,'Type Chart'!$C$2:$U$20,12,false)</f>
        <v>0.5</v>
      </c>
      <c r="AF1169" s="960">
        <f t="array" ref="AF1169">HLOOKUP($J1169,'Type Chart'!$C$2:$T$20,13,false)*HLOOKUP($K1169,'Type Chart'!$C$2:$U$20,13,false)</f>
        <v>0.5</v>
      </c>
      <c r="AG1169" s="960">
        <f t="array" ref="AG1169">HLOOKUP($J1169,'Type Chart'!$C$2:$T$20,14,false)*HLOOKUP($K1169,'Type Chart'!$C$2:$U$20,14,false)</f>
        <v>0.5</v>
      </c>
      <c r="AH1169" s="960">
        <f t="array" ref="AH1169">HLOOKUP($J1169,'Type Chart'!$C$2:$T$20,15,false)*HLOOKUP($K1169,'Type Chart'!$C$2:$U$20,15,false)</f>
        <v>1</v>
      </c>
      <c r="AI1169" s="960">
        <f t="array" ref="AI1169">HLOOKUP($J1169,'Type Chart'!$C$2:$T$20,16,false)*HLOOKUP($K1169,'Type Chart'!$C$2:$U$20,16,false)</f>
        <v>2</v>
      </c>
      <c r="AJ1169" s="960">
        <f t="array" ref="AJ1169">HLOOKUP($J1169,'Type Chart'!$C$2:$T$20,17,false)*HLOOKUP($K1169,'Type Chart'!$C$2:$U$20,17,false)</f>
        <v>1</v>
      </c>
      <c r="AK1169" s="960">
        <f t="array" ref="AK1169">HLOOKUP($J1169,'Type Chart'!$C$2:$T$20,18,false)*HLOOKUP($K1169,'Type Chart'!$C$2:$U$20,18,false)</f>
        <v>1</v>
      </c>
      <c r="AL1169" s="960">
        <f t="array" ref="AL1169">HLOOKUP($J1169,'Type Chart'!$C$2:$T$20,19,false)*HLOOKUP($K1169,'Type Chart'!$C$2:$U$20,19,false)</f>
        <v>1</v>
      </c>
      <c r="AM1169" s="964" t="s">
        <v>1403</v>
      </c>
      <c r="AN1169" s="965"/>
      <c r="AO1169" s="966" t="s">
        <v>1478</v>
      </c>
      <c r="AP1169" s="936"/>
      <c r="AQ1169" s="967"/>
      <c r="AR1169" s="968"/>
      <c r="AS1169" s="936"/>
    </row>
    <row r="1170" ht="15.75" customHeight="1">
      <c r="A1170" s="936"/>
      <c r="B1170" s="948">
        <v>937.0</v>
      </c>
      <c r="C1170" s="950" t="s">
        <v>4209</v>
      </c>
      <c r="D1170" s="950" t="s">
        <v>4209</v>
      </c>
      <c r="E1170" s="952" t="s">
        <v>4209</v>
      </c>
      <c r="F1170" s="940"/>
      <c r="G1170" s="953"/>
      <c r="H1170" s="969"/>
      <c r="I1170" s="956" t="s">
        <v>644</v>
      </c>
      <c r="J1170" s="957" t="s">
        <v>209</v>
      </c>
      <c r="K1170" s="1194" t="s">
        <v>136</v>
      </c>
      <c r="L1170" s="959">
        <v>78.0</v>
      </c>
      <c r="M1170" s="960">
        <v>69.0</v>
      </c>
      <c r="N1170" s="960">
        <v>90.0</v>
      </c>
      <c r="O1170" s="960">
        <v>125.0</v>
      </c>
      <c r="P1170" s="960">
        <v>109.0</v>
      </c>
      <c r="Q1170" s="960">
        <v>39.0</v>
      </c>
      <c r="R1170" s="960">
        <v>114.0</v>
      </c>
      <c r="S1170" s="960">
        <v>177.0</v>
      </c>
      <c r="T1170" s="960">
        <v>194.0</v>
      </c>
      <c r="U1170" s="960">
        <f t="array" ref="U1170">HLOOKUP($J1170,'Type Chart'!$C$2:$T$20,2,false)*HLOOKUP($K1170,'Type Chart'!$C$2:$U$20,2,false)</f>
        <v>1</v>
      </c>
      <c r="V1170" s="960">
        <f t="array" ref="V1170">HLOOKUP($J1170,'Type Chart'!$C$2:$T$20,3,false)*HLOOKUP($K1170,'Type Chart'!$C$2:$U$20,3,false)</f>
        <v>2</v>
      </c>
      <c r="W1170" s="960">
        <f t="array" ref="W1170">HLOOKUP($J1170,'Type Chart'!$C$2:$T$20,4,false)*HLOOKUP($K1170,'Type Chart'!$C$2:$U$20,4,false)</f>
        <v>2</v>
      </c>
      <c r="X1170" s="960">
        <f t="array" ref="X1170">HLOOKUP($J1170,'Type Chart'!$C$2:$T$20,5,false)*HLOOKUP($K1170,'Type Chart'!$C$2:$U$20,5,false)</f>
        <v>2</v>
      </c>
      <c r="Y1170" s="960">
        <f t="array" ref="Y1170">HLOOKUP($J1170,'Type Chart'!$C$2:$T$20,6,false)*HLOOKUP($K1170,'Type Chart'!$C$2:$U$20,6,false)</f>
        <v>0.5</v>
      </c>
      <c r="Z1170" s="960">
        <f t="array" ref="Z1170">HLOOKUP($J1170,'Type Chart'!$C$2:$T$20,7,false)*HLOOKUP($K1170,'Type Chart'!$C$2:$U$20,7,false)</f>
        <v>1</v>
      </c>
      <c r="AA1170" s="960">
        <f t="array" ref="AA1170">HLOOKUP($J1170,'Type Chart'!$C$2:$T$20,8,false)*HLOOKUP($K1170,'Type Chart'!$C$2:$U$20,8,false)</f>
        <v>2</v>
      </c>
      <c r="AB1170" s="960">
        <f t="array" ref="AB1170">HLOOKUP($J1170,'Type Chart'!$C$2:$T$20,9,false)*HLOOKUP($K1170,'Type Chart'!$C$2:$U$20,9,false)</f>
        <v>0</v>
      </c>
      <c r="AC1170" s="960">
        <f t="array" ref="AC1170">HLOOKUP($J1170,'Type Chart'!$C$2:$T$20,10,false)*HLOOKUP($K1170,'Type Chart'!$C$2:$U$20,10,false)</f>
        <v>1</v>
      </c>
      <c r="AD1170" s="960">
        <f t="array" ref="AD1170">HLOOKUP($J1170,'Type Chart'!$C$2:$T$20,11,false)*HLOOKUP($K1170,'Type Chart'!$C$2:$U$20,11,false)</f>
        <v>2</v>
      </c>
      <c r="AE1170" s="960">
        <f t="array" ref="AE1170">HLOOKUP($J1170,'Type Chart'!$C$2:$T$20,12,false)*HLOOKUP($K1170,'Type Chart'!$C$2:$U$20,12,false)</f>
        <v>0.5</v>
      </c>
      <c r="AF1170" s="960">
        <f t="array" ref="AF1170">HLOOKUP($J1170,'Type Chart'!$C$2:$T$20,13,false)*HLOOKUP($K1170,'Type Chart'!$C$2:$U$20,13,false)</f>
        <v>0.5</v>
      </c>
      <c r="AG1170" s="960">
        <f t="array" ref="AG1170">HLOOKUP($J1170,'Type Chart'!$C$2:$T$20,14,false)*HLOOKUP($K1170,'Type Chart'!$C$2:$U$20,14,false)</f>
        <v>0.5</v>
      </c>
      <c r="AH1170" s="960">
        <f t="array" ref="AH1170">HLOOKUP($J1170,'Type Chart'!$C$2:$T$20,15,false)*HLOOKUP($K1170,'Type Chart'!$C$2:$U$20,15,false)</f>
        <v>1</v>
      </c>
      <c r="AI1170" s="960">
        <f t="array" ref="AI1170">HLOOKUP($J1170,'Type Chart'!$C$2:$T$20,16,false)*HLOOKUP($K1170,'Type Chart'!$C$2:$U$20,16,false)</f>
        <v>2</v>
      </c>
      <c r="AJ1170" s="960">
        <f t="array" ref="AJ1170">HLOOKUP($J1170,'Type Chart'!$C$2:$T$20,17,false)*HLOOKUP($K1170,'Type Chart'!$C$2:$U$20,17,false)</f>
        <v>1</v>
      </c>
      <c r="AK1170" s="960">
        <f t="array" ref="AK1170">HLOOKUP($J1170,'Type Chart'!$C$2:$T$20,18,false)*HLOOKUP($K1170,'Type Chart'!$C$2:$U$20,18,false)</f>
        <v>1</v>
      </c>
      <c r="AL1170" s="960">
        <f t="array" ref="AL1170">HLOOKUP($J1170,'Type Chart'!$C$2:$T$20,19,false)*HLOOKUP($K1170,'Type Chart'!$C$2:$U$20,19,false)</f>
        <v>1</v>
      </c>
      <c r="AM1170" s="964" t="s">
        <v>4210</v>
      </c>
      <c r="AN1170" s="965"/>
      <c r="AO1170" s="966" t="s">
        <v>1478</v>
      </c>
      <c r="AP1170" s="936"/>
      <c r="AQ1170" s="967"/>
      <c r="AR1170" s="968"/>
      <c r="AS1170" s="936"/>
    </row>
    <row r="1171" ht="15.75" customHeight="1">
      <c r="A1171" s="936"/>
      <c r="B1171" s="948">
        <v>938.0</v>
      </c>
      <c r="C1171" s="950" t="s">
        <v>4211</v>
      </c>
      <c r="D1171" s="950" t="s">
        <v>4211</v>
      </c>
      <c r="E1171" s="952" t="s">
        <v>4211</v>
      </c>
      <c r="F1171" s="940"/>
      <c r="G1171" s="953"/>
      <c r="H1171" s="969"/>
      <c r="I1171" s="956" t="s">
        <v>4212</v>
      </c>
      <c r="J1171" s="957" t="s">
        <v>209</v>
      </c>
      <c r="K1171" s="1235" t="s">
        <v>216</v>
      </c>
      <c r="L1171" s="959">
        <v>52.0</v>
      </c>
      <c r="M1171" s="960">
        <v>62.0</v>
      </c>
      <c r="N1171" s="960">
        <v>40.0</v>
      </c>
      <c r="O1171" s="960">
        <v>62.0</v>
      </c>
      <c r="P1171" s="960">
        <v>40.0</v>
      </c>
      <c r="Q1171" s="960">
        <v>50.0</v>
      </c>
      <c r="R1171" s="960">
        <v>136.0</v>
      </c>
      <c r="S1171" s="960">
        <v>199.0</v>
      </c>
      <c r="T1171" s="960">
        <v>218.0</v>
      </c>
      <c r="U1171" s="960">
        <f t="array" ref="U1171">HLOOKUP($J1171,'Type Chart'!$C$2:$T$20,2,false)*HLOOKUP($K1171,'Type Chart'!$C$2:$U$20,2,false)</f>
        <v>1</v>
      </c>
      <c r="V1171" s="960">
        <f t="array" ref="V1171">HLOOKUP($J1171,'Type Chart'!$C$2:$T$20,3,false)*HLOOKUP($K1171,'Type Chart'!$C$2:$U$20,3,false)</f>
        <v>1</v>
      </c>
      <c r="W1171" s="960">
        <f t="array" ref="W1171">HLOOKUP($J1171,'Type Chart'!$C$2:$T$20,4,false)*HLOOKUP($K1171,'Type Chart'!$C$2:$U$20,4,false)</f>
        <v>2</v>
      </c>
      <c r="X1171" s="960">
        <f t="array" ref="X1171">HLOOKUP($J1171,'Type Chart'!$C$2:$T$20,5,false)*HLOOKUP($K1171,'Type Chart'!$C$2:$U$20,5,false)</f>
        <v>2</v>
      </c>
      <c r="Y1171" s="960">
        <f t="array" ref="Y1171">HLOOKUP($J1171,'Type Chart'!$C$2:$T$20,6,false)*HLOOKUP($K1171,'Type Chart'!$C$2:$U$20,6,false)</f>
        <v>0.5</v>
      </c>
      <c r="Z1171" s="960">
        <f t="array" ref="Z1171">HLOOKUP($J1171,'Type Chart'!$C$2:$T$20,7,false)*HLOOKUP($K1171,'Type Chart'!$C$2:$U$20,7,false)</f>
        <v>1</v>
      </c>
      <c r="AA1171" s="960">
        <f t="array" ref="AA1171">HLOOKUP($J1171,'Type Chart'!$C$2:$T$20,8,false)*HLOOKUP($K1171,'Type Chart'!$C$2:$U$20,8,false)</f>
        <v>2</v>
      </c>
      <c r="AB1171" s="960">
        <f t="array" ref="AB1171">HLOOKUP($J1171,'Type Chart'!$C$2:$T$20,9,false)*HLOOKUP($K1171,'Type Chart'!$C$2:$U$20,9,false)</f>
        <v>1</v>
      </c>
      <c r="AC1171" s="960">
        <f t="array" ref="AC1171">HLOOKUP($J1171,'Type Chart'!$C$2:$T$20,10,false)*HLOOKUP($K1171,'Type Chart'!$C$2:$U$20,10,false)</f>
        <v>1</v>
      </c>
      <c r="AD1171" s="960">
        <f t="array" ref="AD1171">HLOOKUP($J1171,'Type Chart'!$C$2:$T$20,11,false)*HLOOKUP($K1171,'Type Chart'!$C$2:$U$20,11,false)</f>
        <v>2</v>
      </c>
      <c r="AE1171" s="960">
        <f t="array" ref="AE1171">HLOOKUP($J1171,'Type Chart'!$C$2:$T$20,12,false)*HLOOKUP($K1171,'Type Chart'!$C$2:$U$20,12,false)</f>
        <v>0.5</v>
      </c>
      <c r="AF1171" s="960">
        <f t="array" ref="AF1171">HLOOKUP($J1171,'Type Chart'!$C$2:$T$20,13,false)*HLOOKUP($K1171,'Type Chart'!$C$2:$U$20,13,false)</f>
        <v>0.5</v>
      </c>
      <c r="AG1171" s="960">
        <f t="array" ref="AG1171">HLOOKUP($J1171,'Type Chart'!$C$2:$T$20,14,false)*HLOOKUP($K1171,'Type Chart'!$C$2:$U$20,14,false)</f>
        <v>0.5</v>
      </c>
      <c r="AH1171" s="960">
        <f t="array" ref="AH1171">HLOOKUP($J1171,'Type Chart'!$C$2:$T$20,15,false)*HLOOKUP($K1171,'Type Chart'!$C$2:$U$20,15,false)</f>
        <v>1</v>
      </c>
      <c r="AI1171" s="960">
        <f t="array" ref="AI1171">HLOOKUP($J1171,'Type Chart'!$C$2:$T$20,16,false)*HLOOKUP($K1171,'Type Chart'!$C$2:$U$20,16,false)</f>
        <v>2</v>
      </c>
      <c r="AJ1171" s="960">
        <f t="array" ref="AJ1171">HLOOKUP($J1171,'Type Chart'!$C$2:$T$20,17,false)*HLOOKUP($K1171,'Type Chart'!$C$2:$U$20,17,false)</f>
        <v>1</v>
      </c>
      <c r="AK1171" s="960">
        <f t="array" ref="AK1171">HLOOKUP($J1171,'Type Chart'!$C$2:$T$20,18,false)*HLOOKUP($K1171,'Type Chart'!$C$2:$U$20,18,false)</f>
        <v>1</v>
      </c>
      <c r="AL1171" s="960">
        <f t="array" ref="AL1171">HLOOKUP($J1171,'Type Chart'!$C$2:$T$20,19,false)*HLOOKUP($K1171,'Type Chart'!$C$2:$U$20,19,false)</f>
        <v>1</v>
      </c>
      <c r="AM1171" s="964" t="s">
        <v>524</v>
      </c>
      <c r="AN1171" s="964" t="s">
        <v>1454</v>
      </c>
      <c r="AO1171" s="966" t="s">
        <v>2552</v>
      </c>
      <c r="AP1171" s="936"/>
      <c r="AQ1171" s="967"/>
      <c r="AR1171" s="968"/>
      <c r="AS1171" s="936"/>
    </row>
    <row r="1172" ht="15.75" customHeight="1">
      <c r="A1172" s="936"/>
      <c r="B1172" s="948">
        <v>939.0</v>
      </c>
      <c r="C1172" s="950" t="s">
        <v>4213</v>
      </c>
      <c r="D1172" s="950" t="s">
        <v>4213</v>
      </c>
      <c r="E1172" s="952" t="s">
        <v>4213</v>
      </c>
      <c r="F1172" s="940"/>
      <c r="G1172" s="953"/>
      <c r="H1172" s="969"/>
      <c r="I1172" s="956" t="s">
        <v>680</v>
      </c>
      <c r="J1172" s="957" t="s">
        <v>209</v>
      </c>
      <c r="K1172" s="982" t="s">
        <v>150</v>
      </c>
      <c r="L1172" s="959">
        <v>65.0</v>
      </c>
      <c r="M1172" s="960">
        <v>108.0</v>
      </c>
      <c r="N1172" s="960">
        <v>65.0</v>
      </c>
      <c r="O1172" s="960">
        <v>108.0</v>
      </c>
      <c r="P1172" s="960">
        <v>65.0</v>
      </c>
      <c r="Q1172" s="960">
        <v>75.0</v>
      </c>
      <c r="R1172" s="960">
        <v>186.0</v>
      </c>
      <c r="S1172" s="960">
        <v>249.0</v>
      </c>
      <c r="T1172" s="960">
        <v>273.0</v>
      </c>
      <c r="U1172" s="960">
        <f t="array" ref="U1172">HLOOKUP($J1172,'Type Chart'!$C$2:$T$20,2,false)*HLOOKUP($K1172,'Type Chart'!$C$2:$U$20,2,false)</f>
        <v>1</v>
      </c>
      <c r="V1172" s="960">
        <f t="array" ref="V1172">HLOOKUP($J1172,'Type Chart'!$C$2:$T$20,3,false)*HLOOKUP($K1172,'Type Chart'!$C$2:$U$20,3,false)</f>
        <v>1</v>
      </c>
      <c r="W1172" s="960">
        <f t="array" ref="W1172">HLOOKUP($J1172,'Type Chart'!$C$2:$T$20,4,false)*HLOOKUP($K1172,'Type Chart'!$C$2:$U$20,4,false)</f>
        <v>2</v>
      </c>
      <c r="X1172" s="960">
        <f t="array" ref="X1172">HLOOKUP($J1172,'Type Chart'!$C$2:$T$20,5,false)*HLOOKUP($K1172,'Type Chart'!$C$2:$U$20,5,false)</f>
        <v>2</v>
      </c>
      <c r="Y1172" s="960">
        <f t="array" ref="Y1172">HLOOKUP($J1172,'Type Chart'!$C$2:$T$20,6,false)*HLOOKUP($K1172,'Type Chart'!$C$2:$U$20,6,false)</f>
        <v>1</v>
      </c>
      <c r="Z1172" s="960">
        <f t="array" ref="Z1172">HLOOKUP($J1172,'Type Chart'!$C$2:$T$20,7,false)*HLOOKUP($K1172,'Type Chart'!$C$2:$U$20,7,false)</f>
        <v>2</v>
      </c>
      <c r="AA1172" s="960">
        <f t="array" ref="AA1172">HLOOKUP($J1172,'Type Chart'!$C$2:$T$20,8,false)*HLOOKUP($K1172,'Type Chart'!$C$2:$U$20,8,false)</f>
        <v>1</v>
      </c>
      <c r="AB1172" s="960">
        <f t="array" ref="AB1172">HLOOKUP($J1172,'Type Chart'!$C$2:$T$20,9,false)*HLOOKUP($K1172,'Type Chart'!$C$2:$U$20,9,false)</f>
        <v>1</v>
      </c>
      <c r="AC1172" s="960">
        <f t="array" ref="AC1172">HLOOKUP($J1172,'Type Chart'!$C$2:$T$20,10,false)*HLOOKUP($K1172,'Type Chart'!$C$2:$U$20,10,false)</f>
        <v>0.5</v>
      </c>
      <c r="AD1172" s="960">
        <f t="array" ref="AD1172">HLOOKUP($J1172,'Type Chart'!$C$2:$T$20,11,false)*HLOOKUP($K1172,'Type Chart'!$C$2:$U$20,11,false)</f>
        <v>1</v>
      </c>
      <c r="AE1172" s="960">
        <f t="array" ref="AE1172">HLOOKUP($J1172,'Type Chart'!$C$2:$T$20,12,false)*HLOOKUP($K1172,'Type Chart'!$C$2:$U$20,12,false)</f>
        <v>1</v>
      </c>
      <c r="AF1172" s="960">
        <f t="array" ref="AF1172">HLOOKUP($J1172,'Type Chart'!$C$2:$T$20,13,false)*HLOOKUP($K1172,'Type Chart'!$C$2:$U$20,13,false)</f>
        <v>0.25</v>
      </c>
      <c r="AG1172" s="960">
        <f t="array" ref="AG1172">HLOOKUP($J1172,'Type Chart'!$C$2:$T$20,14,false)*HLOOKUP($K1172,'Type Chart'!$C$2:$U$20,14,false)</f>
        <v>0.5</v>
      </c>
      <c r="AH1172" s="960">
        <f t="array" ref="AH1172">HLOOKUP($J1172,'Type Chart'!$C$2:$T$20,15,false)*HLOOKUP($K1172,'Type Chart'!$C$2:$U$20,15,false)</f>
        <v>1</v>
      </c>
      <c r="AI1172" s="960">
        <f t="array" ref="AI1172">HLOOKUP($J1172,'Type Chart'!$C$2:$T$20,16,false)*HLOOKUP($K1172,'Type Chart'!$C$2:$U$20,16,false)</f>
        <v>1</v>
      </c>
      <c r="AJ1172" s="960">
        <f t="array" ref="AJ1172">HLOOKUP($J1172,'Type Chart'!$C$2:$T$20,17,false)*HLOOKUP($K1172,'Type Chart'!$C$2:$U$20,17,false)</f>
        <v>1</v>
      </c>
      <c r="AK1172" s="960">
        <f t="array" ref="AK1172">HLOOKUP($J1172,'Type Chart'!$C$2:$T$20,18,false)*HLOOKUP($K1172,'Type Chart'!$C$2:$U$20,18,false)</f>
        <v>1</v>
      </c>
      <c r="AL1172" s="960">
        <f t="array" ref="AL1172">HLOOKUP($J1172,'Type Chart'!$C$2:$T$20,19,false)*HLOOKUP($K1172,'Type Chart'!$C$2:$U$20,19,false)</f>
        <v>0.5</v>
      </c>
      <c r="AM1172" s="964" t="s">
        <v>524</v>
      </c>
      <c r="AN1172" s="964" t="s">
        <v>1454</v>
      </c>
      <c r="AO1172" s="966" t="s">
        <v>1898</v>
      </c>
      <c r="AP1172" s="936"/>
      <c r="AQ1172" s="967"/>
      <c r="AR1172" s="968"/>
      <c r="AS1172" s="936"/>
    </row>
    <row r="1173" ht="15.75" customHeight="1">
      <c r="A1173" s="936"/>
      <c r="B1173" s="948">
        <v>940.0</v>
      </c>
      <c r="C1173" s="950" t="s">
        <v>4214</v>
      </c>
      <c r="D1173" s="950" t="s">
        <v>4214</v>
      </c>
      <c r="E1173" s="952" t="s">
        <v>4214</v>
      </c>
      <c r="F1173" s="940"/>
      <c r="G1173" s="953"/>
      <c r="H1173" s="969"/>
      <c r="I1173" s="956" t="s">
        <v>4215</v>
      </c>
      <c r="J1173" s="1196" t="s">
        <v>203</v>
      </c>
      <c r="K1173" s="1235" t="s">
        <v>216</v>
      </c>
      <c r="L1173" s="959">
        <v>61.0</v>
      </c>
      <c r="M1173" s="960">
        <v>31.0</v>
      </c>
      <c r="N1173" s="960">
        <v>41.0</v>
      </c>
      <c r="O1173" s="960">
        <v>59.0</v>
      </c>
      <c r="P1173" s="960">
        <v>35.0</v>
      </c>
      <c r="Q1173" s="960">
        <v>45.0</v>
      </c>
      <c r="R1173" s="960">
        <v>126.0</v>
      </c>
      <c r="S1173" s="960">
        <v>189.0</v>
      </c>
      <c r="T1173" s="960">
        <v>207.0</v>
      </c>
      <c r="U1173" s="960">
        <f t="array" ref="U1173">HLOOKUP($J1173,'Type Chart'!$C$2:$T$20,2,false)*HLOOKUP($K1173,'Type Chart'!$C$2:$U$20,2,false)</f>
        <v>1</v>
      </c>
      <c r="V1173" s="960">
        <f t="array" ref="V1173">HLOOKUP($J1173,'Type Chart'!$C$2:$T$20,3,false)*HLOOKUP($K1173,'Type Chart'!$C$2:$U$20,3,false)</f>
        <v>1</v>
      </c>
      <c r="W1173" s="960">
        <f t="array" ref="W1173">HLOOKUP($J1173,'Type Chart'!$C$2:$T$20,4,false)*HLOOKUP($K1173,'Type Chart'!$C$2:$U$20,4,false)</f>
        <v>0.5</v>
      </c>
      <c r="X1173" s="960">
        <f t="array" ref="X1173">HLOOKUP($J1173,'Type Chart'!$C$2:$T$20,5,false)*HLOOKUP($K1173,'Type Chart'!$C$2:$U$20,5,false)</f>
        <v>1</v>
      </c>
      <c r="Y1173" s="960">
        <f t="array" ref="Y1173">HLOOKUP($J1173,'Type Chart'!$C$2:$T$20,6,false)*HLOOKUP($K1173,'Type Chart'!$C$2:$U$20,6,false)</f>
        <v>2</v>
      </c>
      <c r="Z1173" s="960">
        <f t="array" ref="Z1173">HLOOKUP($J1173,'Type Chart'!$C$2:$T$20,7,false)*HLOOKUP($K1173,'Type Chart'!$C$2:$U$20,7,false)</f>
        <v>1</v>
      </c>
      <c r="AA1173" s="960">
        <f t="array" ref="AA1173">HLOOKUP($J1173,'Type Chart'!$C$2:$T$20,8,false)*HLOOKUP($K1173,'Type Chart'!$C$2:$U$20,8,false)</f>
        <v>1</v>
      </c>
      <c r="AB1173" s="960">
        <f t="array" ref="AB1173">HLOOKUP($J1173,'Type Chart'!$C$2:$T$20,9,false)*HLOOKUP($K1173,'Type Chart'!$C$2:$U$20,9,false)</f>
        <v>1</v>
      </c>
      <c r="AC1173" s="960">
        <f t="array" ref="AC1173">HLOOKUP($J1173,'Type Chart'!$C$2:$T$20,10,false)*HLOOKUP($K1173,'Type Chart'!$C$2:$U$20,10,false)</f>
        <v>0.5</v>
      </c>
      <c r="AD1173" s="960">
        <f t="array" ref="AD1173">HLOOKUP($J1173,'Type Chart'!$C$2:$T$20,11,false)*HLOOKUP($K1173,'Type Chart'!$C$2:$U$20,11,false)</f>
        <v>1</v>
      </c>
      <c r="AE1173" s="960">
        <f t="array" ref="AE1173">HLOOKUP($J1173,'Type Chart'!$C$2:$T$20,12,false)*HLOOKUP($K1173,'Type Chart'!$C$2:$U$20,12,false)</f>
        <v>1</v>
      </c>
      <c r="AF1173" s="960">
        <f t="array" ref="AF1173">HLOOKUP($J1173,'Type Chart'!$C$2:$T$20,13,false)*HLOOKUP($K1173,'Type Chart'!$C$2:$U$20,13,false)</f>
        <v>1</v>
      </c>
      <c r="AG1173" s="960">
        <f t="array" ref="AG1173">HLOOKUP($J1173,'Type Chart'!$C$2:$T$20,14,false)*HLOOKUP($K1173,'Type Chart'!$C$2:$U$20,14,false)</f>
        <v>0.5</v>
      </c>
      <c r="AH1173" s="960">
        <f t="array" ref="AH1173">HLOOKUP($J1173,'Type Chart'!$C$2:$T$20,15,false)*HLOOKUP($K1173,'Type Chart'!$C$2:$U$20,15,false)</f>
        <v>1</v>
      </c>
      <c r="AI1173" s="960">
        <f t="array" ref="AI1173">HLOOKUP($J1173,'Type Chart'!$C$2:$T$20,16,false)*HLOOKUP($K1173,'Type Chart'!$C$2:$U$20,16,false)</f>
        <v>1</v>
      </c>
      <c r="AJ1173" s="960">
        <f t="array" ref="AJ1173">HLOOKUP($J1173,'Type Chart'!$C$2:$T$20,17,false)*HLOOKUP($K1173,'Type Chart'!$C$2:$U$20,17,false)</f>
        <v>1</v>
      </c>
      <c r="AK1173" s="960">
        <f t="array" ref="AK1173">HLOOKUP($J1173,'Type Chart'!$C$2:$T$20,18,false)*HLOOKUP($K1173,'Type Chart'!$C$2:$U$20,18,false)</f>
        <v>1</v>
      </c>
      <c r="AL1173" s="960">
        <f t="array" ref="AL1173">HLOOKUP($J1173,'Type Chart'!$C$2:$T$20,19,false)*HLOOKUP($K1173,'Type Chart'!$C$2:$U$20,19,false)</f>
        <v>1</v>
      </c>
      <c r="AM1173" s="964" t="s">
        <v>1370</v>
      </c>
      <c r="AN1173" s="964" t="s">
        <v>1067</v>
      </c>
      <c r="AO1173" s="966" t="s">
        <v>1211</v>
      </c>
      <c r="AP1173" s="936"/>
      <c r="AQ1173" s="967"/>
      <c r="AR1173" s="968"/>
      <c r="AS1173" s="936"/>
    </row>
    <row r="1174" ht="15.75" customHeight="1">
      <c r="A1174" s="936"/>
      <c r="B1174" s="948">
        <v>941.0</v>
      </c>
      <c r="C1174" s="950" t="s">
        <v>4216</v>
      </c>
      <c r="D1174" s="950" t="s">
        <v>4216</v>
      </c>
      <c r="E1174" s="952" t="s">
        <v>4216</v>
      </c>
      <c r="F1174" s="940"/>
      <c r="G1174" s="953"/>
      <c r="H1174" s="969"/>
      <c r="I1174" s="998" t="s">
        <v>618</v>
      </c>
      <c r="J1174" s="1196" t="s">
        <v>203</v>
      </c>
      <c r="K1174" s="1235" t="s">
        <v>216</v>
      </c>
      <c r="L1174" s="959">
        <v>109.0</v>
      </c>
      <c r="M1174" s="960">
        <v>64.0</v>
      </c>
      <c r="N1174" s="960">
        <v>91.0</v>
      </c>
      <c r="O1174" s="960">
        <v>103.0</v>
      </c>
      <c r="P1174" s="960">
        <v>83.0</v>
      </c>
      <c r="Q1174" s="960">
        <v>45.0</v>
      </c>
      <c r="R1174" s="960">
        <v>126.0</v>
      </c>
      <c r="S1174" s="960">
        <v>189.0</v>
      </c>
      <c r="T1174" s="960">
        <v>207.0</v>
      </c>
      <c r="U1174" s="960">
        <f t="array" ref="U1174">HLOOKUP($J1174,'Type Chart'!$C$2:$T$20,2,false)*HLOOKUP($K1174,'Type Chart'!$C$2:$U$20,2,false)</f>
        <v>1</v>
      </c>
      <c r="V1174" s="960">
        <f t="array" ref="V1174">HLOOKUP($J1174,'Type Chart'!$C$2:$T$20,3,false)*HLOOKUP($K1174,'Type Chart'!$C$2:$U$20,3,false)</f>
        <v>1</v>
      </c>
      <c r="W1174" s="960">
        <f t="array" ref="W1174">HLOOKUP($J1174,'Type Chart'!$C$2:$T$20,4,false)*HLOOKUP($K1174,'Type Chart'!$C$2:$U$20,4,false)</f>
        <v>0.5</v>
      </c>
      <c r="X1174" s="960">
        <f t="array" ref="X1174">HLOOKUP($J1174,'Type Chart'!$C$2:$T$20,5,false)*HLOOKUP($K1174,'Type Chart'!$C$2:$U$20,5,false)</f>
        <v>1</v>
      </c>
      <c r="Y1174" s="960">
        <f t="array" ref="Y1174">HLOOKUP($J1174,'Type Chart'!$C$2:$T$20,6,false)*HLOOKUP($K1174,'Type Chart'!$C$2:$U$20,6,false)</f>
        <v>2</v>
      </c>
      <c r="Z1174" s="960">
        <f t="array" ref="Z1174">HLOOKUP($J1174,'Type Chart'!$C$2:$T$20,7,false)*HLOOKUP($K1174,'Type Chart'!$C$2:$U$20,7,false)</f>
        <v>1</v>
      </c>
      <c r="AA1174" s="960">
        <f t="array" ref="AA1174">HLOOKUP($J1174,'Type Chart'!$C$2:$T$20,8,false)*HLOOKUP($K1174,'Type Chart'!$C$2:$U$20,8,false)</f>
        <v>1</v>
      </c>
      <c r="AB1174" s="960">
        <f t="array" ref="AB1174">HLOOKUP($J1174,'Type Chart'!$C$2:$T$20,9,false)*HLOOKUP($K1174,'Type Chart'!$C$2:$U$20,9,false)</f>
        <v>1</v>
      </c>
      <c r="AC1174" s="960">
        <f t="array" ref="AC1174">HLOOKUP($J1174,'Type Chart'!$C$2:$T$20,10,false)*HLOOKUP($K1174,'Type Chart'!$C$2:$U$20,10,false)</f>
        <v>0.5</v>
      </c>
      <c r="AD1174" s="960">
        <f t="array" ref="AD1174">HLOOKUP($J1174,'Type Chart'!$C$2:$T$20,11,false)*HLOOKUP($K1174,'Type Chart'!$C$2:$U$20,11,false)</f>
        <v>1</v>
      </c>
      <c r="AE1174" s="960">
        <f t="array" ref="AE1174">HLOOKUP($J1174,'Type Chart'!$C$2:$T$20,12,false)*HLOOKUP($K1174,'Type Chart'!$C$2:$U$20,12,false)</f>
        <v>1</v>
      </c>
      <c r="AF1174" s="960">
        <f t="array" ref="AF1174">HLOOKUP($J1174,'Type Chart'!$C$2:$T$20,13,false)*HLOOKUP($K1174,'Type Chart'!$C$2:$U$20,13,false)</f>
        <v>1</v>
      </c>
      <c r="AG1174" s="960">
        <f t="array" ref="AG1174">HLOOKUP($J1174,'Type Chart'!$C$2:$T$20,14,false)*HLOOKUP($K1174,'Type Chart'!$C$2:$U$20,14,false)</f>
        <v>0.5</v>
      </c>
      <c r="AH1174" s="960">
        <f t="array" ref="AH1174">HLOOKUP($J1174,'Type Chart'!$C$2:$T$20,15,false)*HLOOKUP($K1174,'Type Chart'!$C$2:$U$20,15,false)</f>
        <v>1</v>
      </c>
      <c r="AI1174" s="960">
        <f t="array" ref="AI1174">HLOOKUP($J1174,'Type Chart'!$C$2:$T$20,16,false)*HLOOKUP($K1174,'Type Chart'!$C$2:$U$20,16,false)</f>
        <v>1</v>
      </c>
      <c r="AJ1174" s="960">
        <f t="array" ref="AJ1174">HLOOKUP($J1174,'Type Chart'!$C$2:$T$20,17,false)*HLOOKUP($K1174,'Type Chart'!$C$2:$U$20,17,false)</f>
        <v>1</v>
      </c>
      <c r="AK1174" s="960">
        <f t="array" ref="AK1174">HLOOKUP($J1174,'Type Chart'!$C$2:$T$20,18,false)*HLOOKUP($K1174,'Type Chart'!$C$2:$U$20,18,false)</f>
        <v>1</v>
      </c>
      <c r="AL1174" s="960">
        <f t="array" ref="AL1174">HLOOKUP($J1174,'Type Chart'!$C$2:$T$20,19,false)*HLOOKUP($K1174,'Type Chart'!$C$2:$U$20,19,false)</f>
        <v>1</v>
      </c>
      <c r="AM1174" s="964" t="s">
        <v>4217</v>
      </c>
      <c r="AN1174" s="964" t="s">
        <v>1067</v>
      </c>
      <c r="AO1174" s="966" t="s">
        <v>1211</v>
      </c>
      <c r="AP1174" s="936"/>
      <c r="AQ1174" s="967"/>
      <c r="AR1174" s="968"/>
      <c r="AS1174" s="936"/>
    </row>
    <row r="1175" ht="15.75" customHeight="1">
      <c r="A1175" s="936"/>
      <c r="B1175" s="948">
        <v>942.0</v>
      </c>
      <c r="C1175" s="950" t="s">
        <v>4218</v>
      </c>
      <c r="D1175" s="950" t="s">
        <v>4218</v>
      </c>
      <c r="E1175" s="952" t="s">
        <v>4218</v>
      </c>
      <c r="F1175" s="940"/>
      <c r="G1175" s="953"/>
      <c r="H1175" s="969"/>
      <c r="I1175" s="998" t="s">
        <v>4219</v>
      </c>
      <c r="J1175" s="1206" t="s">
        <v>82</v>
      </c>
      <c r="K1175" s="958" t="s">
        <v>178</v>
      </c>
      <c r="L1175" s="959">
        <v>45.0</v>
      </c>
      <c r="M1175" s="960">
        <v>70.0</v>
      </c>
      <c r="N1175" s="960">
        <v>63.0</v>
      </c>
      <c r="O1175" s="960">
        <v>30.0</v>
      </c>
      <c r="P1175" s="960">
        <v>45.0</v>
      </c>
      <c r="Q1175" s="960">
        <v>47.0</v>
      </c>
      <c r="R1175" s="960">
        <v>130.0</v>
      </c>
      <c r="S1175" s="960">
        <v>193.0</v>
      </c>
      <c r="T1175" s="960">
        <v>212.0</v>
      </c>
      <c r="U1175" s="960">
        <f t="array" ref="U1175">HLOOKUP($J1175,'Type Chart'!$C$2:$T$20,2,false)*HLOOKUP($K1175,'Type Chart'!$C$2:$U$20,2,false)</f>
        <v>0.5</v>
      </c>
      <c r="V1175" s="960">
        <f t="array" ref="V1175">HLOOKUP($J1175,'Type Chart'!$C$2:$T$20,3,false)*HLOOKUP($K1175,'Type Chart'!$C$2:$U$20,3,false)</f>
        <v>1</v>
      </c>
      <c r="W1175" s="960">
        <f t="array" ref="W1175">HLOOKUP($J1175,'Type Chart'!$C$2:$T$20,4,false)*HLOOKUP($K1175,'Type Chart'!$C$2:$U$20,4,false)</f>
        <v>0.5</v>
      </c>
      <c r="X1175" s="960">
        <f t="array" ref="X1175">HLOOKUP($J1175,'Type Chart'!$C$2:$T$20,5,false)*HLOOKUP($K1175,'Type Chart'!$C$2:$U$20,5,false)</f>
        <v>0</v>
      </c>
      <c r="Y1175" s="960">
        <f t="array" ref="Y1175">HLOOKUP($J1175,'Type Chart'!$C$2:$T$20,6,false)*HLOOKUP($K1175,'Type Chart'!$C$2:$U$20,6,false)</f>
        <v>4</v>
      </c>
      <c r="Z1175" s="960">
        <f t="array" ref="Z1175">HLOOKUP($J1175,'Type Chart'!$C$2:$T$20,7,false)*HLOOKUP($K1175,'Type Chart'!$C$2:$U$20,7,false)</f>
        <v>0.5</v>
      </c>
      <c r="AA1175" s="960">
        <f t="array" ref="AA1175">HLOOKUP($J1175,'Type Chart'!$C$2:$T$20,8,false)*HLOOKUP($K1175,'Type Chart'!$C$2:$U$20,8,false)</f>
        <v>0.25</v>
      </c>
      <c r="AB1175" s="960">
        <f t="array" ref="AB1175">HLOOKUP($J1175,'Type Chart'!$C$2:$T$20,9,false)*HLOOKUP($K1175,'Type Chart'!$C$2:$U$20,9,false)</f>
        <v>1</v>
      </c>
      <c r="AC1175" s="960">
        <f t="array" ref="AC1175">HLOOKUP($J1175,'Type Chart'!$C$2:$T$20,10,false)*HLOOKUP($K1175,'Type Chart'!$C$2:$U$20,10,false)</f>
        <v>0.5</v>
      </c>
      <c r="AD1175" s="960">
        <f t="array" ref="AD1175">HLOOKUP($J1175,'Type Chart'!$C$2:$T$20,11,false)*HLOOKUP($K1175,'Type Chart'!$C$2:$U$20,11,false)</f>
        <v>2</v>
      </c>
      <c r="AE1175" s="960">
        <f t="array" ref="AE1175">HLOOKUP($J1175,'Type Chart'!$C$2:$T$20,12,false)*HLOOKUP($K1175,'Type Chart'!$C$2:$U$20,12,false)</f>
        <v>1</v>
      </c>
      <c r="AF1175" s="960">
        <f t="array" ref="AF1175">HLOOKUP($J1175,'Type Chart'!$C$2:$T$20,13,false)*HLOOKUP($K1175,'Type Chart'!$C$2:$U$20,13,false)</f>
        <v>0.25</v>
      </c>
      <c r="AG1175" s="960">
        <f t="array" ref="AG1175">HLOOKUP($J1175,'Type Chart'!$C$2:$T$20,14,false)*HLOOKUP($K1175,'Type Chart'!$C$2:$U$20,14,false)</f>
        <v>1</v>
      </c>
      <c r="AH1175" s="960">
        <f t="array" ref="AH1175">HLOOKUP($J1175,'Type Chart'!$C$2:$T$20,15,false)*HLOOKUP($K1175,'Type Chart'!$C$2:$U$20,15,false)</f>
        <v>1</v>
      </c>
      <c r="AI1175" s="960">
        <f t="array" ref="AI1175">HLOOKUP($J1175,'Type Chart'!$C$2:$T$20,16,false)*HLOOKUP($K1175,'Type Chart'!$C$2:$U$20,16,false)</f>
        <v>0.5</v>
      </c>
      <c r="AJ1175" s="960">
        <f t="array" ref="AJ1175">HLOOKUP($J1175,'Type Chart'!$C$2:$T$20,17,false)*HLOOKUP($K1175,'Type Chart'!$C$2:$U$20,17,false)</f>
        <v>0.5</v>
      </c>
      <c r="AK1175" s="960">
        <f t="array" ref="AK1175">HLOOKUP($J1175,'Type Chart'!$C$2:$T$20,18,false)*HLOOKUP($K1175,'Type Chart'!$C$2:$U$20,18,false)</f>
        <v>1</v>
      </c>
      <c r="AL1175" s="960">
        <f t="array" ref="AL1175">HLOOKUP($J1175,'Type Chart'!$C$2:$T$20,19,false)*HLOOKUP($K1175,'Type Chart'!$C$2:$U$20,19,false)</f>
        <v>0.25</v>
      </c>
      <c r="AM1175" s="964" t="s">
        <v>1431</v>
      </c>
      <c r="AN1175" s="964"/>
      <c r="AO1175" s="966" t="s">
        <v>2722</v>
      </c>
      <c r="AP1175" s="936"/>
      <c r="AQ1175" s="967"/>
      <c r="AR1175" s="968"/>
      <c r="AS1175" s="936"/>
    </row>
    <row r="1176" ht="15.75" customHeight="1">
      <c r="A1176" s="936"/>
      <c r="B1176" s="948">
        <v>943.0</v>
      </c>
      <c r="C1176" s="950" t="s">
        <v>4220</v>
      </c>
      <c r="D1176" s="950" t="s">
        <v>4220</v>
      </c>
      <c r="E1176" s="952" t="s">
        <v>4220</v>
      </c>
      <c r="F1176" s="940"/>
      <c r="G1176" s="953"/>
      <c r="H1176" s="969"/>
      <c r="I1176" s="956" t="s">
        <v>546</v>
      </c>
      <c r="J1176" s="1206" t="s">
        <v>82</v>
      </c>
      <c r="K1176" s="958" t="s">
        <v>178</v>
      </c>
      <c r="L1176" s="959">
        <v>80.0</v>
      </c>
      <c r="M1176" s="960">
        <v>119.0</v>
      </c>
      <c r="N1176" s="960">
        <v>90.0</v>
      </c>
      <c r="O1176" s="960">
        <v>54.0</v>
      </c>
      <c r="P1176" s="960">
        <v>67.0</v>
      </c>
      <c r="Q1176" s="960">
        <v>90.0</v>
      </c>
      <c r="R1176" s="960">
        <v>216.0</v>
      </c>
      <c r="S1176" s="960">
        <v>279.0</v>
      </c>
      <c r="T1176" s="960">
        <v>306.0</v>
      </c>
      <c r="U1176" s="960">
        <f t="array" ref="U1176">HLOOKUP($J1176,'Type Chart'!$C$2:$T$20,2,false)*HLOOKUP($K1176,'Type Chart'!$C$2:$U$20,2,false)</f>
        <v>0.5</v>
      </c>
      <c r="V1176" s="960">
        <f t="array" ref="V1176">HLOOKUP($J1176,'Type Chart'!$C$2:$T$20,3,false)*HLOOKUP($K1176,'Type Chart'!$C$2:$U$20,3,false)</f>
        <v>1</v>
      </c>
      <c r="W1176" s="960">
        <f t="array" ref="W1176">HLOOKUP($J1176,'Type Chart'!$C$2:$T$20,4,false)*HLOOKUP($K1176,'Type Chart'!$C$2:$U$20,4,false)</f>
        <v>0.5</v>
      </c>
      <c r="X1176" s="960">
        <f t="array" ref="X1176">HLOOKUP($J1176,'Type Chart'!$C$2:$T$20,5,false)*HLOOKUP($K1176,'Type Chart'!$C$2:$U$20,5,false)</f>
        <v>0</v>
      </c>
      <c r="Y1176" s="960">
        <f t="array" ref="Y1176">HLOOKUP($J1176,'Type Chart'!$C$2:$T$20,6,false)*HLOOKUP($K1176,'Type Chart'!$C$2:$U$20,6,false)</f>
        <v>4</v>
      </c>
      <c r="Z1176" s="960">
        <f t="array" ref="Z1176">HLOOKUP($J1176,'Type Chart'!$C$2:$T$20,7,false)*HLOOKUP($K1176,'Type Chart'!$C$2:$U$20,7,false)</f>
        <v>0.5</v>
      </c>
      <c r="AA1176" s="960">
        <f t="array" ref="AA1176">HLOOKUP($J1176,'Type Chart'!$C$2:$T$20,8,false)*HLOOKUP($K1176,'Type Chart'!$C$2:$U$20,8,false)</f>
        <v>0.25</v>
      </c>
      <c r="AB1176" s="960">
        <f t="array" ref="AB1176">HLOOKUP($J1176,'Type Chart'!$C$2:$T$20,9,false)*HLOOKUP($K1176,'Type Chart'!$C$2:$U$20,9,false)</f>
        <v>1</v>
      </c>
      <c r="AC1176" s="960">
        <f t="array" ref="AC1176">HLOOKUP($J1176,'Type Chart'!$C$2:$T$20,10,false)*HLOOKUP($K1176,'Type Chart'!$C$2:$U$20,10,false)</f>
        <v>0.5</v>
      </c>
      <c r="AD1176" s="960">
        <f t="array" ref="AD1176">HLOOKUP($J1176,'Type Chart'!$C$2:$T$20,11,false)*HLOOKUP($K1176,'Type Chart'!$C$2:$U$20,11,false)</f>
        <v>2</v>
      </c>
      <c r="AE1176" s="960">
        <f t="array" ref="AE1176">HLOOKUP($J1176,'Type Chart'!$C$2:$T$20,12,false)*HLOOKUP($K1176,'Type Chart'!$C$2:$U$20,12,false)</f>
        <v>1</v>
      </c>
      <c r="AF1176" s="960">
        <f t="array" ref="AF1176">HLOOKUP($J1176,'Type Chart'!$C$2:$T$20,13,false)*HLOOKUP($K1176,'Type Chart'!$C$2:$U$20,13,false)</f>
        <v>0.25</v>
      </c>
      <c r="AG1176" s="960">
        <f t="array" ref="AG1176">HLOOKUP($J1176,'Type Chart'!$C$2:$T$20,14,false)*HLOOKUP($K1176,'Type Chart'!$C$2:$U$20,14,false)</f>
        <v>1</v>
      </c>
      <c r="AH1176" s="960">
        <f t="array" ref="AH1176">HLOOKUP($J1176,'Type Chart'!$C$2:$T$20,15,false)*HLOOKUP($K1176,'Type Chart'!$C$2:$U$20,15,false)</f>
        <v>1</v>
      </c>
      <c r="AI1176" s="960">
        <f t="array" ref="AI1176">HLOOKUP($J1176,'Type Chart'!$C$2:$T$20,16,false)*HLOOKUP($K1176,'Type Chart'!$C$2:$U$20,16,false)</f>
        <v>0.5</v>
      </c>
      <c r="AJ1176" s="960">
        <f t="array" ref="AJ1176">HLOOKUP($J1176,'Type Chart'!$C$2:$T$20,17,false)*HLOOKUP($K1176,'Type Chart'!$C$2:$U$20,17,false)</f>
        <v>0.5</v>
      </c>
      <c r="AK1176" s="960">
        <f t="array" ref="AK1176">HLOOKUP($J1176,'Type Chart'!$C$2:$T$20,18,false)*HLOOKUP($K1176,'Type Chart'!$C$2:$U$20,18,false)</f>
        <v>1</v>
      </c>
      <c r="AL1176" s="960">
        <f t="array" ref="AL1176">HLOOKUP($J1176,'Type Chart'!$C$2:$T$20,19,false)*HLOOKUP($K1176,'Type Chart'!$C$2:$U$20,19,false)</f>
        <v>0.25</v>
      </c>
      <c r="AM1176" s="964" t="s">
        <v>1431</v>
      </c>
      <c r="AN1176" s="964"/>
      <c r="AO1176" s="966" t="s">
        <v>1557</v>
      </c>
      <c r="AP1176" s="936"/>
      <c r="AQ1176" s="967"/>
      <c r="AR1176" s="968"/>
      <c r="AS1176" s="936"/>
    </row>
    <row r="1177" ht="15.75" customHeight="1">
      <c r="A1177" s="936"/>
      <c r="B1177" s="948">
        <v>944.0</v>
      </c>
      <c r="C1177" s="950" t="s">
        <v>4221</v>
      </c>
      <c r="D1177" s="950" t="s">
        <v>4221</v>
      </c>
      <c r="E1177" s="952" t="s">
        <v>4221</v>
      </c>
      <c r="F1177" s="940"/>
      <c r="G1177" s="953"/>
      <c r="H1177" s="969"/>
      <c r="I1177" s="956" t="s">
        <v>595</v>
      </c>
      <c r="J1177" s="1206" t="s">
        <v>82</v>
      </c>
      <c r="K1177" s="1235" t="s">
        <v>216</v>
      </c>
      <c r="L1177" s="959">
        <v>70.0</v>
      </c>
      <c r="M1177" s="960">
        <v>85.0</v>
      </c>
      <c r="N1177" s="960">
        <v>145.0</v>
      </c>
      <c r="O1177" s="960">
        <v>60.0</v>
      </c>
      <c r="P1177" s="960">
        <v>55.0</v>
      </c>
      <c r="Q1177" s="960">
        <v>65.0</v>
      </c>
      <c r="R1177" s="960">
        <v>166.0</v>
      </c>
      <c r="S1177" s="960">
        <v>229.0</v>
      </c>
      <c r="T1177" s="960">
        <v>251.0</v>
      </c>
      <c r="U1177" s="960">
        <f t="array" ref="U1177">HLOOKUP($J1177,'Type Chart'!$C$2:$T$20,2,false)*HLOOKUP($K1177,'Type Chart'!$C$2:$U$20,2,false)</f>
        <v>0.5</v>
      </c>
      <c r="V1177" s="960">
        <f t="array" ref="V1177">HLOOKUP($J1177,'Type Chart'!$C$2:$T$20,3,false)*HLOOKUP($K1177,'Type Chart'!$C$2:$U$20,3,false)</f>
        <v>2</v>
      </c>
      <c r="W1177" s="960">
        <f t="array" ref="W1177">HLOOKUP($J1177,'Type Chart'!$C$2:$T$20,4,false)*HLOOKUP($K1177,'Type Chart'!$C$2:$U$20,4,false)</f>
        <v>0.5</v>
      </c>
      <c r="X1177" s="960">
        <f t="array" ref="X1177">HLOOKUP($J1177,'Type Chart'!$C$2:$T$20,5,false)*HLOOKUP($K1177,'Type Chart'!$C$2:$U$20,5,false)</f>
        <v>0</v>
      </c>
      <c r="Y1177" s="960">
        <f t="array" ref="Y1177">HLOOKUP($J1177,'Type Chart'!$C$2:$T$20,6,false)*HLOOKUP($K1177,'Type Chart'!$C$2:$U$20,6,false)</f>
        <v>2</v>
      </c>
      <c r="Z1177" s="960">
        <f t="array" ref="Z1177">HLOOKUP($J1177,'Type Chart'!$C$2:$T$20,7,false)*HLOOKUP($K1177,'Type Chart'!$C$2:$U$20,7,false)</f>
        <v>0.5</v>
      </c>
      <c r="AA1177" s="960">
        <f t="array" ref="AA1177">HLOOKUP($J1177,'Type Chart'!$C$2:$T$20,8,false)*HLOOKUP($K1177,'Type Chart'!$C$2:$U$20,8,false)</f>
        <v>0.5</v>
      </c>
      <c r="AB1177" s="960">
        <f t="array" ref="AB1177">HLOOKUP($J1177,'Type Chart'!$C$2:$T$20,9,false)*HLOOKUP($K1177,'Type Chart'!$C$2:$U$20,9,false)</f>
        <v>1</v>
      </c>
      <c r="AC1177" s="960">
        <f t="array" ref="AC1177">HLOOKUP($J1177,'Type Chart'!$C$2:$T$20,10,false)*HLOOKUP($K1177,'Type Chart'!$C$2:$U$20,10,false)</f>
        <v>0.5</v>
      </c>
      <c r="AD1177" s="960">
        <f t="array" ref="AD1177">HLOOKUP($J1177,'Type Chart'!$C$2:$T$20,11,false)*HLOOKUP($K1177,'Type Chart'!$C$2:$U$20,11,false)</f>
        <v>2</v>
      </c>
      <c r="AE1177" s="960">
        <f t="array" ref="AE1177">HLOOKUP($J1177,'Type Chart'!$C$2:$T$20,12,false)*HLOOKUP($K1177,'Type Chart'!$C$2:$U$20,12,false)</f>
        <v>1</v>
      </c>
      <c r="AF1177" s="960">
        <f t="array" ref="AF1177">HLOOKUP($J1177,'Type Chart'!$C$2:$T$20,13,false)*HLOOKUP($K1177,'Type Chart'!$C$2:$U$20,13,false)</f>
        <v>0.5</v>
      </c>
      <c r="AG1177" s="960">
        <f t="array" ref="AG1177">HLOOKUP($J1177,'Type Chart'!$C$2:$T$20,14,false)*HLOOKUP($K1177,'Type Chart'!$C$2:$U$20,14,false)</f>
        <v>1</v>
      </c>
      <c r="AH1177" s="960">
        <f t="array" ref="AH1177">HLOOKUP($J1177,'Type Chart'!$C$2:$T$20,15,false)*HLOOKUP($K1177,'Type Chart'!$C$2:$U$20,15,false)</f>
        <v>0.5</v>
      </c>
      <c r="AI1177" s="960">
        <f t="array" ref="AI1177">HLOOKUP($J1177,'Type Chart'!$C$2:$T$20,16,false)*HLOOKUP($K1177,'Type Chart'!$C$2:$U$20,16,false)</f>
        <v>0.5</v>
      </c>
      <c r="AJ1177" s="960">
        <f t="array" ref="AJ1177">HLOOKUP($J1177,'Type Chart'!$C$2:$T$20,17,false)*HLOOKUP($K1177,'Type Chart'!$C$2:$U$20,17,false)</f>
        <v>0.5</v>
      </c>
      <c r="AK1177" s="960">
        <f t="array" ref="AK1177">HLOOKUP($J1177,'Type Chart'!$C$2:$T$20,18,false)*HLOOKUP($K1177,'Type Chart'!$C$2:$U$20,18,false)</f>
        <v>1</v>
      </c>
      <c r="AL1177" s="960">
        <f t="array" ref="AL1177">HLOOKUP($J1177,'Type Chart'!$C$2:$T$20,19,false)*HLOOKUP($K1177,'Type Chart'!$C$2:$U$20,19,false)</f>
        <v>0.5</v>
      </c>
      <c r="AM1177" s="964" t="s">
        <v>4222</v>
      </c>
      <c r="AN1177" s="965"/>
      <c r="AO1177" s="966" t="s">
        <v>1129</v>
      </c>
      <c r="AP1177" s="936"/>
      <c r="AQ1177" s="967"/>
      <c r="AR1177" s="968"/>
      <c r="AS1177" s="936"/>
    </row>
    <row r="1178" ht="15.75" customHeight="1">
      <c r="A1178" s="936"/>
      <c r="B1178" s="948">
        <v>945.0</v>
      </c>
      <c r="C1178" s="950" t="s">
        <v>4223</v>
      </c>
      <c r="D1178" s="950" t="s">
        <v>4223</v>
      </c>
      <c r="E1178" s="952" t="s">
        <v>4223</v>
      </c>
      <c r="F1178" s="940"/>
      <c r="G1178" s="953"/>
      <c r="H1178" s="969"/>
      <c r="I1178" s="956" t="s">
        <v>4224</v>
      </c>
      <c r="J1178" s="1194" t="s">
        <v>136</v>
      </c>
      <c r="K1178" s="1235" t="s">
        <v>216</v>
      </c>
      <c r="L1178" s="959">
        <v>50.0</v>
      </c>
      <c r="M1178" s="960">
        <v>50.0</v>
      </c>
      <c r="N1178" s="960">
        <v>45.0</v>
      </c>
      <c r="O1178" s="960">
        <v>40.0</v>
      </c>
      <c r="P1178" s="960">
        <v>45.0</v>
      </c>
      <c r="Q1178" s="960">
        <v>75.0</v>
      </c>
      <c r="R1178" s="960">
        <v>186.0</v>
      </c>
      <c r="S1178" s="960">
        <v>249.0</v>
      </c>
      <c r="T1178" s="960">
        <v>273.0</v>
      </c>
      <c r="U1178" s="960">
        <f t="array" ref="U1178">HLOOKUP($J1178,'Type Chart'!$C$2:$T$20,2,false)*HLOOKUP($K1178,'Type Chart'!$C$2:$U$20,2,false)</f>
        <v>1</v>
      </c>
      <c r="V1178" s="960">
        <f t="array" ref="V1178">HLOOKUP($J1178,'Type Chart'!$C$2:$T$20,3,false)*HLOOKUP($K1178,'Type Chart'!$C$2:$U$20,3,false)</f>
        <v>2</v>
      </c>
      <c r="W1178" s="960">
        <f t="array" ref="W1178">HLOOKUP($J1178,'Type Chart'!$C$2:$T$20,4,false)*HLOOKUP($K1178,'Type Chart'!$C$2:$U$20,4,false)</f>
        <v>1</v>
      </c>
      <c r="X1178" s="960">
        <f t="array" ref="X1178">HLOOKUP($J1178,'Type Chart'!$C$2:$T$20,5,false)*HLOOKUP($K1178,'Type Chart'!$C$2:$U$20,5,false)</f>
        <v>1</v>
      </c>
      <c r="Y1178" s="960">
        <f t="array" ref="Y1178">HLOOKUP($J1178,'Type Chart'!$C$2:$T$20,6,false)*HLOOKUP($K1178,'Type Chart'!$C$2:$U$20,6,false)</f>
        <v>1</v>
      </c>
      <c r="Z1178" s="960">
        <f t="array" ref="Z1178">HLOOKUP($J1178,'Type Chart'!$C$2:$T$20,7,false)*HLOOKUP($K1178,'Type Chart'!$C$2:$U$20,7,false)</f>
        <v>1</v>
      </c>
      <c r="AA1178" s="960">
        <f t="array" ref="AA1178">HLOOKUP($J1178,'Type Chart'!$C$2:$T$20,8,false)*HLOOKUP($K1178,'Type Chart'!$C$2:$U$20,8,false)</f>
        <v>1</v>
      </c>
      <c r="AB1178" s="960">
        <f t="array" ref="AB1178">HLOOKUP($J1178,'Type Chart'!$C$2:$T$20,9,false)*HLOOKUP($K1178,'Type Chart'!$C$2:$U$20,9,false)</f>
        <v>0</v>
      </c>
      <c r="AC1178" s="960">
        <f t="array" ref="AC1178">HLOOKUP($J1178,'Type Chart'!$C$2:$T$20,10,false)*HLOOKUP($K1178,'Type Chart'!$C$2:$U$20,10,false)</f>
        <v>1</v>
      </c>
      <c r="AD1178" s="960">
        <f t="array" ref="AD1178">HLOOKUP($J1178,'Type Chart'!$C$2:$T$20,11,false)*HLOOKUP($K1178,'Type Chart'!$C$2:$U$20,11,false)</f>
        <v>1</v>
      </c>
      <c r="AE1178" s="960">
        <f t="array" ref="AE1178">HLOOKUP($J1178,'Type Chart'!$C$2:$T$20,12,false)*HLOOKUP($K1178,'Type Chart'!$C$2:$U$20,12,false)</f>
        <v>1</v>
      </c>
      <c r="AF1178" s="960">
        <f t="array" ref="AF1178">HLOOKUP($J1178,'Type Chart'!$C$2:$T$20,13,false)*HLOOKUP($K1178,'Type Chart'!$C$2:$U$20,13,false)</f>
        <v>1</v>
      </c>
      <c r="AG1178" s="960">
        <f t="array" ref="AG1178">HLOOKUP($J1178,'Type Chart'!$C$2:$T$20,14,false)*HLOOKUP($K1178,'Type Chart'!$C$2:$U$20,14,false)</f>
        <v>1</v>
      </c>
      <c r="AH1178" s="960">
        <f t="array" ref="AH1178">HLOOKUP($J1178,'Type Chart'!$C$2:$T$20,15,false)*HLOOKUP($K1178,'Type Chart'!$C$2:$U$20,15,false)</f>
        <v>1</v>
      </c>
      <c r="AI1178" s="960">
        <f t="array" ref="AI1178">HLOOKUP($J1178,'Type Chart'!$C$2:$T$20,16,false)*HLOOKUP($K1178,'Type Chart'!$C$2:$U$20,16,false)</f>
        <v>1</v>
      </c>
      <c r="AJ1178" s="960">
        <f t="array" ref="AJ1178">HLOOKUP($J1178,'Type Chart'!$C$2:$T$20,17,false)*HLOOKUP($K1178,'Type Chart'!$C$2:$U$20,17,false)</f>
        <v>1</v>
      </c>
      <c r="AK1178" s="960">
        <f t="array" ref="AK1178">HLOOKUP($J1178,'Type Chart'!$C$2:$T$20,18,false)*HLOOKUP($K1178,'Type Chart'!$C$2:$U$20,18,false)</f>
        <v>1</v>
      </c>
      <c r="AL1178" s="960">
        <f t="array" ref="AL1178">HLOOKUP($J1178,'Type Chart'!$C$2:$T$20,19,false)*HLOOKUP($K1178,'Type Chart'!$C$2:$U$20,19,false)</f>
        <v>1</v>
      </c>
      <c r="AM1178" s="964" t="s">
        <v>988</v>
      </c>
      <c r="AN1178" s="964" t="s">
        <v>1238</v>
      </c>
      <c r="AO1178" s="966" t="s">
        <v>1370</v>
      </c>
      <c r="AP1178" s="936"/>
      <c r="AQ1178" s="967"/>
      <c r="AR1178" s="968"/>
      <c r="AS1178" s="936"/>
    </row>
    <row r="1179" ht="15.75" customHeight="1">
      <c r="A1179" s="936"/>
      <c r="B1179" s="948">
        <v>946.0</v>
      </c>
      <c r="C1179" s="950" t="s">
        <v>4225</v>
      </c>
      <c r="D1179" s="950" t="s">
        <v>4225</v>
      </c>
      <c r="E1179" s="952" t="s">
        <v>4225</v>
      </c>
      <c r="F1179" s="940"/>
      <c r="G1179" s="953"/>
      <c r="H1179" s="969"/>
      <c r="I1179" s="956" t="s">
        <v>305</v>
      </c>
      <c r="J1179" s="1194" t="s">
        <v>136</v>
      </c>
      <c r="K1179" s="1235" t="s">
        <v>216</v>
      </c>
      <c r="L1179" s="959">
        <v>74.0</v>
      </c>
      <c r="M1179" s="960">
        <v>75.0</v>
      </c>
      <c r="N1179" s="960">
        <v>70.0</v>
      </c>
      <c r="O1179" s="960">
        <v>65.0</v>
      </c>
      <c r="P1179" s="960">
        <v>75.0</v>
      </c>
      <c r="Q1179" s="960">
        <v>111.0</v>
      </c>
      <c r="R1179" s="960">
        <v>258.0</v>
      </c>
      <c r="S1179" s="960">
        <v>321.0</v>
      </c>
      <c r="T1179" s="960">
        <v>353.0</v>
      </c>
      <c r="U1179" s="960">
        <f t="array" ref="U1179">HLOOKUP($J1179,'Type Chart'!$C$2:$T$20,2,false)*HLOOKUP($K1179,'Type Chart'!$C$2:$U$20,2,false)</f>
        <v>1</v>
      </c>
      <c r="V1179" s="960">
        <f t="array" ref="V1179">HLOOKUP($J1179,'Type Chart'!$C$2:$T$20,3,false)*HLOOKUP($K1179,'Type Chart'!$C$2:$U$20,3,false)</f>
        <v>2</v>
      </c>
      <c r="W1179" s="960">
        <f t="array" ref="W1179">HLOOKUP($J1179,'Type Chart'!$C$2:$T$20,4,false)*HLOOKUP($K1179,'Type Chart'!$C$2:$U$20,4,false)</f>
        <v>1</v>
      </c>
      <c r="X1179" s="960">
        <f t="array" ref="X1179">HLOOKUP($J1179,'Type Chart'!$C$2:$T$20,5,false)*HLOOKUP($K1179,'Type Chart'!$C$2:$U$20,5,false)</f>
        <v>1</v>
      </c>
      <c r="Y1179" s="960">
        <f t="array" ref="Y1179">HLOOKUP($J1179,'Type Chart'!$C$2:$T$20,6,false)*HLOOKUP($K1179,'Type Chart'!$C$2:$U$20,6,false)</f>
        <v>1</v>
      </c>
      <c r="Z1179" s="960">
        <f t="array" ref="Z1179">HLOOKUP($J1179,'Type Chart'!$C$2:$T$20,7,false)*HLOOKUP($K1179,'Type Chart'!$C$2:$U$20,7,false)</f>
        <v>1</v>
      </c>
      <c r="AA1179" s="960">
        <f t="array" ref="AA1179">HLOOKUP($J1179,'Type Chart'!$C$2:$T$20,8,false)*HLOOKUP($K1179,'Type Chart'!$C$2:$U$20,8,false)</f>
        <v>1</v>
      </c>
      <c r="AB1179" s="960">
        <f t="array" ref="AB1179">HLOOKUP($J1179,'Type Chart'!$C$2:$T$20,9,false)*HLOOKUP($K1179,'Type Chart'!$C$2:$U$20,9,false)</f>
        <v>0</v>
      </c>
      <c r="AC1179" s="960">
        <f t="array" ref="AC1179">HLOOKUP($J1179,'Type Chart'!$C$2:$T$20,10,false)*HLOOKUP($K1179,'Type Chart'!$C$2:$U$20,10,false)</f>
        <v>1</v>
      </c>
      <c r="AD1179" s="960">
        <f t="array" ref="AD1179">HLOOKUP($J1179,'Type Chart'!$C$2:$T$20,11,false)*HLOOKUP($K1179,'Type Chart'!$C$2:$U$20,11,false)</f>
        <v>1</v>
      </c>
      <c r="AE1179" s="960">
        <f t="array" ref="AE1179">HLOOKUP($J1179,'Type Chart'!$C$2:$T$20,12,false)*HLOOKUP($K1179,'Type Chart'!$C$2:$U$20,12,false)</f>
        <v>1</v>
      </c>
      <c r="AF1179" s="960">
        <f t="array" ref="AF1179">HLOOKUP($J1179,'Type Chart'!$C$2:$T$20,13,false)*HLOOKUP($K1179,'Type Chart'!$C$2:$U$20,13,false)</f>
        <v>1</v>
      </c>
      <c r="AG1179" s="960">
        <f t="array" ref="AG1179">HLOOKUP($J1179,'Type Chart'!$C$2:$T$20,14,false)*HLOOKUP($K1179,'Type Chart'!$C$2:$U$20,14,false)</f>
        <v>1</v>
      </c>
      <c r="AH1179" s="960">
        <f t="array" ref="AH1179">HLOOKUP($J1179,'Type Chart'!$C$2:$T$20,15,false)*HLOOKUP($K1179,'Type Chart'!$C$2:$U$20,15,false)</f>
        <v>1</v>
      </c>
      <c r="AI1179" s="960">
        <f t="array" ref="AI1179">HLOOKUP($J1179,'Type Chart'!$C$2:$T$20,16,false)*HLOOKUP($K1179,'Type Chart'!$C$2:$U$20,16,false)</f>
        <v>1</v>
      </c>
      <c r="AJ1179" s="960">
        <f t="array" ref="AJ1179">HLOOKUP($J1179,'Type Chart'!$C$2:$T$20,17,false)*HLOOKUP($K1179,'Type Chart'!$C$2:$U$20,17,false)</f>
        <v>1</v>
      </c>
      <c r="AK1179" s="960">
        <f t="array" ref="AK1179">HLOOKUP($J1179,'Type Chart'!$C$2:$T$20,18,false)*HLOOKUP($K1179,'Type Chart'!$C$2:$U$20,18,false)</f>
        <v>1</v>
      </c>
      <c r="AL1179" s="960">
        <f t="array" ref="AL1179">HLOOKUP($J1179,'Type Chart'!$C$2:$T$20,19,false)*HLOOKUP($K1179,'Type Chart'!$C$2:$U$20,19,false)</f>
        <v>1</v>
      </c>
      <c r="AM1179" s="964" t="s">
        <v>1167</v>
      </c>
      <c r="AN1179" s="964" t="s">
        <v>3286</v>
      </c>
      <c r="AO1179" s="966" t="s">
        <v>1239</v>
      </c>
      <c r="AP1179" s="936"/>
      <c r="AQ1179" s="967"/>
      <c r="AR1179" s="968"/>
      <c r="AS1179" s="936"/>
    </row>
    <row r="1180" ht="15.75" customHeight="1">
      <c r="A1180" s="936"/>
      <c r="B1180" s="948">
        <v>947.0</v>
      </c>
      <c r="C1180" s="950" t="s">
        <v>4226</v>
      </c>
      <c r="D1180" s="950" t="s">
        <v>4226</v>
      </c>
      <c r="E1180" s="952" t="s">
        <v>4226</v>
      </c>
      <c r="F1180" s="940"/>
      <c r="G1180" s="953"/>
      <c r="H1180" s="969"/>
      <c r="I1180" s="998" t="s">
        <v>4227</v>
      </c>
      <c r="J1180" s="1205" t="s">
        <v>345</v>
      </c>
      <c r="K1180" s="1235" t="s">
        <v>216</v>
      </c>
      <c r="L1180" s="959">
        <v>108.0</v>
      </c>
      <c r="M1180" s="960">
        <v>68.0</v>
      </c>
      <c r="N1180" s="960">
        <v>45.0</v>
      </c>
      <c r="O1180" s="960">
        <v>30.0</v>
      </c>
      <c r="P1180" s="960">
        <v>40.0</v>
      </c>
      <c r="Q1180" s="960">
        <v>43.0</v>
      </c>
      <c r="R1180" s="960">
        <v>122.0</v>
      </c>
      <c r="S1180" s="960">
        <v>185.0</v>
      </c>
      <c r="T1180" s="960">
        <v>203.0</v>
      </c>
      <c r="U1180" s="960">
        <f t="array" ref="U1180">HLOOKUP($J1180,'Type Chart'!$C$2:$T$20,2,false)*HLOOKUP($K1180,'Type Chart'!$C$2:$U$20,2,false)</f>
        <v>1</v>
      </c>
      <c r="V1180" s="960">
        <f t="array" ref="V1180">HLOOKUP($J1180,'Type Chart'!$C$2:$T$20,3,false)*HLOOKUP($K1180,'Type Chart'!$C$2:$U$20,3,false)</f>
        <v>2</v>
      </c>
      <c r="W1180" s="960">
        <f t="array" ref="W1180">HLOOKUP($J1180,'Type Chart'!$C$2:$T$20,4,false)*HLOOKUP($K1180,'Type Chart'!$C$2:$U$20,4,false)</f>
        <v>1</v>
      </c>
      <c r="X1180" s="960">
        <f t="array" ref="X1180">HLOOKUP($J1180,'Type Chart'!$C$2:$T$20,5,false)*HLOOKUP($K1180,'Type Chart'!$C$2:$U$20,5,false)</f>
        <v>1</v>
      </c>
      <c r="Y1180" s="960">
        <f t="array" ref="Y1180">HLOOKUP($J1180,'Type Chart'!$C$2:$T$20,6,false)*HLOOKUP($K1180,'Type Chart'!$C$2:$U$20,6,false)</f>
        <v>1</v>
      </c>
      <c r="Z1180" s="960">
        <f t="array" ref="Z1180">HLOOKUP($J1180,'Type Chart'!$C$2:$T$20,7,false)*HLOOKUP($K1180,'Type Chart'!$C$2:$U$20,7,false)</f>
        <v>2</v>
      </c>
      <c r="AA1180" s="960">
        <f t="array" ref="AA1180">HLOOKUP($J1180,'Type Chart'!$C$2:$T$20,8,false)*HLOOKUP($K1180,'Type Chart'!$C$2:$U$20,8,false)</f>
        <v>1</v>
      </c>
      <c r="AB1180" s="960">
        <f t="array" ref="AB1180">HLOOKUP($J1180,'Type Chart'!$C$2:$T$20,9,false)*HLOOKUP($K1180,'Type Chart'!$C$2:$U$20,9,false)</f>
        <v>1</v>
      </c>
      <c r="AC1180" s="960">
        <f t="array" ref="AC1180">HLOOKUP($J1180,'Type Chart'!$C$2:$T$20,10,false)*HLOOKUP($K1180,'Type Chart'!$C$2:$U$20,10,false)</f>
        <v>2</v>
      </c>
      <c r="AD1180" s="960">
        <f t="array" ref="AD1180">HLOOKUP($J1180,'Type Chart'!$C$2:$T$20,11,false)*HLOOKUP($K1180,'Type Chart'!$C$2:$U$20,11,false)</f>
        <v>2</v>
      </c>
      <c r="AE1180" s="960">
        <f t="array" ref="AE1180">HLOOKUP($J1180,'Type Chart'!$C$2:$T$20,12,false)*HLOOKUP($K1180,'Type Chart'!$C$2:$U$20,12,false)</f>
        <v>1</v>
      </c>
      <c r="AF1180" s="960">
        <f t="array" ref="AF1180">HLOOKUP($J1180,'Type Chart'!$C$2:$T$20,13,false)*HLOOKUP($K1180,'Type Chart'!$C$2:$U$20,13,false)</f>
        <v>1</v>
      </c>
      <c r="AG1180" s="960">
        <f t="array" ref="AG1180">HLOOKUP($J1180,'Type Chart'!$C$2:$T$20,14,false)*HLOOKUP($K1180,'Type Chart'!$C$2:$U$20,14,false)</f>
        <v>1</v>
      </c>
      <c r="AH1180" s="960">
        <f t="array" ref="AH1180">HLOOKUP($J1180,'Type Chart'!$C$2:$T$20,15,false)*HLOOKUP($K1180,'Type Chart'!$C$2:$U$20,15,false)</f>
        <v>1</v>
      </c>
      <c r="AI1180" s="960">
        <f t="array" ref="AI1180">HLOOKUP($J1180,'Type Chart'!$C$2:$T$20,16,false)*HLOOKUP($K1180,'Type Chart'!$C$2:$U$20,16,false)</f>
        <v>0.5</v>
      </c>
      <c r="AJ1180" s="960">
        <f t="array" ref="AJ1180">HLOOKUP($J1180,'Type Chart'!$C$2:$T$20,17,false)*HLOOKUP($K1180,'Type Chart'!$C$2:$U$20,17,false)</f>
        <v>1</v>
      </c>
      <c r="AK1180" s="960">
        <f t="array" ref="AK1180">HLOOKUP($J1180,'Type Chart'!$C$2:$T$20,18,false)*HLOOKUP($K1180,'Type Chart'!$C$2:$U$20,18,false)</f>
        <v>1</v>
      </c>
      <c r="AL1180" s="960">
        <f t="array" ref="AL1180">HLOOKUP($J1180,'Type Chart'!$C$2:$T$20,19,false)*HLOOKUP($K1180,'Type Chart'!$C$2:$U$20,19,false)</f>
        <v>1</v>
      </c>
      <c r="AM1180" s="964" t="s">
        <v>760</v>
      </c>
      <c r="AN1180" s="964" t="s">
        <v>1135</v>
      </c>
      <c r="AO1180" s="966" t="s">
        <v>1153</v>
      </c>
      <c r="AP1180" s="936"/>
      <c r="AQ1180" s="967"/>
      <c r="AR1180" s="968"/>
      <c r="AS1180" s="936"/>
    </row>
    <row r="1181" ht="15.75" customHeight="1">
      <c r="A1181" s="936"/>
      <c r="B1181" s="948">
        <v>948.0</v>
      </c>
      <c r="C1181" s="950" t="s">
        <v>4228</v>
      </c>
      <c r="D1181" s="950" t="s">
        <v>4228</v>
      </c>
      <c r="E1181" s="952" t="s">
        <v>4228</v>
      </c>
      <c r="F1181" s="940"/>
      <c r="G1181" s="953"/>
      <c r="H1181" s="969"/>
      <c r="I1181" s="956" t="s">
        <v>558</v>
      </c>
      <c r="J1181" s="1205" t="s">
        <v>345</v>
      </c>
      <c r="K1181" s="1235" t="s">
        <v>216</v>
      </c>
      <c r="L1181" s="959">
        <v>170.0</v>
      </c>
      <c r="M1181" s="960">
        <v>113.0</v>
      </c>
      <c r="N1181" s="960">
        <v>65.0</v>
      </c>
      <c r="O1181" s="960">
        <v>45.0</v>
      </c>
      <c r="P1181" s="960">
        <v>55.0</v>
      </c>
      <c r="Q1181" s="960">
        <v>73.0</v>
      </c>
      <c r="R1181" s="960">
        <v>182.0</v>
      </c>
      <c r="S1181" s="960">
        <v>245.0</v>
      </c>
      <c r="T1181" s="960">
        <v>269.0</v>
      </c>
      <c r="U1181" s="960">
        <f t="array" ref="U1181">HLOOKUP($J1181,'Type Chart'!$C$2:$T$20,2,false)*HLOOKUP($K1181,'Type Chart'!$C$2:$U$20,2,false)</f>
        <v>1</v>
      </c>
      <c r="V1181" s="960">
        <f t="array" ref="V1181">HLOOKUP($J1181,'Type Chart'!$C$2:$T$20,3,false)*HLOOKUP($K1181,'Type Chart'!$C$2:$U$20,3,false)</f>
        <v>2</v>
      </c>
      <c r="W1181" s="960">
        <f t="array" ref="W1181">HLOOKUP($J1181,'Type Chart'!$C$2:$T$20,4,false)*HLOOKUP($K1181,'Type Chart'!$C$2:$U$20,4,false)</f>
        <v>1</v>
      </c>
      <c r="X1181" s="960">
        <f t="array" ref="X1181">HLOOKUP($J1181,'Type Chart'!$C$2:$T$20,5,false)*HLOOKUP($K1181,'Type Chart'!$C$2:$U$20,5,false)</f>
        <v>1</v>
      </c>
      <c r="Y1181" s="960">
        <f t="array" ref="Y1181">HLOOKUP($J1181,'Type Chart'!$C$2:$T$20,6,false)*HLOOKUP($K1181,'Type Chart'!$C$2:$U$20,6,false)</f>
        <v>1</v>
      </c>
      <c r="Z1181" s="960">
        <f t="array" ref="Z1181">HLOOKUP($J1181,'Type Chart'!$C$2:$T$20,7,false)*HLOOKUP($K1181,'Type Chart'!$C$2:$U$20,7,false)</f>
        <v>2</v>
      </c>
      <c r="AA1181" s="960">
        <f t="array" ref="AA1181">HLOOKUP($J1181,'Type Chart'!$C$2:$T$20,8,false)*HLOOKUP($K1181,'Type Chart'!$C$2:$U$20,8,false)</f>
        <v>1</v>
      </c>
      <c r="AB1181" s="960">
        <f t="array" ref="AB1181">HLOOKUP($J1181,'Type Chart'!$C$2:$T$20,9,false)*HLOOKUP($K1181,'Type Chart'!$C$2:$U$20,9,false)</f>
        <v>1</v>
      </c>
      <c r="AC1181" s="960">
        <f t="array" ref="AC1181">HLOOKUP($J1181,'Type Chart'!$C$2:$T$20,10,false)*HLOOKUP($K1181,'Type Chart'!$C$2:$U$20,10,false)</f>
        <v>2</v>
      </c>
      <c r="AD1181" s="960">
        <f t="array" ref="AD1181">HLOOKUP($J1181,'Type Chart'!$C$2:$T$20,11,false)*HLOOKUP($K1181,'Type Chart'!$C$2:$U$20,11,false)</f>
        <v>2</v>
      </c>
      <c r="AE1181" s="960">
        <f t="array" ref="AE1181">HLOOKUP($J1181,'Type Chart'!$C$2:$T$20,12,false)*HLOOKUP($K1181,'Type Chart'!$C$2:$U$20,12,false)</f>
        <v>1</v>
      </c>
      <c r="AF1181" s="960">
        <f t="array" ref="AF1181">HLOOKUP($J1181,'Type Chart'!$C$2:$T$20,13,false)*HLOOKUP($K1181,'Type Chart'!$C$2:$U$20,13,false)</f>
        <v>1</v>
      </c>
      <c r="AG1181" s="960">
        <f t="array" ref="AG1181">HLOOKUP($J1181,'Type Chart'!$C$2:$T$20,14,false)*HLOOKUP($K1181,'Type Chart'!$C$2:$U$20,14,false)</f>
        <v>1</v>
      </c>
      <c r="AH1181" s="960">
        <f t="array" ref="AH1181">HLOOKUP($J1181,'Type Chart'!$C$2:$T$20,15,false)*HLOOKUP($K1181,'Type Chart'!$C$2:$U$20,15,false)</f>
        <v>1</v>
      </c>
      <c r="AI1181" s="960">
        <f t="array" ref="AI1181">HLOOKUP($J1181,'Type Chart'!$C$2:$T$20,16,false)*HLOOKUP($K1181,'Type Chart'!$C$2:$U$20,16,false)</f>
        <v>0.5</v>
      </c>
      <c r="AJ1181" s="960">
        <f t="array" ref="AJ1181">HLOOKUP($J1181,'Type Chart'!$C$2:$T$20,17,false)*HLOOKUP($K1181,'Type Chart'!$C$2:$U$20,17,false)</f>
        <v>1</v>
      </c>
      <c r="AK1181" s="960">
        <f t="array" ref="AK1181">HLOOKUP($J1181,'Type Chart'!$C$2:$T$20,18,false)*HLOOKUP($K1181,'Type Chart'!$C$2:$U$20,18,false)</f>
        <v>1</v>
      </c>
      <c r="AL1181" s="960">
        <f t="array" ref="AL1181">HLOOKUP($J1181,'Type Chart'!$C$2:$T$20,19,false)*HLOOKUP($K1181,'Type Chart'!$C$2:$U$20,19,false)</f>
        <v>1</v>
      </c>
      <c r="AM1181" s="964" t="s">
        <v>760</v>
      </c>
      <c r="AN1181" s="964" t="s">
        <v>1136</v>
      </c>
      <c r="AO1181" s="966" t="s">
        <v>1153</v>
      </c>
      <c r="AP1181" s="936"/>
      <c r="AQ1181" s="967"/>
      <c r="AR1181" s="968"/>
      <c r="AS1181" s="936"/>
    </row>
    <row r="1182" ht="15.75" customHeight="1">
      <c r="A1182" s="936"/>
      <c r="B1182" s="948">
        <v>949.0</v>
      </c>
      <c r="C1182" s="950" t="s">
        <v>4229</v>
      </c>
      <c r="D1182" s="950" t="s">
        <v>4229</v>
      </c>
      <c r="E1182" s="952" t="s">
        <v>4229</v>
      </c>
      <c r="F1182" s="940"/>
      <c r="G1182" s="953"/>
      <c r="H1182" s="969"/>
      <c r="I1182" s="956" t="s">
        <v>4230</v>
      </c>
      <c r="J1182" s="1006" t="s">
        <v>346</v>
      </c>
      <c r="K1182" s="1205" t="s">
        <v>345</v>
      </c>
      <c r="L1182" s="959">
        <v>65.0</v>
      </c>
      <c r="M1182" s="960">
        <v>75.0</v>
      </c>
      <c r="N1182" s="960">
        <v>45.0</v>
      </c>
      <c r="O1182" s="960">
        <v>35.0</v>
      </c>
      <c r="P1182" s="960">
        <v>45.0</v>
      </c>
      <c r="Q1182" s="960">
        <v>55.0</v>
      </c>
      <c r="R1182" s="960">
        <v>146.0</v>
      </c>
      <c r="S1182" s="960">
        <v>209.0</v>
      </c>
      <c r="T1182" s="960">
        <v>229.0</v>
      </c>
      <c r="U1182" s="960">
        <f t="array" ref="U1182">HLOOKUP($J1182,'Type Chart'!$C$2:$T$20,2,false)*HLOOKUP($K1182,'Type Chart'!$C$2:$U$20,2,false)</f>
        <v>1</v>
      </c>
      <c r="V1182" s="960">
        <f t="array" ref="V1182">HLOOKUP($J1182,'Type Chart'!$C$2:$T$20,3,false)*HLOOKUP($K1182,'Type Chart'!$C$2:$U$20,3,false)</f>
        <v>2</v>
      </c>
      <c r="W1182" s="960">
        <f t="array" ref="W1182">HLOOKUP($J1182,'Type Chart'!$C$2:$T$20,4,false)*HLOOKUP($K1182,'Type Chart'!$C$2:$U$20,4,false)</f>
        <v>1</v>
      </c>
      <c r="X1182" s="960">
        <f t="array" ref="X1182">HLOOKUP($J1182,'Type Chart'!$C$2:$T$20,5,false)*HLOOKUP($K1182,'Type Chart'!$C$2:$U$20,5,false)</f>
        <v>1</v>
      </c>
      <c r="Y1182" s="960">
        <f t="array" ref="Y1182">HLOOKUP($J1182,'Type Chart'!$C$2:$T$20,6,false)*HLOOKUP($K1182,'Type Chart'!$C$2:$U$20,6,false)</f>
        <v>1</v>
      </c>
      <c r="Z1182" s="960">
        <f t="array" ref="Z1182">HLOOKUP($J1182,'Type Chart'!$C$2:$T$20,7,false)*HLOOKUP($K1182,'Type Chart'!$C$2:$U$20,7,false)</f>
        <v>2</v>
      </c>
      <c r="AA1182" s="960">
        <f t="array" ref="AA1182">HLOOKUP($J1182,'Type Chart'!$C$2:$T$20,8,false)*HLOOKUP($K1182,'Type Chart'!$C$2:$U$20,8,false)</f>
        <v>1</v>
      </c>
      <c r="AB1182" s="960">
        <f t="array" ref="AB1182">HLOOKUP($J1182,'Type Chart'!$C$2:$T$20,9,false)*HLOOKUP($K1182,'Type Chart'!$C$2:$U$20,9,false)</f>
        <v>1</v>
      </c>
      <c r="AC1182" s="960">
        <f t="array" ref="AC1182">HLOOKUP($J1182,'Type Chart'!$C$2:$T$20,10,false)*HLOOKUP($K1182,'Type Chart'!$C$2:$U$20,10,false)</f>
        <v>2</v>
      </c>
      <c r="AD1182" s="960">
        <f t="array" ref="AD1182">HLOOKUP($J1182,'Type Chart'!$C$2:$T$20,11,false)*HLOOKUP($K1182,'Type Chart'!$C$2:$U$20,11,false)</f>
        <v>1</v>
      </c>
      <c r="AE1182" s="960">
        <f t="array" ref="AE1182">HLOOKUP($J1182,'Type Chart'!$C$2:$T$20,12,false)*HLOOKUP($K1182,'Type Chart'!$C$2:$U$20,12,false)</f>
        <v>0.5</v>
      </c>
      <c r="AF1182" s="960">
        <f t="array" ref="AF1182">HLOOKUP($J1182,'Type Chart'!$C$2:$T$20,13,false)*HLOOKUP($K1182,'Type Chart'!$C$2:$U$20,13,false)</f>
        <v>0.5</v>
      </c>
      <c r="AG1182" s="960">
        <f t="array" ref="AG1182">HLOOKUP($J1182,'Type Chart'!$C$2:$T$20,14,false)*HLOOKUP($K1182,'Type Chart'!$C$2:$U$20,14,false)</f>
        <v>0.5</v>
      </c>
      <c r="AH1182" s="960">
        <f t="array" ref="AH1182">HLOOKUP($J1182,'Type Chart'!$C$2:$T$20,15,false)*HLOOKUP($K1182,'Type Chart'!$C$2:$U$20,15,false)</f>
        <v>1</v>
      </c>
      <c r="AI1182" s="960">
        <f t="array" ref="AI1182">HLOOKUP($J1182,'Type Chart'!$C$2:$T$20,16,false)*HLOOKUP($K1182,'Type Chart'!$C$2:$U$20,16,false)</f>
        <v>1</v>
      </c>
      <c r="AJ1182" s="960">
        <f t="array" ref="AJ1182">HLOOKUP($J1182,'Type Chart'!$C$2:$T$20,17,false)*HLOOKUP($K1182,'Type Chart'!$C$2:$U$20,17,false)</f>
        <v>2</v>
      </c>
      <c r="AK1182" s="960">
        <f t="array" ref="AK1182">HLOOKUP($J1182,'Type Chart'!$C$2:$T$20,18,false)*HLOOKUP($K1182,'Type Chart'!$C$2:$U$20,18,false)</f>
        <v>1</v>
      </c>
      <c r="AL1182" s="960">
        <f t="array" ref="AL1182">HLOOKUP($J1182,'Type Chart'!$C$2:$T$20,19,false)*HLOOKUP($K1182,'Type Chart'!$C$2:$U$20,19,false)</f>
        <v>2</v>
      </c>
      <c r="AM1182" s="964" t="s">
        <v>4231</v>
      </c>
      <c r="AN1182" s="964"/>
      <c r="AO1182" s="966" t="s">
        <v>1410</v>
      </c>
      <c r="AP1182" s="936"/>
      <c r="AQ1182" s="967"/>
      <c r="AR1182" s="968"/>
      <c r="AS1182" s="936"/>
    </row>
    <row r="1183" ht="15.75" customHeight="1">
      <c r="A1183" s="936"/>
      <c r="B1183" s="948">
        <v>950.0</v>
      </c>
      <c r="C1183" s="950" t="s">
        <v>4232</v>
      </c>
      <c r="D1183" s="950" t="s">
        <v>4232</v>
      </c>
      <c r="E1183" s="952" t="s">
        <v>4232</v>
      </c>
      <c r="F1183" s="940"/>
      <c r="G1183" s="953"/>
      <c r="H1183" s="969"/>
      <c r="I1183" s="956" t="s">
        <v>4233</v>
      </c>
      <c r="J1183" s="1006" t="s">
        <v>346</v>
      </c>
      <c r="K1183" s="1205" t="s">
        <v>345</v>
      </c>
      <c r="L1183" s="959">
        <v>90.0</v>
      </c>
      <c r="M1183" s="960">
        <v>95.0</v>
      </c>
      <c r="N1183" s="960">
        <v>66.0</v>
      </c>
      <c r="O1183" s="960">
        <v>45.0</v>
      </c>
      <c r="P1183" s="960">
        <v>65.0</v>
      </c>
      <c r="Q1183" s="960">
        <v>62.0</v>
      </c>
      <c r="R1183" s="960">
        <v>160.0</v>
      </c>
      <c r="S1183" s="960">
        <v>223.0</v>
      </c>
      <c r="T1183" s="960">
        <v>245.0</v>
      </c>
      <c r="U1183" s="960">
        <f t="array" ref="U1183">HLOOKUP($J1183,'Type Chart'!$C$2:$T$20,2,false)*HLOOKUP($K1183,'Type Chart'!$C$2:$U$20,2,false)</f>
        <v>1</v>
      </c>
      <c r="V1183" s="960">
        <f t="array" ref="V1183">HLOOKUP($J1183,'Type Chart'!$C$2:$T$20,3,false)*HLOOKUP($K1183,'Type Chart'!$C$2:$U$20,3,false)</f>
        <v>2</v>
      </c>
      <c r="W1183" s="960">
        <f t="array" ref="W1183">HLOOKUP($J1183,'Type Chart'!$C$2:$T$20,4,false)*HLOOKUP($K1183,'Type Chart'!$C$2:$U$20,4,false)</f>
        <v>1</v>
      </c>
      <c r="X1183" s="960">
        <f t="array" ref="X1183">HLOOKUP($J1183,'Type Chart'!$C$2:$T$20,5,false)*HLOOKUP($K1183,'Type Chart'!$C$2:$U$20,5,false)</f>
        <v>1</v>
      </c>
      <c r="Y1183" s="960">
        <f t="array" ref="Y1183">HLOOKUP($J1183,'Type Chart'!$C$2:$T$20,6,false)*HLOOKUP($K1183,'Type Chart'!$C$2:$U$20,6,false)</f>
        <v>1</v>
      </c>
      <c r="Z1183" s="960">
        <f t="array" ref="Z1183">HLOOKUP($J1183,'Type Chart'!$C$2:$T$20,7,false)*HLOOKUP($K1183,'Type Chart'!$C$2:$U$20,7,false)</f>
        <v>2</v>
      </c>
      <c r="AA1183" s="960">
        <f t="array" ref="AA1183">HLOOKUP($J1183,'Type Chart'!$C$2:$T$20,8,false)*HLOOKUP($K1183,'Type Chart'!$C$2:$U$20,8,false)</f>
        <v>1</v>
      </c>
      <c r="AB1183" s="960">
        <f t="array" ref="AB1183">HLOOKUP($J1183,'Type Chart'!$C$2:$T$20,9,false)*HLOOKUP($K1183,'Type Chart'!$C$2:$U$20,9,false)</f>
        <v>1</v>
      </c>
      <c r="AC1183" s="960">
        <f t="array" ref="AC1183">HLOOKUP($J1183,'Type Chart'!$C$2:$T$20,10,false)*HLOOKUP($K1183,'Type Chart'!$C$2:$U$20,10,false)</f>
        <v>2</v>
      </c>
      <c r="AD1183" s="960">
        <f t="array" ref="AD1183">HLOOKUP($J1183,'Type Chart'!$C$2:$T$20,11,false)*HLOOKUP($K1183,'Type Chart'!$C$2:$U$20,11,false)</f>
        <v>1</v>
      </c>
      <c r="AE1183" s="960">
        <f t="array" ref="AE1183">HLOOKUP($J1183,'Type Chart'!$C$2:$T$20,12,false)*HLOOKUP($K1183,'Type Chart'!$C$2:$U$20,12,false)</f>
        <v>0.5</v>
      </c>
      <c r="AF1183" s="960">
        <f t="array" ref="AF1183">HLOOKUP($J1183,'Type Chart'!$C$2:$T$20,13,false)*HLOOKUP($K1183,'Type Chart'!$C$2:$U$20,13,false)</f>
        <v>0.5</v>
      </c>
      <c r="AG1183" s="960">
        <f t="array" ref="AG1183">HLOOKUP($J1183,'Type Chart'!$C$2:$T$20,14,false)*HLOOKUP($K1183,'Type Chart'!$C$2:$U$20,14,false)</f>
        <v>0.5</v>
      </c>
      <c r="AH1183" s="960">
        <f t="array" ref="AH1183">HLOOKUP($J1183,'Type Chart'!$C$2:$T$20,15,false)*HLOOKUP($K1183,'Type Chart'!$C$2:$U$20,15,false)</f>
        <v>1</v>
      </c>
      <c r="AI1183" s="960">
        <f t="array" ref="AI1183">HLOOKUP($J1183,'Type Chart'!$C$2:$T$20,16,false)*HLOOKUP($K1183,'Type Chart'!$C$2:$U$20,16,false)</f>
        <v>1</v>
      </c>
      <c r="AJ1183" s="960">
        <f t="array" ref="AJ1183">HLOOKUP($J1183,'Type Chart'!$C$2:$T$20,17,false)*HLOOKUP($K1183,'Type Chart'!$C$2:$U$20,17,false)</f>
        <v>2</v>
      </c>
      <c r="AK1183" s="960">
        <f t="array" ref="AK1183">HLOOKUP($J1183,'Type Chart'!$C$2:$T$20,18,false)*HLOOKUP($K1183,'Type Chart'!$C$2:$U$20,18,false)</f>
        <v>1</v>
      </c>
      <c r="AL1183" s="960">
        <f t="array" ref="AL1183">HLOOKUP($J1183,'Type Chart'!$C$2:$T$20,19,false)*HLOOKUP($K1183,'Type Chart'!$C$2:$U$20,19,false)</f>
        <v>2</v>
      </c>
      <c r="AM1183" s="964" t="s">
        <v>4231</v>
      </c>
      <c r="AN1183" s="964"/>
      <c r="AO1183" s="966" t="s">
        <v>1410</v>
      </c>
      <c r="AP1183" s="936"/>
      <c r="AQ1183" s="967"/>
      <c r="AR1183" s="968"/>
      <c r="AS1183" s="936"/>
    </row>
    <row r="1184" ht="15.75" customHeight="1">
      <c r="A1184" s="936"/>
      <c r="B1184" s="948">
        <v>951.0</v>
      </c>
      <c r="C1184" s="950" t="s">
        <v>4234</v>
      </c>
      <c r="D1184" s="950" t="s">
        <v>4234</v>
      </c>
      <c r="E1184" s="952" t="s">
        <v>4234</v>
      </c>
      <c r="F1184" s="940"/>
      <c r="G1184" s="953"/>
      <c r="H1184" s="969"/>
      <c r="I1184" s="956" t="s">
        <v>389</v>
      </c>
      <c r="J1184" s="1006" t="s">
        <v>346</v>
      </c>
      <c r="K1184" s="1205" t="s">
        <v>345</v>
      </c>
      <c r="L1184" s="959">
        <v>115.0</v>
      </c>
      <c r="M1184" s="960">
        <v>145.0</v>
      </c>
      <c r="N1184" s="960">
        <v>92.0</v>
      </c>
      <c r="O1184" s="960">
        <v>75.0</v>
      </c>
      <c r="P1184" s="960">
        <v>86.0</v>
      </c>
      <c r="Q1184" s="960">
        <v>87.0</v>
      </c>
      <c r="R1184" s="960">
        <v>210.0</v>
      </c>
      <c r="S1184" s="960">
        <v>273.0</v>
      </c>
      <c r="T1184" s="960">
        <v>300.0</v>
      </c>
      <c r="U1184" s="960">
        <f t="array" ref="U1184">HLOOKUP($J1184,'Type Chart'!$C$2:$T$20,2,false)*HLOOKUP($K1184,'Type Chart'!$C$2:$U$20,2,false)</f>
        <v>1</v>
      </c>
      <c r="V1184" s="960">
        <f t="array" ref="V1184">HLOOKUP($J1184,'Type Chart'!$C$2:$T$20,3,false)*HLOOKUP($K1184,'Type Chart'!$C$2:$U$20,3,false)</f>
        <v>2</v>
      </c>
      <c r="W1184" s="960">
        <f t="array" ref="W1184">HLOOKUP($J1184,'Type Chart'!$C$2:$T$20,4,false)*HLOOKUP($K1184,'Type Chart'!$C$2:$U$20,4,false)</f>
        <v>1</v>
      </c>
      <c r="X1184" s="960">
        <f t="array" ref="X1184">HLOOKUP($J1184,'Type Chart'!$C$2:$T$20,5,false)*HLOOKUP($K1184,'Type Chart'!$C$2:$U$20,5,false)</f>
        <v>1</v>
      </c>
      <c r="Y1184" s="960">
        <f t="array" ref="Y1184">HLOOKUP($J1184,'Type Chart'!$C$2:$T$20,6,false)*HLOOKUP($K1184,'Type Chart'!$C$2:$U$20,6,false)</f>
        <v>1</v>
      </c>
      <c r="Z1184" s="960">
        <f t="array" ref="Z1184">HLOOKUP($J1184,'Type Chart'!$C$2:$T$20,7,false)*HLOOKUP($K1184,'Type Chart'!$C$2:$U$20,7,false)</f>
        <v>2</v>
      </c>
      <c r="AA1184" s="960">
        <f t="array" ref="AA1184">HLOOKUP($J1184,'Type Chart'!$C$2:$T$20,8,false)*HLOOKUP($K1184,'Type Chart'!$C$2:$U$20,8,false)</f>
        <v>1</v>
      </c>
      <c r="AB1184" s="960">
        <f t="array" ref="AB1184">HLOOKUP($J1184,'Type Chart'!$C$2:$T$20,9,false)*HLOOKUP($K1184,'Type Chart'!$C$2:$U$20,9,false)</f>
        <v>1</v>
      </c>
      <c r="AC1184" s="960">
        <f t="array" ref="AC1184">HLOOKUP($J1184,'Type Chart'!$C$2:$T$20,10,false)*HLOOKUP($K1184,'Type Chart'!$C$2:$U$20,10,false)</f>
        <v>2</v>
      </c>
      <c r="AD1184" s="960">
        <f t="array" ref="AD1184">HLOOKUP($J1184,'Type Chart'!$C$2:$T$20,11,false)*HLOOKUP($K1184,'Type Chart'!$C$2:$U$20,11,false)</f>
        <v>1</v>
      </c>
      <c r="AE1184" s="960">
        <f t="array" ref="AE1184">HLOOKUP($J1184,'Type Chart'!$C$2:$T$20,12,false)*HLOOKUP($K1184,'Type Chart'!$C$2:$U$20,12,false)</f>
        <v>0.5</v>
      </c>
      <c r="AF1184" s="960">
        <f t="array" ref="AF1184">HLOOKUP($J1184,'Type Chart'!$C$2:$T$20,13,false)*HLOOKUP($K1184,'Type Chart'!$C$2:$U$20,13,false)</f>
        <v>0.5</v>
      </c>
      <c r="AG1184" s="960">
        <f t="array" ref="AG1184">HLOOKUP($J1184,'Type Chart'!$C$2:$T$20,14,false)*HLOOKUP($K1184,'Type Chart'!$C$2:$U$20,14,false)</f>
        <v>0.5</v>
      </c>
      <c r="AH1184" s="960">
        <f t="array" ref="AH1184">HLOOKUP($J1184,'Type Chart'!$C$2:$T$20,15,false)*HLOOKUP($K1184,'Type Chart'!$C$2:$U$20,15,false)</f>
        <v>1</v>
      </c>
      <c r="AI1184" s="960">
        <f t="array" ref="AI1184">HLOOKUP($J1184,'Type Chart'!$C$2:$T$20,16,false)*HLOOKUP($K1184,'Type Chart'!$C$2:$U$20,16,false)</f>
        <v>1</v>
      </c>
      <c r="AJ1184" s="960">
        <f t="array" ref="AJ1184">HLOOKUP($J1184,'Type Chart'!$C$2:$T$20,17,false)*HLOOKUP($K1184,'Type Chart'!$C$2:$U$20,17,false)</f>
        <v>2</v>
      </c>
      <c r="AK1184" s="960">
        <f t="array" ref="AK1184">HLOOKUP($J1184,'Type Chart'!$C$2:$T$20,18,false)*HLOOKUP($K1184,'Type Chart'!$C$2:$U$20,18,false)</f>
        <v>1</v>
      </c>
      <c r="AL1184" s="960">
        <f t="array" ref="AL1184">HLOOKUP($J1184,'Type Chart'!$C$2:$T$20,19,false)*HLOOKUP($K1184,'Type Chart'!$C$2:$U$20,19,false)</f>
        <v>2</v>
      </c>
      <c r="AM1184" s="964" t="s">
        <v>4231</v>
      </c>
      <c r="AN1184" s="965"/>
      <c r="AO1184" s="966" t="s">
        <v>1410</v>
      </c>
      <c r="AP1184" s="936"/>
      <c r="AQ1184" s="967"/>
      <c r="AR1184" s="968"/>
      <c r="AS1184" s="936"/>
    </row>
    <row r="1185" ht="15.75" customHeight="1">
      <c r="A1185" s="936"/>
      <c r="B1185" s="948">
        <v>952.0</v>
      </c>
      <c r="C1185" s="950" t="s">
        <v>4235</v>
      </c>
      <c r="D1185" s="950" t="s">
        <v>4235</v>
      </c>
      <c r="E1185" s="952" t="s">
        <v>4235</v>
      </c>
      <c r="F1185" s="940"/>
      <c r="G1185" s="953"/>
      <c r="H1185" s="969"/>
      <c r="I1185" s="956" t="s">
        <v>688</v>
      </c>
      <c r="J1185" s="1006" t="s">
        <v>346</v>
      </c>
      <c r="K1185" s="1056" t="s">
        <v>81</v>
      </c>
      <c r="L1185" s="959">
        <v>68.0</v>
      </c>
      <c r="M1185" s="960">
        <v>50.0</v>
      </c>
      <c r="N1185" s="960">
        <v>60.0</v>
      </c>
      <c r="O1185" s="960">
        <v>120.0</v>
      </c>
      <c r="P1185" s="960">
        <v>95.0</v>
      </c>
      <c r="Q1185" s="960">
        <v>82.0</v>
      </c>
      <c r="R1185" s="960">
        <v>200.0</v>
      </c>
      <c r="S1185" s="960">
        <v>263.0</v>
      </c>
      <c r="T1185" s="960">
        <v>289.0</v>
      </c>
      <c r="U1185" s="960">
        <f t="array" ref="U1185">HLOOKUP($J1185,'Type Chart'!$C$2:$T$20,2,false)*HLOOKUP($K1185,'Type Chart'!$C$2:$U$20,2,false)</f>
        <v>1</v>
      </c>
      <c r="V1185" s="960">
        <f t="array" ref="V1185">HLOOKUP($J1185,'Type Chart'!$C$2:$T$20,3,false)*HLOOKUP($K1185,'Type Chart'!$C$2:$U$20,3,false)</f>
        <v>1</v>
      </c>
      <c r="W1185" s="960">
        <f t="array" ref="W1185">HLOOKUP($J1185,'Type Chart'!$C$2:$T$20,4,false)*HLOOKUP($K1185,'Type Chart'!$C$2:$U$20,4,false)</f>
        <v>1</v>
      </c>
      <c r="X1185" s="960">
        <f t="array" ref="X1185">HLOOKUP($J1185,'Type Chart'!$C$2:$T$20,5,false)*HLOOKUP($K1185,'Type Chart'!$C$2:$U$20,5,false)</f>
        <v>1</v>
      </c>
      <c r="Y1185" s="960">
        <f t="array" ref="Y1185">HLOOKUP($J1185,'Type Chart'!$C$2:$T$20,6,false)*HLOOKUP($K1185,'Type Chart'!$C$2:$U$20,6,false)</f>
        <v>1</v>
      </c>
      <c r="Z1185" s="960">
        <f t="array" ref="Z1185">HLOOKUP($J1185,'Type Chart'!$C$2:$T$20,7,false)*HLOOKUP($K1185,'Type Chart'!$C$2:$U$20,7,false)</f>
        <v>1</v>
      </c>
      <c r="AA1185" s="960">
        <f t="array" ref="AA1185">HLOOKUP($J1185,'Type Chart'!$C$2:$T$20,8,false)*HLOOKUP($K1185,'Type Chart'!$C$2:$U$20,8,false)</f>
        <v>1</v>
      </c>
      <c r="AB1185" s="960">
        <f t="array" ref="AB1185">HLOOKUP($J1185,'Type Chart'!$C$2:$T$20,9,false)*HLOOKUP($K1185,'Type Chart'!$C$2:$U$20,9,false)</f>
        <v>1</v>
      </c>
      <c r="AC1185" s="960">
        <f t="array" ref="AC1185">HLOOKUP($J1185,'Type Chart'!$C$2:$T$20,10,false)*HLOOKUP($K1185,'Type Chart'!$C$2:$U$20,10,false)</f>
        <v>0.5</v>
      </c>
      <c r="AD1185" s="960">
        <f t="array" ref="AD1185">HLOOKUP($J1185,'Type Chart'!$C$2:$T$20,11,false)*HLOOKUP($K1185,'Type Chart'!$C$2:$U$20,11,false)</f>
        <v>0.25</v>
      </c>
      <c r="AE1185" s="960">
        <f t="array" ref="AE1185">HLOOKUP($J1185,'Type Chart'!$C$2:$T$20,12,false)*HLOOKUP($K1185,'Type Chart'!$C$2:$U$20,12,false)</f>
        <v>0.25</v>
      </c>
      <c r="AF1185" s="960">
        <f t="array" ref="AF1185">HLOOKUP($J1185,'Type Chart'!$C$2:$T$20,13,false)*HLOOKUP($K1185,'Type Chart'!$C$2:$U$20,13,false)</f>
        <v>1</v>
      </c>
      <c r="AG1185" s="960">
        <f t="array" ref="AG1185">HLOOKUP($J1185,'Type Chart'!$C$2:$T$20,14,false)*HLOOKUP($K1185,'Type Chart'!$C$2:$U$20,14,false)</f>
        <v>1</v>
      </c>
      <c r="AH1185" s="960">
        <f t="array" ref="AH1185">HLOOKUP($J1185,'Type Chart'!$C$2:$T$20,15,false)*HLOOKUP($K1185,'Type Chart'!$C$2:$U$20,15,false)</f>
        <v>1</v>
      </c>
      <c r="AI1185" s="960">
        <f t="array" ref="AI1185">HLOOKUP($J1185,'Type Chart'!$C$2:$T$20,16,false)*HLOOKUP($K1185,'Type Chart'!$C$2:$U$20,16,false)</f>
        <v>1</v>
      </c>
      <c r="AJ1185" s="960">
        <f t="array" ref="AJ1185">HLOOKUP($J1185,'Type Chart'!$C$2:$T$20,17,false)*HLOOKUP($K1185,'Type Chart'!$C$2:$U$20,17,false)</f>
        <v>2</v>
      </c>
      <c r="AK1185" s="960">
        <f t="array" ref="AK1185">HLOOKUP($J1185,'Type Chart'!$C$2:$T$20,18,false)*HLOOKUP($K1185,'Type Chart'!$C$2:$U$20,18,false)</f>
        <v>1</v>
      </c>
      <c r="AL1185" s="960">
        <f t="array" ref="AL1185">HLOOKUP($J1185,'Type Chart'!$C$2:$T$20,19,false)*HLOOKUP($K1185,'Type Chart'!$C$2:$U$20,19,false)</f>
        <v>2</v>
      </c>
      <c r="AM1185" s="964" t="s">
        <v>4236</v>
      </c>
      <c r="AN1185" s="965"/>
      <c r="AO1185" s="966" t="s">
        <v>2282</v>
      </c>
      <c r="AP1185" s="936"/>
      <c r="AQ1185" s="967"/>
      <c r="AR1185" s="968"/>
      <c r="AS1185" s="936"/>
    </row>
    <row r="1186" ht="15.75" customHeight="1">
      <c r="A1186" s="936"/>
      <c r="B1186" s="948">
        <v>953.0</v>
      </c>
      <c r="C1186" s="950" t="s">
        <v>4237</v>
      </c>
      <c r="D1186" s="950" t="s">
        <v>4237</v>
      </c>
      <c r="E1186" s="952" t="s">
        <v>4237</v>
      </c>
      <c r="F1186" s="940"/>
      <c r="G1186" s="953"/>
      <c r="H1186" s="969"/>
      <c r="I1186" s="956" t="s">
        <v>469</v>
      </c>
      <c r="J1186" s="1006" t="s">
        <v>346</v>
      </c>
      <c r="K1186" s="1194" t="s">
        <v>136</v>
      </c>
      <c r="L1186" s="959">
        <v>70.0</v>
      </c>
      <c r="M1186" s="960">
        <v>95.0</v>
      </c>
      <c r="N1186" s="960">
        <v>65.0</v>
      </c>
      <c r="O1186" s="960">
        <v>85.0</v>
      </c>
      <c r="P1186" s="960">
        <v>65.0</v>
      </c>
      <c r="Q1186" s="960">
        <v>121.0</v>
      </c>
      <c r="R1186" s="960">
        <v>278.0</v>
      </c>
      <c r="S1186" s="960">
        <v>341.0</v>
      </c>
      <c r="T1186" s="960">
        <v>375.0</v>
      </c>
      <c r="U1186" s="960">
        <f t="array" ref="U1186">HLOOKUP($J1186,'Type Chart'!$C$2:$T$20,2,false)*HLOOKUP($K1186,'Type Chart'!$C$2:$U$20,2,false)</f>
        <v>1</v>
      </c>
      <c r="V1186" s="960">
        <f t="array" ref="V1186">HLOOKUP($J1186,'Type Chart'!$C$2:$T$20,3,false)*HLOOKUP($K1186,'Type Chart'!$C$2:$U$20,3,false)</f>
        <v>2</v>
      </c>
      <c r="W1186" s="960">
        <f t="array" ref="W1186">HLOOKUP($J1186,'Type Chart'!$C$2:$T$20,4,false)*HLOOKUP($K1186,'Type Chart'!$C$2:$U$20,4,false)</f>
        <v>1</v>
      </c>
      <c r="X1186" s="960">
        <f t="array" ref="X1186">HLOOKUP($J1186,'Type Chart'!$C$2:$T$20,5,false)*HLOOKUP($K1186,'Type Chart'!$C$2:$U$20,5,false)</f>
        <v>1</v>
      </c>
      <c r="Y1186" s="960">
        <f t="array" ref="Y1186">HLOOKUP($J1186,'Type Chart'!$C$2:$T$20,6,false)*HLOOKUP($K1186,'Type Chart'!$C$2:$U$20,6,false)</f>
        <v>1</v>
      </c>
      <c r="Z1186" s="960">
        <f t="array" ref="Z1186">HLOOKUP($J1186,'Type Chart'!$C$2:$T$20,7,false)*HLOOKUP($K1186,'Type Chart'!$C$2:$U$20,7,false)</f>
        <v>1</v>
      </c>
      <c r="AA1186" s="960">
        <f t="array" ref="AA1186">HLOOKUP($J1186,'Type Chart'!$C$2:$T$20,8,false)*HLOOKUP($K1186,'Type Chart'!$C$2:$U$20,8,false)</f>
        <v>1</v>
      </c>
      <c r="AB1186" s="960">
        <f t="array" ref="AB1186">HLOOKUP($J1186,'Type Chart'!$C$2:$T$20,9,false)*HLOOKUP($K1186,'Type Chart'!$C$2:$U$20,9,false)</f>
        <v>0</v>
      </c>
      <c r="AC1186" s="960">
        <f t="array" ref="AC1186">HLOOKUP($J1186,'Type Chart'!$C$2:$T$20,10,false)*HLOOKUP($K1186,'Type Chart'!$C$2:$U$20,10,false)</f>
        <v>1</v>
      </c>
      <c r="AD1186" s="960">
        <f t="array" ref="AD1186">HLOOKUP($J1186,'Type Chart'!$C$2:$T$20,11,false)*HLOOKUP($K1186,'Type Chart'!$C$2:$U$20,11,false)</f>
        <v>0.5</v>
      </c>
      <c r="AE1186" s="960">
        <f t="array" ref="AE1186">HLOOKUP($J1186,'Type Chart'!$C$2:$T$20,12,false)*HLOOKUP($K1186,'Type Chart'!$C$2:$U$20,12,false)</f>
        <v>0.5</v>
      </c>
      <c r="AF1186" s="960">
        <f t="array" ref="AF1186">HLOOKUP($J1186,'Type Chart'!$C$2:$T$20,13,false)*HLOOKUP($K1186,'Type Chart'!$C$2:$U$20,13,false)</f>
        <v>0.5</v>
      </c>
      <c r="AG1186" s="960">
        <f t="array" ref="AG1186">HLOOKUP($J1186,'Type Chart'!$C$2:$T$20,14,false)*HLOOKUP($K1186,'Type Chart'!$C$2:$U$20,14,false)</f>
        <v>0.5</v>
      </c>
      <c r="AH1186" s="960">
        <f t="array" ref="AH1186">HLOOKUP($J1186,'Type Chart'!$C$2:$T$20,15,false)*HLOOKUP($K1186,'Type Chart'!$C$2:$U$20,15,false)</f>
        <v>1</v>
      </c>
      <c r="AI1186" s="960">
        <f t="array" ref="AI1186">HLOOKUP($J1186,'Type Chart'!$C$2:$T$20,16,false)*HLOOKUP($K1186,'Type Chart'!$C$2:$U$20,16,false)</f>
        <v>2</v>
      </c>
      <c r="AJ1186" s="960">
        <f t="array" ref="AJ1186">HLOOKUP($J1186,'Type Chart'!$C$2:$T$20,17,false)*HLOOKUP($K1186,'Type Chart'!$C$2:$U$20,17,false)</f>
        <v>2</v>
      </c>
      <c r="AK1186" s="960">
        <f t="array" ref="AK1186">HLOOKUP($J1186,'Type Chart'!$C$2:$T$20,18,false)*HLOOKUP($K1186,'Type Chart'!$C$2:$U$20,18,false)</f>
        <v>1</v>
      </c>
      <c r="AL1186" s="960">
        <f t="array" ref="AL1186">HLOOKUP($J1186,'Type Chart'!$C$2:$T$20,19,false)*HLOOKUP($K1186,'Type Chart'!$C$2:$U$20,19,false)</f>
        <v>2</v>
      </c>
      <c r="AM1186" s="964" t="s">
        <v>998</v>
      </c>
      <c r="AN1186" s="965"/>
      <c r="AO1186" s="966" t="s">
        <v>1371</v>
      </c>
      <c r="AP1186" s="936"/>
      <c r="AQ1186" s="967"/>
      <c r="AR1186" s="968"/>
      <c r="AS1186" s="936"/>
    </row>
    <row r="1187" ht="15.75" customHeight="1">
      <c r="A1187" s="1099"/>
      <c r="B1187" s="948">
        <v>954.0</v>
      </c>
      <c r="C1187" s="1197" t="s">
        <v>4238</v>
      </c>
      <c r="D1187" s="1197" t="s">
        <v>4238</v>
      </c>
      <c r="E1187" s="1147" t="s">
        <v>4238</v>
      </c>
      <c r="F1187" s="940"/>
      <c r="G1187" s="953"/>
      <c r="H1187" s="969"/>
      <c r="I1187" s="998" t="s">
        <v>4239</v>
      </c>
      <c r="J1187" s="1198" t="s">
        <v>203</v>
      </c>
      <c r="K1187" s="1235" t="s">
        <v>216</v>
      </c>
      <c r="L1187" s="1200">
        <v>45.0</v>
      </c>
      <c r="M1187" s="1201">
        <v>50.0</v>
      </c>
      <c r="N1187" s="1201">
        <v>20.0</v>
      </c>
      <c r="O1187" s="1201">
        <v>40.0</v>
      </c>
      <c r="P1187" s="1201">
        <v>25.0</v>
      </c>
      <c r="Q1187" s="1201">
        <v>60.0</v>
      </c>
      <c r="R1187" s="960">
        <v>156.0</v>
      </c>
      <c r="S1187" s="960">
        <v>219.0</v>
      </c>
      <c r="T1187" s="960">
        <v>240.0</v>
      </c>
      <c r="U1187" s="960">
        <f t="array" ref="U1187">HLOOKUP($J1187,'Type Chart'!$C$2:$T$20,2,false)*HLOOKUP($K1187,'Type Chart'!$C$2:$U$20,2,false)</f>
        <v>1</v>
      </c>
      <c r="V1187" s="960">
        <f t="array" ref="V1187">HLOOKUP($J1187,'Type Chart'!$C$2:$T$20,3,false)*HLOOKUP($K1187,'Type Chart'!$C$2:$U$20,3,false)</f>
        <v>1</v>
      </c>
      <c r="W1187" s="960">
        <f t="array" ref="W1187">HLOOKUP($J1187,'Type Chart'!$C$2:$T$20,4,false)*HLOOKUP($K1187,'Type Chart'!$C$2:$U$20,4,false)</f>
        <v>0.5</v>
      </c>
      <c r="X1187" s="960">
        <f t="array" ref="X1187">HLOOKUP($J1187,'Type Chart'!$C$2:$T$20,5,false)*HLOOKUP($K1187,'Type Chart'!$C$2:$U$20,5,false)</f>
        <v>1</v>
      </c>
      <c r="Y1187" s="960">
        <f t="array" ref="Y1187">HLOOKUP($J1187,'Type Chart'!$C$2:$T$20,6,false)*HLOOKUP($K1187,'Type Chart'!$C$2:$U$20,6,false)</f>
        <v>2</v>
      </c>
      <c r="Z1187" s="960">
        <f t="array" ref="Z1187">HLOOKUP($J1187,'Type Chart'!$C$2:$T$20,7,false)*HLOOKUP($K1187,'Type Chart'!$C$2:$U$20,7,false)</f>
        <v>1</v>
      </c>
      <c r="AA1187" s="960">
        <f t="array" ref="AA1187">HLOOKUP($J1187,'Type Chart'!$C$2:$T$20,8,false)*HLOOKUP($K1187,'Type Chart'!$C$2:$U$20,8,false)</f>
        <v>1</v>
      </c>
      <c r="AB1187" s="960">
        <f t="array" ref="AB1187">HLOOKUP($J1187,'Type Chart'!$C$2:$T$20,9,false)*HLOOKUP($K1187,'Type Chart'!$C$2:$U$20,9,false)</f>
        <v>1</v>
      </c>
      <c r="AC1187" s="960">
        <f t="array" ref="AC1187">HLOOKUP($J1187,'Type Chart'!$C$2:$T$20,10,false)*HLOOKUP($K1187,'Type Chart'!$C$2:$U$20,10,false)</f>
        <v>0.5</v>
      </c>
      <c r="AD1187" s="960">
        <f t="array" ref="AD1187">HLOOKUP($J1187,'Type Chart'!$C$2:$T$20,11,false)*HLOOKUP($K1187,'Type Chart'!$C$2:$U$20,11,false)</f>
        <v>1</v>
      </c>
      <c r="AE1187" s="960">
        <f t="array" ref="AE1187">HLOOKUP($J1187,'Type Chart'!$C$2:$T$20,12,false)*HLOOKUP($K1187,'Type Chart'!$C$2:$U$20,12,false)</f>
        <v>1</v>
      </c>
      <c r="AF1187" s="960">
        <f t="array" ref="AF1187">HLOOKUP($J1187,'Type Chart'!$C$2:$T$20,13,false)*HLOOKUP($K1187,'Type Chart'!$C$2:$U$20,13,false)</f>
        <v>1</v>
      </c>
      <c r="AG1187" s="960">
        <f t="array" ref="AG1187">HLOOKUP($J1187,'Type Chart'!$C$2:$T$20,14,false)*HLOOKUP($K1187,'Type Chart'!$C$2:$U$20,14,false)</f>
        <v>0.5</v>
      </c>
      <c r="AH1187" s="960">
        <f t="array" ref="AH1187">HLOOKUP($J1187,'Type Chart'!$C$2:$T$20,15,false)*HLOOKUP($K1187,'Type Chart'!$C$2:$U$20,15,false)</f>
        <v>1</v>
      </c>
      <c r="AI1187" s="960">
        <f t="array" ref="AI1187">HLOOKUP($J1187,'Type Chart'!$C$2:$T$20,16,false)*HLOOKUP($K1187,'Type Chart'!$C$2:$U$20,16,false)</f>
        <v>1</v>
      </c>
      <c r="AJ1187" s="960">
        <f t="array" ref="AJ1187">HLOOKUP($J1187,'Type Chart'!$C$2:$T$20,17,false)*HLOOKUP($K1187,'Type Chart'!$C$2:$U$20,17,false)</f>
        <v>1</v>
      </c>
      <c r="AK1187" s="960">
        <f t="array" ref="AK1187">HLOOKUP($J1187,'Type Chart'!$C$2:$T$20,18,false)*HLOOKUP($K1187,'Type Chart'!$C$2:$U$20,18,false)</f>
        <v>1</v>
      </c>
      <c r="AL1187" s="960">
        <f t="array" ref="AL1187">HLOOKUP($J1187,'Type Chart'!$C$2:$T$20,19,false)*HLOOKUP($K1187,'Type Chart'!$C$2:$U$20,19,false)</f>
        <v>1</v>
      </c>
      <c r="AM1187" s="1145" t="s">
        <v>1067</v>
      </c>
      <c r="AN1187" s="1145" t="s">
        <v>1520</v>
      </c>
      <c r="AO1187" s="1146" t="s">
        <v>1501</v>
      </c>
      <c r="AP1187" s="936"/>
      <c r="AQ1187" s="967"/>
      <c r="AR1187" s="968"/>
      <c r="AS1187" s="936"/>
    </row>
    <row r="1188" ht="15.75" customHeight="1">
      <c r="A1188" s="936"/>
      <c r="B1188" s="948">
        <v>955.0</v>
      </c>
      <c r="C1188" s="950" t="s">
        <v>4240</v>
      </c>
      <c r="D1188" s="950" t="s">
        <v>4240</v>
      </c>
      <c r="E1188" s="952" t="s">
        <v>4240</v>
      </c>
      <c r="F1188" s="940"/>
      <c r="G1188" s="953"/>
      <c r="H1188" s="969"/>
      <c r="I1188" s="956" t="s">
        <v>4241</v>
      </c>
      <c r="J1188" s="1196" t="s">
        <v>203</v>
      </c>
      <c r="K1188" s="1213" t="s">
        <v>341</v>
      </c>
      <c r="L1188" s="959">
        <v>60.0</v>
      </c>
      <c r="M1188" s="960">
        <v>75.0</v>
      </c>
      <c r="N1188" s="960">
        <v>40.0</v>
      </c>
      <c r="O1188" s="960">
        <v>50.0</v>
      </c>
      <c r="P1188" s="960">
        <v>40.0</v>
      </c>
      <c r="Q1188" s="960">
        <v>85.0</v>
      </c>
      <c r="R1188" s="960">
        <v>206.0</v>
      </c>
      <c r="S1188" s="960">
        <v>269.0</v>
      </c>
      <c r="T1188" s="960">
        <v>295.0</v>
      </c>
      <c r="U1188" s="960">
        <f t="array" ref="U1188">HLOOKUP($J1188,'Type Chart'!$C$2:$T$20,2,false)*HLOOKUP($K1188,'Type Chart'!$C$2:$U$20,2,false)</f>
        <v>1</v>
      </c>
      <c r="V1188" s="960">
        <f t="array" ref="V1188">HLOOKUP($J1188,'Type Chart'!$C$2:$T$20,3,false)*HLOOKUP($K1188,'Type Chart'!$C$2:$U$20,3,false)</f>
        <v>1</v>
      </c>
      <c r="W1188" s="960">
        <f t="array" ref="W1188">HLOOKUP($J1188,'Type Chart'!$C$2:$T$20,4,false)*HLOOKUP($K1188,'Type Chart'!$C$2:$U$20,4,false)</f>
        <v>1</v>
      </c>
      <c r="X1188" s="960">
        <f t="array" ref="X1188">HLOOKUP($J1188,'Type Chart'!$C$2:$T$20,5,false)*HLOOKUP($K1188,'Type Chart'!$C$2:$U$20,5,false)</f>
        <v>1</v>
      </c>
      <c r="Y1188" s="960">
        <f t="array" ref="Y1188">HLOOKUP($J1188,'Type Chart'!$C$2:$T$20,6,false)*HLOOKUP($K1188,'Type Chart'!$C$2:$U$20,6,false)</f>
        <v>2</v>
      </c>
      <c r="Z1188" s="960">
        <f t="array" ref="Z1188">HLOOKUP($J1188,'Type Chart'!$C$2:$T$20,7,false)*HLOOKUP($K1188,'Type Chart'!$C$2:$U$20,7,false)</f>
        <v>0.5</v>
      </c>
      <c r="AA1188" s="960">
        <f t="array" ref="AA1188">HLOOKUP($J1188,'Type Chart'!$C$2:$T$20,8,false)*HLOOKUP($K1188,'Type Chart'!$C$2:$U$20,8,false)</f>
        <v>0.5</v>
      </c>
      <c r="AB1188" s="960">
        <f t="array" ref="AB1188">HLOOKUP($J1188,'Type Chart'!$C$2:$T$20,9,false)*HLOOKUP($K1188,'Type Chart'!$C$2:$U$20,9,false)</f>
        <v>1</v>
      </c>
      <c r="AC1188" s="960">
        <f t="array" ref="AC1188">HLOOKUP($J1188,'Type Chart'!$C$2:$T$20,10,false)*HLOOKUP($K1188,'Type Chart'!$C$2:$U$20,10,false)</f>
        <v>0.5</v>
      </c>
      <c r="AD1188" s="960">
        <f t="array" ref="AD1188">HLOOKUP($J1188,'Type Chart'!$C$2:$T$20,11,false)*HLOOKUP($K1188,'Type Chart'!$C$2:$U$20,11,false)</f>
        <v>1</v>
      </c>
      <c r="AE1188" s="960">
        <f t="array" ref="AE1188">HLOOKUP($J1188,'Type Chart'!$C$2:$T$20,12,false)*HLOOKUP($K1188,'Type Chart'!$C$2:$U$20,12,false)</f>
        <v>1</v>
      </c>
      <c r="AF1188" s="960">
        <f t="array" ref="AF1188">HLOOKUP($J1188,'Type Chart'!$C$2:$T$20,13,false)*HLOOKUP($K1188,'Type Chart'!$C$2:$U$20,13,false)</f>
        <v>1</v>
      </c>
      <c r="AG1188" s="960">
        <f t="array" ref="AG1188">HLOOKUP($J1188,'Type Chart'!$C$2:$T$20,14,false)*HLOOKUP($K1188,'Type Chart'!$C$2:$U$20,14,false)</f>
        <v>0.5</v>
      </c>
      <c r="AH1188" s="960">
        <f t="array" ref="AH1188">HLOOKUP($J1188,'Type Chart'!$C$2:$T$20,15,false)*HLOOKUP($K1188,'Type Chart'!$C$2:$U$20,15,false)</f>
        <v>2</v>
      </c>
      <c r="AI1188" s="960">
        <f t="array" ref="AI1188">HLOOKUP($J1188,'Type Chart'!$C$2:$T$20,16,false)*HLOOKUP($K1188,'Type Chart'!$C$2:$U$20,16,false)</f>
        <v>1</v>
      </c>
      <c r="AJ1188" s="960">
        <f t="array" ref="AJ1188">HLOOKUP($J1188,'Type Chart'!$C$2:$T$20,17,false)*HLOOKUP($K1188,'Type Chart'!$C$2:$U$20,17,false)</f>
        <v>1</v>
      </c>
      <c r="AK1188" s="960">
        <f t="array" ref="AK1188">HLOOKUP($J1188,'Type Chart'!$C$2:$T$20,18,false)*HLOOKUP($K1188,'Type Chart'!$C$2:$U$20,18,false)</f>
        <v>0.5</v>
      </c>
      <c r="AL1188" s="960">
        <f t="array" ref="AL1188">HLOOKUP($J1188,'Type Chart'!$C$2:$T$20,19,false)*HLOOKUP($K1188,'Type Chart'!$C$2:$U$20,19,false)</f>
        <v>2</v>
      </c>
      <c r="AM1188" s="964" t="s">
        <v>1614</v>
      </c>
      <c r="AN1188" s="964" t="s">
        <v>1520</v>
      </c>
      <c r="AO1188" s="966" t="s">
        <v>1501</v>
      </c>
      <c r="AP1188" s="936"/>
      <c r="AQ1188" s="967"/>
      <c r="AR1188" s="968"/>
      <c r="AS1188" s="936"/>
    </row>
    <row r="1189" ht="15.75" customHeight="1">
      <c r="A1189" s="936"/>
      <c r="B1189" s="948">
        <v>956.0</v>
      </c>
      <c r="C1189" s="950" t="s">
        <v>4242</v>
      </c>
      <c r="D1189" s="950" t="s">
        <v>4242</v>
      </c>
      <c r="E1189" s="952" t="s">
        <v>4242</v>
      </c>
      <c r="F1189" s="940"/>
      <c r="G1189" s="953"/>
      <c r="H1189" s="969"/>
      <c r="I1189" s="956" t="s">
        <v>504</v>
      </c>
      <c r="J1189" s="1196" t="s">
        <v>203</v>
      </c>
      <c r="K1189" s="1213" t="s">
        <v>341</v>
      </c>
      <c r="L1189" s="959">
        <v>70.0</v>
      </c>
      <c r="M1189" s="960">
        <v>115.0</v>
      </c>
      <c r="N1189" s="960">
        <v>70.0</v>
      </c>
      <c r="O1189" s="960">
        <v>70.0</v>
      </c>
      <c r="P1189" s="960">
        <v>60.0</v>
      </c>
      <c r="Q1189" s="960">
        <v>105.0</v>
      </c>
      <c r="R1189" s="960">
        <v>246.0</v>
      </c>
      <c r="S1189" s="960">
        <v>309.0</v>
      </c>
      <c r="T1189" s="960">
        <v>339.0</v>
      </c>
      <c r="U1189" s="960">
        <f t="array" ref="U1189">HLOOKUP($J1189,'Type Chart'!$C$2:$T$20,2,false)*HLOOKUP($K1189,'Type Chart'!$C$2:$U$20,2,false)</f>
        <v>1</v>
      </c>
      <c r="V1189" s="960">
        <f t="array" ref="V1189">HLOOKUP($J1189,'Type Chart'!$C$2:$T$20,3,false)*HLOOKUP($K1189,'Type Chart'!$C$2:$U$20,3,false)</f>
        <v>1</v>
      </c>
      <c r="W1189" s="960">
        <f t="array" ref="W1189">HLOOKUP($J1189,'Type Chart'!$C$2:$T$20,4,false)*HLOOKUP($K1189,'Type Chart'!$C$2:$U$20,4,false)</f>
        <v>1</v>
      </c>
      <c r="X1189" s="960">
        <f t="array" ref="X1189">HLOOKUP($J1189,'Type Chart'!$C$2:$T$20,5,false)*HLOOKUP($K1189,'Type Chart'!$C$2:$U$20,5,false)</f>
        <v>1</v>
      </c>
      <c r="Y1189" s="960">
        <f t="array" ref="Y1189">HLOOKUP($J1189,'Type Chart'!$C$2:$T$20,6,false)*HLOOKUP($K1189,'Type Chart'!$C$2:$U$20,6,false)</f>
        <v>2</v>
      </c>
      <c r="Z1189" s="960">
        <f t="array" ref="Z1189">HLOOKUP($J1189,'Type Chart'!$C$2:$T$20,7,false)*HLOOKUP($K1189,'Type Chart'!$C$2:$U$20,7,false)</f>
        <v>0.5</v>
      </c>
      <c r="AA1189" s="960">
        <f t="array" ref="AA1189">HLOOKUP($J1189,'Type Chart'!$C$2:$T$20,8,false)*HLOOKUP($K1189,'Type Chart'!$C$2:$U$20,8,false)</f>
        <v>0.5</v>
      </c>
      <c r="AB1189" s="960">
        <f t="array" ref="AB1189">HLOOKUP($J1189,'Type Chart'!$C$2:$T$20,9,false)*HLOOKUP($K1189,'Type Chart'!$C$2:$U$20,9,false)</f>
        <v>1</v>
      </c>
      <c r="AC1189" s="960">
        <f t="array" ref="AC1189">HLOOKUP($J1189,'Type Chart'!$C$2:$T$20,10,false)*HLOOKUP($K1189,'Type Chart'!$C$2:$U$20,10,false)</f>
        <v>0.5</v>
      </c>
      <c r="AD1189" s="960">
        <f t="array" ref="AD1189">HLOOKUP($J1189,'Type Chart'!$C$2:$T$20,11,false)*HLOOKUP($K1189,'Type Chart'!$C$2:$U$20,11,false)</f>
        <v>1</v>
      </c>
      <c r="AE1189" s="960">
        <f t="array" ref="AE1189">HLOOKUP($J1189,'Type Chart'!$C$2:$T$20,12,false)*HLOOKUP($K1189,'Type Chart'!$C$2:$U$20,12,false)</f>
        <v>1</v>
      </c>
      <c r="AF1189" s="960">
        <f t="array" ref="AF1189">HLOOKUP($J1189,'Type Chart'!$C$2:$T$20,13,false)*HLOOKUP($K1189,'Type Chart'!$C$2:$U$20,13,false)</f>
        <v>1</v>
      </c>
      <c r="AG1189" s="960">
        <f t="array" ref="AG1189">HLOOKUP($J1189,'Type Chart'!$C$2:$T$20,14,false)*HLOOKUP($K1189,'Type Chart'!$C$2:$U$20,14,false)</f>
        <v>0.5</v>
      </c>
      <c r="AH1189" s="960">
        <f t="array" ref="AH1189">HLOOKUP($J1189,'Type Chart'!$C$2:$T$20,15,false)*HLOOKUP($K1189,'Type Chart'!$C$2:$U$20,15,false)</f>
        <v>2</v>
      </c>
      <c r="AI1189" s="960">
        <f t="array" ref="AI1189">HLOOKUP($J1189,'Type Chart'!$C$2:$T$20,16,false)*HLOOKUP($K1189,'Type Chart'!$C$2:$U$20,16,false)</f>
        <v>1</v>
      </c>
      <c r="AJ1189" s="960">
        <f t="array" ref="AJ1189">HLOOKUP($J1189,'Type Chart'!$C$2:$T$20,17,false)*HLOOKUP($K1189,'Type Chart'!$C$2:$U$20,17,false)</f>
        <v>1</v>
      </c>
      <c r="AK1189" s="960">
        <f t="array" ref="AK1189">HLOOKUP($J1189,'Type Chart'!$C$2:$T$20,18,false)*HLOOKUP($K1189,'Type Chart'!$C$2:$U$20,18,false)</f>
        <v>0.5</v>
      </c>
      <c r="AL1189" s="960">
        <f t="array" ref="AL1189">HLOOKUP($J1189,'Type Chart'!$C$2:$T$20,19,false)*HLOOKUP($K1189,'Type Chart'!$C$2:$U$20,19,false)</f>
        <v>2</v>
      </c>
      <c r="AM1189" s="964" t="s">
        <v>1614</v>
      </c>
      <c r="AN1189" s="964" t="s">
        <v>1520</v>
      </c>
      <c r="AO1189" s="966" t="s">
        <v>1501</v>
      </c>
      <c r="AP1189" s="936"/>
      <c r="AQ1189" s="967"/>
      <c r="AR1189" s="968"/>
      <c r="AS1189" s="936"/>
    </row>
    <row r="1190" ht="15.75" customHeight="1">
      <c r="A1190" s="936"/>
      <c r="B1190" s="948">
        <v>957.0</v>
      </c>
      <c r="C1190" s="950" t="s">
        <v>4243</v>
      </c>
      <c r="D1190" s="950" t="s">
        <v>4243</v>
      </c>
      <c r="E1190" s="952" t="s">
        <v>4243</v>
      </c>
      <c r="F1190" s="940"/>
      <c r="G1190" s="953"/>
      <c r="H1190" s="969"/>
      <c r="I1190" s="956" t="s">
        <v>4244</v>
      </c>
      <c r="J1190" s="1196" t="s">
        <v>203</v>
      </c>
      <c r="K1190" s="1001" t="s">
        <v>128</v>
      </c>
      <c r="L1190" s="959">
        <v>40.0</v>
      </c>
      <c r="M1190" s="960">
        <v>40.0</v>
      </c>
      <c r="N1190" s="960">
        <v>35.0</v>
      </c>
      <c r="O1190" s="960">
        <v>55.0</v>
      </c>
      <c r="P1190" s="960">
        <v>40.0</v>
      </c>
      <c r="Q1190" s="960">
        <v>70.0</v>
      </c>
      <c r="R1190" s="960">
        <v>176.0</v>
      </c>
      <c r="S1190" s="960">
        <v>239.0</v>
      </c>
      <c r="T1190" s="960">
        <v>262.0</v>
      </c>
      <c r="U1190" s="960">
        <f t="array" ref="U1190">HLOOKUP($J1190,'Type Chart'!$C$2:$T$20,2,false)*HLOOKUP($K1190,'Type Chart'!$C$2:$U$20,2,false)</f>
        <v>1</v>
      </c>
      <c r="V1190" s="960">
        <f t="array" ref="V1190">HLOOKUP($J1190,'Type Chart'!$C$2:$T$20,3,false)*HLOOKUP($K1190,'Type Chart'!$C$2:$U$20,3,false)</f>
        <v>0.5</v>
      </c>
      <c r="W1190" s="960">
        <f t="array" ref="W1190">HLOOKUP($J1190,'Type Chart'!$C$2:$T$20,4,false)*HLOOKUP($K1190,'Type Chart'!$C$2:$U$20,4,false)</f>
        <v>0.5</v>
      </c>
      <c r="X1190" s="960">
        <f t="array" ref="X1190">HLOOKUP($J1190,'Type Chart'!$C$2:$T$20,5,false)*HLOOKUP($K1190,'Type Chart'!$C$2:$U$20,5,false)</f>
        <v>1</v>
      </c>
      <c r="Y1190" s="960">
        <f t="array" ref="Y1190">HLOOKUP($J1190,'Type Chart'!$C$2:$T$20,6,false)*HLOOKUP($K1190,'Type Chart'!$C$2:$U$20,6,false)</f>
        <v>0</v>
      </c>
      <c r="Z1190" s="960">
        <f t="array" ref="Z1190">HLOOKUP($J1190,'Type Chart'!$C$2:$T$20,7,false)*HLOOKUP($K1190,'Type Chart'!$C$2:$U$20,7,false)</f>
        <v>2</v>
      </c>
      <c r="AA1190" s="960">
        <f t="array" ref="AA1190">HLOOKUP($J1190,'Type Chart'!$C$2:$T$20,8,false)*HLOOKUP($K1190,'Type Chart'!$C$2:$U$20,8,false)</f>
        <v>0.5</v>
      </c>
      <c r="AB1190" s="960">
        <f t="array" ref="AB1190">HLOOKUP($J1190,'Type Chart'!$C$2:$T$20,9,false)*HLOOKUP($K1190,'Type Chart'!$C$2:$U$20,9,false)</f>
        <v>1</v>
      </c>
      <c r="AC1190" s="960">
        <f t="array" ref="AC1190">HLOOKUP($J1190,'Type Chart'!$C$2:$T$20,10,false)*HLOOKUP($K1190,'Type Chart'!$C$2:$U$20,10,false)</f>
        <v>0.5</v>
      </c>
      <c r="AD1190" s="960">
        <f t="array" ref="AD1190">HLOOKUP($J1190,'Type Chart'!$C$2:$T$20,11,false)*HLOOKUP($K1190,'Type Chart'!$C$2:$U$20,11,false)</f>
        <v>1</v>
      </c>
      <c r="AE1190" s="960">
        <f t="array" ref="AE1190">HLOOKUP($J1190,'Type Chart'!$C$2:$T$20,12,false)*HLOOKUP($K1190,'Type Chart'!$C$2:$U$20,12,false)</f>
        <v>1</v>
      </c>
      <c r="AF1190" s="960">
        <f t="array" ref="AF1190">HLOOKUP($J1190,'Type Chart'!$C$2:$T$20,13,false)*HLOOKUP($K1190,'Type Chart'!$C$2:$U$20,13,false)</f>
        <v>0.5</v>
      </c>
      <c r="AG1190" s="960">
        <f t="array" ref="AG1190">HLOOKUP($J1190,'Type Chart'!$C$2:$T$20,14,false)*HLOOKUP($K1190,'Type Chart'!$C$2:$U$20,14,false)</f>
        <v>1</v>
      </c>
      <c r="AH1190" s="960">
        <f t="array" ref="AH1190">HLOOKUP($J1190,'Type Chart'!$C$2:$T$20,15,false)*HLOOKUP($K1190,'Type Chart'!$C$2:$U$20,15,false)</f>
        <v>1</v>
      </c>
      <c r="AI1190" s="960">
        <f t="array" ref="AI1190">HLOOKUP($J1190,'Type Chart'!$C$2:$T$20,16,false)*HLOOKUP($K1190,'Type Chart'!$C$2:$U$20,16,false)</f>
        <v>2</v>
      </c>
      <c r="AJ1190" s="960">
        <f t="array" ref="AJ1190">HLOOKUP($J1190,'Type Chart'!$C$2:$T$20,17,false)*HLOOKUP($K1190,'Type Chart'!$C$2:$U$20,17,false)</f>
        <v>1</v>
      </c>
      <c r="AK1190" s="960">
        <f t="array" ref="AK1190">HLOOKUP($J1190,'Type Chart'!$C$2:$T$20,18,false)*HLOOKUP($K1190,'Type Chart'!$C$2:$U$20,18,false)</f>
        <v>1</v>
      </c>
      <c r="AL1190" s="960">
        <f t="array" ref="AL1190">HLOOKUP($J1190,'Type Chart'!$C$2:$T$20,19,false)*HLOOKUP($K1190,'Type Chart'!$C$2:$U$20,19,false)</f>
        <v>1</v>
      </c>
      <c r="AM1190" s="964" t="s">
        <v>4245</v>
      </c>
      <c r="AN1190" s="964" t="s">
        <v>1614</v>
      </c>
      <c r="AO1190" s="966" t="s">
        <v>1185</v>
      </c>
      <c r="AP1190" s="936"/>
      <c r="AQ1190" s="967"/>
      <c r="AR1190" s="968"/>
      <c r="AS1190" s="936"/>
    </row>
    <row r="1191" ht="15.75" customHeight="1">
      <c r="A1191" s="936"/>
      <c r="B1191" s="948">
        <v>958.0</v>
      </c>
      <c r="C1191" s="950" t="s">
        <v>4246</v>
      </c>
      <c r="D1191" s="950" t="s">
        <v>4246</v>
      </c>
      <c r="E1191" s="952" t="s">
        <v>4246</v>
      </c>
      <c r="F1191" s="940"/>
      <c r="G1191" s="953"/>
      <c r="H1191" s="969"/>
      <c r="I1191" s="956" t="s">
        <v>589</v>
      </c>
      <c r="J1191" s="1196" t="s">
        <v>203</v>
      </c>
      <c r="K1191" s="1001" t="s">
        <v>128</v>
      </c>
      <c r="L1191" s="959">
        <v>70.0</v>
      </c>
      <c r="M1191" s="960">
        <v>70.0</v>
      </c>
      <c r="N1191" s="960">
        <v>60.0</v>
      </c>
      <c r="O1191" s="960">
        <v>105.0</v>
      </c>
      <c r="P1191" s="960">
        <v>60.0</v>
      </c>
      <c r="Q1191" s="960">
        <v>125.0</v>
      </c>
      <c r="R1191" s="960">
        <v>286.0</v>
      </c>
      <c r="S1191" s="960">
        <v>349.0</v>
      </c>
      <c r="T1191" s="960">
        <v>383.0</v>
      </c>
      <c r="U1191" s="960">
        <f t="array" ref="U1191">HLOOKUP($J1191,'Type Chart'!$C$2:$T$20,2,false)*HLOOKUP($K1191,'Type Chart'!$C$2:$U$20,2,false)</f>
        <v>1</v>
      </c>
      <c r="V1191" s="960">
        <f t="array" ref="V1191">HLOOKUP($J1191,'Type Chart'!$C$2:$T$20,3,false)*HLOOKUP($K1191,'Type Chart'!$C$2:$U$20,3,false)</f>
        <v>0.5</v>
      </c>
      <c r="W1191" s="960">
        <f t="array" ref="W1191">HLOOKUP($J1191,'Type Chart'!$C$2:$T$20,4,false)*HLOOKUP($K1191,'Type Chart'!$C$2:$U$20,4,false)</f>
        <v>0.5</v>
      </c>
      <c r="X1191" s="960">
        <f t="array" ref="X1191">HLOOKUP($J1191,'Type Chart'!$C$2:$T$20,5,false)*HLOOKUP($K1191,'Type Chart'!$C$2:$U$20,5,false)</f>
        <v>1</v>
      </c>
      <c r="Y1191" s="960">
        <f t="array" ref="Y1191">HLOOKUP($J1191,'Type Chart'!$C$2:$T$20,6,false)*HLOOKUP($K1191,'Type Chart'!$C$2:$U$20,6,false)</f>
        <v>0</v>
      </c>
      <c r="Z1191" s="960">
        <f t="array" ref="Z1191">HLOOKUP($J1191,'Type Chart'!$C$2:$T$20,7,false)*HLOOKUP($K1191,'Type Chart'!$C$2:$U$20,7,false)</f>
        <v>2</v>
      </c>
      <c r="AA1191" s="960">
        <f t="array" ref="AA1191">HLOOKUP($J1191,'Type Chart'!$C$2:$T$20,8,false)*HLOOKUP($K1191,'Type Chart'!$C$2:$U$20,8,false)</f>
        <v>0.5</v>
      </c>
      <c r="AB1191" s="960">
        <f t="array" ref="AB1191">HLOOKUP($J1191,'Type Chart'!$C$2:$T$20,9,false)*HLOOKUP($K1191,'Type Chart'!$C$2:$U$20,9,false)</f>
        <v>1</v>
      </c>
      <c r="AC1191" s="960">
        <f t="array" ref="AC1191">HLOOKUP($J1191,'Type Chart'!$C$2:$T$20,10,false)*HLOOKUP($K1191,'Type Chart'!$C$2:$U$20,10,false)</f>
        <v>0.5</v>
      </c>
      <c r="AD1191" s="960">
        <f t="array" ref="AD1191">HLOOKUP($J1191,'Type Chart'!$C$2:$T$20,11,false)*HLOOKUP($K1191,'Type Chart'!$C$2:$U$20,11,false)</f>
        <v>1</v>
      </c>
      <c r="AE1191" s="960">
        <f t="array" ref="AE1191">HLOOKUP($J1191,'Type Chart'!$C$2:$T$20,12,false)*HLOOKUP($K1191,'Type Chart'!$C$2:$U$20,12,false)</f>
        <v>1</v>
      </c>
      <c r="AF1191" s="960">
        <f t="array" ref="AF1191">HLOOKUP($J1191,'Type Chart'!$C$2:$T$20,13,false)*HLOOKUP($K1191,'Type Chart'!$C$2:$U$20,13,false)</f>
        <v>0.5</v>
      </c>
      <c r="AG1191" s="960">
        <f t="array" ref="AG1191">HLOOKUP($J1191,'Type Chart'!$C$2:$T$20,14,false)*HLOOKUP($K1191,'Type Chart'!$C$2:$U$20,14,false)</f>
        <v>1</v>
      </c>
      <c r="AH1191" s="960">
        <f t="array" ref="AH1191">HLOOKUP($J1191,'Type Chart'!$C$2:$T$20,15,false)*HLOOKUP($K1191,'Type Chart'!$C$2:$U$20,15,false)</f>
        <v>1</v>
      </c>
      <c r="AI1191" s="960">
        <f t="array" ref="AI1191">HLOOKUP($J1191,'Type Chart'!$C$2:$T$20,16,false)*HLOOKUP($K1191,'Type Chart'!$C$2:$U$20,16,false)</f>
        <v>2</v>
      </c>
      <c r="AJ1191" s="960">
        <f t="array" ref="AJ1191">HLOOKUP($J1191,'Type Chart'!$C$2:$T$20,17,false)*HLOOKUP($K1191,'Type Chart'!$C$2:$U$20,17,false)</f>
        <v>1</v>
      </c>
      <c r="AK1191" s="960">
        <f t="array" ref="AK1191">HLOOKUP($J1191,'Type Chart'!$C$2:$T$20,18,false)*HLOOKUP($K1191,'Type Chart'!$C$2:$U$20,18,false)</f>
        <v>1</v>
      </c>
      <c r="AL1191" s="960">
        <f t="array" ref="AL1191">HLOOKUP($J1191,'Type Chart'!$C$2:$T$20,19,false)*HLOOKUP($K1191,'Type Chart'!$C$2:$U$20,19,false)</f>
        <v>1</v>
      </c>
      <c r="AM1191" s="964" t="s">
        <v>4245</v>
      </c>
      <c r="AN1191" s="1145" t="s">
        <v>1614</v>
      </c>
      <c r="AO1191" s="1146" t="s">
        <v>1185</v>
      </c>
      <c r="AP1191" s="936"/>
      <c r="AQ1191" s="967"/>
      <c r="AR1191" s="968"/>
      <c r="AS1191" s="936"/>
    </row>
    <row r="1192" ht="15.75" customHeight="1">
      <c r="A1192" s="936"/>
      <c r="B1192" s="948">
        <v>959.0</v>
      </c>
      <c r="C1192" s="950" t="s">
        <v>4247</v>
      </c>
      <c r="D1192" s="950" t="s">
        <v>4247</v>
      </c>
      <c r="E1192" s="952" t="s">
        <v>4247</v>
      </c>
      <c r="F1192" s="940"/>
      <c r="G1192" s="953"/>
      <c r="H1192" s="969"/>
      <c r="I1192" s="956" t="s">
        <v>646</v>
      </c>
      <c r="J1192" s="1001" t="s">
        <v>128</v>
      </c>
      <c r="K1192" s="1195" t="s">
        <v>193</v>
      </c>
      <c r="L1192" s="959">
        <v>70.0</v>
      </c>
      <c r="M1192" s="960">
        <v>103.0</v>
      </c>
      <c r="N1192" s="960">
        <v>85.0</v>
      </c>
      <c r="O1192" s="960">
        <v>60.0</v>
      </c>
      <c r="P1192" s="960">
        <v>85.0</v>
      </c>
      <c r="Q1192" s="960">
        <v>82.0</v>
      </c>
      <c r="R1192" s="960">
        <v>200.0</v>
      </c>
      <c r="S1192" s="960">
        <v>263.0</v>
      </c>
      <c r="T1192" s="960">
        <v>289.0</v>
      </c>
      <c r="U1192" s="960">
        <f t="array" ref="U1192">HLOOKUP($J1192,'Type Chart'!$C$2:$T$20,2,false)*HLOOKUP($K1192,'Type Chart'!$C$2:$U$20,2,false)</f>
        <v>1</v>
      </c>
      <c r="V1192" s="960">
        <f t="array" ref="V1192">HLOOKUP($J1192,'Type Chart'!$C$2:$T$20,3,false)*HLOOKUP($K1192,'Type Chart'!$C$2:$U$20,3,false)</f>
        <v>1</v>
      </c>
      <c r="W1192" s="960">
        <f t="array" ref="W1192">HLOOKUP($J1192,'Type Chart'!$C$2:$T$20,4,false)*HLOOKUP($K1192,'Type Chart'!$C$2:$U$20,4,false)</f>
        <v>1</v>
      </c>
      <c r="X1192" s="960">
        <f t="array" ref="X1192">HLOOKUP($J1192,'Type Chart'!$C$2:$T$20,5,false)*HLOOKUP($K1192,'Type Chart'!$C$2:$U$20,5,false)</f>
        <v>1</v>
      </c>
      <c r="Y1192" s="960">
        <f t="array" ref="Y1192">HLOOKUP($J1192,'Type Chart'!$C$2:$T$20,6,false)*HLOOKUP($K1192,'Type Chart'!$C$2:$U$20,6,false)</f>
        <v>0</v>
      </c>
      <c r="Z1192" s="960">
        <f t="array" ref="Z1192">HLOOKUP($J1192,'Type Chart'!$C$2:$T$20,7,false)*HLOOKUP($K1192,'Type Chart'!$C$2:$U$20,7,false)</f>
        <v>2</v>
      </c>
      <c r="AA1192" s="960">
        <f t="array" ref="AA1192">HLOOKUP($J1192,'Type Chart'!$C$2:$T$20,8,false)*HLOOKUP($K1192,'Type Chart'!$C$2:$U$20,8,false)</f>
        <v>1</v>
      </c>
      <c r="AB1192" s="960">
        <f t="array" ref="AB1192">HLOOKUP($J1192,'Type Chart'!$C$2:$T$20,9,false)*HLOOKUP($K1192,'Type Chart'!$C$2:$U$20,9,false)</f>
        <v>0.5</v>
      </c>
      <c r="AC1192" s="960">
        <f t="array" ref="AC1192">HLOOKUP($J1192,'Type Chart'!$C$2:$T$20,10,false)*HLOOKUP($K1192,'Type Chart'!$C$2:$U$20,10,false)</f>
        <v>1</v>
      </c>
      <c r="AD1192" s="960">
        <f t="array" ref="AD1192">HLOOKUP($J1192,'Type Chart'!$C$2:$T$20,11,false)*HLOOKUP($K1192,'Type Chart'!$C$2:$U$20,11,false)</f>
        <v>1</v>
      </c>
      <c r="AE1192" s="960">
        <f t="array" ref="AE1192">HLOOKUP($J1192,'Type Chart'!$C$2:$T$20,12,false)*HLOOKUP($K1192,'Type Chart'!$C$2:$U$20,12,false)</f>
        <v>1</v>
      </c>
      <c r="AF1192" s="960">
        <f t="array" ref="AF1192">HLOOKUP($J1192,'Type Chart'!$C$2:$T$20,13,false)*HLOOKUP($K1192,'Type Chart'!$C$2:$U$20,13,false)</f>
        <v>0.5</v>
      </c>
      <c r="AG1192" s="960">
        <f t="array" ref="AG1192">HLOOKUP($J1192,'Type Chart'!$C$2:$T$20,14,false)*HLOOKUP($K1192,'Type Chart'!$C$2:$U$20,14,false)</f>
        <v>2</v>
      </c>
      <c r="AH1192" s="960">
        <f t="array" ref="AH1192">HLOOKUP($J1192,'Type Chart'!$C$2:$T$20,15,false)*HLOOKUP($K1192,'Type Chart'!$C$2:$U$20,15,false)</f>
        <v>0</v>
      </c>
      <c r="AI1192" s="960">
        <f t="array" ref="AI1192">HLOOKUP($J1192,'Type Chart'!$C$2:$T$20,16,false)*HLOOKUP($K1192,'Type Chart'!$C$2:$U$20,16,false)</f>
        <v>2</v>
      </c>
      <c r="AJ1192" s="960">
        <f t="array" ref="AJ1192">HLOOKUP($J1192,'Type Chart'!$C$2:$T$20,17,false)*HLOOKUP($K1192,'Type Chart'!$C$2:$U$20,17,false)</f>
        <v>1</v>
      </c>
      <c r="AK1192" s="960">
        <f t="array" ref="AK1192">HLOOKUP($J1192,'Type Chart'!$C$2:$T$20,18,false)*HLOOKUP($K1192,'Type Chart'!$C$2:$U$20,18,false)</f>
        <v>0.5</v>
      </c>
      <c r="AL1192" s="960">
        <f t="array" ref="AL1192">HLOOKUP($J1192,'Type Chart'!$C$2:$T$20,19,false)*HLOOKUP($K1192,'Type Chart'!$C$2:$U$20,19,false)</f>
        <v>2</v>
      </c>
      <c r="AM1192" s="964" t="s">
        <v>1024</v>
      </c>
      <c r="AN1192" s="964" t="s">
        <v>1022</v>
      </c>
      <c r="AO1192" s="966" t="s">
        <v>4248</v>
      </c>
      <c r="AP1192" s="936"/>
      <c r="AQ1192" s="967"/>
      <c r="AR1192" s="968"/>
      <c r="AS1192" s="936"/>
    </row>
    <row r="1193" ht="15.75" customHeight="1">
      <c r="A1193" s="936"/>
      <c r="B1193" s="948">
        <v>960.0</v>
      </c>
      <c r="C1193" s="950" t="s">
        <v>4249</v>
      </c>
      <c r="D1193" s="950" t="s">
        <v>4249</v>
      </c>
      <c r="E1193" s="952" t="s">
        <v>4249</v>
      </c>
      <c r="F1193" s="940"/>
      <c r="G1193" s="953"/>
      <c r="H1193" s="969"/>
      <c r="I1193" s="956" t="s">
        <v>739</v>
      </c>
      <c r="J1193" s="1194" t="s">
        <v>136</v>
      </c>
      <c r="K1193" s="1001" t="s">
        <v>128</v>
      </c>
      <c r="L1193" s="959">
        <v>82.0</v>
      </c>
      <c r="M1193" s="960">
        <v>96.0</v>
      </c>
      <c r="N1193" s="960">
        <v>51.0</v>
      </c>
      <c r="O1193" s="960">
        <v>45.0</v>
      </c>
      <c r="P1193" s="960">
        <v>51.0</v>
      </c>
      <c r="Q1193" s="960">
        <v>92.0</v>
      </c>
      <c r="R1193" s="960">
        <v>220.0</v>
      </c>
      <c r="S1193" s="960">
        <v>283.0</v>
      </c>
      <c r="T1193" s="960">
        <v>311.0</v>
      </c>
      <c r="U1193" s="960">
        <f t="array" ref="U1193">HLOOKUP($J1193,'Type Chart'!$C$2:$T$20,2,false)*HLOOKUP($K1193,'Type Chart'!$C$2:$U$20,2,false)</f>
        <v>1</v>
      </c>
      <c r="V1193" s="960">
        <f t="array" ref="V1193">HLOOKUP($J1193,'Type Chart'!$C$2:$T$20,3,false)*HLOOKUP($K1193,'Type Chart'!$C$2:$U$20,3,false)</f>
        <v>1</v>
      </c>
      <c r="W1193" s="960">
        <f t="array" ref="W1193">HLOOKUP($J1193,'Type Chart'!$C$2:$T$20,4,false)*HLOOKUP($K1193,'Type Chart'!$C$2:$U$20,4,false)</f>
        <v>1</v>
      </c>
      <c r="X1193" s="960">
        <f t="array" ref="X1193">HLOOKUP($J1193,'Type Chart'!$C$2:$T$20,5,false)*HLOOKUP($K1193,'Type Chart'!$C$2:$U$20,5,false)</f>
        <v>1</v>
      </c>
      <c r="Y1193" s="960">
        <f t="array" ref="Y1193">HLOOKUP($J1193,'Type Chart'!$C$2:$T$20,6,false)*HLOOKUP($K1193,'Type Chart'!$C$2:$U$20,6,false)</f>
        <v>0</v>
      </c>
      <c r="Z1193" s="960">
        <f t="array" ref="Z1193">HLOOKUP($J1193,'Type Chart'!$C$2:$T$20,7,false)*HLOOKUP($K1193,'Type Chart'!$C$2:$U$20,7,false)</f>
        <v>2</v>
      </c>
      <c r="AA1193" s="960">
        <f t="array" ref="AA1193">HLOOKUP($J1193,'Type Chart'!$C$2:$T$20,8,false)*HLOOKUP($K1193,'Type Chart'!$C$2:$U$20,8,false)</f>
        <v>0.5</v>
      </c>
      <c r="AB1193" s="960">
        <f t="array" ref="AB1193">HLOOKUP($J1193,'Type Chart'!$C$2:$T$20,9,false)*HLOOKUP($K1193,'Type Chart'!$C$2:$U$20,9,false)</f>
        <v>0</v>
      </c>
      <c r="AC1193" s="960">
        <f t="array" ref="AC1193">HLOOKUP($J1193,'Type Chart'!$C$2:$T$20,10,false)*HLOOKUP($K1193,'Type Chart'!$C$2:$U$20,10,false)</f>
        <v>1</v>
      </c>
      <c r="AD1193" s="960">
        <f t="array" ref="AD1193">HLOOKUP($J1193,'Type Chart'!$C$2:$T$20,11,false)*HLOOKUP($K1193,'Type Chart'!$C$2:$U$20,11,false)</f>
        <v>1</v>
      </c>
      <c r="AE1193" s="960">
        <f t="array" ref="AE1193">HLOOKUP($J1193,'Type Chart'!$C$2:$T$20,12,false)*HLOOKUP($K1193,'Type Chart'!$C$2:$U$20,12,false)</f>
        <v>1</v>
      </c>
      <c r="AF1193" s="960">
        <f t="array" ref="AF1193">HLOOKUP($J1193,'Type Chart'!$C$2:$T$20,13,false)*HLOOKUP($K1193,'Type Chart'!$C$2:$U$20,13,false)</f>
        <v>0.5</v>
      </c>
      <c r="AG1193" s="960">
        <f t="array" ref="AG1193">HLOOKUP($J1193,'Type Chart'!$C$2:$T$20,14,false)*HLOOKUP($K1193,'Type Chart'!$C$2:$U$20,14,false)</f>
        <v>2</v>
      </c>
      <c r="AH1193" s="960">
        <f t="array" ref="AH1193">HLOOKUP($J1193,'Type Chart'!$C$2:$T$20,15,false)*HLOOKUP($K1193,'Type Chart'!$C$2:$U$20,15,false)</f>
        <v>1</v>
      </c>
      <c r="AI1193" s="960">
        <f t="array" ref="AI1193">HLOOKUP($J1193,'Type Chart'!$C$2:$T$20,16,false)*HLOOKUP($K1193,'Type Chart'!$C$2:$U$20,16,false)</f>
        <v>2</v>
      </c>
      <c r="AJ1193" s="960">
        <f t="array" ref="AJ1193">HLOOKUP($J1193,'Type Chart'!$C$2:$T$20,17,false)*HLOOKUP($K1193,'Type Chart'!$C$2:$U$20,17,false)</f>
        <v>1</v>
      </c>
      <c r="AK1193" s="960">
        <f t="array" ref="AK1193">HLOOKUP($J1193,'Type Chart'!$C$2:$T$20,18,false)*HLOOKUP($K1193,'Type Chart'!$C$2:$U$20,18,false)</f>
        <v>1</v>
      </c>
      <c r="AL1193" s="960">
        <f t="array" ref="AL1193">HLOOKUP($J1193,'Type Chart'!$C$2:$T$20,19,false)*HLOOKUP($K1193,'Type Chart'!$C$2:$U$20,19,false)</f>
        <v>1</v>
      </c>
      <c r="AM1193" s="964" t="s">
        <v>1061</v>
      </c>
      <c r="AN1193" s="964" t="s">
        <v>1039</v>
      </c>
      <c r="AO1193" s="966" t="s">
        <v>1038</v>
      </c>
      <c r="AP1193" s="936"/>
      <c r="AQ1193" s="967"/>
      <c r="AR1193" s="968"/>
      <c r="AS1193" s="936"/>
    </row>
    <row r="1194" ht="15.75" customHeight="1">
      <c r="A1194" s="936"/>
      <c r="B1194" s="948">
        <v>961.0</v>
      </c>
      <c r="C1194" s="950" t="s">
        <v>4250</v>
      </c>
      <c r="D1194" s="950" t="s">
        <v>4250</v>
      </c>
      <c r="E1194" s="952" t="s">
        <v>4250</v>
      </c>
      <c r="F1194" s="940"/>
      <c r="G1194" s="953"/>
      <c r="H1194" s="969"/>
      <c r="I1194" s="956" t="s">
        <v>584</v>
      </c>
      <c r="J1194" s="1001" t="s">
        <v>128</v>
      </c>
      <c r="K1194" s="1213" t="s">
        <v>341</v>
      </c>
      <c r="L1194" s="959">
        <v>82.0</v>
      </c>
      <c r="M1194" s="960">
        <v>115.0</v>
      </c>
      <c r="N1194" s="960">
        <v>74.0</v>
      </c>
      <c r="O1194" s="960">
        <v>75.0</v>
      </c>
      <c r="P1194" s="960">
        <v>64.0</v>
      </c>
      <c r="Q1194" s="960">
        <v>90.0</v>
      </c>
      <c r="R1194" s="960">
        <v>216.0</v>
      </c>
      <c r="S1194" s="960">
        <v>279.0</v>
      </c>
      <c r="T1194" s="960">
        <v>306.0</v>
      </c>
      <c r="U1194" s="960">
        <f t="array" ref="U1194">HLOOKUP($J1194,'Type Chart'!$C$2:$T$20,2,false)*HLOOKUP($K1194,'Type Chart'!$C$2:$U$20,2,false)</f>
        <v>1</v>
      </c>
      <c r="V1194" s="960">
        <f t="array" ref="V1194">HLOOKUP($J1194,'Type Chart'!$C$2:$T$20,3,false)*HLOOKUP($K1194,'Type Chart'!$C$2:$U$20,3,false)</f>
        <v>0.5</v>
      </c>
      <c r="W1194" s="960">
        <f t="array" ref="W1194">HLOOKUP($J1194,'Type Chart'!$C$2:$T$20,4,false)*HLOOKUP($K1194,'Type Chart'!$C$2:$U$20,4,false)</f>
        <v>2</v>
      </c>
      <c r="X1194" s="960">
        <f t="array" ref="X1194">HLOOKUP($J1194,'Type Chart'!$C$2:$T$20,5,false)*HLOOKUP($K1194,'Type Chart'!$C$2:$U$20,5,false)</f>
        <v>1</v>
      </c>
      <c r="Y1194" s="960">
        <f t="array" ref="Y1194">HLOOKUP($J1194,'Type Chart'!$C$2:$T$20,6,false)*HLOOKUP($K1194,'Type Chart'!$C$2:$U$20,6,false)</f>
        <v>0</v>
      </c>
      <c r="Z1194" s="960">
        <f t="array" ref="Z1194">HLOOKUP($J1194,'Type Chart'!$C$2:$T$20,7,false)*HLOOKUP($K1194,'Type Chart'!$C$2:$U$20,7,false)</f>
        <v>1</v>
      </c>
      <c r="AA1194" s="960">
        <f t="array" ref="AA1194">HLOOKUP($J1194,'Type Chart'!$C$2:$T$20,8,false)*HLOOKUP($K1194,'Type Chart'!$C$2:$U$20,8,false)</f>
        <v>0.25</v>
      </c>
      <c r="AB1194" s="960">
        <f t="array" ref="AB1194">HLOOKUP($J1194,'Type Chart'!$C$2:$T$20,9,false)*HLOOKUP($K1194,'Type Chart'!$C$2:$U$20,9,false)</f>
        <v>1</v>
      </c>
      <c r="AC1194" s="960">
        <f t="array" ref="AC1194">HLOOKUP($J1194,'Type Chart'!$C$2:$T$20,10,false)*HLOOKUP($K1194,'Type Chart'!$C$2:$U$20,10,false)</f>
        <v>1</v>
      </c>
      <c r="AD1194" s="960">
        <f t="array" ref="AD1194">HLOOKUP($J1194,'Type Chart'!$C$2:$T$20,11,false)*HLOOKUP($K1194,'Type Chart'!$C$2:$U$20,11,false)</f>
        <v>1</v>
      </c>
      <c r="AE1194" s="960">
        <f t="array" ref="AE1194">HLOOKUP($J1194,'Type Chart'!$C$2:$T$20,12,false)*HLOOKUP($K1194,'Type Chart'!$C$2:$U$20,12,false)</f>
        <v>1</v>
      </c>
      <c r="AF1194" s="960">
        <f t="array" ref="AF1194">HLOOKUP($J1194,'Type Chart'!$C$2:$T$20,13,false)*HLOOKUP($K1194,'Type Chart'!$C$2:$U$20,13,false)</f>
        <v>0.5</v>
      </c>
      <c r="AG1194" s="960">
        <f t="array" ref="AG1194">HLOOKUP($J1194,'Type Chart'!$C$2:$T$20,14,false)*HLOOKUP($K1194,'Type Chart'!$C$2:$U$20,14,false)</f>
        <v>2</v>
      </c>
      <c r="AH1194" s="960">
        <f t="array" ref="AH1194">HLOOKUP($J1194,'Type Chart'!$C$2:$T$20,15,false)*HLOOKUP($K1194,'Type Chart'!$C$2:$U$20,15,false)</f>
        <v>2</v>
      </c>
      <c r="AI1194" s="960">
        <f t="array" ref="AI1194">HLOOKUP($J1194,'Type Chart'!$C$2:$T$20,16,false)*HLOOKUP($K1194,'Type Chart'!$C$2:$U$20,16,false)</f>
        <v>2</v>
      </c>
      <c r="AJ1194" s="960">
        <f t="array" ref="AJ1194">HLOOKUP($J1194,'Type Chart'!$C$2:$T$20,17,false)*HLOOKUP($K1194,'Type Chart'!$C$2:$U$20,17,false)</f>
        <v>1</v>
      </c>
      <c r="AK1194" s="960">
        <f t="array" ref="AK1194">HLOOKUP($J1194,'Type Chart'!$C$2:$T$20,18,false)*HLOOKUP($K1194,'Type Chart'!$C$2:$U$20,18,false)</f>
        <v>0.5</v>
      </c>
      <c r="AL1194" s="960">
        <f t="array" ref="AL1194">HLOOKUP($J1194,'Type Chart'!$C$2:$T$20,19,false)*HLOOKUP($K1194,'Type Chart'!$C$2:$U$20,19,false)</f>
        <v>2</v>
      </c>
      <c r="AM1194" s="964" t="s">
        <v>1399</v>
      </c>
      <c r="AN1194" s="964" t="s">
        <v>1023</v>
      </c>
      <c r="AO1194" s="966" t="s">
        <v>4251</v>
      </c>
      <c r="AP1194" s="936"/>
      <c r="AQ1194" s="967"/>
      <c r="AR1194" s="968"/>
      <c r="AS1194" s="936"/>
    </row>
    <row r="1195" ht="15.75" customHeight="1">
      <c r="A1195" s="936"/>
      <c r="B1195" s="948">
        <v>962.0</v>
      </c>
      <c r="C1195" s="950" t="s">
        <v>4252</v>
      </c>
      <c r="D1195" s="950" t="s">
        <v>4252</v>
      </c>
      <c r="E1195" s="952" t="s">
        <v>4252</v>
      </c>
      <c r="F1195" s="940"/>
      <c r="G1195" s="953"/>
      <c r="H1195" s="969"/>
      <c r="I1195" s="956" t="s">
        <v>738</v>
      </c>
      <c r="J1195" s="1214" t="s">
        <v>342</v>
      </c>
      <c r="K1195" s="1235" t="s">
        <v>216</v>
      </c>
      <c r="L1195" s="959">
        <v>70.0</v>
      </c>
      <c r="M1195" s="960">
        <v>100.0</v>
      </c>
      <c r="N1195" s="960">
        <v>115.0</v>
      </c>
      <c r="O1195" s="960">
        <v>35.0</v>
      </c>
      <c r="P1195" s="960">
        <v>55.0</v>
      </c>
      <c r="Q1195" s="960">
        <v>75.0</v>
      </c>
      <c r="R1195" s="960">
        <v>186.0</v>
      </c>
      <c r="S1195" s="960">
        <v>249.0</v>
      </c>
      <c r="T1195" s="960">
        <v>273.0</v>
      </c>
      <c r="U1195" s="960">
        <f t="array" ref="U1195">HLOOKUP($J1195,'Type Chart'!$C$2:$T$20,2,false)*HLOOKUP($K1195,'Type Chart'!$C$2:$U$20,2,false)</f>
        <v>0.5</v>
      </c>
      <c r="V1195" s="960">
        <f t="array" ref="V1195">HLOOKUP($J1195,'Type Chart'!$C$2:$T$20,3,false)*HLOOKUP($K1195,'Type Chart'!$C$2:$U$20,3,false)</f>
        <v>2</v>
      </c>
      <c r="W1195" s="960">
        <f t="array" ref="W1195">HLOOKUP($J1195,'Type Chart'!$C$2:$T$20,4,false)*HLOOKUP($K1195,'Type Chart'!$C$2:$U$20,4,false)</f>
        <v>0.5</v>
      </c>
      <c r="X1195" s="960">
        <f t="array" ref="X1195">HLOOKUP($J1195,'Type Chart'!$C$2:$T$20,5,false)*HLOOKUP($K1195,'Type Chart'!$C$2:$U$20,5,false)</f>
        <v>0.5</v>
      </c>
      <c r="Y1195" s="960">
        <f t="array" ref="Y1195">HLOOKUP($J1195,'Type Chart'!$C$2:$T$20,6,false)*HLOOKUP($K1195,'Type Chart'!$C$2:$U$20,6,false)</f>
        <v>2</v>
      </c>
      <c r="Z1195" s="960">
        <f t="array" ref="Z1195">HLOOKUP($J1195,'Type Chart'!$C$2:$T$20,7,false)*HLOOKUP($K1195,'Type Chart'!$C$2:$U$20,7,false)</f>
        <v>1</v>
      </c>
      <c r="AA1195" s="960">
        <f t="array" ref="AA1195">HLOOKUP($J1195,'Type Chart'!$C$2:$T$20,8,false)*HLOOKUP($K1195,'Type Chart'!$C$2:$U$20,8,false)</f>
        <v>1</v>
      </c>
      <c r="AB1195" s="960">
        <f t="array" ref="AB1195">HLOOKUP($J1195,'Type Chart'!$C$2:$T$20,9,false)*HLOOKUP($K1195,'Type Chart'!$C$2:$U$20,9,false)</f>
        <v>1</v>
      </c>
      <c r="AC1195" s="960">
        <f t="array" ref="AC1195">HLOOKUP($J1195,'Type Chart'!$C$2:$T$20,10,false)*HLOOKUP($K1195,'Type Chart'!$C$2:$U$20,10,false)</f>
        <v>2</v>
      </c>
      <c r="AD1195" s="960">
        <f t="array" ref="AD1195">HLOOKUP($J1195,'Type Chart'!$C$2:$T$20,11,false)*HLOOKUP($K1195,'Type Chart'!$C$2:$U$20,11,false)</f>
        <v>0.5</v>
      </c>
      <c r="AE1195" s="960">
        <f t="array" ref="AE1195">HLOOKUP($J1195,'Type Chart'!$C$2:$T$20,12,false)*HLOOKUP($K1195,'Type Chart'!$C$2:$U$20,12,false)</f>
        <v>2</v>
      </c>
      <c r="AF1195" s="960">
        <f t="array" ref="AF1195">HLOOKUP($J1195,'Type Chart'!$C$2:$T$20,13,false)*HLOOKUP($K1195,'Type Chart'!$C$2:$U$20,13,false)</f>
        <v>2</v>
      </c>
      <c r="AG1195" s="960">
        <f t="array" ref="AG1195">HLOOKUP($J1195,'Type Chart'!$C$2:$T$20,14,false)*HLOOKUP($K1195,'Type Chart'!$C$2:$U$20,14,false)</f>
        <v>1</v>
      </c>
      <c r="AH1195" s="960">
        <f t="array" ref="AH1195">HLOOKUP($J1195,'Type Chart'!$C$2:$T$20,15,false)*HLOOKUP($K1195,'Type Chart'!$C$2:$U$20,15,false)</f>
        <v>1</v>
      </c>
      <c r="AI1195" s="960">
        <f t="array" ref="AI1195">HLOOKUP($J1195,'Type Chart'!$C$2:$T$20,16,false)*HLOOKUP($K1195,'Type Chart'!$C$2:$U$20,16,false)</f>
        <v>1</v>
      </c>
      <c r="AJ1195" s="960">
        <f t="array" ref="AJ1195">HLOOKUP($J1195,'Type Chart'!$C$2:$T$20,17,false)*HLOOKUP($K1195,'Type Chart'!$C$2:$U$20,17,false)</f>
        <v>1</v>
      </c>
      <c r="AK1195" s="960">
        <f t="array" ref="AK1195">HLOOKUP($J1195,'Type Chart'!$C$2:$T$20,18,false)*HLOOKUP($K1195,'Type Chart'!$C$2:$U$20,18,false)</f>
        <v>1</v>
      </c>
      <c r="AL1195" s="960">
        <f t="array" ref="AL1195">HLOOKUP($J1195,'Type Chart'!$C$2:$T$20,19,false)*HLOOKUP($K1195,'Type Chart'!$C$2:$U$20,19,false)</f>
        <v>1</v>
      </c>
      <c r="AM1195" s="964" t="s">
        <v>4253</v>
      </c>
      <c r="AN1195" s="964" t="s">
        <v>1385</v>
      </c>
      <c r="AO1195" s="966" t="s">
        <v>1371</v>
      </c>
      <c r="AP1195" s="936"/>
      <c r="AQ1195" s="967"/>
      <c r="AR1195" s="968"/>
      <c r="AS1195" s="936"/>
    </row>
    <row r="1196" ht="15.75" customHeight="1">
      <c r="A1196" s="936"/>
      <c r="B1196" s="948">
        <v>963.0</v>
      </c>
      <c r="C1196" s="950" t="s">
        <v>4254</v>
      </c>
      <c r="D1196" s="950" t="s">
        <v>4254</v>
      </c>
      <c r="E1196" s="952" t="s">
        <v>4254</v>
      </c>
      <c r="F1196" s="940"/>
      <c r="G1196" s="953"/>
      <c r="H1196" s="969"/>
      <c r="I1196" s="956" t="s">
        <v>4255</v>
      </c>
      <c r="J1196" s="1214" t="s">
        <v>342</v>
      </c>
      <c r="K1196" s="1235" t="s">
        <v>216</v>
      </c>
      <c r="L1196" s="959">
        <v>55.0</v>
      </c>
      <c r="M1196" s="960">
        <v>55.0</v>
      </c>
      <c r="N1196" s="960">
        <v>75.0</v>
      </c>
      <c r="O1196" s="960">
        <v>35.0</v>
      </c>
      <c r="P1196" s="960">
        <v>35.0</v>
      </c>
      <c r="Q1196" s="960">
        <v>25.0</v>
      </c>
      <c r="R1196" s="960">
        <v>86.0</v>
      </c>
      <c r="S1196" s="960">
        <v>149.0</v>
      </c>
      <c r="T1196" s="960">
        <v>163.0</v>
      </c>
      <c r="U1196" s="960">
        <f t="array" ref="U1196">HLOOKUP($J1196,'Type Chart'!$C$2:$T$20,2,false)*HLOOKUP($K1196,'Type Chart'!$C$2:$U$20,2,false)</f>
        <v>0.5</v>
      </c>
      <c r="V1196" s="960">
        <f t="array" ref="V1196">HLOOKUP($J1196,'Type Chart'!$C$2:$T$20,3,false)*HLOOKUP($K1196,'Type Chart'!$C$2:$U$20,3,false)</f>
        <v>2</v>
      </c>
      <c r="W1196" s="960">
        <f t="array" ref="W1196">HLOOKUP($J1196,'Type Chart'!$C$2:$T$20,4,false)*HLOOKUP($K1196,'Type Chart'!$C$2:$U$20,4,false)</f>
        <v>0.5</v>
      </c>
      <c r="X1196" s="960">
        <f t="array" ref="X1196">HLOOKUP($J1196,'Type Chart'!$C$2:$T$20,5,false)*HLOOKUP($K1196,'Type Chart'!$C$2:$U$20,5,false)</f>
        <v>0.5</v>
      </c>
      <c r="Y1196" s="960">
        <f t="array" ref="Y1196">HLOOKUP($J1196,'Type Chart'!$C$2:$T$20,6,false)*HLOOKUP($K1196,'Type Chart'!$C$2:$U$20,6,false)</f>
        <v>2</v>
      </c>
      <c r="Z1196" s="960">
        <f t="array" ref="Z1196">HLOOKUP($J1196,'Type Chart'!$C$2:$T$20,7,false)*HLOOKUP($K1196,'Type Chart'!$C$2:$U$20,7,false)</f>
        <v>1</v>
      </c>
      <c r="AA1196" s="960">
        <f t="array" ref="AA1196">HLOOKUP($J1196,'Type Chart'!$C$2:$T$20,8,false)*HLOOKUP($K1196,'Type Chart'!$C$2:$U$20,8,false)</f>
        <v>1</v>
      </c>
      <c r="AB1196" s="960">
        <f t="array" ref="AB1196">HLOOKUP($J1196,'Type Chart'!$C$2:$T$20,9,false)*HLOOKUP($K1196,'Type Chart'!$C$2:$U$20,9,false)</f>
        <v>1</v>
      </c>
      <c r="AC1196" s="960">
        <f t="array" ref="AC1196">HLOOKUP($J1196,'Type Chart'!$C$2:$T$20,10,false)*HLOOKUP($K1196,'Type Chart'!$C$2:$U$20,10,false)</f>
        <v>2</v>
      </c>
      <c r="AD1196" s="960">
        <f t="array" ref="AD1196">HLOOKUP($J1196,'Type Chart'!$C$2:$T$20,11,false)*HLOOKUP($K1196,'Type Chart'!$C$2:$U$20,11,false)</f>
        <v>0.5</v>
      </c>
      <c r="AE1196" s="960">
        <f t="array" ref="AE1196">HLOOKUP($J1196,'Type Chart'!$C$2:$T$20,12,false)*HLOOKUP($K1196,'Type Chart'!$C$2:$U$20,12,false)</f>
        <v>2</v>
      </c>
      <c r="AF1196" s="960">
        <f t="array" ref="AF1196">HLOOKUP($J1196,'Type Chart'!$C$2:$T$20,13,false)*HLOOKUP($K1196,'Type Chart'!$C$2:$U$20,13,false)</f>
        <v>2</v>
      </c>
      <c r="AG1196" s="960">
        <f t="array" ref="AG1196">HLOOKUP($J1196,'Type Chart'!$C$2:$T$20,14,false)*HLOOKUP($K1196,'Type Chart'!$C$2:$U$20,14,false)</f>
        <v>1</v>
      </c>
      <c r="AH1196" s="960">
        <f t="array" ref="AH1196">HLOOKUP($J1196,'Type Chart'!$C$2:$T$20,15,false)*HLOOKUP($K1196,'Type Chart'!$C$2:$U$20,15,false)</f>
        <v>1</v>
      </c>
      <c r="AI1196" s="960">
        <f t="array" ref="AI1196">HLOOKUP($J1196,'Type Chart'!$C$2:$T$20,16,false)*HLOOKUP($K1196,'Type Chart'!$C$2:$U$20,16,false)</f>
        <v>1</v>
      </c>
      <c r="AJ1196" s="960">
        <f t="array" ref="AJ1196">HLOOKUP($J1196,'Type Chart'!$C$2:$T$20,17,false)*HLOOKUP($K1196,'Type Chart'!$C$2:$U$20,17,false)</f>
        <v>1</v>
      </c>
      <c r="AK1196" s="960">
        <f t="array" ref="AK1196">HLOOKUP($J1196,'Type Chart'!$C$2:$T$20,18,false)*HLOOKUP($K1196,'Type Chart'!$C$2:$U$20,18,false)</f>
        <v>1</v>
      </c>
      <c r="AL1196" s="960">
        <f t="array" ref="AL1196">HLOOKUP($J1196,'Type Chart'!$C$2:$T$20,19,false)*HLOOKUP($K1196,'Type Chart'!$C$2:$U$20,19,false)</f>
        <v>1</v>
      </c>
      <c r="AM1196" s="964" t="s">
        <v>4256</v>
      </c>
      <c r="AN1196" s="964" t="s">
        <v>1331</v>
      </c>
      <c r="AO1196" s="966" t="s">
        <v>1324</v>
      </c>
      <c r="AP1196" s="936"/>
      <c r="AQ1196" s="967"/>
      <c r="AR1196" s="968"/>
      <c r="AS1196" s="936"/>
    </row>
    <row r="1197" ht="15.75" customHeight="1">
      <c r="A1197" s="1099"/>
      <c r="B1197" s="948">
        <v>964.0</v>
      </c>
      <c r="C1197" s="1197" t="s">
        <v>4257</v>
      </c>
      <c r="D1197" s="1197" t="s">
        <v>4257</v>
      </c>
      <c r="E1197" s="1147" t="s">
        <v>4257</v>
      </c>
      <c r="F1197" s="940"/>
      <c r="G1197" s="953"/>
      <c r="H1197" s="969"/>
      <c r="I1197" s="998" t="s">
        <v>768</v>
      </c>
      <c r="J1197" s="1222" t="s">
        <v>342</v>
      </c>
      <c r="K1197" s="1235" t="s">
        <v>216</v>
      </c>
      <c r="L1197" s="1200">
        <v>60.0</v>
      </c>
      <c r="M1197" s="1201">
        <v>60.0</v>
      </c>
      <c r="N1197" s="1201">
        <v>100.0</v>
      </c>
      <c r="O1197" s="1201">
        <v>35.0</v>
      </c>
      <c r="P1197" s="1201">
        <v>65.0</v>
      </c>
      <c r="Q1197" s="1201">
        <v>35.0</v>
      </c>
      <c r="R1197" s="960">
        <v>106.0</v>
      </c>
      <c r="S1197" s="960">
        <v>169.0</v>
      </c>
      <c r="T1197" s="960">
        <v>185.0</v>
      </c>
      <c r="U1197" s="960">
        <f t="array" ref="U1197">HLOOKUP($J1197,'Type Chart'!$C$2:$T$20,2,false)*HLOOKUP($K1197,'Type Chart'!$C$2:$U$20,2,false)</f>
        <v>0.5</v>
      </c>
      <c r="V1197" s="960">
        <f t="array" ref="V1197">HLOOKUP($J1197,'Type Chart'!$C$2:$T$20,3,false)*HLOOKUP($K1197,'Type Chart'!$C$2:$U$20,3,false)</f>
        <v>2</v>
      </c>
      <c r="W1197" s="960">
        <f t="array" ref="W1197">HLOOKUP($J1197,'Type Chart'!$C$2:$T$20,4,false)*HLOOKUP($K1197,'Type Chart'!$C$2:$U$20,4,false)</f>
        <v>0.5</v>
      </c>
      <c r="X1197" s="960">
        <f t="array" ref="X1197">HLOOKUP($J1197,'Type Chart'!$C$2:$T$20,5,false)*HLOOKUP($K1197,'Type Chart'!$C$2:$U$20,5,false)</f>
        <v>0.5</v>
      </c>
      <c r="Y1197" s="960">
        <f t="array" ref="Y1197">HLOOKUP($J1197,'Type Chart'!$C$2:$T$20,6,false)*HLOOKUP($K1197,'Type Chart'!$C$2:$U$20,6,false)</f>
        <v>2</v>
      </c>
      <c r="Z1197" s="960">
        <f t="array" ref="Z1197">HLOOKUP($J1197,'Type Chart'!$C$2:$T$20,7,false)*HLOOKUP($K1197,'Type Chart'!$C$2:$U$20,7,false)</f>
        <v>1</v>
      </c>
      <c r="AA1197" s="960">
        <f t="array" ref="AA1197">HLOOKUP($J1197,'Type Chart'!$C$2:$T$20,8,false)*HLOOKUP($K1197,'Type Chart'!$C$2:$U$20,8,false)</f>
        <v>1</v>
      </c>
      <c r="AB1197" s="960">
        <f t="array" ref="AB1197">HLOOKUP($J1197,'Type Chart'!$C$2:$T$20,9,false)*HLOOKUP($K1197,'Type Chart'!$C$2:$U$20,9,false)</f>
        <v>1</v>
      </c>
      <c r="AC1197" s="960">
        <f t="array" ref="AC1197">HLOOKUP($J1197,'Type Chart'!$C$2:$T$20,10,false)*HLOOKUP($K1197,'Type Chart'!$C$2:$U$20,10,false)</f>
        <v>2</v>
      </c>
      <c r="AD1197" s="960">
        <f t="array" ref="AD1197">HLOOKUP($J1197,'Type Chart'!$C$2:$T$20,11,false)*HLOOKUP($K1197,'Type Chart'!$C$2:$U$20,11,false)</f>
        <v>0.5</v>
      </c>
      <c r="AE1197" s="960">
        <f t="array" ref="AE1197">HLOOKUP($J1197,'Type Chart'!$C$2:$T$20,12,false)*HLOOKUP($K1197,'Type Chart'!$C$2:$U$20,12,false)</f>
        <v>2</v>
      </c>
      <c r="AF1197" s="960">
        <f t="array" ref="AF1197">HLOOKUP($J1197,'Type Chart'!$C$2:$T$20,13,false)*HLOOKUP($K1197,'Type Chart'!$C$2:$U$20,13,false)</f>
        <v>2</v>
      </c>
      <c r="AG1197" s="960">
        <f t="array" ref="AG1197">HLOOKUP($J1197,'Type Chart'!$C$2:$T$20,14,false)*HLOOKUP($K1197,'Type Chart'!$C$2:$U$20,14,false)</f>
        <v>1</v>
      </c>
      <c r="AH1197" s="960">
        <f t="array" ref="AH1197">HLOOKUP($J1197,'Type Chart'!$C$2:$T$20,15,false)*HLOOKUP($K1197,'Type Chart'!$C$2:$U$20,15,false)</f>
        <v>1</v>
      </c>
      <c r="AI1197" s="960">
        <f t="array" ref="AI1197">HLOOKUP($J1197,'Type Chart'!$C$2:$T$20,16,false)*HLOOKUP($K1197,'Type Chart'!$C$2:$U$20,16,false)</f>
        <v>1</v>
      </c>
      <c r="AJ1197" s="960">
        <f t="array" ref="AJ1197">HLOOKUP($J1197,'Type Chart'!$C$2:$T$20,17,false)*HLOOKUP($K1197,'Type Chart'!$C$2:$U$20,17,false)</f>
        <v>1</v>
      </c>
      <c r="AK1197" s="960">
        <f t="array" ref="AK1197">HLOOKUP($J1197,'Type Chart'!$C$2:$T$20,18,false)*HLOOKUP($K1197,'Type Chart'!$C$2:$U$20,18,false)</f>
        <v>1</v>
      </c>
      <c r="AL1197" s="960">
        <f t="array" ref="AL1197">HLOOKUP($J1197,'Type Chart'!$C$2:$T$20,19,false)*HLOOKUP($K1197,'Type Chart'!$C$2:$U$20,19,false)</f>
        <v>1</v>
      </c>
      <c r="AM1197" s="1145" t="s">
        <v>4256</v>
      </c>
      <c r="AN1197" s="1145" t="s">
        <v>1331</v>
      </c>
      <c r="AO1197" s="1146" t="s">
        <v>1324</v>
      </c>
      <c r="AP1197" s="936"/>
      <c r="AQ1197" s="967"/>
      <c r="AR1197" s="968"/>
      <c r="AS1197" s="936"/>
    </row>
    <row r="1198" ht="15.75" customHeight="1">
      <c r="A1198" s="936"/>
      <c r="B1198" s="948">
        <v>965.0</v>
      </c>
      <c r="C1198" s="950" t="s">
        <v>4258</v>
      </c>
      <c r="D1198" s="1197" t="s">
        <v>4258</v>
      </c>
      <c r="E1198" s="1147" t="s">
        <v>4258</v>
      </c>
      <c r="F1198" s="940"/>
      <c r="G1198" s="953"/>
      <c r="H1198" s="969"/>
      <c r="I1198" s="956" t="s">
        <v>564</v>
      </c>
      <c r="J1198" s="1214" t="s">
        <v>342</v>
      </c>
      <c r="K1198" s="1235" t="s">
        <v>216</v>
      </c>
      <c r="L1198" s="959">
        <v>100.0</v>
      </c>
      <c r="M1198" s="960">
        <v>100.0</v>
      </c>
      <c r="N1198" s="960">
        <v>130.0</v>
      </c>
      <c r="O1198" s="960">
        <v>45.0</v>
      </c>
      <c r="P1198" s="960">
        <v>90.0</v>
      </c>
      <c r="Q1198" s="960">
        <v>35.0</v>
      </c>
      <c r="R1198" s="960">
        <v>106.0</v>
      </c>
      <c r="S1198" s="960">
        <v>169.0</v>
      </c>
      <c r="T1198" s="960">
        <v>185.0</v>
      </c>
      <c r="U1198" s="960">
        <f t="array" ref="U1198">HLOOKUP($J1198,'Type Chart'!$C$2:$T$20,2,false)*HLOOKUP($K1198,'Type Chart'!$C$2:$U$20,2,false)</f>
        <v>0.5</v>
      </c>
      <c r="V1198" s="960">
        <f t="array" ref="V1198">HLOOKUP($J1198,'Type Chart'!$C$2:$T$20,3,false)*HLOOKUP($K1198,'Type Chart'!$C$2:$U$20,3,false)</f>
        <v>2</v>
      </c>
      <c r="W1198" s="960">
        <f t="array" ref="W1198">HLOOKUP($J1198,'Type Chart'!$C$2:$T$20,4,false)*HLOOKUP($K1198,'Type Chart'!$C$2:$U$20,4,false)</f>
        <v>0.5</v>
      </c>
      <c r="X1198" s="960">
        <f t="array" ref="X1198">HLOOKUP($J1198,'Type Chart'!$C$2:$T$20,5,false)*HLOOKUP($K1198,'Type Chart'!$C$2:$U$20,5,false)</f>
        <v>0.5</v>
      </c>
      <c r="Y1198" s="960">
        <f t="array" ref="Y1198">HLOOKUP($J1198,'Type Chart'!$C$2:$T$20,6,false)*HLOOKUP($K1198,'Type Chart'!$C$2:$U$20,6,false)</f>
        <v>2</v>
      </c>
      <c r="Z1198" s="960">
        <f t="array" ref="Z1198">HLOOKUP($J1198,'Type Chart'!$C$2:$T$20,7,false)*HLOOKUP($K1198,'Type Chart'!$C$2:$U$20,7,false)</f>
        <v>1</v>
      </c>
      <c r="AA1198" s="960">
        <f t="array" ref="AA1198">HLOOKUP($J1198,'Type Chart'!$C$2:$T$20,8,false)*HLOOKUP($K1198,'Type Chart'!$C$2:$U$20,8,false)</f>
        <v>1</v>
      </c>
      <c r="AB1198" s="960">
        <f t="array" ref="AB1198">HLOOKUP($J1198,'Type Chart'!$C$2:$T$20,9,false)*HLOOKUP($K1198,'Type Chart'!$C$2:$U$20,9,false)</f>
        <v>1</v>
      </c>
      <c r="AC1198" s="960">
        <f t="array" ref="AC1198">HLOOKUP($J1198,'Type Chart'!$C$2:$T$20,10,false)*HLOOKUP($K1198,'Type Chart'!$C$2:$U$20,10,false)</f>
        <v>2</v>
      </c>
      <c r="AD1198" s="960">
        <f t="array" ref="AD1198">HLOOKUP($J1198,'Type Chart'!$C$2:$T$20,11,false)*HLOOKUP($K1198,'Type Chart'!$C$2:$U$20,11,false)</f>
        <v>0.5</v>
      </c>
      <c r="AE1198" s="960">
        <f t="array" ref="AE1198">HLOOKUP($J1198,'Type Chart'!$C$2:$T$20,12,false)*HLOOKUP($K1198,'Type Chart'!$C$2:$U$20,12,false)</f>
        <v>2</v>
      </c>
      <c r="AF1198" s="960">
        <f t="array" ref="AF1198">HLOOKUP($J1198,'Type Chart'!$C$2:$T$20,13,false)*HLOOKUP($K1198,'Type Chart'!$C$2:$U$20,13,false)</f>
        <v>2</v>
      </c>
      <c r="AG1198" s="960">
        <f t="array" ref="AG1198">HLOOKUP($J1198,'Type Chart'!$C$2:$T$20,14,false)*HLOOKUP($K1198,'Type Chart'!$C$2:$U$20,14,false)</f>
        <v>1</v>
      </c>
      <c r="AH1198" s="960">
        <f t="array" ref="AH1198">HLOOKUP($J1198,'Type Chart'!$C$2:$T$20,15,false)*HLOOKUP($K1198,'Type Chart'!$C$2:$U$20,15,false)</f>
        <v>1</v>
      </c>
      <c r="AI1198" s="960">
        <f t="array" ref="AI1198">HLOOKUP($J1198,'Type Chart'!$C$2:$T$20,16,false)*HLOOKUP($K1198,'Type Chart'!$C$2:$U$20,16,false)</f>
        <v>1</v>
      </c>
      <c r="AJ1198" s="960">
        <f t="array" ref="AJ1198">HLOOKUP($J1198,'Type Chart'!$C$2:$T$20,17,false)*HLOOKUP($K1198,'Type Chart'!$C$2:$U$20,17,false)</f>
        <v>1</v>
      </c>
      <c r="AK1198" s="960">
        <f t="array" ref="AK1198">HLOOKUP($J1198,'Type Chart'!$C$2:$T$20,18,false)*HLOOKUP($K1198,'Type Chart'!$C$2:$U$20,18,false)</f>
        <v>1</v>
      </c>
      <c r="AL1198" s="960">
        <f t="array" ref="AL1198">HLOOKUP($J1198,'Type Chart'!$C$2:$T$20,19,false)*HLOOKUP($K1198,'Type Chart'!$C$2:$U$20,19,false)</f>
        <v>1</v>
      </c>
      <c r="AM1198" s="964" t="s">
        <v>4256</v>
      </c>
      <c r="AN1198" s="964" t="s">
        <v>1331</v>
      </c>
      <c r="AO1198" s="966" t="s">
        <v>1324</v>
      </c>
      <c r="AP1198" s="936"/>
      <c r="AQ1198" s="967"/>
      <c r="AR1198" s="968"/>
      <c r="AS1198" s="936"/>
    </row>
    <row r="1199" ht="15.75" customHeight="1">
      <c r="A1199" s="936"/>
      <c r="B1199" s="948">
        <v>966.0</v>
      </c>
      <c r="C1199" s="950" t="s">
        <v>4259</v>
      </c>
      <c r="D1199" s="950" t="s">
        <v>4259</v>
      </c>
      <c r="E1199" s="952" t="s">
        <v>4259</v>
      </c>
      <c r="F1199" s="940"/>
      <c r="G1199" s="953"/>
      <c r="H1199" s="969"/>
      <c r="I1199" s="956" t="s">
        <v>832</v>
      </c>
      <c r="J1199" s="1214" t="s">
        <v>342</v>
      </c>
      <c r="K1199" s="958" t="s">
        <v>178</v>
      </c>
      <c r="L1199" s="959">
        <v>48.0</v>
      </c>
      <c r="M1199" s="960">
        <v>35.0</v>
      </c>
      <c r="N1199" s="960">
        <v>42.0</v>
      </c>
      <c r="O1199" s="960">
        <v>105.0</v>
      </c>
      <c r="P1199" s="960">
        <v>60.0</v>
      </c>
      <c r="Q1199" s="960">
        <v>60.0</v>
      </c>
      <c r="R1199" s="960">
        <v>156.0</v>
      </c>
      <c r="S1199" s="960">
        <v>219.0</v>
      </c>
      <c r="T1199" s="960">
        <v>240.0</v>
      </c>
      <c r="U1199" s="960">
        <f t="array" ref="U1199">HLOOKUP($J1199,'Type Chart'!$C$2:$T$20,2,false)*HLOOKUP($K1199,'Type Chart'!$C$2:$U$20,2,false)</f>
        <v>0.5</v>
      </c>
      <c r="V1199" s="960">
        <f t="array" ref="V1199">HLOOKUP($J1199,'Type Chart'!$C$2:$T$20,3,false)*HLOOKUP($K1199,'Type Chart'!$C$2:$U$20,3,false)</f>
        <v>1</v>
      </c>
      <c r="W1199" s="960">
        <f t="array" ref="W1199">HLOOKUP($J1199,'Type Chart'!$C$2:$T$20,4,false)*HLOOKUP($K1199,'Type Chart'!$C$2:$U$20,4,false)</f>
        <v>0.5</v>
      </c>
      <c r="X1199" s="960">
        <f t="array" ref="X1199">HLOOKUP($J1199,'Type Chart'!$C$2:$T$20,5,false)*HLOOKUP($K1199,'Type Chart'!$C$2:$U$20,5,false)</f>
        <v>0.25</v>
      </c>
      <c r="Y1199" s="960">
        <f t="array" ref="Y1199">HLOOKUP($J1199,'Type Chart'!$C$2:$T$20,6,false)*HLOOKUP($K1199,'Type Chart'!$C$2:$U$20,6,false)</f>
        <v>4</v>
      </c>
      <c r="Z1199" s="960">
        <f t="array" ref="Z1199">HLOOKUP($J1199,'Type Chart'!$C$2:$T$20,7,false)*HLOOKUP($K1199,'Type Chart'!$C$2:$U$20,7,false)</f>
        <v>1</v>
      </c>
      <c r="AA1199" s="960">
        <f t="array" ref="AA1199">HLOOKUP($J1199,'Type Chart'!$C$2:$T$20,8,false)*HLOOKUP($K1199,'Type Chart'!$C$2:$U$20,8,false)</f>
        <v>0.5</v>
      </c>
      <c r="AB1199" s="960">
        <f t="array" ref="AB1199">HLOOKUP($J1199,'Type Chart'!$C$2:$T$20,9,false)*HLOOKUP($K1199,'Type Chart'!$C$2:$U$20,9,false)</f>
        <v>1</v>
      </c>
      <c r="AC1199" s="960">
        <f t="array" ref="AC1199">HLOOKUP($J1199,'Type Chart'!$C$2:$T$20,10,false)*HLOOKUP($K1199,'Type Chart'!$C$2:$U$20,10,false)</f>
        <v>2</v>
      </c>
      <c r="AD1199" s="960">
        <f t="array" ref="AD1199">HLOOKUP($J1199,'Type Chart'!$C$2:$T$20,11,false)*HLOOKUP($K1199,'Type Chart'!$C$2:$U$20,11,false)</f>
        <v>0.5</v>
      </c>
      <c r="AE1199" s="960">
        <f t="array" ref="AE1199">HLOOKUP($J1199,'Type Chart'!$C$2:$T$20,12,false)*HLOOKUP($K1199,'Type Chart'!$C$2:$U$20,12,false)</f>
        <v>2</v>
      </c>
      <c r="AF1199" s="960">
        <f t="array" ref="AF1199">HLOOKUP($J1199,'Type Chart'!$C$2:$T$20,13,false)*HLOOKUP($K1199,'Type Chart'!$C$2:$U$20,13,false)</f>
        <v>1</v>
      </c>
      <c r="AG1199" s="960">
        <f t="array" ref="AG1199">HLOOKUP($J1199,'Type Chart'!$C$2:$T$20,14,false)*HLOOKUP($K1199,'Type Chart'!$C$2:$U$20,14,false)</f>
        <v>1</v>
      </c>
      <c r="AH1199" s="960">
        <f t="array" ref="AH1199">HLOOKUP($J1199,'Type Chart'!$C$2:$T$20,15,false)*HLOOKUP($K1199,'Type Chart'!$C$2:$U$20,15,false)</f>
        <v>2</v>
      </c>
      <c r="AI1199" s="960">
        <f t="array" ref="AI1199">HLOOKUP($J1199,'Type Chart'!$C$2:$T$20,16,false)*HLOOKUP($K1199,'Type Chart'!$C$2:$U$20,16,false)</f>
        <v>1</v>
      </c>
      <c r="AJ1199" s="960">
        <f t="array" ref="AJ1199">HLOOKUP($J1199,'Type Chart'!$C$2:$T$20,17,false)*HLOOKUP($K1199,'Type Chart'!$C$2:$U$20,17,false)</f>
        <v>1</v>
      </c>
      <c r="AK1199" s="960">
        <f t="array" ref="AK1199">HLOOKUP($J1199,'Type Chart'!$C$2:$T$20,18,false)*HLOOKUP($K1199,'Type Chart'!$C$2:$U$20,18,false)</f>
        <v>1</v>
      </c>
      <c r="AL1199" s="960">
        <f t="array" ref="AL1199">HLOOKUP($J1199,'Type Chart'!$C$2:$T$20,19,false)*HLOOKUP($K1199,'Type Chart'!$C$2:$U$20,19,false)</f>
        <v>0.5</v>
      </c>
      <c r="AM1199" s="964" t="s">
        <v>4260</v>
      </c>
      <c r="AN1199" s="964"/>
      <c r="AO1199" s="966" t="s">
        <v>3627</v>
      </c>
      <c r="AP1199" s="936"/>
      <c r="AQ1199" s="967"/>
      <c r="AR1199" s="968"/>
      <c r="AS1199" s="936"/>
    </row>
    <row r="1200" ht="15.75" customHeight="1">
      <c r="A1200" s="936"/>
      <c r="B1200" s="948">
        <v>967.0</v>
      </c>
      <c r="C1200" s="950" t="s">
        <v>4261</v>
      </c>
      <c r="D1200" s="950" t="s">
        <v>4261</v>
      </c>
      <c r="E1200" s="952" t="s">
        <v>4261</v>
      </c>
      <c r="F1200" s="940"/>
      <c r="G1200" s="953"/>
      <c r="H1200" s="969"/>
      <c r="I1200" s="956" t="s">
        <v>423</v>
      </c>
      <c r="J1200" s="1214" t="s">
        <v>342</v>
      </c>
      <c r="K1200" s="958" t="s">
        <v>178</v>
      </c>
      <c r="L1200" s="959">
        <v>83.0</v>
      </c>
      <c r="M1200" s="960">
        <v>55.0</v>
      </c>
      <c r="N1200" s="960">
        <v>90.0</v>
      </c>
      <c r="O1200" s="960">
        <v>130.0</v>
      </c>
      <c r="P1200" s="960">
        <v>81.0</v>
      </c>
      <c r="Q1200" s="960">
        <v>86.0</v>
      </c>
      <c r="R1200" s="960">
        <v>208.0</v>
      </c>
      <c r="S1200" s="960">
        <v>271.0</v>
      </c>
      <c r="T1200" s="960">
        <v>298.0</v>
      </c>
      <c r="U1200" s="960">
        <f t="array" ref="U1200">HLOOKUP($J1200,'Type Chart'!$C$2:$T$20,2,false)*HLOOKUP($K1200,'Type Chart'!$C$2:$U$20,2,false)</f>
        <v>0.5</v>
      </c>
      <c r="V1200" s="960">
        <f t="array" ref="V1200">HLOOKUP($J1200,'Type Chart'!$C$2:$T$20,3,false)*HLOOKUP($K1200,'Type Chart'!$C$2:$U$20,3,false)</f>
        <v>1</v>
      </c>
      <c r="W1200" s="960">
        <f t="array" ref="W1200">HLOOKUP($J1200,'Type Chart'!$C$2:$T$20,4,false)*HLOOKUP($K1200,'Type Chart'!$C$2:$U$20,4,false)</f>
        <v>0.5</v>
      </c>
      <c r="X1200" s="960">
        <f t="array" ref="X1200">HLOOKUP($J1200,'Type Chart'!$C$2:$T$20,5,false)*HLOOKUP($K1200,'Type Chart'!$C$2:$U$20,5,false)</f>
        <v>0.25</v>
      </c>
      <c r="Y1200" s="960">
        <f t="array" ref="Y1200">HLOOKUP($J1200,'Type Chart'!$C$2:$T$20,6,false)*HLOOKUP($K1200,'Type Chart'!$C$2:$U$20,6,false)</f>
        <v>4</v>
      </c>
      <c r="Z1200" s="960">
        <f t="array" ref="Z1200">HLOOKUP($J1200,'Type Chart'!$C$2:$T$20,7,false)*HLOOKUP($K1200,'Type Chart'!$C$2:$U$20,7,false)</f>
        <v>1</v>
      </c>
      <c r="AA1200" s="960">
        <f t="array" ref="AA1200">HLOOKUP($J1200,'Type Chart'!$C$2:$T$20,8,false)*HLOOKUP($K1200,'Type Chart'!$C$2:$U$20,8,false)</f>
        <v>0.5</v>
      </c>
      <c r="AB1200" s="960">
        <f t="array" ref="AB1200">HLOOKUP($J1200,'Type Chart'!$C$2:$T$20,9,false)*HLOOKUP($K1200,'Type Chart'!$C$2:$U$20,9,false)</f>
        <v>1</v>
      </c>
      <c r="AC1200" s="960">
        <f t="array" ref="AC1200">HLOOKUP($J1200,'Type Chart'!$C$2:$T$20,10,false)*HLOOKUP($K1200,'Type Chart'!$C$2:$U$20,10,false)</f>
        <v>2</v>
      </c>
      <c r="AD1200" s="960">
        <f t="array" ref="AD1200">HLOOKUP($J1200,'Type Chart'!$C$2:$T$20,11,false)*HLOOKUP($K1200,'Type Chart'!$C$2:$U$20,11,false)</f>
        <v>0.5</v>
      </c>
      <c r="AE1200" s="960">
        <f t="array" ref="AE1200">HLOOKUP($J1200,'Type Chart'!$C$2:$T$20,12,false)*HLOOKUP($K1200,'Type Chart'!$C$2:$U$20,12,false)</f>
        <v>2</v>
      </c>
      <c r="AF1200" s="960">
        <f t="array" ref="AF1200">HLOOKUP($J1200,'Type Chart'!$C$2:$T$20,13,false)*HLOOKUP($K1200,'Type Chart'!$C$2:$U$20,13,false)</f>
        <v>1</v>
      </c>
      <c r="AG1200" s="960">
        <f t="array" ref="AG1200">HLOOKUP($J1200,'Type Chart'!$C$2:$T$20,14,false)*HLOOKUP($K1200,'Type Chart'!$C$2:$U$20,14,false)</f>
        <v>1</v>
      </c>
      <c r="AH1200" s="960">
        <f t="array" ref="AH1200">HLOOKUP($J1200,'Type Chart'!$C$2:$T$20,15,false)*HLOOKUP($K1200,'Type Chart'!$C$2:$U$20,15,false)</f>
        <v>2</v>
      </c>
      <c r="AI1200" s="960">
        <f t="array" ref="AI1200">HLOOKUP($J1200,'Type Chart'!$C$2:$T$20,16,false)*HLOOKUP($K1200,'Type Chart'!$C$2:$U$20,16,false)</f>
        <v>1</v>
      </c>
      <c r="AJ1200" s="960">
        <f t="array" ref="AJ1200">HLOOKUP($J1200,'Type Chart'!$C$2:$T$20,17,false)*HLOOKUP($K1200,'Type Chart'!$C$2:$U$20,17,false)</f>
        <v>1</v>
      </c>
      <c r="AK1200" s="960">
        <f t="array" ref="AK1200">HLOOKUP($J1200,'Type Chart'!$C$2:$T$20,18,false)*HLOOKUP($K1200,'Type Chart'!$C$2:$U$20,18,false)</f>
        <v>1</v>
      </c>
      <c r="AL1200" s="960">
        <f t="array" ref="AL1200">HLOOKUP($J1200,'Type Chart'!$C$2:$T$20,19,false)*HLOOKUP($K1200,'Type Chart'!$C$2:$U$20,19,false)</f>
        <v>0.5</v>
      </c>
      <c r="AM1200" s="964" t="s">
        <v>4260</v>
      </c>
      <c r="AN1200" s="964"/>
      <c r="AO1200" s="966" t="s">
        <v>3627</v>
      </c>
      <c r="AP1200" s="936"/>
      <c r="AQ1200" s="967"/>
      <c r="AR1200" s="968"/>
      <c r="AS1200" s="936"/>
    </row>
    <row r="1201" ht="15.75" customHeight="1">
      <c r="A1201" s="936"/>
      <c r="B1201" s="948">
        <v>968.0</v>
      </c>
      <c r="C1201" s="950" t="s">
        <v>4262</v>
      </c>
      <c r="D1201" s="950" t="s">
        <v>4262</v>
      </c>
      <c r="E1201" s="952" t="s">
        <v>4262</v>
      </c>
      <c r="F1201" s="940"/>
      <c r="G1201" s="953"/>
      <c r="H1201" s="969"/>
      <c r="I1201" s="998" t="s">
        <v>4263</v>
      </c>
      <c r="J1201" s="958" t="s">
        <v>178</v>
      </c>
      <c r="K1201" s="1194" t="s">
        <v>136</v>
      </c>
      <c r="L1201" s="959">
        <v>40.0</v>
      </c>
      <c r="M1201" s="960">
        <v>65.0</v>
      </c>
      <c r="N1201" s="960">
        <v>35.0</v>
      </c>
      <c r="O1201" s="960">
        <v>40.0</v>
      </c>
      <c r="P1201" s="960">
        <v>35.0</v>
      </c>
      <c r="Q1201" s="960">
        <v>75.0</v>
      </c>
      <c r="R1201" s="960">
        <v>186.0</v>
      </c>
      <c r="S1201" s="960">
        <v>249.0</v>
      </c>
      <c r="T1201" s="960">
        <v>273.0</v>
      </c>
      <c r="U1201" s="960">
        <f t="array" ref="U1201">HLOOKUP($J1201,'Type Chart'!$C$2:$T$20,2,false)*HLOOKUP($K1201,'Type Chart'!$C$2:$U$20,2,false)</f>
        <v>1</v>
      </c>
      <c r="V1201" s="960">
        <f t="array" ref="V1201">HLOOKUP($J1201,'Type Chart'!$C$2:$T$20,3,false)*HLOOKUP($K1201,'Type Chart'!$C$2:$U$20,3,false)</f>
        <v>1</v>
      </c>
      <c r="W1201" s="960">
        <f t="array" ref="W1201">HLOOKUP($J1201,'Type Chart'!$C$2:$T$20,4,false)*HLOOKUP($K1201,'Type Chart'!$C$2:$U$20,4,false)</f>
        <v>1</v>
      </c>
      <c r="X1201" s="960">
        <f t="array" ref="X1201">HLOOKUP($J1201,'Type Chart'!$C$2:$T$20,5,false)*HLOOKUP($K1201,'Type Chart'!$C$2:$U$20,5,false)</f>
        <v>0.5</v>
      </c>
      <c r="Y1201" s="960">
        <f t="array" ref="Y1201">HLOOKUP($J1201,'Type Chart'!$C$2:$T$20,6,false)*HLOOKUP($K1201,'Type Chart'!$C$2:$U$20,6,false)</f>
        <v>2</v>
      </c>
      <c r="Z1201" s="960">
        <f t="array" ref="Z1201">HLOOKUP($J1201,'Type Chart'!$C$2:$T$20,7,false)*HLOOKUP($K1201,'Type Chart'!$C$2:$U$20,7,false)</f>
        <v>1</v>
      </c>
      <c r="AA1201" s="960">
        <f t="array" ref="AA1201">HLOOKUP($J1201,'Type Chart'!$C$2:$T$20,8,false)*HLOOKUP($K1201,'Type Chart'!$C$2:$U$20,8,false)</f>
        <v>0.5</v>
      </c>
      <c r="AB1201" s="960">
        <f t="array" ref="AB1201">HLOOKUP($J1201,'Type Chart'!$C$2:$T$20,9,false)*HLOOKUP($K1201,'Type Chart'!$C$2:$U$20,9,false)</f>
        <v>0</v>
      </c>
      <c r="AC1201" s="960">
        <f t="array" ref="AC1201">HLOOKUP($J1201,'Type Chart'!$C$2:$T$20,10,false)*HLOOKUP($K1201,'Type Chart'!$C$2:$U$20,10,false)</f>
        <v>1</v>
      </c>
      <c r="AD1201" s="960">
        <f t="array" ref="AD1201">HLOOKUP($J1201,'Type Chart'!$C$2:$T$20,11,false)*HLOOKUP($K1201,'Type Chart'!$C$2:$U$20,11,false)</f>
        <v>1</v>
      </c>
      <c r="AE1201" s="960">
        <f t="array" ref="AE1201">HLOOKUP($J1201,'Type Chart'!$C$2:$T$20,12,false)*HLOOKUP($K1201,'Type Chart'!$C$2:$U$20,12,false)</f>
        <v>1</v>
      </c>
      <c r="AF1201" s="960">
        <f t="array" ref="AF1201">HLOOKUP($J1201,'Type Chart'!$C$2:$T$20,13,false)*HLOOKUP($K1201,'Type Chart'!$C$2:$U$20,13,false)</f>
        <v>0.5</v>
      </c>
      <c r="AG1201" s="960">
        <f t="array" ref="AG1201">HLOOKUP($J1201,'Type Chart'!$C$2:$T$20,14,false)*HLOOKUP($K1201,'Type Chart'!$C$2:$U$20,14,false)</f>
        <v>1</v>
      </c>
      <c r="AH1201" s="960">
        <f t="array" ref="AH1201">HLOOKUP($J1201,'Type Chart'!$C$2:$T$20,15,false)*HLOOKUP($K1201,'Type Chart'!$C$2:$U$20,15,false)</f>
        <v>2</v>
      </c>
      <c r="AI1201" s="960">
        <f t="array" ref="AI1201">HLOOKUP($J1201,'Type Chart'!$C$2:$T$20,16,false)*HLOOKUP($K1201,'Type Chart'!$C$2:$U$20,16,false)</f>
        <v>1</v>
      </c>
      <c r="AJ1201" s="960">
        <f t="array" ref="AJ1201">HLOOKUP($J1201,'Type Chart'!$C$2:$T$20,17,false)*HLOOKUP($K1201,'Type Chart'!$C$2:$U$20,17,false)</f>
        <v>1</v>
      </c>
      <c r="AK1201" s="960">
        <f t="array" ref="AK1201">HLOOKUP($J1201,'Type Chart'!$C$2:$T$20,18,false)*HLOOKUP($K1201,'Type Chart'!$C$2:$U$20,18,false)</f>
        <v>1</v>
      </c>
      <c r="AL1201" s="960">
        <f t="array" ref="AL1201">HLOOKUP($J1201,'Type Chart'!$C$2:$T$20,19,false)*HLOOKUP($K1201,'Type Chart'!$C$2:$U$20,19,false)</f>
        <v>0.5</v>
      </c>
      <c r="AM1201" s="964" t="s">
        <v>1498</v>
      </c>
      <c r="AN1201" s="964" t="s">
        <v>1869</v>
      </c>
      <c r="AO1201" s="966" t="s">
        <v>1813</v>
      </c>
      <c r="AP1201" s="936"/>
      <c r="AQ1201" s="967"/>
      <c r="AR1201" s="968"/>
      <c r="AS1201" s="936"/>
    </row>
    <row r="1202" ht="15.75" customHeight="1">
      <c r="A1202" s="1099"/>
      <c r="B1202" s="948">
        <v>969.0</v>
      </c>
      <c r="C1202" s="1197" t="s">
        <v>4264</v>
      </c>
      <c r="D1202" s="1197" t="s">
        <v>4264</v>
      </c>
      <c r="E1202" s="1147" t="s">
        <v>4264</v>
      </c>
      <c r="F1202" s="940"/>
      <c r="G1202" s="953"/>
      <c r="H1202" s="969"/>
      <c r="I1202" s="998" t="s">
        <v>624</v>
      </c>
      <c r="J1202" s="1209" t="s">
        <v>178</v>
      </c>
      <c r="K1202" s="1216" t="s">
        <v>136</v>
      </c>
      <c r="L1202" s="1200">
        <v>63.0</v>
      </c>
      <c r="M1202" s="1201">
        <v>95.0</v>
      </c>
      <c r="N1202" s="1201">
        <v>65.0</v>
      </c>
      <c r="O1202" s="1201">
        <v>80.0</v>
      </c>
      <c r="P1202" s="1201">
        <v>72.0</v>
      </c>
      <c r="Q1202" s="1201">
        <v>110.0</v>
      </c>
      <c r="R1202" s="960">
        <v>256.0</v>
      </c>
      <c r="S1202" s="960">
        <v>319.0</v>
      </c>
      <c r="T1202" s="960">
        <v>350.0</v>
      </c>
      <c r="U1202" s="960">
        <f t="array" ref="U1202">HLOOKUP($J1202,'Type Chart'!$C$2:$T$20,2,false)*HLOOKUP($K1202,'Type Chart'!$C$2:$U$20,2,false)</f>
        <v>1</v>
      </c>
      <c r="V1202" s="960">
        <f t="array" ref="V1202">HLOOKUP($J1202,'Type Chart'!$C$2:$T$20,3,false)*HLOOKUP($K1202,'Type Chart'!$C$2:$U$20,3,false)</f>
        <v>1</v>
      </c>
      <c r="W1202" s="960">
        <f t="array" ref="W1202">HLOOKUP($J1202,'Type Chart'!$C$2:$T$20,4,false)*HLOOKUP($K1202,'Type Chart'!$C$2:$U$20,4,false)</f>
        <v>1</v>
      </c>
      <c r="X1202" s="960">
        <f t="array" ref="X1202">HLOOKUP($J1202,'Type Chart'!$C$2:$T$20,5,false)*HLOOKUP($K1202,'Type Chart'!$C$2:$U$20,5,false)</f>
        <v>0.5</v>
      </c>
      <c r="Y1202" s="960">
        <f t="array" ref="Y1202">HLOOKUP($J1202,'Type Chart'!$C$2:$T$20,6,false)*HLOOKUP($K1202,'Type Chart'!$C$2:$U$20,6,false)</f>
        <v>2</v>
      </c>
      <c r="Z1202" s="960">
        <f t="array" ref="Z1202">HLOOKUP($J1202,'Type Chart'!$C$2:$T$20,7,false)*HLOOKUP($K1202,'Type Chart'!$C$2:$U$20,7,false)</f>
        <v>1</v>
      </c>
      <c r="AA1202" s="960">
        <f t="array" ref="AA1202">HLOOKUP($J1202,'Type Chart'!$C$2:$T$20,8,false)*HLOOKUP($K1202,'Type Chart'!$C$2:$U$20,8,false)</f>
        <v>0.5</v>
      </c>
      <c r="AB1202" s="960">
        <f t="array" ref="AB1202">HLOOKUP($J1202,'Type Chart'!$C$2:$T$20,9,false)*HLOOKUP($K1202,'Type Chart'!$C$2:$U$20,9,false)</f>
        <v>0</v>
      </c>
      <c r="AC1202" s="960">
        <f t="array" ref="AC1202">HLOOKUP($J1202,'Type Chart'!$C$2:$T$20,10,false)*HLOOKUP($K1202,'Type Chart'!$C$2:$U$20,10,false)</f>
        <v>1</v>
      </c>
      <c r="AD1202" s="960">
        <f t="array" ref="AD1202">HLOOKUP($J1202,'Type Chart'!$C$2:$T$20,11,false)*HLOOKUP($K1202,'Type Chart'!$C$2:$U$20,11,false)</f>
        <v>1</v>
      </c>
      <c r="AE1202" s="960">
        <f t="array" ref="AE1202">HLOOKUP($J1202,'Type Chart'!$C$2:$T$20,12,false)*HLOOKUP($K1202,'Type Chart'!$C$2:$U$20,12,false)</f>
        <v>1</v>
      </c>
      <c r="AF1202" s="960">
        <f t="array" ref="AF1202">HLOOKUP($J1202,'Type Chart'!$C$2:$T$20,13,false)*HLOOKUP($K1202,'Type Chart'!$C$2:$U$20,13,false)</f>
        <v>0.5</v>
      </c>
      <c r="AG1202" s="960">
        <f t="array" ref="AG1202">HLOOKUP($J1202,'Type Chart'!$C$2:$T$20,14,false)*HLOOKUP($K1202,'Type Chart'!$C$2:$U$20,14,false)</f>
        <v>1</v>
      </c>
      <c r="AH1202" s="960">
        <f t="array" ref="AH1202">HLOOKUP($J1202,'Type Chart'!$C$2:$T$20,15,false)*HLOOKUP($K1202,'Type Chart'!$C$2:$U$20,15,false)</f>
        <v>2</v>
      </c>
      <c r="AI1202" s="960">
        <f t="array" ref="AI1202">HLOOKUP($J1202,'Type Chart'!$C$2:$T$20,16,false)*HLOOKUP($K1202,'Type Chart'!$C$2:$U$20,16,false)</f>
        <v>1</v>
      </c>
      <c r="AJ1202" s="960">
        <f t="array" ref="AJ1202">HLOOKUP($J1202,'Type Chart'!$C$2:$T$20,17,false)*HLOOKUP($K1202,'Type Chart'!$C$2:$U$20,17,false)</f>
        <v>1</v>
      </c>
      <c r="AK1202" s="960">
        <f t="array" ref="AK1202">HLOOKUP($J1202,'Type Chart'!$C$2:$T$20,18,false)*HLOOKUP($K1202,'Type Chart'!$C$2:$U$20,18,false)</f>
        <v>1</v>
      </c>
      <c r="AL1202" s="960">
        <f t="array" ref="AL1202">HLOOKUP($J1202,'Type Chart'!$C$2:$T$20,19,false)*HLOOKUP($K1202,'Type Chart'!$C$2:$U$20,19,false)</f>
        <v>0.5</v>
      </c>
      <c r="AM1202" s="1145" t="s">
        <v>1498</v>
      </c>
      <c r="AN1202" s="964" t="s">
        <v>1417</v>
      </c>
      <c r="AO1202" s="966" t="s">
        <v>1813</v>
      </c>
      <c r="AP1202" s="936"/>
      <c r="AQ1202" s="967"/>
      <c r="AR1202" s="968"/>
      <c r="AS1202" s="936"/>
    </row>
    <row r="1203" ht="15.75" customHeight="1">
      <c r="A1203" s="936"/>
      <c r="B1203" s="948">
        <v>970.0</v>
      </c>
      <c r="C1203" s="950" t="s">
        <v>4265</v>
      </c>
      <c r="D1203" s="950" t="s">
        <v>4265</v>
      </c>
      <c r="E1203" s="952" t="s">
        <v>4265</v>
      </c>
      <c r="F1203" s="940"/>
      <c r="G1203" s="953"/>
      <c r="H1203" s="969"/>
      <c r="I1203" s="956" t="s">
        <v>4266</v>
      </c>
      <c r="J1203" s="1207" t="s">
        <v>127</v>
      </c>
      <c r="K1203" s="1235" t="s">
        <v>216</v>
      </c>
      <c r="L1203" s="959">
        <v>37.0</v>
      </c>
      <c r="M1203" s="960">
        <v>55.0</v>
      </c>
      <c r="N1203" s="960">
        <v>70.0</v>
      </c>
      <c r="O1203" s="960">
        <v>30.0</v>
      </c>
      <c r="P1203" s="960">
        <v>55.0</v>
      </c>
      <c r="Q1203" s="960">
        <v>65.0</v>
      </c>
      <c r="R1203" s="960">
        <v>166.0</v>
      </c>
      <c r="S1203" s="960">
        <v>229.0</v>
      </c>
      <c r="T1203" s="960">
        <v>251.0</v>
      </c>
      <c r="U1203" s="960">
        <f t="array" ref="U1203">HLOOKUP($J1203,'Type Chart'!$C$2:$T$20,2,false)*HLOOKUP($K1203,'Type Chart'!$C$2:$U$20,2,false)</f>
        <v>1</v>
      </c>
      <c r="V1203" s="960">
        <f t="array" ref="V1203">HLOOKUP($J1203,'Type Chart'!$C$2:$T$20,3,false)*HLOOKUP($K1203,'Type Chart'!$C$2:$U$20,3,false)</f>
        <v>0.5</v>
      </c>
      <c r="W1203" s="960">
        <f t="array" ref="W1203">HLOOKUP($J1203,'Type Chart'!$C$2:$T$20,4,false)*HLOOKUP($K1203,'Type Chart'!$C$2:$U$20,4,false)</f>
        <v>1</v>
      </c>
      <c r="X1203" s="960">
        <f t="array" ref="X1203">HLOOKUP($J1203,'Type Chart'!$C$2:$T$20,5,false)*HLOOKUP($K1203,'Type Chart'!$C$2:$U$20,5,false)</f>
        <v>2</v>
      </c>
      <c r="Y1203" s="960">
        <f t="array" ref="Y1203">HLOOKUP($J1203,'Type Chart'!$C$2:$T$20,6,false)*HLOOKUP($K1203,'Type Chart'!$C$2:$U$20,6,false)</f>
        <v>1</v>
      </c>
      <c r="Z1203" s="960">
        <f t="array" ref="Z1203">HLOOKUP($J1203,'Type Chart'!$C$2:$T$20,7,false)*HLOOKUP($K1203,'Type Chart'!$C$2:$U$20,7,false)</f>
        <v>1</v>
      </c>
      <c r="AA1203" s="960">
        <f t="array" ref="AA1203">HLOOKUP($J1203,'Type Chart'!$C$2:$T$20,8,false)*HLOOKUP($K1203,'Type Chart'!$C$2:$U$20,8,false)</f>
        <v>0.5</v>
      </c>
      <c r="AB1203" s="960">
        <f t="array" ref="AB1203">HLOOKUP($J1203,'Type Chart'!$C$2:$T$20,9,false)*HLOOKUP($K1203,'Type Chart'!$C$2:$U$20,9,false)</f>
        <v>1</v>
      </c>
      <c r="AC1203" s="960">
        <f t="array" ref="AC1203">HLOOKUP($J1203,'Type Chart'!$C$2:$T$20,10,false)*HLOOKUP($K1203,'Type Chart'!$C$2:$U$20,10,false)</f>
        <v>2</v>
      </c>
      <c r="AD1203" s="960">
        <f t="array" ref="AD1203">HLOOKUP($J1203,'Type Chart'!$C$2:$T$20,11,false)*HLOOKUP($K1203,'Type Chart'!$C$2:$U$20,11,false)</f>
        <v>1</v>
      </c>
      <c r="AE1203" s="960">
        <f t="array" ref="AE1203">HLOOKUP($J1203,'Type Chart'!$C$2:$T$20,12,false)*HLOOKUP($K1203,'Type Chart'!$C$2:$U$20,12,false)</f>
        <v>1</v>
      </c>
      <c r="AF1203" s="960">
        <f t="array" ref="AF1203">HLOOKUP($J1203,'Type Chart'!$C$2:$T$20,13,false)*HLOOKUP($K1203,'Type Chart'!$C$2:$U$20,13,false)</f>
        <v>1</v>
      </c>
      <c r="AG1203" s="960">
        <f t="array" ref="AG1203">HLOOKUP($J1203,'Type Chart'!$C$2:$T$20,14,false)*HLOOKUP($K1203,'Type Chart'!$C$2:$U$20,14,false)</f>
        <v>1</v>
      </c>
      <c r="AH1203" s="960">
        <f t="array" ref="AH1203">HLOOKUP($J1203,'Type Chart'!$C$2:$T$20,15,false)*HLOOKUP($K1203,'Type Chart'!$C$2:$U$20,15,false)</f>
        <v>1</v>
      </c>
      <c r="AI1203" s="960">
        <f t="array" ref="AI1203">HLOOKUP($J1203,'Type Chart'!$C$2:$T$20,16,false)*HLOOKUP($K1203,'Type Chart'!$C$2:$U$20,16,false)</f>
        <v>1</v>
      </c>
      <c r="AJ1203" s="960">
        <f t="array" ref="AJ1203">HLOOKUP($J1203,'Type Chart'!$C$2:$T$20,17,false)*HLOOKUP($K1203,'Type Chart'!$C$2:$U$20,17,false)</f>
        <v>0</v>
      </c>
      <c r="AK1203" s="960">
        <f t="array" ref="AK1203">HLOOKUP($J1203,'Type Chart'!$C$2:$T$20,18,false)*HLOOKUP($K1203,'Type Chart'!$C$2:$U$20,18,false)</f>
        <v>0.5</v>
      </c>
      <c r="AL1203" s="960">
        <f t="array" ref="AL1203">HLOOKUP($J1203,'Type Chart'!$C$2:$T$20,19,false)*HLOOKUP($K1203,'Type Chart'!$C$2:$U$20,19,false)</f>
        <v>1</v>
      </c>
      <c r="AM1203" s="964" t="s">
        <v>1370</v>
      </c>
      <c r="AN1203" s="964"/>
      <c r="AO1203" s="966" t="s">
        <v>2552</v>
      </c>
      <c r="AP1203" s="936"/>
      <c r="AQ1203" s="967"/>
      <c r="AR1203" s="968"/>
      <c r="AS1203" s="936"/>
    </row>
    <row r="1204" ht="15.75" customHeight="1">
      <c r="A1204" s="936"/>
      <c r="B1204" s="948">
        <v>971.0</v>
      </c>
      <c r="C1204" s="950" t="s">
        <v>4267</v>
      </c>
      <c r="D1204" s="950" t="s">
        <v>4267</v>
      </c>
      <c r="E1204" s="952" t="s">
        <v>4267</v>
      </c>
      <c r="F1204" s="940"/>
      <c r="G1204" s="953"/>
      <c r="H1204" s="969"/>
      <c r="I1204" s="956" t="s">
        <v>708</v>
      </c>
      <c r="J1204" s="1207" t="s">
        <v>127</v>
      </c>
      <c r="K1204" s="1235" t="s">
        <v>216</v>
      </c>
      <c r="L1204" s="959">
        <v>57.0</v>
      </c>
      <c r="M1204" s="960">
        <v>80.0</v>
      </c>
      <c r="N1204" s="960">
        <v>115.0</v>
      </c>
      <c r="O1204" s="960">
        <v>50.0</v>
      </c>
      <c r="P1204" s="960">
        <v>80.0</v>
      </c>
      <c r="Q1204" s="960">
        <v>95.0</v>
      </c>
      <c r="R1204" s="960">
        <v>226.0</v>
      </c>
      <c r="S1204" s="960">
        <v>289.0</v>
      </c>
      <c r="T1204" s="960">
        <v>317.0</v>
      </c>
      <c r="U1204" s="960">
        <f t="array" ref="U1204">HLOOKUP($J1204,'Type Chart'!$C$2:$T$20,2,false)*HLOOKUP($K1204,'Type Chart'!$C$2:$U$20,2,false)</f>
        <v>1</v>
      </c>
      <c r="V1204" s="960">
        <f t="array" ref="V1204">HLOOKUP($J1204,'Type Chart'!$C$2:$T$20,3,false)*HLOOKUP($K1204,'Type Chart'!$C$2:$U$20,3,false)</f>
        <v>0.5</v>
      </c>
      <c r="W1204" s="960">
        <f t="array" ref="W1204">HLOOKUP($J1204,'Type Chart'!$C$2:$T$20,4,false)*HLOOKUP($K1204,'Type Chart'!$C$2:$U$20,4,false)</f>
        <v>1</v>
      </c>
      <c r="X1204" s="960">
        <f t="array" ref="X1204">HLOOKUP($J1204,'Type Chart'!$C$2:$T$20,5,false)*HLOOKUP($K1204,'Type Chart'!$C$2:$U$20,5,false)</f>
        <v>2</v>
      </c>
      <c r="Y1204" s="960">
        <f t="array" ref="Y1204">HLOOKUP($J1204,'Type Chart'!$C$2:$T$20,6,false)*HLOOKUP($K1204,'Type Chart'!$C$2:$U$20,6,false)</f>
        <v>1</v>
      </c>
      <c r="Z1204" s="960">
        <f t="array" ref="Z1204">HLOOKUP($J1204,'Type Chart'!$C$2:$T$20,7,false)*HLOOKUP($K1204,'Type Chart'!$C$2:$U$20,7,false)</f>
        <v>1</v>
      </c>
      <c r="AA1204" s="960">
        <f t="array" ref="AA1204">HLOOKUP($J1204,'Type Chart'!$C$2:$T$20,8,false)*HLOOKUP($K1204,'Type Chart'!$C$2:$U$20,8,false)</f>
        <v>0.5</v>
      </c>
      <c r="AB1204" s="960">
        <f t="array" ref="AB1204">HLOOKUP($J1204,'Type Chart'!$C$2:$T$20,9,false)*HLOOKUP($K1204,'Type Chart'!$C$2:$U$20,9,false)</f>
        <v>1</v>
      </c>
      <c r="AC1204" s="960">
        <f t="array" ref="AC1204">HLOOKUP($J1204,'Type Chart'!$C$2:$T$20,10,false)*HLOOKUP($K1204,'Type Chart'!$C$2:$U$20,10,false)</f>
        <v>2</v>
      </c>
      <c r="AD1204" s="960">
        <f t="array" ref="AD1204">HLOOKUP($J1204,'Type Chart'!$C$2:$T$20,11,false)*HLOOKUP($K1204,'Type Chart'!$C$2:$U$20,11,false)</f>
        <v>1</v>
      </c>
      <c r="AE1204" s="960">
        <f t="array" ref="AE1204">HLOOKUP($J1204,'Type Chart'!$C$2:$T$20,12,false)*HLOOKUP($K1204,'Type Chart'!$C$2:$U$20,12,false)</f>
        <v>1</v>
      </c>
      <c r="AF1204" s="960">
        <f t="array" ref="AF1204">HLOOKUP($J1204,'Type Chart'!$C$2:$T$20,13,false)*HLOOKUP($K1204,'Type Chart'!$C$2:$U$20,13,false)</f>
        <v>1</v>
      </c>
      <c r="AG1204" s="960">
        <f t="array" ref="AG1204">HLOOKUP($J1204,'Type Chart'!$C$2:$T$20,14,false)*HLOOKUP($K1204,'Type Chart'!$C$2:$U$20,14,false)</f>
        <v>1</v>
      </c>
      <c r="AH1204" s="960">
        <f t="array" ref="AH1204">HLOOKUP($J1204,'Type Chart'!$C$2:$T$20,15,false)*HLOOKUP($K1204,'Type Chart'!$C$2:$U$20,15,false)</f>
        <v>1</v>
      </c>
      <c r="AI1204" s="960">
        <f t="array" ref="AI1204">HLOOKUP($J1204,'Type Chart'!$C$2:$T$20,16,false)*HLOOKUP($K1204,'Type Chart'!$C$2:$U$20,16,false)</f>
        <v>1</v>
      </c>
      <c r="AJ1204" s="960">
        <f t="array" ref="AJ1204">HLOOKUP($J1204,'Type Chart'!$C$2:$T$20,17,false)*HLOOKUP($K1204,'Type Chart'!$C$2:$U$20,17,false)</f>
        <v>0</v>
      </c>
      <c r="AK1204" s="960">
        <f t="array" ref="AK1204">HLOOKUP($J1204,'Type Chart'!$C$2:$T$20,18,false)*HLOOKUP($K1204,'Type Chart'!$C$2:$U$20,18,false)</f>
        <v>0.5</v>
      </c>
      <c r="AL1204" s="960">
        <f t="array" ref="AL1204">HLOOKUP($J1204,'Type Chart'!$C$2:$T$20,19,false)*HLOOKUP($K1204,'Type Chart'!$C$2:$U$20,19,false)</f>
        <v>1</v>
      </c>
      <c r="AM1204" s="964" t="s">
        <v>4268</v>
      </c>
      <c r="AN1204" s="964"/>
      <c r="AO1204" s="966" t="s">
        <v>3373</v>
      </c>
      <c r="AP1204" s="936"/>
      <c r="AQ1204" s="967"/>
      <c r="AR1204" s="968"/>
      <c r="AS1204" s="936"/>
    </row>
    <row r="1205" ht="15.75" customHeight="1">
      <c r="A1205" s="1099"/>
      <c r="B1205" s="948">
        <v>972.0</v>
      </c>
      <c r="C1205" s="950" t="s">
        <v>4269</v>
      </c>
      <c r="D1205" s="950" t="s">
        <v>4269</v>
      </c>
      <c r="E1205" s="952" t="s">
        <v>4269</v>
      </c>
      <c r="F1205" s="940"/>
      <c r="G1205" s="953"/>
      <c r="H1205" s="969"/>
      <c r="I1205" s="956" t="s">
        <v>4270</v>
      </c>
      <c r="J1205" s="1195" t="s">
        <v>193</v>
      </c>
      <c r="K1205" s="1235" t="s">
        <v>216</v>
      </c>
      <c r="L1205" s="959">
        <v>60.0</v>
      </c>
      <c r="M1205" s="960">
        <v>78.0</v>
      </c>
      <c r="N1205" s="960">
        <v>60.0</v>
      </c>
      <c r="O1205" s="960">
        <v>40.0</v>
      </c>
      <c r="P1205" s="960">
        <v>51.0</v>
      </c>
      <c r="Q1205" s="960">
        <v>51.0</v>
      </c>
      <c r="R1205" s="960">
        <v>138.0</v>
      </c>
      <c r="S1205" s="960">
        <v>201.0</v>
      </c>
      <c r="T1205" s="960">
        <v>221.0</v>
      </c>
      <c r="U1205" s="960">
        <f t="array" ref="U1205">HLOOKUP($J1205,'Type Chart'!$C$2:$T$20,2,false)*HLOOKUP($K1205,'Type Chart'!$C$2:$U$20,2,false)</f>
        <v>1</v>
      </c>
      <c r="V1205" s="960">
        <f t="array" ref="V1205">HLOOKUP($J1205,'Type Chart'!$C$2:$T$20,3,false)*HLOOKUP($K1205,'Type Chart'!$C$2:$U$20,3,false)</f>
        <v>2</v>
      </c>
      <c r="W1205" s="960">
        <f t="array" ref="W1205">HLOOKUP($J1205,'Type Chart'!$C$2:$T$20,4,false)*HLOOKUP($K1205,'Type Chart'!$C$2:$U$20,4,false)</f>
        <v>1</v>
      </c>
      <c r="X1205" s="960">
        <f t="array" ref="X1205">HLOOKUP($J1205,'Type Chart'!$C$2:$T$20,5,false)*HLOOKUP($K1205,'Type Chart'!$C$2:$U$20,5,false)</f>
        <v>1</v>
      </c>
      <c r="Y1205" s="960">
        <f t="array" ref="Y1205">HLOOKUP($J1205,'Type Chart'!$C$2:$T$20,6,false)*HLOOKUP($K1205,'Type Chart'!$C$2:$U$20,6,false)</f>
        <v>1</v>
      </c>
      <c r="Z1205" s="960">
        <f t="array" ref="Z1205">HLOOKUP($J1205,'Type Chart'!$C$2:$T$20,7,false)*HLOOKUP($K1205,'Type Chart'!$C$2:$U$20,7,false)</f>
        <v>1</v>
      </c>
      <c r="AA1205" s="960">
        <f t="array" ref="AA1205">HLOOKUP($J1205,'Type Chart'!$C$2:$T$20,8,false)*HLOOKUP($K1205,'Type Chart'!$C$2:$U$20,8,false)</f>
        <v>2</v>
      </c>
      <c r="AB1205" s="960">
        <f t="array" ref="AB1205">HLOOKUP($J1205,'Type Chart'!$C$2:$T$20,9,false)*HLOOKUP($K1205,'Type Chart'!$C$2:$U$20,9,false)</f>
        <v>0.5</v>
      </c>
      <c r="AC1205" s="960">
        <f t="array" ref="AC1205">HLOOKUP($J1205,'Type Chart'!$C$2:$T$20,10,false)*HLOOKUP($K1205,'Type Chart'!$C$2:$U$20,10,false)</f>
        <v>1</v>
      </c>
      <c r="AD1205" s="960">
        <f t="array" ref="AD1205">HLOOKUP($J1205,'Type Chart'!$C$2:$T$20,11,false)*HLOOKUP($K1205,'Type Chart'!$C$2:$U$20,11,false)</f>
        <v>1</v>
      </c>
      <c r="AE1205" s="960">
        <f t="array" ref="AE1205">HLOOKUP($J1205,'Type Chart'!$C$2:$T$20,12,false)*HLOOKUP($K1205,'Type Chart'!$C$2:$U$20,12,false)</f>
        <v>1</v>
      </c>
      <c r="AF1205" s="960">
        <f t="array" ref="AF1205">HLOOKUP($J1205,'Type Chart'!$C$2:$T$20,13,false)*HLOOKUP($K1205,'Type Chart'!$C$2:$U$20,13,false)</f>
        <v>1</v>
      </c>
      <c r="AG1205" s="960">
        <f t="array" ref="AG1205">HLOOKUP($J1205,'Type Chart'!$C$2:$T$20,14,false)*HLOOKUP($K1205,'Type Chart'!$C$2:$U$20,14,false)</f>
        <v>1</v>
      </c>
      <c r="AH1205" s="960">
        <f t="array" ref="AH1205">HLOOKUP($J1205,'Type Chart'!$C$2:$T$20,15,false)*HLOOKUP($K1205,'Type Chart'!$C$2:$U$20,15,false)</f>
        <v>0</v>
      </c>
      <c r="AI1205" s="960">
        <f t="array" ref="AI1205">HLOOKUP($J1205,'Type Chart'!$C$2:$T$20,16,false)*HLOOKUP($K1205,'Type Chart'!$C$2:$U$20,16,false)</f>
        <v>1</v>
      </c>
      <c r="AJ1205" s="960">
        <f t="array" ref="AJ1205">HLOOKUP($J1205,'Type Chart'!$C$2:$T$20,17,false)*HLOOKUP($K1205,'Type Chart'!$C$2:$U$20,17,false)</f>
        <v>1</v>
      </c>
      <c r="AK1205" s="960">
        <f t="array" ref="AK1205">HLOOKUP($J1205,'Type Chart'!$C$2:$T$20,18,false)*HLOOKUP($K1205,'Type Chart'!$C$2:$U$20,18,false)</f>
        <v>0.5</v>
      </c>
      <c r="AL1205" s="960">
        <f t="array" ref="AL1205">HLOOKUP($J1205,'Type Chart'!$C$2:$T$20,19,false)*HLOOKUP($K1205,'Type Chart'!$C$2:$U$20,19,false)</f>
        <v>2</v>
      </c>
      <c r="AM1205" s="1145" t="s">
        <v>1061</v>
      </c>
      <c r="AN1205" s="1145" t="s">
        <v>988</v>
      </c>
      <c r="AO1205" s="1146" t="s">
        <v>3548</v>
      </c>
      <c r="AP1205" s="936"/>
      <c r="AQ1205" s="967"/>
      <c r="AR1205" s="968"/>
      <c r="AS1205" s="936"/>
    </row>
    <row r="1206" ht="15.75" customHeight="1">
      <c r="A1206" s="936"/>
      <c r="B1206" s="948">
        <v>973.0</v>
      </c>
      <c r="C1206" s="950" t="s">
        <v>4271</v>
      </c>
      <c r="D1206" s="950" t="s">
        <v>4271</v>
      </c>
      <c r="E1206" s="952" t="s">
        <v>4271</v>
      </c>
      <c r="F1206" s="940"/>
      <c r="G1206" s="953"/>
      <c r="H1206" s="969"/>
      <c r="I1206" s="956" t="s">
        <v>677</v>
      </c>
      <c r="J1206" s="1195" t="s">
        <v>193</v>
      </c>
      <c r="K1206" s="1235" t="s">
        <v>216</v>
      </c>
      <c r="L1206" s="959">
        <v>80.0</v>
      </c>
      <c r="M1206" s="960">
        <v>120.0</v>
      </c>
      <c r="N1206" s="960">
        <v>90.0</v>
      </c>
      <c r="O1206" s="960">
        <v>60.0</v>
      </c>
      <c r="P1206" s="960">
        <v>70.0</v>
      </c>
      <c r="Q1206" s="960">
        <v>85.0</v>
      </c>
      <c r="R1206" s="960">
        <v>206.0</v>
      </c>
      <c r="S1206" s="960">
        <v>269.0</v>
      </c>
      <c r="T1206" s="960">
        <v>295.0</v>
      </c>
      <c r="U1206" s="960">
        <f t="array" ref="U1206">HLOOKUP($J1206,'Type Chart'!$C$2:$T$20,2,false)*HLOOKUP($K1206,'Type Chart'!$C$2:$U$20,2,false)</f>
        <v>1</v>
      </c>
      <c r="V1206" s="960">
        <f t="array" ref="V1206">HLOOKUP($J1206,'Type Chart'!$C$2:$T$20,3,false)*HLOOKUP($K1206,'Type Chart'!$C$2:$U$20,3,false)</f>
        <v>2</v>
      </c>
      <c r="W1206" s="960">
        <f t="array" ref="W1206">HLOOKUP($J1206,'Type Chart'!$C$2:$T$20,4,false)*HLOOKUP($K1206,'Type Chart'!$C$2:$U$20,4,false)</f>
        <v>1</v>
      </c>
      <c r="X1206" s="960">
        <f t="array" ref="X1206">HLOOKUP($J1206,'Type Chart'!$C$2:$T$20,5,false)*HLOOKUP($K1206,'Type Chart'!$C$2:$U$20,5,false)</f>
        <v>1</v>
      </c>
      <c r="Y1206" s="960">
        <f t="array" ref="Y1206">HLOOKUP($J1206,'Type Chart'!$C$2:$T$20,6,false)*HLOOKUP($K1206,'Type Chart'!$C$2:$U$20,6,false)</f>
        <v>1</v>
      </c>
      <c r="Z1206" s="960">
        <f t="array" ref="Z1206">HLOOKUP($J1206,'Type Chart'!$C$2:$T$20,7,false)*HLOOKUP($K1206,'Type Chart'!$C$2:$U$20,7,false)</f>
        <v>1</v>
      </c>
      <c r="AA1206" s="960">
        <f t="array" ref="AA1206">HLOOKUP($J1206,'Type Chart'!$C$2:$T$20,8,false)*HLOOKUP($K1206,'Type Chart'!$C$2:$U$20,8,false)</f>
        <v>2</v>
      </c>
      <c r="AB1206" s="960">
        <f t="array" ref="AB1206">HLOOKUP($J1206,'Type Chart'!$C$2:$T$20,9,false)*HLOOKUP($K1206,'Type Chart'!$C$2:$U$20,9,false)</f>
        <v>0.5</v>
      </c>
      <c r="AC1206" s="960">
        <f t="array" ref="AC1206">HLOOKUP($J1206,'Type Chart'!$C$2:$T$20,10,false)*HLOOKUP($K1206,'Type Chart'!$C$2:$U$20,10,false)</f>
        <v>1</v>
      </c>
      <c r="AD1206" s="960">
        <f t="array" ref="AD1206">HLOOKUP($J1206,'Type Chart'!$C$2:$T$20,11,false)*HLOOKUP($K1206,'Type Chart'!$C$2:$U$20,11,false)</f>
        <v>1</v>
      </c>
      <c r="AE1206" s="960">
        <f t="array" ref="AE1206">HLOOKUP($J1206,'Type Chart'!$C$2:$T$20,12,false)*HLOOKUP($K1206,'Type Chart'!$C$2:$U$20,12,false)</f>
        <v>1</v>
      </c>
      <c r="AF1206" s="960">
        <f t="array" ref="AF1206">HLOOKUP($J1206,'Type Chart'!$C$2:$T$20,13,false)*HLOOKUP($K1206,'Type Chart'!$C$2:$U$20,13,false)</f>
        <v>1</v>
      </c>
      <c r="AG1206" s="960">
        <f t="array" ref="AG1206">HLOOKUP($J1206,'Type Chart'!$C$2:$T$20,14,false)*HLOOKUP($K1206,'Type Chart'!$C$2:$U$20,14,false)</f>
        <v>1</v>
      </c>
      <c r="AH1206" s="960">
        <f t="array" ref="AH1206">HLOOKUP($J1206,'Type Chart'!$C$2:$T$20,15,false)*HLOOKUP($K1206,'Type Chart'!$C$2:$U$20,15,false)</f>
        <v>0</v>
      </c>
      <c r="AI1206" s="960">
        <f t="array" ref="AI1206">HLOOKUP($J1206,'Type Chart'!$C$2:$T$20,16,false)*HLOOKUP($K1206,'Type Chart'!$C$2:$U$20,16,false)</f>
        <v>1</v>
      </c>
      <c r="AJ1206" s="960">
        <f t="array" ref="AJ1206">HLOOKUP($J1206,'Type Chart'!$C$2:$T$20,17,false)*HLOOKUP($K1206,'Type Chart'!$C$2:$U$20,17,false)</f>
        <v>1</v>
      </c>
      <c r="AK1206" s="960">
        <f t="array" ref="AK1206">HLOOKUP($J1206,'Type Chart'!$C$2:$T$20,18,false)*HLOOKUP($K1206,'Type Chart'!$C$2:$U$20,18,false)</f>
        <v>0.5</v>
      </c>
      <c r="AL1206" s="960">
        <f t="array" ref="AL1206">HLOOKUP($J1206,'Type Chart'!$C$2:$T$20,19,false)*HLOOKUP($K1206,'Type Chart'!$C$2:$U$20,19,false)</f>
        <v>2</v>
      </c>
      <c r="AM1206" s="964" t="s">
        <v>1061</v>
      </c>
      <c r="AN1206" s="964" t="s">
        <v>4272</v>
      </c>
      <c r="AO1206" s="966" t="s">
        <v>3548</v>
      </c>
      <c r="AP1206" s="936"/>
      <c r="AQ1206" s="967"/>
      <c r="AR1206" s="968"/>
      <c r="AS1206" s="936"/>
    </row>
    <row r="1207" ht="15.75" customHeight="1">
      <c r="A1207" s="936"/>
      <c r="B1207" s="948">
        <v>974.0</v>
      </c>
      <c r="C1207" s="950" t="s">
        <v>4273</v>
      </c>
      <c r="D1207" s="950" t="s">
        <v>4273</v>
      </c>
      <c r="E1207" s="952" t="s">
        <v>4273</v>
      </c>
      <c r="F1207" s="940"/>
      <c r="G1207" s="953"/>
      <c r="H1207" s="969"/>
      <c r="I1207" s="998" t="s">
        <v>4274</v>
      </c>
      <c r="J1207" s="957" t="s">
        <v>209</v>
      </c>
      <c r="K1207" s="1220" t="s">
        <v>215</v>
      </c>
      <c r="L1207" s="959">
        <v>40.0</v>
      </c>
      <c r="M1207" s="960">
        <v>65.0</v>
      </c>
      <c r="N1207" s="960">
        <v>30.0</v>
      </c>
      <c r="O1207" s="960">
        <v>45.0</v>
      </c>
      <c r="P1207" s="960">
        <v>35.0</v>
      </c>
      <c r="Q1207" s="960">
        <v>60.0</v>
      </c>
      <c r="R1207" s="960">
        <v>156.0</v>
      </c>
      <c r="S1207" s="960">
        <v>219.0</v>
      </c>
      <c r="T1207" s="960">
        <v>240.0</v>
      </c>
      <c r="U1207" s="960">
        <f t="array" ref="U1207">HLOOKUP($J1207,'Type Chart'!$C$2:$T$20,2,false)*HLOOKUP($K1207,'Type Chart'!$C$2:$U$20,2,false)</f>
        <v>0</v>
      </c>
      <c r="V1207" s="960">
        <f t="array" ref="V1207">HLOOKUP($J1207,'Type Chart'!$C$2:$T$20,3,false)*HLOOKUP($K1207,'Type Chart'!$C$2:$U$20,3,false)</f>
        <v>0</v>
      </c>
      <c r="W1207" s="960">
        <f t="array" ref="W1207">HLOOKUP($J1207,'Type Chart'!$C$2:$T$20,4,false)*HLOOKUP($K1207,'Type Chart'!$C$2:$U$20,4,false)</f>
        <v>2</v>
      </c>
      <c r="X1207" s="960">
        <f t="array" ref="X1207">HLOOKUP($J1207,'Type Chart'!$C$2:$T$20,5,false)*HLOOKUP($K1207,'Type Chart'!$C$2:$U$20,5,false)</f>
        <v>1</v>
      </c>
      <c r="Y1207" s="960">
        <f t="array" ref="Y1207">HLOOKUP($J1207,'Type Chart'!$C$2:$T$20,6,false)*HLOOKUP($K1207,'Type Chart'!$C$2:$U$20,6,false)</f>
        <v>0.5</v>
      </c>
      <c r="Z1207" s="960">
        <f t="array" ref="Z1207">HLOOKUP($J1207,'Type Chart'!$C$2:$T$20,7,false)*HLOOKUP($K1207,'Type Chart'!$C$2:$U$20,7,false)</f>
        <v>1</v>
      </c>
      <c r="AA1207" s="960">
        <f t="array" ref="AA1207">HLOOKUP($J1207,'Type Chart'!$C$2:$T$20,8,false)*HLOOKUP($K1207,'Type Chart'!$C$2:$U$20,8,false)</f>
        <v>1</v>
      </c>
      <c r="AB1207" s="960">
        <f t="array" ref="AB1207">HLOOKUP($J1207,'Type Chart'!$C$2:$T$20,9,false)*HLOOKUP($K1207,'Type Chart'!$C$2:$U$20,9,false)</f>
        <v>2</v>
      </c>
      <c r="AC1207" s="960">
        <f t="array" ref="AC1207">HLOOKUP($J1207,'Type Chart'!$C$2:$T$20,10,false)*HLOOKUP($K1207,'Type Chart'!$C$2:$U$20,10,false)</f>
        <v>1</v>
      </c>
      <c r="AD1207" s="960">
        <f t="array" ref="AD1207">HLOOKUP($J1207,'Type Chart'!$C$2:$T$20,11,false)*HLOOKUP($K1207,'Type Chart'!$C$2:$U$20,11,false)</f>
        <v>2</v>
      </c>
      <c r="AE1207" s="960">
        <f t="array" ref="AE1207">HLOOKUP($J1207,'Type Chart'!$C$2:$T$20,12,false)*HLOOKUP($K1207,'Type Chart'!$C$2:$U$20,12,false)</f>
        <v>0.5</v>
      </c>
      <c r="AF1207" s="960">
        <f t="array" ref="AF1207">HLOOKUP($J1207,'Type Chart'!$C$2:$T$20,13,false)*HLOOKUP($K1207,'Type Chart'!$C$2:$U$20,13,false)</f>
        <v>0.5</v>
      </c>
      <c r="AG1207" s="960">
        <f t="array" ref="AG1207">HLOOKUP($J1207,'Type Chart'!$C$2:$T$20,14,false)*HLOOKUP($K1207,'Type Chart'!$C$2:$U$20,14,false)</f>
        <v>0.5</v>
      </c>
      <c r="AH1207" s="960">
        <f t="array" ref="AH1207">HLOOKUP($J1207,'Type Chart'!$C$2:$T$20,15,false)*HLOOKUP($K1207,'Type Chart'!$C$2:$U$20,15,false)</f>
        <v>1</v>
      </c>
      <c r="AI1207" s="960">
        <f t="array" ref="AI1207">HLOOKUP($J1207,'Type Chart'!$C$2:$T$20,16,false)*HLOOKUP($K1207,'Type Chart'!$C$2:$U$20,16,false)</f>
        <v>2</v>
      </c>
      <c r="AJ1207" s="960">
        <f t="array" ref="AJ1207">HLOOKUP($J1207,'Type Chart'!$C$2:$T$20,17,false)*HLOOKUP($K1207,'Type Chart'!$C$2:$U$20,17,false)</f>
        <v>1</v>
      </c>
      <c r="AK1207" s="960">
        <f t="array" ref="AK1207">HLOOKUP($J1207,'Type Chart'!$C$2:$T$20,18,false)*HLOOKUP($K1207,'Type Chart'!$C$2:$U$20,18,false)</f>
        <v>2</v>
      </c>
      <c r="AL1207" s="960">
        <f t="array" ref="AL1207">HLOOKUP($J1207,'Type Chart'!$C$2:$T$20,19,false)*HLOOKUP($K1207,'Type Chart'!$C$2:$U$20,19,false)</f>
        <v>1</v>
      </c>
      <c r="AM1207" s="964" t="s">
        <v>4275</v>
      </c>
      <c r="AN1207" s="964"/>
      <c r="AO1207" s="966" t="s">
        <v>1193</v>
      </c>
      <c r="AP1207" s="936"/>
      <c r="AQ1207" s="967"/>
      <c r="AR1207" s="968"/>
      <c r="AS1207" s="936"/>
    </row>
    <row r="1208" ht="15.75" customHeight="1">
      <c r="A1208" s="936"/>
      <c r="B1208" s="948">
        <v>975.0</v>
      </c>
      <c r="C1208" s="950" t="s">
        <v>4276</v>
      </c>
      <c r="D1208" s="950" t="s">
        <v>4276</v>
      </c>
      <c r="E1208" s="952" t="s">
        <v>4276</v>
      </c>
      <c r="F1208" s="940"/>
      <c r="G1208" s="953"/>
      <c r="H1208" s="969"/>
      <c r="I1208" s="998" t="s">
        <v>616</v>
      </c>
      <c r="J1208" s="957" t="s">
        <v>209</v>
      </c>
      <c r="K1208" s="1220" t="s">
        <v>215</v>
      </c>
      <c r="L1208" s="959">
        <v>55.0</v>
      </c>
      <c r="M1208" s="960">
        <v>115.0</v>
      </c>
      <c r="N1208" s="960">
        <v>70.0</v>
      </c>
      <c r="O1208" s="960">
        <v>80.0</v>
      </c>
      <c r="P1208" s="960">
        <v>70.0</v>
      </c>
      <c r="Q1208" s="960">
        <v>90.0</v>
      </c>
      <c r="R1208" s="960">
        <v>216.0</v>
      </c>
      <c r="S1208" s="960">
        <v>279.0</v>
      </c>
      <c r="T1208" s="960">
        <v>306.0</v>
      </c>
      <c r="U1208" s="960">
        <f t="array" ref="U1208">HLOOKUP($J1208,'Type Chart'!$C$2:$T$20,2,false)*HLOOKUP($K1208,'Type Chart'!$C$2:$U$20,2,false)</f>
        <v>0</v>
      </c>
      <c r="V1208" s="960">
        <f t="array" ref="V1208">HLOOKUP($J1208,'Type Chart'!$C$2:$T$20,3,false)*HLOOKUP($K1208,'Type Chart'!$C$2:$U$20,3,false)</f>
        <v>0</v>
      </c>
      <c r="W1208" s="960">
        <f t="array" ref="W1208">HLOOKUP($J1208,'Type Chart'!$C$2:$T$20,4,false)*HLOOKUP($K1208,'Type Chart'!$C$2:$U$20,4,false)</f>
        <v>2</v>
      </c>
      <c r="X1208" s="960">
        <f t="array" ref="X1208">HLOOKUP($J1208,'Type Chart'!$C$2:$T$20,5,false)*HLOOKUP($K1208,'Type Chart'!$C$2:$U$20,5,false)</f>
        <v>1</v>
      </c>
      <c r="Y1208" s="960">
        <f t="array" ref="Y1208">HLOOKUP($J1208,'Type Chart'!$C$2:$T$20,6,false)*HLOOKUP($K1208,'Type Chart'!$C$2:$U$20,6,false)</f>
        <v>0.5</v>
      </c>
      <c r="Z1208" s="960">
        <f t="array" ref="Z1208">HLOOKUP($J1208,'Type Chart'!$C$2:$T$20,7,false)*HLOOKUP($K1208,'Type Chart'!$C$2:$U$20,7,false)</f>
        <v>1</v>
      </c>
      <c r="AA1208" s="960">
        <f t="array" ref="AA1208">HLOOKUP($J1208,'Type Chart'!$C$2:$T$20,8,false)*HLOOKUP($K1208,'Type Chart'!$C$2:$U$20,8,false)</f>
        <v>1</v>
      </c>
      <c r="AB1208" s="960">
        <f t="array" ref="AB1208">HLOOKUP($J1208,'Type Chart'!$C$2:$T$20,9,false)*HLOOKUP($K1208,'Type Chart'!$C$2:$U$20,9,false)</f>
        <v>2</v>
      </c>
      <c r="AC1208" s="960">
        <f t="array" ref="AC1208">HLOOKUP($J1208,'Type Chart'!$C$2:$T$20,10,false)*HLOOKUP($K1208,'Type Chart'!$C$2:$U$20,10,false)</f>
        <v>1</v>
      </c>
      <c r="AD1208" s="960">
        <f t="array" ref="AD1208">HLOOKUP($J1208,'Type Chart'!$C$2:$T$20,11,false)*HLOOKUP($K1208,'Type Chart'!$C$2:$U$20,11,false)</f>
        <v>2</v>
      </c>
      <c r="AE1208" s="960">
        <f t="array" ref="AE1208">HLOOKUP($J1208,'Type Chart'!$C$2:$T$20,12,false)*HLOOKUP($K1208,'Type Chart'!$C$2:$U$20,12,false)</f>
        <v>0.5</v>
      </c>
      <c r="AF1208" s="960">
        <f t="array" ref="AF1208">HLOOKUP($J1208,'Type Chart'!$C$2:$T$20,13,false)*HLOOKUP($K1208,'Type Chart'!$C$2:$U$20,13,false)</f>
        <v>0.5</v>
      </c>
      <c r="AG1208" s="960">
        <f t="array" ref="AG1208">HLOOKUP($J1208,'Type Chart'!$C$2:$T$20,14,false)*HLOOKUP($K1208,'Type Chart'!$C$2:$U$20,14,false)</f>
        <v>0.5</v>
      </c>
      <c r="AH1208" s="960">
        <f t="array" ref="AH1208">HLOOKUP($J1208,'Type Chart'!$C$2:$T$20,15,false)*HLOOKUP($K1208,'Type Chart'!$C$2:$U$20,15,false)</f>
        <v>1</v>
      </c>
      <c r="AI1208" s="960">
        <f t="array" ref="AI1208">HLOOKUP($J1208,'Type Chart'!$C$2:$T$20,16,false)*HLOOKUP($K1208,'Type Chart'!$C$2:$U$20,16,false)</f>
        <v>2</v>
      </c>
      <c r="AJ1208" s="960">
        <f t="array" ref="AJ1208">HLOOKUP($J1208,'Type Chart'!$C$2:$T$20,17,false)*HLOOKUP($K1208,'Type Chart'!$C$2:$U$20,17,false)</f>
        <v>1</v>
      </c>
      <c r="AK1208" s="960">
        <f t="array" ref="AK1208">HLOOKUP($J1208,'Type Chart'!$C$2:$T$20,18,false)*HLOOKUP($K1208,'Type Chart'!$C$2:$U$20,18,false)</f>
        <v>2</v>
      </c>
      <c r="AL1208" s="960">
        <f t="array" ref="AL1208">HLOOKUP($J1208,'Type Chart'!$C$2:$T$20,19,false)*HLOOKUP($K1208,'Type Chart'!$C$2:$U$20,19,false)</f>
        <v>1</v>
      </c>
      <c r="AM1208" s="964" t="s">
        <v>4275</v>
      </c>
      <c r="AN1208" s="964"/>
      <c r="AO1208" s="966" t="s">
        <v>1193</v>
      </c>
      <c r="AP1208" s="936"/>
      <c r="AQ1208" s="967"/>
      <c r="AR1208" s="968"/>
      <c r="AS1208" s="936"/>
    </row>
    <row r="1209" ht="15.75" customHeight="1">
      <c r="A1209" s="936"/>
      <c r="B1209" s="948">
        <v>976.0</v>
      </c>
      <c r="C1209" s="950" t="s">
        <v>4277</v>
      </c>
      <c r="D1209" s="950" t="s">
        <v>4277</v>
      </c>
      <c r="E1209" s="952" t="s">
        <v>4277</v>
      </c>
      <c r="F1209" s="940"/>
      <c r="G1209" s="953"/>
      <c r="H1209" s="969"/>
      <c r="I1209" s="998" t="s">
        <v>4278</v>
      </c>
      <c r="J1209" s="1220" t="s">
        <v>215</v>
      </c>
      <c r="K1209" s="1235" t="s">
        <v>216</v>
      </c>
      <c r="L1209" s="959">
        <v>45.0</v>
      </c>
      <c r="M1209" s="960">
        <v>30.0</v>
      </c>
      <c r="N1209" s="960">
        <v>70.0</v>
      </c>
      <c r="O1209" s="960">
        <v>75.0</v>
      </c>
      <c r="P1209" s="960">
        <v>70.0</v>
      </c>
      <c r="Q1209" s="960">
        <v>10.0</v>
      </c>
      <c r="R1209" s="960">
        <v>56.0</v>
      </c>
      <c r="S1209" s="960">
        <v>119.0</v>
      </c>
      <c r="T1209" s="960">
        <v>130.0</v>
      </c>
      <c r="U1209" s="960">
        <f t="array" ref="U1209">HLOOKUP($J1209,'Type Chart'!$C$2:$T$20,2,false)*HLOOKUP($K1209,'Type Chart'!$C$2:$U$20,2,false)</f>
        <v>0</v>
      </c>
      <c r="V1209" s="960">
        <f t="array" ref="V1209">HLOOKUP($J1209,'Type Chart'!$C$2:$T$20,3,false)*HLOOKUP($K1209,'Type Chart'!$C$2:$U$20,3,false)</f>
        <v>0</v>
      </c>
      <c r="W1209" s="960">
        <f t="array" ref="W1209">HLOOKUP($J1209,'Type Chart'!$C$2:$T$20,4,false)*HLOOKUP($K1209,'Type Chart'!$C$2:$U$20,4,false)</f>
        <v>1</v>
      </c>
      <c r="X1209" s="960">
        <f t="array" ref="X1209">HLOOKUP($J1209,'Type Chart'!$C$2:$T$20,5,false)*HLOOKUP($K1209,'Type Chart'!$C$2:$U$20,5,false)</f>
        <v>0.5</v>
      </c>
      <c r="Y1209" s="960">
        <f t="array" ref="Y1209">HLOOKUP($J1209,'Type Chart'!$C$2:$T$20,6,false)*HLOOKUP($K1209,'Type Chart'!$C$2:$U$20,6,false)</f>
        <v>1</v>
      </c>
      <c r="Z1209" s="960">
        <f t="array" ref="Z1209">HLOOKUP($J1209,'Type Chart'!$C$2:$T$20,7,false)*HLOOKUP($K1209,'Type Chart'!$C$2:$U$20,7,false)</f>
        <v>1</v>
      </c>
      <c r="AA1209" s="960">
        <f t="array" ref="AA1209">HLOOKUP($J1209,'Type Chart'!$C$2:$T$20,8,false)*HLOOKUP($K1209,'Type Chart'!$C$2:$U$20,8,false)</f>
        <v>0.5</v>
      </c>
      <c r="AB1209" s="960">
        <f t="array" ref="AB1209">HLOOKUP($J1209,'Type Chart'!$C$2:$T$20,9,false)*HLOOKUP($K1209,'Type Chart'!$C$2:$U$20,9,false)</f>
        <v>2</v>
      </c>
      <c r="AC1209" s="960">
        <f t="array" ref="AC1209">HLOOKUP($J1209,'Type Chart'!$C$2:$T$20,10,false)*HLOOKUP($K1209,'Type Chart'!$C$2:$U$20,10,false)</f>
        <v>1</v>
      </c>
      <c r="AD1209" s="960">
        <f t="array" ref="AD1209">HLOOKUP($J1209,'Type Chart'!$C$2:$T$20,11,false)*HLOOKUP($K1209,'Type Chart'!$C$2:$U$20,11,false)</f>
        <v>1</v>
      </c>
      <c r="AE1209" s="960">
        <f t="array" ref="AE1209">HLOOKUP($J1209,'Type Chart'!$C$2:$T$20,12,false)*HLOOKUP($K1209,'Type Chart'!$C$2:$U$20,12,false)</f>
        <v>1</v>
      </c>
      <c r="AF1209" s="960">
        <f t="array" ref="AF1209">HLOOKUP($J1209,'Type Chart'!$C$2:$T$20,13,false)*HLOOKUP($K1209,'Type Chart'!$C$2:$U$20,13,false)</f>
        <v>1</v>
      </c>
      <c r="AG1209" s="960">
        <f t="array" ref="AG1209">HLOOKUP($J1209,'Type Chart'!$C$2:$T$20,14,false)*HLOOKUP($K1209,'Type Chart'!$C$2:$U$20,14,false)</f>
        <v>1</v>
      </c>
      <c r="AH1209" s="960">
        <f t="array" ref="AH1209">HLOOKUP($J1209,'Type Chart'!$C$2:$T$20,15,false)*HLOOKUP($K1209,'Type Chart'!$C$2:$U$20,15,false)</f>
        <v>1</v>
      </c>
      <c r="AI1209" s="960">
        <f t="array" ref="AI1209">HLOOKUP($J1209,'Type Chart'!$C$2:$T$20,16,false)*HLOOKUP($K1209,'Type Chart'!$C$2:$U$20,16,false)</f>
        <v>1</v>
      </c>
      <c r="AJ1209" s="960">
        <f t="array" ref="AJ1209">HLOOKUP($J1209,'Type Chart'!$C$2:$T$20,17,false)*HLOOKUP($K1209,'Type Chart'!$C$2:$U$20,17,false)</f>
        <v>1</v>
      </c>
      <c r="AK1209" s="960">
        <f t="array" ref="AK1209">HLOOKUP($J1209,'Type Chart'!$C$2:$T$20,18,false)*HLOOKUP($K1209,'Type Chart'!$C$2:$U$20,18,false)</f>
        <v>2</v>
      </c>
      <c r="AL1209" s="960">
        <f t="array" ref="AL1209">HLOOKUP($J1209,'Type Chart'!$C$2:$T$20,19,false)*HLOOKUP($K1209,'Type Chart'!$C$2:$U$20,19,false)</f>
        <v>1</v>
      </c>
      <c r="AM1209" s="964" t="s">
        <v>1243</v>
      </c>
      <c r="AN1209" s="965"/>
      <c r="AO1209" s="966"/>
      <c r="AP1209" s="936"/>
      <c r="AQ1209" s="967"/>
      <c r="AR1209" s="968"/>
      <c r="AS1209" s="936"/>
    </row>
    <row r="1210" ht="15.75" customHeight="1">
      <c r="A1210" s="1099"/>
      <c r="B1210" s="948">
        <v>977.0</v>
      </c>
      <c r="C1210" s="1197" t="s">
        <v>4279</v>
      </c>
      <c r="D1210" s="1197" t="s">
        <v>4279</v>
      </c>
      <c r="E1210" s="1147" t="s">
        <v>4279</v>
      </c>
      <c r="F1210" s="940"/>
      <c r="G1210" s="953"/>
      <c r="H1210" s="969"/>
      <c r="I1210" s="998" t="s">
        <v>394</v>
      </c>
      <c r="J1210" s="1221" t="s">
        <v>215</v>
      </c>
      <c r="K1210" s="1233" t="s">
        <v>82</v>
      </c>
      <c r="L1210" s="1200">
        <v>87.0</v>
      </c>
      <c r="M1210" s="1201">
        <v>60.0</v>
      </c>
      <c r="N1210" s="1201">
        <v>95.0</v>
      </c>
      <c r="O1210" s="1201">
        <v>133.0</v>
      </c>
      <c r="P1210" s="1201">
        <v>91.0</v>
      </c>
      <c r="Q1210" s="1201">
        <v>84.0</v>
      </c>
      <c r="R1210" s="960">
        <v>204.0</v>
      </c>
      <c r="S1210" s="960">
        <v>267.0</v>
      </c>
      <c r="T1210" s="960">
        <v>293.0</v>
      </c>
      <c r="U1210" s="960">
        <f t="array" ref="U1210">HLOOKUP($J1210,'Type Chart'!$C$2:$T$20,2,false)*HLOOKUP($K1210,'Type Chart'!$C$2:$U$20,2,false)</f>
        <v>0</v>
      </c>
      <c r="V1210" s="960">
        <f t="array" ref="V1210">HLOOKUP($J1210,'Type Chart'!$C$2:$T$20,3,false)*HLOOKUP($K1210,'Type Chart'!$C$2:$U$20,3,false)</f>
        <v>0</v>
      </c>
      <c r="W1210" s="960">
        <f t="array" ref="W1210">HLOOKUP($J1210,'Type Chart'!$C$2:$T$20,4,false)*HLOOKUP($K1210,'Type Chart'!$C$2:$U$20,4,false)</f>
        <v>0.5</v>
      </c>
      <c r="X1210" s="960">
        <f t="array" ref="X1210">HLOOKUP($J1210,'Type Chart'!$C$2:$T$20,5,false)*HLOOKUP($K1210,'Type Chart'!$C$2:$U$20,5,false)</f>
        <v>0</v>
      </c>
      <c r="Y1210" s="960">
        <f t="array" ref="Y1210">HLOOKUP($J1210,'Type Chart'!$C$2:$T$20,6,false)*HLOOKUP($K1210,'Type Chart'!$C$2:$U$20,6,false)</f>
        <v>2</v>
      </c>
      <c r="Z1210" s="960">
        <f t="array" ref="Z1210">HLOOKUP($J1210,'Type Chart'!$C$2:$T$20,7,false)*HLOOKUP($K1210,'Type Chart'!$C$2:$U$20,7,false)</f>
        <v>0.5</v>
      </c>
      <c r="AA1210" s="960">
        <f t="array" ref="AA1210">HLOOKUP($J1210,'Type Chart'!$C$2:$T$20,8,false)*HLOOKUP($K1210,'Type Chart'!$C$2:$U$20,8,false)</f>
        <v>0.25</v>
      </c>
      <c r="AB1210" s="960">
        <f t="array" ref="AB1210">HLOOKUP($J1210,'Type Chart'!$C$2:$T$20,9,false)*HLOOKUP($K1210,'Type Chart'!$C$2:$U$20,9,false)</f>
        <v>2</v>
      </c>
      <c r="AC1210" s="960">
        <f t="array" ref="AC1210">HLOOKUP($J1210,'Type Chart'!$C$2:$T$20,10,false)*HLOOKUP($K1210,'Type Chart'!$C$2:$U$20,10,false)</f>
        <v>0.5</v>
      </c>
      <c r="AD1210" s="960">
        <f t="array" ref="AD1210">HLOOKUP($J1210,'Type Chart'!$C$2:$T$20,11,false)*HLOOKUP($K1210,'Type Chart'!$C$2:$U$20,11,false)</f>
        <v>2</v>
      </c>
      <c r="AE1210" s="960">
        <f t="array" ref="AE1210">HLOOKUP($J1210,'Type Chart'!$C$2:$T$20,12,false)*HLOOKUP($K1210,'Type Chart'!$C$2:$U$20,12,false)</f>
        <v>1</v>
      </c>
      <c r="AF1210" s="960">
        <f t="array" ref="AF1210">HLOOKUP($J1210,'Type Chart'!$C$2:$T$20,13,false)*HLOOKUP($K1210,'Type Chart'!$C$2:$U$20,13,false)</f>
        <v>0.5</v>
      </c>
      <c r="AG1210" s="960">
        <f t="array" ref="AG1210">HLOOKUP($J1210,'Type Chart'!$C$2:$T$20,14,false)*HLOOKUP($K1210,'Type Chart'!$C$2:$U$20,14,false)</f>
        <v>1</v>
      </c>
      <c r="AH1210" s="960">
        <f t="array" ref="AH1210">HLOOKUP($J1210,'Type Chart'!$C$2:$T$20,15,false)*HLOOKUP($K1210,'Type Chart'!$C$2:$U$20,15,false)</f>
        <v>0.5</v>
      </c>
      <c r="AI1210" s="960">
        <f t="array" ref="AI1210">HLOOKUP($J1210,'Type Chart'!$C$2:$T$20,16,false)*HLOOKUP($K1210,'Type Chart'!$C$2:$U$20,16,false)</f>
        <v>0.5</v>
      </c>
      <c r="AJ1210" s="960">
        <f t="array" ref="AJ1210">HLOOKUP($J1210,'Type Chart'!$C$2:$T$20,17,false)*HLOOKUP($K1210,'Type Chart'!$C$2:$U$20,17,false)</f>
        <v>0.5</v>
      </c>
      <c r="AK1210" s="960">
        <f t="array" ref="AK1210">HLOOKUP($J1210,'Type Chart'!$C$2:$T$20,18,false)*HLOOKUP($K1210,'Type Chart'!$C$2:$U$20,18,false)</f>
        <v>2</v>
      </c>
      <c r="AL1210" s="960">
        <f t="array" ref="AL1210">HLOOKUP($J1210,'Type Chart'!$C$2:$T$20,19,false)*HLOOKUP($K1210,'Type Chart'!$C$2:$U$20,19,false)</f>
        <v>0.5</v>
      </c>
      <c r="AM1210" s="1145" t="s">
        <v>4280</v>
      </c>
      <c r="AN1210" s="1202"/>
      <c r="AO1210" s="1146"/>
      <c r="AP1210" s="936"/>
      <c r="AQ1210" s="967"/>
      <c r="AR1210" s="968"/>
      <c r="AS1210" s="936"/>
    </row>
    <row r="1211" ht="15.75" customHeight="1">
      <c r="A1211" s="936"/>
      <c r="B1211" s="948">
        <v>978.0</v>
      </c>
      <c r="C1211" s="950" t="s">
        <v>4281</v>
      </c>
      <c r="D1211" s="950" t="s">
        <v>4282</v>
      </c>
      <c r="E1211" s="952" t="s">
        <v>4281</v>
      </c>
      <c r="F1211" s="940"/>
      <c r="G1211" s="953"/>
      <c r="H1211" s="969"/>
      <c r="I1211" s="956" t="s">
        <v>137</v>
      </c>
      <c r="J1211" s="1204" t="s">
        <v>80</v>
      </c>
      <c r="K1211" s="1213" t="s">
        <v>341</v>
      </c>
      <c r="L1211" s="959">
        <v>115.0</v>
      </c>
      <c r="M1211" s="960">
        <v>131.0</v>
      </c>
      <c r="N1211" s="960">
        <v>131.0</v>
      </c>
      <c r="O1211" s="960">
        <v>53.0</v>
      </c>
      <c r="P1211" s="960">
        <v>53.0</v>
      </c>
      <c r="Q1211" s="960">
        <v>87.0</v>
      </c>
      <c r="R1211" s="960">
        <v>210.0</v>
      </c>
      <c r="S1211" s="960">
        <v>273.0</v>
      </c>
      <c r="T1211" s="960">
        <v>300.0</v>
      </c>
      <c r="U1211" s="960">
        <f t="array" ref="U1211">HLOOKUP($J1211,'Type Chart'!$C$2:$T$20,2,false)*HLOOKUP($K1211,'Type Chart'!$C$2:$U$20,2,false)</f>
        <v>1</v>
      </c>
      <c r="V1211" s="960">
        <f t="array" ref="V1211">HLOOKUP($J1211,'Type Chart'!$C$2:$T$20,3,false)*HLOOKUP($K1211,'Type Chart'!$C$2:$U$20,3,false)</f>
        <v>1</v>
      </c>
      <c r="W1211" s="960">
        <f t="array" ref="W1211">HLOOKUP($J1211,'Type Chart'!$C$2:$T$20,4,false)*HLOOKUP($K1211,'Type Chart'!$C$2:$U$20,4,false)</f>
        <v>2</v>
      </c>
      <c r="X1211" s="960">
        <f t="array" ref="X1211">HLOOKUP($J1211,'Type Chart'!$C$2:$T$20,5,false)*HLOOKUP($K1211,'Type Chart'!$C$2:$U$20,5,false)</f>
        <v>0.5</v>
      </c>
      <c r="Y1211" s="960">
        <f t="array" ref="Y1211">HLOOKUP($J1211,'Type Chart'!$C$2:$T$20,6,false)*HLOOKUP($K1211,'Type Chart'!$C$2:$U$20,6,false)</f>
        <v>1</v>
      </c>
      <c r="Z1211" s="960">
        <f t="array" ref="Z1211">HLOOKUP($J1211,'Type Chart'!$C$2:$T$20,7,false)*HLOOKUP($K1211,'Type Chart'!$C$2:$U$20,7,false)</f>
        <v>0.25</v>
      </c>
      <c r="AA1211" s="960">
        <f t="array" ref="AA1211">HLOOKUP($J1211,'Type Chart'!$C$2:$T$20,8,false)*HLOOKUP($K1211,'Type Chart'!$C$2:$U$20,8,false)</f>
        <v>0.5</v>
      </c>
      <c r="AB1211" s="960">
        <f t="array" ref="AB1211">HLOOKUP($J1211,'Type Chart'!$C$2:$T$20,9,false)*HLOOKUP($K1211,'Type Chart'!$C$2:$U$20,9,false)</f>
        <v>1</v>
      </c>
      <c r="AC1211" s="960">
        <f t="array" ref="AC1211">HLOOKUP($J1211,'Type Chart'!$C$2:$T$20,10,false)*HLOOKUP($K1211,'Type Chart'!$C$2:$U$20,10,false)</f>
        <v>1</v>
      </c>
      <c r="AD1211" s="960">
        <f t="array" ref="AD1211">HLOOKUP($J1211,'Type Chart'!$C$2:$T$20,11,false)*HLOOKUP($K1211,'Type Chart'!$C$2:$U$20,11,false)</f>
        <v>1</v>
      </c>
      <c r="AE1211" s="960">
        <f t="array" ref="AE1211">HLOOKUP($J1211,'Type Chart'!$C$2:$T$20,12,false)*HLOOKUP($K1211,'Type Chart'!$C$2:$U$20,12,false)</f>
        <v>2</v>
      </c>
      <c r="AF1211" s="960">
        <f t="array" ref="AF1211">HLOOKUP($J1211,'Type Chart'!$C$2:$T$20,13,false)*HLOOKUP($K1211,'Type Chart'!$C$2:$U$20,13,false)</f>
        <v>2</v>
      </c>
      <c r="AG1211" s="960">
        <f t="array" ref="AG1211">HLOOKUP($J1211,'Type Chart'!$C$2:$T$20,14,false)*HLOOKUP($K1211,'Type Chart'!$C$2:$U$20,14,false)</f>
        <v>0</v>
      </c>
      <c r="AH1211" s="960">
        <f t="array" ref="AH1211">HLOOKUP($J1211,'Type Chart'!$C$2:$T$20,15,false)*HLOOKUP($K1211,'Type Chart'!$C$2:$U$20,15,false)</f>
        <v>2</v>
      </c>
      <c r="AI1211" s="960">
        <f t="array" ref="AI1211">HLOOKUP($J1211,'Type Chart'!$C$2:$T$20,16,false)*HLOOKUP($K1211,'Type Chart'!$C$2:$U$20,16,false)</f>
        <v>2</v>
      </c>
      <c r="AJ1211" s="960">
        <f t="array" ref="AJ1211">HLOOKUP($J1211,'Type Chart'!$C$2:$T$20,17,false)*HLOOKUP($K1211,'Type Chart'!$C$2:$U$20,17,false)</f>
        <v>1</v>
      </c>
      <c r="AK1211" s="960">
        <f t="array" ref="AK1211">HLOOKUP($J1211,'Type Chart'!$C$2:$T$20,18,false)*HLOOKUP($K1211,'Type Chart'!$C$2:$U$20,18,false)</f>
        <v>0.5</v>
      </c>
      <c r="AL1211" s="960">
        <f t="array" ref="AL1211">HLOOKUP($J1211,'Type Chart'!$C$2:$T$20,19,false)*HLOOKUP($K1211,'Type Chart'!$C$2:$U$20,19,false)</f>
        <v>2</v>
      </c>
      <c r="AM1211" s="964" t="s">
        <v>4283</v>
      </c>
      <c r="AN1211" s="965"/>
      <c r="AO1211" s="966"/>
      <c r="AP1211" s="936"/>
      <c r="AQ1211" s="967"/>
      <c r="AR1211" s="968"/>
      <c r="AS1211" s="936"/>
    </row>
    <row r="1212" ht="15.75" customHeight="1">
      <c r="A1212" s="936"/>
      <c r="B1212" s="948">
        <v>979.0</v>
      </c>
      <c r="C1212" s="950" t="s">
        <v>4284</v>
      </c>
      <c r="D1212" s="950" t="s">
        <v>4285</v>
      </c>
      <c r="E1212" s="952" t="s">
        <v>4284</v>
      </c>
      <c r="F1212" s="940"/>
      <c r="G1212" s="953"/>
      <c r="H1212" s="969"/>
      <c r="I1212" s="956" t="s">
        <v>647</v>
      </c>
      <c r="J1212" s="957" t="s">
        <v>209</v>
      </c>
      <c r="K1212" s="1195" t="s">
        <v>193</v>
      </c>
      <c r="L1212" s="959">
        <v>115.0</v>
      </c>
      <c r="M1212" s="960">
        <v>127.0</v>
      </c>
      <c r="N1212" s="960">
        <v>99.0</v>
      </c>
      <c r="O1212" s="960">
        <v>79.0</v>
      </c>
      <c r="P1212" s="960">
        <v>99.0</v>
      </c>
      <c r="Q1212" s="960">
        <v>55.0</v>
      </c>
      <c r="R1212" s="960">
        <v>146.0</v>
      </c>
      <c r="S1212" s="960">
        <v>209.0</v>
      </c>
      <c r="T1212" s="960">
        <v>229.0</v>
      </c>
      <c r="U1212" s="960">
        <f t="array" ref="U1212">HLOOKUP($J1212,'Type Chart'!$C$2:$T$20,2,false)*HLOOKUP($K1212,'Type Chart'!$C$2:$U$20,2,false)</f>
        <v>1</v>
      </c>
      <c r="V1212" s="960">
        <f t="array" ref="V1212">HLOOKUP($J1212,'Type Chart'!$C$2:$T$20,3,false)*HLOOKUP($K1212,'Type Chart'!$C$2:$U$20,3,false)</f>
        <v>2</v>
      </c>
      <c r="W1212" s="960">
        <f t="array" ref="W1212">HLOOKUP($J1212,'Type Chart'!$C$2:$T$20,4,false)*HLOOKUP($K1212,'Type Chart'!$C$2:$U$20,4,false)</f>
        <v>2</v>
      </c>
      <c r="X1212" s="960">
        <f t="array" ref="X1212">HLOOKUP($J1212,'Type Chart'!$C$2:$T$20,5,false)*HLOOKUP($K1212,'Type Chart'!$C$2:$U$20,5,false)</f>
        <v>2</v>
      </c>
      <c r="Y1212" s="960">
        <f t="array" ref="Y1212">HLOOKUP($J1212,'Type Chart'!$C$2:$T$20,6,false)*HLOOKUP($K1212,'Type Chart'!$C$2:$U$20,6,false)</f>
        <v>0.5</v>
      </c>
      <c r="Z1212" s="960">
        <f t="array" ref="Z1212">HLOOKUP($J1212,'Type Chart'!$C$2:$T$20,7,false)*HLOOKUP($K1212,'Type Chart'!$C$2:$U$20,7,false)</f>
        <v>1</v>
      </c>
      <c r="AA1212" s="960">
        <f t="array" ref="AA1212">HLOOKUP($J1212,'Type Chart'!$C$2:$T$20,8,false)*HLOOKUP($K1212,'Type Chart'!$C$2:$U$20,8,false)</f>
        <v>4</v>
      </c>
      <c r="AB1212" s="960">
        <f t="array" ref="AB1212">HLOOKUP($J1212,'Type Chart'!$C$2:$T$20,9,false)*HLOOKUP($K1212,'Type Chart'!$C$2:$U$20,9,false)</f>
        <v>0.5</v>
      </c>
      <c r="AC1212" s="960">
        <f t="array" ref="AC1212">HLOOKUP($J1212,'Type Chart'!$C$2:$T$20,10,false)*HLOOKUP($K1212,'Type Chart'!$C$2:$U$20,10,false)</f>
        <v>1</v>
      </c>
      <c r="AD1212" s="960">
        <f t="array" ref="AD1212">HLOOKUP($J1212,'Type Chart'!$C$2:$T$20,11,false)*HLOOKUP($K1212,'Type Chart'!$C$2:$U$20,11,false)</f>
        <v>2</v>
      </c>
      <c r="AE1212" s="960">
        <f t="array" ref="AE1212">HLOOKUP($J1212,'Type Chart'!$C$2:$T$20,12,false)*HLOOKUP($K1212,'Type Chart'!$C$2:$U$20,12,false)</f>
        <v>0.5</v>
      </c>
      <c r="AF1212" s="960">
        <f t="array" ref="AF1212">HLOOKUP($J1212,'Type Chart'!$C$2:$T$20,13,false)*HLOOKUP($K1212,'Type Chart'!$C$2:$U$20,13,false)</f>
        <v>0.5</v>
      </c>
      <c r="AG1212" s="960">
        <f t="array" ref="AG1212">HLOOKUP($J1212,'Type Chart'!$C$2:$T$20,14,false)*HLOOKUP($K1212,'Type Chart'!$C$2:$U$20,14,false)</f>
        <v>0.5</v>
      </c>
      <c r="AH1212" s="960">
        <f t="array" ref="AH1212">HLOOKUP($J1212,'Type Chart'!$C$2:$T$20,15,false)*HLOOKUP($K1212,'Type Chart'!$C$2:$U$20,15,false)</f>
        <v>0</v>
      </c>
      <c r="AI1212" s="960">
        <f t="array" ref="AI1212">HLOOKUP($J1212,'Type Chart'!$C$2:$T$20,16,false)*HLOOKUP($K1212,'Type Chart'!$C$2:$U$20,16,false)</f>
        <v>2</v>
      </c>
      <c r="AJ1212" s="960">
        <f t="array" ref="AJ1212">HLOOKUP($J1212,'Type Chart'!$C$2:$T$20,17,false)*HLOOKUP($K1212,'Type Chart'!$C$2:$U$20,17,false)</f>
        <v>1</v>
      </c>
      <c r="AK1212" s="960">
        <f t="array" ref="AK1212">HLOOKUP($J1212,'Type Chart'!$C$2:$T$20,18,false)*HLOOKUP($K1212,'Type Chart'!$C$2:$U$20,18,false)</f>
        <v>0.5</v>
      </c>
      <c r="AL1212" s="960">
        <f t="array" ref="AL1212">HLOOKUP($J1212,'Type Chart'!$C$2:$T$20,19,false)*HLOOKUP($K1212,'Type Chart'!$C$2:$U$20,19,false)</f>
        <v>2</v>
      </c>
      <c r="AM1212" s="964" t="s">
        <v>4283</v>
      </c>
      <c r="AN1212" s="965"/>
      <c r="AO1212" s="966"/>
      <c r="AP1212" s="936"/>
      <c r="AQ1212" s="967"/>
      <c r="AR1212" s="968"/>
      <c r="AS1212" s="936"/>
    </row>
    <row r="1213" ht="15.75" customHeight="1">
      <c r="A1213" s="1099"/>
      <c r="B1213" s="948">
        <v>980.0</v>
      </c>
      <c r="C1213" s="1197" t="s">
        <v>4286</v>
      </c>
      <c r="D1213" s="1197" t="s">
        <v>4287</v>
      </c>
      <c r="E1213" s="1147" t="s">
        <v>4286</v>
      </c>
      <c r="F1213" s="940"/>
      <c r="G1213" s="953"/>
      <c r="H1213" s="969"/>
      <c r="I1213" s="998" t="s">
        <v>124</v>
      </c>
      <c r="J1213" s="1235" t="s">
        <v>81</v>
      </c>
      <c r="K1213" s="1006" t="s">
        <v>346</v>
      </c>
      <c r="L1213" s="1237">
        <v>99.0</v>
      </c>
      <c r="M1213" s="1238">
        <v>83.0</v>
      </c>
      <c r="N1213" s="1238">
        <v>91.0</v>
      </c>
      <c r="O1213" s="1238">
        <v>125.0</v>
      </c>
      <c r="P1213" s="1238">
        <v>83.0</v>
      </c>
      <c r="Q1213" s="1238">
        <v>109.0</v>
      </c>
      <c r="R1213" s="960">
        <v>254.0</v>
      </c>
      <c r="S1213" s="960">
        <v>317.0</v>
      </c>
      <c r="T1213" s="960">
        <v>348.0</v>
      </c>
      <c r="U1213" s="960">
        <f t="array" ref="U1213">HLOOKUP($J1213,'Type Chart'!$C$2:$T$20,2,false)*HLOOKUP($K1213,'Type Chart'!$C$2:$U$20,2,false)</f>
        <v>1</v>
      </c>
      <c r="V1213" s="960">
        <f t="array" ref="V1213">HLOOKUP($J1213,'Type Chart'!$C$2:$T$20,3,false)*HLOOKUP($K1213,'Type Chart'!$C$2:$U$20,3,false)</f>
        <v>1</v>
      </c>
      <c r="W1213" s="960">
        <f t="array" ref="W1213">HLOOKUP($J1213,'Type Chart'!$C$2:$T$20,4,false)*HLOOKUP($K1213,'Type Chart'!$C$2:$U$20,4,false)</f>
        <v>1</v>
      </c>
      <c r="X1213" s="960">
        <f t="array" ref="X1213">HLOOKUP($J1213,'Type Chart'!$C$2:$T$20,5,false)*HLOOKUP($K1213,'Type Chart'!$C$2:$U$20,5,false)</f>
        <v>1</v>
      </c>
      <c r="Y1213" s="960">
        <f t="array" ref="Y1213">HLOOKUP($J1213,'Type Chart'!$C$2:$T$20,6,false)*HLOOKUP($K1213,'Type Chart'!$C$2:$U$20,6,false)</f>
        <v>1</v>
      </c>
      <c r="Z1213" s="960">
        <f t="array" ref="Z1213">HLOOKUP($J1213,'Type Chart'!$C$2:$T$20,7,false)*HLOOKUP($K1213,'Type Chart'!$C$2:$U$20,7,false)</f>
        <v>1</v>
      </c>
      <c r="AA1213" s="960">
        <f t="array" ref="AA1213">HLOOKUP($J1213,'Type Chart'!$C$2:$T$20,8,false)*HLOOKUP($K1213,'Type Chart'!$C$2:$U$20,8,false)</f>
        <v>1</v>
      </c>
      <c r="AB1213" s="960">
        <f t="array" ref="AB1213">HLOOKUP($J1213,'Type Chart'!$C$2:$T$20,9,false)*HLOOKUP($K1213,'Type Chart'!$C$2:$U$20,9,false)</f>
        <v>1</v>
      </c>
      <c r="AC1213" s="960">
        <f t="array" ref="AC1213">HLOOKUP($J1213,'Type Chart'!$C$2:$T$20,10,false)*HLOOKUP($K1213,'Type Chart'!$C$2:$U$20,10,false)</f>
        <v>0.5</v>
      </c>
      <c r="AD1213" s="960">
        <f t="array" ref="AD1213">HLOOKUP($J1213,'Type Chart'!$C$2:$T$20,11,false)*HLOOKUP($K1213,'Type Chart'!$C$2:$U$20,11,false)</f>
        <v>0.25</v>
      </c>
      <c r="AE1213" s="960">
        <f t="array" ref="AE1213">HLOOKUP($J1213,'Type Chart'!$C$2:$T$20,12,false)*HLOOKUP($K1213,'Type Chart'!$C$2:$U$20,12,false)</f>
        <v>0.25</v>
      </c>
      <c r="AF1213" s="960">
        <f t="array" ref="AF1213">HLOOKUP($J1213,'Type Chart'!$C$2:$T$20,13,false)*HLOOKUP($K1213,'Type Chart'!$C$2:$U$20,13,false)</f>
        <v>1</v>
      </c>
      <c r="AG1213" s="960">
        <f t="array" ref="AG1213">HLOOKUP($J1213,'Type Chart'!$C$2:$T$20,14,false)*HLOOKUP($K1213,'Type Chart'!$C$2:$U$20,14,false)</f>
        <v>1</v>
      </c>
      <c r="AH1213" s="960">
        <f t="array" ref="AH1213">HLOOKUP($J1213,'Type Chart'!$C$2:$T$20,15,false)*HLOOKUP($K1213,'Type Chart'!$C$2:$U$20,15,false)</f>
        <v>1</v>
      </c>
      <c r="AI1213" s="960">
        <f t="array" ref="AI1213">HLOOKUP($J1213,'Type Chart'!$C$2:$T$20,16,false)*HLOOKUP($K1213,'Type Chart'!$C$2:$U$20,16,false)</f>
        <v>1</v>
      </c>
      <c r="AJ1213" s="960">
        <f t="array" ref="AJ1213">HLOOKUP($J1213,'Type Chart'!$C$2:$T$20,17,false)*HLOOKUP($K1213,'Type Chart'!$C$2:$U$20,17,false)</f>
        <v>2</v>
      </c>
      <c r="AK1213" s="960">
        <f t="array" ref="AK1213">HLOOKUP($J1213,'Type Chart'!$C$2:$T$20,18,false)*HLOOKUP($K1213,'Type Chart'!$C$2:$U$20,18,false)</f>
        <v>1</v>
      </c>
      <c r="AL1213" s="960">
        <f t="array" ref="AL1213">HLOOKUP($J1213,'Type Chart'!$C$2:$T$20,19,false)*HLOOKUP($K1213,'Type Chart'!$C$2:$U$20,19,false)</f>
        <v>2</v>
      </c>
      <c r="AM1213" s="1145"/>
      <c r="AN1213" s="1202"/>
      <c r="AO1213" s="1146"/>
      <c r="AP1213" s="936"/>
      <c r="AQ1213" s="967"/>
      <c r="AR1213" s="968"/>
      <c r="AS1213" s="936"/>
    </row>
    <row r="1214" ht="15.75" customHeight="1">
      <c r="A1214" s="936"/>
      <c r="B1214" s="948">
        <v>981.0</v>
      </c>
      <c r="C1214" s="950" t="s">
        <v>4288</v>
      </c>
      <c r="D1214" s="950" t="s">
        <v>4289</v>
      </c>
      <c r="E1214" s="952" t="s">
        <v>4288</v>
      </c>
      <c r="F1214" s="940"/>
      <c r="G1214" s="953"/>
      <c r="H1214" s="969"/>
      <c r="I1214" s="956" t="s">
        <v>114</v>
      </c>
      <c r="J1214" s="1196" t="s">
        <v>203</v>
      </c>
      <c r="K1214" s="1204" t="s">
        <v>80</v>
      </c>
      <c r="L1214" s="959">
        <v>85.0</v>
      </c>
      <c r="M1214" s="960">
        <v>81.0</v>
      </c>
      <c r="N1214" s="960">
        <v>97.0</v>
      </c>
      <c r="O1214" s="960">
        <v>121.0</v>
      </c>
      <c r="P1214" s="960">
        <v>85.0</v>
      </c>
      <c r="Q1214" s="960">
        <v>101.0</v>
      </c>
      <c r="R1214" s="960">
        <v>238.0</v>
      </c>
      <c r="S1214" s="960">
        <v>301.0</v>
      </c>
      <c r="T1214" s="960">
        <v>331.0</v>
      </c>
      <c r="U1214" s="960">
        <f t="array" ref="U1214">HLOOKUP($J1214,'Type Chart'!$C$2:$T$20,2,false)*HLOOKUP($K1214,'Type Chart'!$C$2:$U$20,2,false)</f>
        <v>1</v>
      </c>
      <c r="V1214" s="960">
        <f t="array" ref="V1214">HLOOKUP($J1214,'Type Chart'!$C$2:$T$20,3,false)*HLOOKUP($K1214,'Type Chart'!$C$2:$U$20,3,false)</f>
        <v>1</v>
      </c>
      <c r="W1214" s="960">
        <f t="array" ref="W1214">HLOOKUP($J1214,'Type Chart'!$C$2:$T$20,4,false)*HLOOKUP($K1214,'Type Chart'!$C$2:$U$20,4,false)</f>
        <v>0.5</v>
      </c>
      <c r="X1214" s="960">
        <f t="array" ref="X1214">HLOOKUP($J1214,'Type Chart'!$C$2:$T$20,5,false)*HLOOKUP($K1214,'Type Chart'!$C$2:$U$20,5,false)</f>
        <v>0.5</v>
      </c>
      <c r="Y1214" s="960">
        <f t="array" ref="Y1214">HLOOKUP($J1214,'Type Chart'!$C$2:$T$20,6,false)*HLOOKUP($K1214,'Type Chart'!$C$2:$U$20,6,false)</f>
        <v>2</v>
      </c>
      <c r="Z1214" s="960">
        <f t="array" ref="Z1214">HLOOKUP($J1214,'Type Chart'!$C$2:$T$20,7,false)*HLOOKUP($K1214,'Type Chart'!$C$2:$U$20,7,false)</f>
        <v>0.5</v>
      </c>
      <c r="AA1214" s="960">
        <f t="array" ref="AA1214">HLOOKUP($J1214,'Type Chart'!$C$2:$T$20,8,false)*HLOOKUP($K1214,'Type Chart'!$C$2:$U$20,8,false)</f>
        <v>1</v>
      </c>
      <c r="AB1214" s="960">
        <f t="array" ref="AB1214">HLOOKUP($J1214,'Type Chart'!$C$2:$T$20,9,false)*HLOOKUP($K1214,'Type Chart'!$C$2:$U$20,9,false)</f>
        <v>1</v>
      </c>
      <c r="AC1214" s="960">
        <f t="array" ref="AC1214">HLOOKUP($J1214,'Type Chart'!$C$2:$T$20,10,false)*HLOOKUP($K1214,'Type Chart'!$C$2:$U$20,10,false)</f>
        <v>0.5</v>
      </c>
      <c r="AD1214" s="960">
        <f t="array" ref="AD1214">HLOOKUP($J1214,'Type Chart'!$C$2:$T$20,11,false)*HLOOKUP($K1214,'Type Chart'!$C$2:$U$20,11,false)</f>
        <v>1</v>
      </c>
      <c r="AE1214" s="960">
        <f t="array" ref="AE1214">HLOOKUP($J1214,'Type Chart'!$C$2:$T$20,12,false)*HLOOKUP($K1214,'Type Chart'!$C$2:$U$20,12,false)</f>
        <v>2</v>
      </c>
      <c r="AF1214" s="960">
        <f t="array" ref="AF1214">HLOOKUP($J1214,'Type Chart'!$C$2:$T$20,13,false)*HLOOKUP($K1214,'Type Chart'!$C$2:$U$20,13,false)</f>
        <v>2</v>
      </c>
      <c r="AG1214" s="960">
        <f t="array" ref="AG1214">HLOOKUP($J1214,'Type Chart'!$C$2:$T$20,14,false)*HLOOKUP($K1214,'Type Chart'!$C$2:$U$20,14,false)</f>
        <v>0</v>
      </c>
      <c r="AH1214" s="960">
        <f t="array" ref="AH1214">HLOOKUP($J1214,'Type Chart'!$C$2:$T$20,15,false)*HLOOKUP($K1214,'Type Chart'!$C$2:$U$20,15,false)</f>
        <v>1</v>
      </c>
      <c r="AI1214" s="960">
        <f t="array" ref="AI1214">HLOOKUP($J1214,'Type Chart'!$C$2:$T$20,16,false)*HLOOKUP($K1214,'Type Chart'!$C$2:$U$20,16,false)</f>
        <v>2</v>
      </c>
      <c r="AJ1214" s="960">
        <f t="array" ref="AJ1214">HLOOKUP($J1214,'Type Chart'!$C$2:$T$20,17,false)*HLOOKUP($K1214,'Type Chart'!$C$2:$U$20,17,false)</f>
        <v>1</v>
      </c>
      <c r="AK1214" s="960">
        <f t="array" ref="AK1214">HLOOKUP($J1214,'Type Chart'!$C$2:$T$20,18,false)*HLOOKUP($K1214,'Type Chart'!$C$2:$U$20,18,false)</f>
        <v>1</v>
      </c>
      <c r="AL1214" s="960">
        <f t="array" ref="AL1214">HLOOKUP($J1214,'Type Chart'!$C$2:$T$20,19,false)*HLOOKUP($K1214,'Type Chart'!$C$2:$U$20,19,false)</f>
        <v>1</v>
      </c>
      <c r="AM1214" s="964" t="s">
        <v>4283</v>
      </c>
      <c r="AN1214" s="965"/>
      <c r="AO1214" s="966"/>
      <c r="AP1214" s="936"/>
      <c r="AQ1214" s="967"/>
      <c r="AR1214" s="968"/>
      <c r="AS1214" s="936"/>
    </row>
    <row r="1215" ht="15.75" customHeight="1">
      <c r="A1215" s="936"/>
      <c r="B1215" s="948">
        <v>982.0</v>
      </c>
      <c r="C1215" s="950" t="s">
        <v>4290</v>
      </c>
      <c r="D1215" s="950" t="s">
        <v>4291</v>
      </c>
      <c r="E1215" s="952" t="s">
        <v>4290</v>
      </c>
      <c r="F1215" s="940"/>
      <c r="G1215" s="953"/>
      <c r="H1215" s="969"/>
      <c r="I1215" s="998" t="s">
        <v>426</v>
      </c>
      <c r="J1215" s="1207" t="s">
        <v>127</v>
      </c>
      <c r="K1215" s="1203" t="s">
        <v>344</v>
      </c>
      <c r="L1215" s="959">
        <v>115.0</v>
      </c>
      <c r="M1215" s="960">
        <v>65.0</v>
      </c>
      <c r="N1215" s="960">
        <v>99.0</v>
      </c>
      <c r="O1215" s="960">
        <v>65.0</v>
      </c>
      <c r="P1215" s="960">
        <v>115.0</v>
      </c>
      <c r="Q1215" s="960">
        <v>111.0</v>
      </c>
      <c r="R1215" s="960">
        <v>258.0</v>
      </c>
      <c r="S1215" s="960">
        <v>321.0</v>
      </c>
      <c r="T1215" s="960">
        <v>353.0</v>
      </c>
      <c r="U1215" s="960">
        <f t="array" ref="U1215">HLOOKUP($J1215,'Type Chart'!$C$2:$T$20,2,false)*HLOOKUP($K1215,'Type Chart'!$C$2:$U$20,2,false)</f>
        <v>1</v>
      </c>
      <c r="V1215" s="960">
        <f t="array" ref="V1215">HLOOKUP($J1215,'Type Chart'!$C$2:$T$20,3,false)*HLOOKUP($K1215,'Type Chart'!$C$2:$U$20,3,false)</f>
        <v>0.25</v>
      </c>
      <c r="W1215" s="960">
        <f t="array" ref="W1215">HLOOKUP($J1215,'Type Chart'!$C$2:$T$20,4,false)*HLOOKUP($K1215,'Type Chart'!$C$2:$U$20,4,false)</f>
        <v>1</v>
      </c>
      <c r="X1215" s="960">
        <f t="array" ref="X1215">HLOOKUP($J1215,'Type Chart'!$C$2:$T$20,5,false)*HLOOKUP($K1215,'Type Chart'!$C$2:$U$20,5,false)</f>
        <v>2</v>
      </c>
      <c r="Y1215" s="960">
        <f t="array" ref="Y1215">HLOOKUP($J1215,'Type Chart'!$C$2:$T$20,6,false)*HLOOKUP($K1215,'Type Chart'!$C$2:$U$20,6,false)</f>
        <v>1</v>
      </c>
      <c r="Z1215" s="960">
        <f t="array" ref="Z1215">HLOOKUP($J1215,'Type Chart'!$C$2:$T$20,7,false)*HLOOKUP($K1215,'Type Chart'!$C$2:$U$20,7,false)</f>
        <v>1</v>
      </c>
      <c r="AA1215" s="960">
        <f t="array" ref="AA1215">HLOOKUP($J1215,'Type Chart'!$C$2:$T$20,8,false)*HLOOKUP($K1215,'Type Chart'!$C$2:$U$20,8,false)</f>
        <v>1</v>
      </c>
      <c r="AB1215" s="960">
        <f t="array" ref="AB1215">HLOOKUP($J1215,'Type Chart'!$C$2:$T$20,9,false)*HLOOKUP($K1215,'Type Chart'!$C$2:$U$20,9,false)</f>
        <v>2</v>
      </c>
      <c r="AC1215" s="960">
        <f t="array" ref="AC1215">HLOOKUP($J1215,'Type Chart'!$C$2:$T$20,10,false)*HLOOKUP($K1215,'Type Chart'!$C$2:$U$20,10,false)</f>
        <v>2</v>
      </c>
      <c r="AD1215" s="960">
        <f t="array" ref="AD1215">HLOOKUP($J1215,'Type Chart'!$C$2:$T$20,11,false)*HLOOKUP($K1215,'Type Chart'!$C$2:$U$20,11,false)</f>
        <v>1</v>
      </c>
      <c r="AE1215" s="960">
        <f t="array" ref="AE1215">HLOOKUP($J1215,'Type Chart'!$C$2:$T$20,12,false)*HLOOKUP($K1215,'Type Chart'!$C$2:$U$20,12,false)</f>
        <v>1</v>
      </c>
      <c r="AF1215" s="960">
        <f t="array" ref="AF1215">HLOOKUP($J1215,'Type Chart'!$C$2:$T$20,13,false)*HLOOKUP($K1215,'Type Chart'!$C$2:$U$20,13,false)</f>
        <v>1</v>
      </c>
      <c r="AG1215" s="960">
        <f t="array" ref="AG1215">HLOOKUP($J1215,'Type Chart'!$C$2:$T$20,14,false)*HLOOKUP($K1215,'Type Chart'!$C$2:$U$20,14,false)</f>
        <v>1</v>
      </c>
      <c r="AH1215" s="960">
        <f t="array" ref="AH1215">HLOOKUP($J1215,'Type Chart'!$C$2:$T$20,15,false)*HLOOKUP($K1215,'Type Chart'!$C$2:$U$20,15,false)</f>
        <v>0.5</v>
      </c>
      <c r="AI1215" s="960">
        <f t="array" ref="AI1215">HLOOKUP($J1215,'Type Chart'!$C$2:$T$20,16,false)*HLOOKUP($K1215,'Type Chart'!$C$2:$U$20,16,false)</f>
        <v>1</v>
      </c>
      <c r="AJ1215" s="960">
        <f t="array" ref="AJ1215">HLOOKUP($J1215,'Type Chart'!$C$2:$T$20,17,false)*HLOOKUP($K1215,'Type Chart'!$C$2:$U$20,17,false)</f>
        <v>0</v>
      </c>
      <c r="AK1215" s="960">
        <f t="array" ref="AK1215">HLOOKUP($J1215,'Type Chart'!$C$2:$T$20,18,false)*HLOOKUP($K1215,'Type Chart'!$C$2:$U$20,18,false)</f>
        <v>1</v>
      </c>
      <c r="AL1215" s="960">
        <f t="array" ref="AL1215">HLOOKUP($J1215,'Type Chart'!$C$2:$T$20,19,false)*HLOOKUP($K1215,'Type Chart'!$C$2:$U$20,19,false)</f>
        <v>1</v>
      </c>
      <c r="AM1215" s="964" t="s">
        <v>4283</v>
      </c>
      <c r="AN1215" s="965"/>
      <c r="AO1215" s="966"/>
      <c r="AP1215" s="936"/>
      <c r="AQ1215" s="967"/>
      <c r="AR1215" s="968"/>
      <c r="AS1215" s="936"/>
    </row>
    <row r="1216" ht="15.75" customHeight="1">
      <c r="A1216" s="936"/>
      <c r="B1216" s="948">
        <v>983.0</v>
      </c>
      <c r="C1216" s="950" t="s">
        <v>4292</v>
      </c>
      <c r="D1216" s="950" t="s">
        <v>4293</v>
      </c>
      <c r="E1216" s="952" t="s">
        <v>4292</v>
      </c>
      <c r="F1216" s="940"/>
      <c r="G1216" s="953"/>
      <c r="H1216" s="969"/>
      <c r="I1216" s="956" t="s">
        <v>4294</v>
      </c>
      <c r="J1216" s="1220" t="s">
        <v>215</v>
      </c>
      <c r="K1216" s="1207" t="s">
        <v>127</v>
      </c>
      <c r="L1216" s="959">
        <v>55.0</v>
      </c>
      <c r="M1216" s="960">
        <v>55.0</v>
      </c>
      <c r="N1216" s="960">
        <v>55.0</v>
      </c>
      <c r="O1216" s="960">
        <v>135.0</v>
      </c>
      <c r="P1216" s="960">
        <v>135.0</v>
      </c>
      <c r="Q1216" s="960">
        <v>135.0</v>
      </c>
      <c r="R1216" s="960">
        <v>306.0</v>
      </c>
      <c r="S1216" s="960">
        <v>369.0</v>
      </c>
      <c r="T1216" s="960">
        <v>405.0</v>
      </c>
      <c r="U1216" s="960">
        <f t="array" ref="U1216">HLOOKUP($J1216,'Type Chart'!$C$2:$T$20,2,false)*HLOOKUP($K1216,'Type Chart'!$C$2:$U$20,2,false)</f>
        <v>0</v>
      </c>
      <c r="V1216" s="960">
        <f t="array" ref="V1216">HLOOKUP($J1216,'Type Chart'!$C$2:$T$20,3,false)*HLOOKUP($K1216,'Type Chart'!$C$2:$U$20,3,false)</f>
        <v>0</v>
      </c>
      <c r="W1216" s="960">
        <f t="array" ref="W1216">HLOOKUP($J1216,'Type Chart'!$C$2:$T$20,4,false)*HLOOKUP($K1216,'Type Chart'!$C$2:$U$20,4,false)</f>
        <v>1</v>
      </c>
      <c r="X1216" s="960">
        <f t="array" ref="X1216">HLOOKUP($J1216,'Type Chart'!$C$2:$T$20,5,false)*HLOOKUP($K1216,'Type Chart'!$C$2:$U$20,5,false)</f>
        <v>1</v>
      </c>
      <c r="Y1216" s="960">
        <f t="array" ref="Y1216">HLOOKUP($J1216,'Type Chart'!$C$2:$T$20,6,false)*HLOOKUP($K1216,'Type Chart'!$C$2:$U$20,6,false)</f>
        <v>1</v>
      </c>
      <c r="Z1216" s="960">
        <f t="array" ref="Z1216">HLOOKUP($J1216,'Type Chart'!$C$2:$T$20,7,false)*HLOOKUP($K1216,'Type Chart'!$C$2:$U$20,7,false)</f>
        <v>1</v>
      </c>
      <c r="AA1216" s="960">
        <f t="array" ref="AA1216">HLOOKUP($J1216,'Type Chart'!$C$2:$T$20,8,false)*HLOOKUP($K1216,'Type Chart'!$C$2:$U$20,8,false)</f>
        <v>0.25</v>
      </c>
      <c r="AB1216" s="960">
        <f t="array" ref="AB1216">HLOOKUP($J1216,'Type Chart'!$C$2:$T$20,9,false)*HLOOKUP($K1216,'Type Chart'!$C$2:$U$20,9,false)</f>
        <v>2</v>
      </c>
      <c r="AC1216" s="960">
        <f t="array" ref="AC1216">HLOOKUP($J1216,'Type Chart'!$C$2:$T$20,10,false)*HLOOKUP($K1216,'Type Chart'!$C$2:$U$20,10,false)</f>
        <v>2</v>
      </c>
      <c r="AD1216" s="960">
        <f t="array" ref="AD1216">HLOOKUP($J1216,'Type Chart'!$C$2:$T$20,11,false)*HLOOKUP($K1216,'Type Chart'!$C$2:$U$20,11,false)</f>
        <v>1</v>
      </c>
      <c r="AE1216" s="960">
        <f t="array" ref="AE1216">HLOOKUP($J1216,'Type Chart'!$C$2:$T$20,12,false)*HLOOKUP($K1216,'Type Chart'!$C$2:$U$20,12,false)</f>
        <v>1</v>
      </c>
      <c r="AF1216" s="960">
        <f t="array" ref="AF1216">HLOOKUP($J1216,'Type Chart'!$C$2:$T$20,13,false)*HLOOKUP($K1216,'Type Chart'!$C$2:$U$20,13,false)</f>
        <v>1</v>
      </c>
      <c r="AG1216" s="960">
        <f t="array" ref="AG1216">HLOOKUP($J1216,'Type Chart'!$C$2:$T$20,14,false)*HLOOKUP($K1216,'Type Chart'!$C$2:$U$20,14,false)</f>
        <v>1</v>
      </c>
      <c r="AH1216" s="960">
        <f t="array" ref="AH1216">HLOOKUP($J1216,'Type Chart'!$C$2:$T$20,15,false)*HLOOKUP($K1216,'Type Chart'!$C$2:$U$20,15,false)</f>
        <v>1</v>
      </c>
      <c r="AI1216" s="960">
        <f t="array" ref="AI1216">HLOOKUP($J1216,'Type Chart'!$C$2:$T$20,16,false)*HLOOKUP($K1216,'Type Chart'!$C$2:$U$20,16,false)</f>
        <v>1</v>
      </c>
      <c r="AJ1216" s="960">
        <f t="array" ref="AJ1216">HLOOKUP($J1216,'Type Chart'!$C$2:$T$20,17,false)*HLOOKUP($K1216,'Type Chart'!$C$2:$U$20,17,false)</f>
        <v>0</v>
      </c>
      <c r="AK1216" s="960">
        <f t="array" ref="AK1216">HLOOKUP($J1216,'Type Chart'!$C$2:$T$20,18,false)*HLOOKUP($K1216,'Type Chart'!$C$2:$U$20,18,false)</f>
        <v>1</v>
      </c>
      <c r="AL1216" s="960">
        <f t="array" ref="AL1216">HLOOKUP($J1216,'Type Chart'!$C$2:$T$20,19,false)*HLOOKUP($K1216,'Type Chart'!$C$2:$U$20,19,false)</f>
        <v>1</v>
      </c>
      <c r="AM1216" s="964" t="s">
        <v>4283</v>
      </c>
      <c r="AN1216" s="965"/>
      <c r="AO1216" s="966"/>
      <c r="AP1216" s="936"/>
      <c r="AQ1216" s="967"/>
      <c r="AR1216" s="968"/>
      <c r="AS1216" s="936"/>
    </row>
    <row r="1217" ht="15.75" customHeight="1">
      <c r="A1217" s="936"/>
      <c r="B1217" s="948">
        <v>984.0</v>
      </c>
      <c r="C1217" s="950" t="s">
        <v>4295</v>
      </c>
      <c r="D1217" s="950" t="s">
        <v>4296</v>
      </c>
      <c r="E1217" s="952" t="s">
        <v>4295</v>
      </c>
      <c r="F1217" s="940"/>
      <c r="G1217" s="953"/>
      <c r="H1217" s="969"/>
      <c r="I1217" s="956" t="s">
        <v>481</v>
      </c>
      <c r="J1217" s="1180" t="s">
        <v>343</v>
      </c>
      <c r="K1217" s="1213" t="s">
        <v>341</v>
      </c>
      <c r="L1217" s="959">
        <v>85.0</v>
      </c>
      <c r="M1217" s="960">
        <v>135.0</v>
      </c>
      <c r="N1217" s="960">
        <v>79.0</v>
      </c>
      <c r="O1217" s="960">
        <v>85.0</v>
      </c>
      <c r="P1217" s="960">
        <v>105.0</v>
      </c>
      <c r="Q1217" s="960">
        <v>81.0</v>
      </c>
      <c r="R1217" s="960">
        <v>198.0</v>
      </c>
      <c r="S1217" s="960">
        <v>261.0</v>
      </c>
      <c r="T1217" s="960">
        <v>287.0</v>
      </c>
      <c r="U1217" s="960">
        <f t="array" ref="U1217">HLOOKUP($J1217,'Type Chart'!$C$2:$T$20,2,false)*HLOOKUP($K1217,'Type Chart'!$C$2:$U$20,2,false)</f>
        <v>1</v>
      </c>
      <c r="V1217" s="960">
        <f t="array" ref="V1217">HLOOKUP($J1217,'Type Chart'!$C$2:$T$20,3,false)*HLOOKUP($K1217,'Type Chart'!$C$2:$U$20,3,false)</f>
        <v>0.5</v>
      </c>
      <c r="W1217" s="960">
        <f t="array" ref="W1217">HLOOKUP($J1217,'Type Chart'!$C$2:$T$20,4,false)*HLOOKUP($K1217,'Type Chart'!$C$2:$U$20,4,false)</f>
        <v>4</v>
      </c>
      <c r="X1217" s="960">
        <f t="array" ref="X1217">HLOOKUP($J1217,'Type Chart'!$C$2:$T$20,5,false)*HLOOKUP($K1217,'Type Chart'!$C$2:$U$20,5,false)</f>
        <v>1</v>
      </c>
      <c r="Y1217" s="960">
        <f t="array" ref="Y1217">HLOOKUP($J1217,'Type Chart'!$C$2:$T$20,6,false)*HLOOKUP($K1217,'Type Chart'!$C$2:$U$20,6,false)</f>
        <v>0.5</v>
      </c>
      <c r="Z1217" s="960">
        <f t="array" ref="Z1217">HLOOKUP($J1217,'Type Chart'!$C$2:$T$20,7,false)*HLOOKUP($K1217,'Type Chart'!$C$2:$U$20,7,false)</f>
        <v>1</v>
      </c>
      <c r="AA1217" s="960">
        <f t="array" ref="AA1217">HLOOKUP($J1217,'Type Chart'!$C$2:$T$20,8,false)*HLOOKUP($K1217,'Type Chart'!$C$2:$U$20,8,false)</f>
        <v>0.5</v>
      </c>
      <c r="AB1217" s="960">
        <f t="array" ref="AB1217">HLOOKUP($J1217,'Type Chart'!$C$2:$T$20,9,false)*HLOOKUP($K1217,'Type Chart'!$C$2:$U$20,9,false)</f>
        <v>1</v>
      </c>
      <c r="AC1217" s="960">
        <f t="array" ref="AC1217">HLOOKUP($J1217,'Type Chart'!$C$2:$T$20,10,false)*HLOOKUP($K1217,'Type Chart'!$C$2:$U$20,10,false)</f>
        <v>1</v>
      </c>
      <c r="AD1217" s="960">
        <f t="array" ref="AD1217">HLOOKUP($J1217,'Type Chart'!$C$2:$T$20,11,false)*HLOOKUP($K1217,'Type Chart'!$C$2:$U$20,11,false)</f>
        <v>2</v>
      </c>
      <c r="AE1217" s="960">
        <f t="array" ref="AE1217">HLOOKUP($J1217,'Type Chart'!$C$2:$T$20,12,false)*HLOOKUP($K1217,'Type Chart'!$C$2:$U$20,12,false)</f>
        <v>1</v>
      </c>
      <c r="AF1217" s="960">
        <f t="array" ref="AF1217">HLOOKUP($J1217,'Type Chart'!$C$2:$T$20,13,false)*HLOOKUP($K1217,'Type Chart'!$C$2:$U$20,13,false)</f>
        <v>0.5</v>
      </c>
      <c r="AG1217" s="960">
        <f t="array" ref="AG1217">HLOOKUP($J1217,'Type Chart'!$C$2:$T$20,14,false)*HLOOKUP($K1217,'Type Chart'!$C$2:$U$20,14,false)</f>
        <v>1</v>
      </c>
      <c r="AH1217" s="960">
        <f t="array" ref="AH1217">HLOOKUP($J1217,'Type Chart'!$C$2:$T$20,15,false)*HLOOKUP($K1217,'Type Chart'!$C$2:$U$20,15,false)</f>
        <v>2</v>
      </c>
      <c r="AI1217" s="960">
        <f t="array" ref="AI1217">HLOOKUP($J1217,'Type Chart'!$C$2:$T$20,16,false)*HLOOKUP($K1217,'Type Chart'!$C$2:$U$20,16,false)</f>
        <v>1</v>
      </c>
      <c r="AJ1217" s="960">
        <f t="array" ref="AJ1217">HLOOKUP($J1217,'Type Chart'!$C$2:$T$20,17,false)*HLOOKUP($K1217,'Type Chart'!$C$2:$U$20,17,false)</f>
        <v>1</v>
      </c>
      <c r="AK1217" s="960">
        <f t="array" ref="AK1217">HLOOKUP($J1217,'Type Chart'!$C$2:$T$20,18,false)*HLOOKUP($K1217,'Type Chart'!$C$2:$U$20,18,false)</f>
        <v>0.5</v>
      </c>
      <c r="AL1217" s="960">
        <f t="array" ref="AL1217">HLOOKUP($J1217,'Type Chart'!$C$2:$T$20,19,false)*HLOOKUP($K1217,'Type Chart'!$C$2:$U$20,19,false)</f>
        <v>2</v>
      </c>
      <c r="AM1217" s="964" t="s">
        <v>4283</v>
      </c>
      <c r="AN1217" s="965"/>
      <c r="AO1217" s="966"/>
      <c r="AP1217" s="936"/>
      <c r="AQ1217" s="967"/>
      <c r="AR1217" s="968"/>
      <c r="AS1217" s="936"/>
    </row>
    <row r="1218" ht="15.75" customHeight="1">
      <c r="A1218" s="1099"/>
      <c r="B1218" s="948">
        <v>985.0</v>
      </c>
      <c r="C1218" s="950" t="s">
        <v>4297</v>
      </c>
      <c r="D1218" s="950" t="s">
        <v>4298</v>
      </c>
      <c r="E1218" s="952" t="s">
        <v>4297</v>
      </c>
      <c r="F1218" s="940"/>
      <c r="G1218" s="953"/>
      <c r="H1218" s="969"/>
      <c r="I1218" s="956" t="s">
        <v>416</v>
      </c>
      <c r="J1218" s="1006" t="s">
        <v>346</v>
      </c>
      <c r="K1218" s="1195" t="s">
        <v>193</v>
      </c>
      <c r="L1218" s="959">
        <v>105.0</v>
      </c>
      <c r="M1218" s="960">
        <v>139.0</v>
      </c>
      <c r="N1218" s="960">
        <v>71.0</v>
      </c>
      <c r="O1218" s="960">
        <v>55.0</v>
      </c>
      <c r="P1218" s="960">
        <v>101.0</v>
      </c>
      <c r="Q1218" s="960">
        <v>119.0</v>
      </c>
      <c r="R1218" s="960">
        <v>274.0</v>
      </c>
      <c r="S1218" s="960">
        <v>337.0</v>
      </c>
      <c r="T1218" s="960">
        <v>370.0</v>
      </c>
      <c r="U1218" s="960">
        <f t="array" ref="U1218">HLOOKUP($J1218,'Type Chart'!$C$2:$T$20,2,false)*HLOOKUP($K1218,'Type Chart'!$C$2:$U$20,2,false)</f>
        <v>1</v>
      </c>
      <c r="V1218" s="960">
        <f t="array" ref="V1218">HLOOKUP($J1218,'Type Chart'!$C$2:$T$20,3,false)*HLOOKUP($K1218,'Type Chart'!$C$2:$U$20,3,false)</f>
        <v>2</v>
      </c>
      <c r="W1218" s="960">
        <f t="array" ref="W1218">HLOOKUP($J1218,'Type Chart'!$C$2:$T$20,4,false)*HLOOKUP($K1218,'Type Chart'!$C$2:$U$20,4,false)</f>
        <v>1</v>
      </c>
      <c r="X1218" s="960">
        <f t="array" ref="X1218">HLOOKUP($J1218,'Type Chart'!$C$2:$T$20,5,false)*HLOOKUP($K1218,'Type Chart'!$C$2:$U$20,5,false)</f>
        <v>1</v>
      </c>
      <c r="Y1218" s="960">
        <f t="array" ref="Y1218">HLOOKUP($J1218,'Type Chart'!$C$2:$T$20,6,false)*HLOOKUP($K1218,'Type Chart'!$C$2:$U$20,6,false)</f>
        <v>1</v>
      </c>
      <c r="Z1218" s="960">
        <f t="array" ref="Z1218">HLOOKUP($J1218,'Type Chart'!$C$2:$T$20,7,false)*HLOOKUP($K1218,'Type Chart'!$C$2:$U$20,7,false)</f>
        <v>1</v>
      </c>
      <c r="AA1218" s="960">
        <f t="array" ref="AA1218">HLOOKUP($J1218,'Type Chart'!$C$2:$T$20,8,false)*HLOOKUP($K1218,'Type Chart'!$C$2:$U$20,8,false)</f>
        <v>2</v>
      </c>
      <c r="AB1218" s="960">
        <f t="array" ref="AB1218">HLOOKUP($J1218,'Type Chart'!$C$2:$T$20,9,false)*HLOOKUP($K1218,'Type Chart'!$C$2:$U$20,9,false)</f>
        <v>0.5</v>
      </c>
      <c r="AC1218" s="960">
        <f t="array" ref="AC1218">HLOOKUP($J1218,'Type Chart'!$C$2:$T$20,10,false)*HLOOKUP($K1218,'Type Chart'!$C$2:$U$20,10,false)</f>
        <v>1</v>
      </c>
      <c r="AD1218" s="960">
        <f t="array" ref="AD1218">HLOOKUP($J1218,'Type Chart'!$C$2:$T$20,11,false)*HLOOKUP($K1218,'Type Chart'!$C$2:$U$20,11,false)</f>
        <v>0.5</v>
      </c>
      <c r="AE1218" s="960">
        <f t="array" ref="AE1218">HLOOKUP($J1218,'Type Chart'!$C$2:$T$20,12,false)*HLOOKUP($K1218,'Type Chart'!$C$2:$U$20,12,false)</f>
        <v>0.5</v>
      </c>
      <c r="AF1218" s="960">
        <f t="array" ref="AF1218">HLOOKUP($J1218,'Type Chart'!$C$2:$T$20,13,false)*HLOOKUP($K1218,'Type Chart'!$C$2:$U$20,13,false)</f>
        <v>0.5</v>
      </c>
      <c r="AG1218" s="960">
        <f t="array" ref="AG1218">HLOOKUP($J1218,'Type Chart'!$C$2:$T$20,14,false)*HLOOKUP($K1218,'Type Chart'!$C$2:$U$20,14,false)</f>
        <v>0.5</v>
      </c>
      <c r="AH1218" s="960">
        <f t="array" ref="AH1218">HLOOKUP($J1218,'Type Chart'!$C$2:$T$20,15,false)*HLOOKUP($K1218,'Type Chart'!$C$2:$U$20,15,false)</f>
        <v>0</v>
      </c>
      <c r="AI1218" s="960">
        <f t="array" ref="AI1218">HLOOKUP($J1218,'Type Chart'!$C$2:$T$20,16,false)*HLOOKUP($K1218,'Type Chart'!$C$2:$U$20,16,false)</f>
        <v>2</v>
      </c>
      <c r="AJ1218" s="960">
        <f t="array" ref="AJ1218">HLOOKUP($J1218,'Type Chart'!$C$2:$T$20,17,false)*HLOOKUP($K1218,'Type Chart'!$C$2:$U$20,17,false)</f>
        <v>2</v>
      </c>
      <c r="AK1218" s="960">
        <f t="array" ref="AK1218">HLOOKUP($J1218,'Type Chart'!$C$2:$T$20,18,false)*HLOOKUP($K1218,'Type Chart'!$C$2:$U$20,18,false)</f>
        <v>0.5</v>
      </c>
      <c r="AL1218" s="960">
        <f t="array" ref="AL1218">HLOOKUP($J1218,'Type Chart'!$C$2:$T$20,19,false)*HLOOKUP($K1218,'Type Chart'!$C$2:$U$20,19,false)</f>
        <v>4</v>
      </c>
      <c r="AM1218" s="1145" t="s">
        <v>4283</v>
      </c>
      <c r="AN1218" s="965"/>
      <c r="AO1218" s="1146"/>
      <c r="AP1218" s="936"/>
      <c r="AQ1218" s="967"/>
      <c r="AR1218" s="968"/>
      <c r="AS1218" s="936"/>
    </row>
    <row r="1219" ht="15.75" customHeight="1">
      <c r="A1219" s="936"/>
      <c r="B1219" s="948">
        <v>986.0</v>
      </c>
      <c r="C1219" s="950" t="s">
        <v>4299</v>
      </c>
      <c r="D1219" s="950" t="s">
        <v>4300</v>
      </c>
      <c r="E1219" s="952" t="s">
        <v>4299</v>
      </c>
      <c r="F1219" s="940"/>
      <c r="G1219" s="953"/>
      <c r="H1219" s="969"/>
      <c r="I1219" s="956" t="s">
        <v>403</v>
      </c>
      <c r="J1219" s="1204" t="s">
        <v>80</v>
      </c>
      <c r="K1219" s="1206" t="s">
        <v>82</v>
      </c>
      <c r="L1219" s="959">
        <v>90.0</v>
      </c>
      <c r="M1219" s="960">
        <v>112.0</v>
      </c>
      <c r="N1219" s="960">
        <v>120.0</v>
      </c>
      <c r="O1219" s="960">
        <v>72.0</v>
      </c>
      <c r="P1219" s="960">
        <v>70.0</v>
      </c>
      <c r="Q1219" s="960">
        <v>106.0</v>
      </c>
      <c r="R1219" s="960">
        <v>248.0</v>
      </c>
      <c r="S1219" s="960">
        <v>311.0</v>
      </c>
      <c r="T1219" s="960">
        <v>342.0</v>
      </c>
      <c r="U1219" s="960">
        <f t="array" ref="U1219">HLOOKUP($J1219,'Type Chart'!$C$2:$T$20,2,false)*HLOOKUP($K1219,'Type Chart'!$C$2:$U$20,2,false)</f>
        <v>0.5</v>
      </c>
      <c r="V1219" s="960">
        <f t="array" ref="V1219">HLOOKUP($J1219,'Type Chart'!$C$2:$T$20,3,false)*HLOOKUP($K1219,'Type Chart'!$C$2:$U$20,3,false)</f>
        <v>2</v>
      </c>
      <c r="W1219" s="960">
        <f t="array" ref="W1219">HLOOKUP($J1219,'Type Chart'!$C$2:$T$20,4,false)*HLOOKUP($K1219,'Type Chart'!$C$2:$U$20,4,false)</f>
        <v>0.5</v>
      </c>
      <c r="X1219" s="960">
        <f t="array" ref="X1219">HLOOKUP($J1219,'Type Chart'!$C$2:$T$20,5,false)*HLOOKUP($K1219,'Type Chart'!$C$2:$U$20,5,false)</f>
        <v>0</v>
      </c>
      <c r="Y1219" s="960">
        <f t="array" ref="Y1219">HLOOKUP($J1219,'Type Chart'!$C$2:$T$20,6,false)*HLOOKUP($K1219,'Type Chart'!$C$2:$U$20,6,false)</f>
        <v>2</v>
      </c>
      <c r="Z1219" s="960">
        <f t="array" ref="Z1219">HLOOKUP($J1219,'Type Chart'!$C$2:$T$20,7,false)*HLOOKUP($K1219,'Type Chart'!$C$2:$U$20,7,false)</f>
        <v>0.25</v>
      </c>
      <c r="AA1219" s="960">
        <f t="array" ref="AA1219">HLOOKUP($J1219,'Type Chart'!$C$2:$T$20,8,false)*HLOOKUP($K1219,'Type Chart'!$C$2:$U$20,8,false)</f>
        <v>0.5</v>
      </c>
      <c r="AB1219" s="960">
        <f t="array" ref="AB1219">HLOOKUP($J1219,'Type Chart'!$C$2:$T$20,9,false)*HLOOKUP($K1219,'Type Chart'!$C$2:$U$20,9,false)</f>
        <v>1</v>
      </c>
      <c r="AC1219" s="960">
        <f t="array" ref="AC1219">HLOOKUP($J1219,'Type Chart'!$C$2:$T$20,10,false)*HLOOKUP($K1219,'Type Chart'!$C$2:$U$20,10,false)</f>
        <v>0.5</v>
      </c>
      <c r="AD1219" s="960">
        <f t="array" ref="AD1219">HLOOKUP($J1219,'Type Chart'!$C$2:$T$20,11,false)*HLOOKUP($K1219,'Type Chart'!$C$2:$U$20,11,false)</f>
        <v>2</v>
      </c>
      <c r="AE1219" s="960">
        <f t="array" ref="AE1219">HLOOKUP($J1219,'Type Chart'!$C$2:$T$20,12,false)*HLOOKUP($K1219,'Type Chart'!$C$2:$U$20,12,false)</f>
        <v>2</v>
      </c>
      <c r="AF1219" s="960">
        <f t="array" ref="AF1219">HLOOKUP($J1219,'Type Chart'!$C$2:$T$20,13,false)*HLOOKUP($K1219,'Type Chart'!$C$2:$U$20,13,false)</f>
        <v>1</v>
      </c>
      <c r="AG1219" s="960">
        <f t="array" ref="AG1219">HLOOKUP($J1219,'Type Chart'!$C$2:$T$20,14,false)*HLOOKUP($K1219,'Type Chart'!$C$2:$U$20,14,false)</f>
        <v>0</v>
      </c>
      <c r="AH1219" s="960">
        <f t="array" ref="AH1219">HLOOKUP($J1219,'Type Chart'!$C$2:$T$20,15,false)*HLOOKUP($K1219,'Type Chart'!$C$2:$U$20,15,false)</f>
        <v>0.5</v>
      </c>
      <c r="AI1219" s="960">
        <f t="array" ref="AI1219">HLOOKUP($J1219,'Type Chart'!$C$2:$T$20,16,false)*HLOOKUP($K1219,'Type Chart'!$C$2:$U$20,16,false)</f>
        <v>1</v>
      </c>
      <c r="AJ1219" s="960">
        <f t="array" ref="AJ1219">HLOOKUP($J1219,'Type Chart'!$C$2:$T$20,17,false)*HLOOKUP($K1219,'Type Chart'!$C$2:$U$20,17,false)</f>
        <v>0.5</v>
      </c>
      <c r="AK1219" s="960">
        <f t="array" ref="AK1219">HLOOKUP($J1219,'Type Chart'!$C$2:$T$20,18,false)*HLOOKUP($K1219,'Type Chart'!$C$2:$U$20,18,false)</f>
        <v>1</v>
      </c>
      <c r="AL1219" s="960">
        <f t="array" ref="AL1219">HLOOKUP($J1219,'Type Chart'!$C$2:$T$20,19,false)*HLOOKUP($K1219,'Type Chart'!$C$2:$U$20,19,false)</f>
        <v>0.5</v>
      </c>
      <c r="AM1219" s="964" t="s">
        <v>4301</v>
      </c>
      <c r="AN1219" s="965"/>
      <c r="AO1219" s="966"/>
      <c r="AP1219" s="936"/>
      <c r="AQ1219" s="967"/>
      <c r="AR1219" s="968"/>
      <c r="AS1219" s="936"/>
    </row>
    <row r="1220" ht="15.75" customHeight="1">
      <c r="A1220" s="936"/>
      <c r="B1220" s="948">
        <v>987.0</v>
      </c>
      <c r="C1220" s="950" t="s">
        <v>4302</v>
      </c>
      <c r="D1220" s="950" t="s">
        <v>4303</v>
      </c>
      <c r="E1220" s="952" t="s">
        <v>4286</v>
      </c>
      <c r="F1220" s="940"/>
      <c r="G1220" s="953"/>
      <c r="H1220" s="969"/>
      <c r="I1220" s="956" t="s">
        <v>568</v>
      </c>
      <c r="J1220" s="1228" t="s">
        <v>209</v>
      </c>
      <c r="K1220" s="1239" t="s">
        <v>344</v>
      </c>
      <c r="L1220" s="1237">
        <v>90.0</v>
      </c>
      <c r="M1220" s="1238">
        <v>130.0</v>
      </c>
      <c r="N1220" s="1238">
        <v>88.0</v>
      </c>
      <c r="O1220" s="1238">
        <v>70.0</v>
      </c>
      <c r="P1220" s="1238">
        <v>108.0</v>
      </c>
      <c r="Q1220" s="1238">
        <v>104.0</v>
      </c>
      <c r="R1220" s="960">
        <v>244.0</v>
      </c>
      <c r="S1220" s="960">
        <v>307.0</v>
      </c>
      <c r="T1220" s="960">
        <v>337.0</v>
      </c>
      <c r="U1220" s="960">
        <f t="array" ref="U1220">HLOOKUP($J1220,'Type Chart'!$C$2:$T$20,2,false)*HLOOKUP($K1220,'Type Chart'!$C$2:$U$20,2,false)</f>
        <v>1</v>
      </c>
      <c r="V1220" s="960">
        <f t="array" ref="V1220">HLOOKUP($J1220,'Type Chart'!$C$2:$T$20,3,false)*HLOOKUP($K1220,'Type Chart'!$C$2:$U$20,3,false)</f>
        <v>0.5</v>
      </c>
      <c r="W1220" s="960">
        <f t="array" ref="W1220">HLOOKUP($J1220,'Type Chart'!$C$2:$T$20,4,false)*HLOOKUP($K1220,'Type Chart'!$C$2:$U$20,4,false)</f>
        <v>2</v>
      </c>
      <c r="X1220" s="960">
        <f t="array" ref="X1220">HLOOKUP($J1220,'Type Chart'!$C$2:$T$20,5,false)*HLOOKUP($K1220,'Type Chart'!$C$2:$U$20,5,false)</f>
        <v>2</v>
      </c>
      <c r="Y1220" s="960">
        <f t="array" ref="Y1220">HLOOKUP($J1220,'Type Chart'!$C$2:$T$20,6,false)*HLOOKUP($K1220,'Type Chart'!$C$2:$U$20,6,false)</f>
        <v>0.5</v>
      </c>
      <c r="Z1220" s="960">
        <f t="array" ref="Z1220">HLOOKUP($J1220,'Type Chart'!$C$2:$T$20,7,false)*HLOOKUP($K1220,'Type Chart'!$C$2:$U$20,7,false)</f>
        <v>1</v>
      </c>
      <c r="AA1220" s="960">
        <f t="array" ref="AA1220">HLOOKUP($J1220,'Type Chart'!$C$2:$T$20,8,false)*HLOOKUP($K1220,'Type Chart'!$C$2:$U$20,8,false)</f>
        <v>4</v>
      </c>
      <c r="AB1220" s="960">
        <f t="array" ref="AB1220">HLOOKUP($J1220,'Type Chart'!$C$2:$T$20,9,false)*HLOOKUP($K1220,'Type Chart'!$C$2:$U$20,9,false)</f>
        <v>2</v>
      </c>
      <c r="AC1220" s="960">
        <f t="array" ref="AC1220">HLOOKUP($J1220,'Type Chart'!$C$2:$T$20,10,false)*HLOOKUP($K1220,'Type Chart'!$C$2:$U$20,10,false)</f>
        <v>1</v>
      </c>
      <c r="AD1220" s="960">
        <f t="array" ref="AD1220">HLOOKUP($J1220,'Type Chart'!$C$2:$T$20,11,false)*HLOOKUP($K1220,'Type Chart'!$C$2:$U$20,11,false)</f>
        <v>2</v>
      </c>
      <c r="AE1220" s="960">
        <f t="array" ref="AE1220">HLOOKUP($J1220,'Type Chart'!$C$2:$T$20,12,false)*HLOOKUP($K1220,'Type Chart'!$C$2:$U$20,12,false)</f>
        <v>0.5</v>
      </c>
      <c r="AF1220" s="960">
        <f t="array" ref="AF1220">HLOOKUP($J1220,'Type Chart'!$C$2:$T$20,13,false)*HLOOKUP($K1220,'Type Chart'!$C$2:$U$20,13,false)</f>
        <v>0.5</v>
      </c>
      <c r="AG1220" s="960">
        <f t="array" ref="AG1220">HLOOKUP($J1220,'Type Chart'!$C$2:$T$20,14,false)*HLOOKUP($K1220,'Type Chart'!$C$2:$U$20,14,false)</f>
        <v>0.5</v>
      </c>
      <c r="AH1220" s="960">
        <f t="array" ref="AH1220">HLOOKUP($J1220,'Type Chart'!$C$2:$T$20,15,false)*HLOOKUP($K1220,'Type Chart'!$C$2:$U$20,15,false)</f>
        <v>0.5</v>
      </c>
      <c r="AI1220" s="960">
        <f t="array" ref="AI1220">HLOOKUP($J1220,'Type Chart'!$C$2:$T$20,16,false)*HLOOKUP($K1220,'Type Chart'!$C$2:$U$20,16,false)</f>
        <v>2</v>
      </c>
      <c r="AJ1220" s="960">
        <f t="array" ref="AJ1220">HLOOKUP($J1220,'Type Chart'!$C$2:$T$20,17,false)*HLOOKUP($K1220,'Type Chart'!$C$2:$U$20,17,false)</f>
        <v>1</v>
      </c>
      <c r="AK1220" s="960">
        <f t="array" ref="AK1220">HLOOKUP($J1220,'Type Chart'!$C$2:$T$20,18,false)*HLOOKUP($K1220,'Type Chart'!$C$2:$U$20,18,false)</f>
        <v>2</v>
      </c>
      <c r="AL1220" s="960">
        <f t="array" ref="AL1220">HLOOKUP($J1220,'Type Chart'!$C$2:$T$20,19,false)*HLOOKUP($K1220,'Type Chart'!$C$2:$U$20,19,false)</f>
        <v>1</v>
      </c>
      <c r="AM1220" s="964"/>
      <c r="AN1220" s="965"/>
      <c r="AO1220" s="966"/>
      <c r="AP1220" s="936"/>
      <c r="AQ1220" s="967"/>
      <c r="AR1220" s="968"/>
      <c r="AS1220" s="936"/>
    </row>
    <row r="1221" ht="15.75" customHeight="1">
      <c r="A1221" s="936"/>
      <c r="B1221" s="948">
        <v>988.0</v>
      </c>
      <c r="C1221" s="950" t="s">
        <v>4304</v>
      </c>
      <c r="D1221" s="950" t="s">
        <v>4305</v>
      </c>
      <c r="E1221" s="952" t="s">
        <v>4304</v>
      </c>
      <c r="F1221" s="940"/>
      <c r="G1221" s="953"/>
      <c r="H1221" s="969"/>
      <c r="I1221" s="956" t="s">
        <v>317</v>
      </c>
      <c r="J1221" s="982" t="s">
        <v>150</v>
      </c>
      <c r="K1221" s="958" t="s">
        <v>178</v>
      </c>
      <c r="L1221" s="959">
        <v>80.0</v>
      </c>
      <c r="M1221" s="960">
        <v>70.0</v>
      </c>
      <c r="N1221" s="960">
        <v>60.0</v>
      </c>
      <c r="O1221" s="960">
        <v>140.0</v>
      </c>
      <c r="P1221" s="960">
        <v>110.0</v>
      </c>
      <c r="Q1221" s="960">
        <v>110.0</v>
      </c>
      <c r="R1221" s="960">
        <v>256.0</v>
      </c>
      <c r="S1221" s="960">
        <v>319.0</v>
      </c>
      <c r="T1221" s="960">
        <v>350.0</v>
      </c>
      <c r="U1221" s="960">
        <f t="array" ref="U1221">HLOOKUP($J1221,'Type Chart'!$C$2:$T$20,2,false)*HLOOKUP($K1221,'Type Chart'!$C$2:$U$20,2,false)</f>
        <v>1</v>
      </c>
      <c r="V1221" s="960">
        <f t="array" ref="V1221">HLOOKUP($J1221,'Type Chart'!$C$2:$T$20,3,false)*HLOOKUP($K1221,'Type Chart'!$C$2:$U$20,3,false)</f>
        <v>0.5</v>
      </c>
      <c r="W1221" s="960">
        <f t="array" ref="W1221">HLOOKUP($J1221,'Type Chart'!$C$2:$T$20,4,false)*HLOOKUP($K1221,'Type Chart'!$C$2:$U$20,4,false)</f>
        <v>1</v>
      </c>
      <c r="X1221" s="960">
        <f t="array" ref="X1221">HLOOKUP($J1221,'Type Chart'!$C$2:$T$20,5,false)*HLOOKUP($K1221,'Type Chart'!$C$2:$U$20,5,false)</f>
        <v>0.5</v>
      </c>
      <c r="Y1221" s="960">
        <f t="array" ref="Y1221">HLOOKUP($J1221,'Type Chart'!$C$2:$T$20,6,false)*HLOOKUP($K1221,'Type Chart'!$C$2:$U$20,6,false)</f>
        <v>4</v>
      </c>
      <c r="Z1221" s="960">
        <f t="array" ref="Z1221">HLOOKUP($J1221,'Type Chart'!$C$2:$T$20,7,false)*HLOOKUP($K1221,'Type Chart'!$C$2:$U$20,7,false)</f>
        <v>2</v>
      </c>
      <c r="AA1221" s="960">
        <f t="array" ref="AA1221">HLOOKUP($J1221,'Type Chart'!$C$2:$T$20,8,false)*HLOOKUP($K1221,'Type Chart'!$C$2:$U$20,8,false)</f>
        <v>0.25</v>
      </c>
      <c r="AB1221" s="960">
        <f t="array" ref="AB1221">HLOOKUP($J1221,'Type Chart'!$C$2:$T$20,9,false)*HLOOKUP($K1221,'Type Chart'!$C$2:$U$20,9,false)</f>
        <v>1</v>
      </c>
      <c r="AC1221" s="960">
        <f t="array" ref="AC1221">HLOOKUP($J1221,'Type Chart'!$C$2:$T$20,10,false)*HLOOKUP($K1221,'Type Chart'!$C$2:$U$20,10,false)</f>
        <v>0.5</v>
      </c>
      <c r="AD1221" s="960">
        <f t="array" ref="AD1221">HLOOKUP($J1221,'Type Chart'!$C$2:$T$20,11,false)*HLOOKUP($K1221,'Type Chart'!$C$2:$U$20,11,false)</f>
        <v>0.5</v>
      </c>
      <c r="AE1221" s="960">
        <f t="array" ref="AE1221">HLOOKUP($J1221,'Type Chart'!$C$2:$T$20,12,false)*HLOOKUP($K1221,'Type Chart'!$C$2:$U$20,12,false)</f>
        <v>2</v>
      </c>
      <c r="AF1221" s="960">
        <f t="array" ref="AF1221">HLOOKUP($J1221,'Type Chart'!$C$2:$T$20,13,false)*HLOOKUP($K1221,'Type Chart'!$C$2:$U$20,13,false)</f>
        <v>0.25</v>
      </c>
      <c r="AG1221" s="960">
        <f t="array" ref="AG1221">HLOOKUP($J1221,'Type Chart'!$C$2:$T$20,14,false)*HLOOKUP($K1221,'Type Chart'!$C$2:$U$20,14,false)</f>
        <v>1</v>
      </c>
      <c r="AH1221" s="960">
        <f t="array" ref="AH1221">HLOOKUP($J1221,'Type Chart'!$C$2:$T$20,15,false)*HLOOKUP($K1221,'Type Chart'!$C$2:$U$20,15,false)</f>
        <v>2</v>
      </c>
      <c r="AI1221" s="960">
        <f t="array" ref="AI1221">HLOOKUP($J1221,'Type Chart'!$C$2:$T$20,16,false)*HLOOKUP($K1221,'Type Chart'!$C$2:$U$20,16,false)</f>
        <v>0.5</v>
      </c>
      <c r="AJ1221" s="960">
        <f t="array" ref="AJ1221">HLOOKUP($J1221,'Type Chart'!$C$2:$T$20,17,false)*HLOOKUP($K1221,'Type Chart'!$C$2:$U$20,17,false)</f>
        <v>1</v>
      </c>
      <c r="AK1221" s="960">
        <f t="array" ref="AK1221">HLOOKUP($J1221,'Type Chart'!$C$2:$T$20,18,false)*HLOOKUP($K1221,'Type Chart'!$C$2:$U$20,18,false)</f>
        <v>1</v>
      </c>
      <c r="AL1221" s="960">
        <f t="array" ref="AL1221">HLOOKUP($J1221,'Type Chart'!$C$2:$T$20,19,false)*HLOOKUP($K1221,'Type Chart'!$C$2:$U$20,19,false)</f>
        <v>0.25</v>
      </c>
      <c r="AM1221" s="964" t="s">
        <v>4301</v>
      </c>
      <c r="AN1221" s="965"/>
      <c r="AO1221" s="966"/>
      <c r="AP1221" s="936"/>
      <c r="AQ1221" s="967"/>
      <c r="AR1221" s="968"/>
      <c r="AS1221" s="936"/>
    </row>
    <row r="1222" ht="15.75" customHeight="1">
      <c r="A1222" s="936"/>
      <c r="B1222" s="948">
        <v>989.0</v>
      </c>
      <c r="C1222" s="950" t="s">
        <v>4306</v>
      </c>
      <c r="D1222" s="950" t="s">
        <v>4307</v>
      </c>
      <c r="E1222" s="952" t="s">
        <v>4306</v>
      </c>
      <c r="F1222" s="940"/>
      <c r="G1222" s="953"/>
      <c r="H1222" s="969"/>
      <c r="I1222" s="998" t="s">
        <v>88</v>
      </c>
      <c r="J1222" s="1213" t="s">
        <v>341</v>
      </c>
      <c r="K1222" s="1196" t="s">
        <v>203</v>
      </c>
      <c r="L1222" s="959">
        <v>154.0</v>
      </c>
      <c r="M1222" s="960">
        <v>140.0</v>
      </c>
      <c r="N1222" s="960">
        <v>108.0</v>
      </c>
      <c r="O1222" s="960">
        <v>50.0</v>
      </c>
      <c r="P1222" s="960">
        <v>68.0</v>
      </c>
      <c r="Q1222" s="960">
        <v>50.0</v>
      </c>
      <c r="R1222" s="960">
        <v>136.0</v>
      </c>
      <c r="S1222" s="960">
        <v>199.0</v>
      </c>
      <c r="T1222" s="960">
        <v>218.0</v>
      </c>
      <c r="U1222" s="960">
        <f t="array" ref="U1222">HLOOKUP($J1222,'Type Chart'!$C$2:$T$20,2,false)*HLOOKUP($K1222,'Type Chart'!$C$2:$U$20,2,false)</f>
        <v>1</v>
      </c>
      <c r="V1222" s="960">
        <f t="array" ref="V1222">HLOOKUP($J1222,'Type Chart'!$C$2:$T$20,3,false)*HLOOKUP($K1222,'Type Chart'!$C$2:$U$20,3,false)</f>
        <v>1</v>
      </c>
      <c r="W1222" s="960">
        <f t="array" ref="W1222">HLOOKUP($J1222,'Type Chart'!$C$2:$T$20,4,false)*HLOOKUP($K1222,'Type Chart'!$C$2:$U$20,4,false)</f>
        <v>1</v>
      </c>
      <c r="X1222" s="960">
        <f t="array" ref="X1222">HLOOKUP($J1222,'Type Chart'!$C$2:$T$20,5,false)*HLOOKUP($K1222,'Type Chart'!$C$2:$U$20,5,false)</f>
        <v>1</v>
      </c>
      <c r="Y1222" s="960">
        <f t="array" ref="Y1222">HLOOKUP($J1222,'Type Chart'!$C$2:$T$20,6,false)*HLOOKUP($K1222,'Type Chart'!$C$2:$U$20,6,false)</f>
        <v>2</v>
      </c>
      <c r="Z1222" s="960">
        <f t="array" ref="Z1222">HLOOKUP($J1222,'Type Chart'!$C$2:$T$20,7,false)*HLOOKUP($K1222,'Type Chart'!$C$2:$U$20,7,false)</f>
        <v>0.5</v>
      </c>
      <c r="AA1222" s="960">
        <f t="array" ref="AA1222">HLOOKUP($J1222,'Type Chart'!$C$2:$T$20,8,false)*HLOOKUP($K1222,'Type Chart'!$C$2:$U$20,8,false)</f>
        <v>0.5</v>
      </c>
      <c r="AB1222" s="960">
        <f t="array" ref="AB1222">HLOOKUP($J1222,'Type Chart'!$C$2:$T$20,9,false)*HLOOKUP($K1222,'Type Chart'!$C$2:$U$20,9,false)</f>
        <v>1</v>
      </c>
      <c r="AC1222" s="960">
        <f t="array" ref="AC1222">HLOOKUP($J1222,'Type Chart'!$C$2:$T$20,10,false)*HLOOKUP($K1222,'Type Chart'!$C$2:$U$20,10,false)</f>
        <v>0.5</v>
      </c>
      <c r="AD1222" s="960">
        <f t="array" ref="AD1222">HLOOKUP($J1222,'Type Chart'!$C$2:$T$20,11,false)*HLOOKUP($K1222,'Type Chart'!$C$2:$U$20,11,false)</f>
        <v>1</v>
      </c>
      <c r="AE1222" s="960">
        <f t="array" ref="AE1222">HLOOKUP($J1222,'Type Chart'!$C$2:$T$20,12,false)*HLOOKUP($K1222,'Type Chart'!$C$2:$U$20,12,false)</f>
        <v>1</v>
      </c>
      <c r="AF1222" s="960">
        <f t="array" ref="AF1222">HLOOKUP($J1222,'Type Chart'!$C$2:$T$20,13,false)*HLOOKUP($K1222,'Type Chart'!$C$2:$U$20,13,false)</f>
        <v>1</v>
      </c>
      <c r="AG1222" s="960">
        <f t="array" ref="AG1222">HLOOKUP($J1222,'Type Chart'!$C$2:$T$20,14,false)*HLOOKUP($K1222,'Type Chart'!$C$2:$U$20,14,false)</f>
        <v>0.5</v>
      </c>
      <c r="AH1222" s="960">
        <f t="array" ref="AH1222">HLOOKUP($J1222,'Type Chart'!$C$2:$T$20,15,false)*HLOOKUP($K1222,'Type Chart'!$C$2:$U$20,15,false)</f>
        <v>2</v>
      </c>
      <c r="AI1222" s="960">
        <f t="array" ref="AI1222">HLOOKUP($J1222,'Type Chart'!$C$2:$T$20,16,false)*HLOOKUP($K1222,'Type Chart'!$C$2:$U$20,16,false)</f>
        <v>1</v>
      </c>
      <c r="AJ1222" s="960">
        <f t="array" ref="AJ1222">HLOOKUP($J1222,'Type Chart'!$C$2:$T$20,17,false)*HLOOKUP($K1222,'Type Chart'!$C$2:$U$20,17,false)</f>
        <v>1</v>
      </c>
      <c r="AK1222" s="960">
        <f t="array" ref="AK1222">HLOOKUP($J1222,'Type Chart'!$C$2:$T$20,18,false)*HLOOKUP($K1222,'Type Chart'!$C$2:$U$20,18,false)</f>
        <v>0.5</v>
      </c>
      <c r="AL1222" s="960">
        <f t="array" ref="AL1222">HLOOKUP($J1222,'Type Chart'!$C$2:$T$20,19,false)*HLOOKUP($K1222,'Type Chart'!$C$2:$U$20,19,false)</f>
        <v>2</v>
      </c>
      <c r="AM1222" s="964" t="s">
        <v>4301</v>
      </c>
      <c r="AN1222" s="965"/>
      <c r="AO1222" s="966"/>
      <c r="AP1222" s="936"/>
      <c r="AQ1222" s="967"/>
      <c r="AR1222" s="968"/>
      <c r="AS1222" s="936"/>
    </row>
    <row r="1223" ht="15.75" customHeight="1">
      <c r="A1223" s="1099"/>
      <c r="B1223" s="948">
        <v>990.0</v>
      </c>
      <c r="C1223" s="950" t="s">
        <v>4308</v>
      </c>
      <c r="D1223" s="950" t="s">
        <v>4309</v>
      </c>
      <c r="E1223" s="952" t="s">
        <v>4308</v>
      </c>
      <c r="F1223" s="940"/>
      <c r="G1223" s="953"/>
      <c r="H1223" s="969"/>
      <c r="I1223" s="998" t="s">
        <v>239</v>
      </c>
      <c r="J1223" s="1195" t="s">
        <v>193</v>
      </c>
      <c r="K1223" s="1001" t="s">
        <v>128</v>
      </c>
      <c r="L1223" s="959">
        <v>94.0</v>
      </c>
      <c r="M1223" s="960">
        <v>80.0</v>
      </c>
      <c r="N1223" s="960">
        <v>86.0</v>
      </c>
      <c r="O1223" s="960">
        <v>122.0</v>
      </c>
      <c r="P1223" s="960">
        <v>80.0</v>
      </c>
      <c r="Q1223" s="960">
        <v>108.0</v>
      </c>
      <c r="R1223" s="960">
        <v>252.0</v>
      </c>
      <c r="S1223" s="960">
        <v>315.0</v>
      </c>
      <c r="T1223" s="960">
        <v>346.0</v>
      </c>
      <c r="U1223" s="960">
        <f t="array" ref="U1223">HLOOKUP($J1223,'Type Chart'!$C$2:$T$20,2,false)*HLOOKUP($K1223,'Type Chart'!$C$2:$U$20,2,false)</f>
        <v>1</v>
      </c>
      <c r="V1223" s="960">
        <f t="array" ref="V1223">HLOOKUP($J1223,'Type Chart'!$C$2:$T$20,3,false)*HLOOKUP($K1223,'Type Chart'!$C$2:$U$20,3,false)</f>
        <v>1</v>
      </c>
      <c r="W1223" s="960">
        <f t="array" ref="W1223">HLOOKUP($J1223,'Type Chart'!$C$2:$T$20,4,false)*HLOOKUP($K1223,'Type Chart'!$C$2:$U$20,4,false)</f>
        <v>1</v>
      </c>
      <c r="X1223" s="960">
        <f t="array" ref="X1223">HLOOKUP($J1223,'Type Chart'!$C$2:$T$20,5,false)*HLOOKUP($K1223,'Type Chart'!$C$2:$U$20,5,false)</f>
        <v>1</v>
      </c>
      <c r="Y1223" s="960">
        <f t="array" ref="Y1223">HLOOKUP($J1223,'Type Chart'!$C$2:$T$20,6,false)*HLOOKUP($K1223,'Type Chart'!$C$2:$U$20,6,false)</f>
        <v>0</v>
      </c>
      <c r="Z1223" s="960">
        <f t="array" ref="Z1223">HLOOKUP($J1223,'Type Chart'!$C$2:$T$20,7,false)*HLOOKUP($K1223,'Type Chart'!$C$2:$U$20,7,false)</f>
        <v>2</v>
      </c>
      <c r="AA1223" s="960">
        <f t="array" ref="AA1223">HLOOKUP($J1223,'Type Chart'!$C$2:$T$20,8,false)*HLOOKUP($K1223,'Type Chart'!$C$2:$U$20,8,false)</f>
        <v>1</v>
      </c>
      <c r="AB1223" s="960">
        <f t="array" ref="AB1223">HLOOKUP($J1223,'Type Chart'!$C$2:$T$20,9,false)*HLOOKUP($K1223,'Type Chart'!$C$2:$U$20,9,false)</f>
        <v>0.5</v>
      </c>
      <c r="AC1223" s="960">
        <f t="array" ref="AC1223">HLOOKUP($J1223,'Type Chart'!$C$2:$T$20,10,false)*HLOOKUP($K1223,'Type Chart'!$C$2:$U$20,10,false)</f>
        <v>1</v>
      </c>
      <c r="AD1223" s="960">
        <f t="array" ref="AD1223">HLOOKUP($J1223,'Type Chart'!$C$2:$T$20,11,false)*HLOOKUP($K1223,'Type Chart'!$C$2:$U$20,11,false)</f>
        <v>1</v>
      </c>
      <c r="AE1223" s="960">
        <f t="array" ref="AE1223">HLOOKUP($J1223,'Type Chart'!$C$2:$T$20,12,false)*HLOOKUP($K1223,'Type Chart'!$C$2:$U$20,12,false)</f>
        <v>1</v>
      </c>
      <c r="AF1223" s="960">
        <f t="array" ref="AF1223">HLOOKUP($J1223,'Type Chart'!$C$2:$T$20,13,false)*HLOOKUP($K1223,'Type Chart'!$C$2:$U$20,13,false)</f>
        <v>0.5</v>
      </c>
      <c r="AG1223" s="960">
        <f t="array" ref="AG1223">HLOOKUP($J1223,'Type Chart'!$C$2:$T$20,14,false)*HLOOKUP($K1223,'Type Chart'!$C$2:$U$20,14,false)</f>
        <v>2</v>
      </c>
      <c r="AH1223" s="960">
        <f t="array" ref="AH1223">HLOOKUP($J1223,'Type Chart'!$C$2:$T$20,15,false)*HLOOKUP($K1223,'Type Chart'!$C$2:$U$20,15,false)</f>
        <v>0</v>
      </c>
      <c r="AI1223" s="960">
        <f t="array" ref="AI1223">HLOOKUP($J1223,'Type Chart'!$C$2:$T$20,16,false)*HLOOKUP($K1223,'Type Chart'!$C$2:$U$20,16,false)</f>
        <v>2</v>
      </c>
      <c r="AJ1223" s="960">
        <f t="array" ref="AJ1223">HLOOKUP($J1223,'Type Chart'!$C$2:$T$20,17,false)*HLOOKUP($K1223,'Type Chart'!$C$2:$U$20,17,false)</f>
        <v>1</v>
      </c>
      <c r="AK1223" s="960">
        <f t="array" ref="AK1223">HLOOKUP($J1223,'Type Chart'!$C$2:$T$20,18,false)*HLOOKUP($K1223,'Type Chart'!$C$2:$U$20,18,false)</f>
        <v>0.5</v>
      </c>
      <c r="AL1223" s="960">
        <f t="array" ref="AL1223">HLOOKUP($J1223,'Type Chart'!$C$2:$T$20,19,false)*HLOOKUP($K1223,'Type Chart'!$C$2:$U$20,19,false)</f>
        <v>2</v>
      </c>
      <c r="AM1223" s="1145" t="s">
        <v>4301</v>
      </c>
      <c r="AN1223" s="965"/>
      <c r="AO1223" s="966"/>
      <c r="AP1223" s="936"/>
      <c r="AQ1223" s="967"/>
      <c r="AR1223" s="968"/>
      <c r="AS1223" s="936"/>
    </row>
    <row r="1224" ht="15.75" customHeight="1">
      <c r="A1224" s="1099"/>
      <c r="B1224" s="948">
        <v>991.0</v>
      </c>
      <c r="C1224" s="950" t="s">
        <v>4310</v>
      </c>
      <c r="D1224" s="950" t="s">
        <v>4311</v>
      </c>
      <c r="E1224" s="952" t="s">
        <v>4310</v>
      </c>
      <c r="F1224" s="940"/>
      <c r="G1224" s="953"/>
      <c r="H1224" s="969"/>
      <c r="I1224" s="956" t="s">
        <v>652</v>
      </c>
      <c r="J1224" s="1214" t="s">
        <v>342</v>
      </c>
      <c r="K1224" s="1196" t="s">
        <v>203</v>
      </c>
      <c r="L1224" s="959">
        <v>100.0</v>
      </c>
      <c r="M1224" s="960">
        <v>134.0</v>
      </c>
      <c r="N1224" s="960">
        <v>110.0</v>
      </c>
      <c r="O1224" s="960">
        <v>70.0</v>
      </c>
      <c r="P1224" s="960">
        <v>84.0</v>
      </c>
      <c r="Q1224" s="960">
        <v>72.0</v>
      </c>
      <c r="R1224" s="960">
        <v>180.0</v>
      </c>
      <c r="S1224" s="960">
        <v>243.0</v>
      </c>
      <c r="T1224" s="960">
        <v>267.0</v>
      </c>
      <c r="U1224" s="960">
        <f t="array" ref="U1224">HLOOKUP($J1224,'Type Chart'!$C$2:$T$20,2,false)*HLOOKUP($K1224,'Type Chart'!$C$2:$U$20,2,false)</f>
        <v>0.5</v>
      </c>
      <c r="V1224" s="960">
        <f t="array" ref="V1224">HLOOKUP($J1224,'Type Chart'!$C$2:$T$20,3,false)*HLOOKUP($K1224,'Type Chart'!$C$2:$U$20,3,false)</f>
        <v>2</v>
      </c>
      <c r="W1224" s="960">
        <f t="array" ref="W1224">HLOOKUP($J1224,'Type Chart'!$C$2:$T$20,4,false)*HLOOKUP($K1224,'Type Chart'!$C$2:$U$20,4,false)</f>
        <v>0.25</v>
      </c>
      <c r="X1224" s="960">
        <f t="array" ref="X1224">HLOOKUP($J1224,'Type Chart'!$C$2:$T$20,5,false)*HLOOKUP($K1224,'Type Chart'!$C$2:$U$20,5,false)</f>
        <v>0.5</v>
      </c>
      <c r="Y1224" s="960">
        <f t="array" ref="Y1224">HLOOKUP($J1224,'Type Chart'!$C$2:$T$20,6,false)*HLOOKUP($K1224,'Type Chart'!$C$2:$U$20,6,false)</f>
        <v>4</v>
      </c>
      <c r="Z1224" s="960">
        <f t="array" ref="Z1224">HLOOKUP($J1224,'Type Chart'!$C$2:$T$20,7,false)*HLOOKUP($K1224,'Type Chart'!$C$2:$U$20,7,false)</f>
        <v>1</v>
      </c>
      <c r="AA1224" s="960">
        <f t="array" ref="AA1224">HLOOKUP($J1224,'Type Chart'!$C$2:$T$20,8,false)*HLOOKUP($K1224,'Type Chart'!$C$2:$U$20,8,false)</f>
        <v>1</v>
      </c>
      <c r="AB1224" s="960">
        <f t="array" ref="AB1224">HLOOKUP($J1224,'Type Chart'!$C$2:$T$20,9,false)*HLOOKUP($K1224,'Type Chart'!$C$2:$U$20,9,false)</f>
        <v>1</v>
      </c>
      <c r="AC1224" s="960">
        <f t="array" ref="AC1224">HLOOKUP($J1224,'Type Chart'!$C$2:$T$20,10,false)*HLOOKUP($K1224,'Type Chart'!$C$2:$U$20,10,false)</f>
        <v>1</v>
      </c>
      <c r="AD1224" s="960">
        <f t="array" ref="AD1224">HLOOKUP($J1224,'Type Chart'!$C$2:$T$20,11,false)*HLOOKUP($K1224,'Type Chart'!$C$2:$U$20,11,false)</f>
        <v>0.5</v>
      </c>
      <c r="AE1224" s="960">
        <f t="array" ref="AE1224">HLOOKUP($J1224,'Type Chart'!$C$2:$T$20,12,false)*HLOOKUP($K1224,'Type Chart'!$C$2:$U$20,12,false)</f>
        <v>2</v>
      </c>
      <c r="AF1224" s="960">
        <f t="array" ref="AF1224">HLOOKUP($J1224,'Type Chart'!$C$2:$T$20,13,false)*HLOOKUP($K1224,'Type Chart'!$C$2:$U$20,13,false)</f>
        <v>2</v>
      </c>
      <c r="AG1224" s="960">
        <f t="array" ref="AG1224">HLOOKUP($J1224,'Type Chart'!$C$2:$T$20,14,false)*HLOOKUP($K1224,'Type Chart'!$C$2:$U$20,14,false)</f>
        <v>0.5</v>
      </c>
      <c r="AH1224" s="960">
        <f t="array" ref="AH1224">HLOOKUP($J1224,'Type Chart'!$C$2:$T$20,15,false)*HLOOKUP($K1224,'Type Chart'!$C$2:$U$20,15,false)</f>
        <v>1</v>
      </c>
      <c r="AI1224" s="960">
        <f t="array" ref="AI1224">HLOOKUP($J1224,'Type Chart'!$C$2:$T$20,16,false)*HLOOKUP($K1224,'Type Chart'!$C$2:$U$20,16,false)</f>
        <v>1</v>
      </c>
      <c r="AJ1224" s="960">
        <f t="array" ref="AJ1224">HLOOKUP($J1224,'Type Chart'!$C$2:$T$20,17,false)*HLOOKUP($K1224,'Type Chart'!$C$2:$U$20,17,false)</f>
        <v>1</v>
      </c>
      <c r="AK1224" s="960">
        <f t="array" ref="AK1224">HLOOKUP($J1224,'Type Chart'!$C$2:$T$20,18,false)*HLOOKUP($K1224,'Type Chart'!$C$2:$U$20,18,false)</f>
        <v>1</v>
      </c>
      <c r="AL1224" s="960">
        <f t="array" ref="AL1224">HLOOKUP($J1224,'Type Chart'!$C$2:$T$20,19,false)*HLOOKUP($K1224,'Type Chart'!$C$2:$U$20,19,false)</f>
        <v>1</v>
      </c>
      <c r="AM1224" s="1145" t="s">
        <v>4301</v>
      </c>
      <c r="AN1224" s="965"/>
      <c r="AO1224" s="966"/>
      <c r="AP1224" s="936"/>
      <c r="AQ1224" s="967"/>
      <c r="AR1224" s="968"/>
      <c r="AS1224" s="936"/>
    </row>
    <row r="1225" ht="15.75" customHeight="1">
      <c r="A1225" s="1099"/>
      <c r="B1225" s="948">
        <v>992.0</v>
      </c>
      <c r="C1225" s="950" t="s">
        <v>4312</v>
      </c>
      <c r="D1225" s="950" t="s">
        <v>4313</v>
      </c>
      <c r="E1225" s="952" t="s">
        <v>4312</v>
      </c>
      <c r="F1225" s="940"/>
      <c r="G1225" s="953"/>
      <c r="H1225" s="969"/>
      <c r="I1225" s="998" t="s">
        <v>398</v>
      </c>
      <c r="J1225" s="1205" t="s">
        <v>345</v>
      </c>
      <c r="K1225" s="1056" t="s">
        <v>81</v>
      </c>
      <c r="L1225" s="959">
        <v>56.0</v>
      </c>
      <c r="M1225" s="960">
        <v>80.0</v>
      </c>
      <c r="N1225" s="960">
        <v>114.0</v>
      </c>
      <c r="O1225" s="960">
        <v>124.0</v>
      </c>
      <c r="P1225" s="960">
        <v>60.0</v>
      </c>
      <c r="Q1225" s="960">
        <v>136.0</v>
      </c>
      <c r="R1225" s="960">
        <v>308.0</v>
      </c>
      <c r="S1225" s="960">
        <v>371.0</v>
      </c>
      <c r="T1225" s="960">
        <v>408.0</v>
      </c>
      <c r="U1225" s="960">
        <f t="array" ref="U1225">HLOOKUP($J1225,'Type Chart'!$C$2:$T$20,2,false)*HLOOKUP($K1225,'Type Chart'!$C$2:$U$20,2,false)</f>
        <v>1</v>
      </c>
      <c r="V1225" s="960">
        <f t="array" ref="V1225">HLOOKUP($J1225,'Type Chart'!$C$2:$T$20,3,false)*HLOOKUP($K1225,'Type Chart'!$C$2:$U$20,3,false)</f>
        <v>2</v>
      </c>
      <c r="W1225" s="960">
        <f t="array" ref="W1225">HLOOKUP($J1225,'Type Chart'!$C$2:$T$20,4,false)*HLOOKUP($K1225,'Type Chart'!$C$2:$U$20,4,false)</f>
        <v>1</v>
      </c>
      <c r="X1225" s="960">
        <f t="array" ref="X1225">HLOOKUP($J1225,'Type Chart'!$C$2:$T$20,5,false)*HLOOKUP($K1225,'Type Chart'!$C$2:$U$20,5,false)</f>
        <v>1</v>
      </c>
      <c r="Y1225" s="960">
        <f t="array" ref="Y1225">HLOOKUP($J1225,'Type Chart'!$C$2:$T$20,6,false)*HLOOKUP($K1225,'Type Chart'!$C$2:$U$20,6,false)</f>
        <v>1</v>
      </c>
      <c r="Z1225" s="960">
        <f t="array" ref="Z1225">HLOOKUP($J1225,'Type Chart'!$C$2:$T$20,7,false)*HLOOKUP($K1225,'Type Chart'!$C$2:$U$20,7,false)</f>
        <v>2</v>
      </c>
      <c r="AA1225" s="960">
        <f t="array" ref="AA1225">HLOOKUP($J1225,'Type Chart'!$C$2:$T$20,8,false)*HLOOKUP($K1225,'Type Chart'!$C$2:$U$20,8,false)</f>
        <v>1</v>
      </c>
      <c r="AB1225" s="960">
        <f t="array" ref="AB1225">HLOOKUP($J1225,'Type Chart'!$C$2:$T$20,9,false)*HLOOKUP($K1225,'Type Chart'!$C$2:$U$20,9,false)</f>
        <v>1</v>
      </c>
      <c r="AC1225" s="960">
        <f t="array" ref="AC1225">HLOOKUP($J1225,'Type Chart'!$C$2:$T$20,10,false)*HLOOKUP($K1225,'Type Chart'!$C$2:$U$20,10,false)</f>
        <v>1</v>
      </c>
      <c r="AD1225" s="960">
        <f t="array" ref="AD1225">HLOOKUP($J1225,'Type Chart'!$C$2:$T$20,11,false)*HLOOKUP($K1225,'Type Chart'!$C$2:$U$20,11,false)</f>
        <v>1</v>
      </c>
      <c r="AE1225" s="960">
        <f t="array" ref="AE1225">HLOOKUP($J1225,'Type Chart'!$C$2:$T$20,12,false)*HLOOKUP($K1225,'Type Chart'!$C$2:$U$20,12,false)</f>
        <v>0.5</v>
      </c>
      <c r="AF1225" s="960">
        <f t="array" ref="AF1225">HLOOKUP($J1225,'Type Chart'!$C$2:$T$20,13,false)*HLOOKUP($K1225,'Type Chart'!$C$2:$U$20,13,false)</f>
        <v>2</v>
      </c>
      <c r="AG1225" s="960">
        <f t="array" ref="AG1225">HLOOKUP($J1225,'Type Chart'!$C$2:$T$20,14,false)*HLOOKUP($K1225,'Type Chart'!$C$2:$U$20,14,false)</f>
        <v>2</v>
      </c>
      <c r="AH1225" s="960">
        <f t="array" ref="AH1225">HLOOKUP($J1225,'Type Chart'!$C$2:$T$20,15,false)*HLOOKUP($K1225,'Type Chart'!$C$2:$U$20,15,false)</f>
        <v>1</v>
      </c>
      <c r="AI1225" s="960">
        <f t="array" ref="AI1225">HLOOKUP($J1225,'Type Chart'!$C$2:$T$20,16,false)*HLOOKUP($K1225,'Type Chart'!$C$2:$U$20,16,false)</f>
        <v>0.25</v>
      </c>
      <c r="AJ1225" s="960">
        <f t="array" ref="AJ1225">HLOOKUP($J1225,'Type Chart'!$C$2:$T$20,17,false)*HLOOKUP($K1225,'Type Chart'!$C$2:$U$20,17,false)</f>
        <v>1</v>
      </c>
      <c r="AK1225" s="960">
        <f t="array" ref="AK1225">HLOOKUP($J1225,'Type Chart'!$C$2:$T$20,18,false)*HLOOKUP($K1225,'Type Chart'!$C$2:$U$20,18,false)</f>
        <v>1</v>
      </c>
      <c r="AL1225" s="960">
        <f t="array" ref="AL1225">HLOOKUP($J1225,'Type Chart'!$C$2:$T$20,19,false)*HLOOKUP($K1225,'Type Chart'!$C$2:$U$20,19,false)</f>
        <v>1</v>
      </c>
      <c r="AM1225" s="1145" t="s">
        <v>4301</v>
      </c>
      <c r="AN1225" s="965"/>
      <c r="AO1225" s="966"/>
      <c r="AP1225" s="936"/>
      <c r="AQ1225" s="967"/>
      <c r="AR1225" s="968"/>
      <c r="AS1225" s="936"/>
    </row>
    <row r="1226" ht="15.75" customHeight="1">
      <c r="A1226" s="1099"/>
      <c r="B1226" s="948">
        <v>993.0</v>
      </c>
      <c r="C1226" s="950" t="s">
        <v>4314</v>
      </c>
      <c r="D1226" s="950" t="s">
        <v>4315</v>
      </c>
      <c r="E1226" s="952" t="s">
        <v>4314</v>
      </c>
      <c r="F1226" s="940"/>
      <c r="G1226" s="953"/>
      <c r="H1226" s="969"/>
      <c r="I1226" s="956" t="s">
        <v>186</v>
      </c>
      <c r="J1226" s="1207" t="s">
        <v>127</v>
      </c>
      <c r="K1226" s="1213" t="s">
        <v>341</v>
      </c>
      <c r="L1226" s="959">
        <v>74.0</v>
      </c>
      <c r="M1226" s="960">
        <v>130.0</v>
      </c>
      <c r="N1226" s="960">
        <v>90.0</v>
      </c>
      <c r="O1226" s="960">
        <v>120.0</v>
      </c>
      <c r="P1226" s="960">
        <v>60.0</v>
      </c>
      <c r="Q1226" s="960">
        <v>116.0</v>
      </c>
      <c r="R1226" s="960">
        <v>268.0</v>
      </c>
      <c r="S1226" s="960">
        <v>331.0</v>
      </c>
      <c r="T1226" s="960">
        <v>364.0</v>
      </c>
      <c r="U1226" s="960">
        <f t="array" ref="U1226">HLOOKUP($J1226,'Type Chart'!$C$2:$T$20,2,false)*HLOOKUP($K1226,'Type Chart'!$C$2:$U$20,2,false)</f>
        <v>1</v>
      </c>
      <c r="V1226" s="960">
        <f t="array" ref="V1226">HLOOKUP($J1226,'Type Chart'!$C$2:$T$20,3,false)*HLOOKUP($K1226,'Type Chart'!$C$2:$U$20,3,false)</f>
        <v>0.5</v>
      </c>
      <c r="W1226" s="960">
        <f t="array" ref="W1226">HLOOKUP($J1226,'Type Chart'!$C$2:$T$20,4,false)*HLOOKUP($K1226,'Type Chart'!$C$2:$U$20,4,false)</f>
        <v>2</v>
      </c>
      <c r="X1226" s="960">
        <f t="array" ref="X1226">HLOOKUP($J1226,'Type Chart'!$C$2:$T$20,5,false)*HLOOKUP($K1226,'Type Chart'!$C$2:$U$20,5,false)</f>
        <v>2</v>
      </c>
      <c r="Y1226" s="960">
        <f t="array" ref="Y1226">HLOOKUP($J1226,'Type Chart'!$C$2:$T$20,6,false)*HLOOKUP($K1226,'Type Chart'!$C$2:$U$20,6,false)</f>
        <v>1</v>
      </c>
      <c r="Z1226" s="960">
        <f t="array" ref="Z1226">HLOOKUP($J1226,'Type Chart'!$C$2:$T$20,7,false)*HLOOKUP($K1226,'Type Chart'!$C$2:$U$20,7,false)</f>
        <v>0.5</v>
      </c>
      <c r="AA1226" s="960">
        <f t="array" ref="AA1226">HLOOKUP($J1226,'Type Chart'!$C$2:$T$20,8,false)*HLOOKUP($K1226,'Type Chart'!$C$2:$U$20,8,false)</f>
        <v>0.25</v>
      </c>
      <c r="AB1226" s="960">
        <f t="array" ref="AB1226">HLOOKUP($J1226,'Type Chart'!$C$2:$T$20,9,false)*HLOOKUP($K1226,'Type Chart'!$C$2:$U$20,9,false)</f>
        <v>1</v>
      </c>
      <c r="AC1226" s="960">
        <f t="array" ref="AC1226">HLOOKUP($J1226,'Type Chart'!$C$2:$T$20,10,false)*HLOOKUP($K1226,'Type Chart'!$C$2:$U$20,10,false)</f>
        <v>2</v>
      </c>
      <c r="AD1226" s="960">
        <f t="array" ref="AD1226">HLOOKUP($J1226,'Type Chart'!$C$2:$T$20,11,false)*HLOOKUP($K1226,'Type Chart'!$C$2:$U$20,11,false)</f>
        <v>1</v>
      </c>
      <c r="AE1226" s="960">
        <f t="array" ref="AE1226">HLOOKUP($J1226,'Type Chart'!$C$2:$T$20,12,false)*HLOOKUP($K1226,'Type Chart'!$C$2:$U$20,12,false)</f>
        <v>1</v>
      </c>
      <c r="AF1226" s="960">
        <f t="array" ref="AF1226">HLOOKUP($J1226,'Type Chart'!$C$2:$T$20,13,false)*HLOOKUP($K1226,'Type Chart'!$C$2:$U$20,13,false)</f>
        <v>1</v>
      </c>
      <c r="AG1226" s="960">
        <f t="array" ref="AG1226">HLOOKUP($J1226,'Type Chart'!$C$2:$T$20,14,false)*HLOOKUP($K1226,'Type Chart'!$C$2:$U$20,14,false)</f>
        <v>1</v>
      </c>
      <c r="AH1226" s="960">
        <f t="array" ref="AH1226">HLOOKUP($J1226,'Type Chart'!$C$2:$T$20,15,false)*HLOOKUP($K1226,'Type Chart'!$C$2:$U$20,15,false)</f>
        <v>2</v>
      </c>
      <c r="AI1226" s="960">
        <f t="array" ref="AI1226">HLOOKUP($J1226,'Type Chart'!$C$2:$T$20,16,false)*HLOOKUP($K1226,'Type Chart'!$C$2:$U$20,16,false)</f>
        <v>1</v>
      </c>
      <c r="AJ1226" s="960">
        <f t="array" ref="AJ1226">HLOOKUP($J1226,'Type Chart'!$C$2:$T$20,17,false)*HLOOKUP($K1226,'Type Chart'!$C$2:$U$20,17,false)</f>
        <v>0</v>
      </c>
      <c r="AK1226" s="960">
        <f t="array" ref="AK1226">HLOOKUP($J1226,'Type Chart'!$C$2:$T$20,18,false)*HLOOKUP($K1226,'Type Chart'!$C$2:$U$20,18,false)</f>
        <v>0.25</v>
      </c>
      <c r="AL1226" s="960">
        <f t="array" ref="AL1226">HLOOKUP($J1226,'Type Chart'!$C$2:$T$20,19,false)*HLOOKUP($K1226,'Type Chart'!$C$2:$U$20,19,false)</f>
        <v>2</v>
      </c>
      <c r="AM1226" s="1145" t="s">
        <v>4301</v>
      </c>
      <c r="AN1226" s="965"/>
      <c r="AO1226" s="966"/>
      <c r="AP1226" s="936"/>
      <c r="AQ1226" s="967"/>
      <c r="AR1226" s="968"/>
      <c r="AS1226" s="936"/>
    </row>
    <row r="1227" ht="15.75" customHeight="1">
      <c r="A1227" s="936"/>
      <c r="B1227" s="948">
        <v>994.0</v>
      </c>
      <c r="C1227" s="950" t="s">
        <v>4316</v>
      </c>
      <c r="D1227" s="950" t="s">
        <v>4317</v>
      </c>
      <c r="E1227" s="952" t="s">
        <v>4316</v>
      </c>
      <c r="F1227" s="940"/>
      <c r="G1227" s="953"/>
      <c r="H1227" s="969"/>
      <c r="I1227" s="956" t="s">
        <v>406</v>
      </c>
      <c r="J1227" s="1195" t="s">
        <v>193</v>
      </c>
      <c r="K1227" s="1204" t="s">
        <v>80</v>
      </c>
      <c r="L1227" s="959">
        <v>155.0</v>
      </c>
      <c r="M1227" s="960">
        <v>110.0</v>
      </c>
      <c r="N1227" s="960">
        <v>130.0</v>
      </c>
      <c r="O1227" s="960">
        <v>50.0</v>
      </c>
      <c r="P1227" s="960">
        <v>80.0</v>
      </c>
      <c r="Q1227" s="960">
        <v>45.0</v>
      </c>
      <c r="R1227" s="960">
        <v>126.0</v>
      </c>
      <c r="S1227" s="960">
        <v>189.0</v>
      </c>
      <c r="T1227" s="960">
        <v>207.0</v>
      </c>
      <c r="U1227" s="960">
        <f t="array" ref="U1227">HLOOKUP($J1227,'Type Chart'!$C$2:$T$20,2,false)*HLOOKUP($K1227,'Type Chart'!$C$2:$U$20,2,false)</f>
        <v>1</v>
      </c>
      <c r="V1227" s="960">
        <f t="array" ref="V1227">HLOOKUP($J1227,'Type Chart'!$C$2:$T$20,3,false)*HLOOKUP($K1227,'Type Chart'!$C$2:$U$20,3,false)</f>
        <v>2</v>
      </c>
      <c r="W1227" s="960">
        <f t="array" ref="W1227">HLOOKUP($J1227,'Type Chart'!$C$2:$T$20,4,false)*HLOOKUP($K1227,'Type Chart'!$C$2:$U$20,4,false)</f>
        <v>1</v>
      </c>
      <c r="X1227" s="960">
        <f t="array" ref="X1227">HLOOKUP($J1227,'Type Chart'!$C$2:$T$20,5,false)*HLOOKUP($K1227,'Type Chart'!$C$2:$U$20,5,false)</f>
        <v>0.5</v>
      </c>
      <c r="Y1227" s="960">
        <f t="array" ref="Y1227">HLOOKUP($J1227,'Type Chart'!$C$2:$T$20,6,false)*HLOOKUP($K1227,'Type Chart'!$C$2:$U$20,6,false)</f>
        <v>1</v>
      </c>
      <c r="Z1227" s="960">
        <f t="array" ref="Z1227">HLOOKUP($J1227,'Type Chart'!$C$2:$T$20,7,false)*HLOOKUP($K1227,'Type Chart'!$C$2:$U$20,7,false)</f>
        <v>0.5</v>
      </c>
      <c r="AA1227" s="960">
        <f t="array" ref="AA1227">HLOOKUP($J1227,'Type Chart'!$C$2:$T$20,8,false)*HLOOKUP($K1227,'Type Chart'!$C$2:$U$20,8,false)</f>
        <v>2</v>
      </c>
      <c r="AB1227" s="960">
        <f t="array" ref="AB1227">HLOOKUP($J1227,'Type Chart'!$C$2:$T$20,9,false)*HLOOKUP($K1227,'Type Chart'!$C$2:$U$20,9,false)</f>
        <v>0.5</v>
      </c>
      <c r="AC1227" s="960">
        <f t="array" ref="AC1227">HLOOKUP($J1227,'Type Chart'!$C$2:$T$20,10,false)*HLOOKUP($K1227,'Type Chart'!$C$2:$U$20,10,false)</f>
        <v>1</v>
      </c>
      <c r="AD1227" s="960">
        <f t="array" ref="AD1227">HLOOKUP($J1227,'Type Chart'!$C$2:$T$20,11,false)*HLOOKUP($K1227,'Type Chart'!$C$2:$U$20,11,false)</f>
        <v>1</v>
      </c>
      <c r="AE1227" s="960">
        <f t="array" ref="AE1227">HLOOKUP($J1227,'Type Chart'!$C$2:$T$20,12,false)*HLOOKUP($K1227,'Type Chart'!$C$2:$U$20,12,false)</f>
        <v>2</v>
      </c>
      <c r="AF1227" s="960">
        <f t="array" ref="AF1227">HLOOKUP($J1227,'Type Chart'!$C$2:$T$20,13,false)*HLOOKUP($K1227,'Type Chart'!$C$2:$U$20,13,false)</f>
        <v>2</v>
      </c>
      <c r="AG1227" s="960">
        <f t="array" ref="AG1227">HLOOKUP($J1227,'Type Chart'!$C$2:$T$20,14,false)*HLOOKUP($K1227,'Type Chart'!$C$2:$U$20,14,false)</f>
        <v>0</v>
      </c>
      <c r="AH1227" s="960">
        <f t="array" ref="AH1227">HLOOKUP($J1227,'Type Chart'!$C$2:$T$20,15,false)*HLOOKUP($K1227,'Type Chart'!$C$2:$U$20,15,false)</f>
        <v>0</v>
      </c>
      <c r="AI1227" s="960">
        <f t="array" ref="AI1227">HLOOKUP($J1227,'Type Chart'!$C$2:$T$20,16,false)*HLOOKUP($K1227,'Type Chart'!$C$2:$U$20,16,false)</f>
        <v>2</v>
      </c>
      <c r="AJ1227" s="960">
        <f t="array" ref="AJ1227">HLOOKUP($J1227,'Type Chart'!$C$2:$T$20,17,false)*HLOOKUP($K1227,'Type Chart'!$C$2:$U$20,17,false)</f>
        <v>1</v>
      </c>
      <c r="AK1227" s="960">
        <f t="array" ref="AK1227">HLOOKUP($J1227,'Type Chart'!$C$2:$T$20,18,false)*HLOOKUP($K1227,'Type Chart'!$C$2:$U$20,18,false)</f>
        <v>0.5</v>
      </c>
      <c r="AL1227" s="960">
        <f t="array" ref="AL1227">HLOOKUP($J1227,'Type Chart'!$C$2:$T$20,19,false)*HLOOKUP($K1227,'Type Chart'!$C$2:$U$20,19,false)</f>
        <v>2</v>
      </c>
      <c r="AM1227" s="964" t="s">
        <v>4318</v>
      </c>
      <c r="AN1227" s="965"/>
      <c r="AO1227" s="966"/>
      <c r="AP1227" s="936"/>
      <c r="AQ1227" s="967"/>
      <c r="AR1227" s="968"/>
      <c r="AS1227" s="936"/>
    </row>
    <row r="1228" ht="15.75" customHeight="1">
      <c r="A1228" s="936"/>
      <c r="B1228" s="948">
        <v>995.0</v>
      </c>
      <c r="C1228" s="950" t="s">
        <v>4319</v>
      </c>
      <c r="D1228" s="950" t="s">
        <v>4320</v>
      </c>
      <c r="E1228" s="952" t="s">
        <v>4319</v>
      </c>
      <c r="F1228" s="940"/>
      <c r="G1228" s="953"/>
      <c r="H1228" s="969"/>
      <c r="I1228" s="956" t="s">
        <v>83</v>
      </c>
      <c r="J1228" s="1195" t="s">
        <v>193</v>
      </c>
      <c r="K1228" s="1205" t="s">
        <v>345</v>
      </c>
      <c r="L1228" s="959">
        <v>80.0</v>
      </c>
      <c r="M1228" s="960">
        <v>120.0</v>
      </c>
      <c r="N1228" s="960">
        <v>80.0</v>
      </c>
      <c r="O1228" s="960">
        <v>90.0</v>
      </c>
      <c r="P1228" s="960">
        <v>65.0</v>
      </c>
      <c r="Q1228" s="960">
        <v>135.0</v>
      </c>
      <c r="R1228" s="960">
        <v>306.0</v>
      </c>
      <c r="S1228" s="960">
        <v>369.0</v>
      </c>
      <c r="T1228" s="960">
        <v>405.0</v>
      </c>
      <c r="U1228" s="960">
        <f t="array" ref="U1228">HLOOKUP($J1228,'Type Chart'!$C$2:$T$20,2,false)*HLOOKUP($K1228,'Type Chart'!$C$2:$U$20,2,false)</f>
        <v>1</v>
      </c>
      <c r="V1228" s="960">
        <f t="array" ref="V1228">HLOOKUP($J1228,'Type Chart'!$C$2:$T$20,3,false)*HLOOKUP($K1228,'Type Chart'!$C$2:$U$20,3,false)</f>
        <v>4</v>
      </c>
      <c r="W1228" s="960">
        <f t="array" ref="W1228">HLOOKUP($J1228,'Type Chart'!$C$2:$T$20,4,false)*HLOOKUP($K1228,'Type Chart'!$C$2:$U$20,4,false)</f>
        <v>1</v>
      </c>
      <c r="X1228" s="960">
        <f t="array" ref="X1228">HLOOKUP($J1228,'Type Chart'!$C$2:$T$20,5,false)*HLOOKUP($K1228,'Type Chart'!$C$2:$U$20,5,false)</f>
        <v>1</v>
      </c>
      <c r="Y1228" s="960">
        <f t="array" ref="Y1228">HLOOKUP($J1228,'Type Chart'!$C$2:$T$20,6,false)*HLOOKUP($K1228,'Type Chart'!$C$2:$U$20,6,false)</f>
        <v>1</v>
      </c>
      <c r="Z1228" s="960">
        <f t="array" ref="Z1228">HLOOKUP($J1228,'Type Chart'!$C$2:$T$20,7,false)*HLOOKUP($K1228,'Type Chart'!$C$2:$U$20,7,false)</f>
        <v>2</v>
      </c>
      <c r="AA1228" s="960">
        <f t="array" ref="AA1228">HLOOKUP($J1228,'Type Chart'!$C$2:$T$20,8,false)*HLOOKUP($K1228,'Type Chart'!$C$2:$U$20,8,false)</f>
        <v>2</v>
      </c>
      <c r="AB1228" s="960">
        <f t="array" ref="AB1228">HLOOKUP($J1228,'Type Chart'!$C$2:$T$20,9,false)*HLOOKUP($K1228,'Type Chart'!$C$2:$U$20,9,false)</f>
        <v>0.5</v>
      </c>
      <c r="AC1228" s="960">
        <f t="array" ref="AC1228">HLOOKUP($J1228,'Type Chart'!$C$2:$T$20,10,false)*HLOOKUP($K1228,'Type Chart'!$C$2:$U$20,10,false)</f>
        <v>2</v>
      </c>
      <c r="AD1228" s="960">
        <f t="array" ref="AD1228">HLOOKUP($J1228,'Type Chart'!$C$2:$T$20,11,false)*HLOOKUP($K1228,'Type Chart'!$C$2:$U$20,11,false)</f>
        <v>2</v>
      </c>
      <c r="AE1228" s="960">
        <f t="array" ref="AE1228">HLOOKUP($J1228,'Type Chart'!$C$2:$T$20,12,false)*HLOOKUP($K1228,'Type Chart'!$C$2:$U$20,12,false)</f>
        <v>1</v>
      </c>
      <c r="AF1228" s="960">
        <f t="array" ref="AF1228">HLOOKUP($J1228,'Type Chart'!$C$2:$T$20,13,false)*HLOOKUP($K1228,'Type Chart'!$C$2:$U$20,13,false)</f>
        <v>1</v>
      </c>
      <c r="AG1228" s="960">
        <f t="array" ref="AG1228">HLOOKUP($J1228,'Type Chart'!$C$2:$T$20,14,false)*HLOOKUP($K1228,'Type Chart'!$C$2:$U$20,14,false)</f>
        <v>1</v>
      </c>
      <c r="AH1228" s="960">
        <f t="array" ref="AH1228">HLOOKUP($J1228,'Type Chart'!$C$2:$T$20,15,false)*HLOOKUP($K1228,'Type Chart'!$C$2:$U$20,15,false)</f>
        <v>0</v>
      </c>
      <c r="AI1228" s="960">
        <f t="array" ref="AI1228">HLOOKUP($J1228,'Type Chart'!$C$2:$T$20,16,false)*HLOOKUP($K1228,'Type Chart'!$C$2:$U$20,16,false)</f>
        <v>0.5</v>
      </c>
      <c r="AJ1228" s="960">
        <f t="array" ref="AJ1228">HLOOKUP($J1228,'Type Chart'!$C$2:$T$20,17,false)*HLOOKUP($K1228,'Type Chart'!$C$2:$U$20,17,false)</f>
        <v>1</v>
      </c>
      <c r="AK1228" s="960">
        <f t="array" ref="AK1228">HLOOKUP($J1228,'Type Chart'!$C$2:$T$20,18,false)*HLOOKUP($K1228,'Type Chart'!$C$2:$U$20,18,false)</f>
        <v>0.5</v>
      </c>
      <c r="AL1228" s="960">
        <f t="array" ref="AL1228">HLOOKUP($J1228,'Type Chart'!$C$2:$T$20,19,false)*HLOOKUP($K1228,'Type Chart'!$C$2:$U$20,19,false)</f>
        <v>2</v>
      </c>
      <c r="AM1228" s="964" t="s">
        <v>4321</v>
      </c>
      <c r="AN1228" s="965"/>
      <c r="AO1228" s="966"/>
      <c r="AP1228" s="936"/>
      <c r="AQ1228" s="967"/>
      <c r="AR1228" s="968"/>
      <c r="AS1228" s="936"/>
    </row>
    <row r="1229" ht="15.75" customHeight="1">
      <c r="A1229" s="1099"/>
      <c r="B1229" s="948">
        <v>996.0</v>
      </c>
      <c r="C1229" s="1197" t="s">
        <v>4322</v>
      </c>
      <c r="D1229" s="1197" t="s">
        <v>4323</v>
      </c>
      <c r="E1229" s="952" t="s">
        <v>4322</v>
      </c>
      <c r="F1229" s="940"/>
      <c r="G1229" s="953"/>
      <c r="H1229" s="969"/>
      <c r="I1229" s="998" t="s">
        <v>601</v>
      </c>
      <c r="J1229" s="1229" t="s">
        <v>193</v>
      </c>
      <c r="K1229" s="1228" t="s">
        <v>209</v>
      </c>
      <c r="L1229" s="1200">
        <v>85.0</v>
      </c>
      <c r="M1229" s="1201">
        <v>85.0</v>
      </c>
      <c r="N1229" s="1201">
        <v>100.0</v>
      </c>
      <c r="O1229" s="1201">
        <v>95.0</v>
      </c>
      <c r="P1229" s="1201">
        <v>135.0</v>
      </c>
      <c r="Q1229" s="1201">
        <v>70.0</v>
      </c>
      <c r="R1229" s="960">
        <v>176.0</v>
      </c>
      <c r="S1229" s="960">
        <v>239.0</v>
      </c>
      <c r="T1229" s="960">
        <v>262.0</v>
      </c>
      <c r="U1229" s="960">
        <f t="array" ref="U1229">HLOOKUP($J1229,'Type Chart'!$C$2:$T$20,2,false)*HLOOKUP($K1229,'Type Chart'!$C$2:$U$20,2,false)</f>
        <v>1</v>
      </c>
      <c r="V1229" s="960">
        <f t="array" ref="V1229">HLOOKUP($J1229,'Type Chart'!$C$2:$T$20,3,false)*HLOOKUP($K1229,'Type Chart'!$C$2:$U$20,3,false)</f>
        <v>2</v>
      </c>
      <c r="W1229" s="960">
        <f t="array" ref="W1229">HLOOKUP($J1229,'Type Chart'!$C$2:$T$20,4,false)*HLOOKUP($K1229,'Type Chart'!$C$2:$U$20,4,false)</f>
        <v>2</v>
      </c>
      <c r="X1229" s="960">
        <f t="array" ref="X1229">HLOOKUP($J1229,'Type Chart'!$C$2:$T$20,5,false)*HLOOKUP($K1229,'Type Chart'!$C$2:$U$20,5,false)</f>
        <v>2</v>
      </c>
      <c r="Y1229" s="960">
        <f t="array" ref="Y1229">HLOOKUP($J1229,'Type Chart'!$C$2:$T$20,6,false)*HLOOKUP($K1229,'Type Chart'!$C$2:$U$20,6,false)</f>
        <v>0.5</v>
      </c>
      <c r="Z1229" s="960">
        <f t="array" ref="Z1229">HLOOKUP($J1229,'Type Chart'!$C$2:$T$20,7,false)*HLOOKUP($K1229,'Type Chart'!$C$2:$U$20,7,false)</f>
        <v>1</v>
      </c>
      <c r="AA1229" s="960">
        <f t="array" ref="AA1229">HLOOKUP($J1229,'Type Chart'!$C$2:$T$20,8,false)*HLOOKUP($K1229,'Type Chart'!$C$2:$U$20,8,false)</f>
        <v>4</v>
      </c>
      <c r="AB1229" s="960">
        <f t="array" ref="AB1229">HLOOKUP($J1229,'Type Chart'!$C$2:$T$20,9,false)*HLOOKUP($K1229,'Type Chart'!$C$2:$U$20,9,false)</f>
        <v>0.5</v>
      </c>
      <c r="AC1229" s="960">
        <f t="array" ref="AC1229">HLOOKUP($J1229,'Type Chart'!$C$2:$T$20,10,false)*HLOOKUP($K1229,'Type Chart'!$C$2:$U$20,10,false)</f>
        <v>1</v>
      </c>
      <c r="AD1229" s="960">
        <f t="array" ref="AD1229">HLOOKUP($J1229,'Type Chart'!$C$2:$T$20,11,false)*HLOOKUP($K1229,'Type Chart'!$C$2:$U$20,11,false)</f>
        <v>2</v>
      </c>
      <c r="AE1229" s="960">
        <f t="array" ref="AE1229">HLOOKUP($J1229,'Type Chart'!$C$2:$T$20,12,false)*HLOOKUP($K1229,'Type Chart'!$C$2:$U$20,12,false)</f>
        <v>0.5</v>
      </c>
      <c r="AF1229" s="960">
        <f t="array" ref="AF1229">HLOOKUP($J1229,'Type Chart'!$C$2:$T$20,13,false)*HLOOKUP($K1229,'Type Chart'!$C$2:$U$20,13,false)</f>
        <v>0.5</v>
      </c>
      <c r="AG1229" s="960">
        <f t="array" ref="AG1229">HLOOKUP($J1229,'Type Chart'!$C$2:$T$20,14,false)*HLOOKUP($K1229,'Type Chart'!$C$2:$U$20,14,false)</f>
        <v>0.5</v>
      </c>
      <c r="AH1229" s="960">
        <f t="array" ref="AH1229">HLOOKUP($J1229,'Type Chart'!$C$2:$T$20,15,false)*HLOOKUP($K1229,'Type Chart'!$C$2:$U$20,15,false)</f>
        <v>0</v>
      </c>
      <c r="AI1229" s="960">
        <f t="array" ref="AI1229">HLOOKUP($J1229,'Type Chart'!$C$2:$T$20,16,false)*HLOOKUP($K1229,'Type Chart'!$C$2:$U$20,16,false)</f>
        <v>2</v>
      </c>
      <c r="AJ1229" s="960">
        <f t="array" ref="AJ1229">HLOOKUP($J1229,'Type Chart'!$C$2:$T$20,17,false)*HLOOKUP($K1229,'Type Chart'!$C$2:$U$20,17,false)</f>
        <v>1</v>
      </c>
      <c r="AK1229" s="960">
        <f t="array" ref="AK1229">HLOOKUP($J1229,'Type Chart'!$C$2:$T$20,18,false)*HLOOKUP($K1229,'Type Chart'!$C$2:$U$20,18,false)</f>
        <v>0.5</v>
      </c>
      <c r="AL1229" s="960">
        <f t="array" ref="AL1229">HLOOKUP($J1229,'Type Chart'!$C$2:$T$20,19,false)*HLOOKUP($K1229,'Type Chart'!$C$2:$U$20,19,false)</f>
        <v>2</v>
      </c>
      <c r="AM1229" s="1145" t="s">
        <v>4324</v>
      </c>
      <c r="AN1229" s="965"/>
      <c r="AO1229" s="966"/>
      <c r="AP1229" s="936"/>
      <c r="AQ1229" s="967"/>
      <c r="AR1229" s="968"/>
      <c r="AS1229" s="936"/>
    </row>
    <row r="1230" ht="15.75" customHeight="1">
      <c r="A1230" s="1099"/>
      <c r="B1230" s="948">
        <v>997.0</v>
      </c>
      <c r="C1230" s="1197" t="s">
        <v>4325</v>
      </c>
      <c r="D1230" s="1197" t="s">
        <v>4326</v>
      </c>
      <c r="E1230" s="1147" t="s">
        <v>4325</v>
      </c>
      <c r="F1230" s="940"/>
      <c r="G1230" s="953"/>
      <c r="H1230" s="969"/>
      <c r="I1230" s="998" t="s">
        <v>380</v>
      </c>
      <c r="J1230" s="1229" t="s">
        <v>193</v>
      </c>
      <c r="K1230" s="1208" t="s">
        <v>150</v>
      </c>
      <c r="L1230" s="1200">
        <v>55.0</v>
      </c>
      <c r="M1230" s="1201">
        <v>80.0</v>
      </c>
      <c r="N1230" s="1201">
        <v>80.0</v>
      </c>
      <c r="O1230" s="1201">
        <v>135.0</v>
      </c>
      <c r="P1230" s="1201">
        <v>120.0</v>
      </c>
      <c r="Q1230" s="1201">
        <v>100.0</v>
      </c>
      <c r="R1230" s="960">
        <v>236.0</v>
      </c>
      <c r="S1230" s="960">
        <v>299.0</v>
      </c>
      <c r="T1230" s="960">
        <v>328.0</v>
      </c>
      <c r="U1230" s="960">
        <f t="array" ref="U1230">HLOOKUP($J1230,'Type Chart'!$C$2:$T$20,2,false)*HLOOKUP($K1230,'Type Chart'!$C$2:$U$20,2,false)</f>
        <v>1</v>
      </c>
      <c r="V1230" s="960">
        <f t="array" ref="V1230">HLOOKUP($J1230,'Type Chart'!$C$2:$T$20,3,false)*HLOOKUP($K1230,'Type Chart'!$C$2:$U$20,3,false)</f>
        <v>2</v>
      </c>
      <c r="W1230" s="960">
        <f t="array" ref="W1230">HLOOKUP($J1230,'Type Chart'!$C$2:$T$20,4,false)*HLOOKUP($K1230,'Type Chart'!$C$2:$U$20,4,false)</f>
        <v>1</v>
      </c>
      <c r="X1230" s="960">
        <f t="array" ref="X1230">HLOOKUP($J1230,'Type Chart'!$C$2:$T$20,5,false)*HLOOKUP($K1230,'Type Chart'!$C$2:$U$20,5,false)</f>
        <v>1</v>
      </c>
      <c r="Y1230" s="960">
        <f t="array" ref="Y1230">HLOOKUP($J1230,'Type Chart'!$C$2:$T$20,6,false)*HLOOKUP($K1230,'Type Chart'!$C$2:$U$20,6,false)</f>
        <v>2</v>
      </c>
      <c r="Z1230" s="960">
        <f t="array" ref="Z1230">HLOOKUP($J1230,'Type Chart'!$C$2:$T$20,7,false)*HLOOKUP($K1230,'Type Chart'!$C$2:$U$20,7,false)</f>
        <v>2</v>
      </c>
      <c r="AA1230" s="960">
        <f t="array" ref="AA1230">HLOOKUP($J1230,'Type Chart'!$C$2:$T$20,8,false)*HLOOKUP($K1230,'Type Chart'!$C$2:$U$20,8,false)</f>
        <v>1</v>
      </c>
      <c r="AB1230" s="960">
        <f t="array" ref="AB1230">HLOOKUP($J1230,'Type Chart'!$C$2:$T$20,9,false)*HLOOKUP($K1230,'Type Chart'!$C$2:$U$20,9,false)</f>
        <v>0.5</v>
      </c>
      <c r="AC1230" s="960">
        <f t="array" ref="AC1230">HLOOKUP($J1230,'Type Chart'!$C$2:$T$20,10,false)*HLOOKUP($K1230,'Type Chart'!$C$2:$U$20,10,false)</f>
        <v>0.5</v>
      </c>
      <c r="AD1230" s="960">
        <f t="array" ref="AD1230">HLOOKUP($J1230,'Type Chart'!$C$2:$T$20,11,false)*HLOOKUP($K1230,'Type Chart'!$C$2:$U$20,11,false)</f>
        <v>0.5</v>
      </c>
      <c r="AE1230" s="960">
        <f t="array" ref="AE1230">HLOOKUP($J1230,'Type Chart'!$C$2:$T$20,12,false)*HLOOKUP($K1230,'Type Chart'!$C$2:$U$20,12,false)</f>
        <v>2</v>
      </c>
      <c r="AF1230" s="960">
        <f t="array" ref="AF1230">HLOOKUP($J1230,'Type Chart'!$C$2:$T$20,13,false)*HLOOKUP($K1230,'Type Chart'!$C$2:$U$20,13,false)</f>
        <v>0.5</v>
      </c>
      <c r="AG1230" s="960">
        <f t="array" ref="AG1230">HLOOKUP($J1230,'Type Chart'!$C$2:$T$20,14,false)*HLOOKUP($K1230,'Type Chart'!$C$2:$U$20,14,false)</f>
        <v>1</v>
      </c>
      <c r="AH1230" s="960">
        <f t="array" ref="AH1230">HLOOKUP($J1230,'Type Chart'!$C$2:$T$20,15,false)*HLOOKUP($K1230,'Type Chart'!$C$2:$U$20,15,false)</f>
        <v>0</v>
      </c>
      <c r="AI1230" s="960">
        <f t="array" ref="AI1230">HLOOKUP($J1230,'Type Chart'!$C$2:$T$20,16,false)*HLOOKUP($K1230,'Type Chart'!$C$2:$U$20,16,false)</f>
        <v>0.5</v>
      </c>
      <c r="AJ1230" s="960">
        <f t="array" ref="AJ1230">HLOOKUP($J1230,'Type Chart'!$C$2:$T$20,17,false)*HLOOKUP($K1230,'Type Chart'!$C$2:$U$20,17,false)</f>
        <v>1</v>
      </c>
      <c r="AK1230" s="960">
        <f t="array" ref="AK1230">HLOOKUP($J1230,'Type Chart'!$C$2:$T$20,18,false)*HLOOKUP($K1230,'Type Chart'!$C$2:$U$20,18,false)</f>
        <v>0.5</v>
      </c>
      <c r="AL1230" s="960">
        <f t="array" ref="AL1230">HLOOKUP($J1230,'Type Chart'!$C$2:$T$20,19,false)*HLOOKUP($K1230,'Type Chart'!$C$2:$U$20,19,false)</f>
        <v>1</v>
      </c>
      <c r="AM1230" s="1145" t="s">
        <v>4327</v>
      </c>
      <c r="AN1230" s="965"/>
      <c r="AO1230" s="966"/>
      <c r="AP1230" s="936"/>
      <c r="AQ1230" s="967"/>
      <c r="AR1230" s="968"/>
      <c r="AS1230" s="936"/>
    </row>
    <row r="1231" ht="15.75" customHeight="1">
      <c r="A1231" s="936"/>
      <c r="B1231" s="948">
        <v>998.0</v>
      </c>
      <c r="C1231" s="950" t="s">
        <v>4328</v>
      </c>
      <c r="D1231" s="950" t="s">
        <v>4328</v>
      </c>
      <c r="E1231" s="952" t="s">
        <v>4328</v>
      </c>
      <c r="F1231" s="940"/>
      <c r="G1231" s="953"/>
      <c r="H1231" s="969"/>
      <c r="I1231" s="956" t="s">
        <v>4329</v>
      </c>
      <c r="J1231" s="1213" t="s">
        <v>341</v>
      </c>
      <c r="K1231" s="1006" t="s">
        <v>346</v>
      </c>
      <c r="L1231" s="959">
        <v>100.0</v>
      </c>
      <c r="M1231" s="960">
        <v>135.0</v>
      </c>
      <c r="N1231" s="960">
        <v>115.0</v>
      </c>
      <c r="O1231" s="960">
        <v>85.0</v>
      </c>
      <c r="P1231" s="960">
        <v>100.0</v>
      </c>
      <c r="Q1231" s="960">
        <v>135.0</v>
      </c>
      <c r="R1231" s="960">
        <v>306.0</v>
      </c>
      <c r="S1231" s="960">
        <v>369.0</v>
      </c>
      <c r="T1231" s="960">
        <v>405.0</v>
      </c>
      <c r="U1231" s="960">
        <f t="array" ref="U1231">HLOOKUP($J1231,'Type Chart'!$C$2:$T$20,2,false)*HLOOKUP($K1231,'Type Chart'!$C$2:$U$20,2,false)</f>
        <v>1</v>
      </c>
      <c r="V1231" s="960">
        <f t="array" ref="V1231">HLOOKUP($J1231,'Type Chart'!$C$2:$T$20,3,false)*HLOOKUP($K1231,'Type Chart'!$C$2:$U$20,3,false)</f>
        <v>1</v>
      </c>
      <c r="W1231" s="960">
        <f t="array" ref="W1231">HLOOKUP($J1231,'Type Chart'!$C$2:$T$20,4,false)*HLOOKUP($K1231,'Type Chart'!$C$2:$U$20,4,false)</f>
        <v>2</v>
      </c>
      <c r="X1231" s="960">
        <f t="array" ref="X1231">HLOOKUP($J1231,'Type Chart'!$C$2:$T$20,5,false)*HLOOKUP($K1231,'Type Chart'!$C$2:$U$20,5,false)</f>
        <v>1</v>
      </c>
      <c r="Y1231" s="960">
        <f t="array" ref="Y1231">HLOOKUP($J1231,'Type Chart'!$C$2:$T$20,6,false)*HLOOKUP($K1231,'Type Chart'!$C$2:$U$20,6,false)</f>
        <v>1</v>
      </c>
      <c r="Z1231" s="960">
        <f t="array" ref="Z1231">HLOOKUP($J1231,'Type Chart'!$C$2:$T$20,7,false)*HLOOKUP($K1231,'Type Chart'!$C$2:$U$20,7,false)</f>
        <v>0.5</v>
      </c>
      <c r="AA1231" s="960">
        <f t="array" ref="AA1231">HLOOKUP($J1231,'Type Chart'!$C$2:$T$20,8,false)*HLOOKUP($K1231,'Type Chart'!$C$2:$U$20,8,false)</f>
        <v>0.5</v>
      </c>
      <c r="AB1231" s="960">
        <f t="array" ref="AB1231">HLOOKUP($J1231,'Type Chart'!$C$2:$T$20,9,false)*HLOOKUP($K1231,'Type Chart'!$C$2:$U$20,9,false)</f>
        <v>1</v>
      </c>
      <c r="AC1231" s="960">
        <f t="array" ref="AC1231">HLOOKUP($J1231,'Type Chart'!$C$2:$T$20,10,false)*HLOOKUP($K1231,'Type Chart'!$C$2:$U$20,10,false)</f>
        <v>1</v>
      </c>
      <c r="AD1231" s="960">
        <f t="array" ref="AD1231">HLOOKUP($J1231,'Type Chart'!$C$2:$T$20,11,false)*HLOOKUP($K1231,'Type Chart'!$C$2:$U$20,11,false)</f>
        <v>0.5</v>
      </c>
      <c r="AE1231" s="960">
        <f t="array" ref="AE1231">HLOOKUP($J1231,'Type Chart'!$C$2:$T$20,12,false)*HLOOKUP($K1231,'Type Chart'!$C$2:$U$20,12,false)</f>
        <v>0.5</v>
      </c>
      <c r="AF1231" s="960">
        <f t="array" ref="AF1231">HLOOKUP($J1231,'Type Chart'!$C$2:$T$20,13,false)*HLOOKUP($K1231,'Type Chart'!$C$2:$U$20,13,false)</f>
        <v>0.5</v>
      </c>
      <c r="AG1231" s="960">
        <f t="array" ref="AG1231">HLOOKUP($J1231,'Type Chart'!$C$2:$T$20,14,false)*HLOOKUP($K1231,'Type Chart'!$C$2:$U$20,14,false)</f>
        <v>0.5</v>
      </c>
      <c r="AH1231" s="960">
        <f t="array" ref="AH1231">HLOOKUP($J1231,'Type Chart'!$C$2:$T$20,15,false)*HLOOKUP($K1231,'Type Chart'!$C$2:$U$20,15,false)</f>
        <v>2</v>
      </c>
      <c r="AI1231" s="960">
        <f t="array" ref="AI1231">HLOOKUP($J1231,'Type Chart'!$C$2:$T$20,16,false)*HLOOKUP($K1231,'Type Chart'!$C$2:$U$20,16,false)</f>
        <v>2</v>
      </c>
      <c r="AJ1231" s="960">
        <f t="array" ref="AJ1231">HLOOKUP($J1231,'Type Chart'!$C$2:$T$20,17,false)*HLOOKUP($K1231,'Type Chart'!$C$2:$U$20,17,false)</f>
        <v>2</v>
      </c>
      <c r="AK1231" s="960">
        <f t="array" ref="AK1231">HLOOKUP($J1231,'Type Chart'!$C$2:$T$20,18,false)*HLOOKUP($K1231,'Type Chart'!$C$2:$U$20,18,false)</f>
        <v>0.5</v>
      </c>
      <c r="AL1231" s="960">
        <f t="array" ref="AL1231">HLOOKUP($J1231,'Type Chart'!$C$2:$T$20,19,false)*HLOOKUP($K1231,'Type Chart'!$C$2:$U$20,19,false)</f>
        <v>4</v>
      </c>
      <c r="AM1231" s="964" t="s">
        <v>4330</v>
      </c>
      <c r="AN1231" s="965"/>
      <c r="AO1231" s="966"/>
      <c r="AP1231" s="936"/>
      <c r="AQ1231" s="967"/>
      <c r="AR1231" s="968"/>
      <c r="AS1231" s="936"/>
    </row>
    <row r="1232" ht="15.75" customHeight="1">
      <c r="A1232" s="936"/>
      <c r="B1232" s="948">
        <v>999.0</v>
      </c>
      <c r="C1232" s="950" t="s">
        <v>4331</v>
      </c>
      <c r="D1232" s="950" t="s">
        <v>4331</v>
      </c>
      <c r="E1232" s="952" t="s">
        <v>4331</v>
      </c>
      <c r="F1232" s="940"/>
      <c r="G1232" s="953"/>
      <c r="H1232" s="969"/>
      <c r="I1232" s="956" t="s">
        <v>4332</v>
      </c>
      <c r="J1232" s="1196" t="s">
        <v>203</v>
      </c>
      <c r="K1232" s="1006" t="s">
        <v>346</v>
      </c>
      <c r="L1232" s="959">
        <v>100.0</v>
      </c>
      <c r="M1232" s="960">
        <v>85.0</v>
      </c>
      <c r="N1232" s="960">
        <v>100.0</v>
      </c>
      <c r="O1232" s="960">
        <v>135.0</v>
      </c>
      <c r="P1232" s="960">
        <v>115.0</v>
      </c>
      <c r="Q1232" s="960">
        <v>135.0</v>
      </c>
      <c r="R1232" s="960">
        <v>306.0</v>
      </c>
      <c r="S1232" s="960">
        <v>369.0</v>
      </c>
      <c r="T1232" s="960">
        <v>405.0</v>
      </c>
      <c r="U1232" s="960">
        <f t="array" ref="U1232">HLOOKUP($J1232,'Type Chart'!$C$2:$T$20,2,false)*HLOOKUP($K1232,'Type Chart'!$C$2:$U$20,2,false)</f>
        <v>1</v>
      </c>
      <c r="V1232" s="960">
        <f t="array" ref="V1232">HLOOKUP($J1232,'Type Chart'!$C$2:$T$20,3,false)*HLOOKUP($K1232,'Type Chart'!$C$2:$U$20,3,false)</f>
        <v>1</v>
      </c>
      <c r="W1232" s="960">
        <f t="array" ref="W1232">HLOOKUP($J1232,'Type Chart'!$C$2:$T$20,4,false)*HLOOKUP($K1232,'Type Chart'!$C$2:$U$20,4,false)</f>
        <v>0.5</v>
      </c>
      <c r="X1232" s="960">
        <f t="array" ref="X1232">HLOOKUP($J1232,'Type Chart'!$C$2:$T$20,5,false)*HLOOKUP($K1232,'Type Chart'!$C$2:$U$20,5,false)</f>
        <v>1</v>
      </c>
      <c r="Y1232" s="960">
        <f t="array" ref="Y1232">HLOOKUP($J1232,'Type Chart'!$C$2:$T$20,6,false)*HLOOKUP($K1232,'Type Chart'!$C$2:$U$20,6,false)</f>
        <v>2</v>
      </c>
      <c r="Z1232" s="960">
        <f t="array" ref="Z1232">HLOOKUP($J1232,'Type Chart'!$C$2:$T$20,7,false)*HLOOKUP($K1232,'Type Chart'!$C$2:$U$20,7,false)</f>
        <v>1</v>
      </c>
      <c r="AA1232" s="960">
        <f t="array" ref="AA1232">HLOOKUP($J1232,'Type Chart'!$C$2:$T$20,8,false)*HLOOKUP($K1232,'Type Chart'!$C$2:$U$20,8,false)</f>
        <v>1</v>
      </c>
      <c r="AB1232" s="960">
        <f t="array" ref="AB1232">HLOOKUP($J1232,'Type Chart'!$C$2:$T$20,9,false)*HLOOKUP($K1232,'Type Chart'!$C$2:$U$20,9,false)</f>
        <v>1</v>
      </c>
      <c r="AC1232" s="960">
        <f t="array" ref="AC1232">HLOOKUP($J1232,'Type Chart'!$C$2:$T$20,10,false)*HLOOKUP($K1232,'Type Chart'!$C$2:$U$20,10,false)</f>
        <v>0.5</v>
      </c>
      <c r="AD1232" s="960">
        <f t="array" ref="AD1232">HLOOKUP($J1232,'Type Chart'!$C$2:$T$20,11,false)*HLOOKUP($K1232,'Type Chart'!$C$2:$U$20,11,false)</f>
        <v>0.5</v>
      </c>
      <c r="AE1232" s="960">
        <f t="array" ref="AE1232">HLOOKUP($J1232,'Type Chart'!$C$2:$T$20,12,false)*HLOOKUP($K1232,'Type Chart'!$C$2:$U$20,12,false)</f>
        <v>0.5</v>
      </c>
      <c r="AF1232" s="960">
        <f t="array" ref="AF1232">HLOOKUP($J1232,'Type Chart'!$C$2:$T$20,13,false)*HLOOKUP($K1232,'Type Chart'!$C$2:$U$20,13,false)</f>
        <v>0.5</v>
      </c>
      <c r="AG1232" s="960">
        <f t="array" ref="AG1232">HLOOKUP($J1232,'Type Chart'!$C$2:$T$20,14,false)*HLOOKUP($K1232,'Type Chart'!$C$2:$U$20,14,false)</f>
        <v>0.25</v>
      </c>
      <c r="AH1232" s="960">
        <f t="array" ref="AH1232">HLOOKUP($J1232,'Type Chart'!$C$2:$T$20,15,false)*HLOOKUP($K1232,'Type Chart'!$C$2:$U$20,15,false)</f>
        <v>1</v>
      </c>
      <c r="AI1232" s="960">
        <f t="array" ref="AI1232">HLOOKUP($J1232,'Type Chart'!$C$2:$T$20,16,false)*HLOOKUP($K1232,'Type Chart'!$C$2:$U$20,16,false)</f>
        <v>2</v>
      </c>
      <c r="AJ1232" s="960">
        <f t="array" ref="AJ1232">HLOOKUP($J1232,'Type Chart'!$C$2:$T$20,17,false)*HLOOKUP($K1232,'Type Chart'!$C$2:$U$20,17,false)</f>
        <v>2</v>
      </c>
      <c r="AK1232" s="960">
        <f t="array" ref="AK1232">HLOOKUP($J1232,'Type Chart'!$C$2:$T$20,18,false)*HLOOKUP($K1232,'Type Chart'!$C$2:$U$20,18,false)</f>
        <v>1</v>
      </c>
      <c r="AL1232" s="960">
        <f t="array" ref="AL1232">HLOOKUP($J1232,'Type Chart'!$C$2:$T$20,19,false)*HLOOKUP($K1232,'Type Chart'!$C$2:$U$20,19,false)</f>
        <v>2</v>
      </c>
      <c r="AM1232" s="964" t="s">
        <v>4333</v>
      </c>
      <c r="AN1232" s="965"/>
      <c r="AO1232" s="966"/>
      <c r="AP1232" s="936"/>
      <c r="AQ1232" s="967"/>
      <c r="AR1232" s="968"/>
      <c r="AS1232" s="936"/>
    </row>
    <row r="1233" ht="15.75" customHeight="1">
      <c r="A1233" s="936"/>
      <c r="B1233" s="948">
        <v>1000.0</v>
      </c>
      <c r="C1233" s="950" t="s">
        <v>4334</v>
      </c>
      <c r="D1233" s="950" t="s">
        <v>4334</v>
      </c>
      <c r="E1233" s="952" t="s">
        <v>4334</v>
      </c>
      <c r="F1233" s="940"/>
      <c r="G1233" s="953"/>
      <c r="H1233" s="969"/>
      <c r="I1233" s="956" t="s">
        <v>4335</v>
      </c>
      <c r="J1233" s="1207" t="s">
        <v>127</v>
      </c>
      <c r="K1233" s="1206" t="s">
        <v>82</v>
      </c>
      <c r="L1233" s="959">
        <v>50.0</v>
      </c>
      <c r="M1233" s="960">
        <v>45.0</v>
      </c>
      <c r="N1233" s="960">
        <v>45.0</v>
      </c>
      <c r="O1233" s="960">
        <v>35.0</v>
      </c>
      <c r="P1233" s="960">
        <v>64.0</v>
      </c>
      <c r="Q1233" s="960">
        <v>58.0</v>
      </c>
      <c r="R1233" s="960">
        <v>152.0</v>
      </c>
      <c r="S1233" s="960">
        <v>215.0</v>
      </c>
      <c r="T1233" s="960">
        <v>236.0</v>
      </c>
      <c r="U1233" s="960">
        <f t="array" ref="U1233">HLOOKUP($J1233,'Type Chart'!$C$2:$T$20,2,false)*HLOOKUP($K1233,'Type Chart'!$C$2:$U$20,2,false)</f>
        <v>0.5</v>
      </c>
      <c r="V1233" s="960">
        <f t="array" ref="V1233">HLOOKUP($J1233,'Type Chart'!$C$2:$T$20,3,false)*HLOOKUP($K1233,'Type Chart'!$C$2:$U$20,3,false)</f>
        <v>1</v>
      </c>
      <c r="W1233" s="960">
        <f t="array" ref="W1233">HLOOKUP($J1233,'Type Chart'!$C$2:$T$20,4,false)*HLOOKUP($K1233,'Type Chart'!$C$2:$U$20,4,false)</f>
        <v>0.5</v>
      </c>
      <c r="X1233" s="960">
        <f t="array" ref="X1233">HLOOKUP($J1233,'Type Chart'!$C$2:$T$20,5,false)*HLOOKUP($K1233,'Type Chart'!$C$2:$U$20,5,false)</f>
        <v>0</v>
      </c>
      <c r="Y1233" s="960">
        <f t="array" ref="Y1233">HLOOKUP($J1233,'Type Chart'!$C$2:$T$20,6,false)*HLOOKUP($K1233,'Type Chart'!$C$2:$U$20,6,false)</f>
        <v>2</v>
      </c>
      <c r="Z1233" s="960">
        <f t="array" ref="Z1233">HLOOKUP($J1233,'Type Chart'!$C$2:$T$20,7,false)*HLOOKUP($K1233,'Type Chart'!$C$2:$U$20,7,false)</f>
        <v>0.5</v>
      </c>
      <c r="AA1233" s="960">
        <f t="array" ref="AA1233">HLOOKUP($J1233,'Type Chart'!$C$2:$T$20,8,false)*HLOOKUP($K1233,'Type Chart'!$C$2:$U$20,8,false)</f>
        <v>0.25</v>
      </c>
      <c r="AB1233" s="960">
        <f t="array" ref="AB1233">HLOOKUP($J1233,'Type Chart'!$C$2:$T$20,9,false)*HLOOKUP($K1233,'Type Chart'!$C$2:$U$20,9,false)</f>
        <v>1</v>
      </c>
      <c r="AC1233" s="960">
        <f t="array" ref="AC1233">HLOOKUP($J1233,'Type Chart'!$C$2:$T$20,10,false)*HLOOKUP($K1233,'Type Chart'!$C$2:$U$20,10,false)</f>
        <v>1</v>
      </c>
      <c r="AD1233" s="960">
        <f t="array" ref="AD1233">HLOOKUP($J1233,'Type Chart'!$C$2:$T$20,11,false)*HLOOKUP($K1233,'Type Chart'!$C$2:$U$20,11,false)</f>
        <v>2</v>
      </c>
      <c r="AE1233" s="960">
        <f t="array" ref="AE1233">HLOOKUP($J1233,'Type Chart'!$C$2:$T$20,12,false)*HLOOKUP($K1233,'Type Chart'!$C$2:$U$20,12,false)</f>
        <v>1</v>
      </c>
      <c r="AF1233" s="960">
        <f t="array" ref="AF1233">HLOOKUP($J1233,'Type Chart'!$C$2:$T$20,13,false)*HLOOKUP($K1233,'Type Chart'!$C$2:$U$20,13,false)</f>
        <v>0.5</v>
      </c>
      <c r="AG1233" s="960">
        <f t="array" ref="AG1233">HLOOKUP($J1233,'Type Chart'!$C$2:$T$20,14,false)*HLOOKUP($K1233,'Type Chart'!$C$2:$U$20,14,false)</f>
        <v>1</v>
      </c>
      <c r="AH1233" s="960">
        <f t="array" ref="AH1233">HLOOKUP($J1233,'Type Chart'!$C$2:$T$20,15,false)*HLOOKUP($K1233,'Type Chart'!$C$2:$U$20,15,false)</f>
        <v>0.5</v>
      </c>
      <c r="AI1233" s="960">
        <f t="array" ref="AI1233">HLOOKUP($J1233,'Type Chart'!$C$2:$T$20,16,false)*HLOOKUP($K1233,'Type Chart'!$C$2:$U$20,16,false)</f>
        <v>0.5</v>
      </c>
      <c r="AJ1233" s="960">
        <f t="array" ref="AJ1233">HLOOKUP($J1233,'Type Chart'!$C$2:$T$20,17,false)*HLOOKUP($K1233,'Type Chart'!$C$2:$U$20,17,false)</f>
        <v>0</v>
      </c>
      <c r="AK1233" s="960">
        <f t="array" ref="AK1233">HLOOKUP($J1233,'Type Chart'!$C$2:$T$20,18,false)*HLOOKUP($K1233,'Type Chart'!$C$2:$U$20,18,false)</f>
        <v>0.5</v>
      </c>
      <c r="AL1233" s="960">
        <f t="array" ref="AL1233">HLOOKUP($J1233,'Type Chart'!$C$2:$T$20,19,false)*HLOOKUP($K1233,'Type Chart'!$C$2:$U$20,19,false)</f>
        <v>0.5</v>
      </c>
      <c r="AM1233" s="964" t="s">
        <v>1576</v>
      </c>
      <c r="AN1233" s="964" t="s">
        <v>1370</v>
      </c>
      <c r="AO1233" s="966" t="s">
        <v>1869</v>
      </c>
      <c r="AP1233" s="936"/>
      <c r="AQ1233" s="967"/>
      <c r="AR1233" s="968"/>
      <c r="AS1233" s="936"/>
    </row>
    <row r="1234" ht="15.75" customHeight="1">
      <c r="A1234" s="936"/>
      <c r="B1234" s="948">
        <v>1001.0</v>
      </c>
      <c r="C1234" s="950" t="s">
        <v>4336</v>
      </c>
      <c r="D1234" s="950" t="s">
        <v>4336</v>
      </c>
      <c r="E1234" s="952" t="s">
        <v>4336</v>
      </c>
      <c r="F1234" s="940"/>
      <c r="G1234" s="953"/>
      <c r="H1234" s="969"/>
      <c r="I1234" s="956" t="s">
        <v>870</v>
      </c>
      <c r="J1234" s="1207" t="s">
        <v>127</v>
      </c>
      <c r="K1234" s="1206" t="s">
        <v>82</v>
      </c>
      <c r="L1234" s="959">
        <v>65.0</v>
      </c>
      <c r="M1234" s="960">
        <v>55.0</v>
      </c>
      <c r="N1234" s="960">
        <v>55.0</v>
      </c>
      <c r="O1234" s="960">
        <v>45.0</v>
      </c>
      <c r="P1234" s="960">
        <v>82.0</v>
      </c>
      <c r="Q1234" s="960">
        <v>78.0</v>
      </c>
      <c r="R1234" s="960">
        <v>192.0</v>
      </c>
      <c r="S1234" s="960">
        <v>255.0</v>
      </c>
      <c r="T1234" s="960">
        <v>280.0</v>
      </c>
      <c r="U1234" s="960">
        <f t="array" ref="U1234">HLOOKUP($J1234,'Type Chart'!$C$2:$T$20,2,false)*HLOOKUP($K1234,'Type Chart'!$C$2:$U$20,2,false)</f>
        <v>0.5</v>
      </c>
      <c r="V1234" s="960">
        <f t="array" ref="V1234">HLOOKUP($J1234,'Type Chart'!$C$2:$T$20,3,false)*HLOOKUP($K1234,'Type Chart'!$C$2:$U$20,3,false)</f>
        <v>1</v>
      </c>
      <c r="W1234" s="960">
        <f t="array" ref="W1234">HLOOKUP($J1234,'Type Chart'!$C$2:$T$20,4,false)*HLOOKUP($K1234,'Type Chart'!$C$2:$U$20,4,false)</f>
        <v>0.5</v>
      </c>
      <c r="X1234" s="960">
        <f t="array" ref="X1234">HLOOKUP($J1234,'Type Chart'!$C$2:$T$20,5,false)*HLOOKUP($K1234,'Type Chart'!$C$2:$U$20,5,false)</f>
        <v>0</v>
      </c>
      <c r="Y1234" s="960">
        <f t="array" ref="Y1234">HLOOKUP($J1234,'Type Chart'!$C$2:$T$20,6,false)*HLOOKUP($K1234,'Type Chart'!$C$2:$U$20,6,false)</f>
        <v>2</v>
      </c>
      <c r="Z1234" s="960">
        <f t="array" ref="Z1234">HLOOKUP($J1234,'Type Chart'!$C$2:$T$20,7,false)*HLOOKUP($K1234,'Type Chart'!$C$2:$U$20,7,false)</f>
        <v>0.5</v>
      </c>
      <c r="AA1234" s="960">
        <f t="array" ref="AA1234">HLOOKUP($J1234,'Type Chart'!$C$2:$T$20,8,false)*HLOOKUP($K1234,'Type Chart'!$C$2:$U$20,8,false)</f>
        <v>0.25</v>
      </c>
      <c r="AB1234" s="960">
        <f t="array" ref="AB1234">HLOOKUP($J1234,'Type Chart'!$C$2:$T$20,9,false)*HLOOKUP($K1234,'Type Chart'!$C$2:$U$20,9,false)</f>
        <v>1</v>
      </c>
      <c r="AC1234" s="960">
        <f t="array" ref="AC1234">HLOOKUP($J1234,'Type Chart'!$C$2:$T$20,10,false)*HLOOKUP($K1234,'Type Chart'!$C$2:$U$20,10,false)</f>
        <v>1</v>
      </c>
      <c r="AD1234" s="960">
        <f t="array" ref="AD1234">HLOOKUP($J1234,'Type Chart'!$C$2:$T$20,11,false)*HLOOKUP($K1234,'Type Chart'!$C$2:$U$20,11,false)</f>
        <v>2</v>
      </c>
      <c r="AE1234" s="960">
        <f t="array" ref="AE1234">HLOOKUP($J1234,'Type Chart'!$C$2:$T$20,12,false)*HLOOKUP($K1234,'Type Chart'!$C$2:$U$20,12,false)</f>
        <v>1</v>
      </c>
      <c r="AF1234" s="960">
        <f t="array" ref="AF1234">HLOOKUP($J1234,'Type Chart'!$C$2:$T$20,13,false)*HLOOKUP($K1234,'Type Chart'!$C$2:$U$20,13,false)</f>
        <v>0.5</v>
      </c>
      <c r="AG1234" s="960">
        <f t="array" ref="AG1234">HLOOKUP($J1234,'Type Chart'!$C$2:$T$20,14,false)*HLOOKUP($K1234,'Type Chart'!$C$2:$U$20,14,false)</f>
        <v>1</v>
      </c>
      <c r="AH1234" s="960">
        <f t="array" ref="AH1234">HLOOKUP($J1234,'Type Chart'!$C$2:$T$20,15,false)*HLOOKUP($K1234,'Type Chart'!$C$2:$U$20,15,false)</f>
        <v>0.5</v>
      </c>
      <c r="AI1234" s="960">
        <f t="array" ref="AI1234">HLOOKUP($J1234,'Type Chart'!$C$2:$T$20,16,false)*HLOOKUP($K1234,'Type Chart'!$C$2:$U$20,16,false)</f>
        <v>0.5</v>
      </c>
      <c r="AJ1234" s="960">
        <f t="array" ref="AJ1234">HLOOKUP($J1234,'Type Chart'!$C$2:$T$20,17,false)*HLOOKUP($K1234,'Type Chart'!$C$2:$U$20,17,false)</f>
        <v>0</v>
      </c>
      <c r="AK1234" s="960">
        <f t="array" ref="AK1234">HLOOKUP($J1234,'Type Chart'!$C$2:$T$20,18,false)*HLOOKUP($K1234,'Type Chart'!$C$2:$U$20,18,false)</f>
        <v>0.5</v>
      </c>
      <c r="AL1234" s="960">
        <f t="array" ref="AL1234">HLOOKUP($J1234,'Type Chart'!$C$2:$T$20,19,false)*HLOOKUP($K1234,'Type Chart'!$C$2:$U$20,19,false)</f>
        <v>0.5</v>
      </c>
      <c r="AM1234" s="964" t="s">
        <v>1576</v>
      </c>
      <c r="AN1234" s="964" t="s">
        <v>1370</v>
      </c>
      <c r="AO1234" s="966" t="s">
        <v>1869</v>
      </c>
      <c r="AP1234" s="936"/>
      <c r="AQ1234" s="967"/>
      <c r="AR1234" s="968"/>
      <c r="AS1234" s="936"/>
    </row>
    <row r="1235" ht="15.75" customHeight="1">
      <c r="A1235" s="936"/>
      <c r="B1235" s="948">
        <v>1002.0</v>
      </c>
      <c r="C1235" s="950" t="s">
        <v>4337</v>
      </c>
      <c r="D1235" s="950" t="s">
        <v>4337</v>
      </c>
      <c r="E1235" s="952" t="s">
        <v>4337</v>
      </c>
      <c r="F1235" s="940"/>
      <c r="G1235" s="953"/>
      <c r="H1235" s="969"/>
      <c r="I1235" s="956" t="s">
        <v>514</v>
      </c>
      <c r="J1235" s="1207" t="s">
        <v>127</v>
      </c>
      <c r="K1235" s="1206" t="s">
        <v>82</v>
      </c>
      <c r="L1235" s="959">
        <v>85.0</v>
      </c>
      <c r="M1235" s="960">
        <v>75.0</v>
      </c>
      <c r="N1235" s="960">
        <v>77.0</v>
      </c>
      <c r="O1235" s="960">
        <v>70.0</v>
      </c>
      <c r="P1235" s="960">
        <v>105.0</v>
      </c>
      <c r="Q1235" s="960">
        <v>94.0</v>
      </c>
      <c r="R1235" s="960">
        <v>224.0</v>
      </c>
      <c r="S1235" s="960">
        <v>287.0</v>
      </c>
      <c r="T1235" s="960">
        <v>315.0</v>
      </c>
      <c r="U1235" s="960">
        <f t="array" ref="U1235">HLOOKUP($J1235,'Type Chart'!$C$2:$T$20,2,false)*HLOOKUP($K1235,'Type Chart'!$C$2:$U$20,2,false)</f>
        <v>0.5</v>
      </c>
      <c r="V1235" s="960">
        <f t="array" ref="V1235">HLOOKUP($J1235,'Type Chart'!$C$2:$T$20,3,false)*HLOOKUP($K1235,'Type Chart'!$C$2:$U$20,3,false)</f>
        <v>1</v>
      </c>
      <c r="W1235" s="960">
        <f t="array" ref="W1235">HLOOKUP($J1235,'Type Chart'!$C$2:$T$20,4,false)*HLOOKUP($K1235,'Type Chart'!$C$2:$U$20,4,false)</f>
        <v>0.5</v>
      </c>
      <c r="X1235" s="960">
        <f t="array" ref="X1235">HLOOKUP($J1235,'Type Chart'!$C$2:$T$20,5,false)*HLOOKUP($K1235,'Type Chart'!$C$2:$U$20,5,false)</f>
        <v>0</v>
      </c>
      <c r="Y1235" s="960">
        <f t="array" ref="Y1235">HLOOKUP($J1235,'Type Chart'!$C$2:$T$20,6,false)*HLOOKUP($K1235,'Type Chart'!$C$2:$U$20,6,false)</f>
        <v>2</v>
      </c>
      <c r="Z1235" s="960">
        <f t="array" ref="Z1235">HLOOKUP($J1235,'Type Chart'!$C$2:$T$20,7,false)*HLOOKUP($K1235,'Type Chart'!$C$2:$U$20,7,false)</f>
        <v>0.5</v>
      </c>
      <c r="AA1235" s="960">
        <f t="array" ref="AA1235">HLOOKUP($J1235,'Type Chart'!$C$2:$T$20,8,false)*HLOOKUP($K1235,'Type Chart'!$C$2:$U$20,8,false)</f>
        <v>0.25</v>
      </c>
      <c r="AB1235" s="960">
        <f t="array" ref="AB1235">HLOOKUP($J1235,'Type Chart'!$C$2:$T$20,9,false)*HLOOKUP($K1235,'Type Chart'!$C$2:$U$20,9,false)</f>
        <v>1</v>
      </c>
      <c r="AC1235" s="960">
        <f t="array" ref="AC1235">HLOOKUP($J1235,'Type Chart'!$C$2:$T$20,10,false)*HLOOKUP($K1235,'Type Chart'!$C$2:$U$20,10,false)</f>
        <v>1</v>
      </c>
      <c r="AD1235" s="960">
        <f t="array" ref="AD1235">HLOOKUP($J1235,'Type Chart'!$C$2:$T$20,11,false)*HLOOKUP($K1235,'Type Chart'!$C$2:$U$20,11,false)</f>
        <v>2</v>
      </c>
      <c r="AE1235" s="960">
        <f t="array" ref="AE1235">HLOOKUP($J1235,'Type Chart'!$C$2:$T$20,12,false)*HLOOKUP($K1235,'Type Chart'!$C$2:$U$20,12,false)</f>
        <v>1</v>
      </c>
      <c r="AF1235" s="960">
        <f t="array" ref="AF1235">HLOOKUP($J1235,'Type Chart'!$C$2:$T$20,13,false)*HLOOKUP($K1235,'Type Chart'!$C$2:$U$20,13,false)</f>
        <v>0.5</v>
      </c>
      <c r="AG1235" s="960">
        <f t="array" ref="AG1235">HLOOKUP($J1235,'Type Chart'!$C$2:$T$20,14,false)*HLOOKUP($K1235,'Type Chart'!$C$2:$U$20,14,false)</f>
        <v>1</v>
      </c>
      <c r="AH1235" s="960">
        <f t="array" ref="AH1235">HLOOKUP($J1235,'Type Chart'!$C$2:$T$20,15,false)*HLOOKUP($K1235,'Type Chart'!$C$2:$U$20,15,false)</f>
        <v>0.5</v>
      </c>
      <c r="AI1235" s="960">
        <f t="array" ref="AI1235">HLOOKUP($J1235,'Type Chart'!$C$2:$T$20,16,false)*HLOOKUP($K1235,'Type Chart'!$C$2:$U$20,16,false)</f>
        <v>0.5</v>
      </c>
      <c r="AJ1235" s="960">
        <f t="array" ref="AJ1235">HLOOKUP($J1235,'Type Chart'!$C$2:$T$20,17,false)*HLOOKUP($K1235,'Type Chart'!$C$2:$U$20,17,false)</f>
        <v>0</v>
      </c>
      <c r="AK1235" s="960">
        <f t="array" ref="AK1235">HLOOKUP($J1235,'Type Chart'!$C$2:$T$20,18,false)*HLOOKUP($K1235,'Type Chart'!$C$2:$U$20,18,false)</f>
        <v>0.5</v>
      </c>
      <c r="AL1235" s="960">
        <f t="array" ref="AL1235">HLOOKUP($J1235,'Type Chart'!$C$2:$T$20,19,false)*HLOOKUP($K1235,'Type Chart'!$C$2:$U$20,19,false)</f>
        <v>0.5</v>
      </c>
      <c r="AM1235" s="964" t="s">
        <v>1576</v>
      </c>
      <c r="AN1235" s="964" t="s">
        <v>1370</v>
      </c>
      <c r="AO1235" s="966" t="s">
        <v>1869</v>
      </c>
      <c r="AP1235" s="936"/>
      <c r="AQ1235" s="967"/>
      <c r="AR1235" s="968"/>
      <c r="AS1235" s="936"/>
    </row>
    <row r="1236" ht="15.75" customHeight="1">
      <c r="A1236" s="936"/>
      <c r="B1236" s="948">
        <v>1003.0</v>
      </c>
      <c r="C1236" s="950" t="s">
        <v>4338</v>
      </c>
      <c r="D1236" s="950" t="s">
        <v>4338</v>
      </c>
      <c r="E1236" s="952" t="s">
        <v>4338</v>
      </c>
      <c r="F1236" s="940"/>
      <c r="G1236" s="953"/>
      <c r="H1236" s="969"/>
      <c r="I1236" s="956" t="s">
        <v>4339</v>
      </c>
      <c r="J1236" s="982" t="s">
        <v>150</v>
      </c>
      <c r="K1236" s="1235" t="s">
        <v>216</v>
      </c>
      <c r="L1236" s="959">
        <v>40.0</v>
      </c>
      <c r="M1236" s="960">
        <v>50.0</v>
      </c>
      <c r="N1236" s="960">
        <v>40.0</v>
      </c>
      <c r="O1236" s="960">
        <v>50.0</v>
      </c>
      <c r="P1236" s="960">
        <v>40.0</v>
      </c>
      <c r="Q1236" s="960">
        <v>30.0</v>
      </c>
      <c r="R1236" s="960">
        <v>96.0</v>
      </c>
      <c r="S1236" s="960">
        <v>159.0</v>
      </c>
      <c r="T1236" s="960">
        <v>174.0</v>
      </c>
      <c r="U1236" s="960">
        <f t="array" ref="U1236">HLOOKUP($J1236,'Type Chart'!$C$2:$T$20,2,false)*HLOOKUP($K1236,'Type Chart'!$C$2:$U$20,2,false)</f>
        <v>1</v>
      </c>
      <c r="V1236" s="960">
        <f t="array" ref="V1236">HLOOKUP($J1236,'Type Chart'!$C$2:$T$20,3,false)*HLOOKUP($K1236,'Type Chart'!$C$2:$U$20,3,false)</f>
        <v>1</v>
      </c>
      <c r="W1236" s="960">
        <f t="array" ref="W1236">HLOOKUP($J1236,'Type Chart'!$C$2:$T$20,4,false)*HLOOKUP($K1236,'Type Chart'!$C$2:$U$20,4,false)</f>
        <v>1</v>
      </c>
      <c r="X1236" s="960">
        <f t="array" ref="X1236">HLOOKUP($J1236,'Type Chart'!$C$2:$T$20,5,false)*HLOOKUP($K1236,'Type Chart'!$C$2:$U$20,5,false)</f>
        <v>1</v>
      </c>
      <c r="Y1236" s="960">
        <f t="array" ref="Y1236">HLOOKUP($J1236,'Type Chart'!$C$2:$T$20,6,false)*HLOOKUP($K1236,'Type Chart'!$C$2:$U$20,6,false)</f>
        <v>2</v>
      </c>
      <c r="Z1236" s="960">
        <f t="array" ref="Z1236">HLOOKUP($J1236,'Type Chart'!$C$2:$T$20,7,false)*HLOOKUP($K1236,'Type Chart'!$C$2:$U$20,7,false)</f>
        <v>2</v>
      </c>
      <c r="AA1236" s="960">
        <f t="array" ref="AA1236">HLOOKUP($J1236,'Type Chart'!$C$2:$T$20,8,false)*HLOOKUP($K1236,'Type Chart'!$C$2:$U$20,8,false)</f>
        <v>0.5</v>
      </c>
      <c r="AB1236" s="960">
        <f t="array" ref="AB1236">HLOOKUP($J1236,'Type Chart'!$C$2:$T$20,9,false)*HLOOKUP($K1236,'Type Chart'!$C$2:$U$20,9,false)</f>
        <v>1</v>
      </c>
      <c r="AC1236" s="960">
        <f t="array" ref="AC1236">HLOOKUP($J1236,'Type Chart'!$C$2:$T$20,10,false)*HLOOKUP($K1236,'Type Chart'!$C$2:$U$20,10,false)</f>
        <v>0.5</v>
      </c>
      <c r="AD1236" s="960">
        <f t="array" ref="AD1236">HLOOKUP($J1236,'Type Chart'!$C$2:$T$20,11,false)*HLOOKUP($K1236,'Type Chart'!$C$2:$U$20,11,false)</f>
        <v>0.5</v>
      </c>
      <c r="AE1236" s="960">
        <f t="array" ref="AE1236">HLOOKUP($J1236,'Type Chart'!$C$2:$T$20,12,false)*HLOOKUP($K1236,'Type Chart'!$C$2:$U$20,12,false)</f>
        <v>2</v>
      </c>
      <c r="AF1236" s="960">
        <f t="array" ref="AF1236">HLOOKUP($J1236,'Type Chart'!$C$2:$T$20,13,false)*HLOOKUP($K1236,'Type Chart'!$C$2:$U$20,13,false)</f>
        <v>0.5</v>
      </c>
      <c r="AG1236" s="960">
        <f t="array" ref="AG1236">HLOOKUP($J1236,'Type Chart'!$C$2:$T$20,14,false)*HLOOKUP($K1236,'Type Chart'!$C$2:$U$20,14,false)</f>
        <v>1</v>
      </c>
      <c r="AH1236" s="960">
        <f t="array" ref="AH1236">HLOOKUP($J1236,'Type Chart'!$C$2:$T$20,15,false)*HLOOKUP($K1236,'Type Chart'!$C$2:$U$20,15,false)</f>
        <v>1</v>
      </c>
      <c r="AI1236" s="960">
        <f t="array" ref="AI1236">HLOOKUP($J1236,'Type Chart'!$C$2:$T$20,16,false)*HLOOKUP($K1236,'Type Chart'!$C$2:$U$20,16,false)</f>
        <v>0.5</v>
      </c>
      <c r="AJ1236" s="960">
        <f t="array" ref="AJ1236">HLOOKUP($J1236,'Type Chart'!$C$2:$T$20,17,false)*HLOOKUP($K1236,'Type Chart'!$C$2:$U$20,17,false)</f>
        <v>1</v>
      </c>
      <c r="AK1236" s="960">
        <f t="array" ref="AK1236">HLOOKUP($J1236,'Type Chart'!$C$2:$T$20,18,false)*HLOOKUP($K1236,'Type Chart'!$C$2:$U$20,18,false)</f>
        <v>1</v>
      </c>
      <c r="AL1236" s="960">
        <f t="array" ref="AL1236">HLOOKUP($J1236,'Type Chart'!$C$2:$T$20,19,false)*HLOOKUP($K1236,'Type Chart'!$C$2:$U$20,19,false)</f>
        <v>0.5</v>
      </c>
      <c r="AM1236" s="964" t="s">
        <v>1172</v>
      </c>
      <c r="AN1236" s="965"/>
      <c r="AO1236" s="966" t="s">
        <v>1353</v>
      </c>
      <c r="AP1236" s="936"/>
      <c r="AQ1236" s="967"/>
      <c r="AR1236" s="968"/>
      <c r="AS1236" s="936"/>
    </row>
    <row r="1237" ht="15.75" customHeight="1">
      <c r="A1237" s="936"/>
      <c r="B1237" s="948">
        <v>1004.0</v>
      </c>
      <c r="C1237" s="950" t="s">
        <v>4340</v>
      </c>
      <c r="D1237" s="950" t="s">
        <v>4340</v>
      </c>
      <c r="E1237" s="952" t="s">
        <v>4340</v>
      </c>
      <c r="F1237" s="940"/>
      <c r="G1237" s="953"/>
      <c r="H1237" s="969"/>
      <c r="I1237" s="956" t="s">
        <v>555</v>
      </c>
      <c r="J1237" s="982" t="s">
        <v>150</v>
      </c>
      <c r="K1237" s="1203" t="s">
        <v>344</v>
      </c>
      <c r="L1237" s="959">
        <v>85.0</v>
      </c>
      <c r="M1237" s="960">
        <v>60.0</v>
      </c>
      <c r="N1237" s="960">
        <v>100.0</v>
      </c>
      <c r="O1237" s="960">
        <v>125.0</v>
      </c>
      <c r="P1237" s="960">
        <v>80.0</v>
      </c>
      <c r="Q1237" s="960">
        <v>75.0</v>
      </c>
      <c r="R1237" s="960">
        <v>186.0</v>
      </c>
      <c r="S1237" s="960">
        <v>249.0</v>
      </c>
      <c r="T1237" s="960">
        <v>273.0</v>
      </c>
      <c r="U1237" s="960">
        <f t="array" ref="U1237">HLOOKUP($J1237,'Type Chart'!$C$2:$T$20,2,false)*HLOOKUP($K1237,'Type Chart'!$C$2:$U$20,2,false)</f>
        <v>1</v>
      </c>
      <c r="V1237" s="960">
        <f t="array" ref="V1237">HLOOKUP($J1237,'Type Chart'!$C$2:$T$20,3,false)*HLOOKUP($K1237,'Type Chart'!$C$2:$U$20,3,false)</f>
        <v>0.5</v>
      </c>
      <c r="W1237" s="960">
        <f t="array" ref="W1237">HLOOKUP($J1237,'Type Chart'!$C$2:$T$20,4,false)*HLOOKUP($K1237,'Type Chart'!$C$2:$U$20,4,false)</f>
        <v>1</v>
      </c>
      <c r="X1237" s="960">
        <f t="array" ref="X1237">HLOOKUP($J1237,'Type Chart'!$C$2:$T$20,5,false)*HLOOKUP($K1237,'Type Chart'!$C$2:$U$20,5,false)</f>
        <v>1</v>
      </c>
      <c r="Y1237" s="960">
        <f t="array" ref="Y1237">HLOOKUP($J1237,'Type Chart'!$C$2:$T$20,6,false)*HLOOKUP($K1237,'Type Chart'!$C$2:$U$20,6,false)</f>
        <v>2</v>
      </c>
      <c r="Z1237" s="960">
        <f t="array" ref="Z1237">HLOOKUP($J1237,'Type Chart'!$C$2:$T$20,7,false)*HLOOKUP($K1237,'Type Chart'!$C$2:$U$20,7,false)</f>
        <v>2</v>
      </c>
      <c r="AA1237" s="960">
        <f t="array" ref="AA1237">HLOOKUP($J1237,'Type Chart'!$C$2:$T$20,8,false)*HLOOKUP($K1237,'Type Chart'!$C$2:$U$20,8,false)</f>
        <v>1</v>
      </c>
      <c r="AB1237" s="960">
        <f t="array" ref="AB1237">HLOOKUP($J1237,'Type Chart'!$C$2:$T$20,9,false)*HLOOKUP($K1237,'Type Chart'!$C$2:$U$20,9,false)</f>
        <v>2</v>
      </c>
      <c r="AC1237" s="960">
        <f t="array" ref="AC1237">HLOOKUP($J1237,'Type Chart'!$C$2:$T$20,10,false)*HLOOKUP($K1237,'Type Chart'!$C$2:$U$20,10,false)</f>
        <v>0.5</v>
      </c>
      <c r="AD1237" s="960">
        <f t="array" ref="AD1237">HLOOKUP($J1237,'Type Chart'!$C$2:$T$20,11,false)*HLOOKUP($K1237,'Type Chart'!$C$2:$U$20,11,false)</f>
        <v>0.5</v>
      </c>
      <c r="AE1237" s="960">
        <f t="array" ref="AE1237">HLOOKUP($J1237,'Type Chart'!$C$2:$T$20,12,false)*HLOOKUP($K1237,'Type Chart'!$C$2:$U$20,12,false)</f>
        <v>2</v>
      </c>
      <c r="AF1237" s="960">
        <f t="array" ref="AF1237">HLOOKUP($J1237,'Type Chart'!$C$2:$T$20,13,false)*HLOOKUP($K1237,'Type Chart'!$C$2:$U$20,13,false)</f>
        <v>0.5</v>
      </c>
      <c r="AG1237" s="960">
        <f t="array" ref="AG1237">HLOOKUP($J1237,'Type Chart'!$C$2:$T$20,14,false)*HLOOKUP($K1237,'Type Chart'!$C$2:$U$20,14,false)</f>
        <v>1</v>
      </c>
      <c r="AH1237" s="960">
        <f t="array" ref="AH1237">HLOOKUP($J1237,'Type Chart'!$C$2:$T$20,15,false)*HLOOKUP($K1237,'Type Chart'!$C$2:$U$20,15,false)</f>
        <v>0.5</v>
      </c>
      <c r="AI1237" s="960">
        <f t="array" ref="AI1237">HLOOKUP($J1237,'Type Chart'!$C$2:$T$20,16,false)*HLOOKUP($K1237,'Type Chart'!$C$2:$U$20,16,false)</f>
        <v>0.5</v>
      </c>
      <c r="AJ1237" s="960">
        <f t="array" ref="AJ1237">HLOOKUP($J1237,'Type Chart'!$C$2:$T$20,17,false)*HLOOKUP($K1237,'Type Chart'!$C$2:$U$20,17,false)</f>
        <v>1</v>
      </c>
      <c r="AK1237" s="960">
        <f t="array" ref="AK1237">HLOOKUP($J1237,'Type Chart'!$C$2:$T$20,18,false)*HLOOKUP($K1237,'Type Chart'!$C$2:$U$20,18,false)</f>
        <v>2</v>
      </c>
      <c r="AL1237" s="960">
        <f t="array" ref="AL1237">HLOOKUP($J1237,'Type Chart'!$C$2:$T$20,19,false)*HLOOKUP($K1237,'Type Chart'!$C$2:$U$20,19,false)</f>
        <v>0.5</v>
      </c>
      <c r="AM1237" s="964" t="s">
        <v>1172</v>
      </c>
      <c r="AN1237" s="965"/>
      <c r="AO1237" s="966" t="s">
        <v>1450</v>
      </c>
      <c r="AP1237" s="936"/>
      <c r="AQ1237" s="967"/>
      <c r="AR1237" s="968"/>
      <c r="AS1237" s="936"/>
    </row>
    <row r="1238" ht="15.75" customHeight="1">
      <c r="A1238" s="936"/>
      <c r="B1238" s="948">
        <v>1005.0</v>
      </c>
      <c r="C1238" s="950" t="s">
        <v>4341</v>
      </c>
      <c r="D1238" s="950" t="s">
        <v>4341</v>
      </c>
      <c r="E1238" s="952" t="s">
        <v>4341</v>
      </c>
      <c r="F1238" s="940"/>
      <c r="G1238" s="953"/>
      <c r="H1238" s="969"/>
      <c r="I1238" s="956" t="s">
        <v>473</v>
      </c>
      <c r="J1238" s="982" t="s">
        <v>150</v>
      </c>
      <c r="K1238" s="1220" t="s">
        <v>215</v>
      </c>
      <c r="L1238" s="959">
        <v>75.0</v>
      </c>
      <c r="M1238" s="960">
        <v>125.0</v>
      </c>
      <c r="N1238" s="960">
        <v>80.0</v>
      </c>
      <c r="O1238" s="960">
        <v>60.0</v>
      </c>
      <c r="P1238" s="960">
        <v>100.0</v>
      </c>
      <c r="Q1238" s="960">
        <v>85.0</v>
      </c>
      <c r="R1238" s="960">
        <v>206.0</v>
      </c>
      <c r="S1238" s="960">
        <v>269.0</v>
      </c>
      <c r="T1238" s="960">
        <v>295.0</v>
      </c>
      <c r="U1238" s="960">
        <f t="array" ref="U1238">HLOOKUP($J1238,'Type Chart'!$C$2:$T$20,2,false)*HLOOKUP($K1238,'Type Chart'!$C$2:$U$20,2,false)</f>
        <v>0</v>
      </c>
      <c r="V1238" s="960">
        <f t="array" ref="V1238">HLOOKUP($J1238,'Type Chart'!$C$2:$T$20,3,false)*HLOOKUP($K1238,'Type Chart'!$C$2:$U$20,3,false)</f>
        <v>0</v>
      </c>
      <c r="W1238" s="960">
        <f t="array" ref="W1238">HLOOKUP($J1238,'Type Chart'!$C$2:$T$20,4,false)*HLOOKUP($K1238,'Type Chart'!$C$2:$U$20,4,false)</f>
        <v>1</v>
      </c>
      <c r="X1238" s="960">
        <f t="array" ref="X1238">HLOOKUP($J1238,'Type Chart'!$C$2:$T$20,5,false)*HLOOKUP($K1238,'Type Chart'!$C$2:$U$20,5,false)</f>
        <v>0.5</v>
      </c>
      <c r="Y1238" s="960">
        <f t="array" ref="Y1238">HLOOKUP($J1238,'Type Chart'!$C$2:$T$20,6,false)*HLOOKUP($K1238,'Type Chart'!$C$2:$U$20,6,false)</f>
        <v>2</v>
      </c>
      <c r="Z1238" s="960">
        <f t="array" ref="Z1238">HLOOKUP($J1238,'Type Chart'!$C$2:$T$20,7,false)*HLOOKUP($K1238,'Type Chart'!$C$2:$U$20,7,false)</f>
        <v>2</v>
      </c>
      <c r="AA1238" s="960">
        <f t="array" ref="AA1238">HLOOKUP($J1238,'Type Chart'!$C$2:$T$20,8,false)*HLOOKUP($K1238,'Type Chart'!$C$2:$U$20,8,false)</f>
        <v>0.25</v>
      </c>
      <c r="AB1238" s="960">
        <f t="array" ref="AB1238">HLOOKUP($J1238,'Type Chart'!$C$2:$T$20,9,false)*HLOOKUP($K1238,'Type Chart'!$C$2:$U$20,9,false)</f>
        <v>2</v>
      </c>
      <c r="AC1238" s="960">
        <f t="array" ref="AC1238">HLOOKUP($J1238,'Type Chart'!$C$2:$T$20,10,false)*HLOOKUP($K1238,'Type Chart'!$C$2:$U$20,10,false)</f>
        <v>0.5</v>
      </c>
      <c r="AD1238" s="960">
        <f t="array" ref="AD1238">HLOOKUP($J1238,'Type Chart'!$C$2:$T$20,11,false)*HLOOKUP($K1238,'Type Chart'!$C$2:$U$20,11,false)</f>
        <v>0.5</v>
      </c>
      <c r="AE1238" s="960">
        <f t="array" ref="AE1238">HLOOKUP($J1238,'Type Chart'!$C$2:$T$20,12,false)*HLOOKUP($K1238,'Type Chart'!$C$2:$U$20,12,false)</f>
        <v>2</v>
      </c>
      <c r="AF1238" s="960">
        <f t="array" ref="AF1238">HLOOKUP($J1238,'Type Chart'!$C$2:$T$20,13,false)*HLOOKUP($K1238,'Type Chart'!$C$2:$U$20,13,false)</f>
        <v>0.5</v>
      </c>
      <c r="AG1238" s="960">
        <f t="array" ref="AG1238">HLOOKUP($J1238,'Type Chart'!$C$2:$T$20,14,false)*HLOOKUP($K1238,'Type Chart'!$C$2:$U$20,14,false)</f>
        <v>1</v>
      </c>
      <c r="AH1238" s="960">
        <f t="array" ref="AH1238">HLOOKUP($J1238,'Type Chart'!$C$2:$T$20,15,false)*HLOOKUP($K1238,'Type Chart'!$C$2:$U$20,15,false)</f>
        <v>1</v>
      </c>
      <c r="AI1238" s="960">
        <f t="array" ref="AI1238">HLOOKUP($J1238,'Type Chart'!$C$2:$T$20,16,false)*HLOOKUP($K1238,'Type Chart'!$C$2:$U$20,16,false)</f>
        <v>0.5</v>
      </c>
      <c r="AJ1238" s="960">
        <f t="array" ref="AJ1238">HLOOKUP($J1238,'Type Chart'!$C$2:$T$20,17,false)*HLOOKUP($K1238,'Type Chart'!$C$2:$U$20,17,false)</f>
        <v>1</v>
      </c>
      <c r="AK1238" s="960">
        <f t="array" ref="AK1238">HLOOKUP($J1238,'Type Chart'!$C$2:$T$20,18,false)*HLOOKUP($K1238,'Type Chart'!$C$2:$U$20,18,false)</f>
        <v>2</v>
      </c>
      <c r="AL1238" s="960">
        <f t="array" ref="AL1238">HLOOKUP($J1238,'Type Chart'!$C$2:$T$20,19,false)*HLOOKUP($K1238,'Type Chart'!$C$2:$U$20,19,false)</f>
        <v>0.5</v>
      </c>
      <c r="AM1238" s="964" t="s">
        <v>1172</v>
      </c>
      <c r="AN1238" s="965"/>
      <c r="AO1238" s="966" t="s">
        <v>1450</v>
      </c>
      <c r="AP1238" s="936"/>
      <c r="AQ1238" s="967"/>
      <c r="AR1238" s="968"/>
      <c r="AS1238" s="936"/>
    </row>
    <row r="1239" ht="15.75" customHeight="1">
      <c r="A1239" s="936"/>
      <c r="B1239" s="948">
        <v>1006.0</v>
      </c>
      <c r="C1239" s="950" t="s">
        <v>4342</v>
      </c>
      <c r="D1239" s="950" t="s">
        <v>4342</v>
      </c>
      <c r="E1239" s="1147" t="s">
        <v>4342</v>
      </c>
      <c r="F1239" s="940"/>
      <c r="G1239" s="953"/>
      <c r="H1239" s="969"/>
      <c r="I1239" s="998" t="s">
        <v>4343</v>
      </c>
      <c r="J1239" s="1204" t="s">
        <v>80</v>
      </c>
      <c r="K1239" s="957" t="s">
        <v>209</v>
      </c>
      <c r="L1239" s="959">
        <v>40.0</v>
      </c>
      <c r="M1239" s="960">
        <v>40.0</v>
      </c>
      <c r="N1239" s="960">
        <v>35.0</v>
      </c>
      <c r="O1239" s="960">
        <v>50.0</v>
      </c>
      <c r="P1239" s="960">
        <v>100.0</v>
      </c>
      <c r="Q1239" s="960">
        <v>70.0</v>
      </c>
      <c r="R1239" s="960">
        <v>176.0</v>
      </c>
      <c r="S1239" s="960">
        <v>239.0</v>
      </c>
      <c r="T1239" s="960">
        <v>262.0</v>
      </c>
      <c r="U1239" s="960">
        <f t="array" ref="U1239">HLOOKUP($J1239,'Type Chart'!$C$2:$T$20,2,false)*HLOOKUP($K1239,'Type Chart'!$C$2:$U$20,2,false)</f>
        <v>1</v>
      </c>
      <c r="V1239" s="960">
        <f t="array" ref="V1239">HLOOKUP($J1239,'Type Chart'!$C$2:$T$20,3,false)*HLOOKUP($K1239,'Type Chart'!$C$2:$U$20,3,false)</f>
        <v>1</v>
      </c>
      <c r="W1239" s="960">
        <f t="array" ref="W1239">HLOOKUP($J1239,'Type Chart'!$C$2:$T$20,4,false)*HLOOKUP($K1239,'Type Chart'!$C$2:$U$20,4,false)</f>
        <v>2</v>
      </c>
      <c r="X1239" s="960">
        <f t="array" ref="X1239">HLOOKUP($J1239,'Type Chart'!$C$2:$T$20,5,false)*HLOOKUP($K1239,'Type Chart'!$C$2:$U$20,5,false)</f>
        <v>1</v>
      </c>
      <c r="Y1239" s="960">
        <f t="array" ref="Y1239">HLOOKUP($J1239,'Type Chart'!$C$2:$T$20,6,false)*HLOOKUP($K1239,'Type Chart'!$C$2:$U$20,6,false)</f>
        <v>0.5</v>
      </c>
      <c r="Z1239" s="960">
        <f t="array" ref="Z1239">HLOOKUP($J1239,'Type Chart'!$C$2:$T$20,7,false)*HLOOKUP($K1239,'Type Chart'!$C$2:$U$20,7,false)</f>
        <v>0.5</v>
      </c>
      <c r="AA1239" s="960">
        <f t="array" ref="AA1239">HLOOKUP($J1239,'Type Chart'!$C$2:$T$20,8,false)*HLOOKUP($K1239,'Type Chart'!$C$2:$U$20,8,false)</f>
        <v>2</v>
      </c>
      <c r="AB1239" s="960">
        <f t="array" ref="AB1239">HLOOKUP($J1239,'Type Chart'!$C$2:$T$20,9,false)*HLOOKUP($K1239,'Type Chart'!$C$2:$U$20,9,false)</f>
        <v>1</v>
      </c>
      <c r="AC1239" s="960">
        <f t="array" ref="AC1239">HLOOKUP($J1239,'Type Chart'!$C$2:$T$20,10,false)*HLOOKUP($K1239,'Type Chart'!$C$2:$U$20,10,false)</f>
        <v>1</v>
      </c>
      <c r="AD1239" s="960">
        <f t="array" ref="AD1239">HLOOKUP($J1239,'Type Chart'!$C$2:$T$20,11,false)*HLOOKUP($K1239,'Type Chart'!$C$2:$U$20,11,false)</f>
        <v>2</v>
      </c>
      <c r="AE1239" s="960">
        <f t="array" ref="AE1239">HLOOKUP($J1239,'Type Chart'!$C$2:$T$20,12,false)*HLOOKUP($K1239,'Type Chart'!$C$2:$U$20,12,false)</f>
        <v>1</v>
      </c>
      <c r="AF1239" s="960">
        <f t="array" ref="AF1239">HLOOKUP($J1239,'Type Chart'!$C$2:$T$20,13,false)*HLOOKUP($K1239,'Type Chart'!$C$2:$U$20,13,false)</f>
        <v>1</v>
      </c>
      <c r="AG1239" s="960">
        <f t="array" ref="AG1239">HLOOKUP($J1239,'Type Chart'!$C$2:$T$20,14,false)*HLOOKUP($K1239,'Type Chart'!$C$2:$U$20,14,false)</f>
        <v>0</v>
      </c>
      <c r="AH1239" s="960">
        <f t="array" ref="AH1239">HLOOKUP($J1239,'Type Chart'!$C$2:$T$20,15,false)*HLOOKUP($K1239,'Type Chart'!$C$2:$U$20,15,false)</f>
        <v>1</v>
      </c>
      <c r="AI1239" s="960">
        <f t="array" ref="AI1239">HLOOKUP($J1239,'Type Chart'!$C$2:$T$20,16,false)*HLOOKUP($K1239,'Type Chart'!$C$2:$U$20,16,false)</f>
        <v>4</v>
      </c>
      <c r="AJ1239" s="960">
        <f t="array" ref="AJ1239">HLOOKUP($J1239,'Type Chart'!$C$2:$T$20,17,false)*HLOOKUP($K1239,'Type Chart'!$C$2:$U$20,17,false)</f>
        <v>1</v>
      </c>
      <c r="AK1239" s="960">
        <f t="array" ref="AK1239">HLOOKUP($J1239,'Type Chart'!$C$2:$T$20,18,false)*HLOOKUP($K1239,'Type Chart'!$C$2:$U$20,18,false)</f>
        <v>1</v>
      </c>
      <c r="AL1239" s="960">
        <f t="array" ref="AL1239">HLOOKUP($J1239,'Type Chart'!$C$2:$T$20,19,false)*HLOOKUP($K1239,'Type Chart'!$C$2:$U$20,19,false)</f>
        <v>1</v>
      </c>
      <c r="AM1239" s="964" t="s">
        <v>4344</v>
      </c>
      <c r="AN1239" s="965"/>
      <c r="AO1239" s="966"/>
      <c r="AP1239" s="936"/>
      <c r="AQ1239" s="967"/>
      <c r="AR1239" s="968"/>
      <c r="AS1239" s="936"/>
    </row>
    <row r="1240" ht="15.75" customHeight="1">
      <c r="A1240" s="936"/>
      <c r="B1240" s="948">
        <v>1007.0</v>
      </c>
      <c r="C1240" s="950" t="s">
        <v>4345</v>
      </c>
      <c r="D1240" s="950" t="s">
        <v>4345</v>
      </c>
      <c r="E1240" s="952" t="s">
        <v>4345</v>
      </c>
      <c r="F1240" s="940"/>
      <c r="G1240" s="953"/>
      <c r="H1240" s="969"/>
      <c r="I1240" s="998" t="s">
        <v>615</v>
      </c>
      <c r="J1240" s="1204" t="s">
        <v>80</v>
      </c>
      <c r="K1240" s="957" t="s">
        <v>209</v>
      </c>
      <c r="L1240" s="959">
        <v>80.0</v>
      </c>
      <c r="M1240" s="960">
        <v>70.0</v>
      </c>
      <c r="N1240" s="960">
        <v>65.0</v>
      </c>
      <c r="O1240" s="960">
        <v>80.0</v>
      </c>
      <c r="P1240" s="960">
        <v>120.0</v>
      </c>
      <c r="Q1240" s="960">
        <v>100.0</v>
      </c>
      <c r="R1240" s="960">
        <v>236.0</v>
      </c>
      <c r="S1240" s="960">
        <v>299.0</v>
      </c>
      <c r="T1240" s="960">
        <v>328.0</v>
      </c>
      <c r="U1240" s="960">
        <f t="array" ref="U1240">HLOOKUP($J1240,'Type Chart'!$C$2:$T$20,2,false)*HLOOKUP($K1240,'Type Chart'!$C$2:$U$20,2,false)</f>
        <v>1</v>
      </c>
      <c r="V1240" s="960">
        <f t="array" ref="V1240">HLOOKUP($J1240,'Type Chart'!$C$2:$T$20,3,false)*HLOOKUP($K1240,'Type Chart'!$C$2:$U$20,3,false)</f>
        <v>1</v>
      </c>
      <c r="W1240" s="960">
        <f t="array" ref="W1240">HLOOKUP($J1240,'Type Chart'!$C$2:$T$20,4,false)*HLOOKUP($K1240,'Type Chart'!$C$2:$U$20,4,false)</f>
        <v>2</v>
      </c>
      <c r="X1240" s="960">
        <f t="array" ref="X1240">HLOOKUP($J1240,'Type Chart'!$C$2:$T$20,5,false)*HLOOKUP($K1240,'Type Chart'!$C$2:$U$20,5,false)</f>
        <v>1</v>
      </c>
      <c r="Y1240" s="960">
        <f t="array" ref="Y1240">HLOOKUP($J1240,'Type Chart'!$C$2:$T$20,6,false)*HLOOKUP($K1240,'Type Chart'!$C$2:$U$20,6,false)</f>
        <v>0.5</v>
      </c>
      <c r="Z1240" s="960">
        <f t="array" ref="Z1240">HLOOKUP($J1240,'Type Chart'!$C$2:$T$20,7,false)*HLOOKUP($K1240,'Type Chart'!$C$2:$U$20,7,false)</f>
        <v>0.5</v>
      </c>
      <c r="AA1240" s="960">
        <f t="array" ref="AA1240">HLOOKUP($J1240,'Type Chart'!$C$2:$T$20,8,false)*HLOOKUP($K1240,'Type Chart'!$C$2:$U$20,8,false)</f>
        <v>2</v>
      </c>
      <c r="AB1240" s="960">
        <f t="array" ref="AB1240">HLOOKUP($J1240,'Type Chart'!$C$2:$T$20,9,false)*HLOOKUP($K1240,'Type Chart'!$C$2:$U$20,9,false)</f>
        <v>1</v>
      </c>
      <c r="AC1240" s="960">
        <f t="array" ref="AC1240">HLOOKUP($J1240,'Type Chart'!$C$2:$T$20,10,false)*HLOOKUP($K1240,'Type Chart'!$C$2:$U$20,10,false)</f>
        <v>1</v>
      </c>
      <c r="AD1240" s="960">
        <f t="array" ref="AD1240">HLOOKUP($J1240,'Type Chart'!$C$2:$T$20,11,false)*HLOOKUP($K1240,'Type Chart'!$C$2:$U$20,11,false)</f>
        <v>2</v>
      </c>
      <c r="AE1240" s="960">
        <f t="array" ref="AE1240">HLOOKUP($J1240,'Type Chart'!$C$2:$T$20,12,false)*HLOOKUP($K1240,'Type Chart'!$C$2:$U$20,12,false)</f>
        <v>1</v>
      </c>
      <c r="AF1240" s="960">
        <f t="array" ref="AF1240">HLOOKUP($J1240,'Type Chart'!$C$2:$T$20,13,false)*HLOOKUP($K1240,'Type Chart'!$C$2:$U$20,13,false)</f>
        <v>1</v>
      </c>
      <c r="AG1240" s="960">
        <f t="array" ref="AG1240">HLOOKUP($J1240,'Type Chart'!$C$2:$T$20,14,false)*HLOOKUP($K1240,'Type Chart'!$C$2:$U$20,14,false)</f>
        <v>0</v>
      </c>
      <c r="AH1240" s="960">
        <f t="array" ref="AH1240">HLOOKUP($J1240,'Type Chart'!$C$2:$T$20,15,false)*HLOOKUP($K1240,'Type Chart'!$C$2:$U$20,15,false)</f>
        <v>1</v>
      </c>
      <c r="AI1240" s="960">
        <f t="array" ref="AI1240">HLOOKUP($J1240,'Type Chart'!$C$2:$T$20,16,false)*HLOOKUP($K1240,'Type Chart'!$C$2:$U$20,16,false)</f>
        <v>4</v>
      </c>
      <c r="AJ1240" s="960">
        <f t="array" ref="AJ1240">HLOOKUP($J1240,'Type Chart'!$C$2:$T$20,17,false)*HLOOKUP($K1240,'Type Chart'!$C$2:$U$20,17,false)</f>
        <v>1</v>
      </c>
      <c r="AK1240" s="960">
        <f t="array" ref="AK1240">HLOOKUP($J1240,'Type Chart'!$C$2:$T$20,18,false)*HLOOKUP($K1240,'Type Chart'!$C$2:$U$20,18,false)</f>
        <v>1</v>
      </c>
      <c r="AL1240" s="960">
        <f t="array" ref="AL1240">HLOOKUP($J1240,'Type Chart'!$C$2:$T$20,19,false)*HLOOKUP($K1240,'Type Chart'!$C$2:$U$20,19,false)</f>
        <v>1</v>
      </c>
      <c r="AM1240" s="964" t="s">
        <v>4344</v>
      </c>
      <c r="AN1240" s="965"/>
      <c r="AO1240" s="966"/>
      <c r="AP1240" s="936"/>
      <c r="AQ1240" s="967"/>
      <c r="AR1240" s="968"/>
      <c r="AS1240" s="936"/>
    </row>
    <row r="1241" ht="15.75" customHeight="1">
      <c r="A1241" s="936"/>
      <c r="B1241" s="948">
        <v>1008.0</v>
      </c>
      <c r="C1241" s="950" t="s">
        <v>4346</v>
      </c>
      <c r="D1241" s="950" t="s">
        <v>4346</v>
      </c>
      <c r="E1241" s="952" t="s">
        <v>4346</v>
      </c>
      <c r="F1241" s="940"/>
      <c r="G1241" s="953"/>
      <c r="H1241" s="969"/>
      <c r="I1241" s="956" t="s">
        <v>413</v>
      </c>
      <c r="J1241" s="1195" t="s">
        <v>193</v>
      </c>
      <c r="K1241" s="1206" t="s">
        <v>82</v>
      </c>
      <c r="L1241" s="959">
        <v>100.0</v>
      </c>
      <c r="M1241" s="960">
        <v>135.0</v>
      </c>
      <c r="N1241" s="960">
        <v>120.0</v>
      </c>
      <c r="O1241" s="960">
        <v>60.0</v>
      </c>
      <c r="P1241" s="960">
        <v>85.0</v>
      </c>
      <c r="Q1241" s="960">
        <v>50.0</v>
      </c>
      <c r="R1241" s="960">
        <v>136.0</v>
      </c>
      <c r="S1241" s="960">
        <v>199.0</v>
      </c>
      <c r="T1241" s="960">
        <v>218.0</v>
      </c>
      <c r="U1241" s="960">
        <f t="array" ref="U1241">HLOOKUP($J1241,'Type Chart'!$C$2:$T$20,2,false)*HLOOKUP($K1241,'Type Chart'!$C$2:$U$20,2,false)</f>
        <v>0.5</v>
      </c>
      <c r="V1241" s="960">
        <f t="array" ref="V1241">HLOOKUP($J1241,'Type Chart'!$C$2:$T$20,3,false)*HLOOKUP($K1241,'Type Chart'!$C$2:$U$20,3,false)</f>
        <v>4</v>
      </c>
      <c r="W1241" s="960">
        <f t="array" ref="W1241">HLOOKUP($J1241,'Type Chart'!$C$2:$T$20,4,false)*HLOOKUP($K1241,'Type Chart'!$C$2:$U$20,4,false)</f>
        <v>0.5</v>
      </c>
      <c r="X1241" s="960">
        <f t="array" ref="X1241">HLOOKUP($J1241,'Type Chart'!$C$2:$T$20,5,false)*HLOOKUP($K1241,'Type Chart'!$C$2:$U$20,5,false)</f>
        <v>0</v>
      </c>
      <c r="Y1241" s="960">
        <f t="array" ref="Y1241">HLOOKUP($J1241,'Type Chart'!$C$2:$T$20,6,false)*HLOOKUP($K1241,'Type Chart'!$C$2:$U$20,6,false)</f>
        <v>2</v>
      </c>
      <c r="Z1241" s="960">
        <f t="array" ref="Z1241">HLOOKUP($J1241,'Type Chart'!$C$2:$T$20,7,false)*HLOOKUP($K1241,'Type Chart'!$C$2:$U$20,7,false)</f>
        <v>0.5</v>
      </c>
      <c r="AA1241" s="960">
        <f t="array" ref="AA1241">HLOOKUP($J1241,'Type Chart'!$C$2:$T$20,8,false)*HLOOKUP($K1241,'Type Chart'!$C$2:$U$20,8,false)</f>
        <v>1</v>
      </c>
      <c r="AB1241" s="960">
        <f t="array" ref="AB1241">HLOOKUP($J1241,'Type Chart'!$C$2:$T$20,9,false)*HLOOKUP($K1241,'Type Chart'!$C$2:$U$20,9,false)</f>
        <v>0.5</v>
      </c>
      <c r="AC1241" s="960">
        <f t="array" ref="AC1241">HLOOKUP($J1241,'Type Chart'!$C$2:$T$20,10,false)*HLOOKUP($K1241,'Type Chart'!$C$2:$U$20,10,false)</f>
        <v>0.5</v>
      </c>
      <c r="AD1241" s="960">
        <f t="array" ref="AD1241">HLOOKUP($J1241,'Type Chart'!$C$2:$T$20,11,false)*HLOOKUP($K1241,'Type Chart'!$C$2:$U$20,11,false)</f>
        <v>2</v>
      </c>
      <c r="AE1241" s="960">
        <f t="array" ref="AE1241">HLOOKUP($J1241,'Type Chart'!$C$2:$T$20,12,false)*HLOOKUP($K1241,'Type Chart'!$C$2:$U$20,12,false)</f>
        <v>1</v>
      </c>
      <c r="AF1241" s="960">
        <f t="array" ref="AF1241">HLOOKUP($J1241,'Type Chart'!$C$2:$T$20,13,false)*HLOOKUP($K1241,'Type Chart'!$C$2:$U$20,13,false)</f>
        <v>0.5</v>
      </c>
      <c r="AG1241" s="960">
        <f t="array" ref="AG1241">HLOOKUP($J1241,'Type Chart'!$C$2:$T$20,14,false)*HLOOKUP($K1241,'Type Chart'!$C$2:$U$20,14,false)</f>
        <v>1</v>
      </c>
      <c r="AH1241" s="960">
        <f t="array" ref="AH1241">HLOOKUP($J1241,'Type Chart'!$C$2:$T$20,15,false)*HLOOKUP($K1241,'Type Chart'!$C$2:$U$20,15,false)</f>
        <v>0</v>
      </c>
      <c r="AI1241" s="960">
        <f t="array" ref="AI1241">HLOOKUP($J1241,'Type Chart'!$C$2:$T$20,16,false)*HLOOKUP($K1241,'Type Chart'!$C$2:$U$20,16,false)</f>
        <v>0.5</v>
      </c>
      <c r="AJ1241" s="960">
        <f t="array" ref="AJ1241">HLOOKUP($J1241,'Type Chart'!$C$2:$T$20,17,false)*HLOOKUP($K1241,'Type Chart'!$C$2:$U$20,17,false)</f>
        <v>0.5</v>
      </c>
      <c r="AK1241" s="960">
        <f t="array" ref="AK1241">HLOOKUP($J1241,'Type Chart'!$C$2:$T$20,18,false)*HLOOKUP($K1241,'Type Chart'!$C$2:$U$20,18,false)</f>
        <v>0.5</v>
      </c>
      <c r="AL1241" s="960">
        <f t="array" ref="AL1241">HLOOKUP($J1241,'Type Chart'!$C$2:$T$20,19,false)*HLOOKUP($K1241,'Type Chart'!$C$2:$U$20,19,false)</f>
        <v>1</v>
      </c>
      <c r="AM1241" s="964" t="s">
        <v>1267</v>
      </c>
      <c r="AN1241" s="964" t="s">
        <v>4347</v>
      </c>
      <c r="AO1241" s="966" t="s">
        <v>1636</v>
      </c>
      <c r="AP1241" s="936"/>
      <c r="AQ1241" s="967"/>
      <c r="AR1241" s="968"/>
      <c r="AS1241" s="936"/>
    </row>
    <row r="1242" ht="15.75" customHeight="1">
      <c r="A1242" s="1099"/>
      <c r="B1242" s="948">
        <v>1009.0</v>
      </c>
      <c r="C1242" s="1197" t="s">
        <v>4348</v>
      </c>
      <c r="D1242" s="1197" t="s">
        <v>4348</v>
      </c>
      <c r="E1242" s="1147" t="s">
        <v>4348</v>
      </c>
      <c r="F1242" s="940"/>
      <c r="G1242" s="953"/>
      <c r="H1242" s="969"/>
      <c r="I1242" s="998" t="s">
        <v>530</v>
      </c>
      <c r="J1242" s="1209" t="s">
        <v>178</v>
      </c>
      <c r="K1242" s="1223" t="s">
        <v>80</v>
      </c>
      <c r="L1242" s="1200">
        <v>130.0</v>
      </c>
      <c r="M1242" s="1201">
        <v>75.0</v>
      </c>
      <c r="N1242" s="1201">
        <v>60.0</v>
      </c>
      <c r="O1242" s="1201">
        <v>45.0</v>
      </c>
      <c r="P1242" s="1201">
        <v>100.0</v>
      </c>
      <c r="Q1242" s="1201">
        <v>20.0</v>
      </c>
      <c r="R1242" s="960">
        <v>76.0</v>
      </c>
      <c r="S1242" s="960">
        <v>139.0</v>
      </c>
      <c r="T1242" s="960">
        <v>152.0</v>
      </c>
      <c r="U1242" s="960">
        <f t="array" ref="U1242">HLOOKUP($J1242,'Type Chart'!$C$2:$T$20,2,false)*HLOOKUP($K1242,'Type Chart'!$C$2:$U$20,2,false)</f>
        <v>1</v>
      </c>
      <c r="V1242" s="960">
        <f t="array" ref="V1242">HLOOKUP($J1242,'Type Chart'!$C$2:$T$20,3,false)*HLOOKUP($K1242,'Type Chart'!$C$2:$U$20,3,false)</f>
        <v>0.5</v>
      </c>
      <c r="W1242" s="960">
        <f t="array" ref="W1242">HLOOKUP($J1242,'Type Chart'!$C$2:$T$20,4,false)*HLOOKUP($K1242,'Type Chart'!$C$2:$U$20,4,false)</f>
        <v>1</v>
      </c>
      <c r="X1242" s="960">
        <f t="array" ref="X1242">HLOOKUP($J1242,'Type Chart'!$C$2:$T$20,5,false)*HLOOKUP($K1242,'Type Chart'!$C$2:$U$20,5,false)</f>
        <v>0.25</v>
      </c>
      <c r="Y1242" s="960">
        <f t="array" ref="Y1242">HLOOKUP($J1242,'Type Chart'!$C$2:$T$20,6,false)*HLOOKUP($K1242,'Type Chart'!$C$2:$U$20,6,false)</f>
        <v>2</v>
      </c>
      <c r="Z1242" s="960">
        <f t="array" ref="Z1242">HLOOKUP($J1242,'Type Chart'!$C$2:$T$20,7,false)*HLOOKUP($K1242,'Type Chart'!$C$2:$U$20,7,false)</f>
        <v>0.5</v>
      </c>
      <c r="AA1242" s="960">
        <f t="array" ref="AA1242">HLOOKUP($J1242,'Type Chart'!$C$2:$T$20,8,false)*HLOOKUP($K1242,'Type Chart'!$C$2:$U$20,8,false)</f>
        <v>0.5</v>
      </c>
      <c r="AB1242" s="960">
        <f t="array" ref="AB1242">HLOOKUP($J1242,'Type Chart'!$C$2:$T$20,9,false)*HLOOKUP($K1242,'Type Chart'!$C$2:$U$20,9,false)</f>
        <v>1</v>
      </c>
      <c r="AC1242" s="960">
        <f t="array" ref="AC1242">HLOOKUP($J1242,'Type Chart'!$C$2:$T$20,10,false)*HLOOKUP($K1242,'Type Chart'!$C$2:$U$20,10,false)</f>
        <v>1</v>
      </c>
      <c r="AD1242" s="960">
        <f t="array" ref="AD1242">HLOOKUP($J1242,'Type Chart'!$C$2:$T$20,11,false)*HLOOKUP($K1242,'Type Chart'!$C$2:$U$20,11,false)</f>
        <v>1</v>
      </c>
      <c r="AE1242" s="960">
        <f t="array" ref="AE1242">HLOOKUP($J1242,'Type Chart'!$C$2:$T$20,12,false)*HLOOKUP($K1242,'Type Chart'!$C$2:$U$20,12,false)</f>
        <v>2</v>
      </c>
      <c r="AF1242" s="960">
        <f t="array" ref="AF1242">HLOOKUP($J1242,'Type Chart'!$C$2:$T$20,13,false)*HLOOKUP($K1242,'Type Chart'!$C$2:$U$20,13,false)</f>
        <v>1</v>
      </c>
      <c r="AG1242" s="960">
        <f t="array" ref="AG1242">HLOOKUP($J1242,'Type Chart'!$C$2:$T$20,14,false)*HLOOKUP($K1242,'Type Chart'!$C$2:$U$20,14,false)</f>
        <v>0</v>
      </c>
      <c r="AH1242" s="960">
        <f t="array" ref="AH1242">HLOOKUP($J1242,'Type Chart'!$C$2:$T$20,15,false)*HLOOKUP($K1242,'Type Chart'!$C$2:$U$20,15,false)</f>
        <v>2</v>
      </c>
      <c r="AI1242" s="960">
        <f t="array" ref="AI1242">HLOOKUP($J1242,'Type Chart'!$C$2:$T$20,16,false)*HLOOKUP($K1242,'Type Chart'!$C$2:$U$20,16,false)</f>
        <v>2</v>
      </c>
      <c r="AJ1242" s="960">
        <f t="array" ref="AJ1242">HLOOKUP($J1242,'Type Chart'!$C$2:$T$20,17,false)*HLOOKUP($K1242,'Type Chart'!$C$2:$U$20,17,false)</f>
        <v>1</v>
      </c>
      <c r="AK1242" s="960">
        <f t="array" ref="AK1242">HLOOKUP($J1242,'Type Chart'!$C$2:$T$20,18,false)*HLOOKUP($K1242,'Type Chart'!$C$2:$U$20,18,false)</f>
        <v>1</v>
      </c>
      <c r="AL1242" s="960">
        <f t="array" ref="AL1242">HLOOKUP($J1242,'Type Chart'!$C$2:$T$20,19,false)*HLOOKUP($K1242,'Type Chart'!$C$2:$U$20,19,false)</f>
        <v>0.5</v>
      </c>
      <c r="AM1242" s="1145" t="s">
        <v>1146</v>
      </c>
      <c r="AN1242" s="964" t="s">
        <v>1283</v>
      </c>
      <c r="AO1242" s="966" t="s">
        <v>1169</v>
      </c>
      <c r="AP1242" s="936"/>
      <c r="AQ1242" s="967"/>
      <c r="AR1242" s="968"/>
      <c r="AS1242" s="936"/>
    </row>
    <row r="1243" ht="15.75" customHeight="1">
      <c r="A1243" s="1099"/>
      <c r="B1243" s="948">
        <v>1010.0</v>
      </c>
      <c r="C1243" s="1197" t="s">
        <v>122</v>
      </c>
      <c r="D1243" s="1197" t="s">
        <v>122</v>
      </c>
      <c r="E1243" s="1147" t="s">
        <v>122</v>
      </c>
      <c r="F1243" s="940"/>
      <c r="G1243" s="953"/>
      <c r="H1243" s="969"/>
      <c r="I1243" s="998" t="s">
        <v>115</v>
      </c>
      <c r="J1243" s="1212" t="s">
        <v>341</v>
      </c>
      <c r="K1243" s="1221" t="s">
        <v>215</v>
      </c>
      <c r="L1243" s="1200">
        <v>110.0</v>
      </c>
      <c r="M1243" s="1201">
        <v>115.0</v>
      </c>
      <c r="N1243" s="1201">
        <v>80.0</v>
      </c>
      <c r="O1243" s="1201">
        <v>50.0</v>
      </c>
      <c r="P1243" s="1201">
        <v>90.0</v>
      </c>
      <c r="Q1243" s="1201">
        <v>90.0</v>
      </c>
      <c r="R1243" s="960">
        <v>216.0</v>
      </c>
      <c r="S1243" s="960">
        <v>279.0</v>
      </c>
      <c r="T1243" s="960">
        <v>306.0</v>
      </c>
      <c r="U1243" s="960">
        <f t="array" ref="U1243">HLOOKUP($J1243,'Type Chart'!$C$2:$T$20,2,false)*HLOOKUP($K1243,'Type Chart'!$C$2:$U$20,2,false)</f>
        <v>0</v>
      </c>
      <c r="V1243" s="960">
        <f t="array" ref="V1243">HLOOKUP($J1243,'Type Chart'!$C$2:$T$20,3,false)*HLOOKUP($K1243,'Type Chart'!$C$2:$U$20,3,false)</f>
        <v>0</v>
      </c>
      <c r="W1243" s="960">
        <f t="array" ref="W1243">HLOOKUP($J1243,'Type Chart'!$C$2:$T$20,4,false)*HLOOKUP($K1243,'Type Chart'!$C$2:$U$20,4,false)</f>
        <v>2</v>
      </c>
      <c r="X1243" s="960">
        <f t="array" ref="X1243">HLOOKUP($J1243,'Type Chart'!$C$2:$T$20,5,false)*HLOOKUP($K1243,'Type Chart'!$C$2:$U$20,5,false)</f>
        <v>0.5</v>
      </c>
      <c r="Y1243" s="960">
        <f t="array" ref="Y1243">HLOOKUP($J1243,'Type Chart'!$C$2:$T$20,6,false)*HLOOKUP($K1243,'Type Chart'!$C$2:$U$20,6,false)</f>
        <v>1</v>
      </c>
      <c r="Z1243" s="960">
        <f t="array" ref="Z1243">HLOOKUP($J1243,'Type Chart'!$C$2:$T$20,7,false)*HLOOKUP($K1243,'Type Chart'!$C$2:$U$20,7,false)</f>
        <v>0.5</v>
      </c>
      <c r="AA1243" s="960">
        <f t="array" ref="AA1243">HLOOKUP($J1243,'Type Chart'!$C$2:$T$20,8,false)*HLOOKUP($K1243,'Type Chart'!$C$2:$U$20,8,false)</f>
        <v>0.25</v>
      </c>
      <c r="AB1243" s="960">
        <f t="array" ref="AB1243">HLOOKUP($J1243,'Type Chart'!$C$2:$T$20,9,false)*HLOOKUP($K1243,'Type Chart'!$C$2:$U$20,9,false)</f>
        <v>2</v>
      </c>
      <c r="AC1243" s="960">
        <f t="array" ref="AC1243">HLOOKUP($J1243,'Type Chart'!$C$2:$T$20,10,false)*HLOOKUP($K1243,'Type Chart'!$C$2:$U$20,10,false)</f>
        <v>1</v>
      </c>
      <c r="AD1243" s="960">
        <f t="array" ref="AD1243">HLOOKUP($J1243,'Type Chart'!$C$2:$T$20,11,false)*HLOOKUP($K1243,'Type Chart'!$C$2:$U$20,11,false)</f>
        <v>1</v>
      </c>
      <c r="AE1243" s="960">
        <f t="array" ref="AE1243">HLOOKUP($J1243,'Type Chart'!$C$2:$T$20,12,false)*HLOOKUP($K1243,'Type Chart'!$C$2:$U$20,12,false)</f>
        <v>1</v>
      </c>
      <c r="AF1243" s="960">
        <f t="array" ref="AF1243">HLOOKUP($J1243,'Type Chart'!$C$2:$T$20,13,false)*HLOOKUP($K1243,'Type Chart'!$C$2:$U$20,13,false)</f>
        <v>1</v>
      </c>
      <c r="AG1243" s="960">
        <f t="array" ref="AG1243">HLOOKUP($J1243,'Type Chart'!$C$2:$T$20,14,false)*HLOOKUP($K1243,'Type Chart'!$C$2:$U$20,14,false)</f>
        <v>1</v>
      </c>
      <c r="AH1243" s="960">
        <f t="array" ref="AH1243">HLOOKUP($J1243,'Type Chart'!$C$2:$T$20,15,false)*HLOOKUP($K1243,'Type Chart'!$C$2:$U$20,15,false)</f>
        <v>2</v>
      </c>
      <c r="AI1243" s="960">
        <f t="array" ref="AI1243">HLOOKUP($J1243,'Type Chart'!$C$2:$T$20,16,false)*HLOOKUP($K1243,'Type Chart'!$C$2:$U$20,16,false)</f>
        <v>1</v>
      </c>
      <c r="AJ1243" s="960">
        <f t="array" ref="AJ1243">HLOOKUP($J1243,'Type Chart'!$C$2:$T$20,17,false)*HLOOKUP($K1243,'Type Chart'!$C$2:$U$20,17,false)</f>
        <v>1</v>
      </c>
      <c r="AK1243" s="960">
        <f t="array" ref="AK1243">HLOOKUP($J1243,'Type Chart'!$C$2:$T$20,18,false)*HLOOKUP($K1243,'Type Chart'!$C$2:$U$20,18,false)</f>
        <v>1</v>
      </c>
      <c r="AL1243" s="960">
        <f t="array" ref="AL1243">HLOOKUP($J1243,'Type Chart'!$C$2:$T$20,19,false)*HLOOKUP($K1243,'Type Chart'!$C$2:$U$20,19,false)</f>
        <v>2</v>
      </c>
      <c r="AM1243" s="1145" t="s">
        <v>1265</v>
      </c>
      <c r="AN1243" s="964" t="s">
        <v>1192</v>
      </c>
      <c r="AO1243" s="966" t="s">
        <v>1267</v>
      </c>
      <c r="AP1243" s="936"/>
      <c r="AQ1243" s="967"/>
      <c r="AR1243" s="968"/>
      <c r="AS1243" s="936"/>
    </row>
    <row r="1244" ht="15.75" customHeight="1">
      <c r="A1244" s="1099"/>
      <c r="B1244" s="1240"/>
      <c r="C1244" s="1197" t="s">
        <v>176</v>
      </c>
      <c r="D1244" s="1197" t="s">
        <v>176</v>
      </c>
      <c r="E1244" s="1147" t="s">
        <v>176</v>
      </c>
      <c r="F1244" s="940"/>
      <c r="G1244" s="953"/>
      <c r="H1244" s="1241"/>
      <c r="I1244" s="1242" t="s">
        <v>176</v>
      </c>
      <c r="J1244" s="1239" t="s">
        <v>80</v>
      </c>
      <c r="K1244" s="1239" t="s">
        <v>136</v>
      </c>
      <c r="L1244" s="1237">
        <v>113.0</v>
      </c>
      <c r="M1244" s="1238">
        <v>70.0</v>
      </c>
      <c r="N1244" s="1238">
        <v>120.0</v>
      </c>
      <c r="O1244" s="1238">
        <v>135.0</v>
      </c>
      <c r="P1244" s="1238">
        <v>65.0</v>
      </c>
      <c r="Q1244" s="1238">
        <v>52.0</v>
      </c>
      <c r="R1244" s="960">
        <v>140.0</v>
      </c>
      <c r="S1244" s="960">
        <v>203.0</v>
      </c>
      <c r="T1244" s="960">
        <v>223.0</v>
      </c>
      <c r="U1244" s="960">
        <f t="array" ref="U1244">HLOOKUP($J1244,'Type Chart'!$C$2:$T$20,2,false)*HLOOKUP($K1244,'Type Chart'!$C$2:$U$20,2,false)</f>
        <v>1</v>
      </c>
      <c r="V1244" s="960">
        <f t="array" ref="V1244">HLOOKUP($J1244,'Type Chart'!$C$2:$T$20,3,false)*HLOOKUP($K1244,'Type Chart'!$C$2:$U$20,3,false)</f>
        <v>2</v>
      </c>
      <c r="W1244" s="960">
        <f t="array" ref="W1244">HLOOKUP($J1244,'Type Chart'!$C$2:$T$20,4,false)*HLOOKUP($K1244,'Type Chart'!$C$2:$U$20,4,false)</f>
        <v>1</v>
      </c>
      <c r="X1244" s="960">
        <f t="array" ref="X1244">HLOOKUP($J1244,'Type Chart'!$C$2:$T$20,5,false)*HLOOKUP($K1244,'Type Chart'!$C$2:$U$20,5,false)</f>
        <v>0.5</v>
      </c>
      <c r="Y1244" s="960">
        <f t="array" ref="Y1244">HLOOKUP($J1244,'Type Chart'!$C$2:$T$20,6,false)*HLOOKUP($K1244,'Type Chart'!$C$2:$U$20,6,false)</f>
        <v>1</v>
      </c>
      <c r="Z1244" s="960">
        <f t="array" ref="Z1244">HLOOKUP($J1244,'Type Chart'!$C$2:$T$20,7,false)*HLOOKUP($K1244,'Type Chart'!$C$2:$U$20,7,false)</f>
        <v>0.5</v>
      </c>
      <c r="AA1244" s="960">
        <f t="array" ref="AA1244">HLOOKUP($J1244,'Type Chart'!$C$2:$T$20,8,false)*HLOOKUP($K1244,'Type Chart'!$C$2:$U$20,8,false)</f>
        <v>1</v>
      </c>
      <c r="AB1244" s="960">
        <f t="array" ref="AB1244">HLOOKUP($J1244,'Type Chart'!$C$2:$T$20,9,false)*HLOOKUP($K1244,'Type Chart'!$C$2:$U$20,9,false)</f>
        <v>0</v>
      </c>
      <c r="AC1244" s="960">
        <f t="array" ref="AC1244">HLOOKUP($J1244,'Type Chart'!$C$2:$T$20,10,false)*HLOOKUP($K1244,'Type Chart'!$C$2:$U$20,10,false)</f>
        <v>1</v>
      </c>
      <c r="AD1244" s="960">
        <f t="array" ref="AD1244">HLOOKUP($J1244,'Type Chart'!$C$2:$T$20,11,false)*HLOOKUP($K1244,'Type Chart'!$C$2:$U$20,11,false)</f>
        <v>1</v>
      </c>
      <c r="AE1244" s="960">
        <f t="array" ref="AE1244">HLOOKUP($J1244,'Type Chart'!$C$2:$T$20,12,false)*HLOOKUP($K1244,'Type Chart'!$C$2:$U$20,12,false)</f>
        <v>2</v>
      </c>
      <c r="AF1244" s="960">
        <f t="array" ref="AF1244">HLOOKUP($J1244,'Type Chart'!$C$2:$T$20,13,false)*HLOOKUP($K1244,'Type Chart'!$C$2:$U$20,13,false)</f>
        <v>2</v>
      </c>
      <c r="AG1244" s="960">
        <f t="array" ref="AG1244">HLOOKUP($J1244,'Type Chart'!$C$2:$T$20,14,false)*HLOOKUP($K1244,'Type Chart'!$C$2:$U$20,14,false)</f>
        <v>0</v>
      </c>
      <c r="AH1244" s="960">
        <f t="array" ref="AH1244">HLOOKUP($J1244,'Type Chart'!$C$2:$T$20,15,false)*HLOOKUP($K1244,'Type Chart'!$C$2:$U$20,15,false)</f>
        <v>1</v>
      </c>
      <c r="AI1244" s="960">
        <f t="array" ref="AI1244">HLOOKUP($J1244,'Type Chart'!$C$2:$T$20,16,false)*HLOOKUP($K1244,'Type Chart'!$C$2:$U$20,16,false)</f>
        <v>2</v>
      </c>
      <c r="AJ1244" s="960">
        <f t="array" ref="AJ1244">HLOOKUP($J1244,'Type Chart'!$C$2:$T$20,17,false)*HLOOKUP($K1244,'Type Chart'!$C$2:$U$20,17,false)</f>
        <v>1</v>
      </c>
      <c r="AK1244" s="960">
        <f t="array" ref="AK1244">HLOOKUP($J1244,'Type Chart'!$C$2:$T$20,18,false)*HLOOKUP($K1244,'Type Chart'!$C$2:$U$20,18,false)</f>
        <v>1</v>
      </c>
      <c r="AL1244" s="960">
        <f t="array" ref="AL1244">HLOOKUP($J1244,'Type Chart'!$C$2:$T$20,19,false)*HLOOKUP($K1244,'Type Chart'!$C$2:$U$20,19,false)</f>
        <v>1</v>
      </c>
      <c r="AM1244" s="1243"/>
      <c r="AN1244" s="1244"/>
      <c r="AO1244" s="1244"/>
      <c r="AP1244" s="936"/>
      <c r="AQ1244" s="1245"/>
      <c r="AR1244" s="1245"/>
      <c r="AS1244" s="936"/>
    </row>
    <row r="1245" ht="15.75" customHeight="1">
      <c r="A1245" s="1099"/>
      <c r="B1245" s="1240"/>
      <c r="C1245" s="1197" t="s">
        <v>4349</v>
      </c>
      <c r="D1245" s="1197" t="s">
        <v>4349</v>
      </c>
      <c r="E1245" s="1147" t="s">
        <v>4349</v>
      </c>
      <c r="F1245" s="940"/>
      <c r="G1245" s="953"/>
      <c r="H1245" s="1241"/>
      <c r="I1245" s="1242" t="s">
        <v>4349</v>
      </c>
      <c r="J1245" s="1239" t="s">
        <v>209</v>
      </c>
      <c r="K1245" s="1239" t="s">
        <v>346</v>
      </c>
      <c r="L1245" s="1237">
        <v>80.0</v>
      </c>
      <c r="M1245" s="1238">
        <v>80.0</v>
      </c>
      <c r="N1245" s="1238">
        <v>110.0</v>
      </c>
      <c r="O1245" s="1238">
        <v>95.0</v>
      </c>
      <c r="P1245" s="1238">
        <v>80.0</v>
      </c>
      <c r="Q1245" s="1238">
        <v>40.0</v>
      </c>
      <c r="R1245" s="960">
        <v>116.0</v>
      </c>
      <c r="S1245" s="960">
        <v>179.0</v>
      </c>
      <c r="T1245" s="960">
        <v>196.0</v>
      </c>
      <c r="U1245" s="960">
        <f t="array" ref="U1245">HLOOKUP($J1245,'Type Chart'!$C$2:$T$20,2,false)*HLOOKUP($K1245,'Type Chart'!$C$2:$U$20,2,false)</f>
        <v>1</v>
      </c>
      <c r="V1245" s="960">
        <f t="array" ref="V1245">HLOOKUP($J1245,'Type Chart'!$C$2:$T$20,3,false)*HLOOKUP($K1245,'Type Chart'!$C$2:$U$20,3,false)</f>
        <v>1</v>
      </c>
      <c r="W1245" s="960">
        <f t="array" ref="W1245">HLOOKUP($J1245,'Type Chart'!$C$2:$T$20,4,false)*HLOOKUP($K1245,'Type Chart'!$C$2:$U$20,4,false)</f>
        <v>2</v>
      </c>
      <c r="X1245" s="960">
        <f t="array" ref="X1245">HLOOKUP($J1245,'Type Chart'!$C$2:$T$20,5,false)*HLOOKUP($K1245,'Type Chart'!$C$2:$U$20,5,false)</f>
        <v>2</v>
      </c>
      <c r="Y1245" s="960">
        <f t="array" ref="Y1245">HLOOKUP($J1245,'Type Chart'!$C$2:$T$20,6,false)*HLOOKUP($K1245,'Type Chart'!$C$2:$U$20,6,false)</f>
        <v>0.5</v>
      </c>
      <c r="Z1245" s="960">
        <f t="array" ref="Z1245">HLOOKUP($J1245,'Type Chart'!$C$2:$T$20,7,false)*HLOOKUP($K1245,'Type Chart'!$C$2:$U$20,7,false)</f>
        <v>1</v>
      </c>
      <c r="AA1245" s="960">
        <f t="array" ref="AA1245">HLOOKUP($J1245,'Type Chart'!$C$2:$T$20,8,false)*HLOOKUP($K1245,'Type Chart'!$C$2:$U$20,8,false)</f>
        <v>2</v>
      </c>
      <c r="AB1245" s="960">
        <f t="array" ref="AB1245">HLOOKUP($J1245,'Type Chart'!$C$2:$T$20,9,false)*HLOOKUP($K1245,'Type Chart'!$C$2:$U$20,9,false)</f>
        <v>1</v>
      </c>
      <c r="AC1245" s="960">
        <f t="array" ref="AC1245">HLOOKUP($J1245,'Type Chart'!$C$2:$T$20,10,false)*HLOOKUP($K1245,'Type Chart'!$C$2:$U$20,10,false)</f>
        <v>1</v>
      </c>
      <c r="AD1245" s="960">
        <f t="array" ref="AD1245">HLOOKUP($J1245,'Type Chart'!$C$2:$T$20,11,false)*HLOOKUP($K1245,'Type Chart'!$C$2:$U$20,11,false)</f>
        <v>1</v>
      </c>
      <c r="AE1245" s="960">
        <f t="array" ref="AE1245">HLOOKUP($J1245,'Type Chart'!$C$2:$T$20,12,false)*HLOOKUP($K1245,'Type Chart'!$C$2:$U$20,12,false)</f>
        <v>0.25</v>
      </c>
      <c r="AF1245" s="960">
        <f t="array" ref="AF1245">HLOOKUP($J1245,'Type Chart'!$C$2:$T$20,13,false)*HLOOKUP($K1245,'Type Chart'!$C$2:$U$20,13,false)</f>
        <v>0.25</v>
      </c>
      <c r="AG1245" s="960">
        <f t="array" ref="AG1245">HLOOKUP($J1245,'Type Chart'!$C$2:$T$20,14,false)*HLOOKUP($K1245,'Type Chart'!$C$2:$U$20,14,false)</f>
        <v>0.25</v>
      </c>
      <c r="AH1245" s="960">
        <f t="array" ref="AH1245">HLOOKUP($J1245,'Type Chart'!$C$2:$T$20,15,false)*HLOOKUP($K1245,'Type Chart'!$C$2:$U$20,15,false)</f>
        <v>1</v>
      </c>
      <c r="AI1245" s="960">
        <f t="array" ref="AI1245">HLOOKUP($J1245,'Type Chart'!$C$2:$T$20,16,false)*HLOOKUP($K1245,'Type Chart'!$C$2:$U$20,16,false)</f>
        <v>4</v>
      </c>
      <c r="AJ1245" s="960">
        <f t="array" ref="AJ1245">HLOOKUP($J1245,'Type Chart'!$C$2:$T$20,17,false)*HLOOKUP($K1245,'Type Chart'!$C$2:$U$20,17,false)</f>
        <v>2</v>
      </c>
      <c r="AK1245" s="960">
        <f t="array" ref="AK1245">HLOOKUP($J1245,'Type Chart'!$C$2:$T$20,18,false)*HLOOKUP($K1245,'Type Chart'!$C$2:$U$20,18,false)</f>
        <v>1</v>
      </c>
      <c r="AL1245" s="960">
        <f t="array" ref="AL1245">HLOOKUP($J1245,'Type Chart'!$C$2:$T$20,19,false)*HLOOKUP($K1245,'Type Chart'!$C$2:$U$20,19,false)</f>
        <v>2</v>
      </c>
      <c r="AM1245" s="1243"/>
      <c r="AN1245" s="1244"/>
      <c r="AO1245" s="1244"/>
      <c r="AP1245" s="936"/>
      <c r="AQ1245" s="1245"/>
      <c r="AR1245" s="1245"/>
      <c r="AS1245" s="936"/>
    </row>
    <row r="1246" ht="15.75" customHeight="1">
      <c r="A1246" s="1099"/>
      <c r="B1246" s="1240"/>
      <c r="C1246" s="1197" t="s">
        <v>4350</v>
      </c>
      <c r="D1246" s="1197" t="s">
        <v>4350</v>
      </c>
      <c r="E1246" s="1147" t="s">
        <v>4350</v>
      </c>
      <c r="F1246" s="940"/>
      <c r="G1246" s="953"/>
      <c r="H1246" s="1241"/>
      <c r="I1246" s="1242" t="s">
        <v>4350</v>
      </c>
      <c r="J1246" s="1239" t="s">
        <v>209</v>
      </c>
      <c r="K1246" s="1239" t="s">
        <v>215</v>
      </c>
      <c r="L1246" s="1237">
        <v>40.0</v>
      </c>
      <c r="M1246" s="1238">
        <v>45.0</v>
      </c>
      <c r="N1246" s="1238">
        <v>45.0</v>
      </c>
      <c r="O1246" s="1238">
        <v>74.0</v>
      </c>
      <c r="P1246" s="1238">
        <v>54.0</v>
      </c>
      <c r="Q1246" s="1238">
        <v>50.0</v>
      </c>
      <c r="R1246" s="960">
        <v>136.0</v>
      </c>
      <c r="S1246" s="960">
        <v>199.0</v>
      </c>
      <c r="T1246" s="960">
        <v>218.0</v>
      </c>
      <c r="U1246" s="960">
        <f t="array" ref="U1246">HLOOKUP($J1246,'Type Chart'!$C$2:$T$20,2,false)*HLOOKUP($K1246,'Type Chart'!$C$2:$U$20,2,false)</f>
        <v>0</v>
      </c>
      <c r="V1246" s="960">
        <f t="array" ref="V1246">HLOOKUP($J1246,'Type Chart'!$C$2:$T$20,3,false)*HLOOKUP($K1246,'Type Chart'!$C$2:$U$20,3,false)</f>
        <v>0</v>
      </c>
      <c r="W1246" s="960">
        <f t="array" ref="W1246">HLOOKUP($J1246,'Type Chart'!$C$2:$T$20,4,false)*HLOOKUP($K1246,'Type Chart'!$C$2:$U$20,4,false)</f>
        <v>2</v>
      </c>
      <c r="X1246" s="960">
        <f t="array" ref="X1246">HLOOKUP($J1246,'Type Chart'!$C$2:$T$20,5,false)*HLOOKUP($K1246,'Type Chart'!$C$2:$U$20,5,false)</f>
        <v>1</v>
      </c>
      <c r="Y1246" s="960">
        <f t="array" ref="Y1246">HLOOKUP($J1246,'Type Chart'!$C$2:$T$20,6,false)*HLOOKUP($K1246,'Type Chart'!$C$2:$U$20,6,false)</f>
        <v>0.5</v>
      </c>
      <c r="Z1246" s="960">
        <f t="array" ref="Z1246">HLOOKUP($J1246,'Type Chart'!$C$2:$T$20,7,false)*HLOOKUP($K1246,'Type Chart'!$C$2:$U$20,7,false)</f>
        <v>1</v>
      </c>
      <c r="AA1246" s="960">
        <f t="array" ref="AA1246">HLOOKUP($J1246,'Type Chart'!$C$2:$T$20,8,false)*HLOOKUP($K1246,'Type Chart'!$C$2:$U$20,8,false)</f>
        <v>1</v>
      </c>
      <c r="AB1246" s="960">
        <f t="array" ref="AB1246">HLOOKUP($J1246,'Type Chart'!$C$2:$T$20,9,false)*HLOOKUP($K1246,'Type Chart'!$C$2:$U$20,9,false)</f>
        <v>2</v>
      </c>
      <c r="AC1246" s="960">
        <f t="array" ref="AC1246">HLOOKUP($J1246,'Type Chart'!$C$2:$T$20,10,false)*HLOOKUP($K1246,'Type Chart'!$C$2:$U$20,10,false)</f>
        <v>1</v>
      </c>
      <c r="AD1246" s="960">
        <f t="array" ref="AD1246">HLOOKUP($J1246,'Type Chart'!$C$2:$T$20,11,false)*HLOOKUP($K1246,'Type Chart'!$C$2:$U$20,11,false)</f>
        <v>2</v>
      </c>
      <c r="AE1246" s="960">
        <f t="array" ref="AE1246">HLOOKUP($J1246,'Type Chart'!$C$2:$T$20,12,false)*HLOOKUP($K1246,'Type Chart'!$C$2:$U$20,12,false)</f>
        <v>0.5</v>
      </c>
      <c r="AF1246" s="960">
        <f t="array" ref="AF1246">HLOOKUP($J1246,'Type Chart'!$C$2:$T$20,13,false)*HLOOKUP($K1246,'Type Chart'!$C$2:$U$20,13,false)</f>
        <v>0.5</v>
      </c>
      <c r="AG1246" s="960">
        <f t="array" ref="AG1246">HLOOKUP($J1246,'Type Chart'!$C$2:$T$20,14,false)*HLOOKUP($K1246,'Type Chart'!$C$2:$U$20,14,false)</f>
        <v>0.5</v>
      </c>
      <c r="AH1246" s="960">
        <f t="array" ref="AH1246">HLOOKUP($J1246,'Type Chart'!$C$2:$T$20,15,false)*HLOOKUP($K1246,'Type Chart'!$C$2:$U$20,15,false)</f>
        <v>1</v>
      </c>
      <c r="AI1246" s="960">
        <f t="array" ref="AI1246">HLOOKUP($J1246,'Type Chart'!$C$2:$T$20,16,false)*HLOOKUP($K1246,'Type Chart'!$C$2:$U$20,16,false)</f>
        <v>2</v>
      </c>
      <c r="AJ1246" s="960">
        <f t="array" ref="AJ1246">HLOOKUP($J1246,'Type Chart'!$C$2:$T$20,17,false)*HLOOKUP($K1246,'Type Chart'!$C$2:$U$20,17,false)</f>
        <v>1</v>
      </c>
      <c r="AK1246" s="960">
        <f t="array" ref="AK1246">HLOOKUP($J1246,'Type Chart'!$C$2:$T$20,18,false)*HLOOKUP($K1246,'Type Chart'!$C$2:$U$20,18,false)</f>
        <v>2</v>
      </c>
      <c r="AL1246" s="960">
        <f t="array" ref="AL1246">HLOOKUP($J1246,'Type Chart'!$C$2:$T$20,19,false)*HLOOKUP($K1246,'Type Chart'!$C$2:$U$20,19,false)</f>
        <v>1</v>
      </c>
      <c r="AM1246" s="1243"/>
      <c r="AN1246" s="1244"/>
      <c r="AO1246" s="1244"/>
      <c r="AP1246" s="936"/>
      <c r="AQ1246" s="1245"/>
      <c r="AR1246" s="1245"/>
      <c r="AS1246" s="936"/>
    </row>
    <row r="1247" ht="15.75" customHeight="1">
      <c r="A1247" s="1099"/>
      <c r="B1247" s="1240"/>
      <c r="C1247" s="1197" t="s">
        <v>4351</v>
      </c>
      <c r="D1247" s="1197" t="s">
        <v>4351</v>
      </c>
      <c r="E1247" s="1147" t="s">
        <v>4351</v>
      </c>
      <c r="F1247" s="940"/>
      <c r="G1247" s="953"/>
      <c r="H1247" s="1241"/>
      <c r="I1247" s="1242" t="s">
        <v>4351</v>
      </c>
      <c r="J1247" s="1239" t="s">
        <v>209</v>
      </c>
      <c r="K1247" s="1239" t="s">
        <v>215</v>
      </c>
      <c r="L1247" s="1237">
        <v>71.0</v>
      </c>
      <c r="M1247" s="1238">
        <v>60.0</v>
      </c>
      <c r="N1247" s="1238">
        <v>106.0</v>
      </c>
      <c r="O1247" s="1238">
        <v>121.0</v>
      </c>
      <c r="P1247" s="1238">
        <v>80.0</v>
      </c>
      <c r="Q1247" s="1238">
        <v>70.0</v>
      </c>
      <c r="R1247" s="960">
        <v>176.0</v>
      </c>
      <c r="S1247" s="960">
        <v>239.0</v>
      </c>
      <c r="T1247" s="960">
        <v>262.0</v>
      </c>
      <c r="U1247" s="960">
        <f t="array" ref="U1247">HLOOKUP($J1247,'Type Chart'!$C$2:$T$20,2,false)*HLOOKUP($K1247,'Type Chart'!$C$2:$U$20,2,false)</f>
        <v>0</v>
      </c>
      <c r="V1247" s="960">
        <f t="array" ref="V1247">HLOOKUP($J1247,'Type Chart'!$C$2:$T$20,3,false)*HLOOKUP($K1247,'Type Chart'!$C$2:$U$20,3,false)</f>
        <v>0</v>
      </c>
      <c r="W1247" s="960">
        <f t="array" ref="W1247">HLOOKUP($J1247,'Type Chart'!$C$2:$T$20,4,false)*HLOOKUP($K1247,'Type Chart'!$C$2:$U$20,4,false)</f>
        <v>2</v>
      </c>
      <c r="X1247" s="960">
        <f t="array" ref="X1247">HLOOKUP($J1247,'Type Chart'!$C$2:$T$20,5,false)*HLOOKUP($K1247,'Type Chart'!$C$2:$U$20,5,false)</f>
        <v>1</v>
      </c>
      <c r="Y1247" s="960">
        <f t="array" ref="Y1247">HLOOKUP($J1247,'Type Chart'!$C$2:$T$20,6,false)*HLOOKUP($K1247,'Type Chart'!$C$2:$U$20,6,false)</f>
        <v>0.5</v>
      </c>
      <c r="Z1247" s="960">
        <f t="array" ref="Z1247">HLOOKUP($J1247,'Type Chart'!$C$2:$T$20,7,false)*HLOOKUP($K1247,'Type Chart'!$C$2:$U$20,7,false)</f>
        <v>1</v>
      </c>
      <c r="AA1247" s="960">
        <f t="array" ref="AA1247">HLOOKUP($J1247,'Type Chart'!$C$2:$T$20,8,false)*HLOOKUP($K1247,'Type Chart'!$C$2:$U$20,8,false)</f>
        <v>1</v>
      </c>
      <c r="AB1247" s="960">
        <f t="array" ref="AB1247">HLOOKUP($J1247,'Type Chart'!$C$2:$T$20,9,false)*HLOOKUP($K1247,'Type Chart'!$C$2:$U$20,9,false)</f>
        <v>2</v>
      </c>
      <c r="AC1247" s="960">
        <f t="array" ref="AC1247">HLOOKUP($J1247,'Type Chart'!$C$2:$T$20,10,false)*HLOOKUP($K1247,'Type Chart'!$C$2:$U$20,10,false)</f>
        <v>1</v>
      </c>
      <c r="AD1247" s="960">
        <f t="array" ref="AD1247">HLOOKUP($J1247,'Type Chart'!$C$2:$T$20,11,false)*HLOOKUP($K1247,'Type Chart'!$C$2:$U$20,11,false)</f>
        <v>2</v>
      </c>
      <c r="AE1247" s="960">
        <f t="array" ref="AE1247">HLOOKUP($J1247,'Type Chart'!$C$2:$T$20,12,false)*HLOOKUP($K1247,'Type Chart'!$C$2:$U$20,12,false)</f>
        <v>0.5</v>
      </c>
      <c r="AF1247" s="960">
        <f t="array" ref="AF1247">HLOOKUP($J1247,'Type Chart'!$C$2:$T$20,13,false)*HLOOKUP($K1247,'Type Chart'!$C$2:$U$20,13,false)</f>
        <v>0.5</v>
      </c>
      <c r="AG1247" s="960">
        <f t="array" ref="AG1247">HLOOKUP($J1247,'Type Chart'!$C$2:$T$20,14,false)*HLOOKUP($K1247,'Type Chart'!$C$2:$U$20,14,false)</f>
        <v>0.5</v>
      </c>
      <c r="AH1247" s="960">
        <f t="array" ref="AH1247">HLOOKUP($J1247,'Type Chart'!$C$2:$T$20,15,false)*HLOOKUP($K1247,'Type Chart'!$C$2:$U$20,15,false)</f>
        <v>1</v>
      </c>
      <c r="AI1247" s="960">
        <f t="array" ref="AI1247">HLOOKUP($J1247,'Type Chart'!$C$2:$T$20,16,false)*HLOOKUP($K1247,'Type Chart'!$C$2:$U$20,16,false)</f>
        <v>2</v>
      </c>
      <c r="AJ1247" s="960">
        <f t="array" ref="AJ1247">HLOOKUP($J1247,'Type Chart'!$C$2:$T$20,17,false)*HLOOKUP($K1247,'Type Chart'!$C$2:$U$20,17,false)</f>
        <v>1</v>
      </c>
      <c r="AK1247" s="960">
        <f t="array" ref="AK1247">HLOOKUP($J1247,'Type Chart'!$C$2:$T$20,18,false)*HLOOKUP($K1247,'Type Chart'!$C$2:$U$20,18,false)</f>
        <v>2</v>
      </c>
      <c r="AL1247" s="960">
        <f t="array" ref="AL1247">HLOOKUP($J1247,'Type Chart'!$C$2:$T$20,19,false)*HLOOKUP($K1247,'Type Chart'!$C$2:$U$20,19,false)</f>
        <v>1</v>
      </c>
      <c r="AM1247" s="1243"/>
      <c r="AN1247" s="1244"/>
      <c r="AO1247" s="1244"/>
      <c r="AP1247" s="936"/>
      <c r="AQ1247" s="1245"/>
      <c r="AR1247" s="1245"/>
      <c r="AS1247" s="936"/>
    </row>
    <row r="1248" ht="15.75" customHeight="1">
      <c r="A1248" s="1099"/>
      <c r="B1248" s="1240"/>
      <c r="C1248" s="1197" t="s">
        <v>4352</v>
      </c>
      <c r="D1248" s="1197" t="s">
        <v>4352</v>
      </c>
      <c r="E1248" s="1147" t="s">
        <v>4352</v>
      </c>
      <c r="F1248" s="940"/>
      <c r="G1248" s="953"/>
      <c r="H1248" s="1241"/>
      <c r="I1248" s="1242" t="s">
        <v>4352</v>
      </c>
      <c r="J1248" s="1239" t="s">
        <v>178</v>
      </c>
      <c r="K1248" s="1239" t="s">
        <v>341</v>
      </c>
      <c r="L1248" s="1237">
        <v>88.0</v>
      </c>
      <c r="M1248" s="1238">
        <v>128.0</v>
      </c>
      <c r="N1248" s="1238">
        <v>115.0</v>
      </c>
      <c r="O1248" s="1238">
        <v>58.0</v>
      </c>
      <c r="P1248" s="1238">
        <v>86.0</v>
      </c>
      <c r="Q1248" s="1238">
        <v>80.0</v>
      </c>
      <c r="R1248" s="960">
        <v>196.0</v>
      </c>
      <c r="S1248" s="960">
        <v>259.0</v>
      </c>
      <c r="T1248" s="960">
        <v>284.0</v>
      </c>
      <c r="U1248" s="960">
        <f t="array" ref="U1248">HLOOKUP($J1248,'Type Chart'!$C$2:$T$20,2,false)*HLOOKUP($K1248,'Type Chart'!$C$2:$U$20,2,false)</f>
        <v>1</v>
      </c>
      <c r="V1248" s="960">
        <f t="array" ref="V1248">HLOOKUP($J1248,'Type Chart'!$C$2:$T$20,3,false)*HLOOKUP($K1248,'Type Chart'!$C$2:$U$20,3,false)</f>
        <v>0.5</v>
      </c>
      <c r="W1248" s="960">
        <f t="array" ref="W1248">HLOOKUP($J1248,'Type Chart'!$C$2:$T$20,4,false)*HLOOKUP($K1248,'Type Chart'!$C$2:$U$20,4,false)</f>
        <v>2</v>
      </c>
      <c r="X1248" s="960">
        <f t="array" ref="X1248">HLOOKUP($J1248,'Type Chart'!$C$2:$T$20,5,false)*HLOOKUP($K1248,'Type Chart'!$C$2:$U$20,5,false)</f>
        <v>0.5</v>
      </c>
      <c r="Y1248" s="960">
        <f t="array" ref="Y1248">HLOOKUP($J1248,'Type Chart'!$C$2:$T$20,6,false)*HLOOKUP($K1248,'Type Chart'!$C$2:$U$20,6,false)</f>
        <v>2</v>
      </c>
      <c r="Z1248" s="960">
        <f t="array" ref="Z1248">HLOOKUP($J1248,'Type Chart'!$C$2:$T$20,7,false)*HLOOKUP($K1248,'Type Chart'!$C$2:$U$20,7,false)</f>
        <v>0.5</v>
      </c>
      <c r="AA1248" s="960">
        <f t="array" ref="AA1248">HLOOKUP($J1248,'Type Chart'!$C$2:$T$20,8,false)*HLOOKUP($K1248,'Type Chart'!$C$2:$U$20,8,false)</f>
        <v>0.25</v>
      </c>
      <c r="AB1248" s="960">
        <f t="array" ref="AB1248">HLOOKUP($J1248,'Type Chart'!$C$2:$T$20,9,false)*HLOOKUP($K1248,'Type Chart'!$C$2:$U$20,9,false)</f>
        <v>1</v>
      </c>
      <c r="AC1248" s="960">
        <f t="array" ref="AC1248">HLOOKUP($J1248,'Type Chart'!$C$2:$T$20,10,false)*HLOOKUP($K1248,'Type Chart'!$C$2:$U$20,10,false)</f>
        <v>1</v>
      </c>
      <c r="AD1248" s="960">
        <f t="array" ref="AD1248">HLOOKUP($J1248,'Type Chart'!$C$2:$T$20,11,false)*HLOOKUP($K1248,'Type Chart'!$C$2:$U$20,11,false)</f>
        <v>1</v>
      </c>
      <c r="AE1248" s="960">
        <f t="array" ref="AE1248">HLOOKUP($J1248,'Type Chart'!$C$2:$T$20,12,false)*HLOOKUP($K1248,'Type Chart'!$C$2:$U$20,12,false)</f>
        <v>1</v>
      </c>
      <c r="AF1248" s="960">
        <f t="array" ref="AF1248">HLOOKUP($J1248,'Type Chart'!$C$2:$T$20,13,false)*HLOOKUP($K1248,'Type Chart'!$C$2:$U$20,13,false)</f>
        <v>0.5</v>
      </c>
      <c r="AG1248" s="960">
        <f t="array" ref="AG1248">HLOOKUP($J1248,'Type Chart'!$C$2:$T$20,14,false)*HLOOKUP($K1248,'Type Chart'!$C$2:$U$20,14,false)</f>
        <v>1</v>
      </c>
      <c r="AH1248" s="960">
        <f t="array" ref="AH1248">HLOOKUP($J1248,'Type Chart'!$C$2:$T$20,15,false)*HLOOKUP($K1248,'Type Chart'!$C$2:$U$20,15,false)</f>
        <v>4</v>
      </c>
      <c r="AI1248" s="960">
        <f t="array" ref="AI1248">HLOOKUP($J1248,'Type Chart'!$C$2:$T$20,16,false)*HLOOKUP($K1248,'Type Chart'!$C$2:$U$20,16,false)</f>
        <v>1</v>
      </c>
      <c r="AJ1248" s="960">
        <f t="array" ref="AJ1248">HLOOKUP($J1248,'Type Chart'!$C$2:$T$20,17,false)*HLOOKUP($K1248,'Type Chart'!$C$2:$U$20,17,false)</f>
        <v>1</v>
      </c>
      <c r="AK1248" s="960">
        <f t="array" ref="AK1248">HLOOKUP($J1248,'Type Chart'!$C$2:$T$20,18,false)*HLOOKUP($K1248,'Type Chart'!$C$2:$U$20,18,false)</f>
        <v>0.5</v>
      </c>
      <c r="AL1248" s="960">
        <f t="array" ref="AL1248">HLOOKUP($J1248,'Type Chart'!$C$2:$T$20,19,false)*HLOOKUP($K1248,'Type Chart'!$C$2:$U$20,19,false)</f>
        <v>1</v>
      </c>
      <c r="AM1248" s="1243"/>
      <c r="AN1248" s="1244"/>
      <c r="AO1248" s="1244"/>
      <c r="AP1248" s="936"/>
      <c r="AQ1248" s="1245"/>
      <c r="AR1248" s="1245"/>
      <c r="AS1248" s="936"/>
    </row>
    <row r="1249" ht="15.75" customHeight="1">
      <c r="A1249" s="1099"/>
      <c r="B1249" s="1240"/>
      <c r="C1249" s="1197" t="s">
        <v>4353</v>
      </c>
      <c r="D1249" s="1197" t="s">
        <v>4353</v>
      </c>
      <c r="E1249" s="1147" t="s">
        <v>4353</v>
      </c>
      <c r="F1249" s="940"/>
      <c r="G1249" s="953"/>
      <c r="H1249" s="1241"/>
      <c r="I1249" s="1242" t="s">
        <v>4353</v>
      </c>
      <c r="J1249" s="1239" t="s">
        <v>178</v>
      </c>
      <c r="K1249" s="1239" t="s">
        <v>344</v>
      </c>
      <c r="L1249" s="1237">
        <v>88.0</v>
      </c>
      <c r="M1249" s="1238">
        <v>75.0</v>
      </c>
      <c r="N1249" s="1238">
        <v>66.0</v>
      </c>
      <c r="O1249" s="1238">
        <v>130.0</v>
      </c>
      <c r="P1249" s="1238">
        <v>90.0</v>
      </c>
      <c r="Q1249" s="1238">
        <v>106.0</v>
      </c>
      <c r="R1249" s="960">
        <v>248.0</v>
      </c>
      <c r="S1249" s="960">
        <v>311.0</v>
      </c>
      <c r="T1249" s="960">
        <v>342.0</v>
      </c>
      <c r="U1249" s="960">
        <f t="array" ref="U1249">HLOOKUP($J1249,'Type Chart'!$C$2:$T$20,2,false)*HLOOKUP($K1249,'Type Chart'!$C$2:$U$20,2,false)</f>
        <v>1</v>
      </c>
      <c r="V1249" s="960">
        <f t="array" ref="V1249">HLOOKUP($J1249,'Type Chart'!$C$2:$T$20,3,false)*HLOOKUP($K1249,'Type Chart'!$C$2:$U$20,3,false)</f>
        <v>0.25</v>
      </c>
      <c r="W1249" s="960">
        <f t="array" ref="W1249">HLOOKUP($J1249,'Type Chart'!$C$2:$T$20,4,false)*HLOOKUP($K1249,'Type Chart'!$C$2:$U$20,4,false)</f>
        <v>1</v>
      </c>
      <c r="X1249" s="960">
        <f t="array" ref="X1249">HLOOKUP($J1249,'Type Chart'!$C$2:$T$20,5,false)*HLOOKUP($K1249,'Type Chart'!$C$2:$U$20,5,false)</f>
        <v>0.5</v>
      </c>
      <c r="Y1249" s="960">
        <f t="array" ref="Y1249">HLOOKUP($J1249,'Type Chart'!$C$2:$T$20,6,false)*HLOOKUP($K1249,'Type Chart'!$C$2:$U$20,6,false)</f>
        <v>2</v>
      </c>
      <c r="Z1249" s="960">
        <f t="array" ref="Z1249">HLOOKUP($J1249,'Type Chart'!$C$2:$T$20,7,false)*HLOOKUP($K1249,'Type Chart'!$C$2:$U$20,7,false)</f>
        <v>1</v>
      </c>
      <c r="AA1249" s="960">
        <f t="array" ref="AA1249">HLOOKUP($J1249,'Type Chart'!$C$2:$T$20,8,false)*HLOOKUP($K1249,'Type Chart'!$C$2:$U$20,8,false)</f>
        <v>1</v>
      </c>
      <c r="AB1249" s="960">
        <f t="array" ref="AB1249">HLOOKUP($J1249,'Type Chart'!$C$2:$T$20,9,false)*HLOOKUP($K1249,'Type Chart'!$C$2:$U$20,9,false)</f>
        <v>2</v>
      </c>
      <c r="AC1249" s="960">
        <f t="array" ref="AC1249">HLOOKUP($J1249,'Type Chart'!$C$2:$T$20,10,false)*HLOOKUP($K1249,'Type Chart'!$C$2:$U$20,10,false)</f>
        <v>1</v>
      </c>
      <c r="AD1249" s="960">
        <f t="array" ref="AD1249">HLOOKUP($J1249,'Type Chart'!$C$2:$T$20,11,false)*HLOOKUP($K1249,'Type Chart'!$C$2:$U$20,11,false)</f>
        <v>1</v>
      </c>
      <c r="AE1249" s="960">
        <f t="array" ref="AE1249">HLOOKUP($J1249,'Type Chart'!$C$2:$T$20,12,false)*HLOOKUP($K1249,'Type Chart'!$C$2:$U$20,12,false)</f>
        <v>1</v>
      </c>
      <c r="AF1249" s="960">
        <f t="array" ref="AF1249">HLOOKUP($J1249,'Type Chart'!$C$2:$T$20,13,false)*HLOOKUP($K1249,'Type Chart'!$C$2:$U$20,13,false)</f>
        <v>0.5</v>
      </c>
      <c r="AG1249" s="960">
        <f t="array" ref="AG1249">HLOOKUP($J1249,'Type Chart'!$C$2:$T$20,14,false)*HLOOKUP($K1249,'Type Chart'!$C$2:$U$20,14,false)</f>
        <v>1</v>
      </c>
      <c r="AH1249" s="960">
        <f t="array" ref="AH1249">HLOOKUP($J1249,'Type Chart'!$C$2:$T$20,15,false)*HLOOKUP($K1249,'Type Chart'!$C$2:$U$20,15,false)</f>
        <v>1</v>
      </c>
      <c r="AI1249" s="960">
        <f t="array" ref="AI1249">HLOOKUP($J1249,'Type Chart'!$C$2:$T$20,16,false)*HLOOKUP($K1249,'Type Chart'!$C$2:$U$20,16,false)</f>
        <v>1</v>
      </c>
      <c r="AJ1249" s="960">
        <f t="array" ref="AJ1249">HLOOKUP($J1249,'Type Chart'!$C$2:$T$20,17,false)*HLOOKUP($K1249,'Type Chart'!$C$2:$U$20,17,false)</f>
        <v>1</v>
      </c>
      <c r="AK1249" s="960">
        <f t="array" ref="AK1249">HLOOKUP($J1249,'Type Chart'!$C$2:$T$20,18,false)*HLOOKUP($K1249,'Type Chart'!$C$2:$U$20,18,false)</f>
        <v>2</v>
      </c>
      <c r="AL1249" s="960">
        <f t="array" ref="AL1249">HLOOKUP($J1249,'Type Chart'!$C$2:$T$20,19,false)*HLOOKUP($K1249,'Type Chart'!$C$2:$U$20,19,false)</f>
        <v>0.5</v>
      </c>
      <c r="AM1249" s="1243"/>
      <c r="AN1249" s="1244"/>
      <c r="AO1249" s="1244"/>
      <c r="AP1249" s="936"/>
      <c r="AQ1249" s="1245"/>
      <c r="AR1249" s="1245"/>
      <c r="AS1249" s="936"/>
    </row>
    <row r="1250" ht="15.75" customHeight="1">
      <c r="A1250" s="1099"/>
      <c r="B1250" s="1240"/>
      <c r="C1250" s="1197" t="s">
        <v>4354</v>
      </c>
      <c r="D1250" s="1197" t="s">
        <v>4354</v>
      </c>
      <c r="E1250" s="1147" t="s">
        <v>4354</v>
      </c>
      <c r="F1250" s="940"/>
      <c r="G1250" s="953"/>
      <c r="H1250" s="1241"/>
      <c r="I1250" s="1242" t="s">
        <v>4354</v>
      </c>
      <c r="J1250" s="1239" t="s">
        <v>178</v>
      </c>
      <c r="K1250" s="1239" t="s">
        <v>127</v>
      </c>
      <c r="L1250" s="1237">
        <v>88.0</v>
      </c>
      <c r="M1250" s="1238">
        <v>91.0</v>
      </c>
      <c r="N1250" s="1238">
        <v>82.0</v>
      </c>
      <c r="O1250" s="1238">
        <v>70.0</v>
      </c>
      <c r="P1250" s="1238">
        <v>125.0</v>
      </c>
      <c r="Q1250" s="1238">
        <v>99.0</v>
      </c>
      <c r="R1250" s="960">
        <v>234.0</v>
      </c>
      <c r="S1250" s="960">
        <v>297.0</v>
      </c>
      <c r="T1250" s="960">
        <v>326.0</v>
      </c>
      <c r="U1250" s="960">
        <f t="array" ref="U1250">HLOOKUP($J1250,'Type Chart'!$C$2:$T$20,2,false)*HLOOKUP($K1250,'Type Chart'!$C$2:$U$20,2,false)</f>
        <v>1</v>
      </c>
      <c r="V1250" s="960">
        <f t="array" ref="V1250">HLOOKUP($J1250,'Type Chart'!$C$2:$T$20,3,false)*HLOOKUP($K1250,'Type Chart'!$C$2:$U$20,3,false)</f>
        <v>0.25</v>
      </c>
      <c r="W1250" s="960">
        <f t="array" ref="W1250">HLOOKUP($J1250,'Type Chart'!$C$2:$T$20,4,false)*HLOOKUP($K1250,'Type Chart'!$C$2:$U$20,4,false)</f>
        <v>1</v>
      </c>
      <c r="X1250" s="960">
        <f t="array" ref="X1250">HLOOKUP($J1250,'Type Chart'!$C$2:$T$20,5,false)*HLOOKUP($K1250,'Type Chart'!$C$2:$U$20,5,false)</f>
        <v>1</v>
      </c>
      <c r="Y1250" s="960">
        <f t="array" ref="Y1250">HLOOKUP($J1250,'Type Chart'!$C$2:$T$20,6,false)*HLOOKUP($K1250,'Type Chart'!$C$2:$U$20,6,false)</f>
        <v>2</v>
      </c>
      <c r="Z1250" s="960">
        <f t="array" ref="Z1250">HLOOKUP($J1250,'Type Chart'!$C$2:$T$20,7,false)*HLOOKUP($K1250,'Type Chart'!$C$2:$U$20,7,false)</f>
        <v>1</v>
      </c>
      <c r="AA1250" s="960">
        <f t="array" ref="AA1250">HLOOKUP($J1250,'Type Chart'!$C$2:$T$20,8,false)*HLOOKUP($K1250,'Type Chart'!$C$2:$U$20,8,false)</f>
        <v>0.25</v>
      </c>
      <c r="AB1250" s="960">
        <f t="array" ref="AB1250">HLOOKUP($J1250,'Type Chart'!$C$2:$T$20,9,false)*HLOOKUP($K1250,'Type Chart'!$C$2:$U$20,9,false)</f>
        <v>1</v>
      </c>
      <c r="AC1250" s="960">
        <f t="array" ref="AC1250">HLOOKUP($J1250,'Type Chart'!$C$2:$T$20,10,false)*HLOOKUP($K1250,'Type Chart'!$C$2:$U$20,10,false)</f>
        <v>2</v>
      </c>
      <c r="AD1250" s="960">
        <f t="array" ref="AD1250">HLOOKUP($J1250,'Type Chart'!$C$2:$T$20,11,false)*HLOOKUP($K1250,'Type Chart'!$C$2:$U$20,11,false)</f>
        <v>1</v>
      </c>
      <c r="AE1250" s="960">
        <f t="array" ref="AE1250">HLOOKUP($J1250,'Type Chart'!$C$2:$T$20,12,false)*HLOOKUP($K1250,'Type Chart'!$C$2:$U$20,12,false)</f>
        <v>1</v>
      </c>
      <c r="AF1250" s="960">
        <f t="array" ref="AF1250">HLOOKUP($J1250,'Type Chart'!$C$2:$T$20,13,false)*HLOOKUP($K1250,'Type Chart'!$C$2:$U$20,13,false)</f>
        <v>0.5</v>
      </c>
      <c r="AG1250" s="960">
        <f t="array" ref="AG1250">HLOOKUP($J1250,'Type Chart'!$C$2:$T$20,14,false)*HLOOKUP($K1250,'Type Chart'!$C$2:$U$20,14,false)</f>
        <v>1</v>
      </c>
      <c r="AH1250" s="960">
        <f t="array" ref="AH1250">HLOOKUP($J1250,'Type Chart'!$C$2:$T$20,15,false)*HLOOKUP($K1250,'Type Chart'!$C$2:$U$20,15,false)</f>
        <v>2</v>
      </c>
      <c r="AI1250" s="960">
        <f t="array" ref="AI1250">HLOOKUP($J1250,'Type Chart'!$C$2:$T$20,16,false)*HLOOKUP($K1250,'Type Chart'!$C$2:$U$20,16,false)</f>
        <v>1</v>
      </c>
      <c r="AJ1250" s="960">
        <f t="array" ref="AJ1250">HLOOKUP($J1250,'Type Chart'!$C$2:$T$20,17,false)*HLOOKUP($K1250,'Type Chart'!$C$2:$U$20,17,false)</f>
        <v>0</v>
      </c>
      <c r="AK1250" s="960">
        <f t="array" ref="AK1250">HLOOKUP($J1250,'Type Chart'!$C$2:$T$20,18,false)*HLOOKUP($K1250,'Type Chart'!$C$2:$U$20,18,false)</f>
        <v>0.5</v>
      </c>
      <c r="AL1250" s="960">
        <f t="array" ref="AL1250">HLOOKUP($J1250,'Type Chart'!$C$2:$T$20,19,false)*HLOOKUP($K1250,'Type Chart'!$C$2:$U$20,19,false)</f>
        <v>0.5</v>
      </c>
      <c r="AM1250" s="1243"/>
      <c r="AN1250" s="1244"/>
      <c r="AO1250" s="1244"/>
      <c r="AP1250" s="936"/>
      <c r="AQ1250" s="1245"/>
      <c r="AR1250" s="1245"/>
      <c r="AS1250" s="936"/>
    </row>
    <row r="1251" ht="15.75" customHeight="1">
      <c r="A1251" s="1099"/>
      <c r="B1251" s="1240"/>
      <c r="C1251" s="1197" t="s">
        <v>4355</v>
      </c>
      <c r="D1251" s="1197" t="s">
        <v>4355</v>
      </c>
      <c r="E1251" s="1147" t="s">
        <v>4355</v>
      </c>
      <c r="F1251" s="940"/>
      <c r="G1251" s="953"/>
      <c r="H1251" s="1241"/>
      <c r="I1251" s="1242" t="s">
        <v>4355</v>
      </c>
      <c r="J1251" s="1239" t="s">
        <v>209</v>
      </c>
      <c r="K1251" s="1246" t="s">
        <v>216</v>
      </c>
      <c r="L1251" s="1237">
        <v>80.0</v>
      </c>
      <c r="M1251" s="1238">
        <v>120.0</v>
      </c>
      <c r="N1251" s="1238">
        <v>84.0</v>
      </c>
      <c r="O1251" s="1238">
        <v>60.0</v>
      </c>
      <c r="P1251" s="1238">
        <v>96.0</v>
      </c>
      <c r="Q1251" s="1238">
        <v>110.0</v>
      </c>
      <c r="R1251" s="960">
        <v>256.0</v>
      </c>
      <c r="S1251" s="960">
        <v>319.0</v>
      </c>
      <c r="T1251" s="960">
        <v>350.0</v>
      </c>
      <c r="U1251" s="960">
        <f t="array" ref="U1251">HLOOKUP($J1251,'Type Chart'!$C$2:$T$20,2,false)*HLOOKUP($K1251,'Type Chart'!$C$2:$U$20,2,false)</f>
        <v>1</v>
      </c>
      <c r="V1251" s="960">
        <f t="array" ref="V1251">HLOOKUP($J1251,'Type Chart'!$C$2:$T$20,3,false)*HLOOKUP($K1251,'Type Chart'!$C$2:$U$20,3,false)</f>
        <v>1</v>
      </c>
      <c r="W1251" s="960">
        <f t="array" ref="W1251">HLOOKUP($J1251,'Type Chart'!$C$2:$T$20,4,false)*HLOOKUP($K1251,'Type Chart'!$C$2:$U$20,4,false)</f>
        <v>2</v>
      </c>
      <c r="X1251" s="960">
        <f t="array" ref="X1251">HLOOKUP($J1251,'Type Chart'!$C$2:$T$20,5,false)*HLOOKUP($K1251,'Type Chart'!$C$2:$U$20,5,false)</f>
        <v>2</v>
      </c>
      <c r="Y1251" s="960">
        <f t="array" ref="Y1251">HLOOKUP($J1251,'Type Chart'!$C$2:$T$20,6,false)*HLOOKUP($K1251,'Type Chart'!$C$2:$U$20,6,false)</f>
        <v>0.5</v>
      </c>
      <c r="Z1251" s="960">
        <f t="array" ref="Z1251">HLOOKUP($J1251,'Type Chart'!$C$2:$T$20,7,false)*HLOOKUP($K1251,'Type Chart'!$C$2:$U$20,7,false)</f>
        <v>1</v>
      </c>
      <c r="AA1251" s="960">
        <f t="array" ref="AA1251">HLOOKUP($J1251,'Type Chart'!$C$2:$T$20,8,false)*HLOOKUP($K1251,'Type Chart'!$C$2:$U$20,8,false)</f>
        <v>2</v>
      </c>
      <c r="AB1251" s="960">
        <f t="array" ref="AB1251">HLOOKUP($J1251,'Type Chart'!$C$2:$T$20,9,false)*HLOOKUP($K1251,'Type Chart'!$C$2:$U$20,9,false)</f>
        <v>1</v>
      </c>
      <c r="AC1251" s="960">
        <f t="array" ref="AC1251">HLOOKUP($J1251,'Type Chart'!$C$2:$T$20,10,false)*HLOOKUP($K1251,'Type Chart'!$C$2:$U$20,10,false)</f>
        <v>1</v>
      </c>
      <c r="AD1251" s="960">
        <f t="array" ref="AD1251">HLOOKUP($J1251,'Type Chart'!$C$2:$T$20,11,false)*HLOOKUP($K1251,'Type Chart'!$C$2:$U$20,11,false)</f>
        <v>2</v>
      </c>
      <c r="AE1251" s="960">
        <f t="array" ref="AE1251">HLOOKUP($J1251,'Type Chart'!$C$2:$T$20,12,false)*HLOOKUP($K1251,'Type Chart'!$C$2:$U$20,12,false)</f>
        <v>0.5</v>
      </c>
      <c r="AF1251" s="960">
        <f t="array" ref="AF1251">HLOOKUP($J1251,'Type Chart'!$C$2:$T$20,13,false)*HLOOKUP($K1251,'Type Chart'!$C$2:$U$20,13,false)</f>
        <v>0.5</v>
      </c>
      <c r="AG1251" s="960">
        <f t="array" ref="AG1251">HLOOKUP($J1251,'Type Chart'!$C$2:$T$20,14,false)*HLOOKUP($K1251,'Type Chart'!$C$2:$U$20,14,false)</f>
        <v>0.5</v>
      </c>
      <c r="AH1251" s="960">
        <f t="array" ref="AH1251">HLOOKUP($J1251,'Type Chart'!$C$2:$T$20,15,false)*HLOOKUP($K1251,'Type Chart'!$C$2:$U$20,15,false)</f>
        <v>1</v>
      </c>
      <c r="AI1251" s="960">
        <f t="array" ref="AI1251">HLOOKUP($J1251,'Type Chart'!$C$2:$T$20,16,false)*HLOOKUP($K1251,'Type Chart'!$C$2:$U$20,16,false)</f>
        <v>2</v>
      </c>
      <c r="AJ1251" s="960">
        <f t="array" ref="AJ1251">HLOOKUP($J1251,'Type Chart'!$C$2:$T$20,17,false)*HLOOKUP($K1251,'Type Chart'!$C$2:$U$20,17,false)</f>
        <v>1</v>
      </c>
      <c r="AK1251" s="960">
        <f t="array" ref="AK1251">HLOOKUP($J1251,'Type Chart'!$C$2:$T$20,18,false)*HLOOKUP($K1251,'Type Chart'!$C$2:$U$20,18,false)</f>
        <v>1</v>
      </c>
      <c r="AL1251" s="960">
        <f t="array" ref="AL1251">HLOOKUP($J1251,'Type Chart'!$C$2:$T$20,19,false)*HLOOKUP($K1251,'Type Chart'!$C$2:$U$20,19,false)</f>
        <v>1</v>
      </c>
      <c r="AM1251" s="1243"/>
      <c r="AN1251" s="1244"/>
      <c r="AO1251" s="1244"/>
      <c r="AP1251" s="936"/>
      <c r="AQ1251" s="1245"/>
      <c r="AR1251" s="1245"/>
      <c r="AS1251" s="936"/>
    </row>
    <row r="1252" ht="15.75" customHeight="1">
      <c r="A1252" s="1099"/>
      <c r="B1252" s="1240"/>
      <c r="C1252" s="1197" t="s">
        <v>129</v>
      </c>
      <c r="D1252" s="1197" t="s">
        <v>129</v>
      </c>
      <c r="E1252" s="1147" t="s">
        <v>129</v>
      </c>
      <c r="F1252" s="940"/>
      <c r="G1252" s="953"/>
      <c r="H1252" s="1241"/>
      <c r="I1252" s="1242" t="s">
        <v>129</v>
      </c>
      <c r="J1252" s="1239" t="s">
        <v>209</v>
      </c>
      <c r="K1252" s="1239" t="s">
        <v>150</v>
      </c>
      <c r="L1252" s="1237">
        <v>80.0</v>
      </c>
      <c r="M1252" s="1238">
        <v>120.0</v>
      </c>
      <c r="N1252" s="1238">
        <v>84.0</v>
      </c>
      <c r="O1252" s="1238">
        <v>60.0</v>
      </c>
      <c r="P1252" s="1238">
        <v>96.0</v>
      </c>
      <c r="Q1252" s="1238">
        <v>110.0</v>
      </c>
      <c r="R1252" s="960">
        <v>256.0</v>
      </c>
      <c r="S1252" s="960">
        <v>319.0</v>
      </c>
      <c r="T1252" s="960">
        <v>350.0</v>
      </c>
      <c r="U1252" s="960">
        <f t="array" ref="U1252">HLOOKUP($J1252,'Type Chart'!$C$2:$T$20,2,false)*HLOOKUP($K1252,'Type Chart'!$C$2:$U$20,2,false)</f>
        <v>1</v>
      </c>
      <c r="V1252" s="960">
        <f t="array" ref="V1252">HLOOKUP($J1252,'Type Chart'!$C$2:$T$20,3,false)*HLOOKUP($K1252,'Type Chart'!$C$2:$U$20,3,false)</f>
        <v>1</v>
      </c>
      <c r="W1252" s="960">
        <f t="array" ref="W1252">HLOOKUP($J1252,'Type Chart'!$C$2:$T$20,4,false)*HLOOKUP($K1252,'Type Chart'!$C$2:$U$20,4,false)</f>
        <v>2</v>
      </c>
      <c r="X1252" s="960">
        <f t="array" ref="X1252">HLOOKUP($J1252,'Type Chart'!$C$2:$T$20,5,false)*HLOOKUP($K1252,'Type Chart'!$C$2:$U$20,5,false)</f>
        <v>2</v>
      </c>
      <c r="Y1252" s="960">
        <f t="array" ref="Y1252">HLOOKUP($J1252,'Type Chart'!$C$2:$T$20,6,false)*HLOOKUP($K1252,'Type Chart'!$C$2:$U$20,6,false)</f>
        <v>1</v>
      </c>
      <c r="Z1252" s="960">
        <f t="array" ref="Z1252">HLOOKUP($J1252,'Type Chart'!$C$2:$T$20,7,false)*HLOOKUP($K1252,'Type Chart'!$C$2:$U$20,7,false)</f>
        <v>2</v>
      </c>
      <c r="AA1252" s="960">
        <f t="array" ref="AA1252">HLOOKUP($J1252,'Type Chart'!$C$2:$T$20,8,false)*HLOOKUP($K1252,'Type Chart'!$C$2:$U$20,8,false)</f>
        <v>1</v>
      </c>
      <c r="AB1252" s="960">
        <f t="array" ref="AB1252">HLOOKUP($J1252,'Type Chart'!$C$2:$T$20,9,false)*HLOOKUP($K1252,'Type Chart'!$C$2:$U$20,9,false)</f>
        <v>1</v>
      </c>
      <c r="AC1252" s="960">
        <f t="array" ref="AC1252">HLOOKUP($J1252,'Type Chart'!$C$2:$T$20,10,false)*HLOOKUP($K1252,'Type Chart'!$C$2:$U$20,10,false)</f>
        <v>0.5</v>
      </c>
      <c r="AD1252" s="960">
        <f t="array" ref="AD1252">HLOOKUP($J1252,'Type Chart'!$C$2:$T$20,11,false)*HLOOKUP($K1252,'Type Chart'!$C$2:$U$20,11,false)</f>
        <v>1</v>
      </c>
      <c r="AE1252" s="960">
        <f t="array" ref="AE1252">HLOOKUP($J1252,'Type Chart'!$C$2:$T$20,12,false)*HLOOKUP($K1252,'Type Chart'!$C$2:$U$20,12,false)</f>
        <v>1</v>
      </c>
      <c r="AF1252" s="960">
        <f t="array" ref="AF1252">HLOOKUP($J1252,'Type Chart'!$C$2:$T$20,13,false)*HLOOKUP($K1252,'Type Chart'!$C$2:$U$20,13,false)</f>
        <v>0.25</v>
      </c>
      <c r="AG1252" s="960">
        <f t="array" ref="AG1252">HLOOKUP($J1252,'Type Chart'!$C$2:$T$20,14,false)*HLOOKUP($K1252,'Type Chart'!$C$2:$U$20,14,false)</f>
        <v>0.5</v>
      </c>
      <c r="AH1252" s="960">
        <f t="array" ref="AH1252">HLOOKUP($J1252,'Type Chart'!$C$2:$T$20,15,false)*HLOOKUP($K1252,'Type Chart'!$C$2:$U$20,15,false)</f>
        <v>1</v>
      </c>
      <c r="AI1252" s="960">
        <f t="array" ref="AI1252">HLOOKUP($J1252,'Type Chart'!$C$2:$T$20,16,false)*HLOOKUP($K1252,'Type Chart'!$C$2:$U$20,16,false)</f>
        <v>1</v>
      </c>
      <c r="AJ1252" s="960">
        <f t="array" ref="AJ1252">HLOOKUP($J1252,'Type Chart'!$C$2:$T$20,17,false)*HLOOKUP($K1252,'Type Chart'!$C$2:$U$20,17,false)</f>
        <v>1</v>
      </c>
      <c r="AK1252" s="960">
        <f t="array" ref="AK1252">HLOOKUP($J1252,'Type Chart'!$C$2:$T$20,18,false)*HLOOKUP($K1252,'Type Chart'!$C$2:$U$20,18,false)</f>
        <v>1</v>
      </c>
      <c r="AL1252" s="960">
        <f t="array" ref="AL1252">HLOOKUP($J1252,'Type Chart'!$C$2:$T$20,19,false)*HLOOKUP($K1252,'Type Chart'!$C$2:$U$20,19,false)</f>
        <v>0.5</v>
      </c>
      <c r="AM1252" s="1243"/>
      <c r="AN1252" s="1244"/>
      <c r="AO1252" s="1244"/>
      <c r="AP1252" s="936"/>
      <c r="AQ1252" s="1245"/>
      <c r="AR1252" s="1245"/>
      <c r="AS1252" s="936"/>
    </row>
    <row r="1253" ht="15.75" customHeight="1">
      <c r="A1253" s="1099"/>
      <c r="B1253" s="1240"/>
      <c r="C1253" s="1197" t="s">
        <v>166</v>
      </c>
      <c r="D1253" s="1197" t="s">
        <v>166</v>
      </c>
      <c r="E1253" s="1147" t="s">
        <v>166</v>
      </c>
      <c r="F1253" s="940"/>
      <c r="G1253" s="953"/>
      <c r="H1253" s="1241"/>
      <c r="I1253" s="1242" t="s">
        <v>166</v>
      </c>
      <c r="J1253" s="1239" t="s">
        <v>209</v>
      </c>
      <c r="K1253" s="1239" t="s">
        <v>81</v>
      </c>
      <c r="L1253" s="1237">
        <v>80.0</v>
      </c>
      <c r="M1253" s="1238">
        <v>120.0</v>
      </c>
      <c r="N1253" s="1238">
        <v>84.0</v>
      </c>
      <c r="O1253" s="1238">
        <v>60.0</v>
      </c>
      <c r="P1253" s="1238">
        <v>96.0</v>
      </c>
      <c r="Q1253" s="1238">
        <v>110.0</v>
      </c>
      <c r="R1253" s="960">
        <v>256.0</v>
      </c>
      <c r="S1253" s="960">
        <v>319.0</v>
      </c>
      <c r="T1253" s="960">
        <v>350.0</v>
      </c>
      <c r="U1253" s="960">
        <f t="array" ref="U1253">HLOOKUP($J1253,'Type Chart'!$C$2:$T$20,2,false)*HLOOKUP($K1253,'Type Chart'!$C$2:$U$20,2,false)</f>
        <v>1</v>
      </c>
      <c r="V1253" s="960">
        <f t="array" ref="V1253">HLOOKUP($J1253,'Type Chart'!$C$2:$T$20,3,false)*HLOOKUP($K1253,'Type Chart'!$C$2:$U$20,3,false)</f>
        <v>1</v>
      </c>
      <c r="W1253" s="960">
        <f t="array" ref="W1253">HLOOKUP($J1253,'Type Chart'!$C$2:$T$20,4,false)*HLOOKUP($K1253,'Type Chart'!$C$2:$U$20,4,false)</f>
        <v>2</v>
      </c>
      <c r="X1253" s="960">
        <f t="array" ref="X1253">HLOOKUP($J1253,'Type Chart'!$C$2:$T$20,5,false)*HLOOKUP($K1253,'Type Chart'!$C$2:$U$20,5,false)</f>
        <v>2</v>
      </c>
      <c r="Y1253" s="960">
        <f t="array" ref="Y1253">HLOOKUP($J1253,'Type Chart'!$C$2:$T$20,6,false)*HLOOKUP($K1253,'Type Chart'!$C$2:$U$20,6,false)</f>
        <v>0.5</v>
      </c>
      <c r="Z1253" s="960">
        <f t="array" ref="Z1253">HLOOKUP($J1253,'Type Chart'!$C$2:$T$20,7,false)*HLOOKUP($K1253,'Type Chart'!$C$2:$U$20,7,false)</f>
        <v>1</v>
      </c>
      <c r="AA1253" s="960">
        <f t="array" ref="AA1253">HLOOKUP($J1253,'Type Chart'!$C$2:$T$20,8,false)*HLOOKUP($K1253,'Type Chart'!$C$2:$U$20,8,false)</f>
        <v>2</v>
      </c>
      <c r="AB1253" s="960">
        <f t="array" ref="AB1253">HLOOKUP($J1253,'Type Chart'!$C$2:$T$20,9,false)*HLOOKUP($K1253,'Type Chart'!$C$2:$U$20,9,false)</f>
        <v>1</v>
      </c>
      <c r="AC1253" s="960">
        <f t="array" ref="AC1253">HLOOKUP($J1253,'Type Chart'!$C$2:$T$20,10,false)*HLOOKUP($K1253,'Type Chart'!$C$2:$U$20,10,false)</f>
        <v>0.5</v>
      </c>
      <c r="AD1253" s="960">
        <f t="array" ref="AD1253">HLOOKUP($J1253,'Type Chart'!$C$2:$T$20,11,false)*HLOOKUP($K1253,'Type Chart'!$C$2:$U$20,11,false)</f>
        <v>1</v>
      </c>
      <c r="AE1253" s="960">
        <f t="array" ref="AE1253">HLOOKUP($J1253,'Type Chart'!$C$2:$T$20,12,false)*HLOOKUP($K1253,'Type Chart'!$C$2:$U$20,12,false)</f>
        <v>0.25</v>
      </c>
      <c r="AF1253" s="960">
        <f t="array" ref="AF1253">HLOOKUP($J1253,'Type Chart'!$C$2:$T$20,13,false)*HLOOKUP($K1253,'Type Chart'!$C$2:$U$20,13,false)</f>
        <v>1</v>
      </c>
      <c r="AG1253" s="960">
        <f t="array" ref="AG1253">HLOOKUP($J1253,'Type Chart'!$C$2:$T$20,14,false)*HLOOKUP($K1253,'Type Chart'!$C$2:$U$20,14,false)</f>
        <v>1</v>
      </c>
      <c r="AH1253" s="960">
        <f t="array" ref="AH1253">HLOOKUP($J1253,'Type Chart'!$C$2:$T$20,15,false)*HLOOKUP($K1253,'Type Chart'!$C$2:$U$20,15,false)</f>
        <v>1</v>
      </c>
      <c r="AI1253" s="960">
        <f t="array" ref="AI1253">HLOOKUP($J1253,'Type Chart'!$C$2:$T$20,16,false)*HLOOKUP($K1253,'Type Chart'!$C$2:$U$20,16,false)</f>
        <v>1</v>
      </c>
      <c r="AJ1253" s="960">
        <f t="array" ref="AJ1253">HLOOKUP($J1253,'Type Chart'!$C$2:$T$20,17,false)*HLOOKUP($K1253,'Type Chart'!$C$2:$U$20,17,false)</f>
        <v>1</v>
      </c>
      <c r="AK1253" s="960">
        <f t="array" ref="AK1253">HLOOKUP($J1253,'Type Chart'!$C$2:$T$20,18,false)*HLOOKUP($K1253,'Type Chart'!$C$2:$U$20,18,false)</f>
        <v>1</v>
      </c>
      <c r="AL1253" s="960">
        <f t="array" ref="AL1253">HLOOKUP($J1253,'Type Chart'!$C$2:$T$20,19,false)*HLOOKUP($K1253,'Type Chart'!$C$2:$U$20,19,false)</f>
        <v>1</v>
      </c>
      <c r="AM1253" s="1243"/>
      <c r="AN1253" s="1244"/>
      <c r="AO1253" s="1244"/>
      <c r="AP1253" s="936"/>
      <c r="AQ1253" s="1245"/>
      <c r="AR1253" s="1245"/>
      <c r="AS1253" s="936"/>
    </row>
    <row r="1254" ht="15.75" customHeight="1">
      <c r="A1254" s="1099"/>
      <c r="B1254" s="1240"/>
      <c r="C1254" s="1197" t="s">
        <v>4356</v>
      </c>
      <c r="D1254" s="1197" t="s">
        <v>4356</v>
      </c>
      <c r="E1254" s="1147" t="s">
        <v>4356</v>
      </c>
      <c r="F1254" s="940"/>
      <c r="G1254" s="953"/>
      <c r="H1254" s="1241"/>
      <c r="I1254" s="1242" t="s">
        <v>4356</v>
      </c>
      <c r="J1254" s="1239" t="s">
        <v>209</v>
      </c>
      <c r="K1254" s="1239" t="s">
        <v>342</v>
      </c>
      <c r="L1254" s="1237">
        <v>80.0</v>
      </c>
      <c r="M1254" s="1238">
        <v>120.0</v>
      </c>
      <c r="N1254" s="1238">
        <v>84.0</v>
      </c>
      <c r="O1254" s="1238">
        <v>60.0</v>
      </c>
      <c r="P1254" s="1238">
        <v>96.0</v>
      </c>
      <c r="Q1254" s="1238">
        <v>110.0</v>
      </c>
      <c r="R1254" s="960">
        <v>256.0</v>
      </c>
      <c r="S1254" s="960">
        <v>319.0</v>
      </c>
      <c r="T1254" s="960">
        <v>350.0</v>
      </c>
      <c r="U1254" s="960">
        <f t="array" ref="U1254">HLOOKUP($J1254,'Type Chart'!$C$2:$T$20,2,false)*HLOOKUP($K1254,'Type Chart'!$C$2:$U$20,2,false)</f>
        <v>0.5</v>
      </c>
      <c r="V1254" s="960">
        <f t="array" ref="V1254">HLOOKUP($J1254,'Type Chart'!$C$2:$T$20,3,false)*HLOOKUP($K1254,'Type Chart'!$C$2:$U$20,3,false)</f>
        <v>2</v>
      </c>
      <c r="W1254" s="960">
        <f t="array" ref="W1254">HLOOKUP($J1254,'Type Chart'!$C$2:$T$20,4,false)*HLOOKUP($K1254,'Type Chart'!$C$2:$U$20,4,false)</f>
        <v>1</v>
      </c>
      <c r="X1254" s="960">
        <f t="array" ref="X1254">HLOOKUP($J1254,'Type Chart'!$C$2:$T$20,5,false)*HLOOKUP($K1254,'Type Chart'!$C$2:$U$20,5,false)</f>
        <v>1</v>
      </c>
      <c r="Y1254" s="960">
        <f t="array" ref="Y1254">HLOOKUP($J1254,'Type Chart'!$C$2:$T$20,6,false)*HLOOKUP($K1254,'Type Chart'!$C$2:$U$20,6,false)</f>
        <v>1</v>
      </c>
      <c r="Z1254" s="960">
        <f t="array" ref="Z1254">HLOOKUP($J1254,'Type Chart'!$C$2:$T$20,7,false)*HLOOKUP($K1254,'Type Chart'!$C$2:$U$20,7,false)</f>
        <v>1</v>
      </c>
      <c r="AA1254" s="960">
        <f t="array" ref="AA1254">HLOOKUP($J1254,'Type Chart'!$C$2:$T$20,8,false)*HLOOKUP($K1254,'Type Chart'!$C$2:$U$20,8,false)</f>
        <v>2</v>
      </c>
      <c r="AB1254" s="960">
        <f t="array" ref="AB1254">HLOOKUP($J1254,'Type Chart'!$C$2:$T$20,9,false)*HLOOKUP($K1254,'Type Chart'!$C$2:$U$20,9,false)</f>
        <v>1</v>
      </c>
      <c r="AC1254" s="960">
        <f t="array" ref="AC1254">HLOOKUP($J1254,'Type Chart'!$C$2:$T$20,10,false)*HLOOKUP($K1254,'Type Chart'!$C$2:$U$20,10,false)</f>
        <v>2</v>
      </c>
      <c r="AD1254" s="960">
        <f t="array" ref="AD1254">HLOOKUP($J1254,'Type Chart'!$C$2:$T$20,11,false)*HLOOKUP($K1254,'Type Chart'!$C$2:$U$20,11,false)</f>
        <v>1</v>
      </c>
      <c r="AE1254" s="960">
        <f t="array" ref="AE1254">HLOOKUP($J1254,'Type Chart'!$C$2:$T$20,12,false)*HLOOKUP($K1254,'Type Chart'!$C$2:$U$20,12,false)</f>
        <v>1</v>
      </c>
      <c r="AF1254" s="960">
        <f t="array" ref="AF1254">HLOOKUP($J1254,'Type Chart'!$C$2:$T$20,13,false)*HLOOKUP($K1254,'Type Chart'!$C$2:$U$20,13,false)</f>
        <v>1</v>
      </c>
      <c r="AG1254" s="960">
        <f t="array" ref="AG1254">HLOOKUP($J1254,'Type Chart'!$C$2:$T$20,14,false)*HLOOKUP($K1254,'Type Chart'!$C$2:$U$20,14,false)</f>
        <v>0.5</v>
      </c>
      <c r="AH1254" s="960">
        <f t="array" ref="AH1254">HLOOKUP($J1254,'Type Chart'!$C$2:$T$20,15,false)*HLOOKUP($K1254,'Type Chart'!$C$2:$U$20,15,false)</f>
        <v>1</v>
      </c>
      <c r="AI1254" s="960">
        <f t="array" ref="AI1254">HLOOKUP($J1254,'Type Chart'!$C$2:$T$20,16,false)*HLOOKUP($K1254,'Type Chart'!$C$2:$U$20,16,false)</f>
        <v>2</v>
      </c>
      <c r="AJ1254" s="960">
        <f t="array" ref="AJ1254">HLOOKUP($J1254,'Type Chart'!$C$2:$T$20,17,false)*HLOOKUP($K1254,'Type Chart'!$C$2:$U$20,17,false)</f>
        <v>1</v>
      </c>
      <c r="AK1254" s="960">
        <f t="array" ref="AK1254">HLOOKUP($J1254,'Type Chart'!$C$2:$T$20,18,false)*HLOOKUP($K1254,'Type Chart'!$C$2:$U$20,18,false)</f>
        <v>1</v>
      </c>
      <c r="AL1254" s="960">
        <f t="array" ref="AL1254">HLOOKUP($J1254,'Type Chart'!$C$2:$T$20,19,false)*HLOOKUP($K1254,'Type Chart'!$C$2:$U$20,19,false)</f>
        <v>1</v>
      </c>
      <c r="AM1254" s="1243"/>
      <c r="AN1254" s="1244"/>
      <c r="AO1254" s="1244"/>
      <c r="AP1254" s="936"/>
      <c r="AQ1254" s="1245"/>
      <c r="AR1254" s="1245"/>
      <c r="AS1254" s="936"/>
    </row>
    <row r="1255" ht="15.75" customHeight="1">
      <c r="A1255" s="1099"/>
      <c r="B1255" s="1240"/>
      <c r="C1255" s="1197" t="s">
        <v>265</v>
      </c>
      <c r="D1255" s="1197" t="s">
        <v>265</v>
      </c>
      <c r="E1255" s="1147" t="s">
        <v>265</v>
      </c>
      <c r="F1255" s="940"/>
      <c r="G1255" s="953"/>
      <c r="H1255" s="1241"/>
      <c r="I1255" s="1242" t="s">
        <v>265</v>
      </c>
      <c r="J1255" s="1239" t="s">
        <v>82</v>
      </c>
      <c r="K1255" s="1239" t="s">
        <v>346</v>
      </c>
      <c r="L1255" s="1237">
        <v>90.0</v>
      </c>
      <c r="M1255" s="1238">
        <v>105.0</v>
      </c>
      <c r="N1255" s="1238">
        <v>130.0</v>
      </c>
      <c r="O1255" s="1238">
        <v>125.0</v>
      </c>
      <c r="P1255" s="1238">
        <v>65.0</v>
      </c>
      <c r="Q1255" s="1238">
        <v>85.0</v>
      </c>
      <c r="R1255" s="960">
        <v>206.0</v>
      </c>
      <c r="S1255" s="960">
        <v>269.0</v>
      </c>
      <c r="T1255" s="960">
        <v>295.0</v>
      </c>
      <c r="U1255" s="960">
        <f t="array" ref="U1255">HLOOKUP($J1255,'Type Chart'!$C$2:$T$20,2,false)*HLOOKUP($K1255,'Type Chart'!$C$2:$U$20,2,false)</f>
        <v>0.5</v>
      </c>
      <c r="V1255" s="960">
        <f t="array" ref="V1255">HLOOKUP($J1255,'Type Chart'!$C$2:$T$20,3,false)*HLOOKUP($K1255,'Type Chart'!$C$2:$U$20,3,false)</f>
        <v>2</v>
      </c>
      <c r="W1255" s="960">
        <f t="array" ref="W1255">HLOOKUP($J1255,'Type Chart'!$C$2:$T$20,4,false)*HLOOKUP($K1255,'Type Chart'!$C$2:$U$20,4,false)</f>
        <v>0.5</v>
      </c>
      <c r="X1255" s="960">
        <f t="array" ref="X1255">HLOOKUP($J1255,'Type Chart'!$C$2:$T$20,5,false)*HLOOKUP($K1255,'Type Chart'!$C$2:$U$20,5,false)</f>
        <v>0</v>
      </c>
      <c r="Y1255" s="960">
        <f t="array" ref="Y1255">HLOOKUP($J1255,'Type Chart'!$C$2:$T$20,6,false)*HLOOKUP($K1255,'Type Chart'!$C$2:$U$20,6,false)</f>
        <v>2</v>
      </c>
      <c r="Z1255" s="960">
        <f t="array" ref="Z1255">HLOOKUP($J1255,'Type Chart'!$C$2:$T$20,7,false)*HLOOKUP($K1255,'Type Chart'!$C$2:$U$20,7,false)</f>
        <v>0.5</v>
      </c>
      <c r="AA1255" s="960">
        <f t="array" ref="AA1255">HLOOKUP($J1255,'Type Chart'!$C$2:$T$20,8,false)*HLOOKUP($K1255,'Type Chart'!$C$2:$U$20,8,false)</f>
        <v>0.5</v>
      </c>
      <c r="AB1255" s="960">
        <f t="array" ref="AB1255">HLOOKUP($J1255,'Type Chart'!$C$2:$T$20,9,false)*HLOOKUP($K1255,'Type Chart'!$C$2:$U$20,9,false)</f>
        <v>1</v>
      </c>
      <c r="AC1255" s="960">
        <f t="array" ref="AC1255">HLOOKUP($J1255,'Type Chart'!$C$2:$T$20,10,false)*HLOOKUP($K1255,'Type Chart'!$C$2:$U$20,10,false)</f>
        <v>0.5</v>
      </c>
      <c r="AD1255" s="960">
        <f t="array" ref="AD1255">HLOOKUP($J1255,'Type Chart'!$C$2:$T$20,11,false)*HLOOKUP($K1255,'Type Chart'!$C$2:$U$20,11,false)</f>
        <v>1</v>
      </c>
      <c r="AE1255" s="960">
        <f t="array" ref="AE1255">HLOOKUP($J1255,'Type Chart'!$C$2:$T$20,12,false)*HLOOKUP($K1255,'Type Chart'!$C$2:$U$20,12,false)</f>
        <v>0.5</v>
      </c>
      <c r="AF1255" s="960">
        <f t="array" ref="AF1255">HLOOKUP($J1255,'Type Chart'!$C$2:$T$20,13,false)*HLOOKUP($K1255,'Type Chart'!$C$2:$U$20,13,false)</f>
        <v>0.25</v>
      </c>
      <c r="AG1255" s="960">
        <f t="array" ref="AG1255">HLOOKUP($J1255,'Type Chart'!$C$2:$T$20,14,false)*HLOOKUP($K1255,'Type Chart'!$C$2:$U$20,14,false)</f>
        <v>0.5</v>
      </c>
      <c r="AH1255" s="960">
        <f t="array" ref="AH1255">HLOOKUP($J1255,'Type Chart'!$C$2:$T$20,15,false)*HLOOKUP($K1255,'Type Chart'!$C$2:$U$20,15,false)</f>
        <v>0.5</v>
      </c>
      <c r="AI1255" s="960">
        <f t="array" ref="AI1255">HLOOKUP($J1255,'Type Chart'!$C$2:$T$20,16,false)*HLOOKUP($K1255,'Type Chart'!$C$2:$U$20,16,false)</f>
        <v>1</v>
      </c>
      <c r="AJ1255" s="960">
        <f t="array" ref="AJ1255">HLOOKUP($J1255,'Type Chart'!$C$2:$T$20,17,false)*HLOOKUP($K1255,'Type Chart'!$C$2:$U$20,17,false)</f>
        <v>1</v>
      </c>
      <c r="AK1255" s="960">
        <f t="array" ref="AK1255">HLOOKUP($J1255,'Type Chart'!$C$2:$T$20,18,false)*HLOOKUP($K1255,'Type Chart'!$C$2:$U$20,18,false)</f>
        <v>1</v>
      </c>
      <c r="AL1255" s="960">
        <f t="array" ref="AL1255">HLOOKUP($J1255,'Type Chart'!$C$2:$T$20,19,false)*HLOOKUP($K1255,'Type Chart'!$C$2:$U$20,19,false)</f>
        <v>1</v>
      </c>
      <c r="AM1255" s="1243"/>
      <c r="AN1255" s="1244"/>
      <c r="AO1255" s="1244"/>
      <c r="AP1255" s="936"/>
      <c r="AQ1255" s="1245"/>
      <c r="AR1255" s="1245"/>
      <c r="AS1255" s="936"/>
    </row>
    <row r="1256" ht="15.75" customHeight="1">
      <c r="A1256" s="1099"/>
      <c r="B1256" s="1240"/>
      <c r="C1256" s="1197" t="s">
        <v>4357</v>
      </c>
      <c r="D1256" s="1197" t="s">
        <v>4357</v>
      </c>
      <c r="E1256" s="1147" t="s">
        <v>4357</v>
      </c>
      <c r="F1256" s="940"/>
      <c r="G1256" s="953"/>
      <c r="H1256" s="1241"/>
      <c r="I1256" s="1242" t="s">
        <v>4357</v>
      </c>
      <c r="J1256" s="1239" t="s">
        <v>209</v>
      </c>
      <c r="K1256" s="1239" t="s">
        <v>346</v>
      </c>
      <c r="L1256" s="1237">
        <v>106.0</v>
      </c>
      <c r="M1256" s="1238">
        <v>80.0</v>
      </c>
      <c r="N1256" s="1238">
        <v>110.0</v>
      </c>
      <c r="O1256" s="1238">
        <v>120.0</v>
      </c>
      <c r="P1256" s="1238">
        <v>80.0</v>
      </c>
      <c r="Q1256" s="1238">
        <v>44.0</v>
      </c>
      <c r="R1256" s="960">
        <v>124.0</v>
      </c>
      <c r="S1256" s="960">
        <v>187.0</v>
      </c>
      <c r="T1256" s="960">
        <v>205.0</v>
      </c>
      <c r="U1256" s="960">
        <f t="array" ref="U1256">HLOOKUP($J1256,'Type Chart'!$C$2:$T$20,2,false)*HLOOKUP($K1256,'Type Chart'!$C$2:$U$20,2,false)</f>
        <v>1</v>
      </c>
      <c r="V1256" s="960">
        <f t="array" ref="V1256">HLOOKUP($J1256,'Type Chart'!$C$2:$T$20,3,false)*HLOOKUP($K1256,'Type Chart'!$C$2:$U$20,3,false)</f>
        <v>1</v>
      </c>
      <c r="W1256" s="960">
        <f t="array" ref="W1256">HLOOKUP($J1256,'Type Chart'!$C$2:$T$20,4,false)*HLOOKUP($K1256,'Type Chart'!$C$2:$U$20,4,false)</f>
        <v>2</v>
      </c>
      <c r="X1256" s="960">
        <f t="array" ref="X1256">HLOOKUP($J1256,'Type Chart'!$C$2:$T$20,5,false)*HLOOKUP($K1256,'Type Chart'!$C$2:$U$20,5,false)</f>
        <v>2</v>
      </c>
      <c r="Y1256" s="960">
        <f t="array" ref="Y1256">HLOOKUP($J1256,'Type Chart'!$C$2:$T$20,6,false)*HLOOKUP($K1256,'Type Chart'!$C$2:$U$20,6,false)</f>
        <v>0.5</v>
      </c>
      <c r="Z1256" s="960">
        <f t="array" ref="Z1256">HLOOKUP($J1256,'Type Chart'!$C$2:$T$20,7,false)*HLOOKUP($K1256,'Type Chart'!$C$2:$U$20,7,false)</f>
        <v>1</v>
      </c>
      <c r="AA1256" s="960">
        <f t="array" ref="AA1256">HLOOKUP($J1256,'Type Chart'!$C$2:$T$20,8,false)*HLOOKUP($K1256,'Type Chart'!$C$2:$U$20,8,false)</f>
        <v>2</v>
      </c>
      <c r="AB1256" s="960">
        <f t="array" ref="AB1256">HLOOKUP($J1256,'Type Chart'!$C$2:$T$20,9,false)*HLOOKUP($K1256,'Type Chart'!$C$2:$U$20,9,false)</f>
        <v>1</v>
      </c>
      <c r="AC1256" s="960">
        <f t="array" ref="AC1256">HLOOKUP($J1256,'Type Chart'!$C$2:$T$20,10,false)*HLOOKUP($K1256,'Type Chart'!$C$2:$U$20,10,false)</f>
        <v>1</v>
      </c>
      <c r="AD1256" s="960">
        <f t="array" ref="AD1256">HLOOKUP($J1256,'Type Chart'!$C$2:$T$20,11,false)*HLOOKUP($K1256,'Type Chart'!$C$2:$U$20,11,false)</f>
        <v>1</v>
      </c>
      <c r="AE1256" s="960">
        <f t="array" ref="AE1256">HLOOKUP($J1256,'Type Chart'!$C$2:$T$20,12,false)*HLOOKUP($K1256,'Type Chart'!$C$2:$U$20,12,false)</f>
        <v>0.25</v>
      </c>
      <c r="AF1256" s="960">
        <f t="array" ref="AF1256">HLOOKUP($J1256,'Type Chart'!$C$2:$T$20,13,false)*HLOOKUP($K1256,'Type Chart'!$C$2:$U$20,13,false)</f>
        <v>0.25</v>
      </c>
      <c r="AG1256" s="960">
        <f t="array" ref="AG1256">HLOOKUP($J1256,'Type Chart'!$C$2:$T$20,14,false)*HLOOKUP($K1256,'Type Chart'!$C$2:$U$20,14,false)</f>
        <v>0.25</v>
      </c>
      <c r="AH1256" s="960">
        <f t="array" ref="AH1256">HLOOKUP($J1256,'Type Chart'!$C$2:$T$20,15,false)*HLOOKUP($K1256,'Type Chart'!$C$2:$U$20,15,false)</f>
        <v>1</v>
      </c>
      <c r="AI1256" s="960">
        <f t="array" ref="AI1256">HLOOKUP($J1256,'Type Chart'!$C$2:$T$20,16,false)*HLOOKUP($K1256,'Type Chart'!$C$2:$U$20,16,false)</f>
        <v>4</v>
      </c>
      <c r="AJ1256" s="960">
        <f t="array" ref="AJ1256">HLOOKUP($J1256,'Type Chart'!$C$2:$T$20,17,false)*HLOOKUP($K1256,'Type Chart'!$C$2:$U$20,17,false)</f>
        <v>2</v>
      </c>
      <c r="AK1256" s="960">
        <f t="array" ref="AK1256">HLOOKUP($J1256,'Type Chart'!$C$2:$T$20,18,false)*HLOOKUP($K1256,'Type Chart'!$C$2:$U$20,18,false)</f>
        <v>1</v>
      </c>
      <c r="AL1256" s="960">
        <f t="array" ref="AL1256">HLOOKUP($J1256,'Type Chart'!$C$2:$T$20,19,false)*HLOOKUP($K1256,'Type Chart'!$C$2:$U$20,19,false)</f>
        <v>2</v>
      </c>
      <c r="AM1256" s="1243"/>
      <c r="AN1256" s="1244"/>
      <c r="AO1256" s="1244"/>
      <c r="AP1256" s="936"/>
      <c r="AQ1256" s="1245"/>
      <c r="AR1256" s="1245"/>
      <c r="AS1256" s="936"/>
    </row>
    <row r="1257" ht="15.75" customHeight="1">
      <c r="A1257" s="1099"/>
      <c r="B1257" s="1240"/>
      <c r="C1257" s="1197" t="s">
        <v>4358</v>
      </c>
      <c r="D1257" s="1197" t="s">
        <v>4358</v>
      </c>
      <c r="E1257" s="1147" t="s">
        <v>4358</v>
      </c>
      <c r="F1257" s="940"/>
      <c r="G1257" s="953"/>
      <c r="H1257" s="1241"/>
      <c r="I1257" s="1247" t="s">
        <v>188</v>
      </c>
      <c r="J1257" s="1239" t="s">
        <v>150</v>
      </c>
      <c r="K1257" s="1239" t="s">
        <v>346</v>
      </c>
      <c r="L1257" s="1237">
        <v>105.0</v>
      </c>
      <c r="M1257" s="1238">
        <v>115.0</v>
      </c>
      <c r="N1257" s="1238">
        <v>121.0</v>
      </c>
      <c r="O1257" s="1238">
        <v>65.0</v>
      </c>
      <c r="P1257" s="1238">
        <v>93.0</v>
      </c>
      <c r="Q1257" s="1238">
        <v>91.0</v>
      </c>
      <c r="R1257" s="960">
        <v>218.0</v>
      </c>
      <c r="S1257" s="960">
        <v>281.0</v>
      </c>
      <c r="T1257" s="960">
        <v>309.0</v>
      </c>
      <c r="U1257" s="960">
        <f t="array" ref="U1257">HLOOKUP($J1257,'Type Chart'!$C$2:$T$20,2,false)*HLOOKUP($K1257,'Type Chart'!$C$2:$U$20,2,false)</f>
        <v>1</v>
      </c>
      <c r="V1257" s="960">
        <f t="array" ref="V1257">HLOOKUP($J1257,'Type Chart'!$C$2:$T$20,3,false)*HLOOKUP($K1257,'Type Chart'!$C$2:$U$20,3,false)</f>
        <v>1</v>
      </c>
      <c r="W1257" s="960">
        <f t="array" ref="W1257">HLOOKUP($J1257,'Type Chart'!$C$2:$T$20,4,false)*HLOOKUP($K1257,'Type Chart'!$C$2:$U$20,4,false)</f>
        <v>1</v>
      </c>
      <c r="X1257" s="960">
        <f t="array" ref="X1257">HLOOKUP($J1257,'Type Chart'!$C$2:$T$20,5,false)*HLOOKUP($K1257,'Type Chart'!$C$2:$U$20,5,false)</f>
        <v>1</v>
      </c>
      <c r="Y1257" s="960">
        <f t="array" ref="Y1257">HLOOKUP($J1257,'Type Chart'!$C$2:$T$20,6,false)*HLOOKUP($K1257,'Type Chart'!$C$2:$U$20,6,false)</f>
        <v>2</v>
      </c>
      <c r="Z1257" s="960">
        <f t="array" ref="Z1257">HLOOKUP($J1257,'Type Chart'!$C$2:$T$20,7,false)*HLOOKUP($K1257,'Type Chart'!$C$2:$U$20,7,false)</f>
        <v>2</v>
      </c>
      <c r="AA1257" s="960">
        <f t="array" ref="AA1257">HLOOKUP($J1257,'Type Chart'!$C$2:$T$20,8,false)*HLOOKUP($K1257,'Type Chart'!$C$2:$U$20,8,false)</f>
        <v>0.5</v>
      </c>
      <c r="AB1257" s="960">
        <f t="array" ref="AB1257">HLOOKUP($J1257,'Type Chart'!$C$2:$T$20,9,false)*HLOOKUP($K1257,'Type Chart'!$C$2:$U$20,9,false)</f>
        <v>1</v>
      </c>
      <c r="AC1257" s="960">
        <f t="array" ref="AC1257">HLOOKUP($J1257,'Type Chart'!$C$2:$T$20,10,false)*HLOOKUP($K1257,'Type Chart'!$C$2:$U$20,10,false)</f>
        <v>0.5</v>
      </c>
      <c r="AD1257" s="960">
        <f t="array" ref="AD1257">HLOOKUP($J1257,'Type Chart'!$C$2:$T$20,11,false)*HLOOKUP($K1257,'Type Chart'!$C$2:$U$20,11,false)</f>
        <v>0.25</v>
      </c>
      <c r="AE1257" s="960">
        <f t="array" ref="AE1257">HLOOKUP($J1257,'Type Chart'!$C$2:$T$20,12,false)*HLOOKUP($K1257,'Type Chart'!$C$2:$U$20,12,false)</f>
        <v>1</v>
      </c>
      <c r="AF1257" s="960">
        <f t="array" ref="AF1257">HLOOKUP($J1257,'Type Chart'!$C$2:$T$20,13,false)*HLOOKUP($K1257,'Type Chart'!$C$2:$U$20,13,false)</f>
        <v>0.25</v>
      </c>
      <c r="AG1257" s="960">
        <f t="array" ref="AG1257">HLOOKUP($J1257,'Type Chart'!$C$2:$T$20,14,false)*HLOOKUP($K1257,'Type Chart'!$C$2:$U$20,14,false)</f>
        <v>0.5</v>
      </c>
      <c r="AH1257" s="960">
        <f t="array" ref="AH1257">HLOOKUP($J1257,'Type Chart'!$C$2:$T$20,15,false)*HLOOKUP($K1257,'Type Chart'!$C$2:$U$20,15,false)</f>
        <v>1</v>
      </c>
      <c r="AI1257" s="960">
        <f t="array" ref="AI1257">HLOOKUP($J1257,'Type Chart'!$C$2:$T$20,16,false)*HLOOKUP($K1257,'Type Chart'!$C$2:$U$20,16,false)</f>
        <v>1</v>
      </c>
      <c r="AJ1257" s="960">
        <f t="array" ref="AJ1257">HLOOKUP($J1257,'Type Chart'!$C$2:$T$20,17,false)*HLOOKUP($K1257,'Type Chart'!$C$2:$U$20,17,false)</f>
        <v>2</v>
      </c>
      <c r="AK1257" s="960">
        <f t="array" ref="AK1257">HLOOKUP($J1257,'Type Chart'!$C$2:$T$20,18,false)*HLOOKUP($K1257,'Type Chart'!$C$2:$U$20,18,false)</f>
        <v>1</v>
      </c>
      <c r="AL1257" s="960">
        <f t="array" ref="AL1257">HLOOKUP($J1257,'Type Chart'!$C$2:$T$20,19,false)*HLOOKUP($K1257,'Type Chart'!$C$2:$U$20,19,false)</f>
        <v>1</v>
      </c>
      <c r="AM1257" s="1243"/>
      <c r="AN1257" s="1244"/>
      <c r="AO1257" s="1244"/>
      <c r="AP1257" s="936"/>
      <c r="AQ1257" s="1245"/>
      <c r="AR1257" s="1245"/>
      <c r="AS1257" s="936"/>
    </row>
    <row r="1258" ht="15.75" customHeight="1">
      <c r="A1258" s="1099"/>
      <c r="B1258" s="1240"/>
      <c r="C1258" s="1197" t="s">
        <v>4359</v>
      </c>
      <c r="D1258" s="1197" t="s">
        <v>4359</v>
      </c>
      <c r="E1258" s="1147" t="s">
        <v>4359</v>
      </c>
      <c r="F1258" s="940"/>
      <c r="G1258" s="953"/>
      <c r="H1258" s="1241"/>
      <c r="I1258" s="1247" t="s">
        <v>107</v>
      </c>
      <c r="J1258" s="1196" t="s">
        <v>203</v>
      </c>
      <c r="K1258" s="1239" t="s">
        <v>346</v>
      </c>
      <c r="L1258" s="1237">
        <v>125.0</v>
      </c>
      <c r="M1258" s="1238">
        <v>73.0</v>
      </c>
      <c r="N1258" s="1238">
        <v>91.0</v>
      </c>
      <c r="O1258" s="1238">
        <v>137.0</v>
      </c>
      <c r="P1258" s="1238">
        <v>89.0</v>
      </c>
      <c r="Q1258" s="1238">
        <v>75.0</v>
      </c>
      <c r="R1258" s="960">
        <v>186.0</v>
      </c>
      <c r="S1258" s="960">
        <v>249.0</v>
      </c>
      <c r="T1258" s="960">
        <v>273.0</v>
      </c>
      <c r="U1258" s="960">
        <f t="array" ref="U1258">HLOOKUP($J1258,'Type Chart'!$C$2:$T$20,2,false)*HLOOKUP($K1258,'Type Chart'!$C$2:$U$20,2,false)</f>
        <v>1</v>
      </c>
      <c r="V1258" s="960">
        <f t="array" ref="V1258">HLOOKUP($J1258,'Type Chart'!$C$2:$T$20,3,false)*HLOOKUP($K1258,'Type Chart'!$C$2:$U$20,3,false)</f>
        <v>1</v>
      </c>
      <c r="W1258" s="960">
        <f t="array" ref="W1258">HLOOKUP($J1258,'Type Chart'!$C$2:$T$20,4,false)*HLOOKUP($K1258,'Type Chart'!$C$2:$U$20,4,false)</f>
        <v>0.5</v>
      </c>
      <c r="X1258" s="960">
        <f t="array" ref="X1258">HLOOKUP($J1258,'Type Chart'!$C$2:$T$20,5,false)*HLOOKUP($K1258,'Type Chart'!$C$2:$U$20,5,false)</f>
        <v>1</v>
      </c>
      <c r="Y1258" s="960">
        <f t="array" ref="Y1258">HLOOKUP($J1258,'Type Chart'!$C$2:$T$20,6,false)*HLOOKUP($K1258,'Type Chart'!$C$2:$U$20,6,false)</f>
        <v>2</v>
      </c>
      <c r="Z1258" s="960">
        <f t="array" ref="Z1258">HLOOKUP($J1258,'Type Chart'!$C$2:$T$20,7,false)*HLOOKUP($K1258,'Type Chart'!$C$2:$U$20,7,false)</f>
        <v>1</v>
      </c>
      <c r="AA1258" s="960">
        <f t="array" ref="AA1258">HLOOKUP($J1258,'Type Chart'!$C$2:$T$20,8,false)*HLOOKUP($K1258,'Type Chart'!$C$2:$U$20,8,false)</f>
        <v>1</v>
      </c>
      <c r="AB1258" s="960">
        <f t="array" ref="AB1258">HLOOKUP($J1258,'Type Chart'!$C$2:$T$20,9,false)*HLOOKUP($K1258,'Type Chart'!$C$2:$U$20,9,false)</f>
        <v>1</v>
      </c>
      <c r="AC1258" s="960">
        <f t="array" ref="AC1258">HLOOKUP($J1258,'Type Chart'!$C$2:$T$20,10,false)*HLOOKUP($K1258,'Type Chart'!$C$2:$U$20,10,false)</f>
        <v>0.5</v>
      </c>
      <c r="AD1258" s="960">
        <f t="array" ref="AD1258">HLOOKUP($J1258,'Type Chart'!$C$2:$T$20,11,false)*HLOOKUP($K1258,'Type Chart'!$C$2:$U$20,11,false)</f>
        <v>0.5</v>
      </c>
      <c r="AE1258" s="960">
        <f t="array" ref="AE1258">HLOOKUP($J1258,'Type Chart'!$C$2:$T$20,12,false)*HLOOKUP($K1258,'Type Chart'!$C$2:$U$20,12,false)</f>
        <v>0.5</v>
      </c>
      <c r="AF1258" s="960">
        <f t="array" ref="AF1258">HLOOKUP($J1258,'Type Chart'!$C$2:$T$20,13,false)*HLOOKUP($K1258,'Type Chart'!$C$2:$U$20,13,false)</f>
        <v>0.5</v>
      </c>
      <c r="AG1258" s="960">
        <f t="array" ref="AG1258">HLOOKUP($J1258,'Type Chart'!$C$2:$T$20,14,false)*HLOOKUP($K1258,'Type Chart'!$C$2:$U$20,14,false)</f>
        <v>0.25</v>
      </c>
      <c r="AH1258" s="960">
        <f t="array" ref="AH1258">HLOOKUP($J1258,'Type Chart'!$C$2:$T$20,15,false)*HLOOKUP($K1258,'Type Chart'!$C$2:$U$20,15,false)</f>
        <v>1</v>
      </c>
      <c r="AI1258" s="960">
        <f t="array" ref="AI1258">HLOOKUP($J1258,'Type Chart'!$C$2:$T$20,16,false)*HLOOKUP($K1258,'Type Chart'!$C$2:$U$20,16,false)</f>
        <v>2</v>
      </c>
      <c r="AJ1258" s="960">
        <f t="array" ref="AJ1258">HLOOKUP($J1258,'Type Chart'!$C$2:$T$20,17,false)*HLOOKUP($K1258,'Type Chart'!$C$2:$U$20,17,false)</f>
        <v>2</v>
      </c>
      <c r="AK1258" s="960">
        <f t="array" ref="AK1258">HLOOKUP($J1258,'Type Chart'!$C$2:$T$20,18,false)*HLOOKUP($K1258,'Type Chart'!$C$2:$U$20,18,false)</f>
        <v>1</v>
      </c>
      <c r="AL1258" s="960">
        <f t="array" ref="AL1258">HLOOKUP($J1258,'Type Chart'!$C$2:$T$20,19,false)*HLOOKUP($K1258,'Type Chart'!$C$2:$U$20,19,false)</f>
        <v>2</v>
      </c>
      <c r="AM1258" s="1243"/>
      <c r="AN1258" s="1244"/>
      <c r="AO1258" s="1244"/>
      <c r="AP1258" s="936"/>
      <c r="AQ1258" s="1245"/>
      <c r="AR1258" s="1245"/>
      <c r="AS1258" s="936"/>
    </row>
    <row r="1259" ht="15.75" customHeight="1">
      <c r="A1259" s="1099"/>
      <c r="B1259" s="1240"/>
      <c r="C1259" s="1197" t="s">
        <v>4360</v>
      </c>
      <c r="D1259" s="1197" t="s">
        <v>4360</v>
      </c>
      <c r="E1259" s="1147" t="s">
        <v>4360</v>
      </c>
      <c r="F1259" s="940"/>
      <c r="G1259" s="953"/>
      <c r="H1259" s="1241"/>
      <c r="I1259" s="1247" t="s">
        <v>142</v>
      </c>
      <c r="J1259" s="1239" t="s">
        <v>342</v>
      </c>
      <c r="K1259" s="1239" t="s">
        <v>344</v>
      </c>
      <c r="L1259" s="1237">
        <v>90.0</v>
      </c>
      <c r="M1259" s="1238">
        <v>120.0</v>
      </c>
      <c r="N1259" s="1238">
        <v>80.0</v>
      </c>
      <c r="O1259" s="1238">
        <v>68.0</v>
      </c>
      <c r="P1259" s="1238">
        <v>108.0</v>
      </c>
      <c r="Q1259" s="1238">
        <v>124.0</v>
      </c>
      <c r="R1259" s="960">
        <v>284.0</v>
      </c>
      <c r="S1259" s="960">
        <v>347.0</v>
      </c>
      <c r="T1259" s="960">
        <v>381.0</v>
      </c>
      <c r="U1259" s="960">
        <f t="array" ref="U1259">HLOOKUP($J1259,'Type Chart'!$C$2:$T$20,2,false)*HLOOKUP($K1259,'Type Chart'!$C$2:$U$20,2,false)</f>
        <v>0.5</v>
      </c>
      <c r="V1259" s="960">
        <f t="array" ref="V1259">HLOOKUP($J1259,'Type Chart'!$C$2:$T$20,3,false)*HLOOKUP($K1259,'Type Chart'!$C$2:$U$20,3,false)</f>
        <v>1</v>
      </c>
      <c r="W1259" s="960">
        <f t="array" ref="W1259">HLOOKUP($J1259,'Type Chart'!$C$2:$T$20,4,false)*HLOOKUP($K1259,'Type Chart'!$C$2:$U$20,4,false)</f>
        <v>0.5</v>
      </c>
      <c r="X1259" s="960">
        <f t="array" ref="X1259">HLOOKUP($J1259,'Type Chart'!$C$2:$T$20,5,false)*HLOOKUP($K1259,'Type Chart'!$C$2:$U$20,5,false)</f>
        <v>0.5</v>
      </c>
      <c r="Y1259" s="960">
        <f t="array" ref="Y1259">HLOOKUP($J1259,'Type Chart'!$C$2:$T$20,6,false)*HLOOKUP($K1259,'Type Chart'!$C$2:$U$20,6,false)</f>
        <v>2</v>
      </c>
      <c r="Z1259" s="960">
        <f t="array" ref="Z1259">HLOOKUP($J1259,'Type Chart'!$C$2:$T$20,7,false)*HLOOKUP($K1259,'Type Chart'!$C$2:$U$20,7,false)</f>
        <v>1</v>
      </c>
      <c r="AA1259" s="960">
        <f t="array" ref="AA1259">HLOOKUP($J1259,'Type Chart'!$C$2:$T$20,8,false)*HLOOKUP($K1259,'Type Chart'!$C$2:$U$20,8,false)</f>
        <v>2</v>
      </c>
      <c r="AB1259" s="960">
        <f t="array" ref="AB1259">HLOOKUP($J1259,'Type Chart'!$C$2:$T$20,9,false)*HLOOKUP($K1259,'Type Chart'!$C$2:$U$20,9,false)</f>
        <v>2</v>
      </c>
      <c r="AC1259" s="960">
        <f t="array" ref="AC1259">HLOOKUP($J1259,'Type Chart'!$C$2:$T$20,10,false)*HLOOKUP($K1259,'Type Chart'!$C$2:$U$20,10,false)</f>
        <v>2</v>
      </c>
      <c r="AD1259" s="960">
        <f t="array" ref="AD1259">HLOOKUP($J1259,'Type Chart'!$C$2:$T$20,11,false)*HLOOKUP($K1259,'Type Chart'!$C$2:$U$20,11,false)</f>
        <v>0.5</v>
      </c>
      <c r="AE1259" s="960">
        <f t="array" ref="AE1259">HLOOKUP($J1259,'Type Chart'!$C$2:$T$20,12,false)*HLOOKUP($K1259,'Type Chart'!$C$2:$U$20,12,false)</f>
        <v>2</v>
      </c>
      <c r="AF1259" s="960">
        <f t="array" ref="AF1259">HLOOKUP($J1259,'Type Chart'!$C$2:$T$20,13,false)*HLOOKUP($K1259,'Type Chart'!$C$2:$U$20,13,false)</f>
        <v>2</v>
      </c>
      <c r="AG1259" s="960">
        <f t="array" ref="AG1259">HLOOKUP($J1259,'Type Chart'!$C$2:$T$20,14,false)*HLOOKUP($K1259,'Type Chart'!$C$2:$U$20,14,false)</f>
        <v>1</v>
      </c>
      <c r="AH1259" s="960">
        <f t="array" ref="AH1259">HLOOKUP($J1259,'Type Chart'!$C$2:$T$20,15,false)*HLOOKUP($K1259,'Type Chart'!$C$2:$U$20,15,false)</f>
        <v>0.5</v>
      </c>
      <c r="AI1259" s="960">
        <f t="array" ref="AI1259">HLOOKUP($J1259,'Type Chart'!$C$2:$T$20,16,false)*HLOOKUP($K1259,'Type Chart'!$C$2:$U$20,16,false)</f>
        <v>1</v>
      </c>
      <c r="AJ1259" s="960">
        <f t="array" ref="AJ1259">HLOOKUP($J1259,'Type Chart'!$C$2:$T$20,17,false)*HLOOKUP($K1259,'Type Chart'!$C$2:$U$20,17,false)</f>
        <v>1</v>
      </c>
      <c r="AK1259" s="960">
        <f t="array" ref="AK1259">HLOOKUP($J1259,'Type Chart'!$C$2:$T$20,18,false)*HLOOKUP($K1259,'Type Chart'!$C$2:$U$20,18,false)</f>
        <v>2</v>
      </c>
      <c r="AL1259" s="960">
        <f t="array" ref="AL1259">HLOOKUP($J1259,'Type Chart'!$C$2:$T$20,19,false)*HLOOKUP($K1259,'Type Chart'!$C$2:$U$20,19,false)</f>
        <v>1</v>
      </c>
      <c r="AM1259" s="1243"/>
      <c r="AN1259" s="1244"/>
      <c r="AO1259" s="1244"/>
      <c r="AP1259" s="936"/>
      <c r="AQ1259" s="1245"/>
      <c r="AR1259" s="1245"/>
      <c r="AS1259" s="936"/>
    </row>
    <row r="1260" ht="15.75" customHeight="1">
      <c r="A1260" s="1099"/>
      <c r="B1260" s="1240"/>
      <c r="C1260" s="1197" t="s">
        <v>4361</v>
      </c>
      <c r="D1260" s="1197" t="s">
        <v>4361</v>
      </c>
      <c r="E1260" s="1147" t="s">
        <v>4361</v>
      </c>
      <c r="F1260" s="940"/>
      <c r="G1260" s="953"/>
      <c r="H1260" s="1241"/>
      <c r="I1260" s="1247" t="s">
        <v>4362</v>
      </c>
      <c r="J1260" s="1206" t="s">
        <v>82</v>
      </c>
      <c r="K1260" s="1239" t="s">
        <v>344</v>
      </c>
      <c r="L1260" s="1237">
        <v>90.0</v>
      </c>
      <c r="M1260" s="1238">
        <v>72.0</v>
      </c>
      <c r="N1260" s="1238">
        <v>100.0</v>
      </c>
      <c r="O1260" s="1238">
        <v>122.0</v>
      </c>
      <c r="P1260" s="1238">
        <v>108.0</v>
      </c>
      <c r="Q1260" s="1238">
        <v>98.0</v>
      </c>
      <c r="R1260" s="960">
        <v>232.0</v>
      </c>
      <c r="S1260" s="960">
        <v>295.0</v>
      </c>
      <c r="T1260" s="960">
        <v>324.0</v>
      </c>
      <c r="U1260" s="960">
        <f t="array" ref="U1260">HLOOKUP($J1260,'Type Chart'!$C$2:$T$20,2,false)*HLOOKUP($K1260,'Type Chart'!$C$2:$U$20,2,false)</f>
        <v>0.5</v>
      </c>
      <c r="V1260" s="960">
        <f t="array" ref="V1260">HLOOKUP($J1260,'Type Chart'!$C$2:$T$20,3,false)*HLOOKUP($K1260,'Type Chart'!$C$2:$U$20,3,false)</f>
        <v>1</v>
      </c>
      <c r="W1260" s="960">
        <f t="array" ref="W1260">HLOOKUP($J1260,'Type Chart'!$C$2:$T$20,4,false)*HLOOKUP($K1260,'Type Chart'!$C$2:$U$20,4,false)</f>
        <v>0.5</v>
      </c>
      <c r="X1260" s="960">
        <f t="array" ref="X1260">HLOOKUP($J1260,'Type Chart'!$C$2:$T$20,5,false)*HLOOKUP($K1260,'Type Chart'!$C$2:$U$20,5,false)</f>
        <v>0</v>
      </c>
      <c r="Y1260" s="960">
        <f t="array" ref="Y1260">HLOOKUP($J1260,'Type Chart'!$C$2:$T$20,6,false)*HLOOKUP($K1260,'Type Chart'!$C$2:$U$20,6,false)</f>
        <v>2</v>
      </c>
      <c r="Z1260" s="960">
        <f t="array" ref="Z1260">HLOOKUP($J1260,'Type Chart'!$C$2:$T$20,7,false)*HLOOKUP($K1260,'Type Chart'!$C$2:$U$20,7,false)</f>
        <v>0.5</v>
      </c>
      <c r="AA1260" s="960">
        <f t="array" ref="AA1260">HLOOKUP($J1260,'Type Chart'!$C$2:$T$20,8,false)*HLOOKUP($K1260,'Type Chart'!$C$2:$U$20,8,false)</f>
        <v>1</v>
      </c>
      <c r="AB1260" s="960">
        <f t="array" ref="AB1260">HLOOKUP($J1260,'Type Chart'!$C$2:$T$20,9,false)*HLOOKUP($K1260,'Type Chart'!$C$2:$U$20,9,false)</f>
        <v>2</v>
      </c>
      <c r="AC1260" s="960">
        <f t="array" ref="AC1260">HLOOKUP($J1260,'Type Chart'!$C$2:$T$20,10,false)*HLOOKUP($K1260,'Type Chart'!$C$2:$U$20,10,false)</f>
        <v>0.5</v>
      </c>
      <c r="AD1260" s="960">
        <f t="array" ref="AD1260">HLOOKUP($J1260,'Type Chart'!$C$2:$T$20,11,false)*HLOOKUP($K1260,'Type Chart'!$C$2:$U$20,11,false)</f>
        <v>2</v>
      </c>
      <c r="AE1260" s="960">
        <f t="array" ref="AE1260">HLOOKUP($J1260,'Type Chart'!$C$2:$T$20,12,false)*HLOOKUP($K1260,'Type Chart'!$C$2:$U$20,12,false)</f>
        <v>1</v>
      </c>
      <c r="AF1260" s="960">
        <f t="array" ref="AF1260">HLOOKUP($J1260,'Type Chart'!$C$2:$T$20,13,false)*HLOOKUP($K1260,'Type Chart'!$C$2:$U$20,13,false)</f>
        <v>0.5</v>
      </c>
      <c r="AG1260" s="960">
        <f t="array" ref="AG1260">HLOOKUP($J1260,'Type Chart'!$C$2:$T$20,14,false)*HLOOKUP($K1260,'Type Chart'!$C$2:$U$20,14,false)</f>
        <v>1</v>
      </c>
      <c r="AH1260" s="960">
        <f t="array" ref="AH1260">HLOOKUP($J1260,'Type Chart'!$C$2:$T$20,15,false)*HLOOKUP($K1260,'Type Chart'!$C$2:$U$20,15,false)</f>
        <v>0.25</v>
      </c>
      <c r="AI1260" s="960">
        <f t="array" ref="AI1260">HLOOKUP($J1260,'Type Chart'!$C$2:$T$20,16,false)*HLOOKUP($K1260,'Type Chart'!$C$2:$U$20,16,false)</f>
        <v>0.5</v>
      </c>
      <c r="AJ1260" s="960">
        <f t="array" ref="AJ1260">HLOOKUP($J1260,'Type Chart'!$C$2:$T$20,17,false)*HLOOKUP($K1260,'Type Chart'!$C$2:$U$20,17,false)</f>
        <v>0.5</v>
      </c>
      <c r="AK1260" s="960">
        <f t="array" ref="AK1260">HLOOKUP($J1260,'Type Chart'!$C$2:$T$20,18,false)*HLOOKUP($K1260,'Type Chart'!$C$2:$U$20,18,false)</f>
        <v>2</v>
      </c>
      <c r="AL1260" s="960">
        <f t="array" ref="AL1260">HLOOKUP($J1260,'Type Chart'!$C$2:$T$20,19,false)*HLOOKUP($K1260,'Type Chart'!$C$2:$U$20,19,false)</f>
        <v>0.5</v>
      </c>
      <c r="AM1260" s="1243"/>
      <c r="AN1260" s="1244"/>
      <c r="AO1260" s="1244"/>
      <c r="AP1260" s="936"/>
      <c r="AQ1260" s="1245"/>
      <c r="AR1260" s="1245"/>
      <c r="AS1260" s="936"/>
    </row>
    <row r="1261" ht="15.75" customHeight="1">
      <c r="A1261" s="1099"/>
      <c r="B1261" s="1240"/>
      <c r="C1261" s="1197" t="s">
        <v>4363</v>
      </c>
      <c r="D1261" s="1197" t="s">
        <v>4363</v>
      </c>
      <c r="E1261" s="1147" t="s">
        <v>4363</v>
      </c>
      <c r="F1261" s="940"/>
      <c r="G1261" s="953"/>
      <c r="H1261" s="1241"/>
      <c r="I1261" s="1242" t="s">
        <v>4363</v>
      </c>
      <c r="J1261" s="1239" t="s">
        <v>136</v>
      </c>
      <c r="K1261" s="1246" t="s">
        <v>216</v>
      </c>
      <c r="L1261" s="1237">
        <v>90.0</v>
      </c>
      <c r="M1261" s="1238">
        <v>65.0</v>
      </c>
      <c r="N1261" s="1238">
        <v>85.0</v>
      </c>
      <c r="O1261" s="1238">
        <v>65.0</v>
      </c>
      <c r="P1261" s="1238">
        <v>85.0</v>
      </c>
      <c r="Q1261" s="1238">
        <v>60.0</v>
      </c>
      <c r="R1261" s="960">
        <v>156.0</v>
      </c>
      <c r="S1261" s="960">
        <v>219.0</v>
      </c>
      <c r="T1261" s="960">
        <v>240.0</v>
      </c>
      <c r="U1261" s="960">
        <f t="array" ref="U1261">HLOOKUP($J1261,'Type Chart'!$C$2:$T$20,2,false)*HLOOKUP($K1261,'Type Chart'!$C$2:$U$20,2,false)</f>
        <v>1</v>
      </c>
      <c r="V1261" s="960">
        <f t="array" ref="V1261">HLOOKUP($J1261,'Type Chart'!$C$2:$T$20,3,false)*HLOOKUP($K1261,'Type Chart'!$C$2:$U$20,3,false)</f>
        <v>2</v>
      </c>
      <c r="W1261" s="960">
        <f t="array" ref="W1261">HLOOKUP($J1261,'Type Chart'!$C$2:$T$20,4,false)*HLOOKUP($K1261,'Type Chart'!$C$2:$U$20,4,false)</f>
        <v>1</v>
      </c>
      <c r="X1261" s="960">
        <f t="array" ref="X1261">HLOOKUP($J1261,'Type Chart'!$C$2:$T$20,5,false)*HLOOKUP($K1261,'Type Chart'!$C$2:$U$20,5,false)</f>
        <v>1</v>
      </c>
      <c r="Y1261" s="960">
        <f t="array" ref="Y1261">HLOOKUP($J1261,'Type Chart'!$C$2:$T$20,6,false)*HLOOKUP($K1261,'Type Chart'!$C$2:$U$20,6,false)</f>
        <v>1</v>
      </c>
      <c r="Z1261" s="960">
        <f t="array" ref="Z1261">HLOOKUP($J1261,'Type Chart'!$C$2:$T$20,7,false)*HLOOKUP($K1261,'Type Chart'!$C$2:$U$20,7,false)</f>
        <v>1</v>
      </c>
      <c r="AA1261" s="960">
        <f t="array" ref="AA1261">HLOOKUP($J1261,'Type Chart'!$C$2:$T$20,8,false)*HLOOKUP($K1261,'Type Chart'!$C$2:$U$20,8,false)</f>
        <v>1</v>
      </c>
      <c r="AB1261" s="960">
        <f t="array" ref="AB1261">HLOOKUP($J1261,'Type Chart'!$C$2:$T$20,9,false)*HLOOKUP($K1261,'Type Chart'!$C$2:$U$20,9,false)</f>
        <v>0</v>
      </c>
      <c r="AC1261" s="960">
        <f t="array" ref="AC1261">HLOOKUP($J1261,'Type Chart'!$C$2:$T$20,10,false)*HLOOKUP($K1261,'Type Chart'!$C$2:$U$20,10,false)</f>
        <v>1</v>
      </c>
      <c r="AD1261" s="960">
        <f t="array" ref="AD1261">HLOOKUP($J1261,'Type Chart'!$C$2:$T$20,11,false)*HLOOKUP($K1261,'Type Chart'!$C$2:$U$20,11,false)</f>
        <v>1</v>
      </c>
      <c r="AE1261" s="960">
        <f t="array" ref="AE1261">HLOOKUP($J1261,'Type Chart'!$C$2:$T$20,12,false)*HLOOKUP($K1261,'Type Chart'!$C$2:$U$20,12,false)</f>
        <v>1</v>
      </c>
      <c r="AF1261" s="960">
        <f t="array" ref="AF1261">HLOOKUP($J1261,'Type Chart'!$C$2:$T$20,13,false)*HLOOKUP($K1261,'Type Chart'!$C$2:$U$20,13,false)</f>
        <v>1</v>
      </c>
      <c r="AG1261" s="960">
        <f t="array" ref="AG1261">HLOOKUP($J1261,'Type Chart'!$C$2:$T$20,14,false)*HLOOKUP($K1261,'Type Chart'!$C$2:$U$20,14,false)</f>
        <v>1</v>
      </c>
      <c r="AH1261" s="960">
        <f t="array" ref="AH1261">HLOOKUP($J1261,'Type Chart'!$C$2:$T$20,15,false)*HLOOKUP($K1261,'Type Chart'!$C$2:$U$20,15,false)</f>
        <v>1</v>
      </c>
      <c r="AI1261" s="960">
        <f t="array" ref="AI1261">HLOOKUP($J1261,'Type Chart'!$C$2:$T$20,16,false)*HLOOKUP($K1261,'Type Chart'!$C$2:$U$20,16,false)</f>
        <v>1</v>
      </c>
      <c r="AJ1261" s="960">
        <f t="array" ref="AJ1261">HLOOKUP($J1261,'Type Chart'!$C$2:$T$20,17,false)*HLOOKUP($K1261,'Type Chart'!$C$2:$U$20,17,false)</f>
        <v>1</v>
      </c>
      <c r="AK1261" s="960">
        <f t="array" ref="AK1261">HLOOKUP($J1261,'Type Chart'!$C$2:$T$20,18,false)*HLOOKUP($K1261,'Type Chart'!$C$2:$U$20,18,false)</f>
        <v>1</v>
      </c>
      <c r="AL1261" s="960">
        <f t="array" ref="AL1261">HLOOKUP($J1261,'Type Chart'!$C$2:$T$20,19,false)*HLOOKUP($K1261,'Type Chart'!$C$2:$U$20,19,false)</f>
        <v>1</v>
      </c>
      <c r="AM1261" s="1243"/>
      <c r="AN1261" s="1244"/>
      <c r="AO1261" s="1244"/>
      <c r="AP1261" s="936"/>
      <c r="AQ1261" s="1245"/>
      <c r="AR1261" s="1245"/>
      <c r="AS1261" s="936"/>
    </row>
    <row r="1262" ht="15.75" customHeight="1">
      <c r="A1262" s="1099"/>
      <c r="B1262" s="1240"/>
      <c r="C1262" s="1197" t="s">
        <v>4364</v>
      </c>
      <c r="D1262" s="1197" t="s">
        <v>4364</v>
      </c>
      <c r="E1262" s="1147" t="s">
        <v>4364</v>
      </c>
      <c r="F1262" s="940"/>
      <c r="G1262" s="953"/>
      <c r="H1262" s="1241"/>
      <c r="I1262" s="1242" t="s">
        <v>4364</v>
      </c>
      <c r="J1262" s="1239" t="s">
        <v>136</v>
      </c>
      <c r="K1262" s="1246" t="s">
        <v>216</v>
      </c>
      <c r="L1262" s="1237">
        <v>95.0</v>
      </c>
      <c r="M1262" s="1238">
        <v>95.0</v>
      </c>
      <c r="N1262" s="1238">
        <v>110.0</v>
      </c>
      <c r="O1262" s="1238">
        <v>105.0</v>
      </c>
      <c r="P1262" s="1238">
        <v>110.0</v>
      </c>
      <c r="Q1262" s="1238">
        <v>85.0</v>
      </c>
      <c r="R1262" s="960">
        <v>206.0</v>
      </c>
      <c r="S1262" s="960">
        <v>269.0</v>
      </c>
      <c r="T1262" s="960">
        <v>295.0</v>
      </c>
      <c r="U1262" s="960">
        <f t="array" ref="U1262">HLOOKUP($J1262,'Type Chart'!$C$2:$T$20,2,false)*HLOOKUP($K1262,'Type Chart'!$C$2:$U$20,2,false)</f>
        <v>1</v>
      </c>
      <c r="V1262" s="960">
        <f t="array" ref="V1262">HLOOKUP($J1262,'Type Chart'!$C$2:$T$20,3,false)*HLOOKUP($K1262,'Type Chart'!$C$2:$U$20,3,false)</f>
        <v>2</v>
      </c>
      <c r="W1262" s="960">
        <f t="array" ref="W1262">HLOOKUP($J1262,'Type Chart'!$C$2:$T$20,4,false)*HLOOKUP($K1262,'Type Chart'!$C$2:$U$20,4,false)</f>
        <v>1</v>
      </c>
      <c r="X1262" s="960">
        <f t="array" ref="X1262">HLOOKUP($J1262,'Type Chart'!$C$2:$T$20,5,false)*HLOOKUP($K1262,'Type Chart'!$C$2:$U$20,5,false)</f>
        <v>1</v>
      </c>
      <c r="Y1262" s="960">
        <f t="array" ref="Y1262">HLOOKUP($J1262,'Type Chart'!$C$2:$T$20,6,false)*HLOOKUP($K1262,'Type Chart'!$C$2:$U$20,6,false)</f>
        <v>1</v>
      </c>
      <c r="Z1262" s="960">
        <f t="array" ref="Z1262">HLOOKUP($J1262,'Type Chart'!$C$2:$T$20,7,false)*HLOOKUP($K1262,'Type Chart'!$C$2:$U$20,7,false)</f>
        <v>1</v>
      </c>
      <c r="AA1262" s="960">
        <f t="array" ref="AA1262">HLOOKUP($J1262,'Type Chart'!$C$2:$T$20,8,false)*HLOOKUP($K1262,'Type Chart'!$C$2:$U$20,8,false)</f>
        <v>1</v>
      </c>
      <c r="AB1262" s="960">
        <f t="array" ref="AB1262">HLOOKUP($J1262,'Type Chart'!$C$2:$T$20,9,false)*HLOOKUP($K1262,'Type Chart'!$C$2:$U$20,9,false)</f>
        <v>0</v>
      </c>
      <c r="AC1262" s="960">
        <f t="array" ref="AC1262">HLOOKUP($J1262,'Type Chart'!$C$2:$T$20,10,false)*HLOOKUP($K1262,'Type Chart'!$C$2:$U$20,10,false)</f>
        <v>1</v>
      </c>
      <c r="AD1262" s="960">
        <f t="array" ref="AD1262">HLOOKUP($J1262,'Type Chart'!$C$2:$T$20,11,false)*HLOOKUP($K1262,'Type Chart'!$C$2:$U$20,11,false)</f>
        <v>1</v>
      </c>
      <c r="AE1262" s="960">
        <f t="array" ref="AE1262">HLOOKUP($J1262,'Type Chart'!$C$2:$T$20,12,false)*HLOOKUP($K1262,'Type Chart'!$C$2:$U$20,12,false)</f>
        <v>1</v>
      </c>
      <c r="AF1262" s="960">
        <f t="array" ref="AF1262">HLOOKUP($J1262,'Type Chart'!$C$2:$T$20,13,false)*HLOOKUP($K1262,'Type Chart'!$C$2:$U$20,13,false)</f>
        <v>1</v>
      </c>
      <c r="AG1262" s="960">
        <f t="array" ref="AG1262">HLOOKUP($J1262,'Type Chart'!$C$2:$T$20,14,false)*HLOOKUP($K1262,'Type Chart'!$C$2:$U$20,14,false)</f>
        <v>1</v>
      </c>
      <c r="AH1262" s="960">
        <f t="array" ref="AH1262">HLOOKUP($J1262,'Type Chart'!$C$2:$T$20,15,false)*HLOOKUP($K1262,'Type Chart'!$C$2:$U$20,15,false)</f>
        <v>1</v>
      </c>
      <c r="AI1262" s="960">
        <f t="array" ref="AI1262">HLOOKUP($J1262,'Type Chart'!$C$2:$T$20,16,false)*HLOOKUP($K1262,'Type Chart'!$C$2:$U$20,16,false)</f>
        <v>1</v>
      </c>
      <c r="AJ1262" s="960">
        <f t="array" ref="AJ1262">HLOOKUP($J1262,'Type Chart'!$C$2:$T$20,17,false)*HLOOKUP($K1262,'Type Chart'!$C$2:$U$20,17,false)</f>
        <v>1</v>
      </c>
      <c r="AK1262" s="960">
        <f t="array" ref="AK1262">HLOOKUP($J1262,'Type Chart'!$C$2:$T$20,18,false)*HLOOKUP($K1262,'Type Chart'!$C$2:$U$20,18,false)</f>
        <v>1</v>
      </c>
      <c r="AL1262" s="960">
        <f t="array" ref="AL1262">HLOOKUP($J1262,'Type Chart'!$C$2:$T$20,19,false)*HLOOKUP($K1262,'Type Chart'!$C$2:$U$20,19,false)</f>
        <v>1</v>
      </c>
      <c r="AM1262" s="1243"/>
      <c r="AN1262" s="1244"/>
      <c r="AO1262" s="1244"/>
      <c r="AP1262" s="936"/>
      <c r="AQ1262" s="1245"/>
      <c r="AR1262" s="1245"/>
      <c r="AS1262" s="936"/>
    </row>
    <row r="1263" ht="15.75" customHeight="1">
      <c r="A1263" s="1099"/>
      <c r="B1263" s="1240"/>
      <c r="C1263" s="1197" t="s">
        <v>4365</v>
      </c>
      <c r="D1263" s="1197" t="s">
        <v>4365</v>
      </c>
      <c r="E1263" s="1147" t="s">
        <v>4365</v>
      </c>
      <c r="F1263" s="940"/>
      <c r="G1263" s="953"/>
      <c r="H1263" s="1241"/>
      <c r="I1263" s="1242" t="s">
        <v>4365</v>
      </c>
      <c r="J1263" s="1239" t="s">
        <v>136</v>
      </c>
      <c r="K1263" s="1246" t="s">
        <v>216</v>
      </c>
      <c r="L1263" s="1237">
        <v>160.0</v>
      </c>
      <c r="M1263" s="1238">
        <v>105.0</v>
      </c>
      <c r="N1263" s="1238">
        <v>110.0</v>
      </c>
      <c r="O1263" s="1238">
        <v>130.0</v>
      </c>
      <c r="P1263" s="1238">
        <v>110.0</v>
      </c>
      <c r="Q1263" s="1238">
        <v>85.0</v>
      </c>
      <c r="R1263" s="960">
        <v>206.0</v>
      </c>
      <c r="S1263" s="960">
        <v>269.0</v>
      </c>
      <c r="T1263" s="960">
        <v>295.0</v>
      </c>
      <c r="U1263" s="960">
        <f t="array" ref="U1263">HLOOKUP($J1263,'Type Chart'!$C$2:$T$20,2,false)*HLOOKUP($K1263,'Type Chart'!$C$2:$U$20,2,false)</f>
        <v>1</v>
      </c>
      <c r="V1263" s="960">
        <f t="array" ref="V1263">HLOOKUP($J1263,'Type Chart'!$C$2:$T$20,3,false)*HLOOKUP($K1263,'Type Chart'!$C$2:$U$20,3,false)</f>
        <v>2</v>
      </c>
      <c r="W1263" s="960">
        <f t="array" ref="W1263">HLOOKUP($J1263,'Type Chart'!$C$2:$T$20,4,false)*HLOOKUP($K1263,'Type Chart'!$C$2:$U$20,4,false)</f>
        <v>1</v>
      </c>
      <c r="X1263" s="960">
        <f t="array" ref="X1263">HLOOKUP($J1263,'Type Chart'!$C$2:$T$20,5,false)*HLOOKUP($K1263,'Type Chart'!$C$2:$U$20,5,false)</f>
        <v>1</v>
      </c>
      <c r="Y1263" s="960">
        <f t="array" ref="Y1263">HLOOKUP($J1263,'Type Chart'!$C$2:$T$20,6,false)*HLOOKUP($K1263,'Type Chart'!$C$2:$U$20,6,false)</f>
        <v>1</v>
      </c>
      <c r="Z1263" s="960">
        <f t="array" ref="Z1263">HLOOKUP($J1263,'Type Chart'!$C$2:$T$20,7,false)*HLOOKUP($K1263,'Type Chart'!$C$2:$U$20,7,false)</f>
        <v>1</v>
      </c>
      <c r="AA1263" s="960">
        <f t="array" ref="AA1263">HLOOKUP($J1263,'Type Chart'!$C$2:$T$20,8,false)*HLOOKUP($K1263,'Type Chart'!$C$2:$U$20,8,false)</f>
        <v>1</v>
      </c>
      <c r="AB1263" s="960">
        <f t="array" ref="AB1263">HLOOKUP($J1263,'Type Chart'!$C$2:$T$20,9,false)*HLOOKUP($K1263,'Type Chart'!$C$2:$U$20,9,false)</f>
        <v>0</v>
      </c>
      <c r="AC1263" s="960">
        <f t="array" ref="AC1263">HLOOKUP($J1263,'Type Chart'!$C$2:$T$20,10,false)*HLOOKUP($K1263,'Type Chart'!$C$2:$U$20,10,false)</f>
        <v>1</v>
      </c>
      <c r="AD1263" s="960">
        <f t="array" ref="AD1263">HLOOKUP($J1263,'Type Chart'!$C$2:$T$20,11,false)*HLOOKUP($K1263,'Type Chart'!$C$2:$U$20,11,false)</f>
        <v>1</v>
      </c>
      <c r="AE1263" s="960">
        <f t="array" ref="AE1263">HLOOKUP($J1263,'Type Chart'!$C$2:$T$20,12,false)*HLOOKUP($K1263,'Type Chart'!$C$2:$U$20,12,false)</f>
        <v>1</v>
      </c>
      <c r="AF1263" s="960">
        <f t="array" ref="AF1263">HLOOKUP($J1263,'Type Chart'!$C$2:$T$20,13,false)*HLOOKUP($K1263,'Type Chart'!$C$2:$U$20,13,false)</f>
        <v>1</v>
      </c>
      <c r="AG1263" s="960">
        <f t="array" ref="AG1263">HLOOKUP($J1263,'Type Chart'!$C$2:$T$20,14,false)*HLOOKUP($K1263,'Type Chart'!$C$2:$U$20,14,false)</f>
        <v>1</v>
      </c>
      <c r="AH1263" s="960">
        <f t="array" ref="AH1263">HLOOKUP($J1263,'Type Chart'!$C$2:$T$20,15,false)*HLOOKUP($K1263,'Type Chart'!$C$2:$U$20,15,false)</f>
        <v>1</v>
      </c>
      <c r="AI1263" s="960">
        <f t="array" ref="AI1263">HLOOKUP($J1263,'Type Chart'!$C$2:$T$20,16,false)*HLOOKUP($K1263,'Type Chart'!$C$2:$U$20,16,false)</f>
        <v>1</v>
      </c>
      <c r="AJ1263" s="960">
        <f t="array" ref="AJ1263">HLOOKUP($J1263,'Type Chart'!$C$2:$T$20,17,false)*HLOOKUP($K1263,'Type Chart'!$C$2:$U$20,17,false)</f>
        <v>1</v>
      </c>
      <c r="AK1263" s="960">
        <f t="array" ref="AK1263">HLOOKUP($J1263,'Type Chart'!$C$2:$T$20,18,false)*HLOOKUP($K1263,'Type Chart'!$C$2:$U$20,18,false)</f>
        <v>1</v>
      </c>
      <c r="AL1263" s="960">
        <f t="array" ref="AL1263">HLOOKUP($J1263,'Type Chart'!$C$2:$T$20,19,false)*HLOOKUP($K1263,'Type Chart'!$C$2:$U$20,19,false)</f>
        <v>1</v>
      </c>
      <c r="AM1263" s="1243"/>
      <c r="AN1263" s="1244"/>
      <c r="AO1263" s="1244"/>
      <c r="AP1263" s="936"/>
      <c r="AQ1263" s="1245"/>
      <c r="AR1263" s="1245"/>
      <c r="AS1263" s="936"/>
    </row>
    <row r="1264" ht="15.75" customHeight="1">
      <c r="A1264" s="1099"/>
      <c r="B1264" s="1240"/>
      <c r="C1264" s="1197" t="s">
        <v>4366</v>
      </c>
      <c r="D1264" s="1197" t="s">
        <v>4366</v>
      </c>
      <c r="E1264" s="1147" t="s">
        <v>4366</v>
      </c>
      <c r="F1264" s="940"/>
      <c r="G1264" s="953"/>
      <c r="H1264" s="1241"/>
      <c r="I1264" s="1242" t="s">
        <v>4366</v>
      </c>
      <c r="J1264" s="1239" t="s">
        <v>178</v>
      </c>
      <c r="K1264" s="1239" t="s">
        <v>215</v>
      </c>
      <c r="L1264" s="1237">
        <v>88.0</v>
      </c>
      <c r="M1264" s="1238">
        <v>88.0</v>
      </c>
      <c r="N1264" s="1238">
        <v>88.0</v>
      </c>
      <c r="O1264" s="1238">
        <v>88.0</v>
      </c>
      <c r="P1264" s="1238">
        <v>88.0</v>
      </c>
      <c r="Q1264" s="1238">
        <v>88.0</v>
      </c>
      <c r="R1264" s="960">
        <v>212.0</v>
      </c>
      <c r="S1264" s="960">
        <v>275.0</v>
      </c>
      <c r="T1264" s="960">
        <v>302.0</v>
      </c>
      <c r="U1264" s="960">
        <f t="array" ref="U1264">HLOOKUP($J1264,'Type Chart'!$C$2:$T$20,2,false)*HLOOKUP($K1264,'Type Chart'!$C$2:$U$20,2,false)</f>
        <v>0</v>
      </c>
      <c r="V1264" s="960">
        <f t="array" ref="V1264">HLOOKUP($J1264,'Type Chart'!$C$2:$T$20,3,false)*HLOOKUP($K1264,'Type Chart'!$C$2:$U$20,3,false)</f>
        <v>0</v>
      </c>
      <c r="W1264" s="960">
        <f t="array" ref="W1264">HLOOKUP($J1264,'Type Chart'!$C$2:$T$20,4,false)*HLOOKUP($K1264,'Type Chart'!$C$2:$U$20,4,false)</f>
        <v>1</v>
      </c>
      <c r="X1264" s="960">
        <f t="array" ref="X1264">HLOOKUP($J1264,'Type Chart'!$C$2:$T$20,5,false)*HLOOKUP($K1264,'Type Chart'!$C$2:$U$20,5,false)</f>
        <v>0.25</v>
      </c>
      <c r="Y1264" s="960">
        <f t="array" ref="Y1264">HLOOKUP($J1264,'Type Chart'!$C$2:$T$20,6,false)*HLOOKUP($K1264,'Type Chart'!$C$2:$U$20,6,false)</f>
        <v>2</v>
      </c>
      <c r="Z1264" s="960">
        <f t="array" ref="Z1264">HLOOKUP($J1264,'Type Chart'!$C$2:$T$20,7,false)*HLOOKUP($K1264,'Type Chart'!$C$2:$U$20,7,false)</f>
        <v>1</v>
      </c>
      <c r="AA1264" s="960">
        <f t="array" ref="AA1264">HLOOKUP($J1264,'Type Chart'!$C$2:$T$20,8,false)*HLOOKUP($K1264,'Type Chart'!$C$2:$U$20,8,false)</f>
        <v>0.25</v>
      </c>
      <c r="AB1264" s="960">
        <f t="array" ref="AB1264">HLOOKUP($J1264,'Type Chart'!$C$2:$T$20,9,false)*HLOOKUP($K1264,'Type Chart'!$C$2:$U$20,9,false)</f>
        <v>2</v>
      </c>
      <c r="AC1264" s="960">
        <f t="array" ref="AC1264">HLOOKUP($J1264,'Type Chart'!$C$2:$T$20,10,false)*HLOOKUP($K1264,'Type Chart'!$C$2:$U$20,10,false)</f>
        <v>1</v>
      </c>
      <c r="AD1264" s="960">
        <f t="array" ref="AD1264">HLOOKUP($J1264,'Type Chart'!$C$2:$T$20,11,false)*HLOOKUP($K1264,'Type Chart'!$C$2:$U$20,11,false)</f>
        <v>1</v>
      </c>
      <c r="AE1264" s="960">
        <f t="array" ref="AE1264">HLOOKUP($J1264,'Type Chart'!$C$2:$T$20,12,false)*HLOOKUP($K1264,'Type Chart'!$C$2:$U$20,12,false)</f>
        <v>1</v>
      </c>
      <c r="AF1264" s="960">
        <f t="array" ref="AF1264">HLOOKUP($J1264,'Type Chart'!$C$2:$T$20,13,false)*HLOOKUP($K1264,'Type Chart'!$C$2:$U$20,13,false)</f>
        <v>0.5</v>
      </c>
      <c r="AG1264" s="960">
        <f t="array" ref="AG1264">HLOOKUP($J1264,'Type Chart'!$C$2:$T$20,14,false)*HLOOKUP($K1264,'Type Chart'!$C$2:$U$20,14,false)</f>
        <v>1</v>
      </c>
      <c r="AH1264" s="960">
        <f t="array" ref="AH1264">HLOOKUP($J1264,'Type Chart'!$C$2:$T$20,15,false)*HLOOKUP($K1264,'Type Chart'!$C$2:$U$20,15,false)</f>
        <v>2</v>
      </c>
      <c r="AI1264" s="960">
        <f t="array" ref="AI1264">HLOOKUP($J1264,'Type Chart'!$C$2:$T$20,16,false)*HLOOKUP($K1264,'Type Chart'!$C$2:$U$20,16,false)</f>
        <v>1</v>
      </c>
      <c r="AJ1264" s="960">
        <f t="array" ref="AJ1264">HLOOKUP($J1264,'Type Chart'!$C$2:$T$20,17,false)*HLOOKUP($K1264,'Type Chart'!$C$2:$U$20,17,false)</f>
        <v>1</v>
      </c>
      <c r="AK1264" s="960">
        <f t="array" ref="AK1264">HLOOKUP($J1264,'Type Chart'!$C$2:$T$20,18,false)*HLOOKUP($K1264,'Type Chart'!$C$2:$U$20,18,false)</f>
        <v>2</v>
      </c>
      <c r="AL1264" s="960">
        <f t="array" ref="AL1264">HLOOKUP($J1264,'Type Chart'!$C$2:$T$20,19,false)*HLOOKUP($K1264,'Type Chart'!$C$2:$U$20,19,false)</f>
        <v>0.5</v>
      </c>
      <c r="AM1264" s="1243"/>
      <c r="AN1264" s="1244"/>
      <c r="AO1264" s="1244"/>
      <c r="AP1264" s="936"/>
      <c r="AQ1264" s="1245"/>
      <c r="AR1264" s="1245"/>
      <c r="AS1264" s="936"/>
    </row>
    <row r="1265" ht="15.75" customHeight="1">
      <c r="A1265" s="1099"/>
      <c r="B1265" s="948" t="str">
        <f t="array" ref="B1265:G2505">B3:G1243</f>
        <v>001</v>
      </c>
      <c r="C1265" s="1197" t="s">
        <v>472</v>
      </c>
      <c r="D1265" s="1197" t="s">
        <v>472</v>
      </c>
      <c r="E1265" s="1147" t="s">
        <v>472</v>
      </c>
      <c r="F1265" s="940"/>
      <c r="G1265" s="953"/>
      <c r="H1265" s="969"/>
      <c r="I1265" s="998" t="str">
        <f t="array" ref="I1265:I2505">I3:I1243&amp;" (T)"</f>
        <v>Bulbasaur (T)</v>
      </c>
      <c r="J1265" s="957" t="s">
        <v>209</v>
      </c>
      <c r="K1265" s="958" t="s">
        <v>178</v>
      </c>
      <c r="L1265" s="959">
        <v>45.0</v>
      </c>
      <c r="M1265" s="960">
        <v>49.0</v>
      </c>
      <c r="N1265" s="960">
        <v>49.0</v>
      </c>
      <c r="O1265" s="960">
        <v>65.0</v>
      </c>
      <c r="P1265" s="960">
        <v>65.0</v>
      </c>
      <c r="Q1265" s="960">
        <v>45.0</v>
      </c>
      <c r="R1265" s="960">
        <f t="array" ref="R1265:R2529">IF(Q1265:Q2529="","",Q1265:Q2529*2+36)</f>
        <v>126</v>
      </c>
      <c r="S1265" s="960">
        <f t="array" ref="S1265:S2529">IF(Q1265:Q2529="","",Q1265:Q2529*2+99)</f>
        <v>189</v>
      </c>
      <c r="T1265" s="960">
        <f t="array" ref="T1265:T2529">IF(Q1265:Q2529="","",ROUNDDOWN((Q1265:Q2529*2+99)*1.1,0))</f>
        <v>207</v>
      </c>
      <c r="U1265" s="960">
        <f t="array" ref="U1265">HLOOKUP($J1265,'Type Chart'!$C$2:$T$20,2,false)*HLOOKUP($K1265,'Type Chart'!$C$2:$U$20,2,false)</f>
        <v>1</v>
      </c>
      <c r="V1265" s="960">
        <f t="array" ref="V1265">HLOOKUP($J1265,'Type Chart'!$C$2:$T$20,3,false)*HLOOKUP($K1265,'Type Chart'!$C$2:$U$20,3,false)</f>
        <v>0.5</v>
      </c>
      <c r="W1265" s="960">
        <f t="array" ref="W1265">HLOOKUP($J1265,'Type Chart'!$C$2:$T$20,4,false)*HLOOKUP($K1265,'Type Chart'!$C$2:$U$20,4,false)</f>
        <v>2</v>
      </c>
      <c r="X1265" s="960">
        <f t="array" ref="X1265">HLOOKUP($J1265,'Type Chart'!$C$2:$T$20,5,false)*HLOOKUP($K1265,'Type Chart'!$C$2:$U$20,5,false)</f>
        <v>1</v>
      </c>
      <c r="Y1265" s="960">
        <f t="array" ref="Y1265">HLOOKUP($J1265,'Type Chart'!$C$2:$T$20,6,false)*HLOOKUP($K1265,'Type Chart'!$C$2:$U$20,6,false)</f>
        <v>1</v>
      </c>
      <c r="Z1265" s="960">
        <f t="array" ref="Z1265">HLOOKUP($J1265,'Type Chart'!$C$2:$T$20,7,false)*HLOOKUP($K1265,'Type Chart'!$C$2:$U$20,7,false)</f>
        <v>1</v>
      </c>
      <c r="AA1265" s="960">
        <f t="array" ref="AA1265">HLOOKUP($J1265,'Type Chart'!$C$2:$T$20,8,false)*HLOOKUP($K1265,'Type Chart'!$C$2:$U$20,8,false)</f>
        <v>1</v>
      </c>
      <c r="AB1265" s="960">
        <f t="array" ref="AB1265">HLOOKUP($J1265,'Type Chart'!$C$2:$T$20,9,false)*HLOOKUP($K1265,'Type Chart'!$C$2:$U$20,9,false)</f>
        <v>1</v>
      </c>
      <c r="AC1265" s="960">
        <f t="array" ref="AC1265">HLOOKUP($J1265,'Type Chart'!$C$2:$T$20,10,false)*HLOOKUP($K1265,'Type Chart'!$C$2:$U$20,10,false)</f>
        <v>1</v>
      </c>
      <c r="AD1265" s="960">
        <f t="array" ref="AD1265">HLOOKUP($J1265,'Type Chart'!$C$2:$T$20,11,false)*HLOOKUP($K1265,'Type Chart'!$C$2:$U$20,11,false)</f>
        <v>2</v>
      </c>
      <c r="AE1265" s="960">
        <f t="array" ref="AE1265">HLOOKUP($J1265,'Type Chart'!$C$2:$T$20,12,false)*HLOOKUP($K1265,'Type Chart'!$C$2:$U$20,12,false)</f>
        <v>0.5</v>
      </c>
      <c r="AF1265" s="960">
        <f t="array" ref="AF1265">HLOOKUP($J1265,'Type Chart'!$C$2:$T$20,13,false)*HLOOKUP($K1265,'Type Chart'!$C$2:$U$20,13,false)</f>
        <v>0.25</v>
      </c>
      <c r="AG1265" s="960">
        <f t="array" ref="AG1265">HLOOKUP($J1265,'Type Chart'!$C$2:$T$20,14,false)*HLOOKUP($K1265,'Type Chart'!$C$2:$U$20,14,false)</f>
        <v>0.5</v>
      </c>
      <c r="AH1265" s="960">
        <f t="array" ref="AH1265">HLOOKUP($J1265,'Type Chart'!$C$2:$T$20,15,false)*HLOOKUP($K1265,'Type Chart'!$C$2:$U$20,15,false)</f>
        <v>2</v>
      </c>
      <c r="AI1265" s="960">
        <f t="array" ref="AI1265">HLOOKUP($J1265,'Type Chart'!$C$2:$T$20,16,false)*HLOOKUP($K1265,'Type Chart'!$C$2:$U$20,16,false)</f>
        <v>2</v>
      </c>
      <c r="AJ1265" s="960">
        <f t="array" ref="AJ1265">HLOOKUP($J1265,'Type Chart'!$C$2:$T$20,17,false)*HLOOKUP($K1265,'Type Chart'!$C$2:$U$20,17,false)</f>
        <v>1</v>
      </c>
      <c r="AK1265" s="960">
        <f t="array" ref="AK1265">HLOOKUP($J1265,'Type Chart'!$C$2:$T$20,18,false)*HLOOKUP($K1265,'Type Chart'!$C$2:$U$20,18,false)</f>
        <v>1</v>
      </c>
      <c r="AL1265" s="960">
        <f t="array" ref="AL1265">HLOOKUP($J1265,'Type Chart'!$C$2:$T$20,19,false)*HLOOKUP($K1265,'Type Chart'!$C$2:$U$20,19,false)</f>
        <v>0.5</v>
      </c>
      <c r="AM1265" s="964" t="s">
        <v>522</v>
      </c>
      <c r="AN1265" s="965"/>
      <c r="AO1265" s="966" t="s">
        <v>524</v>
      </c>
      <c r="AP1265" s="936"/>
      <c r="AQ1265" s="1245"/>
      <c r="AR1265" s="1245"/>
      <c r="AS1265" s="936"/>
    </row>
    <row r="1266" ht="15.75" customHeight="1">
      <c r="A1266" s="1099"/>
      <c r="B1266" s="948" t="s">
        <v>525</v>
      </c>
      <c r="C1266" s="1197" t="s">
        <v>526</v>
      </c>
      <c r="D1266" s="1197" t="s">
        <v>526</v>
      </c>
      <c r="E1266" s="1147" t="s">
        <v>526</v>
      </c>
      <c r="F1266" s="940"/>
      <c r="G1266" s="953"/>
      <c r="H1266" s="969"/>
      <c r="I1266" s="998" t="s">
        <v>4367</v>
      </c>
      <c r="J1266" s="957" t="s">
        <v>209</v>
      </c>
      <c r="K1266" s="958" t="s">
        <v>178</v>
      </c>
      <c r="L1266" s="959">
        <v>60.0</v>
      </c>
      <c r="M1266" s="960">
        <v>62.0</v>
      </c>
      <c r="N1266" s="960">
        <v>63.0</v>
      </c>
      <c r="O1266" s="960">
        <v>80.0</v>
      </c>
      <c r="P1266" s="960">
        <v>80.0</v>
      </c>
      <c r="Q1266" s="960">
        <v>60.0</v>
      </c>
      <c r="R1266" s="960">
        <v>156.0</v>
      </c>
      <c r="S1266" s="960">
        <v>219.0</v>
      </c>
      <c r="T1266" s="960">
        <v>240.0</v>
      </c>
      <c r="U1266" s="960">
        <f t="array" ref="U1266">HLOOKUP($J1266,'Type Chart'!$C$2:$T$20,2,false)*HLOOKUP($K1266,'Type Chart'!$C$2:$U$20,2,false)</f>
        <v>1</v>
      </c>
      <c r="V1266" s="960">
        <f t="array" ref="V1266">HLOOKUP($J1266,'Type Chart'!$C$2:$T$20,3,false)*HLOOKUP($K1266,'Type Chart'!$C$2:$U$20,3,false)</f>
        <v>0.5</v>
      </c>
      <c r="W1266" s="960">
        <f t="array" ref="W1266">HLOOKUP($J1266,'Type Chart'!$C$2:$T$20,4,false)*HLOOKUP($K1266,'Type Chart'!$C$2:$U$20,4,false)</f>
        <v>2</v>
      </c>
      <c r="X1266" s="960">
        <f t="array" ref="X1266">HLOOKUP($J1266,'Type Chart'!$C$2:$T$20,5,false)*HLOOKUP($K1266,'Type Chart'!$C$2:$U$20,5,false)</f>
        <v>1</v>
      </c>
      <c r="Y1266" s="960">
        <f t="array" ref="Y1266">HLOOKUP($J1266,'Type Chart'!$C$2:$T$20,6,false)*HLOOKUP($K1266,'Type Chart'!$C$2:$U$20,6,false)</f>
        <v>1</v>
      </c>
      <c r="Z1266" s="960">
        <f t="array" ref="Z1266">HLOOKUP($J1266,'Type Chart'!$C$2:$T$20,7,false)*HLOOKUP($K1266,'Type Chart'!$C$2:$U$20,7,false)</f>
        <v>1</v>
      </c>
      <c r="AA1266" s="960">
        <f t="array" ref="AA1266">HLOOKUP($J1266,'Type Chart'!$C$2:$T$20,8,false)*HLOOKUP($K1266,'Type Chart'!$C$2:$U$20,8,false)</f>
        <v>1</v>
      </c>
      <c r="AB1266" s="960">
        <f t="array" ref="AB1266">HLOOKUP($J1266,'Type Chart'!$C$2:$T$20,9,false)*HLOOKUP($K1266,'Type Chart'!$C$2:$U$20,9,false)</f>
        <v>1</v>
      </c>
      <c r="AC1266" s="960">
        <f t="array" ref="AC1266">HLOOKUP($J1266,'Type Chart'!$C$2:$T$20,10,false)*HLOOKUP($K1266,'Type Chart'!$C$2:$U$20,10,false)</f>
        <v>1</v>
      </c>
      <c r="AD1266" s="960">
        <f t="array" ref="AD1266">HLOOKUP($J1266,'Type Chart'!$C$2:$T$20,11,false)*HLOOKUP($K1266,'Type Chart'!$C$2:$U$20,11,false)</f>
        <v>2</v>
      </c>
      <c r="AE1266" s="960">
        <f t="array" ref="AE1266">HLOOKUP($J1266,'Type Chart'!$C$2:$T$20,12,false)*HLOOKUP($K1266,'Type Chart'!$C$2:$U$20,12,false)</f>
        <v>0.5</v>
      </c>
      <c r="AF1266" s="960">
        <f t="array" ref="AF1266">HLOOKUP($J1266,'Type Chart'!$C$2:$T$20,13,false)*HLOOKUP($K1266,'Type Chart'!$C$2:$U$20,13,false)</f>
        <v>0.25</v>
      </c>
      <c r="AG1266" s="960">
        <f t="array" ref="AG1266">HLOOKUP($J1266,'Type Chart'!$C$2:$T$20,14,false)*HLOOKUP($K1266,'Type Chart'!$C$2:$U$20,14,false)</f>
        <v>0.5</v>
      </c>
      <c r="AH1266" s="960">
        <f t="array" ref="AH1266">HLOOKUP($J1266,'Type Chart'!$C$2:$T$20,15,false)*HLOOKUP($K1266,'Type Chart'!$C$2:$U$20,15,false)</f>
        <v>2</v>
      </c>
      <c r="AI1266" s="960">
        <f t="array" ref="AI1266">HLOOKUP($J1266,'Type Chart'!$C$2:$T$20,16,false)*HLOOKUP($K1266,'Type Chart'!$C$2:$U$20,16,false)</f>
        <v>2</v>
      </c>
      <c r="AJ1266" s="960">
        <f t="array" ref="AJ1266">HLOOKUP($J1266,'Type Chart'!$C$2:$T$20,17,false)*HLOOKUP($K1266,'Type Chart'!$C$2:$U$20,17,false)</f>
        <v>1</v>
      </c>
      <c r="AK1266" s="960">
        <f t="array" ref="AK1266">HLOOKUP($J1266,'Type Chart'!$C$2:$T$20,18,false)*HLOOKUP($K1266,'Type Chart'!$C$2:$U$20,18,false)</f>
        <v>1</v>
      </c>
      <c r="AL1266" s="960">
        <f t="array" ref="AL1266">HLOOKUP($J1266,'Type Chart'!$C$2:$T$20,19,false)*HLOOKUP($K1266,'Type Chart'!$C$2:$U$20,19,false)</f>
        <v>0.5</v>
      </c>
      <c r="AM1266" s="964" t="s">
        <v>522</v>
      </c>
      <c r="AN1266" s="965"/>
      <c r="AO1266" s="966" t="s">
        <v>524</v>
      </c>
      <c r="AP1266" s="936"/>
      <c r="AQ1266" s="1245"/>
      <c r="AR1266" s="1245"/>
      <c r="AS1266" s="936"/>
    </row>
    <row r="1267" ht="15.75" customHeight="1">
      <c r="A1267" s="1099"/>
      <c r="B1267" s="948" t="s">
        <v>610</v>
      </c>
      <c r="C1267" s="1197" t="s">
        <v>611</v>
      </c>
      <c r="D1267" s="1197" t="s">
        <v>611</v>
      </c>
      <c r="E1267" s="1147" t="s">
        <v>611</v>
      </c>
      <c r="F1267" s="940"/>
      <c r="G1267" s="953"/>
      <c r="H1267" s="969"/>
      <c r="I1267" s="998" t="s">
        <v>138</v>
      </c>
      <c r="J1267" s="957" t="s">
        <v>209</v>
      </c>
      <c r="K1267" s="958" t="s">
        <v>178</v>
      </c>
      <c r="L1267" s="959">
        <v>80.0</v>
      </c>
      <c r="M1267" s="960">
        <v>82.0</v>
      </c>
      <c r="N1267" s="960">
        <v>83.0</v>
      </c>
      <c r="O1267" s="960">
        <v>100.0</v>
      </c>
      <c r="P1267" s="960">
        <v>100.0</v>
      </c>
      <c r="Q1267" s="960">
        <v>80.0</v>
      </c>
      <c r="R1267" s="960">
        <v>196.0</v>
      </c>
      <c r="S1267" s="960">
        <v>259.0</v>
      </c>
      <c r="T1267" s="960">
        <v>284.0</v>
      </c>
      <c r="U1267" s="960">
        <f t="array" ref="U1267">HLOOKUP($J1267,'Type Chart'!$C$2:$T$20,2,false)*HLOOKUP($K1267,'Type Chart'!$C$2:$U$20,2,false)</f>
        <v>1</v>
      </c>
      <c r="V1267" s="960">
        <f t="array" ref="V1267">HLOOKUP($J1267,'Type Chart'!$C$2:$T$20,3,false)*HLOOKUP($K1267,'Type Chart'!$C$2:$U$20,3,false)</f>
        <v>0.5</v>
      </c>
      <c r="W1267" s="960">
        <f t="array" ref="W1267">HLOOKUP($J1267,'Type Chart'!$C$2:$T$20,4,false)*HLOOKUP($K1267,'Type Chart'!$C$2:$U$20,4,false)</f>
        <v>2</v>
      </c>
      <c r="X1267" s="960">
        <f t="array" ref="X1267">HLOOKUP($J1267,'Type Chart'!$C$2:$T$20,5,false)*HLOOKUP($K1267,'Type Chart'!$C$2:$U$20,5,false)</f>
        <v>1</v>
      </c>
      <c r="Y1267" s="960">
        <f t="array" ref="Y1267">HLOOKUP($J1267,'Type Chart'!$C$2:$T$20,6,false)*HLOOKUP($K1267,'Type Chart'!$C$2:$U$20,6,false)</f>
        <v>1</v>
      </c>
      <c r="Z1267" s="960">
        <f t="array" ref="Z1267">HLOOKUP($J1267,'Type Chart'!$C$2:$T$20,7,false)*HLOOKUP($K1267,'Type Chart'!$C$2:$U$20,7,false)</f>
        <v>1</v>
      </c>
      <c r="AA1267" s="960">
        <f t="array" ref="AA1267">HLOOKUP($J1267,'Type Chart'!$C$2:$T$20,8,false)*HLOOKUP($K1267,'Type Chart'!$C$2:$U$20,8,false)</f>
        <v>1</v>
      </c>
      <c r="AB1267" s="960">
        <f t="array" ref="AB1267">HLOOKUP($J1267,'Type Chart'!$C$2:$T$20,9,false)*HLOOKUP($K1267,'Type Chart'!$C$2:$U$20,9,false)</f>
        <v>1</v>
      </c>
      <c r="AC1267" s="960">
        <f t="array" ref="AC1267">HLOOKUP($J1267,'Type Chart'!$C$2:$T$20,10,false)*HLOOKUP($K1267,'Type Chart'!$C$2:$U$20,10,false)</f>
        <v>1</v>
      </c>
      <c r="AD1267" s="960">
        <f t="array" ref="AD1267">HLOOKUP($J1267,'Type Chart'!$C$2:$T$20,11,false)*HLOOKUP($K1267,'Type Chart'!$C$2:$U$20,11,false)</f>
        <v>2</v>
      </c>
      <c r="AE1267" s="960">
        <f t="array" ref="AE1267">HLOOKUP($J1267,'Type Chart'!$C$2:$T$20,12,false)*HLOOKUP($K1267,'Type Chart'!$C$2:$U$20,12,false)</f>
        <v>0.5</v>
      </c>
      <c r="AF1267" s="960">
        <f t="array" ref="AF1267">HLOOKUP($J1267,'Type Chart'!$C$2:$T$20,13,false)*HLOOKUP($K1267,'Type Chart'!$C$2:$U$20,13,false)</f>
        <v>0.25</v>
      </c>
      <c r="AG1267" s="960">
        <f t="array" ref="AG1267">HLOOKUP($J1267,'Type Chart'!$C$2:$T$20,14,false)*HLOOKUP($K1267,'Type Chart'!$C$2:$U$20,14,false)</f>
        <v>0.5</v>
      </c>
      <c r="AH1267" s="960">
        <f t="array" ref="AH1267">HLOOKUP($J1267,'Type Chart'!$C$2:$T$20,15,false)*HLOOKUP($K1267,'Type Chart'!$C$2:$U$20,15,false)</f>
        <v>2</v>
      </c>
      <c r="AI1267" s="960">
        <f t="array" ref="AI1267">HLOOKUP($J1267,'Type Chart'!$C$2:$T$20,16,false)*HLOOKUP($K1267,'Type Chart'!$C$2:$U$20,16,false)</f>
        <v>2</v>
      </c>
      <c r="AJ1267" s="960">
        <f t="array" ref="AJ1267">HLOOKUP($J1267,'Type Chart'!$C$2:$T$20,17,false)*HLOOKUP($K1267,'Type Chart'!$C$2:$U$20,17,false)</f>
        <v>1</v>
      </c>
      <c r="AK1267" s="960">
        <f t="array" ref="AK1267">HLOOKUP($J1267,'Type Chart'!$C$2:$T$20,18,false)*HLOOKUP($K1267,'Type Chart'!$C$2:$U$20,18,false)</f>
        <v>1</v>
      </c>
      <c r="AL1267" s="960">
        <f t="array" ref="AL1267">HLOOKUP($J1267,'Type Chart'!$C$2:$T$20,19,false)*HLOOKUP($K1267,'Type Chart'!$C$2:$U$20,19,false)</f>
        <v>0.5</v>
      </c>
      <c r="AM1267" s="964" t="s">
        <v>522</v>
      </c>
      <c r="AN1267" s="965"/>
      <c r="AO1267" s="966" t="s">
        <v>524</v>
      </c>
      <c r="AP1267" s="936"/>
      <c r="AQ1267" s="1245"/>
      <c r="AR1267" s="1245"/>
      <c r="AS1267" s="936"/>
    </row>
    <row r="1268" ht="15.75" customHeight="1">
      <c r="A1268" s="1099"/>
      <c r="B1268" s="948" t="s">
        <v>683</v>
      </c>
      <c r="C1268" s="1197" t="s">
        <v>684</v>
      </c>
      <c r="D1268" s="1197" t="s">
        <v>684</v>
      </c>
      <c r="E1268" s="1147" t="s">
        <v>684</v>
      </c>
      <c r="F1268" s="940"/>
      <c r="G1268" s="953"/>
      <c r="H1268" s="969"/>
      <c r="I1268" s="998" t="s">
        <v>4368</v>
      </c>
      <c r="J1268" s="957" t="s">
        <v>209</v>
      </c>
      <c r="K1268" s="958" t="s">
        <v>178</v>
      </c>
      <c r="L1268" s="959">
        <v>80.0</v>
      </c>
      <c r="M1268" s="960">
        <v>100.0</v>
      </c>
      <c r="N1268" s="960">
        <v>123.0</v>
      </c>
      <c r="O1268" s="960">
        <v>122.0</v>
      </c>
      <c r="P1268" s="960">
        <v>120.0</v>
      </c>
      <c r="Q1268" s="960">
        <v>80.0</v>
      </c>
      <c r="R1268" s="960">
        <v>196.0</v>
      </c>
      <c r="S1268" s="960">
        <v>259.0</v>
      </c>
      <c r="T1268" s="960">
        <v>284.0</v>
      </c>
      <c r="U1268" s="960">
        <f t="array" ref="U1268">HLOOKUP($J1268,'Type Chart'!$C$2:$T$20,2,false)*HLOOKUP($K1268,'Type Chart'!$C$2:$U$20,2,false)</f>
        <v>1</v>
      </c>
      <c r="V1268" s="960">
        <f t="array" ref="V1268">HLOOKUP($J1268,'Type Chart'!$C$2:$T$20,3,false)*HLOOKUP($K1268,'Type Chart'!$C$2:$U$20,3,false)</f>
        <v>0.5</v>
      </c>
      <c r="W1268" s="960">
        <f t="array" ref="W1268">HLOOKUP($J1268,'Type Chart'!$C$2:$T$20,4,false)*HLOOKUP($K1268,'Type Chart'!$C$2:$U$20,4,false)</f>
        <v>2</v>
      </c>
      <c r="X1268" s="960">
        <f t="array" ref="X1268">HLOOKUP($J1268,'Type Chart'!$C$2:$T$20,5,false)*HLOOKUP($K1268,'Type Chart'!$C$2:$U$20,5,false)</f>
        <v>1</v>
      </c>
      <c r="Y1268" s="960">
        <f t="array" ref="Y1268">HLOOKUP($J1268,'Type Chart'!$C$2:$T$20,6,false)*HLOOKUP($K1268,'Type Chart'!$C$2:$U$20,6,false)</f>
        <v>1</v>
      </c>
      <c r="Z1268" s="960">
        <f t="array" ref="Z1268">HLOOKUP($J1268,'Type Chart'!$C$2:$T$20,7,false)*HLOOKUP($K1268,'Type Chart'!$C$2:$U$20,7,false)</f>
        <v>1</v>
      </c>
      <c r="AA1268" s="960">
        <f t="array" ref="AA1268">HLOOKUP($J1268,'Type Chart'!$C$2:$T$20,8,false)*HLOOKUP($K1268,'Type Chart'!$C$2:$U$20,8,false)</f>
        <v>1</v>
      </c>
      <c r="AB1268" s="960">
        <f t="array" ref="AB1268">HLOOKUP($J1268,'Type Chart'!$C$2:$T$20,9,false)*HLOOKUP($K1268,'Type Chart'!$C$2:$U$20,9,false)</f>
        <v>1</v>
      </c>
      <c r="AC1268" s="960">
        <f t="array" ref="AC1268">HLOOKUP($J1268,'Type Chart'!$C$2:$T$20,10,false)*HLOOKUP($K1268,'Type Chart'!$C$2:$U$20,10,false)</f>
        <v>1</v>
      </c>
      <c r="AD1268" s="960">
        <f t="array" ref="AD1268">HLOOKUP($J1268,'Type Chart'!$C$2:$T$20,11,false)*HLOOKUP($K1268,'Type Chart'!$C$2:$U$20,11,false)</f>
        <v>2</v>
      </c>
      <c r="AE1268" s="960">
        <f t="array" ref="AE1268">HLOOKUP($J1268,'Type Chart'!$C$2:$T$20,12,false)*HLOOKUP($K1268,'Type Chart'!$C$2:$U$20,12,false)</f>
        <v>0.5</v>
      </c>
      <c r="AF1268" s="960">
        <f t="array" ref="AF1268">HLOOKUP($J1268,'Type Chart'!$C$2:$T$20,13,false)*HLOOKUP($K1268,'Type Chart'!$C$2:$U$20,13,false)</f>
        <v>0.25</v>
      </c>
      <c r="AG1268" s="960">
        <f t="array" ref="AG1268">HLOOKUP($J1268,'Type Chart'!$C$2:$T$20,14,false)*HLOOKUP($K1268,'Type Chart'!$C$2:$U$20,14,false)</f>
        <v>0.5</v>
      </c>
      <c r="AH1268" s="960">
        <f t="array" ref="AH1268">HLOOKUP($J1268,'Type Chart'!$C$2:$T$20,15,false)*HLOOKUP($K1268,'Type Chart'!$C$2:$U$20,15,false)</f>
        <v>2</v>
      </c>
      <c r="AI1268" s="960">
        <f t="array" ref="AI1268">HLOOKUP($J1268,'Type Chart'!$C$2:$T$20,16,false)*HLOOKUP($K1268,'Type Chart'!$C$2:$U$20,16,false)</f>
        <v>2</v>
      </c>
      <c r="AJ1268" s="960">
        <f t="array" ref="AJ1268">HLOOKUP($J1268,'Type Chart'!$C$2:$T$20,17,false)*HLOOKUP($K1268,'Type Chart'!$C$2:$U$20,17,false)</f>
        <v>1</v>
      </c>
      <c r="AK1268" s="960">
        <f t="array" ref="AK1268">HLOOKUP($J1268,'Type Chart'!$C$2:$T$20,18,false)*HLOOKUP($K1268,'Type Chart'!$C$2:$U$20,18,false)</f>
        <v>1</v>
      </c>
      <c r="AL1268" s="960">
        <f t="array" ref="AL1268">HLOOKUP($J1268,'Type Chart'!$C$2:$T$20,19,false)*HLOOKUP($K1268,'Type Chart'!$C$2:$U$20,19,false)</f>
        <v>0.5</v>
      </c>
      <c r="AM1268" s="964" t="s">
        <v>760</v>
      </c>
      <c r="AN1268" s="965"/>
      <c r="AO1268" s="966"/>
      <c r="AP1268" s="936"/>
      <c r="AQ1268" s="1245"/>
      <c r="AR1268" s="1245"/>
      <c r="AS1268" s="936"/>
    </row>
    <row r="1269" ht="15.75" customHeight="1">
      <c r="A1269" s="1099"/>
      <c r="B1269" s="948" t="s">
        <v>762</v>
      </c>
      <c r="C1269" s="1197" t="s">
        <v>763</v>
      </c>
      <c r="D1269" s="1197" t="s">
        <v>763</v>
      </c>
      <c r="E1269" s="1147" t="s">
        <v>763</v>
      </c>
      <c r="F1269" s="940"/>
      <c r="G1269" s="953"/>
      <c r="H1269" s="969"/>
      <c r="I1269" s="998" t="s">
        <v>4369</v>
      </c>
      <c r="J1269" s="982" t="s">
        <v>150</v>
      </c>
      <c r="K1269" s="984" t="s">
        <v>216</v>
      </c>
      <c r="L1269" s="959">
        <v>39.0</v>
      </c>
      <c r="M1269" s="960">
        <v>52.0</v>
      </c>
      <c r="N1269" s="960">
        <v>43.0</v>
      </c>
      <c r="O1269" s="960">
        <v>60.0</v>
      </c>
      <c r="P1269" s="960">
        <v>50.0</v>
      </c>
      <c r="Q1269" s="960">
        <v>65.0</v>
      </c>
      <c r="R1269" s="960">
        <v>166.0</v>
      </c>
      <c r="S1269" s="960">
        <v>229.0</v>
      </c>
      <c r="T1269" s="960">
        <v>251.0</v>
      </c>
      <c r="U1269" s="960">
        <f t="array" ref="U1269">HLOOKUP($J1269,'Type Chart'!$C$2:$T$20,2,false)*HLOOKUP($K1269,'Type Chart'!$C$2:$U$20,2,false)</f>
        <v>1</v>
      </c>
      <c r="V1269" s="960">
        <f t="array" ref="V1269">HLOOKUP($J1269,'Type Chart'!$C$2:$T$20,3,false)*HLOOKUP($K1269,'Type Chart'!$C$2:$U$20,3,false)</f>
        <v>1</v>
      </c>
      <c r="W1269" s="960">
        <f t="array" ref="W1269">HLOOKUP($J1269,'Type Chart'!$C$2:$T$20,4,false)*HLOOKUP($K1269,'Type Chart'!$C$2:$U$20,4,false)</f>
        <v>1</v>
      </c>
      <c r="X1269" s="960">
        <f t="array" ref="X1269">HLOOKUP($J1269,'Type Chart'!$C$2:$T$20,5,false)*HLOOKUP($K1269,'Type Chart'!$C$2:$U$20,5,false)</f>
        <v>1</v>
      </c>
      <c r="Y1269" s="960">
        <f t="array" ref="Y1269">HLOOKUP($J1269,'Type Chart'!$C$2:$T$20,6,false)*HLOOKUP($K1269,'Type Chart'!$C$2:$U$20,6,false)</f>
        <v>2</v>
      </c>
      <c r="Z1269" s="960">
        <f t="array" ref="Z1269">HLOOKUP($J1269,'Type Chart'!$C$2:$T$20,7,false)*HLOOKUP($K1269,'Type Chart'!$C$2:$U$20,7,false)</f>
        <v>2</v>
      </c>
      <c r="AA1269" s="960">
        <f t="array" ref="AA1269">HLOOKUP($J1269,'Type Chart'!$C$2:$T$20,8,false)*HLOOKUP($K1269,'Type Chart'!$C$2:$U$20,8,false)</f>
        <v>0.5</v>
      </c>
      <c r="AB1269" s="960">
        <f t="array" ref="AB1269">HLOOKUP($J1269,'Type Chart'!$C$2:$T$20,9,false)*HLOOKUP($K1269,'Type Chart'!$C$2:$U$20,9,false)</f>
        <v>1</v>
      </c>
      <c r="AC1269" s="960">
        <f t="array" ref="AC1269">HLOOKUP($J1269,'Type Chart'!$C$2:$T$20,10,false)*HLOOKUP($K1269,'Type Chart'!$C$2:$U$20,10,false)</f>
        <v>0.5</v>
      </c>
      <c r="AD1269" s="960">
        <f t="array" ref="AD1269">HLOOKUP($J1269,'Type Chart'!$C$2:$T$20,11,false)*HLOOKUP($K1269,'Type Chart'!$C$2:$U$20,11,false)</f>
        <v>0.5</v>
      </c>
      <c r="AE1269" s="960">
        <f t="array" ref="AE1269">HLOOKUP($J1269,'Type Chart'!$C$2:$T$20,12,false)*HLOOKUP($K1269,'Type Chart'!$C$2:$U$20,12,false)</f>
        <v>2</v>
      </c>
      <c r="AF1269" s="960">
        <f t="array" ref="AF1269">HLOOKUP($J1269,'Type Chart'!$C$2:$T$20,13,false)*HLOOKUP($K1269,'Type Chart'!$C$2:$U$20,13,false)</f>
        <v>0.5</v>
      </c>
      <c r="AG1269" s="960">
        <f t="array" ref="AG1269">HLOOKUP($J1269,'Type Chart'!$C$2:$T$20,14,false)*HLOOKUP($K1269,'Type Chart'!$C$2:$U$20,14,false)</f>
        <v>1</v>
      </c>
      <c r="AH1269" s="960">
        <f t="array" ref="AH1269">HLOOKUP($J1269,'Type Chart'!$C$2:$T$20,15,false)*HLOOKUP($K1269,'Type Chart'!$C$2:$U$20,15,false)</f>
        <v>1</v>
      </c>
      <c r="AI1269" s="960">
        <f t="array" ref="AI1269">HLOOKUP($J1269,'Type Chart'!$C$2:$T$20,16,false)*HLOOKUP($K1269,'Type Chart'!$C$2:$U$20,16,false)</f>
        <v>0.5</v>
      </c>
      <c r="AJ1269" s="960">
        <f t="array" ref="AJ1269">HLOOKUP($J1269,'Type Chart'!$C$2:$T$20,17,false)*HLOOKUP($K1269,'Type Chart'!$C$2:$U$20,17,false)</f>
        <v>1</v>
      </c>
      <c r="AK1269" s="960">
        <f t="array" ref="AK1269">HLOOKUP($J1269,'Type Chart'!$C$2:$T$20,18,false)*HLOOKUP($K1269,'Type Chart'!$C$2:$U$20,18,false)</f>
        <v>1</v>
      </c>
      <c r="AL1269" s="960">
        <f t="array" ref="AL1269">HLOOKUP($J1269,'Type Chart'!$C$2:$T$20,19,false)*HLOOKUP($K1269,'Type Chart'!$C$2:$U$20,19,false)</f>
        <v>0.5</v>
      </c>
      <c r="AM1269" s="964" t="s">
        <v>830</v>
      </c>
      <c r="AN1269" s="965"/>
      <c r="AO1269" s="966" t="s">
        <v>831</v>
      </c>
      <c r="AP1269" s="936"/>
      <c r="AQ1269" s="1245"/>
      <c r="AR1269" s="1245"/>
      <c r="AS1269" s="936"/>
    </row>
    <row r="1270" ht="15.75" customHeight="1">
      <c r="A1270" s="1099"/>
      <c r="B1270" s="948" t="s">
        <v>833</v>
      </c>
      <c r="C1270" s="1197" t="s">
        <v>834</v>
      </c>
      <c r="D1270" s="1197" t="s">
        <v>834</v>
      </c>
      <c r="E1270" s="1147" t="s">
        <v>834</v>
      </c>
      <c r="F1270" s="940"/>
      <c r="G1270" s="953"/>
      <c r="H1270" s="969"/>
      <c r="I1270" s="998" t="s">
        <v>4370</v>
      </c>
      <c r="J1270" s="982" t="s">
        <v>150</v>
      </c>
      <c r="K1270" s="984" t="s">
        <v>216</v>
      </c>
      <c r="L1270" s="959">
        <v>58.0</v>
      </c>
      <c r="M1270" s="960">
        <v>64.0</v>
      </c>
      <c r="N1270" s="960">
        <v>58.0</v>
      </c>
      <c r="O1270" s="960">
        <v>80.0</v>
      </c>
      <c r="P1270" s="960">
        <v>65.0</v>
      </c>
      <c r="Q1270" s="960">
        <v>80.0</v>
      </c>
      <c r="R1270" s="960">
        <v>196.0</v>
      </c>
      <c r="S1270" s="960">
        <v>259.0</v>
      </c>
      <c r="T1270" s="960">
        <v>284.0</v>
      </c>
      <c r="U1270" s="960">
        <f t="array" ref="U1270">HLOOKUP($J1270,'Type Chart'!$C$2:$T$20,2,false)*HLOOKUP($K1270,'Type Chart'!$C$2:$U$20,2,false)</f>
        <v>1</v>
      </c>
      <c r="V1270" s="960">
        <f t="array" ref="V1270">HLOOKUP($J1270,'Type Chart'!$C$2:$T$20,3,false)*HLOOKUP($K1270,'Type Chart'!$C$2:$U$20,3,false)</f>
        <v>1</v>
      </c>
      <c r="W1270" s="960">
        <f t="array" ref="W1270">HLOOKUP($J1270,'Type Chart'!$C$2:$T$20,4,false)*HLOOKUP($K1270,'Type Chart'!$C$2:$U$20,4,false)</f>
        <v>1</v>
      </c>
      <c r="X1270" s="960">
        <f t="array" ref="X1270">HLOOKUP($J1270,'Type Chart'!$C$2:$T$20,5,false)*HLOOKUP($K1270,'Type Chart'!$C$2:$U$20,5,false)</f>
        <v>1</v>
      </c>
      <c r="Y1270" s="960">
        <f t="array" ref="Y1270">HLOOKUP($J1270,'Type Chart'!$C$2:$T$20,6,false)*HLOOKUP($K1270,'Type Chart'!$C$2:$U$20,6,false)</f>
        <v>2</v>
      </c>
      <c r="Z1270" s="960">
        <f t="array" ref="Z1270">HLOOKUP($J1270,'Type Chart'!$C$2:$T$20,7,false)*HLOOKUP($K1270,'Type Chart'!$C$2:$U$20,7,false)</f>
        <v>2</v>
      </c>
      <c r="AA1270" s="960">
        <f t="array" ref="AA1270">HLOOKUP($J1270,'Type Chart'!$C$2:$T$20,8,false)*HLOOKUP($K1270,'Type Chart'!$C$2:$U$20,8,false)</f>
        <v>0.5</v>
      </c>
      <c r="AB1270" s="960">
        <f t="array" ref="AB1270">HLOOKUP($J1270,'Type Chart'!$C$2:$T$20,9,false)*HLOOKUP($K1270,'Type Chart'!$C$2:$U$20,9,false)</f>
        <v>1</v>
      </c>
      <c r="AC1270" s="960">
        <f t="array" ref="AC1270">HLOOKUP($J1270,'Type Chart'!$C$2:$T$20,10,false)*HLOOKUP($K1270,'Type Chart'!$C$2:$U$20,10,false)</f>
        <v>0.5</v>
      </c>
      <c r="AD1270" s="960">
        <f t="array" ref="AD1270">HLOOKUP($J1270,'Type Chart'!$C$2:$T$20,11,false)*HLOOKUP($K1270,'Type Chart'!$C$2:$U$20,11,false)</f>
        <v>0.5</v>
      </c>
      <c r="AE1270" s="960">
        <f t="array" ref="AE1270">HLOOKUP($J1270,'Type Chart'!$C$2:$T$20,12,false)*HLOOKUP($K1270,'Type Chart'!$C$2:$U$20,12,false)</f>
        <v>2</v>
      </c>
      <c r="AF1270" s="960">
        <f t="array" ref="AF1270">HLOOKUP($J1270,'Type Chart'!$C$2:$T$20,13,false)*HLOOKUP($K1270,'Type Chart'!$C$2:$U$20,13,false)</f>
        <v>0.5</v>
      </c>
      <c r="AG1270" s="960">
        <f t="array" ref="AG1270">HLOOKUP($J1270,'Type Chart'!$C$2:$T$20,14,false)*HLOOKUP($K1270,'Type Chart'!$C$2:$U$20,14,false)</f>
        <v>1</v>
      </c>
      <c r="AH1270" s="960">
        <f t="array" ref="AH1270">HLOOKUP($J1270,'Type Chart'!$C$2:$T$20,15,false)*HLOOKUP($K1270,'Type Chart'!$C$2:$U$20,15,false)</f>
        <v>1</v>
      </c>
      <c r="AI1270" s="960">
        <f t="array" ref="AI1270">HLOOKUP($J1270,'Type Chart'!$C$2:$T$20,16,false)*HLOOKUP($K1270,'Type Chart'!$C$2:$U$20,16,false)</f>
        <v>0.5</v>
      </c>
      <c r="AJ1270" s="960">
        <f t="array" ref="AJ1270">HLOOKUP($J1270,'Type Chart'!$C$2:$T$20,17,false)*HLOOKUP($K1270,'Type Chart'!$C$2:$U$20,17,false)</f>
        <v>1</v>
      </c>
      <c r="AK1270" s="960">
        <f t="array" ref="AK1270">HLOOKUP($J1270,'Type Chart'!$C$2:$T$20,18,false)*HLOOKUP($K1270,'Type Chart'!$C$2:$U$20,18,false)</f>
        <v>1</v>
      </c>
      <c r="AL1270" s="960">
        <f t="array" ref="AL1270">HLOOKUP($J1270,'Type Chart'!$C$2:$T$20,19,false)*HLOOKUP($K1270,'Type Chart'!$C$2:$U$20,19,false)</f>
        <v>0.5</v>
      </c>
      <c r="AM1270" s="964" t="s">
        <v>830</v>
      </c>
      <c r="AN1270" s="965"/>
      <c r="AO1270" s="966" t="s">
        <v>831</v>
      </c>
      <c r="AP1270" s="936"/>
      <c r="AQ1270" s="1245"/>
      <c r="AR1270" s="1245"/>
      <c r="AS1270" s="936"/>
    </row>
    <row r="1271" ht="15.75" customHeight="1">
      <c r="A1271" s="1099"/>
      <c r="B1271" s="948" t="s">
        <v>892</v>
      </c>
      <c r="C1271" s="1197" t="s">
        <v>893</v>
      </c>
      <c r="D1271" s="1197" t="s">
        <v>893</v>
      </c>
      <c r="E1271" s="1147" t="s">
        <v>893</v>
      </c>
      <c r="F1271" s="940"/>
      <c r="G1271" s="953"/>
      <c r="H1271" s="969"/>
      <c r="I1271" s="998" t="s">
        <v>4371</v>
      </c>
      <c r="J1271" s="982" t="s">
        <v>150</v>
      </c>
      <c r="K1271" s="1001" t="s">
        <v>128</v>
      </c>
      <c r="L1271" s="959">
        <v>78.0</v>
      </c>
      <c r="M1271" s="960">
        <v>84.0</v>
      </c>
      <c r="N1271" s="960">
        <v>78.0</v>
      </c>
      <c r="O1271" s="960">
        <v>109.0</v>
      </c>
      <c r="P1271" s="960">
        <v>85.0</v>
      </c>
      <c r="Q1271" s="960">
        <v>100.0</v>
      </c>
      <c r="R1271" s="960">
        <v>236.0</v>
      </c>
      <c r="S1271" s="960">
        <v>299.0</v>
      </c>
      <c r="T1271" s="960">
        <v>328.0</v>
      </c>
      <c r="U1271" s="960">
        <f t="array" ref="U1271">HLOOKUP($J1271,'Type Chart'!$C$2:$T$20,2,false)*HLOOKUP($K1271,'Type Chart'!$C$2:$U$20,2,false)</f>
        <v>1</v>
      </c>
      <c r="V1271" s="960">
        <f t="array" ref="V1271">HLOOKUP($J1271,'Type Chart'!$C$2:$T$20,3,false)*HLOOKUP($K1271,'Type Chart'!$C$2:$U$20,3,false)</f>
        <v>0.5</v>
      </c>
      <c r="W1271" s="960">
        <f t="array" ref="W1271">HLOOKUP($J1271,'Type Chart'!$C$2:$T$20,4,false)*HLOOKUP($K1271,'Type Chart'!$C$2:$U$20,4,false)</f>
        <v>1</v>
      </c>
      <c r="X1271" s="960">
        <f t="array" ref="X1271">HLOOKUP($J1271,'Type Chart'!$C$2:$T$20,5,false)*HLOOKUP($K1271,'Type Chart'!$C$2:$U$20,5,false)</f>
        <v>1</v>
      </c>
      <c r="Y1271" s="960">
        <f t="array" ref="Y1271">HLOOKUP($J1271,'Type Chart'!$C$2:$T$20,6,false)*HLOOKUP($K1271,'Type Chart'!$C$2:$U$20,6,false)</f>
        <v>0</v>
      </c>
      <c r="Z1271" s="960">
        <f t="array" ref="Z1271">HLOOKUP($J1271,'Type Chart'!$C$2:$T$20,7,false)*HLOOKUP($K1271,'Type Chart'!$C$2:$U$20,7,false)</f>
        <v>4</v>
      </c>
      <c r="AA1271" s="960">
        <f t="array" ref="AA1271">HLOOKUP($J1271,'Type Chart'!$C$2:$T$20,8,false)*HLOOKUP($K1271,'Type Chart'!$C$2:$U$20,8,false)</f>
        <v>0.25</v>
      </c>
      <c r="AB1271" s="960">
        <f t="array" ref="AB1271">HLOOKUP($J1271,'Type Chart'!$C$2:$T$20,9,false)*HLOOKUP($K1271,'Type Chart'!$C$2:$U$20,9,false)</f>
        <v>1</v>
      </c>
      <c r="AC1271" s="960">
        <f t="array" ref="AC1271">HLOOKUP($J1271,'Type Chart'!$C$2:$T$20,10,false)*HLOOKUP($K1271,'Type Chart'!$C$2:$U$20,10,false)</f>
        <v>0.5</v>
      </c>
      <c r="AD1271" s="960">
        <f t="array" ref="AD1271">HLOOKUP($J1271,'Type Chart'!$C$2:$T$20,11,false)*HLOOKUP($K1271,'Type Chart'!$C$2:$U$20,11,false)</f>
        <v>0.5</v>
      </c>
      <c r="AE1271" s="960">
        <f t="array" ref="AE1271">HLOOKUP($J1271,'Type Chart'!$C$2:$T$20,12,false)*HLOOKUP($K1271,'Type Chart'!$C$2:$U$20,12,false)</f>
        <v>2</v>
      </c>
      <c r="AF1271" s="960">
        <f t="array" ref="AF1271">HLOOKUP($J1271,'Type Chart'!$C$2:$T$20,13,false)*HLOOKUP($K1271,'Type Chart'!$C$2:$U$20,13,false)</f>
        <v>0.25</v>
      </c>
      <c r="AG1271" s="960">
        <f t="array" ref="AG1271">HLOOKUP($J1271,'Type Chart'!$C$2:$T$20,14,false)*HLOOKUP($K1271,'Type Chart'!$C$2:$U$20,14,false)</f>
        <v>2</v>
      </c>
      <c r="AH1271" s="960">
        <f t="array" ref="AH1271">HLOOKUP($J1271,'Type Chart'!$C$2:$T$20,15,false)*HLOOKUP($K1271,'Type Chart'!$C$2:$U$20,15,false)</f>
        <v>1</v>
      </c>
      <c r="AI1271" s="960">
        <f t="array" ref="AI1271">HLOOKUP($J1271,'Type Chart'!$C$2:$T$20,16,false)*HLOOKUP($K1271,'Type Chart'!$C$2:$U$20,16,false)</f>
        <v>1</v>
      </c>
      <c r="AJ1271" s="960">
        <f t="array" ref="AJ1271">HLOOKUP($J1271,'Type Chart'!$C$2:$T$20,17,false)*HLOOKUP($K1271,'Type Chart'!$C$2:$U$20,17,false)</f>
        <v>1</v>
      </c>
      <c r="AK1271" s="960">
        <f t="array" ref="AK1271">HLOOKUP($J1271,'Type Chart'!$C$2:$T$20,18,false)*HLOOKUP($K1271,'Type Chart'!$C$2:$U$20,18,false)</f>
        <v>1</v>
      </c>
      <c r="AL1271" s="960">
        <f t="array" ref="AL1271">HLOOKUP($J1271,'Type Chart'!$C$2:$T$20,19,false)*HLOOKUP($K1271,'Type Chart'!$C$2:$U$20,19,false)</f>
        <v>0.5</v>
      </c>
      <c r="AM1271" s="964" t="s">
        <v>830</v>
      </c>
      <c r="AN1271" s="965"/>
      <c r="AO1271" s="966" t="s">
        <v>831</v>
      </c>
      <c r="AP1271" s="936"/>
      <c r="AQ1271" s="1245"/>
      <c r="AR1271" s="1245"/>
      <c r="AS1271" s="936"/>
    </row>
    <row r="1272" ht="15.75" customHeight="1">
      <c r="A1272" s="1099"/>
      <c r="B1272" s="948" t="s">
        <v>908</v>
      </c>
      <c r="C1272" s="1197" t="s">
        <v>909</v>
      </c>
      <c r="D1272" s="1197" t="s">
        <v>910</v>
      </c>
      <c r="E1272" s="1147" t="s">
        <v>909</v>
      </c>
      <c r="F1272" s="940"/>
      <c r="G1272" s="953"/>
      <c r="H1272" s="969"/>
      <c r="I1272" s="998" t="s">
        <v>4372</v>
      </c>
      <c r="J1272" s="982" t="s">
        <v>150</v>
      </c>
      <c r="K1272" s="1006" t="s">
        <v>346</v>
      </c>
      <c r="L1272" s="959">
        <v>78.0</v>
      </c>
      <c r="M1272" s="960">
        <v>130.0</v>
      </c>
      <c r="N1272" s="960">
        <v>111.0</v>
      </c>
      <c r="O1272" s="960">
        <v>130.0</v>
      </c>
      <c r="P1272" s="960">
        <v>85.0</v>
      </c>
      <c r="Q1272" s="960">
        <v>100.0</v>
      </c>
      <c r="R1272" s="960">
        <v>236.0</v>
      </c>
      <c r="S1272" s="960">
        <v>299.0</v>
      </c>
      <c r="T1272" s="960">
        <v>328.0</v>
      </c>
      <c r="U1272" s="960">
        <f t="array" ref="U1272">HLOOKUP($J1272,'Type Chart'!$C$2:$T$20,2,false)*HLOOKUP($K1272,'Type Chart'!$C$2:$U$20,2,false)</f>
        <v>1</v>
      </c>
      <c r="V1272" s="960">
        <f t="array" ref="V1272">HLOOKUP($J1272,'Type Chart'!$C$2:$T$20,3,false)*HLOOKUP($K1272,'Type Chart'!$C$2:$U$20,3,false)</f>
        <v>1</v>
      </c>
      <c r="W1272" s="960">
        <f t="array" ref="W1272">HLOOKUP($J1272,'Type Chart'!$C$2:$T$20,4,false)*HLOOKUP($K1272,'Type Chart'!$C$2:$U$20,4,false)</f>
        <v>1</v>
      </c>
      <c r="X1272" s="960">
        <f t="array" ref="X1272">HLOOKUP($J1272,'Type Chart'!$C$2:$T$20,5,false)*HLOOKUP($K1272,'Type Chart'!$C$2:$U$20,5,false)</f>
        <v>1</v>
      </c>
      <c r="Y1272" s="960">
        <f t="array" ref="Y1272">HLOOKUP($J1272,'Type Chart'!$C$2:$T$20,6,false)*HLOOKUP($K1272,'Type Chart'!$C$2:$U$20,6,false)</f>
        <v>2</v>
      </c>
      <c r="Z1272" s="960">
        <f t="array" ref="Z1272">HLOOKUP($J1272,'Type Chart'!$C$2:$T$20,7,false)*HLOOKUP($K1272,'Type Chart'!$C$2:$U$20,7,false)</f>
        <v>2</v>
      </c>
      <c r="AA1272" s="960">
        <f t="array" ref="AA1272">HLOOKUP($J1272,'Type Chart'!$C$2:$T$20,8,false)*HLOOKUP($K1272,'Type Chart'!$C$2:$U$20,8,false)</f>
        <v>0.5</v>
      </c>
      <c r="AB1272" s="960">
        <f t="array" ref="AB1272">HLOOKUP($J1272,'Type Chart'!$C$2:$T$20,9,false)*HLOOKUP($K1272,'Type Chart'!$C$2:$U$20,9,false)</f>
        <v>1</v>
      </c>
      <c r="AC1272" s="960">
        <f t="array" ref="AC1272">HLOOKUP($J1272,'Type Chart'!$C$2:$T$20,10,false)*HLOOKUP($K1272,'Type Chart'!$C$2:$U$20,10,false)</f>
        <v>0.5</v>
      </c>
      <c r="AD1272" s="960">
        <f t="array" ref="AD1272">HLOOKUP($J1272,'Type Chart'!$C$2:$T$20,11,false)*HLOOKUP($K1272,'Type Chart'!$C$2:$U$20,11,false)</f>
        <v>0.25</v>
      </c>
      <c r="AE1272" s="960">
        <f t="array" ref="AE1272">HLOOKUP($J1272,'Type Chart'!$C$2:$T$20,12,false)*HLOOKUP($K1272,'Type Chart'!$C$2:$U$20,12,false)</f>
        <v>1</v>
      </c>
      <c r="AF1272" s="960">
        <f t="array" ref="AF1272">HLOOKUP($J1272,'Type Chart'!$C$2:$T$20,13,false)*HLOOKUP($K1272,'Type Chart'!$C$2:$U$20,13,false)</f>
        <v>0.25</v>
      </c>
      <c r="AG1272" s="960">
        <f t="array" ref="AG1272">HLOOKUP($J1272,'Type Chart'!$C$2:$T$20,14,false)*HLOOKUP($K1272,'Type Chart'!$C$2:$U$20,14,false)</f>
        <v>0.5</v>
      </c>
      <c r="AH1272" s="960">
        <f t="array" ref="AH1272">HLOOKUP($J1272,'Type Chart'!$C$2:$T$20,15,false)*HLOOKUP($K1272,'Type Chart'!$C$2:$U$20,15,false)</f>
        <v>1</v>
      </c>
      <c r="AI1272" s="960">
        <f t="array" ref="AI1272">HLOOKUP($J1272,'Type Chart'!$C$2:$T$20,16,false)*HLOOKUP($K1272,'Type Chart'!$C$2:$U$20,16,false)</f>
        <v>1</v>
      </c>
      <c r="AJ1272" s="960">
        <f t="array" ref="AJ1272">HLOOKUP($J1272,'Type Chart'!$C$2:$T$20,17,false)*HLOOKUP($K1272,'Type Chart'!$C$2:$U$20,17,false)</f>
        <v>2</v>
      </c>
      <c r="AK1272" s="960">
        <f t="array" ref="AK1272">HLOOKUP($J1272,'Type Chart'!$C$2:$T$20,18,false)*HLOOKUP($K1272,'Type Chart'!$C$2:$U$20,18,false)</f>
        <v>1</v>
      </c>
      <c r="AL1272" s="960">
        <f t="array" ref="AL1272">HLOOKUP($J1272,'Type Chart'!$C$2:$T$20,19,false)*HLOOKUP($K1272,'Type Chart'!$C$2:$U$20,19,false)</f>
        <v>1</v>
      </c>
      <c r="AM1272" s="964" t="s">
        <v>932</v>
      </c>
      <c r="AN1272" s="965"/>
      <c r="AO1272" s="966"/>
      <c r="AP1272" s="936"/>
      <c r="AQ1272" s="1245"/>
      <c r="AR1272" s="1245"/>
      <c r="AS1272" s="936"/>
    </row>
    <row r="1273" ht="15.75" customHeight="1">
      <c r="A1273" s="1099"/>
      <c r="B1273" s="948" t="s">
        <v>933</v>
      </c>
      <c r="C1273" s="1197" t="s">
        <v>934</v>
      </c>
      <c r="D1273" s="1197" t="s">
        <v>935</v>
      </c>
      <c r="E1273" s="1147" t="s">
        <v>934</v>
      </c>
      <c r="F1273" s="940"/>
      <c r="G1273" s="953"/>
      <c r="H1273" s="969"/>
      <c r="I1273" s="998" t="s">
        <v>4373</v>
      </c>
      <c r="J1273" s="982" t="s">
        <v>150</v>
      </c>
      <c r="K1273" s="1001" t="s">
        <v>128</v>
      </c>
      <c r="L1273" s="959">
        <v>78.0</v>
      </c>
      <c r="M1273" s="960">
        <v>104.0</v>
      </c>
      <c r="N1273" s="960">
        <v>78.0</v>
      </c>
      <c r="O1273" s="960">
        <v>159.0</v>
      </c>
      <c r="P1273" s="960">
        <v>115.0</v>
      </c>
      <c r="Q1273" s="960">
        <v>100.0</v>
      </c>
      <c r="R1273" s="960">
        <v>236.0</v>
      </c>
      <c r="S1273" s="960">
        <v>299.0</v>
      </c>
      <c r="T1273" s="960">
        <v>328.0</v>
      </c>
      <c r="U1273" s="960">
        <f t="array" ref="U1273">HLOOKUP($J1273,'Type Chart'!$C$2:$T$20,2,false)*HLOOKUP($K1273,'Type Chart'!$C$2:$U$20,2,false)</f>
        <v>1</v>
      </c>
      <c r="V1273" s="960">
        <f t="array" ref="V1273">HLOOKUP($J1273,'Type Chart'!$C$2:$T$20,3,false)*HLOOKUP($K1273,'Type Chart'!$C$2:$U$20,3,false)</f>
        <v>0.5</v>
      </c>
      <c r="W1273" s="960">
        <f t="array" ref="W1273">HLOOKUP($J1273,'Type Chart'!$C$2:$T$20,4,false)*HLOOKUP($K1273,'Type Chart'!$C$2:$U$20,4,false)</f>
        <v>1</v>
      </c>
      <c r="X1273" s="960">
        <f t="array" ref="X1273">HLOOKUP($J1273,'Type Chart'!$C$2:$T$20,5,false)*HLOOKUP($K1273,'Type Chart'!$C$2:$U$20,5,false)</f>
        <v>1</v>
      </c>
      <c r="Y1273" s="960">
        <f t="array" ref="Y1273">HLOOKUP($J1273,'Type Chart'!$C$2:$T$20,6,false)*HLOOKUP($K1273,'Type Chart'!$C$2:$U$20,6,false)</f>
        <v>0</v>
      </c>
      <c r="Z1273" s="960">
        <f t="array" ref="Z1273">HLOOKUP($J1273,'Type Chart'!$C$2:$T$20,7,false)*HLOOKUP($K1273,'Type Chart'!$C$2:$U$20,7,false)</f>
        <v>4</v>
      </c>
      <c r="AA1273" s="960">
        <f t="array" ref="AA1273">HLOOKUP($J1273,'Type Chart'!$C$2:$T$20,8,false)*HLOOKUP($K1273,'Type Chart'!$C$2:$U$20,8,false)</f>
        <v>0.25</v>
      </c>
      <c r="AB1273" s="960">
        <f t="array" ref="AB1273">HLOOKUP($J1273,'Type Chart'!$C$2:$T$20,9,false)*HLOOKUP($K1273,'Type Chart'!$C$2:$U$20,9,false)</f>
        <v>1</v>
      </c>
      <c r="AC1273" s="960">
        <f t="array" ref="AC1273">HLOOKUP($J1273,'Type Chart'!$C$2:$T$20,10,false)*HLOOKUP($K1273,'Type Chart'!$C$2:$U$20,10,false)</f>
        <v>0.5</v>
      </c>
      <c r="AD1273" s="960">
        <f t="array" ref="AD1273">HLOOKUP($J1273,'Type Chart'!$C$2:$T$20,11,false)*HLOOKUP($K1273,'Type Chart'!$C$2:$U$20,11,false)</f>
        <v>0.5</v>
      </c>
      <c r="AE1273" s="960">
        <f t="array" ref="AE1273">HLOOKUP($J1273,'Type Chart'!$C$2:$T$20,12,false)*HLOOKUP($K1273,'Type Chart'!$C$2:$U$20,12,false)</f>
        <v>2</v>
      </c>
      <c r="AF1273" s="960">
        <f t="array" ref="AF1273">HLOOKUP($J1273,'Type Chart'!$C$2:$T$20,13,false)*HLOOKUP($K1273,'Type Chart'!$C$2:$U$20,13,false)</f>
        <v>0.25</v>
      </c>
      <c r="AG1273" s="960">
        <f t="array" ref="AG1273">HLOOKUP($J1273,'Type Chart'!$C$2:$T$20,14,false)*HLOOKUP($K1273,'Type Chart'!$C$2:$U$20,14,false)</f>
        <v>2</v>
      </c>
      <c r="AH1273" s="960">
        <f t="array" ref="AH1273">HLOOKUP($J1273,'Type Chart'!$C$2:$T$20,15,false)*HLOOKUP($K1273,'Type Chart'!$C$2:$U$20,15,false)</f>
        <v>1</v>
      </c>
      <c r="AI1273" s="960">
        <f t="array" ref="AI1273">HLOOKUP($J1273,'Type Chart'!$C$2:$T$20,16,false)*HLOOKUP($K1273,'Type Chart'!$C$2:$U$20,16,false)</f>
        <v>1</v>
      </c>
      <c r="AJ1273" s="960">
        <f t="array" ref="AJ1273">HLOOKUP($J1273,'Type Chart'!$C$2:$T$20,17,false)*HLOOKUP($K1273,'Type Chart'!$C$2:$U$20,17,false)</f>
        <v>1</v>
      </c>
      <c r="AK1273" s="960">
        <f t="array" ref="AK1273">HLOOKUP($J1273,'Type Chart'!$C$2:$T$20,18,false)*HLOOKUP($K1273,'Type Chart'!$C$2:$U$20,18,false)</f>
        <v>1</v>
      </c>
      <c r="AL1273" s="960">
        <f t="array" ref="AL1273">HLOOKUP($J1273,'Type Chart'!$C$2:$T$20,19,false)*HLOOKUP($K1273,'Type Chart'!$C$2:$U$20,19,false)</f>
        <v>0.5</v>
      </c>
      <c r="AM1273" s="964" t="s">
        <v>952</v>
      </c>
      <c r="AN1273" s="965"/>
      <c r="AO1273" s="966"/>
      <c r="AP1273" s="936"/>
      <c r="AQ1273" s="1245"/>
      <c r="AR1273" s="1245"/>
      <c r="AS1273" s="936"/>
    </row>
    <row r="1274" ht="15.75" customHeight="1">
      <c r="A1274" s="1099"/>
      <c r="B1274" s="948" t="s">
        <v>953</v>
      </c>
      <c r="C1274" s="1197" t="s">
        <v>954</v>
      </c>
      <c r="D1274" s="1197" t="s">
        <v>954</v>
      </c>
      <c r="E1274" s="1147" t="s">
        <v>954</v>
      </c>
      <c r="F1274" s="940"/>
      <c r="G1274" s="953"/>
      <c r="H1274" s="969"/>
      <c r="I1274" s="998" t="s">
        <v>4374</v>
      </c>
      <c r="J1274" s="1056" t="s">
        <v>81</v>
      </c>
      <c r="K1274" s="984" t="s">
        <v>216</v>
      </c>
      <c r="L1274" s="959">
        <v>44.0</v>
      </c>
      <c r="M1274" s="960">
        <v>48.0</v>
      </c>
      <c r="N1274" s="960">
        <v>65.0</v>
      </c>
      <c r="O1274" s="960">
        <v>50.0</v>
      </c>
      <c r="P1274" s="960">
        <v>64.0</v>
      </c>
      <c r="Q1274" s="960">
        <v>43.0</v>
      </c>
      <c r="R1274" s="960">
        <v>122.0</v>
      </c>
      <c r="S1274" s="960">
        <v>185.0</v>
      </c>
      <c r="T1274" s="960">
        <v>203.0</v>
      </c>
      <c r="U1274" s="960">
        <f t="array" ref="U1274">HLOOKUP($J1274,'Type Chart'!$C$2:$T$20,2,false)*HLOOKUP($K1274,'Type Chart'!$C$2:$U$20,2,false)</f>
        <v>1</v>
      </c>
      <c r="V1274" s="960">
        <f t="array" ref="V1274">HLOOKUP($J1274,'Type Chart'!$C$2:$T$20,3,false)*HLOOKUP($K1274,'Type Chart'!$C$2:$U$20,3,false)</f>
        <v>1</v>
      </c>
      <c r="W1274" s="960">
        <f t="array" ref="W1274">HLOOKUP($J1274,'Type Chart'!$C$2:$T$20,4,false)*HLOOKUP($K1274,'Type Chart'!$C$2:$U$20,4,false)</f>
        <v>1</v>
      </c>
      <c r="X1274" s="960">
        <f t="array" ref="X1274">HLOOKUP($J1274,'Type Chart'!$C$2:$T$20,5,false)*HLOOKUP($K1274,'Type Chart'!$C$2:$U$20,5,false)</f>
        <v>1</v>
      </c>
      <c r="Y1274" s="960">
        <f t="array" ref="Y1274">HLOOKUP($J1274,'Type Chart'!$C$2:$T$20,6,false)*HLOOKUP($K1274,'Type Chart'!$C$2:$U$20,6,false)</f>
        <v>1</v>
      </c>
      <c r="Z1274" s="960">
        <f t="array" ref="Z1274">HLOOKUP($J1274,'Type Chart'!$C$2:$T$20,7,false)*HLOOKUP($K1274,'Type Chart'!$C$2:$U$20,7,false)</f>
        <v>1</v>
      </c>
      <c r="AA1274" s="960">
        <f t="array" ref="AA1274">HLOOKUP($J1274,'Type Chart'!$C$2:$T$20,8,false)*HLOOKUP($K1274,'Type Chart'!$C$2:$U$20,8,false)</f>
        <v>1</v>
      </c>
      <c r="AB1274" s="960">
        <f t="array" ref="AB1274">HLOOKUP($J1274,'Type Chart'!$C$2:$T$20,9,false)*HLOOKUP($K1274,'Type Chart'!$C$2:$U$20,9,false)</f>
        <v>1</v>
      </c>
      <c r="AC1274" s="960">
        <f t="array" ref="AC1274">HLOOKUP($J1274,'Type Chart'!$C$2:$T$20,10,false)*HLOOKUP($K1274,'Type Chart'!$C$2:$U$20,10,false)</f>
        <v>0.5</v>
      </c>
      <c r="AD1274" s="960">
        <f t="array" ref="AD1274">HLOOKUP($J1274,'Type Chart'!$C$2:$T$20,11,false)*HLOOKUP($K1274,'Type Chart'!$C$2:$U$20,11,false)</f>
        <v>0.5</v>
      </c>
      <c r="AE1274" s="960">
        <f t="array" ref="AE1274">HLOOKUP($J1274,'Type Chart'!$C$2:$T$20,12,false)*HLOOKUP($K1274,'Type Chart'!$C$2:$U$20,12,false)</f>
        <v>0.5</v>
      </c>
      <c r="AF1274" s="960">
        <f t="array" ref="AF1274">HLOOKUP($J1274,'Type Chart'!$C$2:$T$20,13,false)*HLOOKUP($K1274,'Type Chart'!$C$2:$U$20,13,false)</f>
        <v>2</v>
      </c>
      <c r="AG1274" s="960">
        <f t="array" ref="AG1274">HLOOKUP($J1274,'Type Chart'!$C$2:$T$20,14,false)*HLOOKUP($K1274,'Type Chart'!$C$2:$U$20,14,false)</f>
        <v>2</v>
      </c>
      <c r="AH1274" s="960">
        <f t="array" ref="AH1274">HLOOKUP($J1274,'Type Chart'!$C$2:$T$20,15,false)*HLOOKUP($K1274,'Type Chart'!$C$2:$U$20,15,false)</f>
        <v>1</v>
      </c>
      <c r="AI1274" s="960">
        <f t="array" ref="AI1274">HLOOKUP($J1274,'Type Chart'!$C$2:$T$20,16,false)*HLOOKUP($K1274,'Type Chart'!$C$2:$U$20,16,false)</f>
        <v>0.5</v>
      </c>
      <c r="AJ1274" s="960">
        <f t="array" ref="AJ1274">HLOOKUP($J1274,'Type Chart'!$C$2:$T$20,17,false)*HLOOKUP($K1274,'Type Chart'!$C$2:$U$20,17,false)</f>
        <v>1</v>
      </c>
      <c r="AK1274" s="960">
        <f t="array" ref="AK1274">HLOOKUP($J1274,'Type Chart'!$C$2:$T$20,18,false)*HLOOKUP($K1274,'Type Chart'!$C$2:$U$20,18,false)</f>
        <v>1</v>
      </c>
      <c r="AL1274" s="960">
        <f t="array" ref="AL1274">HLOOKUP($J1274,'Type Chart'!$C$2:$T$20,19,false)*HLOOKUP($K1274,'Type Chart'!$C$2:$U$20,19,false)</f>
        <v>1</v>
      </c>
      <c r="AM1274" s="964" t="s">
        <v>959</v>
      </c>
      <c r="AN1274" s="965"/>
      <c r="AO1274" s="966" t="s">
        <v>960</v>
      </c>
      <c r="AP1274" s="936"/>
      <c r="AQ1274" s="1245"/>
      <c r="AR1274" s="1245"/>
      <c r="AS1274" s="936"/>
    </row>
    <row r="1275" ht="15.75" customHeight="1">
      <c r="A1275" s="1099"/>
      <c r="B1275" s="948" t="s">
        <v>961</v>
      </c>
      <c r="C1275" s="1197" t="s">
        <v>962</v>
      </c>
      <c r="D1275" s="1197" t="s">
        <v>962</v>
      </c>
      <c r="E1275" s="1147" t="s">
        <v>962</v>
      </c>
      <c r="F1275" s="940"/>
      <c r="G1275" s="953"/>
      <c r="H1275" s="969"/>
      <c r="I1275" s="998" t="s">
        <v>4375</v>
      </c>
      <c r="J1275" s="1056" t="s">
        <v>81</v>
      </c>
      <c r="K1275" s="984" t="s">
        <v>216</v>
      </c>
      <c r="L1275" s="959">
        <v>59.0</v>
      </c>
      <c r="M1275" s="960">
        <v>63.0</v>
      </c>
      <c r="N1275" s="960">
        <v>80.0</v>
      </c>
      <c r="O1275" s="960">
        <v>65.0</v>
      </c>
      <c r="P1275" s="960">
        <v>80.0</v>
      </c>
      <c r="Q1275" s="960">
        <v>58.0</v>
      </c>
      <c r="R1275" s="960">
        <v>152.0</v>
      </c>
      <c r="S1275" s="960">
        <v>215.0</v>
      </c>
      <c r="T1275" s="960">
        <v>236.0</v>
      </c>
      <c r="U1275" s="960">
        <f t="array" ref="U1275">HLOOKUP($J1275,'Type Chart'!$C$2:$T$20,2,false)*HLOOKUP($K1275,'Type Chart'!$C$2:$U$20,2,false)</f>
        <v>1</v>
      </c>
      <c r="V1275" s="960">
        <f t="array" ref="V1275">HLOOKUP($J1275,'Type Chart'!$C$2:$T$20,3,false)*HLOOKUP($K1275,'Type Chart'!$C$2:$U$20,3,false)</f>
        <v>1</v>
      </c>
      <c r="W1275" s="960">
        <f t="array" ref="W1275">HLOOKUP($J1275,'Type Chart'!$C$2:$T$20,4,false)*HLOOKUP($K1275,'Type Chart'!$C$2:$U$20,4,false)</f>
        <v>1</v>
      </c>
      <c r="X1275" s="960">
        <f t="array" ref="X1275">HLOOKUP($J1275,'Type Chart'!$C$2:$T$20,5,false)*HLOOKUP($K1275,'Type Chart'!$C$2:$U$20,5,false)</f>
        <v>1</v>
      </c>
      <c r="Y1275" s="960">
        <f t="array" ref="Y1275">HLOOKUP($J1275,'Type Chart'!$C$2:$T$20,6,false)*HLOOKUP($K1275,'Type Chart'!$C$2:$U$20,6,false)</f>
        <v>1</v>
      </c>
      <c r="Z1275" s="960">
        <f t="array" ref="Z1275">HLOOKUP($J1275,'Type Chart'!$C$2:$T$20,7,false)*HLOOKUP($K1275,'Type Chart'!$C$2:$U$20,7,false)</f>
        <v>1</v>
      </c>
      <c r="AA1275" s="960">
        <f t="array" ref="AA1275">HLOOKUP($J1275,'Type Chart'!$C$2:$T$20,8,false)*HLOOKUP($K1275,'Type Chart'!$C$2:$U$20,8,false)</f>
        <v>1</v>
      </c>
      <c r="AB1275" s="960">
        <f t="array" ref="AB1275">HLOOKUP($J1275,'Type Chart'!$C$2:$T$20,9,false)*HLOOKUP($K1275,'Type Chart'!$C$2:$U$20,9,false)</f>
        <v>1</v>
      </c>
      <c r="AC1275" s="960">
        <f t="array" ref="AC1275">HLOOKUP($J1275,'Type Chart'!$C$2:$T$20,10,false)*HLOOKUP($K1275,'Type Chart'!$C$2:$U$20,10,false)</f>
        <v>0.5</v>
      </c>
      <c r="AD1275" s="960">
        <f t="array" ref="AD1275">HLOOKUP($J1275,'Type Chart'!$C$2:$T$20,11,false)*HLOOKUP($K1275,'Type Chart'!$C$2:$U$20,11,false)</f>
        <v>0.5</v>
      </c>
      <c r="AE1275" s="960">
        <f t="array" ref="AE1275">HLOOKUP($J1275,'Type Chart'!$C$2:$T$20,12,false)*HLOOKUP($K1275,'Type Chart'!$C$2:$U$20,12,false)</f>
        <v>0.5</v>
      </c>
      <c r="AF1275" s="960">
        <f t="array" ref="AF1275">HLOOKUP($J1275,'Type Chart'!$C$2:$T$20,13,false)*HLOOKUP($K1275,'Type Chart'!$C$2:$U$20,13,false)</f>
        <v>2</v>
      </c>
      <c r="AG1275" s="960">
        <f t="array" ref="AG1275">HLOOKUP($J1275,'Type Chart'!$C$2:$T$20,14,false)*HLOOKUP($K1275,'Type Chart'!$C$2:$U$20,14,false)</f>
        <v>2</v>
      </c>
      <c r="AH1275" s="960">
        <f t="array" ref="AH1275">HLOOKUP($J1275,'Type Chart'!$C$2:$T$20,15,false)*HLOOKUP($K1275,'Type Chart'!$C$2:$U$20,15,false)</f>
        <v>1</v>
      </c>
      <c r="AI1275" s="960">
        <f t="array" ref="AI1275">HLOOKUP($J1275,'Type Chart'!$C$2:$T$20,16,false)*HLOOKUP($K1275,'Type Chart'!$C$2:$U$20,16,false)</f>
        <v>0.5</v>
      </c>
      <c r="AJ1275" s="960">
        <f t="array" ref="AJ1275">HLOOKUP($J1275,'Type Chart'!$C$2:$T$20,17,false)*HLOOKUP($K1275,'Type Chart'!$C$2:$U$20,17,false)</f>
        <v>1</v>
      </c>
      <c r="AK1275" s="960">
        <f t="array" ref="AK1275">HLOOKUP($J1275,'Type Chart'!$C$2:$T$20,18,false)*HLOOKUP($K1275,'Type Chart'!$C$2:$U$20,18,false)</f>
        <v>1</v>
      </c>
      <c r="AL1275" s="960">
        <f t="array" ref="AL1275">HLOOKUP($J1275,'Type Chart'!$C$2:$T$20,19,false)*HLOOKUP($K1275,'Type Chart'!$C$2:$U$20,19,false)</f>
        <v>1</v>
      </c>
      <c r="AM1275" s="1145" t="s">
        <v>959</v>
      </c>
      <c r="AN1275" s="965"/>
      <c r="AO1275" s="1146" t="s">
        <v>960</v>
      </c>
      <c r="AP1275" s="936"/>
      <c r="AQ1275" s="1245"/>
      <c r="AR1275" s="1245"/>
      <c r="AS1275" s="936"/>
    </row>
    <row r="1276" ht="15.75" customHeight="1">
      <c r="A1276" s="1099"/>
      <c r="B1276" s="948" t="s">
        <v>973</v>
      </c>
      <c r="C1276" s="1197" t="s">
        <v>974</v>
      </c>
      <c r="D1276" s="1197" t="s">
        <v>974</v>
      </c>
      <c r="E1276" s="1147" t="s">
        <v>974</v>
      </c>
      <c r="F1276" s="940"/>
      <c r="G1276" s="953"/>
      <c r="H1276" s="969"/>
      <c r="I1276" s="998" t="s">
        <v>4376</v>
      </c>
      <c r="J1276" s="1056" t="s">
        <v>81</v>
      </c>
      <c r="K1276" s="984" t="s">
        <v>216</v>
      </c>
      <c r="L1276" s="959">
        <v>79.0</v>
      </c>
      <c r="M1276" s="960">
        <v>83.0</v>
      </c>
      <c r="N1276" s="960">
        <v>100.0</v>
      </c>
      <c r="O1276" s="960">
        <v>85.0</v>
      </c>
      <c r="P1276" s="960">
        <v>105.0</v>
      </c>
      <c r="Q1276" s="960">
        <v>78.0</v>
      </c>
      <c r="R1276" s="960">
        <v>192.0</v>
      </c>
      <c r="S1276" s="960">
        <v>255.0</v>
      </c>
      <c r="T1276" s="960">
        <v>280.0</v>
      </c>
      <c r="U1276" s="960">
        <f t="array" ref="U1276">HLOOKUP($J1276,'Type Chart'!$C$2:$T$20,2,false)*HLOOKUP($K1276,'Type Chart'!$C$2:$U$20,2,false)</f>
        <v>1</v>
      </c>
      <c r="V1276" s="960">
        <f t="array" ref="V1276">HLOOKUP($J1276,'Type Chart'!$C$2:$T$20,3,false)*HLOOKUP($K1276,'Type Chart'!$C$2:$U$20,3,false)</f>
        <v>1</v>
      </c>
      <c r="W1276" s="960">
        <f t="array" ref="W1276">HLOOKUP($J1276,'Type Chart'!$C$2:$T$20,4,false)*HLOOKUP($K1276,'Type Chart'!$C$2:$U$20,4,false)</f>
        <v>1</v>
      </c>
      <c r="X1276" s="960">
        <f t="array" ref="X1276">HLOOKUP($J1276,'Type Chart'!$C$2:$T$20,5,false)*HLOOKUP($K1276,'Type Chart'!$C$2:$U$20,5,false)</f>
        <v>1</v>
      </c>
      <c r="Y1276" s="960">
        <f t="array" ref="Y1276">HLOOKUP($J1276,'Type Chart'!$C$2:$T$20,6,false)*HLOOKUP($K1276,'Type Chart'!$C$2:$U$20,6,false)</f>
        <v>1</v>
      </c>
      <c r="Z1276" s="960">
        <f t="array" ref="Z1276">HLOOKUP($J1276,'Type Chart'!$C$2:$T$20,7,false)*HLOOKUP($K1276,'Type Chart'!$C$2:$U$20,7,false)</f>
        <v>1</v>
      </c>
      <c r="AA1276" s="960">
        <f t="array" ref="AA1276">HLOOKUP($J1276,'Type Chart'!$C$2:$T$20,8,false)*HLOOKUP($K1276,'Type Chart'!$C$2:$U$20,8,false)</f>
        <v>1</v>
      </c>
      <c r="AB1276" s="960">
        <f t="array" ref="AB1276">HLOOKUP($J1276,'Type Chart'!$C$2:$T$20,9,false)*HLOOKUP($K1276,'Type Chart'!$C$2:$U$20,9,false)</f>
        <v>1</v>
      </c>
      <c r="AC1276" s="960">
        <f t="array" ref="AC1276">HLOOKUP($J1276,'Type Chart'!$C$2:$T$20,10,false)*HLOOKUP($K1276,'Type Chart'!$C$2:$U$20,10,false)</f>
        <v>0.5</v>
      </c>
      <c r="AD1276" s="960">
        <f t="array" ref="AD1276">HLOOKUP($J1276,'Type Chart'!$C$2:$T$20,11,false)*HLOOKUP($K1276,'Type Chart'!$C$2:$U$20,11,false)</f>
        <v>0.5</v>
      </c>
      <c r="AE1276" s="960">
        <f t="array" ref="AE1276">HLOOKUP($J1276,'Type Chart'!$C$2:$T$20,12,false)*HLOOKUP($K1276,'Type Chart'!$C$2:$U$20,12,false)</f>
        <v>0.5</v>
      </c>
      <c r="AF1276" s="960">
        <f t="array" ref="AF1276">HLOOKUP($J1276,'Type Chart'!$C$2:$T$20,13,false)*HLOOKUP($K1276,'Type Chart'!$C$2:$U$20,13,false)</f>
        <v>2</v>
      </c>
      <c r="AG1276" s="960">
        <f t="array" ref="AG1276">HLOOKUP($J1276,'Type Chart'!$C$2:$T$20,14,false)*HLOOKUP($K1276,'Type Chart'!$C$2:$U$20,14,false)</f>
        <v>2</v>
      </c>
      <c r="AH1276" s="960">
        <f t="array" ref="AH1276">HLOOKUP($J1276,'Type Chart'!$C$2:$T$20,15,false)*HLOOKUP($K1276,'Type Chart'!$C$2:$U$20,15,false)</f>
        <v>1</v>
      </c>
      <c r="AI1276" s="960">
        <f t="array" ref="AI1276">HLOOKUP($J1276,'Type Chart'!$C$2:$T$20,16,false)*HLOOKUP($K1276,'Type Chart'!$C$2:$U$20,16,false)</f>
        <v>0.5</v>
      </c>
      <c r="AJ1276" s="960">
        <f t="array" ref="AJ1276">HLOOKUP($J1276,'Type Chart'!$C$2:$T$20,17,false)*HLOOKUP($K1276,'Type Chart'!$C$2:$U$20,17,false)</f>
        <v>1</v>
      </c>
      <c r="AK1276" s="960">
        <f t="array" ref="AK1276">HLOOKUP($J1276,'Type Chart'!$C$2:$T$20,18,false)*HLOOKUP($K1276,'Type Chart'!$C$2:$U$20,18,false)</f>
        <v>1</v>
      </c>
      <c r="AL1276" s="960">
        <f t="array" ref="AL1276">HLOOKUP($J1276,'Type Chart'!$C$2:$T$20,19,false)*HLOOKUP($K1276,'Type Chart'!$C$2:$U$20,19,false)</f>
        <v>1</v>
      </c>
      <c r="AM1276" s="964" t="s">
        <v>959</v>
      </c>
      <c r="AN1276" s="965"/>
      <c r="AO1276" s="966" t="s">
        <v>960</v>
      </c>
      <c r="AP1276" s="936"/>
      <c r="AQ1276" s="1245"/>
      <c r="AR1276" s="1245"/>
      <c r="AS1276" s="936"/>
    </row>
    <row r="1277" ht="15.75" customHeight="1">
      <c r="A1277" s="1099"/>
      <c r="B1277" s="948" t="s">
        <v>977</v>
      </c>
      <c r="C1277" s="1197" t="s">
        <v>978</v>
      </c>
      <c r="D1277" s="1197" t="s">
        <v>978</v>
      </c>
      <c r="E1277" s="1147" t="s">
        <v>978</v>
      </c>
      <c r="F1277" s="940"/>
      <c r="G1277" s="953"/>
      <c r="H1277" s="969"/>
      <c r="I1277" s="998" t="s">
        <v>4377</v>
      </c>
      <c r="J1277" s="1056" t="s">
        <v>81</v>
      </c>
      <c r="K1277" s="984" t="s">
        <v>216</v>
      </c>
      <c r="L1277" s="959">
        <v>79.0</v>
      </c>
      <c r="M1277" s="960">
        <v>103.0</v>
      </c>
      <c r="N1277" s="960">
        <v>120.0</v>
      </c>
      <c r="O1277" s="960">
        <v>135.0</v>
      </c>
      <c r="P1277" s="960">
        <v>115.0</v>
      </c>
      <c r="Q1277" s="960">
        <v>78.0</v>
      </c>
      <c r="R1277" s="960">
        <v>192.0</v>
      </c>
      <c r="S1277" s="960">
        <v>255.0</v>
      </c>
      <c r="T1277" s="960">
        <v>280.0</v>
      </c>
      <c r="U1277" s="960">
        <f t="array" ref="U1277">HLOOKUP($J1277,'Type Chart'!$C$2:$T$20,2,false)*HLOOKUP($K1277,'Type Chart'!$C$2:$U$20,2,false)</f>
        <v>1</v>
      </c>
      <c r="V1277" s="960">
        <f t="array" ref="V1277">HLOOKUP($J1277,'Type Chart'!$C$2:$T$20,3,false)*HLOOKUP($K1277,'Type Chart'!$C$2:$U$20,3,false)</f>
        <v>1</v>
      </c>
      <c r="W1277" s="960">
        <f t="array" ref="W1277">HLOOKUP($J1277,'Type Chart'!$C$2:$T$20,4,false)*HLOOKUP($K1277,'Type Chart'!$C$2:$U$20,4,false)</f>
        <v>1</v>
      </c>
      <c r="X1277" s="960">
        <f t="array" ref="X1277">HLOOKUP($J1277,'Type Chart'!$C$2:$T$20,5,false)*HLOOKUP($K1277,'Type Chart'!$C$2:$U$20,5,false)</f>
        <v>1</v>
      </c>
      <c r="Y1277" s="960">
        <f t="array" ref="Y1277">HLOOKUP($J1277,'Type Chart'!$C$2:$T$20,6,false)*HLOOKUP($K1277,'Type Chart'!$C$2:$U$20,6,false)</f>
        <v>1</v>
      </c>
      <c r="Z1277" s="960">
        <f t="array" ref="Z1277">HLOOKUP($J1277,'Type Chart'!$C$2:$T$20,7,false)*HLOOKUP($K1277,'Type Chart'!$C$2:$U$20,7,false)</f>
        <v>1</v>
      </c>
      <c r="AA1277" s="960">
        <f t="array" ref="AA1277">HLOOKUP($J1277,'Type Chart'!$C$2:$T$20,8,false)*HLOOKUP($K1277,'Type Chart'!$C$2:$U$20,8,false)</f>
        <v>1</v>
      </c>
      <c r="AB1277" s="960">
        <f t="array" ref="AB1277">HLOOKUP($J1277,'Type Chart'!$C$2:$T$20,9,false)*HLOOKUP($K1277,'Type Chart'!$C$2:$U$20,9,false)</f>
        <v>1</v>
      </c>
      <c r="AC1277" s="960">
        <f t="array" ref="AC1277">HLOOKUP($J1277,'Type Chart'!$C$2:$T$20,10,false)*HLOOKUP($K1277,'Type Chart'!$C$2:$U$20,10,false)</f>
        <v>0.5</v>
      </c>
      <c r="AD1277" s="960">
        <f t="array" ref="AD1277">HLOOKUP($J1277,'Type Chart'!$C$2:$T$20,11,false)*HLOOKUP($K1277,'Type Chart'!$C$2:$U$20,11,false)</f>
        <v>0.5</v>
      </c>
      <c r="AE1277" s="960">
        <f t="array" ref="AE1277">HLOOKUP($J1277,'Type Chart'!$C$2:$T$20,12,false)*HLOOKUP($K1277,'Type Chart'!$C$2:$U$20,12,false)</f>
        <v>0.5</v>
      </c>
      <c r="AF1277" s="960">
        <f t="array" ref="AF1277">HLOOKUP($J1277,'Type Chart'!$C$2:$T$20,13,false)*HLOOKUP($K1277,'Type Chart'!$C$2:$U$20,13,false)</f>
        <v>2</v>
      </c>
      <c r="AG1277" s="960">
        <f t="array" ref="AG1277">HLOOKUP($J1277,'Type Chart'!$C$2:$T$20,14,false)*HLOOKUP($K1277,'Type Chart'!$C$2:$U$20,14,false)</f>
        <v>2</v>
      </c>
      <c r="AH1277" s="960">
        <f t="array" ref="AH1277">HLOOKUP($J1277,'Type Chart'!$C$2:$T$20,15,false)*HLOOKUP($K1277,'Type Chart'!$C$2:$U$20,15,false)</f>
        <v>1</v>
      </c>
      <c r="AI1277" s="960">
        <f t="array" ref="AI1277">HLOOKUP($J1277,'Type Chart'!$C$2:$T$20,16,false)*HLOOKUP($K1277,'Type Chart'!$C$2:$U$20,16,false)</f>
        <v>0.5</v>
      </c>
      <c r="AJ1277" s="960">
        <f t="array" ref="AJ1277">HLOOKUP($J1277,'Type Chart'!$C$2:$T$20,17,false)*HLOOKUP($K1277,'Type Chart'!$C$2:$U$20,17,false)</f>
        <v>1</v>
      </c>
      <c r="AK1277" s="960">
        <f t="array" ref="AK1277">HLOOKUP($J1277,'Type Chart'!$C$2:$T$20,18,false)*HLOOKUP($K1277,'Type Chart'!$C$2:$U$20,18,false)</f>
        <v>1</v>
      </c>
      <c r="AL1277" s="960">
        <f t="array" ref="AL1277">HLOOKUP($J1277,'Type Chart'!$C$2:$T$20,19,false)*HLOOKUP($K1277,'Type Chart'!$C$2:$U$20,19,false)</f>
        <v>1</v>
      </c>
      <c r="AM1277" s="964" t="s">
        <v>983</v>
      </c>
      <c r="AN1277" s="965"/>
      <c r="AO1277" s="966"/>
      <c r="AP1277" s="936"/>
      <c r="AQ1277" s="1245"/>
      <c r="AR1277" s="1245"/>
      <c r="AS1277" s="936"/>
    </row>
    <row r="1278" ht="15.75" customHeight="1">
      <c r="A1278" s="1099"/>
      <c r="B1278" s="948" t="s">
        <v>984</v>
      </c>
      <c r="C1278" s="1197" t="s">
        <v>985</v>
      </c>
      <c r="D1278" s="1197" t="s">
        <v>985</v>
      </c>
      <c r="E1278" s="1147" t="s">
        <v>985</v>
      </c>
      <c r="F1278" s="940"/>
      <c r="G1278" s="953"/>
      <c r="H1278" s="969"/>
      <c r="I1278" s="998" t="s">
        <v>4378</v>
      </c>
      <c r="J1278" s="1180" t="s">
        <v>343</v>
      </c>
      <c r="K1278" s="984" t="s">
        <v>216</v>
      </c>
      <c r="L1278" s="959">
        <v>45.0</v>
      </c>
      <c r="M1278" s="960">
        <v>30.0</v>
      </c>
      <c r="N1278" s="960">
        <v>35.0</v>
      </c>
      <c r="O1278" s="960">
        <v>20.0</v>
      </c>
      <c r="P1278" s="960">
        <v>20.0</v>
      </c>
      <c r="Q1278" s="960">
        <v>45.0</v>
      </c>
      <c r="R1278" s="960">
        <v>126.0</v>
      </c>
      <c r="S1278" s="960">
        <v>189.0</v>
      </c>
      <c r="T1278" s="960">
        <v>207.0</v>
      </c>
      <c r="U1278" s="960">
        <f t="array" ref="U1278">HLOOKUP($J1278,'Type Chart'!$C$2:$T$20,2,false)*HLOOKUP($K1278,'Type Chart'!$C$2:$U$20,2,false)</f>
        <v>1</v>
      </c>
      <c r="V1278" s="960">
        <f t="array" ref="V1278">HLOOKUP($J1278,'Type Chart'!$C$2:$T$20,3,false)*HLOOKUP($K1278,'Type Chart'!$C$2:$U$20,3,false)</f>
        <v>0.5</v>
      </c>
      <c r="W1278" s="960">
        <f t="array" ref="W1278">HLOOKUP($J1278,'Type Chart'!$C$2:$T$20,4,false)*HLOOKUP($K1278,'Type Chart'!$C$2:$U$20,4,false)</f>
        <v>2</v>
      </c>
      <c r="X1278" s="960">
        <f t="array" ref="X1278">HLOOKUP($J1278,'Type Chart'!$C$2:$T$20,5,false)*HLOOKUP($K1278,'Type Chart'!$C$2:$U$20,5,false)</f>
        <v>1</v>
      </c>
      <c r="Y1278" s="960">
        <f t="array" ref="Y1278">HLOOKUP($J1278,'Type Chart'!$C$2:$T$20,6,false)*HLOOKUP($K1278,'Type Chart'!$C$2:$U$20,6,false)</f>
        <v>0.5</v>
      </c>
      <c r="Z1278" s="960">
        <f t="array" ref="Z1278">HLOOKUP($J1278,'Type Chart'!$C$2:$T$20,7,false)*HLOOKUP($K1278,'Type Chart'!$C$2:$U$20,7,false)</f>
        <v>2</v>
      </c>
      <c r="AA1278" s="960">
        <f t="array" ref="AA1278">HLOOKUP($J1278,'Type Chart'!$C$2:$T$20,8,false)*HLOOKUP($K1278,'Type Chart'!$C$2:$U$20,8,false)</f>
        <v>1</v>
      </c>
      <c r="AB1278" s="960">
        <f t="array" ref="AB1278">HLOOKUP($J1278,'Type Chart'!$C$2:$T$20,9,false)*HLOOKUP($K1278,'Type Chart'!$C$2:$U$20,9,false)</f>
        <v>1</v>
      </c>
      <c r="AC1278" s="960">
        <f t="array" ref="AC1278">HLOOKUP($J1278,'Type Chart'!$C$2:$T$20,10,false)*HLOOKUP($K1278,'Type Chart'!$C$2:$U$20,10,false)</f>
        <v>1</v>
      </c>
      <c r="AD1278" s="960">
        <f t="array" ref="AD1278">HLOOKUP($J1278,'Type Chart'!$C$2:$T$20,11,false)*HLOOKUP($K1278,'Type Chart'!$C$2:$U$20,11,false)</f>
        <v>2</v>
      </c>
      <c r="AE1278" s="960">
        <f t="array" ref="AE1278">HLOOKUP($J1278,'Type Chart'!$C$2:$T$20,12,false)*HLOOKUP($K1278,'Type Chart'!$C$2:$U$20,12,false)</f>
        <v>1</v>
      </c>
      <c r="AF1278" s="960">
        <f t="array" ref="AF1278">HLOOKUP($J1278,'Type Chart'!$C$2:$T$20,13,false)*HLOOKUP($K1278,'Type Chart'!$C$2:$U$20,13,false)</f>
        <v>0.5</v>
      </c>
      <c r="AG1278" s="960">
        <f t="array" ref="AG1278">HLOOKUP($J1278,'Type Chart'!$C$2:$T$20,14,false)*HLOOKUP($K1278,'Type Chart'!$C$2:$U$20,14,false)</f>
        <v>1</v>
      </c>
      <c r="AH1278" s="960">
        <f t="array" ref="AH1278">HLOOKUP($J1278,'Type Chart'!$C$2:$T$20,15,false)*HLOOKUP($K1278,'Type Chart'!$C$2:$U$20,15,false)</f>
        <v>1</v>
      </c>
      <c r="AI1278" s="960">
        <f t="array" ref="AI1278">HLOOKUP($J1278,'Type Chart'!$C$2:$T$20,16,false)*HLOOKUP($K1278,'Type Chart'!$C$2:$U$20,16,false)</f>
        <v>1</v>
      </c>
      <c r="AJ1278" s="960">
        <f t="array" ref="AJ1278">HLOOKUP($J1278,'Type Chart'!$C$2:$T$20,17,false)*HLOOKUP($K1278,'Type Chart'!$C$2:$U$20,17,false)</f>
        <v>1</v>
      </c>
      <c r="AK1278" s="960">
        <f t="array" ref="AK1278">HLOOKUP($J1278,'Type Chart'!$C$2:$T$20,18,false)*HLOOKUP($K1278,'Type Chart'!$C$2:$U$20,18,false)</f>
        <v>1</v>
      </c>
      <c r="AL1278" s="960">
        <f t="array" ref="AL1278">HLOOKUP($J1278,'Type Chart'!$C$2:$T$20,19,false)*HLOOKUP($K1278,'Type Chart'!$C$2:$U$20,19,false)</f>
        <v>1</v>
      </c>
      <c r="AM1278" s="964" t="s">
        <v>987</v>
      </c>
      <c r="AN1278" s="965"/>
      <c r="AO1278" s="966" t="s">
        <v>988</v>
      </c>
      <c r="AP1278" s="936"/>
      <c r="AQ1278" s="1245"/>
      <c r="AR1278" s="1245"/>
      <c r="AS1278" s="936"/>
    </row>
    <row r="1279" ht="15.75" customHeight="1">
      <c r="A1279" s="1099"/>
      <c r="B1279" s="948" t="s">
        <v>989</v>
      </c>
      <c r="C1279" s="1197" t="s">
        <v>990</v>
      </c>
      <c r="D1279" s="1197" t="s">
        <v>990</v>
      </c>
      <c r="E1279" s="1147" t="s">
        <v>990</v>
      </c>
      <c r="F1279" s="940"/>
      <c r="G1279" s="953"/>
      <c r="H1279" s="969"/>
      <c r="I1279" s="998" t="s">
        <v>4379</v>
      </c>
      <c r="J1279" s="1180" t="s">
        <v>343</v>
      </c>
      <c r="K1279" s="984" t="s">
        <v>216</v>
      </c>
      <c r="L1279" s="959">
        <v>50.0</v>
      </c>
      <c r="M1279" s="960">
        <v>20.0</v>
      </c>
      <c r="N1279" s="960">
        <v>55.0</v>
      </c>
      <c r="O1279" s="960">
        <v>25.0</v>
      </c>
      <c r="P1279" s="960">
        <v>25.0</v>
      </c>
      <c r="Q1279" s="960">
        <v>30.0</v>
      </c>
      <c r="R1279" s="960">
        <v>96.0</v>
      </c>
      <c r="S1279" s="960">
        <v>159.0</v>
      </c>
      <c r="T1279" s="960">
        <v>174.0</v>
      </c>
      <c r="U1279" s="960">
        <f t="array" ref="U1279">HLOOKUP($J1279,'Type Chart'!$C$2:$T$20,2,false)*HLOOKUP($K1279,'Type Chart'!$C$2:$U$20,2,false)</f>
        <v>1</v>
      </c>
      <c r="V1279" s="960">
        <f t="array" ref="V1279">HLOOKUP($J1279,'Type Chart'!$C$2:$T$20,3,false)*HLOOKUP($K1279,'Type Chart'!$C$2:$U$20,3,false)</f>
        <v>0.5</v>
      </c>
      <c r="W1279" s="960">
        <f t="array" ref="W1279">HLOOKUP($J1279,'Type Chart'!$C$2:$T$20,4,false)*HLOOKUP($K1279,'Type Chart'!$C$2:$U$20,4,false)</f>
        <v>2</v>
      </c>
      <c r="X1279" s="960">
        <f t="array" ref="X1279">HLOOKUP($J1279,'Type Chart'!$C$2:$T$20,5,false)*HLOOKUP($K1279,'Type Chart'!$C$2:$U$20,5,false)</f>
        <v>1</v>
      </c>
      <c r="Y1279" s="960">
        <f t="array" ref="Y1279">HLOOKUP($J1279,'Type Chart'!$C$2:$T$20,6,false)*HLOOKUP($K1279,'Type Chart'!$C$2:$U$20,6,false)</f>
        <v>0.5</v>
      </c>
      <c r="Z1279" s="960">
        <f t="array" ref="Z1279">HLOOKUP($J1279,'Type Chart'!$C$2:$T$20,7,false)*HLOOKUP($K1279,'Type Chart'!$C$2:$U$20,7,false)</f>
        <v>2</v>
      </c>
      <c r="AA1279" s="960">
        <f t="array" ref="AA1279">HLOOKUP($J1279,'Type Chart'!$C$2:$T$20,8,false)*HLOOKUP($K1279,'Type Chart'!$C$2:$U$20,8,false)</f>
        <v>1</v>
      </c>
      <c r="AB1279" s="960">
        <f t="array" ref="AB1279">HLOOKUP($J1279,'Type Chart'!$C$2:$T$20,9,false)*HLOOKUP($K1279,'Type Chart'!$C$2:$U$20,9,false)</f>
        <v>1</v>
      </c>
      <c r="AC1279" s="960">
        <f t="array" ref="AC1279">HLOOKUP($J1279,'Type Chart'!$C$2:$T$20,10,false)*HLOOKUP($K1279,'Type Chart'!$C$2:$U$20,10,false)</f>
        <v>1</v>
      </c>
      <c r="AD1279" s="960">
        <f t="array" ref="AD1279">HLOOKUP($J1279,'Type Chart'!$C$2:$T$20,11,false)*HLOOKUP($K1279,'Type Chart'!$C$2:$U$20,11,false)</f>
        <v>2</v>
      </c>
      <c r="AE1279" s="960">
        <f t="array" ref="AE1279">HLOOKUP($J1279,'Type Chart'!$C$2:$T$20,12,false)*HLOOKUP($K1279,'Type Chart'!$C$2:$U$20,12,false)</f>
        <v>1</v>
      </c>
      <c r="AF1279" s="960">
        <f t="array" ref="AF1279">HLOOKUP($J1279,'Type Chart'!$C$2:$T$20,13,false)*HLOOKUP($K1279,'Type Chart'!$C$2:$U$20,13,false)</f>
        <v>0.5</v>
      </c>
      <c r="AG1279" s="960">
        <f t="array" ref="AG1279">HLOOKUP($J1279,'Type Chart'!$C$2:$T$20,14,false)*HLOOKUP($K1279,'Type Chart'!$C$2:$U$20,14,false)</f>
        <v>1</v>
      </c>
      <c r="AH1279" s="960">
        <f t="array" ref="AH1279">HLOOKUP($J1279,'Type Chart'!$C$2:$T$20,15,false)*HLOOKUP($K1279,'Type Chart'!$C$2:$U$20,15,false)</f>
        <v>1</v>
      </c>
      <c r="AI1279" s="960">
        <f t="array" ref="AI1279">HLOOKUP($J1279,'Type Chart'!$C$2:$T$20,16,false)*HLOOKUP($K1279,'Type Chart'!$C$2:$U$20,16,false)</f>
        <v>1</v>
      </c>
      <c r="AJ1279" s="960">
        <f t="array" ref="AJ1279">HLOOKUP($J1279,'Type Chart'!$C$2:$T$20,17,false)*HLOOKUP($K1279,'Type Chart'!$C$2:$U$20,17,false)</f>
        <v>1</v>
      </c>
      <c r="AK1279" s="960">
        <f t="array" ref="AK1279">HLOOKUP($J1279,'Type Chart'!$C$2:$T$20,18,false)*HLOOKUP($K1279,'Type Chart'!$C$2:$U$20,18,false)</f>
        <v>1</v>
      </c>
      <c r="AL1279" s="960">
        <f t="array" ref="AL1279">HLOOKUP($J1279,'Type Chart'!$C$2:$T$20,19,false)*HLOOKUP($K1279,'Type Chart'!$C$2:$U$20,19,false)</f>
        <v>1</v>
      </c>
      <c r="AM1279" s="964" t="s">
        <v>998</v>
      </c>
      <c r="AN1279" s="965"/>
      <c r="AO1279" s="966"/>
      <c r="AP1279" s="936"/>
      <c r="AQ1279" s="1245"/>
      <c r="AR1279" s="1245"/>
      <c r="AS1279" s="936"/>
    </row>
    <row r="1280" ht="15.75" customHeight="1">
      <c r="A1280" s="1099"/>
      <c r="B1280" s="948" t="s">
        <v>999</v>
      </c>
      <c r="C1280" s="1197" t="s">
        <v>1000</v>
      </c>
      <c r="D1280" s="1197" t="s">
        <v>1000</v>
      </c>
      <c r="E1280" s="1147" t="s">
        <v>1000</v>
      </c>
      <c r="F1280" s="940"/>
      <c r="G1280" s="953"/>
      <c r="H1280" s="969"/>
      <c r="I1280" s="998" t="s">
        <v>4380</v>
      </c>
      <c r="J1280" s="1180" t="s">
        <v>343</v>
      </c>
      <c r="K1280" s="1001" t="s">
        <v>128</v>
      </c>
      <c r="L1280" s="959">
        <v>60.0</v>
      </c>
      <c r="M1280" s="960">
        <v>45.0</v>
      </c>
      <c r="N1280" s="960">
        <v>50.0</v>
      </c>
      <c r="O1280" s="960">
        <v>90.0</v>
      </c>
      <c r="P1280" s="960">
        <v>80.0</v>
      </c>
      <c r="Q1280" s="960">
        <v>70.0</v>
      </c>
      <c r="R1280" s="960">
        <v>176.0</v>
      </c>
      <c r="S1280" s="960">
        <v>239.0</v>
      </c>
      <c r="T1280" s="960">
        <v>262.0</v>
      </c>
      <c r="U1280" s="960">
        <f t="array" ref="U1280">HLOOKUP($J1280,'Type Chart'!$C$2:$T$20,2,false)*HLOOKUP($K1280,'Type Chart'!$C$2:$U$20,2,false)</f>
        <v>1</v>
      </c>
      <c r="V1280" s="960">
        <f t="array" ref="V1280">HLOOKUP($J1280,'Type Chart'!$C$2:$T$20,3,false)*HLOOKUP($K1280,'Type Chart'!$C$2:$U$20,3,false)</f>
        <v>0.25</v>
      </c>
      <c r="W1280" s="960">
        <f t="array" ref="W1280">HLOOKUP($J1280,'Type Chart'!$C$2:$T$20,4,false)*HLOOKUP($K1280,'Type Chart'!$C$2:$U$20,4,false)</f>
        <v>2</v>
      </c>
      <c r="X1280" s="960">
        <f t="array" ref="X1280">HLOOKUP($J1280,'Type Chart'!$C$2:$T$20,5,false)*HLOOKUP($K1280,'Type Chart'!$C$2:$U$20,5,false)</f>
        <v>1</v>
      </c>
      <c r="Y1280" s="960">
        <f t="array" ref="Y1280">HLOOKUP($J1280,'Type Chart'!$C$2:$T$20,6,false)*HLOOKUP($K1280,'Type Chart'!$C$2:$U$20,6,false)</f>
        <v>0</v>
      </c>
      <c r="Z1280" s="960">
        <f t="array" ref="Z1280">HLOOKUP($J1280,'Type Chart'!$C$2:$T$20,7,false)*HLOOKUP($K1280,'Type Chart'!$C$2:$U$20,7,false)</f>
        <v>4</v>
      </c>
      <c r="AA1280" s="960">
        <f t="array" ref="AA1280">HLOOKUP($J1280,'Type Chart'!$C$2:$T$20,8,false)*HLOOKUP($K1280,'Type Chart'!$C$2:$U$20,8,false)</f>
        <v>0.5</v>
      </c>
      <c r="AB1280" s="960">
        <f t="array" ref="AB1280">HLOOKUP($J1280,'Type Chart'!$C$2:$T$20,9,false)*HLOOKUP($K1280,'Type Chart'!$C$2:$U$20,9,false)</f>
        <v>1</v>
      </c>
      <c r="AC1280" s="960">
        <f t="array" ref="AC1280">HLOOKUP($J1280,'Type Chart'!$C$2:$T$20,10,false)*HLOOKUP($K1280,'Type Chart'!$C$2:$U$20,10,false)</f>
        <v>1</v>
      </c>
      <c r="AD1280" s="960">
        <f t="array" ref="AD1280">HLOOKUP($J1280,'Type Chart'!$C$2:$T$20,11,false)*HLOOKUP($K1280,'Type Chart'!$C$2:$U$20,11,false)</f>
        <v>2</v>
      </c>
      <c r="AE1280" s="960">
        <f t="array" ref="AE1280">HLOOKUP($J1280,'Type Chart'!$C$2:$T$20,12,false)*HLOOKUP($K1280,'Type Chart'!$C$2:$U$20,12,false)</f>
        <v>1</v>
      </c>
      <c r="AF1280" s="960">
        <f t="array" ref="AF1280">HLOOKUP($J1280,'Type Chart'!$C$2:$T$20,13,false)*HLOOKUP($K1280,'Type Chart'!$C$2:$U$20,13,false)</f>
        <v>0.25</v>
      </c>
      <c r="AG1280" s="960">
        <f t="array" ref="AG1280">HLOOKUP($J1280,'Type Chart'!$C$2:$T$20,14,false)*HLOOKUP($K1280,'Type Chart'!$C$2:$U$20,14,false)</f>
        <v>2</v>
      </c>
      <c r="AH1280" s="960">
        <f t="array" ref="AH1280">HLOOKUP($J1280,'Type Chart'!$C$2:$T$20,15,false)*HLOOKUP($K1280,'Type Chart'!$C$2:$U$20,15,false)</f>
        <v>1</v>
      </c>
      <c r="AI1280" s="960">
        <f t="array" ref="AI1280">HLOOKUP($J1280,'Type Chart'!$C$2:$T$20,16,false)*HLOOKUP($K1280,'Type Chart'!$C$2:$U$20,16,false)</f>
        <v>2</v>
      </c>
      <c r="AJ1280" s="960">
        <f t="array" ref="AJ1280">HLOOKUP($J1280,'Type Chart'!$C$2:$T$20,17,false)*HLOOKUP($K1280,'Type Chart'!$C$2:$U$20,17,false)</f>
        <v>1</v>
      </c>
      <c r="AK1280" s="960">
        <f t="array" ref="AK1280">HLOOKUP($J1280,'Type Chart'!$C$2:$T$20,18,false)*HLOOKUP($K1280,'Type Chart'!$C$2:$U$20,18,false)</f>
        <v>1</v>
      </c>
      <c r="AL1280" s="960">
        <f t="array" ref="AL1280">HLOOKUP($J1280,'Type Chart'!$C$2:$T$20,19,false)*HLOOKUP($K1280,'Type Chart'!$C$2:$U$20,19,false)</f>
        <v>1</v>
      </c>
      <c r="AM1280" s="964" t="s">
        <v>1002</v>
      </c>
      <c r="AN1280" s="965"/>
      <c r="AO1280" s="966" t="s">
        <v>1003</v>
      </c>
      <c r="AP1280" s="936"/>
      <c r="AQ1280" s="1245"/>
      <c r="AR1280" s="1245"/>
      <c r="AS1280" s="936"/>
    </row>
    <row r="1281" ht="15.75" customHeight="1">
      <c r="A1281" s="1099"/>
      <c r="B1281" s="948" t="s">
        <v>1004</v>
      </c>
      <c r="C1281" s="1197" t="s">
        <v>1005</v>
      </c>
      <c r="D1281" s="1197" t="s">
        <v>1005</v>
      </c>
      <c r="E1281" s="1147" t="s">
        <v>1005</v>
      </c>
      <c r="F1281" s="940"/>
      <c r="G1281" s="953"/>
      <c r="H1281" s="969"/>
      <c r="I1281" s="998" t="s">
        <v>4381</v>
      </c>
      <c r="J1281" s="1180" t="s">
        <v>343</v>
      </c>
      <c r="K1281" s="958" t="s">
        <v>178</v>
      </c>
      <c r="L1281" s="959">
        <v>40.0</v>
      </c>
      <c r="M1281" s="960">
        <v>35.0</v>
      </c>
      <c r="N1281" s="960">
        <v>30.0</v>
      </c>
      <c r="O1281" s="960">
        <v>20.0</v>
      </c>
      <c r="P1281" s="960">
        <v>20.0</v>
      </c>
      <c r="Q1281" s="960">
        <v>50.0</v>
      </c>
      <c r="R1281" s="960">
        <v>136.0</v>
      </c>
      <c r="S1281" s="960">
        <v>199.0</v>
      </c>
      <c r="T1281" s="960">
        <v>218.0</v>
      </c>
      <c r="U1281" s="960">
        <f t="array" ref="U1281">HLOOKUP($J1281,'Type Chart'!$C$2:$T$20,2,false)*HLOOKUP($K1281,'Type Chart'!$C$2:$U$20,2,false)</f>
        <v>1</v>
      </c>
      <c r="V1281" s="960">
        <f t="array" ref="V1281">HLOOKUP($J1281,'Type Chart'!$C$2:$T$20,3,false)*HLOOKUP($K1281,'Type Chart'!$C$2:$U$20,3,false)</f>
        <v>0.25</v>
      </c>
      <c r="W1281" s="960">
        <f t="array" ref="W1281">HLOOKUP($J1281,'Type Chart'!$C$2:$T$20,4,false)*HLOOKUP($K1281,'Type Chart'!$C$2:$U$20,4,false)</f>
        <v>2</v>
      </c>
      <c r="X1281" s="960">
        <f t="array" ref="X1281">HLOOKUP($J1281,'Type Chart'!$C$2:$T$20,5,false)*HLOOKUP($K1281,'Type Chart'!$C$2:$U$20,5,false)</f>
        <v>0.5</v>
      </c>
      <c r="Y1281" s="960">
        <f t="array" ref="Y1281">HLOOKUP($J1281,'Type Chart'!$C$2:$T$20,6,false)*HLOOKUP($K1281,'Type Chart'!$C$2:$U$20,6,false)</f>
        <v>1</v>
      </c>
      <c r="Z1281" s="960">
        <f t="array" ref="Z1281">HLOOKUP($J1281,'Type Chart'!$C$2:$T$20,7,false)*HLOOKUP($K1281,'Type Chart'!$C$2:$U$20,7,false)</f>
        <v>2</v>
      </c>
      <c r="AA1281" s="960">
        <f t="array" ref="AA1281">HLOOKUP($J1281,'Type Chart'!$C$2:$T$20,8,false)*HLOOKUP($K1281,'Type Chart'!$C$2:$U$20,8,false)</f>
        <v>0.5</v>
      </c>
      <c r="AB1281" s="960">
        <f t="array" ref="AB1281">HLOOKUP($J1281,'Type Chart'!$C$2:$T$20,9,false)*HLOOKUP($K1281,'Type Chart'!$C$2:$U$20,9,false)</f>
        <v>1</v>
      </c>
      <c r="AC1281" s="960">
        <f t="array" ref="AC1281">HLOOKUP($J1281,'Type Chart'!$C$2:$T$20,10,false)*HLOOKUP($K1281,'Type Chart'!$C$2:$U$20,10,false)</f>
        <v>1</v>
      </c>
      <c r="AD1281" s="960">
        <f t="array" ref="AD1281">HLOOKUP($J1281,'Type Chart'!$C$2:$T$20,11,false)*HLOOKUP($K1281,'Type Chart'!$C$2:$U$20,11,false)</f>
        <v>2</v>
      </c>
      <c r="AE1281" s="960">
        <f t="array" ref="AE1281">HLOOKUP($J1281,'Type Chart'!$C$2:$T$20,12,false)*HLOOKUP($K1281,'Type Chart'!$C$2:$U$20,12,false)</f>
        <v>1</v>
      </c>
      <c r="AF1281" s="960">
        <f t="array" ref="AF1281">HLOOKUP($J1281,'Type Chart'!$C$2:$T$20,13,false)*HLOOKUP($K1281,'Type Chart'!$C$2:$U$20,13,false)</f>
        <v>0.25</v>
      </c>
      <c r="AG1281" s="960">
        <f t="array" ref="AG1281">HLOOKUP($J1281,'Type Chart'!$C$2:$T$20,14,false)*HLOOKUP($K1281,'Type Chart'!$C$2:$U$20,14,false)</f>
        <v>1</v>
      </c>
      <c r="AH1281" s="960">
        <f t="array" ref="AH1281">HLOOKUP($J1281,'Type Chart'!$C$2:$T$20,15,false)*HLOOKUP($K1281,'Type Chart'!$C$2:$U$20,15,false)</f>
        <v>2</v>
      </c>
      <c r="AI1281" s="960">
        <f t="array" ref="AI1281">HLOOKUP($J1281,'Type Chart'!$C$2:$T$20,16,false)*HLOOKUP($K1281,'Type Chart'!$C$2:$U$20,16,false)</f>
        <v>1</v>
      </c>
      <c r="AJ1281" s="960">
        <f t="array" ref="AJ1281">HLOOKUP($J1281,'Type Chart'!$C$2:$T$20,17,false)*HLOOKUP($K1281,'Type Chart'!$C$2:$U$20,17,false)</f>
        <v>1</v>
      </c>
      <c r="AK1281" s="960">
        <f t="array" ref="AK1281">HLOOKUP($J1281,'Type Chart'!$C$2:$T$20,18,false)*HLOOKUP($K1281,'Type Chart'!$C$2:$U$20,18,false)</f>
        <v>1</v>
      </c>
      <c r="AL1281" s="960">
        <f t="array" ref="AL1281">HLOOKUP($J1281,'Type Chart'!$C$2:$T$20,19,false)*HLOOKUP($K1281,'Type Chart'!$C$2:$U$20,19,false)</f>
        <v>0.5</v>
      </c>
      <c r="AM1281" s="964" t="s">
        <v>987</v>
      </c>
      <c r="AN1281" s="965"/>
      <c r="AO1281" s="966" t="s">
        <v>988</v>
      </c>
      <c r="AP1281" s="936"/>
      <c r="AQ1281" s="1245"/>
      <c r="AR1281" s="1245"/>
      <c r="AS1281" s="936"/>
    </row>
    <row r="1282" ht="15.75" customHeight="1">
      <c r="A1282" s="1099"/>
      <c r="B1282" s="948" t="s">
        <v>1007</v>
      </c>
      <c r="C1282" s="1197" t="s">
        <v>1008</v>
      </c>
      <c r="D1282" s="1197" t="s">
        <v>1008</v>
      </c>
      <c r="E1282" s="1147" t="s">
        <v>1008</v>
      </c>
      <c r="F1282" s="940"/>
      <c r="G1282" s="953"/>
      <c r="H1282" s="969"/>
      <c r="I1282" s="998" t="s">
        <v>4382</v>
      </c>
      <c r="J1282" s="1180" t="s">
        <v>343</v>
      </c>
      <c r="K1282" s="958" t="s">
        <v>178</v>
      </c>
      <c r="L1282" s="959">
        <v>45.0</v>
      </c>
      <c r="M1282" s="960">
        <v>25.0</v>
      </c>
      <c r="N1282" s="960">
        <v>50.0</v>
      </c>
      <c r="O1282" s="960">
        <v>25.0</v>
      </c>
      <c r="P1282" s="960">
        <v>25.0</v>
      </c>
      <c r="Q1282" s="960">
        <v>35.0</v>
      </c>
      <c r="R1282" s="960">
        <v>106.0</v>
      </c>
      <c r="S1282" s="960">
        <v>169.0</v>
      </c>
      <c r="T1282" s="960">
        <v>185.0</v>
      </c>
      <c r="U1282" s="960">
        <f t="array" ref="U1282">HLOOKUP($J1282,'Type Chart'!$C$2:$T$20,2,false)*HLOOKUP($K1282,'Type Chart'!$C$2:$U$20,2,false)</f>
        <v>1</v>
      </c>
      <c r="V1282" s="960">
        <f t="array" ref="V1282">HLOOKUP($J1282,'Type Chart'!$C$2:$T$20,3,false)*HLOOKUP($K1282,'Type Chart'!$C$2:$U$20,3,false)</f>
        <v>0.25</v>
      </c>
      <c r="W1282" s="960">
        <f t="array" ref="W1282">HLOOKUP($J1282,'Type Chart'!$C$2:$T$20,4,false)*HLOOKUP($K1282,'Type Chart'!$C$2:$U$20,4,false)</f>
        <v>2</v>
      </c>
      <c r="X1282" s="960">
        <f t="array" ref="X1282">HLOOKUP($J1282,'Type Chart'!$C$2:$T$20,5,false)*HLOOKUP($K1282,'Type Chart'!$C$2:$U$20,5,false)</f>
        <v>0.5</v>
      </c>
      <c r="Y1282" s="960">
        <f t="array" ref="Y1282">HLOOKUP($J1282,'Type Chart'!$C$2:$T$20,6,false)*HLOOKUP($K1282,'Type Chart'!$C$2:$U$20,6,false)</f>
        <v>1</v>
      </c>
      <c r="Z1282" s="960">
        <f t="array" ref="Z1282">HLOOKUP($J1282,'Type Chart'!$C$2:$T$20,7,false)*HLOOKUP($K1282,'Type Chart'!$C$2:$U$20,7,false)</f>
        <v>2</v>
      </c>
      <c r="AA1282" s="960">
        <f t="array" ref="AA1282">HLOOKUP($J1282,'Type Chart'!$C$2:$T$20,8,false)*HLOOKUP($K1282,'Type Chart'!$C$2:$U$20,8,false)</f>
        <v>0.5</v>
      </c>
      <c r="AB1282" s="960">
        <f t="array" ref="AB1282">HLOOKUP($J1282,'Type Chart'!$C$2:$T$20,9,false)*HLOOKUP($K1282,'Type Chart'!$C$2:$U$20,9,false)</f>
        <v>1</v>
      </c>
      <c r="AC1282" s="960">
        <f t="array" ref="AC1282">HLOOKUP($J1282,'Type Chart'!$C$2:$T$20,10,false)*HLOOKUP($K1282,'Type Chart'!$C$2:$U$20,10,false)</f>
        <v>1</v>
      </c>
      <c r="AD1282" s="960">
        <f t="array" ref="AD1282">HLOOKUP($J1282,'Type Chart'!$C$2:$T$20,11,false)*HLOOKUP($K1282,'Type Chart'!$C$2:$U$20,11,false)</f>
        <v>2</v>
      </c>
      <c r="AE1282" s="960">
        <f t="array" ref="AE1282">HLOOKUP($J1282,'Type Chart'!$C$2:$T$20,12,false)*HLOOKUP($K1282,'Type Chart'!$C$2:$U$20,12,false)</f>
        <v>1</v>
      </c>
      <c r="AF1282" s="960">
        <f t="array" ref="AF1282">HLOOKUP($J1282,'Type Chart'!$C$2:$T$20,13,false)*HLOOKUP($K1282,'Type Chart'!$C$2:$U$20,13,false)</f>
        <v>0.25</v>
      </c>
      <c r="AG1282" s="960">
        <f t="array" ref="AG1282">HLOOKUP($J1282,'Type Chart'!$C$2:$T$20,14,false)*HLOOKUP($K1282,'Type Chart'!$C$2:$U$20,14,false)</f>
        <v>1</v>
      </c>
      <c r="AH1282" s="960">
        <f t="array" ref="AH1282">HLOOKUP($J1282,'Type Chart'!$C$2:$T$20,15,false)*HLOOKUP($K1282,'Type Chart'!$C$2:$U$20,15,false)</f>
        <v>2</v>
      </c>
      <c r="AI1282" s="960">
        <f t="array" ref="AI1282">HLOOKUP($J1282,'Type Chart'!$C$2:$T$20,16,false)*HLOOKUP($K1282,'Type Chart'!$C$2:$U$20,16,false)</f>
        <v>1</v>
      </c>
      <c r="AJ1282" s="960">
        <f t="array" ref="AJ1282">HLOOKUP($J1282,'Type Chart'!$C$2:$T$20,17,false)*HLOOKUP($K1282,'Type Chart'!$C$2:$U$20,17,false)</f>
        <v>1</v>
      </c>
      <c r="AK1282" s="960">
        <f t="array" ref="AK1282">HLOOKUP($J1282,'Type Chart'!$C$2:$T$20,18,false)*HLOOKUP($K1282,'Type Chart'!$C$2:$U$20,18,false)</f>
        <v>1</v>
      </c>
      <c r="AL1282" s="960">
        <f t="array" ref="AL1282">HLOOKUP($J1282,'Type Chart'!$C$2:$T$20,19,false)*HLOOKUP($K1282,'Type Chart'!$C$2:$U$20,19,false)</f>
        <v>0.5</v>
      </c>
      <c r="AM1282" s="964" t="s">
        <v>998</v>
      </c>
      <c r="AN1282" s="965"/>
      <c r="AO1282" s="966"/>
      <c r="AP1282" s="936"/>
      <c r="AQ1282" s="1245"/>
      <c r="AR1282" s="1245"/>
      <c r="AS1282" s="936"/>
    </row>
    <row r="1283" ht="15.75" customHeight="1">
      <c r="A1283" s="1099"/>
      <c r="B1283" s="948" t="s">
        <v>1010</v>
      </c>
      <c r="C1283" s="1197" t="s">
        <v>1011</v>
      </c>
      <c r="D1283" s="1197" t="s">
        <v>1011</v>
      </c>
      <c r="E1283" s="1147" t="s">
        <v>1011</v>
      </c>
      <c r="F1283" s="940"/>
      <c r="G1283" s="953"/>
      <c r="H1283" s="969"/>
      <c r="I1283" s="998" t="s">
        <v>4383</v>
      </c>
      <c r="J1283" s="1180" t="s">
        <v>343</v>
      </c>
      <c r="K1283" s="958" t="s">
        <v>178</v>
      </c>
      <c r="L1283" s="959">
        <v>65.0</v>
      </c>
      <c r="M1283" s="960">
        <v>90.0</v>
      </c>
      <c r="N1283" s="960">
        <v>40.0</v>
      </c>
      <c r="O1283" s="960">
        <v>45.0</v>
      </c>
      <c r="P1283" s="960">
        <v>80.0</v>
      </c>
      <c r="Q1283" s="960">
        <v>75.0</v>
      </c>
      <c r="R1283" s="960">
        <v>186.0</v>
      </c>
      <c r="S1283" s="960">
        <v>249.0</v>
      </c>
      <c r="T1283" s="960">
        <v>273.0</v>
      </c>
      <c r="U1283" s="960">
        <f t="array" ref="U1283">HLOOKUP($J1283,'Type Chart'!$C$2:$T$20,2,false)*HLOOKUP($K1283,'Type Chart'!$C$2:$U$20,2,false)</f>
        <v>1</v>
      </c>
      <c r="V1283" s="960">
        <f t="array" ref="V1283">HLOOKUP($J1283,'Type Chart'!$C$2:$T$20,3,false)*HLOOKUP($K1283,'Type Chart'!$C$2:$U$20,3,false)</f>
        <v>0.25</v>
      </c>
      <c r="W1283" s="960">
        <f t="array" ref="W1283">HLOOKUP($J1283,'Type Chart'!$C$2:$T$20,4,false)*HLOOKUP($K1283,'Type Chart'!$C$2:$U$20,4,false)</f>
        <v>2</v>
      </c>
      <c r="X1283" s="960">
        <f t="array" ref="X1283">HLOOKUP($J1283,'Type Chart'!$C$2:$T$20,5,false)*HLOOKUP($K1283,'Type Chart'!$C$2:$U$20,5,false)</f>
        <v>0.5</v>
      </c>
      <c r="Y1283" s="960">
        <f t="array" ref="Y1283">HLOOKUP($J1283,'Type Chart'!$C$2:$T$20,6,false)*HLOOKUP($K1283,'Type Chart'!$C$2:$U$20,6,false)</f>
        <v>1</v>
      </c>
      <c r="Z1283" s="960">
        <f t="array" ref="Z1283">HLOOKUP($J1283,'Type Chart'!$C$2:$T$20,7,false)*HLOOKUP($K1283,'Type Chart'!$C$2:$U$20,7,false)</f>
        <v>2</v>
      </c>
      <c r="AA1283" s="960">
        <f t="array" ref="AA1283">HLOOKUP($J1283,'Type Chart'!$C$2:$T$20,8,false)*HLOOKUP($K1283,'Type Chart'!$C$2:$U$20,8,false)</f>
        <v>0.5</v>
      </c>
      <c r="AB1283" s="960">
        <f t="array" ref="AB1283">HLOOKUP($J1283,'Type Chart'!$C$2:$T$20,9,false)*HLOOKUP($K1283,'Type Chart'!$C$2:$U$20,9,false)</f>
        <v>1</v>
      </c>
      <c r="AC1283" s="960">
        <f t="array" ref="AC1283">HLOOKUP($J1283,'Type Chart'!$C$2:$T$20,10,false)*HLOOKUP($K1283,'Type Chart'!$C$2:$U$20,10,false)</f>
        <v>1</v>
      </c>
      <c r="AD1283" s="960">
        <f t="array" ref="AD1283">HLOOKUP($J1283,'Type Chart'!$C$2:$T$20,11,false)*HLOOKUP($K1283,'Type Chart'!$C$2:$U$20,11,false)</f>
        <v>2</v>
      </c>
      <c r="AE1283" s="960">
        <f t="array" ref="AE1283">HLOOKUP($J1283,'Type Chart'!$C$2:$T$20,12,false)*HLOOKUP($K1283,'Type Chart'!$C$2:$U$20,12,false)</f>
        <v>1</v>
      </c>
      <c r="AF1283" s="960">
        <f t="array" ref="AF1283">HLOOKUP($J1283,'Type Chart'!$C$2:$T$20,13,false)*HLOOKUP($K1283,'Type Chart'!$C$2:$U$20,13,false)</f>
        <v>0.25</v>
      </c>
      <c r="AG1283" s="960">
        <f t="array" ref="AG1283">HLOOKUP($J1283,'Type Chart'!$C$2:$T$20,14,false)*HLOOKUP($K1283,'Type Chart'!$C$2:$U$20,14,false)</f>
        <v>1</v>
      </c>
      <c r="AH1283" s="960">
        <f t="array" ref="AH1283">HLOOKUP($J1283,'Type Chart'!$C$2:$T$20,15,false)*HLOOKUP($K1283,'Type Chart'!$C$2:$U$20,15,false)</f>
        <v>2</v>
      </c>
      <c r="AI1283" s="960">
        <f t="array" ref="AI1283">HLOOKUP($J1283,'Type Chart'!$C$2:$T$20,16,false)*HLOOKUP($K1283,'Type Chart'!$C$2:$U$20,16,false)</f>
        <v>1</v>
      </c>
      <c r="AJ1283" s="960">
        <f t="array" ref="AJ1283">HLOOKUP($J1283,'Type Chart'!$C$2:$T$20,17,false)*HLOOKUP($K1283,'Type Chart'!$C$2:$U$20,17,false)</f>
        <v>1</v>
      </c>
      <c r="AK1283" s="960">
        <f t="array" ref="AK1283">HLOOKUP($J1283,'Type Chart'!$C$2:$T$20,18,false)*HLOOKUP($K1283,'Type Chart'!$C$2:$U$20,18,false)</f>
        <v>1</v>
      </c>
      <c r="AL1283" s="960">
        <f t="array" ref="AL1283">HLOOKUP($J1283,'Type Chart'!$C$2:$T$20,19,false)*HLOOKUP($K1283,'Type Chart'!$C$2:$U$20,19,false)</f>
        <v>0.5</v>
      </c>
      <c r="AM1283" s="964" t="s">
        <v>1013</v>
      </c>
      <c r="AN1283" s="965"/>
      <c r="AO1283" s="966" t="s">
        <v>1014</v>
      </c>
      <c r="AP1283" s="936"/>
      <c r="AQ1283" s="1245"/>
      <c r="AR1283" s="1245"/>
      <c r="AS1283" s="936"/>
    </row>
    <row r="1284" ht="15.75" customHeight="1">
      <c r="A1284" s="1099"/>
      <c r="B1284" s="948" t="s">
        <v>1015</v>
      </c>
      <c r="C1284" s="1197" t="s">
        <v>1016</v>
      </c>
      <c r="D1284" s="1197" t="s">
        <v>1016</v>
      </c>
      <c r="E1284" s="1147" t="s">
        <v>1016</v>
      </c>
      <c r="F1284" s="940"/>
      <c r="G1284" s="953"/>
      <c r="H1284" s="969"/>
      <c r="I1284" s="998" t="s">
        <v>4384</v>
      </c>
      <c r="J1284" s="1180" t="s">
        <v>343</v>
      </c>
      <c r="K1284" s="958" t="s">
        <v>178</v>
      </c>
      <c r="L1284" s="959">
        <v>65.0</v>
      </c>
      <c r="M1284" s="960">
        <v>150.0</v>
      </c>
      <c r="N1284" s="960">
        <v>40.0</v>
      </c>
      <c r="O1284" s="960">
        <v>15.0</v>
      </c>
      <c r="P1284" s="960">
        <v>80.0</v>
      </c>
      <c r="Q1284" s="960">
        <v>145.0</v>
      </c>
      <c r="R1284" s="960">
        <v>326.0</v>
      </c>
      <c r="S1284" s="960">
        <v>389.0</v>
      </c>
      <c r="T1284" s="960">
        <v>427.0</v>
      </c>
      <c r="U1284" s="960">
        <f t="array" ref="U1284">HLOOKUP($J1284,'Type Chart'!$C$2:$T$20,2,false)*HLOOKUP($K1284,'Type Chart'!$C$2:$U$20,2,false)</f>
        <v>1</v>
      </c>
      <c r="V1284" s="960">
        <f t="array" ref="V1284">HLOOKUP($J1284,'Type Chart'!$C$2:$T$20,3,false)*HLOOKUP($K1284,'Type Chart'!$C$2:$U$20,3,false)</f>
        <v>0.25</v>
      </c>
      <c r="W1284" s="960">
        <f t="array" ref="W1284">HLOOKUP($J1284,'Type Chart'!$C$2:$T$20,4,false)*HLOOKUP($K1284,'Type Chart'!$C$2:$U$20,4,false)</f>
        <v>2</v>
      </c>
      <c r="X1284" s="960">
        <f t="array" ref="X1284">HLOOKUP($J1284,'Type Chart'!$C$2:$T$20,5,false)*HLOOKUP($K1284,'Type Chart'!$C$2:$U$20,5,false)</f>
        <v>0.5</v>
      </c>
      <c r="Y1284" s="960">
        <f t="array" ref="Y1284">HLOOKUP($J1284,'Type Chart'!$C$2:$T$20,6,false)*HLOOKUP($K1284,'Type Chart'!$C$2:$U$20,6,false)</f>
        <v>1</v>
      </c>
      <c r="Z1284" s="960">
        <f t="array" ref="Z1284">HLOOKUP($J1284,'Type Chart'!$C$2:$T$20,7,false)*HLOOKUP($K1284,'Type Chart'!$C$2:$U$20,7,false)</f>
        <v>2</v>
      </c>
      <c r="AA1284" s="960">
        <f t="array" ref="AA1284">HLOOKUP($J1284,'Type Chart'!$C$2:$T$20,8,false)*HLOOKUP($K1284,'Type Chart'!$C$2:$U$20,8,false)</f>
        <v>0.5</v>
      </c>
      <c r="AB1284" s="960">
        <f t="array" ref="AB1284">HLOOKUP($J1284,'Type Chart'!$C$2:$T$20,9,false)*HLOOKUP($K1284,'Type Chart'!$C$2:$U$20,9,false)</f>
        <v>1</v>
      </c>
      <c r="AC1284" s="960">
        <f t="array" ref="AC1284">HLOOKUP($J1284,'Type Chart'!$C$2:$T$20,10,false)*HLOOKUP($K1284,'Type Chart'!$C$2:$U$20,10,false)</f>
        <v>1</v>
      </c>
      <c r="AD1284" s="960">
        <f t="array" ref="AD1284">HLOOKUP($J1284,'Type Chart'!$C$2:$T$20,11,false)*HLOOKUP($K1284,'Type Chart'!$C$2:$U$20,11,false)</f>
        <v>2</v>
      </c>
      <c r="AE1284" s="960">
        <f t="array" ref="AE1284">HLOOKUP($J1284,'Type Chart'!$C$2:$T$20,12,false)*HLOOKUP($K1284,'Type Chart'!$C$2:$U$20,12,false)</f>
        <v>1</v>
      </c>
      <c r="AF1284" s="960">
        <f t="array" ref="AF1284">HLOOKUP($J1284,'Type Chart'!$C$2:$T$20,13,false)*HLOOKUP($K1284,'Type Chart'!$C$2:$U$20,13,false)</f>
        <v>0.25</v>
      </c>
      <c r="AG1284" s="960">
        <f t="array" ref="AG1284">HLOOKUP($J1284,'Type Chart'!$C$2:$T$20,14,false)*HLOOKUP($K1284,'Type Chart'!$C$2:$U$20,14,false)</f>
        <v>1</v>
      </c>
      <c r="AH1284" s="960">
        <f t="array" ref="AH1284">HLOOKUP($J1284,'Type Chart'!$C$2:$T$20,15,false)*HLOOKUP($K1284,'Type Chart'!$C$2:$U$20,15,false)</f>
        <v>2</v>
      </c>
      <c r="AI1284" s="960">
        <f t="array" ref="AI1284">HLOOKUP($J1284,'Type Chart'!$C$2:$T$20,16,false)*HLOOKUP($K1284,'Type Chart'!$C$2:$U$20,16,false)</f>
        <v>1</v>
      </c>
      <c r="AJ1284" s="960">
        <f t="array" ref="AJ1284">HLOOKUP($J1284,'Type Chart'!$C$2:$T$20,17,false)*HLOOKUP($K1284,'Type Chart'!$C$2:$U$20,17,false)</f>
        <v>1</v>
      </c>
      <c r="AK1284" s="960">
        <f t="array" ref="AK1284">HLOOKUP($J1284,'Type Chart'!$C$2:$T$20,18,false)*HLOOKUP($K1284,'Type Chart'!$C$2:$U$20,18,false)</f>
        <v>1</v>
      </c>
      <c r="AL1284" s="960">
        <f t="array" ref="AL1284">HLOOKUP($J1284,'Type Chart'!$C$2:$T$20,19,false)*HLOOKUP($K1284,'Type Chart'!$C$2:$U$20,19,false)</f>
        <v>0.5</v>
      </c>
      <c r="AM1284" s="964" t="s">
        <v>1018</v>
      </c>
      <c r="AN1284" s="965"/>
      <c r="AO1284" s="966"/>
      <c r="AP1284" s="936"/>
      <c r="AQ1284" s="1245"/>
      <c r="AR1284" s="1245"/>
      <c r="AS1284" s="936"/>
    </row>
    <row r="1285" ht="15.75" customHeight="1">
      <c r="A1285" s="1099"/>
      <c r="B1285" s="948" t="s">
        <v>1019</v>
      </c>
      <c r="C1285" s="1197" t="s">
        <v>1020</v>
      </c>
      <c r="D1285" s="1197" t="s">
        <v>1020</v>
      </c>
      <c r="E1285" s="1147" t="s">
        <v>1020</v>
      </c>
      <c r="F1285" s="940"/>
      <c r="G1285" s="953"/>
      <c r="H1285" s="969"/>
      <c r="I1285" s="998" t="s">
        <v>4385</v>
      </c>
      <c r="J1285" s="1194" t="s">
        <v>136</v>
      </c>
      <c r="K1285" s="1001" t="s">
        <v>128</v>
      </c>
      <c r="L1285" s="959">
        <v>40.0</v>
      </c>
      <c r="M1285" s="960">
        <v>45.0</v>
      </c>
      <c r="N1285" s="960">
        <v>40.0</v>
      </c>
      <c r="O1285" s="960">
        <v>35.0</v>
      </c>
      <c r="P1285" s="960">
        <v>35.0</v>
      </c>
      <c r="Q1285" s="960">
        <v>56.0</v>
      </c>
      <c r="R1285" s="960">
        <v>148.0</v>
      </c>
      <c r="S1285" s="960">
        <v>211.0</v>
      </c>
      <c r="T1285" s="960">
        <v>232.0</v>
      </c>
      <c r="U1285" s="960">
        <f t="array" ref="U1285">HLOOKUP($J1285,'Type Chart'!$C$2:$T$20,2,false)*HLOOKUP($K1285,'Type Chart'!$C$2:$U$20,2,false)</f>
        <v>1</v>
      </c>
      <c r="V1285" s="960">
        <f t="array" ref="V1285">HLOOKUP($J1285,'Type Chart'!$C$2:$T$20,3,false)*HLOOKUP($K1285,'Type Chart'!$C$2:$U$20,3,false)</f>
        <v>1</v>
      </c>
      <c r="W1285" s="960">
        <f t="array" ref="W1285">HLOOKUP($J1285,'Type Chart'!$C$2:$T$20,4,false)*HLOOKUP($K1285,'Type Chart'!$C$2:$U$20,4,false)</f>
        <v>1</v>
      </c>
      <c r="X1285" s="960">
        <f t="array" ref="X1285">HLOOKUP($J1285,'Type Chart'!$C$2:$T$20,5,false)*HLOOKUP($K1285,'Type Chart'!$C$2:$U$20,5,false)</f>
        <v>1</v>
      </c>
      <c r="Y1285" s="960">
        <f t="array" ref="Y1285">HLOOKUP($J1285,'Type Chart'!$C$2:$T$20,6,false)*HLOOKUP($K1285,'Type Chart'!$C$2:$U$20,6,false)</f>
        <v>0</v>
      </c>
      <c r="Z1285" s="960">
        <f t="array" ref="Z1285">HLOOKUP($J1285,'Type Chart'!$C$2:$T$20,7,false)*HLOOKUP($K1285,'Type Chart'!$C$2:$U$20,7,false)</f>
        <v>2</v>
      </c>
      <c r="AA1285" s="960">
        <f t="array" ref="AA1285">HLOOKUP($J1285,'Type Chart'!$C$2:$T$20,8,false)*HLOOKUP($K1285,'Type Chart'!$C$2:$U$20,8,false)</f>
        <v>0.5</v>
      </c>
      <c r="AB1285" s="960">
        <f t="array" ref="AB1285">HLOOKUP($J1285,'Type Chart'!$C$2:$T$20,9,false)*HLOOKUP($K1285,'Type Chart'!$C$2:$U$20,9,false)</f>
        <v>0</v>
      </c>
      <c r="AC1285" s="960">
        <f t="array" ref="AC1285">HLOOKUP($J1285,'Type Chart'!$C$2:$T$20,10,false)*HLOOKUP($K1285,'Type Chart'!$C$2:$U$20,10,false)</f>
        <v>1</v>
      </c>
      <c r="AD1285" s="960">
        <f t="array" ref="AD1285">HLOOKUP($J1285,'Type Chart'!$C$2:$T$20,11,false)*HLOOKUP($K1285,'Type Chart'!$C$2:$U$20,11,false)</f>
        <v>1</v>
      </c>
      <c r="AE1285" s="960">
        <f t="array" ref="AE1285">HLOOKUP($J1285,'Type Chart'!$C$2:$T$20,12,false)*HLOOKUP($K1285,'Type Chart'!$C$2:$U$20,12,false)</f>
        <v>1</v>
      </c>
      <c r="AF1285" s="960">
        <f t="array" ref="AF1285">HLOOKUP($J1285,'Type Chart'!$C$2:$T$20,13,false)*HLOOKUP($K1285,'Type Chart'!$C$2:$U$20,13,false)</f>
        <v>0.5</v>
      </c>
      <c r="AG1285" s="960">
        <f t="array" ref="AG1285">HLOOKUP($J1285,'Type Chart'!$C$2:$T$20,14,false)*HLOOKUP($K1285,'Type Chart'!$C$2:$U$20,14,false)</f>
        <v>2</v>
      </c>
      <c r="AH1285" s="960">
        <f t="array" ref="AH1285">HLOOKUP($J1285,'Type Chart'!$C$2:$T$20,15,false)*HLOOKUP($K1285,'Type Chart'!$C$2:$U$20,15,false)</f>
        <v>1</v>
      </c>
      <c r="AI1285" s="960">
        <f t="array" ref="AI1285">HLOOKUP($J1285,'Type Chart'!$C$2:$T$20,16,false)*HLOOKUP($K1285,'Type Chart'!$C$2:$U$20,16,false)</f>
        <v>2</v>
      </c>
      <c r="AJ1285" s="960">
        <f t="array" ref="AJ1285">HLOOKUP($J1285,'Type Chart'!$C$2:$T$20,17,false)*HLOOKUP($K1285,'Type Chart'!$C$2:$U$20,17,false)</f>
        <v>1</v>
      </c>
      <c r="AK1285" s="960">
        <f t="array" ref="AK1285">HLOOKUP($J1285,'Type Chart'!$C$2:$T$20,18,false)*HLOOKUP($K1285,'Type Chart'!$C$2:$U$20,18,false)</f>
        <v>1</v>
      </c>
      <c r="AL1285" s="960">
        <f t="array" ref="AL1285">HLOOKUP($J1285,'Type Chart'!$C$2:$T$20,19,false)*HLOOKUP($K1285,'Type Chart'!$C$2:$U$20,19,false)</f>
        <v>1</v>
      </c>
      <c r="AM1285" s="964" t="s">
        <v>1022</v>
      </c>
      <c r="AN1285" s="965" t="s">
        <v>1023</v>
      </c>
      <c r="AO1285" s="966" t="s">
        <v>1024</v>
      </c>
      <c r="AP1285" s="936"/>
      <c r="AQ1285" s="1245"/>
      <c r="AR1285" s="1245"/>
      <c r="AS1285" s="936"/>
    </row>
    <row r="1286" ht="15.75" customHeight="1">
      <c r="A1286" s="1099"/>
      <c r="B1286" s="948" t="s">
        <v>1025</v>
      </c>
      <c r="C1286" s="1197" t="s">
        <v>1026</v>
      </c>
      <c r="D1286" s="1197" t="s">
        <v>1026</v>
      </c>
      <c r="E1286" s="1147" t="s">
        <v>1026</v>
      </c>
      <c r="F1286" s="940"/>
      <c r="G1286" s="953"/>
      <c r="H1286" s="969"/>
      <c r="I1286" s="998" t="s">
        <v>4386</v>
      </c>
      <c r="J1286" s="1194" t="s">
        <v>136</v>
      </c>
      <c r="K1286" s="1001" t="s">
        <v>128</v>
      </c>
      <c r="L1286" s="959">
        <v>63.0</v>
      </c>
      <c r="M1286" s="960">
        <v>60.0</v>
      </c>
      <c r="N1286" s="960">
        <v>55.0</v>
      </c>
      <c r="O1286" s="960">
        <v>50.0</v>
      </c>
      <c r="P1286" s="960">
        <v>50.0</v>
      </c>
      <c r="Q1286" s="960">
        <v>71.0</v>
      </c>
      <c r="R1286" s="960">
        <v>178.0</v>
      </c>
      <c r="S1286" s="960">
        <v>241.0</v>
      </c>
      <c r="T1286" s="960">
        <v>265.0</v>
      </c>
      <c r="U1286" s="960">
        <f t="array" ref="U1286">HLOOKUP($J1286,'Type Chart'!$C$2:$T$20,2,false)*HLOOKUP($K1286,'Type Chart'!$C$2:$U$20,2,false)</f>
        <v>1</v>
      </c>
      <c r="V1286" s="960">
        <f t="array" ref="V1286">HLOOKUP($J1286,'Type Chart'!$C$2:$T$20,3,false)*HLOOKUP($K1286,'Type Chart'!$C$2:$U$20,3,false)</f>
        <v>1</v>
      </c>
      <c r="W1286" s="960">
        <f t="array" ref="W1286">HLOOKUP($J1286,'Type Chart'!$C$2:$T$20,4,false)*HLOOKUP($K1286,'Type Chart'!$C$2:$U$20,4,false)</f>
        <v>1</v>
      </c>
      <c r="X1286" s="960">
        <f t="array" ref="X1286">HLOOKUP($J1286,'Type Chart'!$C$2:$T$20,5,false)*HLOOKUP($K1286,'Type Chart'!$C$2:$U$20,5,false)</f>
        <v>1</v>
      </c>
      <c r="Y1286" s="960">
        <f t="array" ref="Y1286">HLOOKUP($J1286,'Type Chart'!$C$2:$T$20,6,false)*HLOOKUP($K1286,'Type Chart'!$C$2:$U$20,6,false)</f>
        <v>0</v>
      </c>
      <c r="Z1286" s="960">
        <f t="array" ref="Z1286">HLOOKUP($J1286,'Type Chart'!$C$2:$T$20,7,false)*HLOOKUP($K1286,'Type Chart'!$C$2:$U$20,7,false)</f>
        <v>2</v>
      </c>
      <c r="AA1286" s="960">
        <f t="array" ref="AA1286">HLOOKUP($J1286,'Type Chart'!$C$2:$T$20,8,false)*HLOOKUP($K1286,'Type Chart'!$C$2:$U$20,8,false)</f>
        <v>0.5</v>
      </c>
      <c r="AB1286" s="960">
        <f t="array" ref="AB1286">HLOOKUP($J1286,'Type Chart'!$C$2:$T$20,9,false)*HLOOKUP($K1286,'Type Chart'!$C$2:$U$20,9,false)</f>
        <v>0</v>
      </c>
      <c r="AC1286" s="960">
        <f t="array" ref="AC1286">HLOOKUP($J1286,'Type Chart'!$C$2:$T$20,10,false)*HLOOKUP($K1286,'Type Chart'!$C$2:$U$20,10,false)</f>
        <v>1</v>
      </c>
      <c r="AD1286" s="960">
        <f t="array" ref="AD1286">HLOOKUP($J1286,'Type Chart'!$C$2:$T$20,11,false)*HLOOKUP($K1286,'Type Chart'!$C$2:$U$20,11,false)</f>
        <v>1</v>
      </c>
      <c r="AE1286" s="960">
        <f t="array" ref="AE1286">HLOOKUP($J1286,'Type Chart'!$C$2:$T$20,12,false)*HLOOKUP($K1286,'Type Chart'!$C$2:$U$20,12,false)</f>
        <v>1</v>
      </c>
      <c r="AF1286" s="960">
        <f t="array" ref="AF1286">HLOOKUP($J1286,'Type Chart'!$C$2:$T$20,13,false)*HLOOKUP($K1286,'Type Chart'!$C$2:$U$20,13,false)</f>
        <v>0.5</v>
      </c>
      <c r="AG1286" s="960">
        <f t="array" ref="AG1286">HLOOKUP($J1286,'Type Chart'!$C$2:$T$20,14,false)*HLOOKUP($K1286,'Type Chart'!$C$2:$U$20,14,false)</f>
        <v>2</v>
      </c>
      <c r="AH1286" s="960">
        <f t="array" ref="AH1286">HLOOKUP($J1286,'Type Chart'!$C$2:$T$20,15,false)*HLOOKUP($K1286,'Type Chart'!$C$2:$U$20,15,false)</f>
        <v>1</v>
      </c>
      <c r="AI1286" s="960">
        <f t="array" ref="AI1286">HLOOKUP($J1286,'Type Chart'!$C$2:$T$20,16,false)*HLOOKUP($K1286,'Type Chart'!$C$2:$U$20,16,false)</f>
        <v>2</v>
      </c>
      <c r="AJ1286" s="960">
        <f t="array" ref="AJ1286">HLOOKUP($J1286,'Type Chart'!$C$2:$T$20,17,false)*HLOOKUP($K1286,'Type Chart'!$C$2:$U$20,17,false)</f>
        <v>1</v>
      </c>
      <c r="AK1286" s="960">
        <f t="array" ref="AK1286">HLOOKUP($J1286,'Type Chart'!$C$2:$T$20,18,false)*HLOOKUP($K1286,'Type Chart'!$C$2:$U$20,18,false)</f>
        <v>1</v>
      </c>
      <c r="AL1286" s="960">
        <f t="array" ref="AL1286">HLOOKUP($J1286,'Type Chart'!$C$2:$T$20,19,false)*HLOOKUP($K1286,'Type Chart'!$C$2:$U$20,19,false)</f>
        <v>1</v>
      </c>
      <c r="AM1286" s="964" t="s">
        <v>1022</v>
      </c>
      <c r="AN1286" s="965" t="s">
        <v>1023</v>
      </c>
      <c r="AO1286" s="966" t="s">
        <v>1024</v>
      </c>
      <c r="AP1286" s="936"/>
      <c r="AQ1286" s="1245"/>
      <c r="AR1286" s="1245"/>
      <c r="AS1286" s="936"/>
    </row>
    <row r="1287" ht="15.75" customHeight="1">
      <c r="A1287" s="1099"/>
      <c r="B1287" s="948" t="s">
        <v>1028</v>
      </c>
      <c r="C1287" s="1197" t="s">
        <v>1029</v>
      </c>
      <c r="D1287" s="1197" t="s">
        <v>1029</v>
      </c>
      <c r="E1287" s="1147" t="s">
        <v>1029</v>
      </c>
      <c r="F1287" s="940"/>
      <c r="G1287" s="953"/>
      <c r="H1287" s="969"/>
      <c r="I1287" s="998" t="s">
        <v>4387</v>
      </c>
      <c r="J1287" s="1194" t="s">
        <v>136</v>
      </c>
      <c r="K1287" s="1001" t="s">
        <v>128</v>
      </c>
      <c r="L1287" s="959">
        <v>83.0</v>
      </c>
      <c r="M1287" s="960">
        <v>80.0</v>
      </c>
      <c r="N1287" s="960">
        <v>75.0</v>
      </c>
      <c r="O1287" s="960">
        <v>70.0</v>
      </c>
      <c r="P1287" s="960">
        <v>70.0</v>
      </c>
      <c r="Q1287" s="960">
        <v>101.0</v>
      </c>
      <c r="R1287" s="960">
        <v>238.0</v>
      </c>
      <c r="S1287" s="960">
        <v>301.0</v>
      </c>
      <c r="T1287" s="960">
        <v>331.0</v>
      </c>
      <c r="U1287" s="960">
        <f t="array" ref="U1287">HLOOKUP($J1287,'Type Chart'!$C$2:$T$20,2,false)*HLOOKUP($K1287,'Type Chart'!$C$2:$U$20,2,false)</f>
        <v>1</v>
      </c>
      <c r="V1287" s="960">
        <f t="array" ref="V1287">HLOOKUP($J1287,'Type Chart'!$C$2:$T$20,3,false)*HLOOKUP($K1287,'Type Chart'!$C$2:$U$20,3,false)</f>
        <v>1</v>
      </c>
      <c r="W1287" s="960">
        <f t="array" ref="W1287">HLOOKUP($J1287,'Type Chart'!$C$2:$T$20,4,false)*HLOOKUP($K1287,'Type Chart'!$C$2:$U$20,4,false)</f>
        <v>1</v>
      </c>
      <c r="X1287" s="960">
        <f t="array" ref="X1287">HLOOKUP($J1287,'Type Chart'!$C$2:$T$20,5,false)*HLOOKUP($K1287,'Type Chart'!$C$2:$U$20,5,false)</f>
        <v>1</v>
      </c>
      <c r="Y1287" s="960">
        <f t="array" ref="Y1287">HLOOKUP($J1287,'Type Chart'!$C$2:$T$20,6,false)*HLOOKUP($K1287,'Type Chart'!$C$2:$U$20,6,false)</f>
        <v>0</v>
      </c>
      <c r="Z1287" s="960">
        <f t="array" ref="Z1287">HLOOKUP($J1287,'Type Chart'!$C$2:$T$20,7,false)*HLOOKUP($K1287,'Type Chart'!$C$2:$U$20,7,false)</f>
        <v>2</v>
      </c>
      <c r="AA1287" s="960">
        <f t="array" ref="AA1287">HLOOKUP($J1287,'Type Chart'!$C$2:$T$20,8,false)*HLOOKUP($K1287,'Type Chart'!$C$2:$U$20,8,false)</f>
        <v>0.5</v>
      </c>
      <c r="AB1287" s="960">
        <f t="array" ref="AB1287">HLOOKUP($J1287,'Type Chart'!$C$2:$T$20,9,false)*HLOOKUP($K1287,'Type Chart'!$C$2:$U$20,9,false)</f>
        <v>0</v>
      </c>
      <c r="AC1287" s="960">
        <f t="array" ref="AC1287">HLOOKUP($J1287,'Type Chart'!$C$2:$T$20,10,false)*HLOOKUP($K1287,'Type Chart'!$C$2:$U$20,10,false)</f>
        <v>1</v>
      </c>
      <c r="AD1287" s="960">
        <f t="array" ref="AD1287">HLOOKUP($J1287,'Type Chart'!$C$2:$T$20,11,false)*HLOOKUP($K1287,'Type Chart'!$C$2:$U$20,11,false)</f>
        <v>1</v>
      </c>
      <c r="AE1287" s="960">
        <f t="array" ref="AE1287">HLOOKUP($J1287,'Type Chart'!$C$2:$T$20,12,false)*HLOOKUP($K1287,'Type Chart'!$C$2:$U$20,12,false)</f>
        <v>1</v>
      </c>
      <c r="AF1287" s="960">
        <f t="array" ref="AF1287">HLOOKUP($J1287,'Type Chart'!$C$2:$T$20,13,false)*HLOOKUP($K1287,'Type Chart'!$C$2:$U$20,13,false)</f>
        <v>0.5</v>
      </c>
      <c r="AG1287" s="960">
        <f t="array" ref="AG1287">HLOOKUP($J1287,'Type Chart'!$C$2:$T$20,14,false)*HLOOKUP($K1287,'Type Chart'!$C$2:$U$20,14,false)</f>
        <v>2</v>
      </c>
      <c r="AH1287" s="960">
        <f t="array" ref="AH1287">HLOOKUP($J1287,'Type Chart'!$C$2:$T$20,15,false)*HLOOKUP($K1287,'Type Chart'!$C$2:$U$20,15,false)</f>
        <v>1</v>
      </c>
      <c r="AI1287" s="960">
        <f t="array" ref="AI1287">HLOOKUP($J1287,'Type Chart'!$C$2:$T$20,16,false)*HLOOKUP($K1287,'Type Chart'!$C$2:$U$20,16,false)</f>
        <v>2</v>
      </c>
      <c r="AJ1287" s="960">
        <f t="array" ref="AJ1287">HLOOKUP($J1287,'Type Chart'!$C$2:$T$20,17,false)*HLOOKUP($K1287,'Type Chart'!$C$2:$U$20,17,false)</f>
        <v>1</v>
      </c>
      <c r="AK1287" s="960">
        <f t="array" ref="AK1287">HLOOKUP($J1287,'Type Chart'!$C$2:$T$20,18,false)*HLOOKUP($K1287,'Type Chart'!$C$2:$U$20,18,false)</f>
        <v>1</v>
      </c>
      <c r="AL1287" s="960">
        <f t="array" ref="AL1287">HLOOKUP($J1287,'Type Chart'!$C$2:$T$20,19,false)*HLOOKUP($K1287,'Type Chart'!$C$2:$U$20,19,false)</f>
        <v>1</v>
      </c>
      <c r="AM1287" s="964" t="s">
        <v>1022</v>
      </c>
      <c r="AN1287" s="965" t="s">
        <v>1023</v>
      </c>
      <c r="AO1287" s="966" t="s">
        <v>1024</v>
      </c>
      <c r="AP1287" s="936"/>
      <c r="AQ1287" s="1245"/>
      <c r="AR1287" s="1245"/>
      <c r="AS1287" s="936"/>
    </row>
    <row r="1288" ht="15.75" customHeight="1">
      <c r="A1288" s="1099"/>
      <c r="B1288" s="948" t="s">
        <v>1031</v>
      </c>
      <c r="C1288" s="1197" t="s">
        <v>1032</v>
      </c>
      <c r="D1288" s="1197" t="s">
        <v>1032</v>
      </c>
      <c r="E1288" s="1147" t="s">
        <v>1032</v>
      </c>
      <c r="F1288" s="940"/>
      <c r="G1288" s="953"/>
      <c r="H1288" s="969"/>
      <c r="I1288" s="998" t="s">
        <v>4388</v>
      </c>
      <c r="J1288" s="1194" t="s">
        <v>136</v>
      </c>
      <c r="K1288" s="1001" t="s">
        <v>128</v>
      </c>
      <c r="L1288" s="959">
        <v>83.0</v>
      </c>
      <c r="M1288" s="960">
        <v>80.0</v>
      </c>
      <c r="N1288" s="960">
        <v>80.0</v>
      </c>
      <c r="O1288" s="960">
        <v>135.0</v>
      </c>
      <c r="P1288" s="960">
        <v>80.0</v>
      </c>
      <c r="Q1288" s="960">
        <v>121.0</v>
      </c>
      <c r="R1288" s="960">
        <v>278.0</v>
      </c>
      <c r="S1288" s="960">
        <v>341.0</v>
      </c>
      <c r="T1288" s="960">
        <v>375.0</v>
      </c>
      <c r="U1288" s="960">
        <f t="array" ref="U1288">HLOOKUP($J1288,'Type Chart'!$C$2:$T$20,2,false)*HLOOKUP($K1288,'Type Chart'!$C$2:$U$20,2,false)</f>
        <v>1</v>
      </c>
      <c r="V1288" s="960">
        <f t="array" ref="V1288">HLOOKUP($J1288,'Type Chart'!$C$2:$T$20,3,false)*HLOOKUP($K1288,'Type Chart'!$C$2:$U$20,3,false)</f>
        <v>1</v>
      </c>
      <c r="W1288" s="960">
        <f t="array" ref="W1288">HLOOKUP($J1288,'Type Chart'!$C$2:$T$20,4,false)*HLOOKUP($K1288,'Type Chart'!$C$2:$U$20,4,false)</f>
        <v>1</v>
      </c>
      <c r="X1288" s="960">
        <f t="array" ref="X1288">HLOOKUP($J1288,'Type Chart'!$C$2:$T$20,5,false)*HLOOKUP($K1288,'Type Chart'!$C$2:$U$20,5,false)</f>
        <v>1</v>
      </c>
      <c r="Y1288" s="960">
        <f t="array" ref="Y1288">HLOOKUP($J1288,'Type Chart'!$C$2:$T$20,6,false)*HLOOKUP($K1288,'Type Chart'!$C$2:$U$20,6,false)</f>
        <v>0</v>
      </c>
      <c r="Z1288" s="960">
        <f t="array" ref="Z1288">HLOOKUP($J1288,'Type Chart'!$C$2:$T$20,7,false)*HLOOKUP($K1288,'Type Chart'!$C$2:$U$20,7,false)</f>
        <v>2</v>
      </c>
      <c r="AA1288" s="960">
        <f t="array" ref="AA1288">HLOOKUP($J1288,'Type Chart'!$C$2:$T$20,8,false)*HLOOKUP($K1288,'Type Chart'!$C$2:$U$20,8,false)</f>
        <v>0.5</v>
      </c>
      <c r="AB1288" s="960">
        <f t="array" ref="AB1288">HLOOKUP($J1288,'Type Chart'!$C$2:$T$20,9,false)*HLOOKUP($K1288,'Type Chart'!$C$2:$U$20,9,false)</f>
        <v>0</v>
      </c>
      <c r="AC1288" s="960">
        <f t="array" ref="AC1288">HLOOKUP($J1288,'Type Chart'!$C$2:$T$20,10,false)*HLOOKUP($K1288,'Type Chart'!$C$2:$U$20,10,false)</f>
        <v>1</v>
      </c>
      <c r="AD1288" s="960">
        <f t="array" ref="AD1288">HLOOKUP($J1288,'Type Chart'!$C$2:$T$20,11,false)*HLOOKUP($K1288,'Type Chart'!$C$2:$U$20,11,false)</f>
        <v>1</v>
      </c>
      <c r="AE1288" s="960">
        <f t="array" ref="AE1288">HLOOKUP($J1288,'Type Chart'!$C$2:$T$20,12,false)*HLOOKUP($K1288,'Type Chart'!$C$2:$U$20,12,false)</f>
        <v>1</v>
      </c>
      <c r="AF1288" s="960">
        <f t="array" ref="AF1288">HLOOKUP($J1288,'Type Chart'!$C$2:$T$20,13,false)*HLOOKUP($K1288,'Type Chart'!$C$2:$U$20,13,false)</f>
        <v>0.5</v>
      </c>
      <c r="AG1288" s="960">
        <f t="array" ref="AG1288">HLOOKUP($J1288,'Type Chart'!$C$2:$T$20,14,false)*HLOOKUP($K1288,'Type Chart'!$C$2:$U$20,14,false)</f>
        <v>2</v>
      </c>
      <c r="AH1288" s="960">
        <f t="array" ref="AH1288">HLOOKUP($J1288,'Type Chart'!$C$2:$T$20,15,false)*HLOOKUP($K1288,'Type Chart'!$C$2:$U$20,15,false)</f>
        <v>1</v>
      </c>
      <c r="AI1288" s="960">
        <f t="array" ref="AI1288">HLOOKUP($J1288,'Type Chart'!$C$2:$T$20,16,false)*HLOOKUP($K1288,'Type Chart'!$C$2:$U$20,16,false)</f>
        <v>2</v>
      </c>
      <c r="AJ1288" s="960">
        <f t="array" ref="AJ1288">HLOOKUP($J1288,'Type Chart'!$C$2:$T$20,17,false)*HLOOKUP($K1288,'Type Chart'!$C$2:$U$20,17,false)</f>
        <v>1</v>
      </c>
      <c r="AK1288" s="960">
        <f t="array" ref="AK1288">HLOOKUP($J1288,'Type Chart'!$C$2:$T$20,18,false)*HLOOKUP($K1288,'Type Chart'!$C$2:$U$20,18,false)</f>
        <v>1</v>
      </c>
      <c r="AL1288" s="960">
        <f t="array" ref="AL1288">HLOOKUP($J1288,'Type Chart'!$C$2:$T$20,19,false)*HLOOKUP($K1288,'Type Chart'!$C$2:$U$20,19,false)</f>
        <v>1</v>
      </c>
      <c r="AM1288" s="964" t="s">
        <v>1034</v>
      </c>
      <c r="AN1288" s="965"/>
      <c r="AO1288" s="966"/>
      <c r="AP1288" s="936"/>
      <c r="AQ1288" s="1245"/>
      <c r="AR1288" s="1245"/>
      <c r="AS1288" s="936"/>
    </row>
    <row r="1289" ht="15.75" customHeight="1">
      <c r="A1289" s="1099"/>
      <c r="B1289" s="948" t="s">
        <v>1035</v>
      </c>
      <c r="C1289" s="1197" t="s">
        <v>1036</v>
      </c>
      <c r="D1289" s="1197" t="s">
        <v>1036</v>
      </c>
      <c r="E1289" s="1147" t="s">
        <v>1036</v>
      </c>
      <c r="F1289" s="940"/>
      <c r="G1289" s="953"/>
      <c r="H1289" s="969"/>
      <c r="I1289" s="998" t="s">
        <v>4389</v>
      </c>
      <c r="J1289" s="1194" t="s">
        <v>136</v>
      </c>
      <c r="K1289" s="984" t="s">
        <v>216</v>
      </c>
      <c r="L1289" s="959">
        <v>30.0</v>
      </c>
      <c r="M1289" s="960">
        <v>56.0</v>
      </c>
      <c r="N1289" s="960">
        <v>35.0</v>
      </c>
      <c r="O1289" s="960">
        <v>25.0</v>
      </c>
      <c r="P1289" s="960">
        <v>35.0</v>
      </c>
      <c r="Q1289" s="960">
        <v>72.0</v>
      </c>
      <c r="R1289" s="960">
        <v>180.0</v>
      </c>
      <c r="S1289" s="960">
        <v>243.0</v>
      </c>
      <c r="T1289" s="960">
        <v>267.0</v>
      </c>
      <c r="U1289" s="960">
        <f t="array" ref="U1289">HLOOKUP($J1289,'Type Chart'!$C$2:$T$20,2,false)*HLOOKUP($K1289,'Type Chart'!$C$2:$U$20,2,false)</f>
        <v>1</v>
      </c>
      <c r="V1289" s="960">
        <f t="array" ref="V1289">HLOOKUP($J1289,'Type Chart'!$C$2:$T$20,3,false)*HLOOKUP($K1289,'Type Chart'!$C$2:$U$20,3,false)</f>
        <v>2</v>
      </c>
      <c r="W1289" s="960">
        <f t="array" ref="W1289">HLOOKUP($J1289,'Type Chart'!$C$2:$T$20,4,false)*HLOOKUP($K1289,'Type Chart'!$C$2:$U$20,4,false)</f>
        <v>1</v>
      </c>
      <c r="X1289" s="960">
        <f t="array" ref="X1289">HLOOKUP($J1289,'Type Chart'!$C$2:$T$20,5,false)*HLOOKUP($K1289,'Type Chart'!$C$2:$U$20,5,false)</f>
        <v>1</v>
      </c>
      <c r="Y1289" s="960">
        <f t="array" ref="Y1289">HLOOKUP($J1289,'Type Chart'!$C$2:$T$20,6,false)*HLOOKUP($K1289,'Type Chart'!$C$2:$U$20,6,false)</f>
        <v>1</v>
      </c>
      <c r="Z1289" s="960">
        <f t="array" ref="Z1289">HLOOKUP($J1289,'Type Chart'!$C$2:$T$20,7,false)*HLOOKUP($K1289,'Type Chart'!$C$2:$U$20,7,false)</f>
        <v>1</v>
      </c>
      <c r="AA1289" s="960">
        <f t="array" ref="AA1289">HLOOKUP($J1289,'Type Chart'!$C$2:$T$20,8,false)*HLOOKUP($K1289,'Type Chart'!$C$2:$U$20,8,false)</f>
        <v>1</v>
      </c>
      <c r="AB1289" s="960">
        <f t="array" ref="AB1289">HLOOKUP($J1289,'Type Chart'!$C$2:$T$20,9,false)*HLOOKUP($K1289,'Type Chart'!$C$2:$U$20,9,false)</f>
        <v>0</v>
      </c>
      <c r="AC1289" s="960">
        <f t="array" ref="AC1289">HLOOKUP($J1289,'Type Chart'!$C$2:$T$20,10,false)*HLOOKUP($K1289,'Type Chart'!$C$2:$U$20,10,false)</f>
        <v>1</v>
      </c>
      <c r="AD1289" s="960">
        <f t="array" ref="AD1289">HLOOKUP($J1289,'Type Chart'!$C$2:$T$20,11,false)*HLOOKUP($K1289,'Type Chart'!$C$2:$U$20,11,false)</f>
        <v>1</v>
      </c>
      <c r="AE1289" s="960">
        <f t="array" ref="AE1289">HLOOKUP($J1289,'Type Chart'!$C$2:$T$20,12,false)*HLOOKUP($K1289,'Type Chart'!$C$2:$U$20,12,false)</f>
        <v>1</v>
      </c>
      <c r="AF1289" s="960">
        <f t="array" ref="AF1289">HLOOKUP($J1289,'Type Chart'!$C$2:$T$20,13,false)*HLOOKUP($K1289,'Type Chart'!$C$2:$U$20,13,false)</f>
        <v>1</v>
      </c>
      <c r="AG1289" s="960">
        <f t="array" ref="AG1289">HLOOKUP($J1289,'Type Chart'!$C$2:$T$20,14,false)*HLOOKUP($K1289,'Type Chart'!$C$2:$U$20,14,false)</f>
        <v>1</v>
      </c>
      <c r="AH1289" s="960">
        <f t="array" ref="AH1289">HLOOKUP($J1289,'Type Chart'!$C$2:$T$20,15,false)*HLOOKUP($K1289,'Type Chart'!$C$2:$U$20,15,false)</f>
        <v>1</v>
      </c>
      <c r="AI1289" s="960">
        <f t="array" ref="AI1289">HLOOKUP($J1289,'Type Chart'!$C$2:$T$20,16,false)*HLOOKUP($K1289,'Type Chart'!$C$2:$U$20,16,false)</f>
        <v>1</v>
      </c>
      <c r="AJ1289" s="960">
        <f t="array" ref="AJ1289">HLOOKUP($J1289,'Type Chart'!$C$2:$T$20,17,false)*HLOOKUP($K1289,'Type Chart'!$C$2:$U$20,17,false)</f>
        <v>1</v>
      </c>
      <c r="AK1289" s="960">
        <f t="array" ref="AK1289">HLOOKUP($J1289,'Type Chart'!$C$2:$T$20,18,false)*HLOOKUP($K1289,'Type Chart'!$C$2:$U$20,18,false)</f>
        <v>1</v>
      </c>
      <c r="AL1289" s="960">
        <f t="array" ref="AL1289">HLOOKUP($J1289,'Type Chart'!$C$2:$T$20,19,false)*HLOOKUP($K1289,'Type Chart'!$C$2:$U$20,19,false)</f>
        <v>1</v>
      </c>
      <c r="AM1289" s="964" t="s">
        <v>988</v>
      </c>
      <c r="AN1289" s="965" t="s">
        <v>1038</v>
      </c>
      <c r="AO1289" s="966" t="s">
        <v>1039</v>
      </c>
      <c r="AP1289" s="936"/>
      <c r="AQ1289" s="1245"/>
      <c r="AR1289" s="1245"/>
      <c r="AS1289" s="936"/>
    </row>
    <row r="1290" ht="15.75" customHeight="1">
      <c r="A1290" s="1099"/>
      <c r="B1290" s="948" t="s">
        <v>1040</v>
      </c>
      <c r="C1290" s="1197" t="s">
        <v>1041</v>
      </c>
      <c r="D1290" s="1197" t="s">
        <v>1041</v>
      </c>
      <c r="E1290" s="1147" t="s">
        <v>1042</v>
      </c>
      <c r="F1290" s="940"/>
      <c r="G1290" s="953"/>
      <c r="H1290" s="969"/>
      <c r="I1290" s="998" t="s">
        <v>4390</v>
      </c>
      <c r="J1290" s="1195" t="s">
        <v>193</v>
      </c>
      <c r="K1290" s="1194" t="s">
        <v>136</v>
      </c>
      <c r="L1290" s="959">
        <v>30.0</v>
      </c>
      <c r="M1290" s="960">
        <v>56.0</v>
      </c>
      <c r="N1290" s="960">
        <v>35.0</v>
      </c>
      <c r="O1290" s="960">
        <v>25.0</v>
      </c>
      <c r="P1290" s="960">
        <v>35.0</v>
      </c>
      <c r="Q1290" s="960">
        <v>72.0</v>
      </c>
      <c r="R1290" s="960">
        <v>180.0</v>
      </c>
      <c r="S1290" s="960">
        <v>243.0</v>
      </c>
      <c r="T1290" s="960">
        <v>267.0</v>
      </c>
      <c r="U1290" s="960">
        <f t="array" ref="U1290">HLOOKUP($J1290,'Type Chart'!$C$2:$T$20,2,false)*HLOOKUP($K1290,'Type Chart'!$C$2:$U$20,2,false)</f>
        <v>1</v>
      </c>
      <c r="V1290" s="960">
        <f t="array" ref="V1290">HLOOKUP($J1290,'Type Chart'!$C$2:$T$20,3,false)*HLOOKUP($K1290,'Type Chart'!$C$2:$U$20,3,false)</f>
        <v>4</v>
      </c>
      <c r="W1290" s="960">
        <f t="array" ref="W1290">HLOOKUP($J1290,'Type Chart'!$C$2:$T$20,4,false)*HLOOKUP($K1290,'Type Chart'!$C$2:$U$20,4,false)</f>
        <v>1</v>
      </c>
      <c r="X1290" s="960">
        <f t="array" ref="X1290">HLOOKUP($J1290,'Type Chart'!$C$2:$T$20,5,false)*HLOOKUP($K1290,'Type Chart'!$C$2:$U$20,5,false)</f>
        <v>1</v>
      </c>
      <c r="Y1290" s="960">
        <f t="array" ref="Y1290">HLOOKUP($J1290,'Type Chart'!$C$2:$T$20,6,false)*HLOOKUP($K1290,'Type Chart'!$C$2:$U$20,6,false)</f>
        <v>1</v>
      </c>
      <c r="Z1290" s="960">
        <f t="array" ref="Z1290">HLOOKUP($J1290,'Type Chart'!$C$2:$T$20,7,false)*HLOOKUP($K1290,'Type Chart'!$C$2:$U$20,7,false)</f>
        <v>1</v>
      </c>
      <c r="AA1290" s="960">
        <f t="array" ref="AA1290">HLOOKUP($J1290,'Type Chart'!$C$2:$T$20,8,false)*HLOOKUP($K1290,'Type Chart'!$C$2:$U$20,8,false)</f>
        <v>2</v>
      </c>
      <c r="AB1290" s="960">
        <f t="array" ref="AB1290">HLOOKUP($J1290,'Type Chart'!$C$2:$T$20,9,false)*HLOOKUP($K1290,'Type Chart'!$C$2:$U$20,9,false)</f>
        <v>0</v>
      </c>
      <c r="AC1290" s="960">
        <f t="array" ref="AC1290">HLOOKUP($J1290,'Type Chart'!$C$2:$T$20,10,false)*HLOOKUP($K1290,'Type Chart'!$C$2:$U$20,10,false)</f>
        <v>1</v>
      </c>
      <c r="AD1290" s="960">
        <f t="array" ref="AD1290">HLOOKUP($J1290,'Type Chart'!$C$2:$T$20,11,false)*HLOOKUP($K1290,'Type Chart'!$C$2:$U$20,11,false)</f>
        <v>1</v>
      </c>
      <c r="AE1290" s="960">
        <f t="array" ref="AE1290">HLOOKUP($J1290,'Type Chart'!$C$2:$T$20,12,false)*HLOOKUP($K1290,'Type Chart'!$C$2:$U$20,12,false)</f>
        <v>1</v>
      </c>
      <c r="AF1290" s="960">
        <f t="array" ref="AF1290">HLOOKUP($J1290,'Type Chart'!$C$2:$T$20,13,false)*HLOOKUP($K1290,'Type Chart'!$C$2:$U$20,13,false)</f>
        <v>1</v>
      </c>
      <c r="AG1290" s="960">
        <f t="array" ref="AG1290">HLOOKUP($J1290,'Type Chart'!$C$2:$T$20,14,false)*HLOOKUP($K1290,'Type Chart'!$C$2:$U$20,14,false)</f>
        <v>1</v>
      </c>
      <c r="AH1290" s="960">
        <f t="array" ref="AH1290">HLOOKUP($J1290,'Type Chart'!$C$2:$T$20,15,false)*HLOOKUP($K1290,'Type Chart'!$C$2:$U$20,15,false)</f>
        <v>0</v>
      </c>
      <c r="AI1290" s="960">
        <f t="array" ref="AI1290">HLOOKUP($J1290,'Type Chart'!$C$2:$T$20,16,false)*HLOOKUP($K1290,'Type Chart'!$C$2:$U$20,16,false)</f>
        <v>1</v>
      </c>
      <c r="AJ1290" s="960">
        <f t="array" ref="AJ1290">HLOOKUP($J1290,'Type Chart'!$C$2:$T$20,17,false)*HLOOKUP($K1290,'Type Chart'!$C$2:$U$20,17,false)</f>
        <v>1</v>
      </c>
      <c r="AK1290" s="960">
        <f t="array" ref="AK1290">HLOOKUP($J1290,'Type Chart'!$C$2:$T$20,18,false)*HLOOKUP($K1290,'Type Chart'!$C$2:$U$20,18,false)</f>
        <v>0.5</v>
      </c>
      <c r="AL1290" s="960">
        <f t="array" ref="AL1290">HLOOKUP($J1290,'Type Chart'!$C$2:$T$20,19,false)*HLOOKUP($K1290,'Type Chart'!$C$2:$U$20,19,false)</f>
        <v>2</v>
      </c>
      <c r="AM1290" s="964" t="s">
        <v>1044</v>
      </c>
      <c r="AN1290" s="965" t="s">
        <v>1039</v>
      </c>
      <c r="AO1290" s="966" t="s">
        <v>760</v>
      </c>
      <c r="AP1290" s="936"/>
      <c r="AQ1290" s="1245"/>
      <c r="AR1290" s="1245"/>
      <c r="AS1290" s="936"/>
    </row>
    <row r="1291" ht="15.75" customHeight="1">
      <c r="A1291" s="1099"/>
      <c r="B1291" s="948" t="s">
        <v>1045</v>
      </c>
      <c r="C1291" s="1197" t="s">
        <v>1046</v>
      </c>
      <c r="D1291" s="1197" t="s">
        <v>1046</v>
      </c>
      <c r="E1291" s="1147" t="s">
        <v>1046</v>
      </c>
      <c r="F1291" s="940"/>
      <c r="G1291" s="953"/>
      <c r="H1291" s="969"/>
      <c r="I1291" s="998" t="s">
        <v>4391</v>
      </c>
      <c r="J1291" s="1194" t="s">
        <v>136</v>
      </c>
      <c r="K1291" s="984" t="s">
        <v>216</v>
      </c>
      <c r="L1291" s="959">
        <v>55.0</v>
      </c>
      <c r="M1291" s="960">
        <v>81.0</v>
      </c>
      <c r="N1291" s="960">
        <v>60.0</v>
      </c>
      <c r="O1291" s="960">
        <v>50.0</v>
      </c>
      <c r="P1291" s="960">
        <v>70.0</v>
      </c>
      <c r="Q1291" s="960">
        <v>97.0</v>
      </c>
      <c r="R1291" s="960">
        <v>230.0</v>
      </c>
      <c r="S1291" s="960">
        <v>293.0</v>
      </c>
      <c r="T1291" s="960">
        <v>322.0</v>
      </c>
      <c r="U1291" s="960">
        <f t="array" ref="U1291">HLOOKUP($J1291,'Type Chart'!$C$2:$T$20,2,false)*HLOOKUP($K1291,'Type Chart'!$C$2:$U$20,2,false)</f>
        <v>1</v>
      </c>
      <c r="V1291" s="960">
        <f t="array" ref="V1291">HLOOKUP($J1291,'Type Chart'!$C$2:$T$20,3,false)*HLOOKUP($K1291,'Type Chart'!$C$2:$U$20,3,false)</f>
        <v>2</v>
      </c>
      <c r="W1291" s="960">
        <f t="array" ref="W1291">HLOOKUP($J1291,'Type Chart'!$C$2:$T$20,4,false)*HLOOKUP($K1291,'Type Chart'!$C$2:$U$20,4,false)</f>
        <v>1</v>
      </c>
      <c r="X1291" s="960">
        <f t="array" ref="X1291">HLOOKUP($J1291,'Type Chart'!$C$2:$T$20,5,false)*HLOOKUP($K1291,'Type Chart'!$C$2:$U$20,5,false)</f>
        <v>1</v>
      </c>
      <c r="Y1291" s="960">
        <f t="array" ref="Y1291">HLOOKUP($J1291,'Type Chart'!$C$2:$T$20,6,false)*HLOOKUP($K1291,'Type Chart'!$C$2:$U$20,6,false)</f>
        <v>1</v>
      </c>
      <c r="Z1291" s="960">
        <f t="array" ref="Z1291">HLOOKUP($J1291,'Type Chart'!$C$2:$T$20,7,false)*HLOOKUP($K1291,'Type Chart'!$C$2:$U$20,7,false)</f>
        <v>1</v>
      </c>
      <c r="AA1291" s="960">
        <f t="array" ref="AA1291">HLOOKUP($J1291,'Type Chart'!$C$2:$T$20,8,false)*HLOOKUP($K1291,'Type Chart'!$C$2:$U$20,8,false)</f>
        <v>1</v>
      </c>
      <c r="AB1291" s="960">
        <f t="array" ref="AB1291">HLOOKUP($J1291,'Type Chart'!$C$2:$T$20,9,false)*HLOOKUP($K1291,'Type Chart'!$C$2:$U$20,9,false)</f>
        <v>0</v>
      </c>
      <c r="AC1291" s="960">
        <f t="array" ref="AC1291">HLOOKUP($J1291,'Type Chart'!$C$2:$T$20,10,false)*HLOOKUP($K1291,'Type Chart'!$C$2:$U$20,10,false)</f>
        <v>1</v>
      </c>
      <c r="AD1291" s="960">
        <f t="array" ref="AD1291">HLOOKUP($J1291,'Type Chart'!$C$2:$T$20,11,false)*HLOOKUP($K1291,'Type Chart'!$C$2:$U$20,11,false)</f>
        <v>1</v>
      </c>
      <c r="AE1291" s="960">
        <f t="array" ref="AE1291">HLOOKUP($J1291,'Type Chart'!$C$2:$T$20,12,false)*HLOOKUP($K1291,'Type Chart'!$C$2:$U$20,12,false)</f>
        <v>1</v>
      </c>
      <c r="AF1291" s="960">
        <f t="array" ref="AF1291">HLOOKUP($J1291,'Type Chart'!$C$2:$T$20,13,false)*HLOOKUP($K1291,'Type Chart'!$C$2:$U$20,13,false)</f>
        <v>1</v>
      </c>
      <c r="AG1291" s="960">
        <f t="array" ref="AG1291">HLOOKUP($J1291,'Type Chart'!$C$2:$T$20,14,false)*HLOOKUP($K1291,'Type Chart'!$C$2:$U$20,14,false)</f>
        <v>1</v>
      </c>
      <c r="AH1291" s="960">
        <f t="array" ref="AH1291">HLOOKUP($J1291,'Type Chart'!$C$2:$T$20,15,false)*HLOOKUP($K1291,'Type Chart'!$C$2:$U$20,15,false)</f>
        <v>1</v>
      </c>
      <c r="AI1291" s="960">
        <f t="array" ref="AI1291">HLOOKUP($J1291,'Type Chart'!$C$2:$T$20,16,false)*HLOOKUP($K1291,'Type Chart'!$C$2:$U$20,16,false)</f>
        <v>1</v>
      </c>
      <c r="AJ1291" s="960">
        <f t="array" ref="AJ1291">HLOOKUP($J1291,'Type Chart'!$C$2:$T$20,17,false)*HLOOKUP($K1291,'Type Chart'!$C$2:$U$20,17,false)</f>
        <v>1</v>
      </c>
      <c r="AK1291" s="960">
        <f t="array" ref="AK1291">HLOOKUP($J1291,'Type Chart'!$C$2:$T$20,18,false)*HLOOKUP($K1291,'Type Chart'!$C$2:$U$20,18,false)</f>
        <v>1</v>
      </c>
      <c r="AL1291" s="960">
        <f t="array" ref="AL1291">HLOOKUP($J1291,'Type Chart'!$C$2:$T$20,19,false)*HLOOKUP($K1291,'Type Chart'!$C$2:$U$20,19,false)</f>
        <v>1</v>
      </c>
      <c r="AM1291" s="964" t="s">
        <v>988</v>
      </c>
      <c r="AN1291" s="965" t="s">
        <v>1038</v>
      </c>
      <c r="AO1291" s="966" t="s">
        <v>1039</v>
      </c>
      <c r="AP1291" s="936"/>
      <c r="AQ1291" s="1245"/>
      <c r="AR1291" s="1245"/>
      <c r="AS1291" s="936"/>
    </row>
    <row r="1292" ht="15.75" customHeight="1">
      <c r="A1292" s="1099"/>
      <c r="B1292" s="948" t="s">
        <v>1048</v>
      </c>
      <c r="C1292" s="1197" t="s">
        <v>1049</v>
      </c>
      <c r="D1292" s="1197" t="s">
        <v>1049</v>
      </c>
      <c r="E1292" s="1147" t="s">
        <v>1050</v>
      </c>
      <c r="F1292" s="940"/>
      <c r="G1292" s="953"/>
      <c r="H1292" s="969"/>
      <c r="I1292" s="998" t="s">
        <v>4392</v>
      </c>
      <c r="J1292" s="1195" t="s">
        <v>193</v>
      </c>
      <c r="K1292" s="1194" t="s">
        <v>136</v>
      </c>
      <c r="L1292" s="959">
        <v>75.0</v>
      </c>
      <c r="M1292" s="960">
        <v>71.0</v>
      </c>
      <c r="N1292" s="960">
        <v>70.0</v>
      </c>
      <c r="O1292" s="960">
        <v>40.0</v>
      </c>
      <c r="P1292" s="960">
        <v>80.0</v>
      </c>
      <c r="Q1292" s="960">
        <v>77.0</v>
      </c>
      <c r="R1292" s="960">
        <v>190.0</v>
      </c>
      <c r="S1292" s="960">
        <v>253.0</v>
      </c>
      <c r="T1292" s="960">
        <v>278.0</v>
      </c>
      <c r="U1292" s="960">
        <f t="array" ref="U1292">HLOOKUP($J1292,'Type Chart'!$C$2:$T$20,2,false)*HLOOKUP($K1292,'Type Chart'!$C$2:$U$20,2,false)</f>
        <v>1</v>
      </c>
      <c r="V1292" s="960">
        <f t="array" ref="V1292">HLOOKUP($J1292,'Type Chart'!$C$2:$T$20,3,false)*HLOOKUP($K1292,'Type Chart'!$C$2:$U$20,3,false)</f>
        <v>4</v>
      </c>
      <c r="W1292" s="960">
        <f t="array" ref="W1292">HLOOKUP($J1292,'Type Chart'!$C$2:$T$20,4,false)*HLOOKUP($K1292,'Type Chart'!$C$2:$U$20,4,false)</f>
        <v>1</v>
      </c>
      <c r="X1292" s="960">
        <f t="array" ref="X1292">HLOOKUP($J1292,'Type Chart'!$C$2:$T$20,5,false)*HLOOKUP($K1292,'Type Chart'!$C$2:$U$20,5,false)</f>
        <v>1</v>
      </c>
      <c r="Y1292" s="960">
        <f t="array" ref="Y1292">HLOOKUP($J1292,'Type Chart'!$C$2:$T$20,6,false)*HLOOKUP($K1292,'Type Chart'!$C$2:$U$20,6,false)</f>
        <v>1</v>
      </c>
      <c r="Z1292" s="960">
        <f t="array" ref="Z1292">HLOOKUP($J1292,'Type Chart'!$C$2:$T$20,7,false)*HLOOKUP($K1292,'Type Chart'!$C$2:$U$20,7,false)</f>
        <v>1</v>
      </c>
      <c r="AA1292" s="960">
        <f t="array" ref="AA1292">HLOOKUP($J1292,'Type Chart'!$C$2:$T$20,8,false)*HLOOKUP($K1292,'Type Chart'!$C$2:$U$20,8,false)</f>
        <v>2</v>
      </c>
      <c r="AB1292" s="960">
        <f t="array" ref="AB1292">HLOOKUP($J1292,'Type Chart'!$C$2:$T$20,9,false)*HLOOKUP($K1292,'Type Chart'!$C$2:$U$20,9,false)</f>
        <v>0</v>
      </c>
      <c r="AC1292" s="960">
        <f t="array" ref="AC1292">HLOOKUP($J1292,'Type Chart'!$C$2:$T$20,10,false)*HLOOKUP($K1292,'Type Chart'!$C$2:$U$20,10,false)</f>
        <v>1</v>
      </c>
      <c r="AD1292" s="960">
        <f t="array" ref="AD1292">HLOOKUP($J1292,'Type Chart'!$C$2:$T$20,11,false)*HLOOKUP($K1292,'Type Chart'!$C$2:$U$20,11,false)</f>
        <v>1</v>
      </c>
      <c r="AE1292" s="960">
        <f t="array" ref="AE1292">HLOOKUP($J1292,'Type Chart'!$C$2:$T$20,12,false)*HLOOKUP($K1292,'Type Chart'!$C$2:$U$20,12,false)</f>
        <v>1</v>
      </c>
      <c r="AF1292" s="960">
        <f t="array" ref="AF1292">HLOOKUP($J1292,'Type Chart'!$C$2:$T$20,13,false)*HLOOKUP($K1292,'Type Chart'!$C$2:$U$20,13,false)</f>
        <v>1</v>
      </c>
      <c r="AG1292" s="960">
        <f t="array" ref="AG1292">HLOOKUP($J1292,'Type Chart'!$C$2:$T$20,14,false)*HLOOKUP($K1292,'Type Chart'!$C$2:$U$20,14,false)</f>
        <v>1</v>
      </c>
      <c r="AH1292" s="960">
        <f t="array" ref="AH1292">HLOOKUP($J1292,'Type Chart'!$C$2:$T$20,15,false)*HLOOKUP($K1292,'Type Chart'!$C$2:$U$20,15,false)</f>
        <v>0</v>
      </c>
      <c r="AI1292" s="960">
        <f t="array" ref="AI1292">HLOOKUP($J1292,'Type Chart'!$C$2:$T$20,16,false)*HLOOKUP($K1292,'Type Chart'!$C$2:$U$20,16,false)</f>
        <v>1</v>
      </c>
      <c r="AJ1292" s="960">
        <f t="array" ref="AJ1292">HLOOKUP($J1292,'Type Chart'!$C$2:$T$20,17,false)*HLOOKUP($K1292,'Type Chart'!$C$2:$U$20,17,false)</f>
        <v>1</v>
      </c>
      <c r="AK1292" s="960">
        <f t="array" ref="AK1292">HLOOKUP($J1292,'Type Chart'!$C$2:$T$20,18,false)*HLOOKUP($K1292,'Type Chart'!$C$2:$U$20,18,false)</f>
        <v>0.5</v>
      </c>
      <c r="AL1292" s="960">
        <f t="array" ref="AL1292">HLOOKUP($J1292,'Type Chart'!$C$2:$T$20,19,false)*HLOOKUP($K1292,'Type Chart'!$C$2:$U$20,19,false)</f>
        <v>2</v>
      </c>
      <c r="AM1292" s="964" t="s">
        <v>1044</v>
      </c>
      <c r="AN1292" s="965" t="s">
        <v>1039</v>
      </c>
      <c r="AO1292" s="966" t="s">
        <v>760</v>
      </c>
      <c r="AP1292" s="936"/>
      <c r="AQ1292" s="1245"/>
      <c r="AR1292" s="1245"/>
      <c r="AS1292" s="936"/>
    </row>
    <row r="1293" ht="15.75" customHeight="1">
      <c r="A1293" s="1099"/>
      <c r="B1293" s="948" t="s">
        <v>1052</v>
      </c>
      <c r="C1293" s="1197" t="s">
        <v>1053</v>
      </c>
      <c r="D1293" s="1197" t="s">
        <v>1053</v>
      </c>
      <c r="E1293" s="1147" t="s">
        <v>1053</v>
      </c>
      <c r="F1293" s="940"/>
      <c r="G1293" s="953"/>
      <c r="H1293" s="969"/>
      <c r="I1293" s="998" t="s">
        <v>4393</v>
      </c>
      <c r="J1293" s="1194" t="s">
        <v>136</v>
      </c>
      <c r="K1293" s="1001" t="s">
        <v>128</v>
      </c>
      <c r="L1293" s="959">
        <v>40.0</v>
      </c>
      <c r="M1293" s="960">
        <v>60.0</v>
      </c>
      <c r="N1293" s="960">
        <v>30.0</v>
      </c>
      <c r="O1293" s="960">
        <v>31.0</v>
      </c>
      <c r="P1293" s="960">
        <v>31.0</v>
      </c>
      <c r="Q1293" s="960">
        <v>70.0</v>
      </c>
      <c r="R1293" s="960">
        <v>176.0</v>
      </c>
      <c r="S1293" s="960">
        <v>239.0</v>
      </c>
      <c r="T1293" s="960">
        <v>262.0</v>
      </c>
      <c r="U1293" s="960">
        <f t="array" ref="U1293">HLOOKUP($J1293,'Type Chart'!$C$2:$T$20,2,false)*HLOOKUP($K1293,'Type Chart'!$C$2:$U$20,2,false)</f>
        <v>1</v>
      </c>
      <c r="V1293" s="960">
        <f t="array" ref="V1293">HLOOKUP($J1293,'Type Chart'!$C$2:$T$20,3,false)*HLOOKUP($K1293,'Type Chart'!$C$2:$U$20,3,false)</f>
        <v>1</v>
      </c>
      <c r="W1293" s="960">
        <f t="array" ref="W1293">HLOOKUP($J1293,'Type Chart'!$C$2:$T$20,4,false)*HLOOKUP($K1293,'Type Chart'!$C$2:$U$20,4,false)</f>
        <v>1</v>
      </c>
      <c r="X1293" s="960">
        <f t="array" ref="X1293">HLOOKUP($J1293,'Type Chart'!$C$2:$T$20,5,false)*HLOOKUP($K1293,'Type Chart'!$C$2:$U$20,5,false)</f>
        <v>1</v>
      </c>
      <c r="Y1293" s="960">
        <f t="array" ref="Y1293">HLOOKUP($J1293,'Type Chart'!$C$2:$T$20,6,false)*HLOOKUP($K1293,'Type Chart'!$C$2:$U$20,6,false)</f>
        <v>0</v>
      </c>
      <c r="Z1293" s="960">
        <f t="array" ref="Z1293">HLOOKUP($J1293,'Type Chart'!$C$2:$T$20,7,false)*HLOOKUP($K1293,'Type Chart'!$C$2:$U$20,7,false)</f>
        <v>2</v>
      </c>
      <c r="AA1293" s="960">
        <f t="array" ref="AA1293">HLOOKUP($J1293,'Type Chart'!$C$2:$T$20,8,false)*HLOOKUP($K1293,'Type Chart'!$C$2:$U$20,8,false)</f>
        <v>0.5</v>
      </c>
      <c r="AB1293" s="960">
        <f t="array" ref="AB1293">HLOOKUP($J1293,'Type Chart'!$C$2:$T$20,9,false)*HLOOKUP($K1293,'Type Chart'!$C$2:$U$20,9,false)</f>
        <v>0</v>
      </c>
      <c r="AC1293" s="960">
        <f t="array" ref="AC1293">HLOOKUP($J1293,'Type Chart'!$C$2:$T$20,10,false)*HLOOKUP($K1293,'Type Chart'!$C$2:$U$20,10,false)</f>
        <v>1</v>
      </c>
      <c r="AD1293" s="960">
        <f t="array" ref="AD1293">HLOOKUP($J1293,'Type Chart'!$C$2:$T$20,11,false)*HLOOKUP($K1293,'Type Chart'!$C$2:$U$20,11,false)</f>
        <v>1</v>
      </c>
      <c r="AE1293" s="960">
        <f t="array" ref="AE1293">HLOOKUP($J1293,'Type Chart'!$C$2:$T$20,12,false)*HLOOKUP($K1293,'Type Chart'!$C$2:$U$20,12,false)</f>
        <v>1</v>
      </c>
      <c r="AF1293" s="960">
        <f t="array" ref="AF1293">HLOOKUP($J1293,'Type Chart'!$C$2:$T$20,13,false)*HLOOKUP($K1293,'Type Chart'!$C$2:$U$20,13,false)</f>
        <v>0.5</v>
      </c>
      <c r="AG1293" s="960">
        <f t="array" ref="AG1293">HLOOKUP($J1293,'Type Chart'!$C$2:$T$20,14,false)*HLOOKUP($K1293,'Type Chart'!$C$2:$U$20,14,false)</f>
        <v>2</v>
      </c>
      <c r="AH1293" s="960">
        <f t="array" ref="AH1293">HLOOKUP($J1293,'Type Chart'!$C$2:$T$20,15,false)*HLOOKUP($K1293,'Type Chart'!$C$2:$U$20,15,false)</f>
        <v>1</v>
      </c>
      <c r="AI1293" s="960">
        <f t="array" ref="AI1293">HLOOKUP($J1293,'Type Chart'!$C$2:$T$20,16,false)*HLOOKUP($K1293,'Type Chart'!$C$2:$U$20,16,false)</f>
        <v>2</v>
      </c>
      <c r="AJ1293" s="960">
        <f t="array" ref="AJ1293">HLOOKUP($J1293,'Type Chart'!$C$2:$T$20,17,false)*HLOOKUP($K1293,'Type Chart'!$C$2:$U$20,17,false)</f>
        <v>1</v>
      </c>
      <c r="AK1293" s="960">
        <f t="array" ref="AK1293">HLOOKUP($J1293,'Type Chart'!$C$2:$T$20,18,false)*HLOOKUP($K1293,'Type Chart'!$C$2:$U$20,18,false)</f>
        <v>1</v>
      </c>
      <c r="AL1293" s="960">
        <f t="array" ref="AL1293">HLOOKUP($J1293,'Type Chart'!$C$2:$T$20,19,false)*HLOOKUP($K1293,'Type Chart'!$C$2:$U$20,19,false)</f>
        <v>1</v>
      </c>
      <c r="AM1293" s="964" t="s">
        <v>1022</v>
      </c>
      <c r="AN1293" s="965"/>
      <c r="AO1293" s="966" t="s">
        <v>1014</v>
      </c>
      <c r="AP1293" s="936"/>
      <c r="AQ1293" s="1245"/>
      <c r="AR1293" s="1245"/>
      <c r="AS1293" s="936"/>
    </row>
    <row r="1294" ht="15.75" customHeight="1">
      <c r="A1294" s="1099"/>
      <c r="B1294" s="948" t="s">
        <v>1055</v>
      </c>
      <c r="C1294" s="1197" t="s">
        <v>1056</v>
      </c>
      <c r="D1294" s="1197" t="s">
        <v>1056</v>
      </c>
      <c r="E1294" s="1147" t="s">
        <v>1056</v>
      </c>
      <c r="F1294" s="940"/>
      <c r="G1294" s="953"/>
      <c r="H1294" s="969"/>
      <c r="I1294" s="998" t="s">
        <v>4394</v>
      </c>
      <c r="J1294" s="1194" t="s">
        <v>136</v>
      </c>
      <c r="K1294" s="1001" t="s">
        <v>128</v>
      </c>
      <c r="L1294" s="959">
        <v>65.0</v>
      </c>
      <c r="M1294" s="960">
        <v>90.0</v>
      </c>
      <c r="N1294" s="960">
        <v>65.0</v>
      </c>
      <c r="O1294" s="960">
        <v>61.0</v>
      </c>
      <c r="P1294" s="960">
        <v>61.0</v>
      </c>
      <c r="Q1294" s="960">
        <v>100.0</v>
      </c>
      <c r="R1294" s="960">
        <v>236.0</v>
      </c>
      <c r="S1294" s="960">
        <v>299.0</v>
      </c>
      <c r="T1294" s="960">
        <v>328.0</v>
      </c>
      <c r="U1294" s="960">
        <f t="array" ref="U1294">HLOOKUP($J1294,'Type Chart'!$C$2:$T$20,2,false)*HLOOKUP($K1294,'Type Chart'!$C$2:$U$20,2,false)</f>
        <v>1</v>
      </c>
      <c r="V1294" s="960">
        <f t="array" ref="V1294">HLOOKUP($J1294,'Type Chart'!$C$2:$T$20,3,false)*HLOOKUP($K1294,'Type Chart'!$C$2:$U$20,3,false)</f>
        <v>1</v>
      </c>
      <c r="W1294" s="960">
        <f t="array" ref="W1294">HLOOKUP($J1294,'Type Chart'!$C$2:$T$20,4,false)*HLOOKUP($K1294,'Type Chart'!$C$2:$U$20,4,false)</f>
        <v>1</v>
      </c>
      <c r="X1294" s="960">
        <f t="array" ref="X1294">HLOOKUP($J1294,'Type Chart'!$C$2:$T$20,5,false)*HLOOKUP($K1294,'Type Chart'!$C$2:$U$20,5,false)</f>
        <v>1</v>
      </c>
      <c r="Y1294" s="960">
        <f t="array" ref="Y1294">HLOOKUP($J1294,'Type Chart'!$C$2:$T$20,6,false)*HLOOKUP($K1294,'Type Chart'!$C$2:$U$20,6,false)</f>
        <v>0</v>
      </c>
      <c r="Z1294" s="960">
        <f t="array" ref="Z1294">HLOOKUP($J1294,'Type Chart'!$C$2:$T$20,7,false)*HLOOKUP($K1294,'Type Chart'!$C$2:$U$20,7,false)</f>
        <v>2</v>
      </c>
      <c r="AA1294" s="960">
        <f t="array" ref="AA1294">HLOOKUP($J1294,'Type Chart'!$C$2:$T$20,8,false)*HLOOKUP($K1294,'Type Chart'!$C$2:$U$20,8,false)</f>
        <v>0.5</v>
      </c>
      <c r="AB1294" s="960">
        <f t="array" ref="AB1294">HLOOKUP($J1294,'Type Chart'!$C$2:$T$20,9,false)*HLOOKUP($K1294,'Type Chart'!$C$2:$U$20,9,false)</f>
        <v>0</v>
      </c>
      <c r="AC1294" s="960">
        <f t="array" ref="AC1294">HLOOKUP($J1294,'Type Chart'!$C$2:$T$20,10,false)*HLOOKUP($K1294,'Type Chart'!$C$2:$U$20,10,false)</f>
        <v>1</v>
      </c>
      <c r="AD1294" s="960">
        <f t="array" ref="AD1294">HLOOKUP($J1294,'Type Chart'!$C$2:$T$20,11,false)*HLOOKUP($K1294,'Type Chart'!$C$2:$U$20,11,false)</f>
        <v>1</v>
      </c>
      <c r="AE1294" s="960">
        <f t="array" ref="AE1294">HLOOKUP($J1294,'Type Chart'!$C$2:$T$20,12,false)*HLOOKUP($K1294,'Type Chart'!$C$2:$U$20,12,false)</f>
        <v>1</v>
      </c>
      <c r="AF1294" s="960">
        <f t="array" ref="AF1294">HLOOKUP($J1294,'Type Chart'!$C$2:$T$20,13,false)*HLOOKUP($K1294,'Type Chart'!$C$2:$U$20,13,false)</f>
        <v>0.5</v>
      </c>
      <c r="AG1294" s="960">
        <f t="array" ref="AG1294">HLOOKUP($J1294,'Type Chart'!$C$2:$T$20,14,false)*HLOOKUP($K1294,'Type Chart'!$C$2:$U$20,14,false)</f>
        <v>2</v>
      </c>
      <c r="AH1294" s="960">
        <f t="array" ref="AH1294">HLOOKUP($J1294,'Type Chart'!$C$2:$T$20,15,false)*HLOOKUP($K1294,'Type Chart'!$C$2:$U$20,15,false)</f>
        <v>1</v>
      </c>
      <c r="AI1294" s="960">
        <f t="array" ref="AI1294">HLOOKUP($J1294,'Type Chart'!$C$2:$T$20,16,false)*HLOOKUP($K1294,'Type Chart'!$C$2:$U$20,16,false)</f>
        <v>2</v>
      </c>
      <c r="AJ1294" s="960">
        <f t="array" ref="AJ1294">HLOOKUP($J1294,'Type Chart'!$C$2:$T$20,17,false)*HLOOKUP($K1294,'Type Chart'!$C$2:$U$20,17,false)</f>
        <v>1</v>
      </c>
      <c r="AK1294" s="960">
        <f t="array" ref="AK1294">HLOOKUP($J1294,'Type Chart'!$C$2:$T$20,18,false)*HLOOKUP($K1294,'Type Chart'!$C$2:$U$20,18,false)</f>
        <v>1</v>
      </c>
      <c r="AL1294" s="960">
        <f t="array" ref="AL1294">HLOOKUP($J1294,'Type Chart'!$C$2:$T$20,19,false)*HLOOKUP($K1294,'Type Chart'!$C$2:$U$20,19,false)</f>
        <v>1</v>
      </c>
      <c r="AM1294" s="964" t="s">
        <v>1022</v>
      </c>
      <c r="AN1294" s="965"/>
      <c r="AO1294" s="966" t="s">
        <v>1014</v>
      </c>
      <c r="AP1294" s="936"/>
      <c r="AQ1294" s="1245"/>
      <c r="AR1294" s="1245"/>
      <c r="AS1294" s="936"/>
    </row>
    <row r="1295" ht="15.75" customHeight="1">
      <c r="A1295" s="1099"/>
      <c r="B1295" s="948" t="s">
        <v>1058</v>
      </c>
      <c r="C1295" s="1197" t="s">
        <v>1059</v>
      </c>
      <c r="D1295" s="1197" t="s">
        <v>1059</v>
      </c>
      <c r="E1295" s="1147" t="s">
        <v>1059</v>
      </c>
      <c r="F1295" s="940"/>
      <c r="G1295" s="953"/>
      <c r="H1295" s="969"/>
      <c r="I1295" s="998" t="s">
        <v>4395</v>
      </c>
      <c r="J1295" s="958" t="s">
        <v>178</v>
      </c>
      <c r="K1295" s="984" t="s">
        <v>216</v>
      </c>
      <c r="L1295" s="959">
        <v>35.0</v>
      </c>
      <c r="M1295" s="960">
        <v>60.0</v>
      </c>
      <c r="N1295" s="960">
        <v>44.0</v>
      </c>
      <c r="O1295" s="960">
        <v>40.0</v>
      </c>
      <c r="P1295" s="960">
        <v>54.0</v>
      </c>
      <c r="Q1295" s="960">
        <v>55.0</v>
      </c>
      <c r="R1295" s="960">
        <v>146.0</v>
      </c>
      <c r="S1295" s="960">
        <v>209.0</v>
      </c>
      <c r="T1295" s="960">
        <v>229.0</v>
      </c>
      <c r="U1295" s="960">
        <f t="array" ref="U1295">HLOOKUP($J1295,'Type Chart'!$C$2:$T$20,2,false)*HLOOKUP($K1295,'Type Chart'!$C$2:$U$20,2,false)</f>
        <v>1</v>
      </c>
      <c r="V1295" s="960">
        <f t="array" ref="V1295">HLOOKUP($J1295,'Type Chart'!$C$2:$T$20,3,false)*HLOOKUP($K1295,'Type Chart'!$C$2:$U$20,3,false)</f>
        <v>0.5</v>
      </c>
      <c r="W1295" s="960">
        <f t="array" ref="W1295">HLOOKUP($J1295,'Type Chart'!$C$2:$T$20,4,false)*HLOOKUP($K1295,'Type Chart'!$C$2:$U$20,4,false)</f>
        <v>1</v>
      </c>
      <c r="X1295" s="960">
        <f t="array" ref="X1295">HLOOKUP($J1295,'Type Chart'!$C$2:$T$20,5,false)*HLOOKUP($K1295,'Type Chart'!$C$2:$U$20,5,false)</f>
        <v>0.5</v>
      </c>
      <c r="Y1295" s="960">
        <f t="array" ref="Y1295">HLOOKUP($J1295,'Type Chart'!$C$2:$T$20,6,false)*HLOOKUP($K1295,'Type Chart'!$C$2:$U$20,6,false)</f>
        <v>2</v>
      </c>
      <c r="Z1295" s="960">
        <f t="array" ref="Z1295">HLOOKUP($J1295,'Type Chart'!$C$2:$T$20,7,false)*HLOOKUP($K1295,'Type Chart'!$C$2:$U$20,7,false)</f>
        <v>1</v>
      </c>
      <c r="AA1295" s="960">
        <f t="array" ref="AA1295">HLOOKUP($J1295,'Type Chart'!$C$2:$T$20,8,false)*HLOOKUP($K1295,'Type Chart'!$C$2:$U$20,8,false)</f>
        <v>0.5</v>
      </c>
      <c r="AB1295" s="960">
        <f t="array" ref="AB1295">HLOOKUP($J1295,'Type Chart'!$C$2:$T$20,9,false)*HLOOKUP($K1295,'Type Chart'!$C$2:$U$20,9,false)</f>
        <v>1</v>
      </c>
      <c r="AC1295" s="960">
        <f t="array" ref="AC1295">HLOOKUP($J1295,'Type Chart'!$C$2:$T$20,10,false)*HLOOKUP($K1295,'Type Chart'!$C$2:$U$20,10,false)</f>
        <v>1</v>
      </c>
      <c r="AD1295" s="960">
        <f t="array" ref="AD1295">HLOOKUP($J1295,'Type Chart'!$C$2:$T$20,11,false)*HLOOKUP($K1295,'Type Chart'!$C$2:$U$20,11,false)</f>
        <v>1</v>
      </c>
      <c r="AE1295" s="960">
        <f t="array" ref="AE1295">HLOOKUP($J1295,'Type Chart'!$C$2:$T$20,12,false)*HLOOKUP($K1295,'Type Chart'!$C$2:$U$20,12,false)</f>
        <v>1</v>
      </c>
      <c r="AF1295" s="960">
        <f t="array" ref="AF1295">HLOOKUP($J1295,'Type Chart'!$C$2:$T$20,13,false)*HLOOKUP($K1295,'Type Chart'!$C$2:$U$20,13,false)</f>
        <v>0.5</v>
      </c>
      <c r="AG1295" s="960">
        <f t="array" ref="AG1295">HLOOKUP($J1295,'Type Chart'!$C$2:$T$20,14,false)*HLOOKUP($K1295,'Type Chart'!$C$2:$U$20,14,false)</f>
        <v>1</v>
      </c>
      <c r="AH1295" s="960">
        <f t="array" ref="AH1295">HLOOKUP($J1295,'Type Chart'!$C$2:$T$20,15,false)*HLOOKUP($K1295,'Type Chart'!$C$2:$U$20,15,false)</f>
        <v>2</v>
      </c>
      <c r="AI1295" s="960">
        <f t="array" ref="AI1295">HLOOKUP($J1295,'Type Chart'!$C$2:$T$20,16,false)*HLOOKUP($K1295,'Type Chart'!$C$2:$U$20,16,false)</f>
        <v>1</v>
      </c>
      <c r="AJ1295" s="960">
        <f t="array" ref="AJ1295">HLOOKUP($J1295,'Type Chart'!$C$2:$T$20,17,false)*HLOOKUP($K1295,'Type Chart'!$C$2:$U$20,17,false)</f>
        <v>1</v>
      </c>
      <c r="AK1295" s="960">
        <f t="array" ref="AK1295">HLOOKUP($J1295,'Type Chart'!$C$2:$T$20,18,false)*HLOOKUP($K1295,'Type Chart'!$C$2:$U$20,18,false)</f>
        <v>1</v>
      </c>
      <c r="AL1295" s="960">
        <f t="array" ref="AL1295">HLOOKUP($J1295,'Type Chart'!$C$2:$T$20,19,false)*HLOOKUP($K1295,'Type Chart'!$C$2:$U$20,19,false)</f>
        <v>0.5</v>
      </c>
      <c r="AM1295" s="964" t="s">
        <v>1061</v>
      </c>
      <c r="AN1295" s="965" t="s">
        <v>998</v>
      </c>
      <c r="AO1295" s="966" t="s">
        <v>1062</v>
      </c>
      <c r="AP1295" s="936"/>
      <c r="AQ1295" s="1245"/>
      <c r="AR1295" s="1245"/>
      <c r="AS1295" s="936"/>
    </row>
    <row r="1296" ht="15.75" customHeight="1">
      <c r="A1296" s="1099"/>
      <c r="B1296" s="948" t="s">
        <v>1063</v>
      </c>
      <c r="C1296" s="1197" t="s">
        <v>1064</v>
      </c>
      <c r="D1296" s="1197" t="s">
        <v>1064</v>
      </c>
      <c r="E1296" s="1147" t="s">
        <v>1064</v>
      </c>
      <c r="F1296" s="940"/>
      <c r="G1296" s="953"/>
      <c r="H1296" s="969"/>
      <c r="I1296" s="998" t="s">
        <v>4396</v>
      </c>
      <c r="J1296" s="958" t="s">
        <v>178</v>
      </c>
      <c r="K1296" s="984" t="s">
        <v>216</v>
      </c>
      <c r="L1296" s="959">
        <v>60.0</v>
      </c>
      <c r="M1296" s="960">
        <v>95.0</v>
      </c>
      <c r="N1296" s="960">
        <v>69.0</v>
      </c>
      <c r="O1296" s="960">
        <v>65.0</v>
      </c>
      <c r="P1296" s="960">
        <v>79.0</v>
      </c>
      <c r="Q1296" s="960">
        <v>80.0</v>
      </c>
      <c r="R1296" s="960">
        <v>196.0</v>
      </c>
      <c r="S1296" s="960">
        <v>259.0</v>
      </c>
      <c r="T1296" s="960">
        <v>284.0</v>
      </c>
      <c r="U1296" s="960">
        <f t="array" ref="U1296">HLOOKUP($J1296,'Type Chart'!$C$2:$T$20,2,false)*HLOOKUP($K1296,'Type Chart'!$C$2:$U$20,2,false)</f>
        <v>1</v>
      </c>
      <c r="V1296" s="960">
        <f t="array" ref="V1296">HLOOKUP($J1296,'Type Chart'!$C$2:$T$20,3,false)*HLOOKUP($K1296,'Type Chart'!$C$2:$U$20,3,false)</f>
        <v>0.5</v>
      </c>
      <c r="W1296" s="960">
        <f t="array" ref="W1296">HLOOKUP($J1296,'Type Chart'!$C$2:$T$20,4,false)*HLOOKUP($K1296,'Type Chart'!$C$2:$U$20,4,false)</f>
        <v>1</v>
      </c>
      <c r="X1296" s="960">
        <f t="array" ref="X1296">HLOOKUP($J1296,'Type Chart'!$C$2:$T$20,5,false)*HLOOKUP($K1296,'Type Chart'!$C$2:$U$20,5,false)</f>
        <v>0.5</v>
      </c>
      <c r="Y1296" s="960">
        <f t="array" ref="Y1296">HLOOKUP($J1296,'Type Chart'!$C$2:$T$20,6,false)*HLOOKUP($K1296,'Type Chart'!$C$2:$U$20,6,false)</f>
        <v>2</v>
      </c>
      <c r="Z1296" s="960">
        <f t="array" ref="Z1296">HLOOKUP($J1296,'Type Chart'!$C$2:$T$20,7,false)*HLOOKUP($K1296,'Type Chart'!$C$2:$U$20,7,false)</f>
        <v>1</v>
      </c>
      <c r="AA1296" s="960">
        <f t="array" ref="AA1296">HLOOKUP($J1296,'Type Chart'!$C$2:$T$20,8,false)*HLOOKUP($K1296,'Type Chart'!$C$2:$U$20,8,false)</f>
        <v>0.5</v>
      </c>
      <c r="AB1296" s="960">
        <f t="array" ref="AB1296">HLOOKUP($J1296,'Type Chart'!$C$2:$T$20,9,false)*HLOOKUP($K1296,'Type Chart'!$C$2:$U$20,9,false)</f>
        <v>1</v>
      </c>
      <c r="AC1296" s="960">
        <f t="array" ref="AC1296">HLOOKUP($J1296,'Type Chart'!$C$2:$T$20,10,false)*HLOOKUP($K1296,'Type Chart'!$C$2:$U$20,10,false)</f>
        <v>1</v>
      </c>
      <c r="AD1296" s="960">
        <f t="array" ref="AD1296">HLOOKUP($J1296,'Type Chart'!$C$2:$T$20,11,false)*HLOOKUP($K1296,'Type Chart'!$C$2:$U$20,11,false)</f>
        <v>1</v>
      </c>
      <c r="AE1296" s="960">
        <f t="array" ref="AE1296">HLOOKUP($J1296,'Type Chart'!$C$2:$T$20,12,false)*HLOOKUP($K1296,'Type Chart'!$C$2:$U$20,12,false)</f>
        <v>1</v>
      </c>
      <c r="AF1296" s="960">
        <f t="array" ref="AF1296">HLOOKUP($J1296,'Type Chart'!$C$2:$T$20,13,false)*HLOOKUP($K1296,'Type Chart'!$C$2:$U$20,13,false)</f>
        <v>0.5</v>
      </c>
      <c r="AG1296" s="960">
        <f t="array" ref="AG1296">HLOOKUP($J1296,'Type Chart'!$C$2:$T$20,14,false)*HLOOKUP($K1296,'Type Chart'!$C$2:$U$20,14,false)</f>
        <v>1</v>
      </c>
      <c r="AH1296" s="960">
        <f t="array" ref="AH1296">HLOOKUP($J1296,'Type Chart'!$C$2:$T$20,15,false)*HLOOKUP($K1296,'Type Chart'!$C$2:$U$20,15,false)</f>
        <v>2</v>
      </c>
      <c r="AI1296" s="960">
        <f t="array" ref="AI1296">HLOOKUP($J1296,'Type Chart'!$C$2:$T$20,16,false)*HLOOKUP($K1296,'Type Chart'!$C$2:$U$20,16,false)</f>
        <v>1</v>
      </c>
      <c r="AJ1296" s="960">
        <f t="array" ref="AJ1296">HLOOKUP($J1296,'Type Chart'!$C$2:$T$20,17,false)*HLOOKUP($K1296,'Type Chart'!$C$2:$U$20,17,false)</f>
        <v>1</v>
      </c>
      <c r="AK1296" s="960">
        <f t="array" ref="AK1296">HLOOKUP($J1296,'Type Chart'!$C$2:$T$20,18,false)*HLOOKUP($K1296,'Type Chart'!$C$2:$U$20,18,false)</f>
        <v>1</v>
      </c>
      <c r="AL1296" s="960">
        <f t="array" ref="AL1296">HLOOKUP($J1296,'Type Chart'!$C$2:$T$20,19,false)*HLOOKUP($K1296,'Type Chart'!$C$2:$U$20,19,false)</f>
        <v>0.5</v>
      </c>
      <c r="AM1296" s="964" t="s">
        <v>1061</v>
      </c>
      <c r="AN1296" s="965" t="s">
        <v>998</v>
      </c>
      <c r="AO1296" s="966" t="s">
        <v>1062</v>
      </c>
      <c r="AP1296" s="936"/>
      <c r="AQ1296" s="1245"/>
      <c r="AR1296" s="1245"/>
      <c r="AS1296" s="936"/>
    </row>
    <row r="1297" ht="15.75" customHeight="1">
      <c r="A1297" s="1099"/>
      <c r="B1297" s="948" t="s">
        <v>1065</v>
      </c>
      <c r="C1297" s="1197" t="s">
        <v>1066</v>
      </c>
      <c r="D1297" s="1197" t="s">
        <v>1066</v>
      </c>
      <c r="E1297" s="1147" t="s">
        <v>1066</v>
      </c>
      <c r="F1297" s="940"/>
      <c r="G1297" s="953"/>
      <c r="H1297" s="969"/>
      <c r="I1297" s="998" t="s">
        <v>4397</v>
      </c>
      <c r="J1297" s="1196" t="s">
        <v>203</v>
      </c>
      <c r="K1297" s="984" t="s">
        <v>216</v>
      </c>
      <c r="L1297" s="959">
        <v>35.0</v>
      </c>
      <c r="M1297" s="960">
        <v>55.0</v>
      </c>
      <c r="N1297" s="960">
        <v>40.0</v>
      </c>
      <c r="O1297" s="960">
        <v>50.0</v>
      </c>
      <c r="P1297" s="960">
        <v>50.0</v>
      </c>
      <c r="Q1297" s="960">
        <v>90.0</v>
      </c>
      <c r="R1297" s="960">
        <v>216.0</v>
      </c>
      <c r="S1297" s="960">
        <v>279.0</v>
      </c>
      <c r="T1297" s="960">
        <v>306.0</v>
      </c>
      <c r="U1297" s="960">
        <f t="array" ref="U1297">HLOOKUP($J1297,'Type Chart'!$C$2:$T$20,2,false)*HLOOKUP($K1297,'Type Chart'!$C$2:$U$20,2,false)</f>
        <v>1</v>
      </c>
      <c r="V1297" s="960">
        <f t="array" ref="V1297">HLOOKUP($J1297,'Type Chart'!$C$2:$T$20,3,false)*HLOOKUP($K1297,'Type Chart'!$C$2:$U$20,3,false)</f>
        <v>1</v>
      </c>
      <c r="W1297" s="960">
        <f t="array" ref="W1297">HLOOKUP($J1297,'Type Chart'!$C$2:$T$20,4,false)*HLOOKUP($K1297,'Type Chart'!$C$2:$U$20,4,false)</f>
        <v>0.5</v>
      </c>
      <c r="X1297" s="960">
        <f t="array" ref="X1297">HLOOKUP($J1297,'Type Chart'!$C$2:$T$20,5,false)*HLOOKUP($K1297,'Type Chart'!$C$2:$U$20,5,false)</f>
        <v>1</v>
      </c>
      <c r="Y1297" s="960">
        <f t="array" ref="Y1297">HLOOKUP($J1297,'Type Chart'!$C$2:$T$20,6,false)*HLOOKUP($K1297,'Type Chart'!$C$2:$U$20,6,false)</f>
        <v>2</v>
      </c>
      <c r="Z1297" s="960">
        <f t="array" ref="Z1297">HLOOKUP($J1297,'Type Chart'!$C$2:$T$20,7,false)*HLOOKUP($K1297,'Type Chart'!$C$2:$U$20,7,false)</f>
        <v>1</v>
      </c>
      <c r="AA1297" s="960">
        <f t="array" ref="AA1297">HLOOKUP($J1297,'Type Chart'!$C$2:$T$20,8,false)*HLOOKUP($K1297,'Type Chart'!$C$2:$U$20,8,false)</f>
        <v>1</v>
      </c>
      <c r="AB1297" s="960">
        <f t="array" ref="AB1297">HLOOKUP($J1297,'Type Chart'!$C$2:$T$20,9,false)*HLOOKUP($K1297,'Type Chart'!$C$2:$U$20,9,false)</f>
        <v>1</v>
      </c>
      <c r="AC1297" s="960">
        <f t="array" ref="AC1297">HLOOKUP($J1297,'Type Chart'!$C$2:$T$20,10,false)*HLOOKUP($K1297,'Type Chart'!$C$2:$U$20,10,false)</f>
        <v>0.5</v>
      </c>
      <c r="AD1297" s="960">
        <f t="array" ref="AD1297">HLOOKUP($J1297,'Type Chart'!$C$2:$T$20,11,false)*HLOOKUP($K1297,'Type Chart'!$C$2:$U$20,11,false)</f>
        <v>1</v>
      </c>
      <c r="AE1297" s="960">
        <f t="array" ref="AE1297">HLOOKUP($J1297,'Type Chart'!$C$2:$T$20,12,false)*HLOOKUP($K1297,'Type Chart'!$C$2:$U$20,12,false)</f>
        <v>1</v>
      </c>
      <c r="AF1297" s="960">
        <f t="array" ref="AF1297">HLOOKUP($J1297,'Type Chart'!$C$2:$T$20,13,false)*HLOOKUP($K1297,'Type Chart'!$C$2:$U$20,13,false)</f>
        <v>1</v>
      </c>
      <c r="AG1297" s="960">
        <f t="array" ref="AG1297">HLOOKUP($J1297,'Type Chart'!$C$2:$T$20,14,false)*HLOOKUP($K1297,'Type Chart'!$C$2:$U$20,14,false)</f>
        <v>0.5</v>
      </c>
      <c r="AH1297" s="960">
        <f t="array" ref="AH1297">HLOOKUP($J1297,'Type Chart'!$C$2:$T$20,15,false)*HLOOKUP($K1297,'Type Chart'!$C$2:$U$20,15,false)</f>
        <v>1</v>
      </c>
      <c r="AI1297" s="960">
        <f t="array" ref="AI1297">HLOOKUP($J1297,'Type Chart'!$C$2:$T$20,16,false)*HLOOKUP($K1297,'Type Chart'!$C$2:$U$20,16,false)</f>
        <v>1</v>
      </c>
      <c r="AJ1297" s="960">
        <f t="array" ref="AJ1297">HLOOKUP($J1297,'Type Chart'!$C$2:$T$20,17,false)*HLOOKUP($K1297,'Type Chart'!$C$2:$U$20,17,false)</f>
        <v>1</v>
      </c>
      <c r="AK1297" s="960">
        <f t="array" ref="AK1297">HLOOKUP($J1297,'Type Chart'!$C$2:$T$20,18,false)*HLOOKUP($K1297,'Type Chart'!$C$2:$U$20,18,false)</f>
        <v>1</v>
      </c>
      <c r="AL1297" s="960">
        <f t="array" ref="AL1297">HLOOKUP($J1297,'Type Chart'!$C$2:$T$20,19,false)*HLOOKUP($K1297,'Type Chart'!$C$2:$U$20,19,false)</f>
        <v>1</v>
      </c>
      <c r="AM1297" s="964" t="s">
        <v>1067</v>
      </c>
      <c r="AN1297" s="965"/>
      <c r="AO1297" s="966" t="s">
        <v>1068</v>
      </c>
      <c r="AP1297" s="936"/>
      <c r="AQ1297" s="1245"/>
      <c r="AR1297" s="1245"/>
      <c r="AS1297" s="936"/>
    </row>
    <row r="1298" ht="15.75" customHeight="1">
      <c r="A1298" s="1099"/>
      <c r="B1298" s="948" t="s">
        <v>1069</v>
      </c>
      <c r="C1298" s="1197" t="s">
        <v>1070</v>
      </c>
      <c r="D1298" s="1197" t="s">
        <v>1066</v>
      </c>
      <c r="E1298" s="1147" t="s">
        <v>1070</v>
      </c>
      <c r="F1298" s="940"/>
      <c r="G1298" s="953"/>
      <c r="H1298" s="969"/>
      <c r="I1298" s="998" t="s">
        <v>4398</v>
      </c>
      <c r="J1298" s="1196" t="s">
        <v>203</v>
      </c>
      <c r="K1298" s="984" t="s">
        <v>216</v>
      </c>
      <c r="L1298" s="959">
        <v>35.0</v>
      </c>
      <c r="M1298" s="960">
        <v>55.0</v>
      </c>
      <c r="N1298" s="960">
        <v>40.0</v>
      </c>
      <c r="O1298" s="960">
        <v>50.0</v>
      </c>
      <c r="P1298" s="960">
        <v>50.0</v>
      </c>
      <c r="Q1298" s="960">
        <v>90.0</v>
      </c>
      <c r="R1298" s="960">
        <v>216.0</v>
      </c>
      <c r="S1298" s="960">
        <v>279.0</v>
      </c>
      <c r="T1298" s="960">
        <v>306.0</v>
      </c>
      <c r="U1298" s="960">
        <f t="array" ref="U1298">HLOOKUP($J1298,'Type Chart'!$C$2:$T$20,2,false)*HLOOKUP($K1298,'Type Chart'!$C$2:$U$20,2,false)</f>
        <v>1</v>
      </c>
      <c r="V1298" s="960">
        <f t="array" ref="V1298">HLOOKUP($J1298,'Type Chart'!$C$2:$T$20,3,false)*HLOOKUP($K1298,'Type Chart'!$C$2:$U$20,3,false)</f>
        <v>1</v>
      </c>
      <c r="W1298" s="960">
        <f t="array" ref="W1298">HLOOKUP($J1298,'Type Chart'!$C$2:$T$20,4,false)*HLOOKUP($K1298,'Type Chart'!$C$2:$U$20,4,false)</f>
        <v>0.5</v>
      </c>
      <c r="X1298" s="960">
        <f t="array" ref="X1298">HLOOKUP($J1298,'Type Chart'!$C$2:$T$20,5,false)*HLOOKUP($K1298,'Type Chart'!$C$2:$U$20,5,false)</f>
        <v>1</v>
      </c>
      <c r="Y1298" s="960">
        <f t="array" ref="Y1298">HLOOKUP($J1298,'Type Chart'!$C$2:$T$20,6,false)*HLOOKUP($K1298,'Type Chart'!$C$2:$U$20,6,false)</f>
        <v>2</v>
      </c>
      <c r="Z1298" s="960">
        <f t="array" ref="Z1298">HLOOKUP($J1298,'Type Chart'!$C$2:$T$20,7,false)*HLOOKUP($K1298,'Type Chart'!$C$2:$U$20,7,false)</f>
        <v>1</v>
      </c>
      <c r="AA1298" s="960">
        <f t="array" ref="AA1298">HLOOKUP($J1298,'Type Chart'!$C$2:$T$20,8,false)*HLOOKUP($K1298,'Type Chart'!$C$2:$U$20,8,false)</f>
        <v>1</v>
      </c>
      <c r="AB1298" s="960">
        <f t="array" ref="AB1298">HLOOKUP($J1298,'Type Chart'!$C$2:$T$20,9,false)*HLOOKUP($K1298,'Type Chart'!$C$2:$U$20,9,false)</f>
        <v>1</v>
      </c>
      <c r="AC1298" s="960">
        <f t="array" ref="AC1298">HLOOKUP($J1298,'Type Chart'!$C$2:$T$20,10,false)*HLOOKUP($K1298,'Type Chart'!$C$2:$U$20,10,false)</f>
        <v>0.5</v>
      </c>
      <c r="AD1298" s="960">
        <f t="array" ref="AD1298">HLOOKUP($J1298,'Type Chart'!$C$2:$T$20,11,false)*HLOOKUP($K1298,'Type Chart'!$C$2:$U$20,11,false)</f>
        <v>1</v>
      </c>
      <c r="AE1298" s="960">
        <f t="array" ref="AE1298">HLOOKUP($J1298,'Type Chart'!$C$2:$T$20,12,false)*HLOOKUP($K1298,'Type Chart'!$C$2:$U$20,12,false)</f>
        <v>1</v>
      </c>
      <c r="AF1298" s="960">
        <f t="array" ref="AF1298">HLOOKUP($J1298,'Type Chart'!$C$2:$T$20,13,false)*HLOOKUP($K1298,'Type Chart'!$C$2:$U$20,13,false)</f>
        <v>1</v>
      </c>
      <c r="AG1298" s="960">
        <f t="array" ref="AG1298">HLOOKUP($J1298,'Type Chart'!$C$2:$T$20,14,false)*HLOOKUP($K1298,'Type Chart'!$C$2:$U$20,14,false)</f>
        <v>0.5</v>
      </c>
      <c r="AH1298" s="960">
        <f t="array" ref="AH1298">HLOOKUP($J1298,'Type Chart'!$C$2:$T$20,15,false)*HLOOKUP($K1298,'Type Chart'!$C$2:$U$20,15,false)</f>
        <v>1</v>
      </c>
      <c r="AI1298" s="960">
        <f t="array" ref="AI1298">HLOOKUP($J1298,'Type Chart'!$C$2:$T$20,16,false)*HLOOKUP($K1298,'Type Chart'!$C$2:$U$20,16,false)</f>
        <v>1</v>
      </c>
      <c r="AJ1298" s="960">
        <f t="array" ref="AJ1298">HLOOKUP($J1298,'Type Chart'!$C$2:$T$20,17,false)*HLOOKUP($K1298,'Type Chart'!$C$2:$U$20,17,false)</f>
        <v>1</v>
      </c>
      <c r="AK1298" s="960">
        <f t="array" ref="AK1298">HLOOKUP($J1298,'Type Chart'!$C$2:$T$20,18,false)*HLOOKUP($K1298,'Type Chart'!$C$2:$U$20,18,false)</f>
        <v>1</v>
      </c>
      <c r="AL1298" s="960">
        <f t="array" ref="AL1298">HLOOKUP($J1298,'Type Chart'!$C$2:$T$20,19,false)*HLOOKUP($K1298,'Type Chart'!$C$2:$U$20,19,false)</f>
        <v>1</v>
      </c>
      <c r="AM1298" s="964" t="s">
        <v>1067</v>
      </c>
      <c r="AN1298" s="965"/>
      <c r="AO1298" s="966" t="s">
        <v>1068</v>
      </c>
      <c r="AP1298" s="936"/>
      <c r="AQ1298" s="1245"/>
      <c r="AR1298" s="1245"/>
      <c r="AS1298" s="936"/>
    </row>
    <row r="1299" ht="15.75" customHeight="1">
      <c r="A1299" s="1099"/>
      <c r="B1299" s="948" t="s">
        <v>1072</v>
      </c>
      <c r="C1299" s="1197" t="s">
        <v>1073</v>
      </c>
      <c r="D1299" s="1197" t="s">
        <v>1074</v>
      </c>
      <c r="E1299" s="1147" t="s">
        <v>1073</v>
      </c>
      <c r="F1299" s="940"/>
      <c r="G1299" s="953"/>
      <c r="H1299" s="969"/>
      <c r="I1299" s="998" t="s">
        <v>4399</v>
      </c>
      <c r="J1299" s="1196" t="s">
        <v>203</v>
      </c>
      <c r="K1299" s="984" t="s">
        <v>216</v>
      </c>
      <c r="L1299" s="959">
        <v>35.0</v>
      </c>
      <c r="M1299" s="960">
        <v>55.0</v>
      </c>
      <c r="N1299" s="960">
        <v>40.0</v>
      </c>
      <c r="O1299" s="960">
        <v>50.0</v>
      </c>
      <c r="P1299" s="960">
        <v>50.0</v>
      </c>
      <c r="Q1299" s="960">
        <v>90.0</v>
      </c>
      <c r="R1299" s="960">
        <v>216.0</v>
      </c>
      <c r="S1299" s="960">
        <v>279.0</v>
      </c>
      <c r="T1299" s="960">
        <v>306.0</v>
      </c>
      <c r="U1299" s="960">
        <f t="array" ref="U1299">HLOOKUP($J1299,'Type Chart'!$C$2:$T$20,2,false)*HLOOKUP($K1299,'Type Chart'!$C$2:$U$20,2,false)</f>
        <v>1</v>
      </c>
      <c r="V1299" s="960">
        <f t="array" ref="V1299">HLOOKUP($J1299,'Type Chart'!$C$2:$T$20,3,false)*HLOOKUP($K1299,'Type Chart'!$C$2:$U$20,3,false)</f>
        <v>1</v>
      </c>
      <c r="W1299" s="960">
        <f t="array" ref="W1299">HLOOKUP($J1299,'Type Chart'!$C$2:$T$20,4,false)*HLOOKUP($K1299,'Type Chart'!$C$2:$U$20,4,false)</f>
        <v>0.5</v>
      </c>
      <c r="X1299" s="960">
        <f t="array" ref="X1299">HLOOKUP($J1299,'Type Chart'!$C$2:$T$20,5,false)*HLOOKUP($K1299,'Type Chart'!$C$2:$U$20,5,false)</f>
        <v>1</v>
      </c>
      <c r="Y1299" s="960">
        <f t="array" ref="Y1299">HLOOKUP($J1299,'Type Chart'!$C$2:$T$20,6,false)*HLOOKUP($K1299,'Type Chart'!$C$2:$U$20,6,false)</f>
        <v>2</v>
      </c>
      <c r="Z1299" s="960">
        <f t="array" ref="Z1299">HLOOKUP($J1299,'Type Chart'!$C$2:$T$20,7,false)*HLOOKUP($K1299,'Type Chart'!$C$2:$U$20,7,false)</f>
        <v>1</v>
      </c>
      <c r="AA1299" s="960">
        <f t="array" ref="AA1299">HLOOKUP($J1299,'Type Chart'!$C$2:$T$20,8,false)*HLOOKUP($K1299,'Type Chart'!$C$2:$U$20,8,false)</f>
        <v>1</v>
      </c>
      <c r="AB1299" s="960">
        <f t="array" ref="AB1299">HLOOKUP($J1299,'Type Chart'!$C$2:$T$20,9,false)*HLOOKUP($K1299,'Type Chart'!$C$2:$U$20,9,false)</f>
        <v>1</v>
      </c>
      <c r="AC1299" s="960">
        <f t="array" ref="AC1299">HLOOKUP($J1299,'Type Chart'!$C$2:$T$20,10,false)*HLOOKUP($K1299,'Type Chart'!$C$2:$U$20,10,false)</f>
        <v>0.5</v>
      </c>
      <c r="AD1299" s="960">
        <f t="array" ref="AD1299">HLOOKUP($J1299,'Type Chart'!$C$2:$T$20,11,false)*HLOOKUP($K1299,'Type Chart'!$C$2:$U$20,11,false)</f>
        <v>1</v>
      </c>
      <c r="AE1299" s="960">
        <f t="array" ref="AE1299">HLOOKUP($J1299,'Type Chart'!$C$2:$T$20,12,false)*HLOOKUP($K1299,'Type Chart'!$C$2:$U$20,12,false)</f>
        <v>1</v>
      </c>
      <c r="AF1299" s="960">
        <f t="array" ref="AF1299">HLOOKUP($J1299,'Type Chart'!$C$2:$T$20,13,false)*HLOOKUP($K1299,'Type Chart'!$C$2:$U$20,13,false)</f>
        <v>1</v>
      </c>
      <c r="AG1299" s="960">
        <f t="array" ref="AG1299">HLOOKUP($J1299,'Type Chart'!$C$2:$T$20,14,false)*HLOOKUP($K1299,'Type Chart'!$C$2:$U$20,14,false)</f>
        <v>0.5</v>
      </c>
      <c r="AH1299" s="960">
        <f t="array" ref="AH1299">HLOOKUP($J1299,'Type Chart'!$C$2:$T$20,15,false)*HLOOKUP($K1299,'Type Chart'!$C$2:$U$20,15,false)</f>
        <v>1</v>
      </c>
      <c r="AI1299" s="960">
        <f t="array" ref="AI1299">HLOOKUP($J1299,'Type Chart'!$C$2:$T$20,16,false)*HLOOKUP($K1299,'Type Chart'!$C$2:$U$20,16,false)</f>
        <v>1</v>
      </c>
      <c r="AJ1299" s="960">
        <f t="array" ref="AJ1299">HLOOKUP($J1299,'Type Chart'!$C$2:$T$20,17,false)*HLOOKUP($K1299,'Type Chart'!$C$2:$U$20,17,false)</f>
        <v>1</v>
      </c>
      <c r="AK1299" s="960">
        <f t="array" ref="AK1299">HLOOKUP($J1299,'Type Chart'!$C$2:$T$20,18,false)*HLOOKUP($K1299,'Type Chart'!$C$2:$U$20,18,false)</f>
        <v>1</v>
      </c>
      <c r="AL1299" s="960">
        <f t="array" ref="AL1299">HLOOKUP($J1299,'Type Chart'!$C$2:$T$20,19,false)*HLOOKUP($K1299,'Type Chart'!$C$2:$U$20,19,false)</f>
        <v>1</v>
      </c>
      <c r="AM1299" s="964" t="s">
        <v>1067</v>
      </c>
      <c r="AN1299" s="965"/>
      <c r="AO1299" s="966" t="s">
        <v>1068</v>
      </c>
      <c r="AP1299" s="936"/>
      <c r="AQ1299" s="1245"/>
      <c r="AR1299" s="1245"/>
      <c r="AS1299" s="936"/>
    </row>
    <row r="1300" ht="15.75" customHeight="1">
      <c r="A1300" s="1099"/>
      <c r="B1300" s="948" t="s">
        <v>1076</v>
      </c>
      <c r="C1300" s="1197" t="s">
        <v>1077</v>
      </c>
      <c r="D1300" s="1197" t="s">
        <v>1077</v>
      </c>
      <c r="E1300" s="1147" t="s">
        <v>1077</v>
      </c>
      <c r="F1300" s="940"/>
      <c r="G1300" s="953"/>
      <c r="H1300" s="969"/>
      <c r="I1300" s="998" t="s">
        <v>4400</v>
      </c>
      <c r="J1300" s="1198" t="s">
        <v>203</v>
      </c>
      <c r="K1300" s="1199" t="s">
        <v>216</v>
      </c>
      <c r="L1300" s="1200">
        <v>35.0</v>
      </c>
      <c r="M1300" s="1201">
        <v>55.0</v>
      </c>
      <c r="N1300" s="1201">
        <v>40.0</v>
      </c>
      <c r="O1300" s="1201">
        <v>50.0</v>
      </c>
      <c r="P1300" s="1201">
        <v>50.0</v>
      </c>
      <c r="Q1300" s="1201">
        <v>90.0</v>
      </c>
      <c r="R1300" s="960">
        <v>216.0</v>
      </c>
      <c r="S1300" s="960">
        <v>279.0</v>
      </c>
      <c r="T1300" s="960">
        <v>306.0</v>
      </c>
      <c r="U1300" s="960">
        <f t="array" ref="U1300">HLOOKUP($J1300,'Type Chart'!$C$2:$T$20,2,false)*HLOOKUP($K1300,'Type Chart'!$C$2:$U$20,2,false)</f>
        <v>1</v>
      </c>
      <c r="V1300" s="960">
        <f t="array" ref="V1300">HLOOKUP($J1300,'Type Chart'!$C$2:$T$20,3,false)*HLOOKUP($K1300,'Type Chart'!$C$2:$U$20,3,false)</f>
        <v>1</v>
      </c>
      <c r="W1300" s="960">
        <f t="array" ref="W1300">HLOOKUP($J1300,'Type Chart'!$C$2:$T$20,4,false)*HLOOKUP($K1300,'Type Chart'!$C$2:$U$20,4,false)</f>
        <v>0.5</v>
      </c>
      <c r="X1300" s="960">
        <f t="array" ref="X1300">HLOOKUP($J1300,'Type Chart'!$C$2:$T$20,5,false)*HLOOKUP($K1300,'Type Chart'!$C$2:$U$20,5,false)</f>
        <v>1</v>
      </c>
      <c r="Y1300" s="960">
        <f t="array" ref="Y1300">HLOOKUP($J1300,'Type Chart'!$C$2:$T$20,6,false)*HLOOKUP($K1300,'Type Chart'!$C$2:$U$20,6,false)</f>
        <v>2</v>
      </c>
      <c r="Z1300" s="960">
        <f t="array" ref="Z1300">HLOOKUP($J1300,'Type Chart'!$C$2:$T$20,7,false)*HLOOKUP($K1300,'Type Chart'!$C$2:$U$20,7,false)</f>
        <v>1</v>
      </c>
      <c r="AA1300" s="960">
        <f t="array" ref="AA1300">HLOOKUP($J1300,'Type Chart'!$C$2:$T$20,8,false)*HLOOKUP($K1300,'Type Chart'!$C$2:$U$20,8,false)</f>
        <v>1</v>
      </c>
      <c r="AB1300" s="960">
        <f t="array" ref="AB1300">HLOOKUP($J1300,'Type Chart'!$C$2:$T$20,9,false)*HLOOKUP($K1300,'Type Chart'!$C$2:$U$20,9,false)</f>
        <v>1</v>
      </c>
      <c r="AC1300" s="960">
        <f t="array" ref="AC1300">HLOOKUP($J1300,'Type Chart'!$C$2:$T$20,10,false)*HLOOKUP($K1300,'Type Chart'!$C$2:$U$20,10,false)</f>
        <v>0.5</v>
      </c>
      <c r="AD1300" s="960">
        <f t="array" ref="AD1300">HLOOKUP($J1300,'Type Chart'!$C$2:$T$20,11,false)*HLOOKUP($K1300,'Type Chart'!$C$2:$U$20,11,false)</f>
        <v>1</v>
      </c>
      <c r="AE1300" s="960">
        <f t="array" ref="AE1300">HLOOKUP($J1300,'Type Chart'!$C$2:$T$20,12,false)*HLOOKUP($K1300,'Type Chart'!$C$2:$U$20,12,false)</f>
        <v>1</v>
      </c>
      <c r="AF1300" s="960">
        <f t="array" ref="AF1300">HLOOKUP($J1300,'Type Chart'!$C$2:$T$20,13,false)*HLOOKUP($K1300,'Type Chart'!$C$2:$U$20,13,false)</f>
        <v>1</v>
      </c>
      <c r="AG1300" s="960">
        <f t="array" ref="AG1300">HLOOKUP($J1300,'Type Chart'!$C$2:$T$20,14,false)*HLOOKUP($K1300,'Type Chart'!$C$2:$U$20,14,false)</f>
        <v>0.5</v>
      </c>
      <c r="AH1300" s="960">
        <f t="array" ref="AH1300">HLOOKUP($J1300,'Type Chart'!$C$2:$T$20,15,false)*HLOOKUP($K1300,'Type Chart'!$C$2:$U$20,15,false)</f>
        <v>1</v>
      </c>
      <c r="AI1300" s="960">
        <f t="array" ref="AI1300">HLOOKUP($J1300,'Type Chart'!$C$2:$T$20,16,false)*HLOOKUP($K1300,'Type Chart'!$C$2:$U$20,16,false)</f>
        <v>1</v>
      </c>
      <c r="AJ1300" s="960">
        <f t="array" ref="AJ1300">HLOOKUP($J1300,'Type Chart'!$C$2:$T$20,17,false)*HLOOKUP($K1300,'Type Chart'!$C$2:$U$20,17,false)</f>
        <v>1</v>
      </c>
      <c r="AK1300" s="960">
        <f t="array" ref="AK1300">HLOOKUP($J1300,'Type Chart'!$C$2:$T$20,18,false)*HLOOKUP($K1300,'Type Chart'!$C$2:$U$20,18,false)</f>
        <v>1</v>
      </c>
      <c r="AL1300" s="960">
        <f t="array" ref="AL1300">HLOOKUP($J1300,'Type Chart'!$C$2:$T$20,19,false)*HLOOKUP($K1300,'Type Chart'!$C$2:$U$20,19,false)</f>
        <v>1</v>
      </c>
      <c r="AM1300" s="1145" t="s">
        <v>1067</v>
      </c>
      <c r="AN1300" s="1202"/>
      <c r="AO1300" s="1146" t="s">
        <v>1068</v>
      </c>
      <c r="AP1300" s="936"/>
      <c r="AQ1300" s="1245"/>
      <c r="AR1300" s="1245"/>
      <c r="AS1300" s="936"/>
    </row>
    <row r="1301" ht="15.75" customHeight="1">
      <c r="A1301" s="1099"/>
      <c r="B1301" s="948" t="s">
        <v>1079</v>
      </c>
      <c r="C1301" s="1197" t="s">
        <v>1080</v>
      </c>
      <c r="D1301" s="1197" t="s">
        <v>1081</v>
      </c>
      <c r="E1301" s="1147" t="s">
        <v>1080</v>
      </c>
      <c r="F1301" s="940"/>
      <c r="G1301" s="953"/>
      <c r="H1301" s="969"/>
      <c r="I1301" s="998" t="s">
        <v>4401</v>
      </c>
      <c r="J1301" s="1196" t="s">
        <v>203</v>
      </c>
      <c r="K1301" s="984" t="s">
        <v>216</v>
      </c>
      <c r="L1301" s="959">
        <v>35.0</v>
      </c>
      <c r="M1301" s="960">
        <v>55.0</v>
      </c>
      <c r="N1301" s="960">
        <v>40.0</v>
      </c>
      <c r="O1301" s="960">
        <v>50.0</v>
      </c>
      <c r="P1301" s="960">
        <v>50.0</v>
      </c>
      <c r="Q1301" s="960">
        <v>90.0</v>
      </c>
      <c r="R1301" s="960">
        <v>216.0</v>
      </c>
      <c r="S1301" s="960">
        <v>279.0</v>
      </c>
      <c r="T1301" s="960">
        <v>306.0</v>
      </c>
      <c r="U1301" s="960">
        <f t="array" ref="U1301">HLOOKUP($J1301,'Type Chart'!$C$2:$T$20,2,false)*HLOOKUP($K1301,'Type Chart'!$C$2:$U$20,2,false)</f>
        <v>1</v>
      </c>
      <c r="V1301" s="960">
        <f t="array" ref="V1301">HLOOKUP($J1301,'Type Chart'!$C$2:$T$20,3,false)*HLOOKUP($K1301,'Type Chart'!$C$2:$U$20,3,false)</f>
        <v>1</v>
      </c>
      <c r="W1301" s="960">
        <f t="array" ref="W1301">HLOOKUP($J1301,'Type Chart'!$C$2:$T$20,4,false)*HLOOKUP($K1301,'Type Chart'!$C$2:$U$20,4,false)</f>
        <v>0.5</v>
      </c>
      <c r="X1301" s="960">
        <f t="array" ref="X1301">HLOOKUP($J1301,'Type Chart'!$C$2:$T$20,5,false)*HLOOKUP($K1301,'Type Chart'!$C$2:$U$20,5,false)</f>
        <v>1</v>
      </c>
      <c r="Y1301" s="960">
        <f t="array" ref="Y1301">HLOOKUP($J1301,'Type Chart'!$C$2:$T$20,6,false)*HLOOKUP($K1301,'Type Chart'!$C$2:$U$20,6,false)</f>
        <v>2</v>
      </c>
      <c r="Z1301" s="960">
        <f t="array" ref="Z1301">HLOOKUP($J1301,'Type Chart'!$C$2:$T$20,7,false)*HLOOKUP($K1301,'Type Chart'!$C$2:$U$20,7,false)</f>
        <v>1</v>
      </c>
      <c r="AA1301" s="960">
        <f t="array" ref="AA1301">HLOOKUP($J1301,'Type Chart'!$C$2:$T$20,8,false)*HLOOKUP($K1301,'Type Chart'!$C$2:$U$20,8,false)</f>
        <v>1</v>
      </c>
      <c r="AB1301" s="960">
        <f t="array" ref="AB1301">HLOOKUP($J1301,'Type Chart'!$C$2:$T$20,9,false)*HLOOKUP($K1301,'Type Chart'!$C$2:$U$20,9,false)</f>
        <v>1</v>
      </c>
      <c r="AC1301" s="960">
        <f t="array" ref="AC1301">HLOOKUP($J1301,'Type Chart'!$C$2:$T$20,10,false)*HLOOKUP($K1301,'Type Chart'!$C$2:$U$20,10,false)</f>
        <v>0.5</v>
      </c>
      <c r="AD1301" s="960">
        <f t="array" ref="AD1301">HLOOKUP($J1301,'Type Chart'!$C$2:$T$20,11,false)*HLOOKUP($K1301,'Type Chart'!$C$2:$U$20,11,false)</f>
        <v>1</v>
      </c>
      <c r="AE1301" s="960">
        <f t="array" ref="AE1301">HLOOKUP($J1301,'Type Chart'!$C$2:$T$20,12,false)*HLOOKUP($K1301,'Type Chart'!$C$2:$U$20,12,false)</f>
        <v>1</v>
      </c>
      <c r="AF1301" s="960">
        <f t="array" ref="AF1301">HLOOKUP($J1301,'Type Chart'!$C$2:$T$20,13,false)*HLOOKUP($K1301,'Type Chart'!$C$2:$U$20,13,false)</f>
        <v>1</v>
      </c>
      <c r="AG1301" s="960">
        <f t="array" ref="AG1301">HLOOKUP($J1301,'Type Chart'!$C$2:$T$20,14,false)*HLOOKUP($K1301,'Type Chart'!$C$2:$U$20,14,false)</f>
        <v>0.5</v>
      </c>
      <c r="AH1301" s="960">
        <f t="array" ref="AH1301">HLOOKUP($J1301,'Type Chart'!$C$2:$T$20,15,false)*HLOOKUP($K1301,'Type Chart'!$C$2:$U$20,15,false)</f>
        <v>1</v>
      </c>
      <c r="AI1301" s="960">
        <f t="array" ref="AI1301">HLOOKUP($J1301,'Type Chart'!$C$2:$T$20,16,false)*HLOOKUP($K1301,'Type Chart'!$C$2:$U$20,16,false)</f>
        <v>1</v>
      </c>
      <c r="AJ1301" s="960">
        <f t="array" ref="AJ1301">HLOOKUP($J1301,'Type Chart'!$C$2:$T$20,17,false)*HLOOKUP($K1301,'Type Chart'!$C$2:$U$20,17,false)</f>
        <v>1</v>
      </c>
      <c r="AK1301" s="960">
        <f t="array" ref="AK1301">HLOOKUP($J1301,'Type Chart'!$C$2:$T$20,18,false)*HLOOKUP($K1301,'Type Chart'!$C$2:$U$20,18,false)</f>
        <v>1</v>
      </c>
      <c r="AL1301" s="960">
        <f t="array" ref="AL1301">HLOOKUP($J1301,'Type Chart'!$C$2:$T$20,19,false)*HLOOKUP($K1301,'Type Chart'!$C$2:$U$20,19,false)</f>
        <v>1</v>
      </c>
      <c r="AM1301" s="964" t="s">
        <v>1067</v>
      </c>
      <c r="AN1301" s="965"/>
      <c r="AO1301" s="966" t="s">
        <v>1068</v>
      </c>
      <c r="AP1301" s="936"/>
      <c r="AQ1301" s="1245"/>
      <c r="AR1301" s="1245"/>
      <c r="AS1301" s="936"/>
    </row>
    <row r="1302" ht="15.75" customHeight="1">
      <c r="A1302" s="1099"/>
      <c r="B1302" s="948" t="s">
        <v>1083</v>
      </c>
      <c r="C1302" s="1197" t="s">
        <v>1084</v>
      </c>
      <c r="D1302" s="1197" t="s">
        <v>1084</v>
      </c>
      <c r="E1302" s="1147" t="s">
        <v>1084</v>
      </c>
      <c r="F1302" s="940"/>
      <c r="G1302" s="953"/>
      <c r="H1302" s="969"/>
      <c r="I1302" s="998" t="s">
        <v>4402</v>
      </c>
      <c r="J1302" s="1196" t="s">
        <v>203</v>
      </c>
      <c r="K1302" s="984" t="s">
        <v>216</v>
      </c>
      <c r="L1302" s="959">
        <v>35.0</v>
      </c>
      <c r="M1302" s="960">
        <v>55.0</v>
      </c>
      <c r="N1302" s="960">
        <v>40.0</v>
      </c>
      <c r="O1302" s="960">
        <v>50.0</v>
      </c>
      <c r="P1302" s="960">
        <v>50.0</v>
      </c>
      <c r="Q1302" s="960">
        <v>90.0</v>
      </c>
      <c r="R1302" s="960">
        <v>216.0</v>
      </c>
      <c r="S1302" s="960">
        <v>279.0</v>
      </c>
      <c r="T1302" s="960">
        <v>306.0</v>
      </c>
      <c r="U1302" s="960">
        <f t="array" ref="U1302">HLOOKUP($J1302,'Type Chart'!$C$2:$T$20,2,false)*HLOOKUP($K1302,'Type Chart'!$C$2:$U$20,2,false)</f>
        <v>1</v>
      </c>
      <c r="V1302" s="960">
        <f t="array" ref="V1302">HLOOKUP($J1302,'Type Chart'!$C$2:$T$20,3,false)*HLOOKUP($K1302,'Type Chart'!$C$2:$U$20,3,false)</f>
        <v>1</v>
      </c>
      <c r="W1302" s="960">
        <f t="array" ref="W1302">HLOOKUP($J1302,'Type Chart'!$C$2:$T$20,4,false)*HLOOKUP($K1302,'Type Chart'!$C$2:$U$20,4,false)</f>
        <v>0.5</v>
      </c>
      <c r="X1302" s="960">
        <f t="array" ref="X1302">HLOOKUP($J1302,'Type Chart'!$C$2:$T$20,5,false)*HLOOKUP($K1302,'Type Chart'!$C$2:$U$20,5,false)</f>
        <v>1</v>
      </c>
      <c r="Y1302" s="960">
        <f t="array" ref="Y1302">HLOOKUP($J1302,'Type Chart'!$C$2:$T$20,6,false)*HLOOKUP($K1302,'Type Chart'!$C$2:$U$20,6,false)</f>
        <v>2</v>
      </c>
      <c r="Z1302" s="960">
        <f t="array" ref="Z1302">HLOOKUP($J1302,'Type Chart'!$C$2:$T$20,7,false)*HLOOKUP($K1302,'Type Chart'!$C$2:$U$20,7,false)</f>
        <v>1</v>
      </c>
      <c r="AA1302" s="960">
        <f t="array" ref="AA1302">HLOOKUP($J1302,'Type Chart'!$C$2:$T$20,8,false)*HLOOKUP($K1302,'Type Chart'!$C$2:$U$20,8,false)</f>
        <v>1</v>
      </c>
      <c r="AB1302" s="960">
        <f t="array" ref="AB1302">HLOOKUP($J1302,'Type Chart'!$C$2:$T$20,9,false)*HLOOKUP($K1302,'Type Chart'!$C$2:$U$20,9,false)</f>
        <v>1</v>
      </c>
      <c r="AC1302" s="960">
        <f t="array" ref="AC1302">HLOOKUP($J1302,'Type Chart'!$C$2:$T$20,10,false)*HLOOKUP($K1302,'Type Chart'!$C$2:$U$20,10,false)</f>
        <v>0.5</v>
      </c>
      <c r="AD1302" s="960">
        <f t="array" ref="AD1302">HLOOKUP($J1302,'Type Chart'!$C$2:$T$20,11,false)*HLOOKUP($K1302,'Type Chart'!$C$2:$U$20,11,false)</f>
        <v>1</v>
      </c>
      <c r="AE1302" s="960">
        <f t="array" ref="AE1302">HLOOKUP($J1302,'Type Chart'!$C$2:$T$20,12,false)*HLOOKUP($K1302,'Type Chart'!$C$2:$U$20,12,false)</f>
        <v>1</v>
      </c>
      <c r="AF1302" s="960">
        <f t="array" ref="AF1302">HLOOKUP($J1302,'Type Chart'!$C$2:$T$20,13,false)*HLOOKUP($K1302,'Type Chart'!$C$2:$U$20,13,false)</f>
        <v>1</v>
      </c>
      <c r="AG1302" s="960">
        <f t="array" ref="AG1302">HLOOKUP($J1302,'Type Chart'!$C$2:$T$20,14,false)*HLOOKUP($K1302,'Type Chart'!$C$2:$U$20,14,false)</f>
        <v>0.5</v>
      </c>
      <c r="AH1302" s="960">
        <f t="array" ref="AH1302">HLOOKUP($J1302,'Type Chart'!$C$2:$T$20,15,false)*HLOOKUP($K1302,'Type Chart'!$C$2:$U$20,15,false)</f>
        <v>1</v>
      </c>
      <c r="AI1302" s="960">
        <f t="array" ref="AI1302">HLOOKUP($J1302,'Type Chart'!$C$2:$T$20,16,false)*HLOOKUP($K1302,'Type Chart'!$C$2:$U$20,16,false)</f>
        <v>1</v>
      </c>
      <c r="AJ1302" s="960">
        <f t="array" ref="AJ1302">HLOOKUP($J1302,'Type Chart'!$C$2:$T$20,17,false)*HLOOKUP($K1302,'Type Chart'!$C$2:$U$20,17,false)</f>
        <v>1</v>
      </c>
      <c r="AK1302" s="960">
        <f t="array" ref="AK1302">HLOOKUP($J1302,'Type Chart'!$C$2:$T$20,18,false)*HLOOKUP($K1302,'Type Chart'!$C$2:$U$20,18,false)</f>
        <v>1</v>
      </c>
      <c r="AL1302" s="960">
        <f t="array" ref="AL1302">HLOOKUP($J1302,'Type Chart'!$C$2:$T$20,19,false)*HLOOKUP($K1302,'Type Chart'!$C$2:$U$20,19,false)</f>
        <v>1</v>
      </c>
      <c r="AM1302" s="1145" t="s">
        <v>1067</v>
      </c>
      <c r="AN1302" s="1202"/>
      <c r="AO1302" s="1146" t="s">
        <v>1068</v>
      </c>
      <c r="AP1302" s="936"/>
      <c r="AQ1302" s="1245"/>
      <c r="AR1302" s="1245"/>
      <c r="AS1302" s="936"/>
    </row>
    <row r="1303" ht="15.75" customHeight="1">
      <c r="A1303" s="1099"/>
      <c r="B1303" s="948" t="s">
        <v>1086</v>
      </c>
      <c r="C1303" s="1197" t="s">
        <v>1087</v>
      </c>
      <c r="D1303" s="1197" t="s">
        <v>1087</v>
      </c>
      <c r="E1303" s="1147" t="s">
        <v>1087</v>
      </c>
      <c r="F1303" s="940"/>
      <c r="G1303" s="953"/>
      <c r="H1303" s="969"/>
      <c r="I1303" s="998" t="s">
        <v>4403</v>
      </c>
      <c r="J1303" s="1196" t="s">
        <v>203</v>
      </c>
      <c r="K1303" s="984" t="s">
        <v>216</v>
      </c>
      <c r="L1303" s="959">
        <v>35.0</v>
      </c>
      <c r="M1303" s="960">
        <v>55.0</v>
      </c>
      <c r="N1303" s="960">
        <v>40.0</v>
      </c>
      <c r="O1303" s="960">
        <v>50.0</v>
      </c>
      <c r="P1303" s="960">
        <v>50.0</v>
      </c>
      <c r="Q1303" s="960">
        <v>90.0</v>
      </c>
      <c r="R1303" s="960">
        <v>216.0</v>
      </c>
      <c r="S1303" s="960">
        <v>279.0</v>
      </c>
      <c r="T1303" s="960">
        <v>306.0</v>
      </c>
      <c r="U1303" s="960">
        <f t="array" ref="U1303">HLOOKUP($J1303,'Type Chart'!$C$2:$T$20,2,false)*HLOOKUP($K1303,'Type Chart'!$C$2:$U$20,2,false)</f>
        <v>1</v>
      </c>
      <c r="V1303" s="960">
        <f t="array" ref="V1303">HLOOKUP($J1303,'Type Chart'!$C$2:$T$20,3,false)*HLOOKUP($K1303,'Type Chart'!$C$2:$U$20,3,false)</f>
        <v>1</v>
      </c>
      <c r="W1303" s="960">
        <f t="array" ref="W1303">HLOOKUP($J1303,'Type Chart'!$C$2:$T$20,4,false)*HLOOKUP($K1303,'Type Chart'!$C$2:$U$20,4,false)</f>
        <v>0.5</v>
      </c>
      <c r="X1303" s="960">
        <f t="array" ref="X1303">HLOOKUP($J1303,'Type Chart'!$C$2:$T$20,5,false)*HLOOKUP($K1303,'Type Chart'!$C$2:$U$20,5,false)</f>
        <v>1</v>
      </c>
      <c r="Y1303" s="960">
        <f t="array" ref="Y1303">HLOOKUP($J1303,'Type Chart'!$C$2:$T$20,6,false)*HLOOKUP($K1303,'Type Chart'!$C$2:$U$20,6,false)</f>
        <v>2</v>
      </c>
      <c r="Z1303" s="960">
        <f t="array" ref="Z1303">HLOOKUP($J1303,'Type Chart'!$C$2:$T$20,7,false)*HLOOKUP($K1303,'Type Chart'!$C$2:$U$20,7,false)</f>
        <v>1</v>
      </c>
      <c r="AA1303" s="960">
        <f t="array" ref="AA1303">HLOOKUP($J1303,'Type Chart'!$C$2:$T$20,8,false)*HLOOKUP($K1303,'Type Chart'!$C$2:$U$20,8,false)</f>
        <v>1</v>
      </c>
      <c r="AB1303" s="960">
        <f t="array" ref="AB1303">HLOOKUP($J1303,'Type Chart'!$C$2:$T$20,9,false)*HLOOKUP($K1303,'Type Chart'!$C$2:$U$20,9,false)</f>
        <v>1</v>
      </c>
      <c r="AC1303" s="960">
        <f t="array" ref="AC1303">HLOOKUP($J1303,'Type Chart'!$C$2:$T$20,10,false)*HLOOKUP($K1303,'Type Chart'!$C$2:$U$20,10,false)</f>
        <v>0.5</v>
      </c>
      <c r="AD1303" s="960">
        <f t="array" ref="AD1303">HLOOKUP($J1303,'Type Chart'!$C$2:$T$20,11,false)*HLOOKUP($K1303,'Type Chart'!$C$2:$U$20,11,false)</f>
        <v>1</v>
      </c>
      <c r="AE1303" s="960">
        <f t="array" ref="AE1303">HLOOKUP($J1303,'Type Chart'!$C$2:$T$20,12,false)*HLOOKUP($K1303,'Type Chart'!$C$2:$U$20,12,false)</f>
        <v>1</v>
      </c>
      <c r="AF1303" s="960">
        <f t="array" ref="AF1303">HLOOKUP($J1303,'Type Chart'!$C$2:$T$20,13,false)*HLOOKUP($K1303,'Type Chart'!$C$2:$U$20,13,false)</f>
        <v>1</v>
      </c>
      <c r="AG1303" s="960">
        <f t="array" ref="AG1303">HLOOKUP($J1303,'Type Chart'!$C$2:$T$20,14,false)*HLOOKUP($K1303,'Type Chart'!$C$2:$U$20,14,false)</f>
        <v>0.5</v>
      </c>
      <c r="AH1303" s="960">
        <f t="array" ref="AH1303">HLOOKUP($J1303,'Type Chart'!$C$2:$T$20,15,false)*HLOOKUP($K1303,'Type Chart'!$C$2:$U$20,15,false)</f>
        <v>1</v>
      </c>
      <c r="AI1303" s="960">
        <f t="array" ref="AI1303">HLOOKUP($J1303,'Type Chart'!$C$2:$T$20,16,false)*HLOOKUP($K1303,'Type Chart'!$C$2:$U$20,16,false)</f>
        <v>1</v>
      </c>
      <c r="AJ1303" s="960">
        <f t="array" ref="AJ1303">HLOOKUP($J1303,'Type Chart'!$C$2:$T$20,17,false)*HLOOKUP($K1303,'Type Chart'!$C$2:$U$20,17,false)</f>
        <v>1</v>
      </c>
      <c r="AK1303" s="960">
        <f t="array" ref="AK1303">HLOOKUP($J1303,'Type Chart'!$C$2:$T$20,18,false)*HLOOKUP($K1303,'Type Chart'!$C$2:$U$20,18,false)</f>
        <v>1</v>
      </c>
      <c r="AL1303" s="960">
        <f t="array" ref="AL1303">HLOOKUP($J1303,'Type Chart'!$C$2:$T$20,19,false)*HLOOKUP($K1303,'Type Chart'!$C$2:$U$20,19,false)</f>
        <v>1</v>
      </c>
      <c r="AM1303" s="1145" t="s">
        <v>1067</v>
      </c>
      <c r="AN1303" s="1202"/>
      <c r="AO1303" s="1146" t="s">
        <v>1068</v>
      </c>
      <c r="AP1303" s="936"/>
      <c r="AQ1303" s="1245"/>
      <c r="AR1303" s="1245"/>
      <c r="AS1303" s="936"/>
    </row>
    <row r="1304" ht="15.75" customHeight="1">
      <c r="A1304" s="1099"/>
      <c r="B1304" s="948" t="s">
        <v>1089</v>
      </c>
      <c r="C1304" s="1197" t="s">
        <v>1090</v>
      </c>
      <c r="D1304" s="1197" t="s">
        <v>1091</v>
      </c>
      <c r="E1304" s="1147" t="s">
        <v>1090</v>
      </c>
      <c r="F1304" s="940"/>
      <c r="G1304" s="953"/>
      <c r="H1304" s="969"/>
      <c r="I1304" s="998" t="s">
        <v>4404</v>
      </c>
      <c r="J1304" s="1196" t="s">
        <v>203</v>
      </c>
      <c r="K1304" s="984" t="s">
        <v>216</v>
      </c>
      <c r="L1304" s="959">
        <v>35.0</v>
      </c>
      <c r="M1304" s="960">
        <v>55.0</v>
      </c>
      <c r="N1304" s="960">
        <v>40.0</v>
      </c>
      <c r="O1304" s="960">
        <v>50.0</v>
      </c>
      <c r="P1304" s="960">
        <v>50.0</v>
      </c>
      <c r="Q1304" s="960">
        <v>90.0</v>
      </c>
      <c r="R1304" s="960">
        <v>216.0</v>
      </c>
      <c r="S1304" s="960">
        <v>279.0</v>
      </c>
      <c r="T1304" s="960">
        <v>306.0</v>
      </c>
      <c r="U1304" s="960">
        <f t="array" ref="U1304">HLOOKUP($J1304,'Type Chart'!$C$2:$T$20,2,false)*HLOOKUP($K1304,'Type Chart'!$C$2:$U$20,2,false)</f>
        <v>1</v>
      </c>
      <c r="V1304" s="960">
        <f t="array" ref="V1304">HLOOKUP($J1304,'Type Chart'!$C$2:$T$20,3,false)*HLOOKUP($K1304,'Type Chart'!$C$2:$U$20,3,false)</f>
        <v>1</v>
      </c>
      <c r="W1304" s="960">
        <f t="array" ref="W1304">HLOOKUP($J1304,'Type Chart'!$C$2:$T$20,4,false)*HLOOKUP($K1304,'Type Chart'!$C$2:$U$20,4,false)</f>
        <v>0.5</v>
      </c>
      <c r="X1304" s="960">
        <f t="array" ref="X1304">HLOOKUP($J1304,'Type Chart'!$C$2:$T$20,5,false)*HLOOKUP($K1304,'Type Chart'!$C$2:$U$20,5,false)</f>
        <v>1</v>
      </c>
      <c r="Y1304" s="960">
        <f t="array" ref="Y1304">HLOOKUP($J1304,'Type Chart'!$C$2:$T$20,6,false)*HLOOKUP($K1304,'Type Chart'!$C$2:$U$20,6,false)</f>
        <v>2</v>
      </c>
      <c r="Z1304" s="960">
        <f t="array" ref="Z1304">HLOOKUP($J1304,'Type Chart'!$C$2:$T$20,7,false)*HLOOKUP($K1304,'Type Chart'!$C$2:$U$20,7,false)</f>
        <v>1</v>
      </c>
      <c r="AA1304" s="960">
        <f t="array" ref="AA1304">HLOOKUP($J1304,'Type Chart'!$C$2:$T$20,8,false)*HLOOKUP($K1304,'Type Chart'!$C$2:$U$20,8,false)</f>
        <v>1</v>
      </c>
      <c r="AB1304" s="960">
        <f t="array" ref="AB1304">HLOOKUP($J1304,'Type Chart'!$C$2:$T$20,9,false)*HLOOKUP($K1304,'Type Chart'!$C$2:$U$20,9,false)</f>
        <v>1</v>
      </c>
      <c r="AC1304" s="960">
        <f t="array" ref="AC1304">HLOOKUP($J1304,'Type Chart'!$C$2:$T$20,10,false)*HLOOKUP($K1304,'Type Chart'!$C$2:$U$20,10,false)</f>
        <v>0.5</v>
      </c>
      <c r="AD1304" s="960">
        <f t="array" ref="AD1304">HLOOKUP($J1304,'Type Chart'!$C$2:$T$20,11,false)*HLOOKUP($K1304,'Type Chart'!$C$2:$U$20,11,false)</f>
        <v>1</v>
      </c>
      <c r="AE1304" s="960">
        <f t="array" ref="AE1304">HLOOKUP($J1304,'Type Chart'!$C$2:$T$20,12,false)*HLOOKUP($K1304,'Type Chart'!$C$2:$U$20,12,false)</f>
        <v>1</v>
      </c>
      <c r="AF1304" s="960">
        <f t="array" ref="AF1304">HLOOKUP($J1304,'Type Chart'!$C$2:$T$20,13,false)*HLOOKUP($K1304,'Type Chart'!$C$2:$U$20,13,false)</f>
        <v>1</v>
      </c>
      <c r="AG1304" s="960">
        <f t="array" ref="AG1304">HLOOKUP($J1304,'Type Chart'!$C$2:$T$20,14,false)*HLOOKUP($K1304,'Type Chart'!$C$2:$U$20,14,false)</f>
        <v>0.5</v>
      </c>
      <c r="AH1304" s="960">
        <f t="array" ref="AH1304">HLOOKUP($J1304,'Type Chart'!$C$2:$T$20,15,false)*HLOOKUP($K1304,'Type Chart'!$C$2:$U$20,15,false)</f>
        <v>1</v>
      </c>
      <c r="AI1304" s="960">
        <f t="array" ref="AI1304">HLOOKUP($J1304,'Type Chart'!$C$2:$T$20,16,false)*HLOOKUP($K1304,'Type Chart'!$C$2:$U$20,16,false)</f>
        <v>1</v>
      </c>
      <c r="AJ1304" s="960">
        <f t="array" ref="AJ1304">HLOOKUP($J1304,'Type Chart'!$C$2:$T$20,17,false)*HLOOKUP($K1304,'Type Chart'!$C$2:$U$20,17,false)</f>
        <v>1</v>
      </c>
      <c r="AK1304" s="960">
        <f t="array" ref="AK1304">HLOOKUP($J1304,'Type Chart'!$C$2:$T$20,18,false)*HLOOKUP($K1304,'Type Chart'!$C$2:$U$20,18,false)</f>
        <v>1</v>
      </c>
      <c r="AL1304" s="960">
        <f t="array" ref="AL1304">HLOOKUP($J1304,'Type Chart'!$C$2:$T$20,19,false)*HLOOKUP($K1304,'Type Chart'!$C$2:$U$20,19,false)</f>
        <v>1</v>
      </c>
      <c r="AM1304" s="964" t="s">
        <v>1067</v>
      </c>
      <c r="AN1304" s="965"/>
      <c r="AO1304" s="966" t="s">
        <v>1068</v>
      </c>
      <c r="AP1304" s="936"/>
      <c r="AQ1304" s="1245"/>
      <c r="AR1304" s="1245"/>
      <c r="AS1304" s="936"/>
    </row>
    <row r="1305" ht="15.75" customHeight="1">
      <c r="A1305" s="1099"/>
      <c r="B1305" s="948" t="s">
        <v>1093</v>
      </c>
      <c r="C1305" s="1197" t="s">
        <v>1094</v>
      </c>
      <c r="D1305" s="1197" t="s">
        <v>1095</v>
      </c>
      <c r="E1305" s="1147" t="s">
        <v>1094</v>
      </c>
      <c r="F1305" s="940"/>
      <c r="G1305" s="953"/>
      <c r="H1305" s="969"/>
      <c r="I1305" s="998" t="s">
        <v>4405</v>
      </c>
      <c r="J1305" s="1196" t="s">
        <v>203</v>
      </c>
      <c r="K1305" s="984" t="s">
        <v>216</v>
      </c>
      <c r="L1305" s="959">
        <v>35.0</v>
      </c>
      <c r="M1305" s="960">
        <v>55.0</v>
      </c>
      <c r="N1305" s="960">
        <v>40.0</v>
      </c>
      <c r="O1305" s="960">
        <v>50.0</v>
      </c>
      <c r="P1305" s="960">
        <v>50.0</v>
      </c>
      <c r="Q1305" s="960">
        <v>90.0</v>
      </c>
      <c r="R1305" s="960">
        <v>216.0</v>
      </c>
      <c r="S1305" s="960">
        <v>279.0</v>
      </c>
      <c r="T1305" s="960">
        <v>306.0</v>
      </c>
      <c r="U1305" s="960">
        <f t="array" ref="U1305">HLOOKUP($J1305,'Type Chart'!$C$2:$T$20,2,false)*HLOOKUP($K1305,'Type Chart'!$C$2:$U$20,2,false)</f>
        <v>1</v>
      </c>
      <c r="V1305" s="960">
        <f t="array" ref="V1305">HLOOKUP($J1305,'Type Chart'!$C$2:$T$20,3,false)*HLOOKUP($K1305,'Type Chart'!$C$2:$U$20,3,false)</f>
        <v>1</v>
      </c>
      <c r="W1305" s="960">
        <f t="array" ref="W1305">HLOOKUP($J1305,'Type Chart'!$C$2:$T$20,4,false)*HLOOKUP($K1305,'Type Chart'!$C$2:$U$20,4,false)</f>
        <v>0.5</v>
      </c>
      <c r="X1305" s="960">
        <f t="array" ref="X1305">HLOOKUP($J1305,'Type Chart'!$C$2:$T$20,5,false)*HLOOKUP($K1305,'Type Chart'!$C$2:$U$20,5,false)</f>
        <v>1</v>
      </c>
      <c r="Y1305" s="960">
        <f t="array" ref="Y1305">HLOOKUP($J1305,'Type Chart'!$C$2:$T$20,6,false)*HLOOKUP($K1305,'Type Chart'!$C$2:$U$20,6,false)</f>
        <v>2</v>
      </c>
      <c r="Z1305" s="960">
        <f t="array" ref="Z1305">HLOOKUP($J1305,'Type Chart'!$C$2:$T$20,7,false)*HLOOKUP($K1305,'Type Chart'!$C$2:$U$20,7,false)</f>
        <v>1</v>
      </c>
      <c r="AA1305" s="960">
        <f t="array" ref="AA1305">HLOOKUP($J1305,'Type Chart'!$C$2:$T$20,8,false)*HLOOKUP($K1305,'Type Chart'!$C$2:$U$20,8,false)</f>
        <v>1</v>
      </c>
      <c r="AB1305" s="960">
        <f t="array" ref="AB1305">HLOOKUP($J1305,'Type Chart'!$C$2:$T$20,9,false)*HLOOKUP($K1305,'Type Chart'!$C$2:$U$20,9,false)</f>
        <v>1</v>
      </c>
      <c r="AC1305" s="960">
        <f t="array" ref="AC1305">HLOOKUP($J1305,'Type Chart'!$C$2:$T$20,10,false)*HLOOKUP($K1305,'Type Chart'!$C$2:$U$20,10,false)</f>
        <v>0.5</v>
      </c>
      <c r="AD1305" s="960">
        <f t="array" ref="AD1305">HLOOKUP($J1305,'Type Chart'!$C$2:$T$20,11,false)*HLOOKUP($K1305,'Type Chart'!$C$2:$U$20,11,false)</f>
        <v>1</v>
      </c>
      <c r="AE1305" s="960">
        <f t="array" ref="AE1305">HLOOKUP($J1305,'Type Chart'!$C$2:$T$20,12,false)*HLOOKUP($K1305,'Type Chart'!$C$2:$U$20,12,false)</f>
        <v>1</v>
      </c>
      <c r="AF1305" s="960">
        <f t="array" ref="AF1305">HLOOKUP($J1305,'Type Chart'!$C$2:$T$20,13,false)*HLOOKUP($K1305,'Type Chart'!$C$2:$U$20,13,false)</f>
        <v>1</v>
      </c>
      <c r="AG1305" s="960">
        <f t="array" ref="AG1305">HLOOKUP($J1305,'Type Chart'!$C$2:$T$20,14,false)*HLOOKUP($K1305,'Type Chart'!$C$2:$U$20,14,false)</f>
        <v>0.5</v>
      </c>
      <c r="AH1305" s="960">
        <f t="array" ref="AH1305">HLOOKUP($J1305,'Type Chart'!$C$2:$T$20,15,false)*HLOOKUP($K1305,'Type Chart'!$C$2:$U$20,15,false)</f>
        <v>1</v>
      </c>
      <c r="AI1305" s="960">
        <f t="array" ref="AI1305">HLOOKUP($J1305,'Type Chart'!$C$2:$T$20,16,false)*HLOOKUP($K1305,'Type Chart'!$C$2:$U$20,16,false)</f>
        <v>1</v>
      </c>
      <c r="AJ1305" s="960">
        <f t="array" ref="AJ1305">HLOOKUP($J1305,'Type Chart'!$C$2:$T$20,17,false)*HLOOKUP($K1305,'Type Chart'!$C$2:$U$20,17,false)</f>
        <v>1</v>
      </c>
      <c r="AK1305" s="960">
        <f t="array" ref="AK1305">HLOOKUP($J1305,'Type Chart'!$C$2:$T$20,18,false)*HLOOKUP($K1305,'Type Chart'!$C$2:$U$20,18,false)</f>
        <v>1</v>
      </c>
      <c r="AL1305" s="960">
        <f t="array" ref="AL1305">HLOOKUP($J1305,'Type Chart'!$C$2:$T$20,19,false)*HLOOKUP($K1305,'Type Chart'!$C$2:$U$20,19,false)</f>
        <v>1</v>
      </c>
      <c r="AM1305" s="964" t="s">
        <v>1067</v>
      </c>
      <c r="AN1305" s="965"/>
      <c r="AO1305" s="966" t="s">
        <v>1068</v>
      </c>
      <c r="AP1305" s="936"/>
      <c r="AQ1305" s="1245"/>
      <c r="AR1305" s="1245"/>
      <c r="AS1305" s="936"/>
    </row>
    <row r="1306" ht="15.75" customHeight="1">
      <c r="A1306" s="1099"/>
      <c r="B1306" s="948" t="s">
        <v>1097</v>
      </c>
      <c r="C1306" s="1197" t="s">
        <v>1098</v>
      </c>
      <c r="D1306" s="1197" t="s">
        <v>1099</v>
      </c>
      <c r="E1306" s="1147" t="s">
        <v>1098</v>
      </c>
      <c r="F1306" s="940"/>
      <c r="G1306" s="953"/>
      <c r="H1306" s="969"/>
      <c r="I1306" s="998" t="s">
        <v>4406</v>
      </c>
      <c r="J1306" s="1198" t="s">
        <v>203</v>
      </c>
      <c r="K1306" s="1199" t="s">
        <v>216</v>
      </c>
      <c r="L1306" s="1200">
        <v>35.0</v>
      </c>
      <c r="M1306" s="1201">
        <v>55.0</v>
      </c>
      <c r="N1306" s="1201">
        <v>40.0</v>
      </c>
      <c r="O1306" s="1201">
        <v>50.0</v>
      </c>
      <c r="P1306" s="1201">
        <v>50.0</v>
      </c>
      <c r="Q1306" s="1201">
        <v>90.0</v>
      </c>
      <c r="R1306" s="960">
        <v>216.0</v>
      </c>
      <c r="S1306" s="960">
        <v>279.0</v>
      </c>
      <c r="T1306" s="960">
        <v>306.0</v>
      </c>
      <c r="U1306" s="960">
        <f t="array" ref="U1306">HLOOKUP($J1306,'Type Chart'!$C$2:$T$20,2,false)*HLOOKUP($K1306,'Type Chart'!$C$2:$U$20,2,false)</f>
        <v>1</v>
      </c>
      <c r="V1306" s="960">
        <f t="array" ref="V1306">HLOOKUP($J1306,'Type Chart'!$C$2:$T$20,3,false)*HLOOKUP($K1306,'Type Chart'!$C$2:$U$20,3,false)</f>
        <v>1</v>
      </c>
      <c r="W1306" s="960">
        <f t="array" ref="W1306">HLOOKUP($J1306,'Type Chart'!$C$2:$T$20,4,false)*HLOOKUP($K1306,'Type Chart'!$C$2:$U$20,4,false)</f>
        <v>0.5</v>
      </c>
      <c r="X1306" s="960">
        <f t="array" ref="X1306">HLOOKUP($J1306,'Type Chart'!$C$2:$T$20,5,false)*HLOOKUP($K1306,'Type Chart'!$C$2:$U$20,5,false)</f>
        <v>1</v>
      </c>
      <c r="Y1306" s="960">
        <f t="array" ref="Y1306">HLOOKUP($J1306,'Type Chart'!$C$2:$T$20,6,false)*HLOOKUP($K1306,'Type Chart'!$C$2:$U$20,6,false)</f>
        <v>2</v>
      </c>
      <c r="Z1306" s="960">
        <f t="array" ref="Z1306">HLOOKUP($J1306,'Type Chart'!$C$2:$T$20,7,false)*HLOOKUP($K1306,'Type Chart'!$C$2:$U$20,7,false)</f>
        <v>1</v>
      </c>
      <c r="AA1306" s="960">
        <f t="array" ref="AA1306">HLOOKUP($J1306,'Type Chart'!$C$2:$T$20,8,false)*HLOOKUP($K1306,'Type Chart'!$C$2:$U$20,8,false)</f>
        <v>1</v>
      </c>
      <c r="AB1306" s="960">
        <f t="array" ref="AB1306">HLOOKUP($J1306,'Type Chart'!$C$2:$T$20,9,false)*HLOOKUP($K1306,'Type Chart'!$C$2:$U$20,9,false)</f>
        <v>1</v>
      </c>
      <c r="AC1306" s="960">
        <f t="array" ref="AC1306">HLOOKUP($J1306,'Type Chart'!$C$2:$T$20,10,false)*HLOOKUP($K1306,'Type Chart'!$C$2:$U$20,10,false)</f>
        <v>0.5</v>
      </c>
      <c r="AD1306" s="960">
        <f t="array" ref="AD1306">HLOOKUP($J1306,'Type Chart'!$C$2:$T$20,11,false)*HLOOKUP($K1306,'Type Chart'!$C$2:$U$20,11,false)</f>
        <v>1</v>
      </c>
      <c r="AE1306" s="960">
        <f t="array" ref="AE1306">HLOOKUP($J1306,'Type Chart'!$C$2:$T$20,12,false)*HLOOKUP($K1306,'Type Chart'!$C$2:$U$20,12,false)</f>
        <v>1</v>
      </c>
      <c r="AF1306" s="960">
        <f t="array" ref="AF1306">HLOOKUP($J1306,'Type Chart'!$C$2:$T$20,13,false)*HLOOKUP($K1306,'Type Chart'!$C$2:$U$20,13,false)</f>
        <v>1</v>
      </c>
      <c r="AG1306" s="960">
        <f t="array" ref="AG1306">HLOOKUP($J1306,'Type Chart'!$C$2:$T$20,14,false)*HLOOKUP($K1306,'Type Chart'!$C$2:$U$20,14,false)</f>
        <v>0.5</v>
      </c>
      <c r="AH1306" s="960">
        <f t="array" ref="AH1306">HLOOKUP($J1306,'Type Chart'!$C$2:$T$20,15,false)*HLOOKUP($K1306,'Type Chart'!$C$2:$U$20,15,false)</f>
        <v>1</v>
      </c>
      <c r="AI1306" s="960">
        <f t="array" ref="AI1306">HLOOKUP($J1306,'Type Chart'!$C$2:$T$20,16,false)*HLOOKUP($K1306,'Type Chart'!$C$2:$U$20,16,false)</f>
        <v>1</v>
      </c>
      <c r="AJ1306" s="960">
        <f t="array" ref="AJ1306">HLOOKUP($J1306,'Type Chart'!$C$2:$T$20,17,false)*HLOOKUP($K1306,'Type Chart'!$C$2:$U$20,17,false)</f>
        <v>1</v>
      </c>
      <c r="AK1306" s="960">
        <f t="array" ref="AK1306">HLOOKUP($J1306,'Type Chart'!$C$2:$T$20,18,false)*HLOOKUP($K1306,'Type Chart'!$C$2:$U$20,18,false)</f>
        <v>1</v>
      </c>
      <c r="AL1306" s="960">
        <f t="array" ref="AL1306">HLOOKUP($J1306,'Type Chart'!$C$2:$T$20,19,false)*HLOOKUP($K1306,'Type Chart'!$C$2:$U$20,19,false)</f>
        <v>1</v>
      </c>
      <c r="AM1306" s="1145" t="s">
        <v>1067</v>
      </c>
      <c r="AN1306" s="965"/>
      <c r="AO1306" s="1146" t="s">
        <v>1068</v>
      </c>
      <c r="AP1306" s="936"/>
      <c r="AQ1306" s="1245"/>
      <c r="AR1306" s="1245"/>
      <c r="AS1306" s="936"/>
    </row>
    <row r="1307" ht="15.75" customHeight="1">
      <c r="A1307" s="1099"/>
      <c r="B1307" s="948" t="s">
        <v>1101</v>
      </c>
      <c r="C1307" s="1197" t="s">
        <v>1102</v>
      </c>
      <c r="D1307" s="1197" t="s">
        <v>1103</v>
      </c>
      <c r="E1307" s="1147" t="s">
        <v>1102</v>
      </c>
      <c r="F1307" s="940"/>
      <c r="G1307" s="953"/>
      <c r="H1307" s="969"/>
      <c r="I1307" s="998" t="s">
        <v>4407</v>
      </c>
      <c r="J1307" s="1196" t="s">
        <v>203</v>
      </c>
      <c r="K1307" s="984" t="s">
        <v>216</v>
      </c>
      <c r="L1307" s="959">
        <v>35.0</v>
      </c>
      <c r="M1307" s="960">
        <v>55.0</v>
      </c>
      <c r="N1307" s="960">
        <v>40.0</v>
      </c>
      <c r="O1307" s="960">
        <v>50.0</v>
      </c>
      <c r="P1307" s="960">
        <v>50.0</v>
      </c>
      <c r="Q1307" s="960">
        <v>90.0</v>
      </c>
      <c r="R1307" s="960">
        <v>216.0</v>
      </c>
      <c r="S1307" s="960">
        <v>279.0</v>
      </c>
      <c r="T1307" s="960">
        <v>306.0</v>
      </c>
      <c r="U1307" s="960">
        <f t="array" ref="U1307">HLOOKUP($J1307,'Type Chart'!$C$2:$T$20,2,false)*HLOOKUP($K1307,'Type Chart'!$C$2:$U$20,2,false)</f>
        <v>1</v>
      </c>
      <c r="V1307" s="960">
        <f t="array" ref="V1307">HLOOKUP($J1307,'Type Chart'!$C$2:$T$20,3,false)*HLOOKUP($K1307,'Type Chart'!$C$2:$U$20,3,false)</f>
        <v>1</v>
      </c>
      <c r="W1307" s="960">
        <f t="array" ref="W1307">HLOOKUP($J1307,'Type Chart'!$C$2:$T$20,4,false)*HLOOKUP($K1307,'Type Chart'!$C$2:$U$20,4,false)</f>
        <v>0.5</v>
      </c>
      <c r="X1307" s="960">
        <f t="array" ref="X1307">HLOOKUP($J1307,'Type Chart'!$C$2:$T$20,5,false)*HLOOKUP($K1307,'Type Chart'!$C$2:$U$20,5,false)</f>
        <v>1</v>
      </c>
      <c r="Y1307" s="960">
        <f t="array" ref="Y1307">HLOOKUP($J1307,'Type Chart'!$C$2:$T$20,6,false)*HLOOKUP($K1307,'Type Chart'!$C$2:$U$20,6,false)</f>
        <v>2</v>
      </c>
      <c r="Z1307" s="960">
        <f t="array" ref="Z1307">HLOOKUP($J1307,'Type Chart'!$C$2:$T$20,7,false)*HLOOKUP($K1307,'Type Chart'!$C$2:$U$20,7,false)</f>
        <v>1</v>
      </c>
      <c r="AA1307" s="960">
        <f t="array" ref="AA1307">HLOOKUP($J1307,'Type Chart'!$C$2:$T$20,8,false)*HLOOKUP($K1307,'Type Chart'!$C$2:$U$20,8,false)</f>
        <v>1</v>
      </c>
      <c r="AB1307" s="960">
        <f t="array" ref="AB1307">HLOOKUP($J1307,'Type Chart'!$C$2:$T$20,9,false)*HLOOKUP($K1307,'Type Chart'!$C$2:$U$20,9,false)</f>
        <v>1</v>
      </c>
      <c r="AC1307" s="960">
        <f t="array" ref="AC1307">HLOOKUP($J1307,'Type Chart'!$C$2:$T$20,10,false)*HLOOKUP($K1307,'Type Chart'!$C$2:$U$20,10,false)</f>
        <v>0.5</v>
      </c>
      <c r="AD1307" s="960">
        <f t="array" ref="AD1307">HLOOKUP($J1307,'Type Chart'!$C$2:$T$20,11,false)*HLOOKUP($K1307,'Type Chart'!$C$2:$U$20,11,false)</f>
        <v>1</v>
      </c>
      <c r="AE1307" s="960">
        <f t="array" ref="AE1307">HLOOKUP($J1307,'Type Chart'!$C$2:$T$20,12,false)*HLOOKUP($K1307,'Type Chart'!$C$2:$U$20,12,false)</f>
        <v>1</v>
      </c>
      <c r="AF1307" s="960">
        <f t="array" ref="AF1307">HLOOKUP($J1307,'Type Chart'!$C$2:$T$20,13,false)*HLOOKUP($K1307,'Type Chart'!$C$2:$U$20,13,false)</f>
        <v>1</v>
      </c>
      <c r="AG1307" s="960">
        <f t="array" ref="AG1307">HLOOKUP($J1307,'Type Chart'!$C$2:$T$20,14,false)*HLOOKUP($K1307,'Type Chart'!$C$2:$U$20,14,false)</f>
        <v>0.5</v>
      </c>
      <c r="AH1307" s="960">
        <f t="array" ref="AH1307">HLOOKUP($J1307,'Type Chart'!$C$2:$T$20,15,false)*HLOOKUP($K1307,'Type Chart'!$C$2:$U$20,15,false)</f>
        <v>1</v>
      </c>
      <c r="AI1307" s="960">
        <f t="array" ref="AI1307">HLOOKUP($J1307,'Type Chart'!$C$2:$T$20,16,false)*HLOOKUP($K1307,'Type Chart'!$C$2:$U$20,16,false)</f>
        <v>1</v>
      </c>
      <c r="AJ1307" s="960">
        <f t="array" ref="AJ1307">HLOOKUP($J1307,'Type Chart'!$C$2:$T$20,17,false)*HLOOKUP($K1307,'Type Chart'!$C$2:$U$20,17,false)</f>
        <v>1</v>
      </c>
      <c r="AK1307" s="960">
        <f t="array" ref="AK1307">HLOOKUP($J1307,'Type Chart'!$C$2:$T$20,18,false)*HLOOKUP($K1307,'Type Chart'!$C$2:$U$20,18,false)</f>
        <v>1</v>
      </c>
      <c r="AL1307" s="960">
        <f t="array" ref="AL1307">HLOOKUP($J1307,'Type Chart'!$C$2:$T$20,19,false)*HLOOKUP($K1307,'Type Chart'!$C$2:$U$20,19,false)</f>
        <v>1</v>
      </c>
      <c r="AM1307" s="964" t="s">
        <v>1067</v>
      </c>
      <c r="AN1307" s="965"/>
      <c r="AO1307" s="966" t="s">
        <v>1068</v>
      </c>
      <c r="AP1307" s="936"/>
      <c r="AQ1307" s="1245"/>
      <c r="AR1307" s="1245"/>
      <c r="AS1307" s="936"/>
    </row>
    <row r="1308" ht="15.75" customHeight="1">
      <c r="A1308" s="1099"/>
      <c r="B1308" s="948" t="s">
        <v>1105</v>
      </c>
      <c r="C1308" s="1197" t="s">
        <v>1106</v>
      </c>
      <c r="D1308" s="1197" t="s">
        <v>1107</v>
      </c>
      <c r="E1308" s="1147" t="s">
        <v>1106</v>
      </c>
      <c r="F1308" s="940"/>
      <c r="G1308" s="953"/>
      <c r="H1308" s="969"/>
      <c r="I1308" s="998" t="s">
        <v>4408</v>
      </c>
      <c r="J1308" s="1196" t="s">
        <v>203</v>
      </c>
      <c r="K1308" s="984" t="s">
        <v>216</v>
      </c>
      <c r="L1308" s="959">
        <v>35.0</v>
      </c>
      <c r="M1308" s="960">
        <v>55.0</v>
      </c>
      <c r="N1308" s="960">
        <v>40.0</v>
      </c>
      <c r="O1308" s="960">
        <v>50.0</v>
      </c>
      <c r="P1308" s="960">
        <v>50.0</v>
      </c>
      <c r="Q1308" s="960">
        <v>90.0</v>
      </c>
      <c r="R1308" s="960">
        <v>216.0</v>
      </c>
      <c r="S1308" s="960">
        <v>279.0</v>
      </c>
      <c r="T1308" s="960">
        <v>306.0</v>
      </c>
      <c r="U1308" s="960">
        <f t="array" ref="U1308">HLOOKUP($J1308,'Type Chart'!$C$2:$T$20,2,false)*HLOOKUP($K1308,'Type Chart'!$C$2:$U$20,2,false)</f>
        <v>1</v>
      </c>
      <c r="V1308" s="960">
        <f t="array" ref="V1308">HLOOKUP($J1308,'Type Chart'!$C$2:$T$20,3,false)*HLOOKUP($K1308,'Type Chart'!$C$2:$U$20,3,false)</f>
        <v>1</v>
      </c>
      <c r="W1308" s="960">
        <f t="array" ref="W1308">HLOOKUP($J1308,'Type Chart'!$C$2:$T$20,4,false)*HLOOKUP($K1308,'Type Chart'!$C$2:$U$20,4,false)</f>
        <v>0.5</v>
      </c>
      <c r="X1308" s="960">
        <f t="array" ref="X1308">HLOOKUP($J1308,'Type Chart'!$C$2:$T$20,5,false)*HLOOKUP($K1308,'Type Chart'!$C$2:$U$20,5,false)</f>
        <v>1</v>
      </c>
      <c r="Y1308" s="960">
        <f t="array" ref="Y1308">HLOOKUP($J1308,'Type Chart'!$C$2:$T$20,6,false)*HLOOKUP($K1308,'Type Chart'!$C$2:$U$20,6,false)</f>
        <v>2</v>
      </c>
      <c r="Z1308" s="960">
        <f t="array" ref="Z1308">HLOOKUP($J1308,'Type Chart'!$C$2:$T$20,7,false)*HLOOKUP($K1308,'Type Chart'!$C$2:$U$20,7,false)</f>
        <v>1</v>
      </c>
      <c r="AA1308" s="960">
        <f t="array" ref="AA1308">HLOOKUP($J1308,'Type Chart'!$C$2:$T$20,8,false)*HLOOKUP($K1308,'Type Chart'!$C$2:$U$20,8,false)</f>
        <v>1</v>
      </c>
      <c r="AB1308" s="960">
        <f t="array" ref="AB1308">HLOOKUP($J1308,'Type Chart'!$C$2:$T$20,9,false)*HLOOKUP($K1308,'Type Chart'!$C$2:$U$20,9,false)</f>
        <v>1</v>
      </c>
      <c r="AC1308" s="960">
        <f t="array" ref="AC1308">HLOOKUP($J1308,'Type Chart'!$C$2:$T$20,10,false)*HLOOKUP($K1308,'Type Chart'!$C$2:$U$20,10,false)</f>
        <v>0.5</v>
      </c>
      <c r="AD1308" s="960">
        <f t="array" ref="AD1308">HLOOKUP($J1308,'Type Chart'!$C$2:$T$20,11,false)*HLOOKUP($K1308,'Type Chart'!$C$2:$U$20,11,false)</f>
        <v>1</v>
      </c>
      <c r="AE1308" s="960">
        <f t="array" ref="AE1308">HLOOKUP($J1308,'Type Chart'!$C$2:$T$20,12,false)*HLOOKUP($K1308,'Type Chart'!$C$2:$U$20,12,false)</f>
        <v>1</v>
      </c>
      <c r="AF1308" s="960">
        <f t="array" ref="AF1308">HLOOKUP($J1308,'Type Chart'!$C$2:$T$20,13,false)*HLOOKUP($K1308,'Type Chart'!$C$2:$U$20,13,false)</f>
        <v>1</v>
      </c>
      <c r="AG1308" s="960">
        <f t="array" ref="AG1308">HLOOKUP($J1308,'Type Chart'!$C$2:$T$20,14,false)*HLOOKUP($K1308,'Type Chart'!$C$2:$U$20,14,false)</f>
        <v>0.5</v>
      </c>
      <c r="AH1308" s="960">
        <f t="array" ref="AH1308">HLOOKUP($J1308,'Type Chart'!$C$2:$T$20,15,false)*HLOOKUP($K1308,'Type Chart'!$C$2:$U$20,15,false)</f>
        <v>1</v>
      </c>
      <c r="AI1308" s="960">
        <f t="array" ref="AI1308">HLOOKUP($J1308,'Type Chart'!$C$2:$T$20,16,false)*HLOOKUP($K1308,'Type Chart'!$C$2:$U$20,16,false)</f>
        <v>1</v>
      </c>
      <c r="AJ1308" s="960">
        <f t="array" ref="AJ1308">HLOOKUP($J1308,'Type Chart'!$C$2:$T$20,17,false)*HLOOKUP($K1308,'Type Chart'!$C$2:$U$20,17,false)</f>
        <v>1</v>
      </c>
      <c r="AK1308" s="960">
        <f t="array" ref="AK1308">HLOOKUP($J1308,'Type Chart'!$C$2:$T$20,18,false)*HLOOKUP($K1308,'Type Chart'!$C$2:$U$20,18,false)</f>
        <v>1</v>
      </c>
      <c r="AL1308" s="960">
        <f t="array" ref="AL1308">HLOOKUP($J1308,'Type Chart'!$C$2:$T$20,19,false)*HLOOKUP($K1308,'Type Chart'!$C$2:$U$20,19,false)</f>
        <v>1</v>
      </c>
      <c r="AM1308" s="1145" t="s">
        <v>1067</v>
      </c>
      <c r="AN1308" s="965"/>
      <c r="AO1308" s="966" t="s">
        <v>1068</v>
      </c>
      <c r="AP1308" s="936"/>
      <c r="AQ1308" s="1245"/>
      <c r="AR1308" s="1245"/>
      <c r="AS1308" s="936"/>
    </row>
    <row r="1309" ht="15.75" customHeight="1">
      <c r="A1309" s="1099"/>
      <c r="B1309" s="948" t="s">
        <v>1109</v>
      </c>
      <c r="C1309" s="1197" t="s">
        <v>1110</v>
      </c>
      <c r="D1309" s="1197" t="s">
        <v>1111</v>
      </c>
      <c r="E1309" s="1147" t="s">
        <v>1110</v>
      </c>
      <c r="F1309" s="940"/>
      <c r="G1309" s="953"/>
      <c r="H1309" s="969"/>
      <c r="I1309" s="998" t="s">
        <v>4409</v>
      </c>
      <c r="J1309" s="1196" t="s">
        <v>203</v>
      </c>
      <c r="K1309" s="984" t="s">
        <v>216</v>
      </c>
      <c r="L1309" s="959">
        <v>35.0</v>
      </c>
      <c r="M1309" s="960">
        <v>55.0</v>
      </c>
      <c r="N1309" s="960">
        <v>40.0</v>
      </c>
      <c r="O1309" s="960">
        <v>50.0</v>
      </c>
      <c r="P1309" s="960">
        <v>50.0</v>
      </c>
      <c r="Q1309" s="960">
        <v>90.0</v>
      </c>
      <c r="R1309" s="960">
        <v>216.0</v>
      </c>
      <c r="S1309" s="960">
        <v>279.0</v>
      </c>
      <c r="T1309" s="960">
        <v>306.0</v>
      </c>
      <c r="U1309" s="960">
        <f t="array" ref="U1309">HLOOKUP($J1309,'Type Chart'!$C$2:$T$20,2,false)*HLOOKUP($K1309,'Type Chart'!$C$2:$U$20,2,false)</f>
        <v>1</v>
      </c>
      <c r="V1309" s="960">
        <f t="array" ref="V1309">HLOOKUP($J1309,'Type Chart'!$C$2:$T$20,3,false)*HLOOKUP($K1309,'Type Chart'!$C$2:$U$20,3,false)</f>
        <v>1</v>
      </c>
      <c r="W1309" s="960">
        <f t="array" ref="W1309">HLOOKUP($J1309,'Type Chart'!$C$2:$T$20,4,false)*HLOOKUP($K1309,'Type Chart'!$C$2:$U$20,4,false)</f>
        <v>0.5</v>
      </c>
      <c r="X1309" s="960">
        <f t="array" ref="X1309">HLOOKUP($J1309,'Type Chart'!$C$2:$T$20,5,false)*HLOOKUP($K1309,'Type Chart'!$C$2:$U$20,5,false)</f>
        <v>1</v>
      </c>
      <c r="Y1309" s="960">
        <f t="array" ref="Y1309">HLOOKUP($J1309,'Type Chart'!$C$2:$T$20,6,false)*HLOOKUP($K1309,'Type Chart'!$C$2:$U$20,6,false)</f>
        <v>2</v>
      </c>
      <c r="Z1309" s="960">
        <f t="array" ref="Z1309">HLOOKUP($J1309,'Type Chart'!$C$2:$T$20,7,false)*HLOOKUP($K1309,'Type Chart'!$C$2:$U$20,7,false)</f>
        <v>1</v>
      </c>
      <c r="AA1309" s="960">
        <f t="array" ref="AA1309">HLOOKUP($J1309,'Type Chart'!$C$2:$T$20,8,false)*HLOOKUP($K1309,'Type Chart'!$C$2:$U$20,8,false)</f>
        <v>1</v>
      </c>
      <c r="AB1309" s="960">
        <f t="array" ref="AB1309">HLOOKUP($J1309,'Type Chart'!$C$2:$T$20,9,false)*HLOOKUP($K1309,'Type Chart'!$C$2:$U$20,9,false)</f>
        <v>1</v>
      </c>
      <c r="AC1309" s="960">
        <f t="array" ref="AC1309">HLOOKUP($J1309,'Type Chart'!$C$2:$T$20,10,false)*HLOOKUP($K1309,'Type Chart'!$C$2:$U$20,10,false)</f>
        <v>0.5</v>
      </c>
      <c r="AD1309" s="960">
        <f t="array" ref="AD1309">HLOOKUP($J1309,'Type Chart'!$C$2:$T$20,11,false)*HLOOKUP($K1309,'Type Chart'!$C$2:$U$20,11,false)</f>
        <v>1</v>
      </c>
      <c r="AE1309" s="960">
        <f t="array" ref="AE1309">HLOOKUP($J1309,'Type Chart'!$C$2:$T$20,12,false)*HLOOKUP($K1309,'Type Chart'!$C$2:$U$20,12,false)</f>
        <v>1</v>
      </c>
      <c r="AF1309" s="960">
        <f t="array" ref="AF1309">HLOOKUP($J1309,'Type Chart'!$C$2:$T$20,13,false)*HLOOKUP($K1309,'Type Chart'!$C$2:$U$20,13,false)</f>
        <v>1</v>
      </c>
      <c r="AG1309" s="960">
        <f t="array" ref="AG1309">HLOOKUP($J1309,'Type Chart'!$C$2:$T$20,14,false)*HLOOKUP($K1309,'Type Chart'!$C$2:$U$20,14,false)</f>
        <v>0.5</v>
      </c>
      <c r="AH1309" s="960">
        <f t="array" ref="AH1309">HLOOKUP($J1309,'Type Chart'!$C$2:$T$20,15,false)*HLOOKUP($K1309,'Type Chart'!$C$2:$U$20,15,false)</f>
        <v>1</v>
      </c>
      <c r="AI1309" s="960">
        <f t="array" ref="AI1309">HLOOKUP($J1309,'Type Chart'!$C$2:$T$20,16,false)*HLOOKUP($K1309,'Type Chart'!$C$2:$U$20,16,false)</f>
        <v>1</v>
      </c>
      <c r="AJ1309" s="960">
        <f t="array" ref="AJ1309">HLOOKUP($J1309,'Type Chart'!$C$2:$T$20,17,false)*HLOOKUP($K1309,'Type Chart'!$C$2:$U$20,17,false)</f>
        <v>1</v>
      </c>
      <c r="AK1309" s="960">
        <f t="array" ref="AK1309">HLOOKUP($J1309,'Type Chart'!$C$2:$T$20,18,false)*HLOOKUP($K1309,'Type Chart'!$C$2:$U$20,18,false)</f>
        <v>1</v>
      </c>
      <c r="AL1309" s="960">
        <f t="array" ref="AL1309">HLOOKUP($J1309,'Type Chart'!$C$2:$T$20,19,false)*HLOOKUP($K1309,'Type Chart'!$C$2:$U$20,19,false)</f>
        <v>1</v>
      </c>
      <c r="AM1309" s="1145" t="s">
        <v>1067</v>
      </c>
      <c r="AN1309" s="965"/>
      <c r="AO1309" s="966" t="s">
        <v>1068</v>
      </c>
      <c r="AP1309" s="936"/>
      <c r="AQ1309" s="1245"/>
      <c r="AR1309" s="1245"/>
      <c r="AS1309" s="936"/>
    </row>
    <row r="1310" ht="15.75" customHeight="1">
      <c r="A1310" s="1099"/>
      <c r="B1310" s="948" t="s">
        <v>1113</v>
      </c>
      <c r="C1310" s="1197" t="s">
        <v>1114</v>
      </c>
      <c r="D1310" s="1197" t="s">
        <v>1115</v>
      </c>
      <c r="E1310" s="1147" t="s">
        <v>1114</v>
      </c>
      <c r="F1310" s="940"/>
      <c r="G1310" s="953"/>
      <c r="H1310" s="969"/>
      <c r="I1310" s="998" t="s">
        <v>4410</v>
      </c>
      <c r="J1310" s="1196" t="s">
        <v>203</v>
      </c>
      <c r="K1310" s="984" t="s">
        <v>216</v>
      </c>
      <c r="L1310" s="959">
        <v>35.0</v>
      </c>
      <c r="M1310" s="960">
        <v>55.0</v>
      </c>
      <c r="N1310" s="960">
        <v>40.0</v>
      </c>
      <c r="O1310" s="960">
        <v>50.0</v>
      </c>
      <c r="P1310" s="960">
        <v>50.0</v>
      </c>
      <c r="Q1310" s="960">
        <v>90.0</v>
      </c>
      <c r="R1310" s="960">
        <v>216.0</v>
      </c>
      <c r="S1310" s="960">
        <v>279.0</v>
      </c>
      <c r="T1310" s="960">
        <v>306.0</v>
      </c>
      <c r="U1310" s="960">
        <f t="array" ref="U1310">HLOOKUP($J1310,'Type Chart'!$C$2:$T$20,2,false)*HLOOKUP($K1310,'Type Chart'!$C$2:$U$20,2,false)</f>
        <v>1</v>
      </c>
      <c r="V1310" s="960">
        <f t="array" ref="V1310">HLOOKUP($J1310,'Type Chart'!$C$2:$T$20,3,false)*HLOOKUP($K1310,'Type Chart'!$C$2:$U$20,3,false)</f>
        <v>1</v>
      </c>
      <c r="W1310" s="960">
        <f t="array" ref="W1310">HLOOKUP($J1310,'Type Chart'!$C$2:$T$20,4,false)*HLOOKUP($K1310,'Type Chart'!$C$2:$U$20,4,false)</f>
        <v>0.5</v>
      </c>
      <c r="X1310" s="960">
        <f t="array" ref="X1310">HLOOKUP($J1310,'Type Chart'!$C$2:$T$20,5,false)*HLOOKUP($K1310,'Type Chart'!$C$2:$U$20,5,false)</f>
        <v>1</v>
      </c>
      <c r="Y1310" s="960">
        <f t="array" ref="Y1310">HLOOKUP($J1310,'Type Chart'!$C$2:$T$20,6,false)*HLOOKUP($K1310,'Type Chart'!$C$2:$U$20,6,false)</f>
        <v>2</v>
      </c>
      <c r="Z1310" s="960">
        <f t="array" ref="Z1310">HLOOKUP($J1310,'Type Chart'!$C$2:$T$20,7,false)*HLOOKUP($K1310,'Type Chart'!$C$2:$U$20,7,false)</f>
        <v>1</v>
      </c>
      <c r="AA1310" s="960">
        <f t="array" ref="AA1310">HLOOKUP($J1310,'Type Chart'!$C$2:$T$20,8,false)*HLOOKUP($K1310,'Type Chart'!$C$2:$U$20,8,false)</f>
        <v>1</v>
      </c>
      <c r="AB1310" s="960">
        <f t="array" ref="AB1310">HLOOKUP($J1310,'Type Chart'!$C$2:$T$20,9,false)*HLOOKUP($K1310,'Type Chart'!$C$2:$U$20,9,false)</f>
        <v>1</v>
      </c>
      <c r="AC1310" s="960">
        <f t="array" ref="AC1310">HLOOKUP($J1310,'Type Chart'!$C$2:$T$20,10,false)*HLOOKUP($K1310,'Type Chart'!$C$2:$U$20,10,false)</f>
        <v>0.5</v>
      </c>
      <c r="AD1310" s="960">
        <f t="array" ref="AD1310">HLOOKUP($J1310,'Type Chart'!$C$2:$T$20,11,false)*HLOOKUP($K1310,'Type Chart'!$C$2:$U$20,11,false)</f>
        <v>1</v>
      </c>
      <c r="AE1310" s="960">
        <f t="array" ref="AE1310">HLOOKUP($J1310,'Type Chart'!$C$2:$T$20,12,false)*HLOOKUP($K1310,'Type Chart'!$C$2:$U$20,12,false)</f>
        <v>1</v>
      </c>
      <c r="AF1310" s="960">
        <f t="array" ref="AF1310">HLOOKUP($J1310,'Type Chart'!$C$2:$T$20,13,false)*HLOOKUP($K1310,'Type Chart'!$C$2:$U$20,13,false)</f>
        <v>1</v>
      </c>
      <c r="AG1310" s="960">
        <f t="array" ref="AG1310">HLOOKUP($J1310,'Type Chart'!$C$2:$T$20,14,false)*HLOOKUP($K1310,'Type Chart'!$C$2:$U$20,14,false)</f>
        <v>0.5</v>
      </c>
      <c r="AH1310" s="960">
        <f t="array" ref="AH1310">HLOOKUP($J1310,'Type Chart'!$C$2:$T$20,15,false)*HLOOKUP($K1310,'Type Chart'!$C$2:$U$20,15,false)</f>
        <v>1</v>
      </c>
      <c r="AI1310" s="960">
        <f t="array" ref="AI1310">HLOOKUP($J1310,'Type Chart'!$C$2:$T$20,16,false)*HLOOKUP($K1310,'Type Chart'!$C$2:$U$20,16,false)</f>
        <v>1</v>
      </c>
      <c r="AJ1310" s="960">
        <f t="array" ref="AJ1310">HLOOKUP($J1310,'Type Chart'!$C$2:$T$20,17,false)*HLOOKUP($K1310,'Type Chart'!$C$2:$U$20,17,false)</f>
        <v>1</v>
      </c>
      <c r="AK1310" s="960">
        <f t="array" ref="AK1310">HLOOKUP($J1310,'Type Chart'!$C$2:$T$20,18,false)*HLOOKUP($K1310,'Type Chart'!$C$2:$U$20,18,false)</f>
        <v>1</v>
      </c>
      <c r="AL1310" s="960">
        <f t="array" ref="AL1310">HLOOKUP($J1310,'Type Chart'!$C$2:$T$20,19,false)*HLOOKUP($K1310,'Type Chart'!$C$2:$U$20,19,false)</f>
        <v>1</v>
      </c>
      <c r="AM1310" s="1145" t="s">
        <v>1067</v>
      </c>
      <c r="AN1310" s="965"/>
      <c r="AO1310" s="966" t="s">
        <v>1068</v>
      </c>
      <c r="AP1310" s="936"/>
      <c r="AQ1310" s="1245"/>
      <c r="AR1310" s="1245"/>
      <c r="AS1310" s="936"/>
    </row>
    <row r="1311" ht="15.75" customHeight="1">
      <c r="A1311" s="1099"/>
      <c r="B1311" s="948" t="s">
        <v>1117</v>
      </c>
      <c r="C1311" s="1197" t="s">
        <v>1118</v>
      </c>
      <c r="D1311" s="1197" t="s">
        <v>1118</v>
      </c>
      <c r="E1311" s="1147" t="s">
        <v>1118</v>
      </c>
      <c r="F1311" s="940"/>
      <c r="G1311" s="953"/>
      <c r="H1311" s="969"/>
      <c r="I1311" s="998" t="s">
        <v>4411</v>
      </c>
      <c r="J1311" s="1196" t="s">
        <v>203</v>
      </c>
      <c r="K1311" s="984" t="s">
        <v>216</v>
      </c>
      <c r="L1311" s="959">
        <v>45.0</v>
      </c>
      <c r="M1311" s="960">
        <v>80.0</v>
      </c>
      <c r="N1311" s="960">
        <v>50.0</v>
      </c>
      <c r="O1311" s="960">
        <v>75.0</v>
      </c>
      <c r="P1311" s="960">
        <v>60.0</v>
      </c>
      <c r="Q1311" s="960">
        <v>120.0</v>
      </c>
      <c r="R1311" s="960">
        <v>276.0</v>
      </c>
      <c r="S1311" s="960">
        <v>339.0</v>
      </c>
      <c r="T1311" s="960">
        <v>372.0</v>
      </c>
      <c r="U1311" s="960">
        <f t="array" ref="U1311">HLOOKUP($J1311,'Type Chart'!$C$2:$T$20,2,false)*HLOOKUP($K1311,'Type Chart'!$C$2:$U$20,2,false)</f>
        <v>1</v>
      </c>
      <c r="V1311" s="960">
        <f t="array" ref="V1311">HLOOKUP($J1311,'Type Chart'!$C$2:$T$20,3,false)*HLOOKUP($K1311,'Type Chart'!$C$2:$U$20,3,false)</f>
        <v>1</v>
      </c>
      <c r="W1311" s="960">
        <f t="array" ref="W1311">HLOOKUP($J1311,'Type Chart'!$C$2:$T$20,4,false)*HLOOKUP($K1311,'Type Chart'!$C$2:$U$20,4,false)</f>
        <v>0.5</v>
      </c>
      <c r="X1311" s="960">
        <f t="array" ref="X1311">HLOOKUP($J1311,'Type Chart'!$C$2:$T$20,5,false)*HLOOKUP($K1311,'Type Chart'!$C$2:$U$20,5,false)</f>
        <v>1</v>
      </c>
      <c r="Y1311" s="960">
        <f t="array" ref="Y1311">HLOOKUP($J1311,'Type Chart'!$C$2:$T$20,6,false)*HLOOKUP($K1311,'Type Chart'!$C$2:$U$20,6,false)</f>
        <v>2</v>
      </c>
      <c r="Z1311" s="960">
        <f t="array" ref="Z1311">HLOOKUP($J1311,'Type Chart'!$C$2:$T$20,7,false)*HLOOKUP($K1311,'Type Chart'!$C$2:$U$20,7,false)</f>
        <v>1</v>
      </c>
      <c r="AA1311" s="960">
        <f t="array" ref="AA1311">HLOOKUP($J1311,'Type Chart'!$C$2:$T$20,8,false)*HLOOKUP($K1311,'Type Chart'!$C$2:$U$20,8,false)</f>
        <v>1</v>
      </c>
      <c r="AB1311" s="960">
        <f t="array" ref="AB1311">HLOOKUP($J1311,'Type Chart'!$C$2:$T$20,9,false)*HLOOKUP($K1311,'Type Chart'!$C$2:$U$20,9,false)</f>
        <v>1</v>
      </c>
      <c r="AC1311" s="960">
        <f t="array" ref="AC1311">HLOOKUP($J1311,'Type Chart'!$C$2:$T$20,10,false)*HLOOKUP($K1311,'Type Chart'!$C$2:$U$20,10,false)</f>
        <v>0.5</v>
      </c>
      <c r="AD1311" s="960">
        <f t="array" ref="AD1311">HLOOKUP($J1311,'Type Chart'!$C$2:$T$20,11,false)*HLOOKUP($K1311,'Type Chart'!$C$2:$U$20,11,false)</f>
        <v>1</v>
      </c>
      <c r="AE1311" s="960">
        <f t="array" ref="AE1311">HLOOKUP($J1311,'Type Chart'!$C$2:$T$20,12,false)*HLOOKUP($K1311,'Type Chart'!$C$2:$U$20,12,false)</f>
        <v>1</v>
      </c>
      <c r="AF1311" s="960">
        <f t="array" ref="AF1311">HLOOKUP($J1311,'Type Chart'!$C$2:$T$20,13,false)*HLOOKUP($K1311,'Type Chart'!$C$2:$U$20,13,false)</f>
        <v>1</v>
      </c>
      <c r="AG1311" s="960">
        <f t="array" ref="AG1311">HLOOKUP($J1311,'Type Chart'!$C$2:$T$20,14,false)*HLOOKUP($K1311,'Type Chart'!$C$2:$U$20,14,false)</f>
        <v>0.5</v>
      </c>
      <c r="AH1311" s="960">
        <f t="array" ref="AH1311">HLOOKUP($J1311,'Type Chart'!$C$2:$T$20,15,false)*HLOOKUP($K1311,'Type Chart'!$C$2:$U$20,15,false)</f>
        <v>1</v>
      </c>
      <c r="AI1311" s="960">
        <f t="array" ref="AI1311">HLOOKUP($J1311,'Type Chart'!$C$2:$T$20,16,false)*HLOOKUP($K1311,'Type Chart'!$C$2:$U$20,16,false)</f>
        <v>1</v>
      </c>
      <c r="AJ1311" s="960">
        <f t="array" ref="AJ1311">HLOOKUP($J1311,'Type Chart'!$C$2:$T$20,17,false)*HLOOKUP($K1311,'Type Chart'!$C$2:$U$20,17,false)</f>
        <v>1</v>
      </c>
      <c r="AK1311" s="960">
        <f t="array" ref="AK1311">HLOOKUP($J1311,'Type Chart'!$C$2:$T$20,18,false)*HLOOKUP($K1311,'Type Chart'!$C$2:$U$20,18,false)</f>
        <v>1</v>
      </c>
      <c r="AL1311" s="960">
        <f t="array" ref="AL1311">HLOOKUP($J1311,'Type Chart'!$C$2:$T$20,19,false)*HLOOKUP($K1311,'Type Chart'!$C$2:$U$20,19,false)</f>
        <v>1</v>
      </c>
      <c r="AM1311" s="1145" t="s">
        <v>1067</v>
      </c>
      <c r="AN1311" s="965"/>
      <c r="AO1311" s="966" t="s">
        <v>1068</v>
      </c>
      <c r="AP1311" s="936"/>
      <c r="AQ1311" s="1245"/>
      <c r="AR1311" s="1245"/>
      <c r="AS1311" s="936"/>
    </row>
    <row r="1312" ht="15.75" customHeight="1">
      <c r="A1312" s="1099"/>
      <c r="B1312" s="948" t="s">
        <v>1120</v>
      </c>
      <c r="C1312" s="1197" t="s">
        <v>1121</v>
      </c>
      <c r="D1312" s="1197" t="s">
        <v>1121</v>
      </c>
      <c r="E1312" s="1147" t="s">
        <v>1121</v>
      </c>
      <c r="F1312" s="940"/>
      <c r="G1312" s="953"/>
      <c r="H1312" s="969"/>
      <c r="I1312" s="998" t="s">
        <v>4412</v>
      </c>
      <c r="J1312" s="1196" t="s">
        <v>203</v>
      </c>
      <c r="K1312" s="984" t="s">
        <v>216</v>
      </c>
      <c r="L1312" s="959">
        <v>60.0</v>
      </c>
      <c r="M1312" s="960">
        <v>90.0</v>
      </c>
      <c r="N1312" s="960">
        <v>55.0</v>
      </c>
      <c r="O1312" s="960">
        <v>90.0</v>
      </c>
      <c r="P1312" s="960">
        <v>80.0</v>
      </c>
      <c r="Q1312" s="960">
        <v>110.0</v>
      </c>
      <c r="R1312" s="960">
        <v>256.0</v>
      </c>
      <c r="S1312" s="960">
        <v>319.0</v>
      </c>
      <c r="T1312" s="960">
        <v>350.0</v>
      </c>
      <c r="U1312" s="960">
        <f t="array" ref="U1312">HLOOKUP($J1312,'Type Chart'!$C$2:$T$20,2,false)*HLOOKUP($K1312,'Type Chart'!$C$2:$U$20,2,false)</f>
        <v>1</v>
      </c>
      <c r="V1312" s="960">
        <f t="array" ref="V1312">HLOOKUP($J1312,'Type Chart'!$C$2:$T$20,3,false)*HLOOKUP($K1312,'Type Chart'!$C$2:$U$20,3,false)</f>
        <v>1</v>
      </c>
      <c r="W1312" s="960">
        <f t="array" ref="W1312">HLOOKUP($J1312,'Type Chart'!$C$2:$T$20,4,false)*HLOOKUP($K1312,'Type Chart'!$C$2:$U$20,4,false)</f>
        <v>0.5</v>
      </c>
      <c r="X1312" s="960">
        <f t="array" ref="X1312">HLOOKUP($J1312,'Type Chart'!$C$2:$T$20,5,false)*HLOOKUP($K1312,'Type Chart'!$C$2:$U$20,5,false)</f>
        <v>1</v>
      </c>
      <c r="Y1312" s="960">
        <f t="array" ref="Y1312">HLOOKUP($J1312,'Type Chart'!$C$2:$T$20,6,false)*HLOOKUP($K1312,'Type Chart'!$C$2:$U$20,6,false)</f>
        <v>2</v>
      </c>
      <c r="Z1312" s="960">
        <f t="array" ref="Z1312">HLOOKUP($J1312,'Type Chart'!$C$2:$T$20,7,false)*HLOOKUP($K1312,'Type Chart'!$C$2:$U$20,7,false)</f>
        <v>1</v>
      </c>
      <c r="AA1312" s="960">
        <f t="array" ref="AA1312">HLOOKUP($J1312,'Type Chart'!$C$2:$T$20,8,false)*HLOOKUP($K1312,'Type Chart'!$C$2:$U$20,8,false)</f>
        <v>1</v>
      </c>
      <c r="AB1312" s="960">
        <f t="array" ref="AB1312">HLOOKUP($J1312,'Type Chart'!$C$2:$T$20,9,false)*HLOOKUP($K1312,'Type Chart'!$C$2:$U$20,9,false)</f>
        <v>1</v>
      </c>
      <c r="AC1312" s="960">
        <f t="array" ref="AC1312">HLOOKUP($J1312,'Type Chart'!$C$2:$T$20,10,false)*HLOOKUP($K1312,'Type Chart'!$C$2:$U$20,10,false)</f>
        <v>0.5</v>
      </c>
      <c r="AD1312" s="960">
        <f t="array" ref="AD1312">HLOOKUP($J1312,'Type Chart'!$C$2:$T$20,11,false)*HLOOKUP($K1312,'Type Chart'!$C$2:$U$20,11,false)</f>
        <v>1</v>
      </c>
      <c r="AE1312" s="960">
        <f t="array" ref="AE1312">HLOOKUP($J1312,'Type Chart'!$C$2:$T$20,12,false)*HLOOKUP($K1312,'Type Chart'!$C$2:$U$20,12,false)</f>
        <v>1</v>
      </c>
      <c r="AF1312" s="960">
        <f t="array" ref="AF1312">HLOOKUP($J1312,'Type Chart'!$C$2:$T$20,13,false)*HLOOKUP($K1312,'Type Chart'!$C$2:$U$20,13,false)</f>
        <v>1</v>
      </c>
      <c r="AG1312" s="960">
        <f t="array" ref="AG1312">HLOOKUP($J1312,'Type Chart'!$C$2:$T$20,14,false)*HLOOKUP($K1312,'Type Chart'!$C$2:$U$20,14,false)</f>
        <v>0.5</v>
      </c>
      <c r="AH1312" s="960">
        <f t="array" ref="AH1312">HLOOKUP($J1312,'Type Chart'!$C$2:$T$20,15,false)*HLOOKUP($K1312,'Type Chart'!$C$2:$U$20,15,false)</f>
        <v>1</v>
      </c>
      <c r="AI1312" s="960">
        <f t="array" ref="AI1312">HLOOKUP($J1312,'Type Chart'!$C$2:$T$20,16,false)*HLOOKUP($K1312,'Type Chart'!$C$2:$U$20,16,false)</f>
        <v>1</v>
      </c>
      <c r="AJ1312" s="960">
        <f t="array" ref="AJ1312">HLOOKUP($J1312,'Type Chart'!$C$2:$T$20,17,false)*HLOOKUP($K1312,'Type Chart'!$C$2:$U$20,17,false)</f>
        <v>1</v>
      </c>
      <c r="AK1312" s="960">
        <f t="array" ref="AK1312">HLOOKUP($J1312,'Type Chart'!$C$2:$T$20,18,false)*HLOOKUP($K1312,'Type Chart'!$C$2:$U$20,18,false)</f>
        <v>1</v>
      </c>
      <c r="AL1312" s="960">
        <f t="array" ref="AL1312">HLOOKUP($J1312,'Type Chart'!$C$2:$T$20,19,false)*HLOOKUP($K1312,'Type Chart'!$C$2:$U$20,19,false)</f>
        <v>1</v>
      </c>
      <c r="AM1312" s="1145" t="s">
        <v>1067</v>
      </c>
      <c r="AN1312" s="965"/>
      <c r="AO1312" s="966" t="s">
        <v>1068</v>
      </c>
      <c r="AP1312" s="936"/>
      <c r="AQ1312" s="1245"/>
      <c r="AR1312" s="1245"/>
      <c r="AS1312" s="936"/>
    </row>
    <row r="1313" ht="15.75" customHeight="1">
      <c r="A1313" s="1099"/>
      <c r="B1313" s="948" t="s">
        <v>1122</v>
      </c>
      <c r="C1313" s="1197" t="s">
        <v>1123</v>
      </c>
      <c r="D1313" s="1197" t="s">
        <v>1123</v>
      </c>
      <c r="E1313" s="1147" t="s">
        <v>1124</v>
      </c>
      <c r="F1313" s="940"/>
      <c r="G1313" s="953"/>
      <c r="H1313" s="969"/>
      <c r="I1313" s="998" t="s">
        <v>4413</v>
      </c>
      <c r="J1313" s="1196" t="s">
        <v>203</v>
      </c>
      <c r="K1313" s="1203" t="s">
        <v>344</v>
      </c>
      <c r="L1313" s="959">
        <v>60.0</v>
      </c>
      <c r="M1313" s="960">
        <v>85.0</v>
      </c>
      <c r="N1313" s="960">
        <v>50.0</v>
      </c>
      <c r="O1313" s="960">
        <v>95.0</v>
      </c>
      <c r="P1313" s="960">
        <v>85.0</v>
      </c>
      <c r="Q1313" s="960">
        <v>110.0</v>
      </c>
      <c r="R1313" s="960">
        <v>256.0</v>
      </c>
      <c r="S1313" s="960">
        <v>319.0</v>
      </c>
      <c r="T1313" s="960">
        <v>350.0</v>
      </c>
      <c r="U1313" s="960">
        <f t="array" ref="U1313">HLOOKUP($J1313,'Type Chart'!$C$2:$T$20,2,false)*HLOOKUP($K1313,'Type Chart'!$C$2:$U$20,2,false)</f>
        <v>1</v>
      </c>
      <c r="V1313" s="960">
        <f t="array" ref="V1313">HLOOKUP($J1313,'Type Chart'!$C$2:$T$20,3,false)*HLOOKUP($K1313,'Type Chart'!$C$2:$U$20,3,false)</f>
        <v>0.5</v>
      </c>
      <c r="W1313" s="960">
        <f t="array" ref="W1313">HLOOKUP($J1313,'Type Chart'!$C$2:$T$20,4,false)*HLOOKUP($K1313,'Type Chart'!$C$2:$U$20,4,false)</f>
        <v>0.5</v>
      </c>
      <c r="X1313" s="960">
        <f t="array" ref="X1313">HLOOKUP($J1313,'Type Chart'!$C$2:$T$20,5,false)*HLOOKUP($K1313,'Type Chart'!$C$2:$U$20,5,false)</f>
        <v>1</v>
      </c>
      <c r="Y1313" s="960">
        <f t="array" ref="Y1313">HLOOKUP($J1313,'Type Chart'!$C$2:$T$20,6,false)*HLOOKUP($K1313,'Type Chart'!$C$2:$U$20,6,false)</f>
        <v>2</v>
      </c>
      <c r="Z1313" s="960">
        <f t="array" ref="Z1313">HLOOKUP($J1313,'Type Chart'!$C$2:$T$20,7,false)*HLOOKUP($K1313,'Type Chart'!$C$2:$U$20,7,false)</f>
        <v>1</v>
      </c>
      <c r="AA1313" s="960">
        <f t="array" ref="AA1313">HLOOKUP($J1313,'Type Chart'!$C$2:$T$20,8,false)*HLOOKUP($K1313,'Type Chart'!$C$2:$U$20,8,false)</f>
        <v>2</v>
      </c>
      <c r="AB1313" s="960">
        <f t="array" ref="AB1313">HLOOKUP($J1313,'Type Chart'!$C$2:$T$20,9,false)*HLOOKUP($K1313,'Type Chart'!$C$2:$U$20,9,false)</f>
        <v>2</v>
      </c>
      <c r="AC1313" s="960">
        <f t="array" ref="AC1313">HLOOKUP($J1313,'Type Chart'!$C$2:$T$20,10,false)*HLOOKUP($K1313,'Type Chart'!$C$2:$U$20,10,false)</f>
        <v>0.5</v>
      </c>
      <c r="AD1313" s="960">
        <f t="array" ref="AD1313">HLOOKUP($J1313,'Type Chart'!$C$2:$T$20,11,false)*HLOOKUP($K1313,'Type Chart'!$C$2:$U$20,11,false)</f>
        <v>1</v>
      </c>
      <c r="AE1313" s="960">
        <f t="array" ref="AE1313">HLOOKUP($J1313,'Type Chart'!$C$2:$T$20,12,false)*HLOOKUP($K1313,'Type Chart'!$C$2:$U$20,12,false)</f>
        <v>1</v>
      </c>
      <c r="AF1313" s="960">
        <f t="array" ref="AF1313">HLOOKUP($J1313,'Type Chart'!$C$2:$T$20,13,false)*HLOOKUP($K1313,'Type Chart'!$C$2:$U$20,13,false)</f>
        <v>1</v>
      </c>
      <c r="AG1313" s="960">
        <f t="array" ref="AG1313">HLOOKUP($J1313,'Type Chart'!$C$2:$T$20,14,false)*HLOOKUP($K1313,'Type Chart'!$C$2:$U$20,14,false)</f>
        <v>0.5</v>
      </c>
      <c r="AH1313" s="960">
        <f t="array" ref="AH1313">HLOOKUP($J1313,'Type Chart'!$C$2:$T$20,15,false)*HLOOKUP($K1313,'Type Chart'!$C$2:$U$20,15,false)</f>
        <v>0.5</v>
      </c>
      <c r="AI1313" s="960">
        <f t="array" ref="AI1313">HLOOKUP($J1313,'Type Chart'!$C$2:$T$20,16,false)*HLOOKUP($K1313,'Type Chart'!$C$2:$U$20,16,false)</f>
        <v>1</v>
      </c>
      <c r="AJ1313" s="960">
        <f t="array" ref="AJ1313">HLOOKUP($J1313,'Type Chart'!$C$2:$T$20,17,false)*HLOOKUP($K1313,'Type Chart'!$C$2:$U$20,17,false)</f>
        <v>1</v>
      </c>
      <c r="AK1313" s="960">
        <f t="array" ref="AK1313">HLOOKUP($J1313,'Type Chart'!$C$2:$T$20,18,false)*HLOOKUP($K1313,'Type Chart'!$C$2:$U$20,18,false)</f>
        <v>2</v>
      </c>
      <c r="AL1313" s="960">
        <f t="array" ref="AL1313">HLOOKUP($J1313,'Type Chart'!$C$2:$T$20,19,false)*HLOOKUP($K1313,'Type Chart'!$C$2:$U$20,19,false)</f>
        <v>1</v>
      </c>
      <c r="AM1313" s="1145" t="s">
        <v>1125</v>
      </c>
      <c r="AN1313" s="965"/>
      <c r="AO1313" s="966"/>
      <c r="AP1313" s="936"/>
      <c r="AQ1313" s="1245"/>
      <c r="AR1313" s="1245"/>
      <c r="AS1313" s="936"/>
    </row>
    <row r="1314" ht="15.75" customHeight="1">
      <c r="A1314" s="1099"/>
      <c r="B1314" s="948" t="s">
        <v>1126</v>
      </c>
      <c r="C1314" s="1197" t="s">
        <v>1127</v>
      </c>
      <c r="D1314" s="1197" t="s">
        <v>1127</v>
      </c>
      <c r="E1314" s="1147" t="s">
        <v>1127</v>
      </c>
      <c r="F1314" s="940"/>
      <c r="G1314" s="953"/>
      <c r="H1314" s="969"/>
      <c r="I1314" s="998" t="s">
        <v>4414</v>
      </c>
      <c r="J1314" s="1204" t="s">
        <v>80</v>
      </c>
      <c r="K1314" s="984" t="s">
        <v>216</v>
      </c>
      <c r="L1314" s="959">
        <v>50.0</v>
      </c>
      <c r="M1314" s="960">
        <v>75.0</v>
      </c>
      <c r="N1314" s="960">
        <v>85.0</v>
      </c>
      <c r="O1314" s="960">
        <v>20.0</v>
      </c>
      <c r="P1314" s="960">
        <v>30.0</v>
      </c>
      <c r="Q1314" s="960">
        <v>40.0</v>
      </c>
      <c r="R1314" s="960">
        <v>116.0</v>
      </c>
      <c r="S1314" s="960">
        <v>179.0</v>
      </c>
      <c r="T1314" s="960">
        <v>196.0</v>
      </c>
      <c r="U1314" s="960">
        <f t="array" ref="U1314">HLOOKUP($J1314,'Type Chart'!$C$2:$T$20,2,false)*HLOOKUP($K1314,'Type Chart'!$C$2:$U$20,2,false)</f>
        <v>1</v>
      </c>
      <c r="V1314" s="960">
        <f t="array" ref="V1314">HLOOKUP($J1314,'Type Chart'!$C$2:$T$20,3,false)*HLOOKUP($K1314,'Type Chart'!$C$2:$U$20,3,false)</f>
        <v>1</v>
      </c>
      <c r="W1314" s="960">
        <f t="array" ref="W1314">HLOOKUP($J1314,'Type Chart'!$C$2:$T$20,4,false)*HLOOKUP($K1314,'Type Chart'!$C$2:$U$20,4,false)</f>
        <v>1</v>
      </c>
      <c r="X1314" s="960">
        <f t="array" ref="X1314">HLOOKUP($J1314,'Type Chart'!$C$2:$T$20,5,false)*HLOOKUP($K1314,'Type Chart'!$C$2:$U$20,5,false)</f>
        <v>0.5</v>
      </c>
      <c r="Y1314" s="960">
        <f t="array" ref="Y1314">HLOOKUP($J1314,'Type Chart'!$C$2:$T$20,6,false)*HLOOKUP($K1314,'Type Chart'!$C$2:$U$20,6,false)</f>
        <v>1</v>
      </c>
      <c r="Z1314" s="960">
        <f t="array" ref="Z1314">HLOOKUP($J1314,'Type Chart'!$C$2:$T$20,7,false)*HLOOKUP($K1314,'Type Chart'!$C$2:$U$20,7,false)</f>
        <v>0.5</v>
      </c>
      <c r="AA1314" s="960">
        <f t="array" ref="AA1314">HLOOKUP($J1314,'Type Chart'!$C$2:$T$20,8,false)*HLOOKUP($K1314,'Type Chart'!$C$2:$U$20,8,false)</f>
        <v>1</v>
      </c>
      <c r="AB1314" s="960">
        <f t="array" ref="AB1314">HLOOKUP($J1314,'Type Chart'!$C$2:$T$20,9,false)*HLOOKUP($K1314,'Type Chart'!$C$2:$U$20,9,false)</f>
        <v>1</v>
      </c>
      <c r="AC1314" s="960">
        <f t="array" ref="AC1314">HLOOKUP($J1314,'Type Chart'!$C$2:$T$20,10,false)*HLOOKUP($K1314,'Type Chart'!$C$2:$U$20,10,false)</f>
        <v>1</v>
      </c>
      <c r="AD1314" s="960">
        <f t="array" ref="AD1314">HLOOKUP($J1314,'Type Chart'!$C$2:$T$20,11,false)*HLOOKUP($K1314,'Type Chart'!$C$2:$U$20,11,false)</f>
        <v>1</v>
      </c>
      <c r="AE1314" s="960">
        <f t="array" ref="AE1314">HLOOKUP($J1314,'Type Chart'!$C$2:$T$20,12,false)*HLOOKUP($K1314,'Type Chart'!$C$2:$U$20,12,false)</f>
        <v>2</v>
      </c>
      <c r="AF1314" s="960">
        <f t="array" ref="AF1314">HLOOKUP($J1314,'Type Chart'!$C$2:$T$20,13,false)*HLOOKUP($K1314,'Type Chart'!$C$2:$U$20,13,false)</f>
        <v>2</v>
      </c>
      <c r="AG1314" s="960">
        <f t="array" ref="AG1314">HLOOKUP($J1314,'Type Chart'!$C$2:$T$20,14,false)*HLOOKUP($K1314,'Type Chart'!$C$2:$U$20,14,false)</f>
        <v>0</v>
      </c>
      <c r="AH1314" s="960">
        <f t="array" ref="AH1314">HLOOKUP($J1314,'Type Chart'!$C$2:$T$20,15,false)*HLOOKUP($K1314,'Type Chart'!$C$2:$U$20,15,false)</f>
        <v>1</v>
      </c>
      <c r="AI1314" s="960">
        <f t="array" ref="AI1314">HLOOKUP($J1314,'Type Chart'!$C$2:$T$20,16,false)*HLOOKUP($K1314,'Type Chart'!$C$2:$U$20,16,false)</f>
        <v>2</v>
      </c>
      <c r="AJ1314" s="960">
        <f t="array" ref="AJ1314">HLOOKUP($J1314,'Type Chart'!$C$2:$T$20,17,false)*HLOOKUP($K1314,'Type Chart'!$C$2:$U$20,17,false)</f>
        <v>1</v>
      </c>
      <c r="AK1314" s="960">
        <f t="array" ref="AK1314">HLOOKUP($J1314,'Type Chart'!$C$2:$T$20,18,false)*HLOOKUP($K1314,'Type Chart'!$C$2:$U$20,18,false)</f>
        <v>1</v>
      </c>
      <c r="AL1314" s="960">
        <f t="array" ref="AL1314">HLOOKUP($J1314,'Type Chart'!$C$2:$T$20,19,false)*HLOOKUP($K1314,'Type Chart'!$C$2:$U$20,19,false)</f>
        <v>1</v>
      </c>
      <c r="AM1314" s="1145" t="s">
        <v>1129</v>
      </c>
      <c r="AN1314" s="965"/>
      <c r="AO1314" s="966" t="s">
        <v>1130</v>
      </c>
      <c r="AP1314" s="936"/>
      <c r="AQ1314" s="1245"/>
      <c r="AR1314" s="1245"/>
      <c r="AS1314" s="936"/>
    </row>
    <row r="1315" ht="15.75" customHeight="1">
      <c r="A1315" s="1099"/>
      <c r="B1315" s="948" t="s">
        <v>1131</v>
      </c>
      <c r="C1315" s="1197" t="s">
        <v>1132</v>
      </c>
      <c r="D1315" s="1197" t="s">
        <v>1132</v>
      </c>
      <c r="E1315" s="1147" t="s">
        <v>1133</v>
      </c>
      <c r="F1315" s="940"/>
      <c r="G1315" s="953"/>
      <c r="H1315" s="969"/>
      <c r="I1315" s="998" t="s">
        <v>4415</v>
      </c>
      <c r="J1315" s="1205" t="s">
        <v>345</v>
      </c>
      <c r="K1315" s="1206" t="s">
        <v>82</v>
      </c>
      <c r="L1315" s="959">
        <v>50.0</v>
      </c>
      <c r="M1315" s="960">
        <v>75.0</v>
      </c>
      <c r="N1315" s="960">
        <v>90.0</v>
      </c>
      <c r="O1315" s="960">
        <v>10.0</v>
      </c>
      <c r="P1315" s="960">
        <v>35.0</v>
      </c>
      <c r="Q1315" s="960">
        <v>40.0</v>
      </c>
      <c r="R1315" s="960">
        <v>116.0</v>
      </c>
      <c r="S1315" s="960">
        <v>179.0</v>
      </c>
      <c r="T1315" s="960">
        <v>196.0</v>
      </c>
      <c r="U1315" s="960">
        <f t="array" ref="U1315">HLOOKUP($J1315,'Type Chart'!$C$2:$T$20,2,false)*HLOOKUP($K1315,'Type Chart'!$C$2:$U$20,2,false)</f>
        <v>0.5</v>
      </c>
      <c r="V1315" s="960">
        <f t="array" ref="V1315">HLOOKUP($J1315,'Type Chart'!$C$2:$T$20,3,false)*HLOOKUP($K1315,'Type Chart'!$C$2:$U$20,3,false)</f>
        <v>4</v>
      </c>
      <c r="W1315" s="960">
        <f t="array" ref="W1315">HLOOKUP($J1315,'Type Chart'!$C$2:$T$20,4,false)*HLOOKUP($K1315,'Type Chart'!$C$2:$U$20,4,false)</f>
        <v>0.5</v>
      </c>
      <c r="X1315" s="960">
        <f t="array" ref="X1315">HLOOKUP($J1315,'Type Chart'!$C$2:$T$20,5,false)*HLOOKUP($K1315,'Type Chart'!$C$2:$U$20,5,false)</f>
        <v>0</v>
      </c>
      <c r="Y1315" s="960">
        <f t="array" ref="Y1315">HLOOKUP($J1315,'Type Chart'!$C$2:$T$20,6,false)*HLOOKUP($K1315,'Type Chart'!$C$2:$U$20,6,false)</f>
        <v>2</v>
      </c>
      <c r="Z1315" s="960">
        <f t="array" ref="Z1315">HLOOKUP($J1315,'Type Chart'!$C$2:$T$20,7,false)*HLOOKUP($K1315,'Type Chart'!$C$2:$U$20,7,false)</f>
        <v>1</v>
      </c>
      <c r="AA1315" s="960">
        <f t="array" ref="AA1315">HLOOKUP($J1315,'Type Chart'!$C$2:$T$20,8,false)*HLOOKUP($K1315,'Type Chart'!$C$2:$U$20,8,false)</f>
        <v>0.5</v>
      </c>
      <c r="AB1315" s="960">
        <f t="array" ref="AB1315">HLOOKUP($J1315,'Type Chart'!$C$2:$T$20,9,false)*HLOOKUP($K1315,'Type Chart'!$C$2:$U$20,9,false)</f>
        <v>1</v>
      </c>
      <c r="AC1315" s="960">
        <f t="array" ref="AC1315">HLOOKUP($J1315,'Type Chart'!$C$2:$T$20,10,false)*HLOOKUP($K1315,'Type Chart'!$C$2:$U$20,10,false)</f>
        <v>1</v>
      </c>
      <c r="AD1315" s="960">
        <f t="array" ref="AD1315">HLOOKUP($J1315,'Type Chart'!$C$2:$T$20,11,false)*HLOOKUP($K1315,'Type Chart'!$C$2:$U$20,11,false)</f>
        <v>4</v>
      </c>
      <c r="AE1315" s="960">
        <f t="array" ref="AE1315">HLOOKUP($J1315,'Type Chart'!$C$2:$T$20,12,false)*HLOOKUP($K1315,'Type Chart'!$C$2:$U$20,12,false)</f>
        <v>1</v>
      </c>
      <c r="AF1315" s="960">
        <f t="array" ref="AF1315">HLOOKUP($J1315,'Type Chart'!$C$2:$T$20,13,false)*HLOOKUP($K1315,'Type Chart'!$C$2:$U$20,13,false)</f>
        <v>0.5</v>
      </c>
      <c r="AG1315" s="960">
        <f t="array" ref="AG1315">HLOOKUP($J1315,'Type Chart'!$C$2:$T$20,14,false)*HLOOKUP($K1315,'Type Chart'!$C$2:$U$20,14,false)</f>
        <v>1</v>
      </c>
      <c r="AH1315" s="960">
        <f t="array" ref="AH1315">HLOOKUP($J1315,'Type Chart'!$C$2:$T$20,15,false)*HLOOKUP($K1315,'Type Chart'!$C$2:$U$20,15,false)</f>
        <v>0.5</v>
      </c>
      <c r="AI1315" s="960">
        <f t="array" ref="AI1315">HLOOKUP($J1315,'Type Chart'!$C$2:$T$20,16,false)*HLOOKUP($K1315,'Type Chart'!$C$2:$U$20,16,false)</f>
        <v>0.25</v>
      </c>
      <c r="AJ1315" s="960">
        <f t="array" ref="AJ1315">HLOOKUP($J1315,'Type Chart'!$C$2:$T$20,17,false)*HLOOKUP($K1315,'Type Chart'!$C$2:$U$20,17,false)</f>
        <v>0.5</v>
      </c>
      <c r="AK1315" s="960">
        <f t="array" ref="AK1315">HLOOKUP($J1315,'Type Chart'!$C$2:$T$20,18,false)*HLOOKUP($K1315,'Type Chart'!$C$2:$U$20,18,false)</f>
        <v>1</v>
      </c>
      <c r="AL1315" s="960">
        <f t="array" ref="AL1315">HLOOKUP($J1315,'Type Chart'!$C$2:$T$20,19,false)*HLOOKUP($K1315,'Type Chart'!$C$2:$U$20,19,false)</f>
        <v>0.5</v>
      </c>
      <c r="AM1315" s="1145" t="s">
        <v>1135</v>
      </c>
      <c r="AN1315" s="965"/>
      <c r="AO1315" s="966" t="s">
        <v>1136</v>
      </c>
      <c r="AP1315" s="936"/>
      <c r="AQ1315" s="1245"/>
      <c r="AR1315" s="1245"/>
      <c r="AS1315" s="936"/>
    </row>
    <row r="1316" ht="15.75" customHeight="1">
      <c r="A1316" s="1099"/>
      <c r="B1316" s="948" t="s">
        <v>1137</v>
      </c>
      <c r="C1316" s="1197" t="s">
        <v>1138</v>
      </c>
      <c r="D1316" s="1197" t="s">
        <v>1138</v>
      </c>
      <c r="E1316" s="1147" t="s">
        <v>1138</v>
      </c>
      <c r="F1316" s="940"/>
      <c r="G1316" s="953"/>
      <c r="H1316" s="969"/>
      <c r="I1316" s="998" t="s">
        <v>4416</v>
      </c>
      <c r="J1316" s="1204" t="s">
        <v>80</v>
      </c>
      <c r="K1316" s="984" t="s">
        <v>216</v>
      </c>
      <c r="L1316" s="959">
        <v>75.0</v>
      </c>
      <c r="M1316" s="960">
        <v>100.0</v>
      </c>
      <c r="N1316" s="960">
        <v>110.0</v>
      </c>
      <c r="O1316" s="960">
        <v>45.0</v>
      </c>
      <c r="P1316" s="960">
        <v>55.0</v>
      </c>
      <c r="Q1316" s="960">
        <v>65.0</v>
      </c>
      <c r="R1316" s="960">
        <v>166.0</v>
      </c>
      <c r="S1316" s="960">
        <v>229.0</v>
      </c>
      <c r="T1316" s="960">
        <v>251.0</v>
      </c>
      <c r="U1316" s="960">
        <f t="array" ref="U1316">HLOOKUP($J1316,'Type Chart'!$C$2:$T$20,2,false)*HLOOKUP($K1316,'Type Chart'!$C$2:$U$20,2,false)</f>
        <v>1</v>
      </c>
      <c r="V1316" s="960">
        <f t="array" ref="V1316">HLOOKUP($J1316,'Type Chart'!$C$2:$T$20,3,false)*HLOOKUP($K1316,'Type Chart'!$C$2:$U$20,3,false)</f>
        <v>1</v>
      </c>
      <c r="W1316" s="960">
        <f t="array" ref="W1316">HLOOKUP($J1316,'Type Chart'!$C$2:$T$20,4,false)*HLOOKUP($K1316,'Type Chart'!$C$2:$U$20,4,false)</f>
        <v>1</v>
      </c>
      <c r="X1316" s="960">
        <f t="array" ref="X1316">HLOOKUP($J1316,'Type Chart'!$C$2:$T$20,5,false)*HLOOKUP($K1316,'Type Chart'!$C$2:$U$20,5,false)</f>
        <v>0.5</v>
      </c>
      <c r="Y1316" s="960">
        <f t="array" ref="Y1316">HLOOKUP($J1316,'Type Chart'!$C$2:$T$20,6,false)*HLOOKUP($K1316,'Type Chart'!$C$2:$U$20,6,false)</f>
        <v>1</v>
      </c>
      <c r="Z1316" s="960">
        <f t="array" ref="Z1316">HLOOKUP($J1316,'Type Chart'!$C$2:$T$20,7,false)*HLOOKUP($K1316,'Type Chart'!$C$2:$U$20,7,false)</f>
        <v>0.5</v>
      </c>
      <c r="AA1316" s="960">
        <f t="array" ref="AA1316">HLOOKUP($J1316,'Type Chart'!$C$2:$T$20,8,false)*HLOOKUP($K1316,'Type Chart'!$C$2:$U$20,8,false)</f>
        <v>1</v>
      </c>
      <c r="AB1316" s="960">
        <f t="array" ref="AB1316">HLOOKUP($J1316,'Type Chart'!$C$2:$T$20,9,false)*HLOOKUP($K1316,'Type Chart'!$C$2:$U$20,9,false)</f>
        <v>1</v>
      </c>
      <c r="AC1316" s="960">
        <f t="array" ref="AC1316">HLOOKUP($J1316,'Type Chart'!$C$2:$T$20,10,false)*HLOOKUP($K1316,'Type Chart'!$C$2:$U$20,10,false)</f>
        <v>1</v>
      </c>
      <c r="AD1316" s="960">
        <f t="array" ref="AD1316">HLOOKUP($J1316,'Type Chart'!$C$2:$T$20,11,false)*HLOOKUP($K1316,'Type Chart'!$C$2:$U$20,11,false)</f>
        <v>1</v>
      </c>
      <c r="AE1316" s="960">
        <f t="array" ref="AE1316">HLOOKUP($J1316,'Type Chart'!$C$2:$T$20,12,false)*HLOOKUP($K1316,'Type Chart'!$C$2:$U$20,12,false)</f>
        <v>2</v>
      </c>
      <c r="AF1316" s="960">
        <f t="array" ref="AF1316">HLOOKUP($J1316,'Type Chart'!$C$2:$T$20,13,false)*HLOOKUP($K1316,'Type Chart'!$C$2:$U$20,13,false)</f>
        <v>2</v>
      </c>
      <c r="AG1316" s="960">
        <f t="array" ref="AG1316">HLOOKUP($J1316,'Type Chart'!$C$2:$T$20,14,false)*HLOOKUP($K1316,'Type Chart'!$C$2:$U$20,14,false)</f>
        <v>0</v>
      </c>
      <c r="AH1316" s="960">
        <f t="array" ref="AH1316">HLOOKUP($J1316,'Type Chart'!$C$2:$T$20,15,false)*HLOOKUP($K1316,'Type Chart'!$C$2:$U$20,15,false)</f>
        <v>1</v>
      </c>
      <c r="AI1316" s="960">
        <f t="array" ref="AI1316">HLOOKUP($J1316,'Type Chart'!$C$2:$T$20,16,false)*HLOOKUP($K1316,'Type Chart'!$C$2:$U$20,16,false)</f>
        <v>2</v>
      </c>
      <c r="AJ1316" s="960">
        <f t="array" ref="AJ1316">HLOOKUP($J1316,'Type Chart'!$C$2:$T$20,17,false)*HLOOKUP($K1316,'Type Chart'!$C$2:$U$20,17,false)</f>
        <v>1</v>
      </c>
      <c r="AK1316" s="960">
        <f t="array" ref="AK1316">HLOOKUP($J1316,'Type Chart'!$C$2:$T$20,18,false)*HLOOKUP($K1316,'Type Chart'!$C$2:$U$20,18,false)</f>
        <v>1</v>
      </c>
      <c r="AL1316" s="960">
        <f t="array" ref="AL1316">HLOOKUP($J1316,'Type Chart'!$C$2:$T$20,19,false)*HLOOKUP($K1316,'Type Chart'!$C$2:$U$20,19,false)</f>
        <v>1</v>
      </c>
      <c r="AM1316" s="1145" t="s">
        <v>1129</v>
      </c>
      <c r="AN1316" s="965"/>
      <c r="AO1316" s="966" t="s">
        <v>1130</v>
      </c>
      <c r="AP1316" s="936"/>
      <c r="AQ1316" s="1245"/>
      <c r="AR1316" s="1245"/>
      <c r="AS1316" s="936"/>
    </row>
    <row r="1317" ht="15.75" customHeight="1">
      <c r="A1317" s="1099"/>
      <c r="B1317" s="948" t="s">
        <v>1139</v>
      </c>
      <c r="C1317" s="1197" t="s">
        <v>1140</v>
      </c>
      <c r="D1317" s="1197" t="s">
        <v>1140</v>
      </c>
      <c r="E1317" s="1147" t="s">
        <v>1141</v>
      </c>
      <c r="F1317" s="940"/>
      <c r="G1317" s="953"/>
      <c r="H1317" s="969"/>
      <c r="I1317" s="998" t="s">
        <v>301</v>
      </c>
      <c r="J1317" s="1205" t="s">
        <v>345</v>
      </c>
      <c r="K1317" s="1206" t="s">
        <v>82</v>
      </c>
      <c r="L1317" s="959">
        <v>75.0</v>
      </c>
      <c r="M1317" s="960">
        <v>100.0</v>
      </c>
      <c r="N1317" s="960">
        <v>120.0</v>
      </c>
      <c r="O1317" s="960">
        <v>25.0</v>
      </c>
      <c r="P1317" s="960">
        <v>65.0</v>
      </c>
      <c r="Q1317" s="960">
        <v>65.0</v>
      </c>
      <c r="R1317" s="960">
        <v>166.0</v>
      </c>
      <c r="S1317" s="960">
        <v>229.0</v>
      </c>
      <c r="T1317" s="960">
        <v>251.0</v>
      </c>
      <c r="U1317" s="960">
        <f t="array" ref="U1317">HLOOKUP($J1317,'Type Chart'!$C$2:$T$20,2,false)*HLOOKUP($K1317,'Type Chart'!$C$2:$U$20,2,false)</f>
        <v>0.5</v>
      </c>
      <c r="V1317" s="960">
        <f t="array" ref="V1317">HLOOKUP($J1317,'Type Chart'!$C$2:$T$20,3,false)*HLOOKUP($K1317,'Type Chart'!$C$2:$U$20,3,false)</f>
        <v>4</v>
      </c>
      <c r="W1317" s="960">
        <f t="array" ref="W1317">HLOOKUP($J1317,'Type Chart'!$C$2:$T$20,4,false)*HLOOKUP($K1317,'Type Chart'!$C$2:$U$20,4,false)</f>
        <v>0.5</v>
      </c>
      <c r="X1317" s="960">
        <f t="array" ref="X1317">HLOOKUP($J1317,'Type Chart'!$C$2:$T$20,5,false)*HLOOKUP($K1317,'Type Chart'!$C$2:$U$20,5,false)</f>
        <v>0</v>
      </c>
      <c r="Y1317" s="960">
        <f t="array" ref="Y1317">HLOOKUP($J1317,'Type Chart'!$C$2:$T$20,6,false)*HLOOKUP($K1317,'Type Chart'!$C$2:$U$20,6,false)</f>
        <v>2</v>
      </c>
      <c r="Z1317" s="960">
        <f t="array" ref="Z1317">HLOOKUP($J1317,'Type Chart'!$C$2:$T$20,7,false)*HLOOKUP($K1317,'Type Chart'!$C$2:$U$20,7,false)</f>
        <v>1</v>
      </c>
      <c r="AA1317" s="960">
        <f t="array" ref="AA1317">HLOOKUP($J1317,'Type Chart'!$C$2:$T$20,8,false)*HLOOKUP($K1317,'Type Chart'!$C$2:$U$20,8,false)</f>
        <v>0.5</v>
      </c>
      <c r="AB1317" s="960">
        <f t="array" ref="AB1317">HLOOKUP($J1317,'Type Chart'!$C$2:$T$20,9,false)*HLOOKUP($K1317,'Type Chart'!$C$2:$U$20,9,false)</f>
        <v>1</v>
      </c>
      <c r="AC1317" s="960">
        <f t="array" ref="AC1317">HLOOKUP($J1317,'Type Chart'!$C$2:$T$20,10,false)*HLOOKUP($K1317,'Type Chart'!$C$2:$U$20,10,false)</f>
        <v>1</v>
      </c>
      <c r="AD1317" s="960">
        <f t="array" ref="AD1317">HLOOKUP($J1317,'Type Chart'!$C$2:$T$20,11,false)*HLOOKUP($K1317,'Type Chart'!$C$2:$U$20,11,false)</f>
        <v>4</v>
      </c>
      <c r="AE1317" s="960">
        <f t="array" ref="AE1317">HLOOKUP($J1317,'Type Chart'!$C$2:$T$20,12,false)*HLOOKUP($K1317,'Type Chart'!$C$2:$U$20,12,false)</f>
        <v>1</v>
      </c>
      <c r="AF1317" s="960">
        <f t="array" ref="AF1317">HLOOKUP($J1317,'Type Chart'!$C$2:$T$20,13,false)*HLOOKUP($K1317,'Type Chart'!$C$2:$U$20,13,false)</f>
        <v>0.5</v>
      </c>
      <c r="AG1317" s="960">
        <f t="array" ref="AG1317">HLOOKUP($J1317,'Type Chart'!$C$2:$T$20,14,false)*HLOOKUP($K1317,'Type Chart'!$C$2:$U$20,14,false)</f>
        <v>1</v>
      </c>
      <c r="AH1317" s="960">
        <f t="array" ref="AH1317">HLOOKUP($J1317,'Type Chart'!$C$2:$T$20,15,false)*HLOOKUP($K1317,'Type Chart'!$C$2:$U$20,15,false)</f>
        <v>0.5</v>
      </c>
      <c r="AI1317" s="960">
        <f t="array" ref="AI1317">HLOOKUP($J1317,'Type Chart'!$C$2:$T$20,16,false)*HLOOKUP($K1317,'Type Chart'!$C$2:$U$20,16,false)</f>
        <v>0.25</v>
      </c>
      <c r="AJ1317" s="960">
        <f t="array" ref="AJ1317">HLOOKUP($J1317,'Type Chart'!$C$2:$T$20,17,false)*HLOOKUP($K1317,'Type Chart'!$C$2:$U$20,17,false)</f>
        <v>0.5</v>
      </c>
      <c r="AK1317" s="960">
        <f t="array" ref="AK1317">HLOOKUP($J1317,'Type Chart'!$C$2:$T$20,18,false)*HLOOKUP($K1317,'Type Chart'!$C$2:$U$20,18,false)</f>
        <v>1</v>
      </c>
      <c r="AL1317" s="960">
        <f t="array" ref="AL1317">HLOOKUP($J1317,'Type Chart'!$C$2:$T$20,19,false)*HLOOKUP($K1317,'Type Chart'!$C$2:$U$20,19,false)</f>
        <v>0.5</v>
      </c>
      <c r="AM1317" s="1145" t="s">
        <v>1135</v>
      </c>
      <c r="AN1317" s="965"/>
      <c r="AO1317" s="966" t="s">
        <v>1136</v>
      </c>
      <c r="AP1317" s="936"/>
      <c r="AQ1317" s="1245"/>
      <c r="AR1317" s="1245"/>
      <c r="AS1317" s="936"/>
    </row>
    <row r="1318" ht="15.75" customHeight="1">
      <c r="A1318" s="1099"/>
      <c r="B1318" s="948" t="s">
        <v>1142</v>
      </c>
      <c r="C1318" s="1197" t="s">
        <v>1143</v>
      </c>
      <c r="D1318" s="1197" t="s">
        <v>1144</v>
      </c>
      <c r="E1318" s="1147" t="s">
        <v>1143</v>
      </c>
      <c r="F1318" s="940"/>
      <c r="G1318" s="953"/>
      <c r="H1318" s="969"/>
      <c r="I1318" s="998" t="s">
        <v>4417</v>
      </c>
      <c r="J1318" s="958" t="s">
        <v>178</v>
      </c>
      <c r="K1318" s="984" t="s">
        <v>216</v>
      </c>
      <c r="L1318" s="959">
        <v>55.0</v>
      </c>
      <c r="M1318" s="960">
        <v>47.0</v>
      </c>
      <c r="N1318" s="960">
        <v>52.0</v>
      </c>
      <c r="O1318" s="960">
        <v>40.0</v>
      </c>
      <c r="P1318" s="960">
        <v>40.0</v>
      </c>
      <c r="Q1318" s="960">
        <v>41.0</v>
      </c>
      <c r="R1318" s="960">
        <v>118.0</v>
      </c>
      <c r="S1318" s="960">
        <v>181.0</v>
      </c>
      <c r="T1318" s="960">
        <v>199.0</v>
      </c>
      <c r="U1318" s="960">
        <f t="array" ref="U1318">HLOOKUP($J1318,'Type Chart'!$C$2:$T$20,2,false)*HLOOKUP($K1318,'Type Chart'!$C$2:$U$20,2,false)</f>
        <v>1</v>
      </c>
      <c r="V1318" s="960">
        <f t="array" ref="V1318">HLOOKUP($J1318,'Type Chart'!$C$2:$T$20,3,false)*HLOOKUP($K1318,'Type Chart'!$C$2:$U$20,3,false)</f>
        <v>0.5</v>
      </c>
      <c r="W1318" s="960">
        <f t="array" ref="W1318">HLOOKUP($J1318,'Type Chart'!$C$2:$T$20,4,false)*HLOOKUP($K1318,'Type Chart'!$C$2:$U$20,4,false)</f>
        <v>1</v>
      </c>
      <c r="X1318" s="960">
        <f t="array" ref="X1318">HLOOKUP($J1318,'Type Chart'!$C$2:$T$20,5,false)*HLOOKUP($K1318,'Type Chart'!$C$2:$U$20,5,false)</f>
        <v>0.5</v>
      </c>
      <c r="Y1318" s="960">
        <f t="array" ref="Y1318">HLOOKUP($J1318,'Type Chart'!$C$2:$T$20,6,false)*HLOOKUP($K1318,'Type Chart'!$C$2:$U$20,6,false)</f>
        <v>2</v>
      </c>
      <c r="Z1318" s="960">
        <f t="array" ref="Z1318">HLOOKUP($J1318,'Type Chart'!$C$2:$T$20,7,false)*HLOOKUP($K1318,'Type Chart'!$C$2:$U$20,7,false)</f>
        <v>1</v>
      </c>
      <c r="AA1318" s="960">
        <f t="array" ref="AA1318">HLOOKUP($J1318,'Type Chart'!$C$2:$T$20,8,false)*HLOOKUP($K1318,'Type Chart'!$C$2:$U$20,8,false)</f>
        <v>0.5</v>
      </c>
      <c r="AB1318" s="960">
        <f t="array" ref="AB1318">HLOOKUP($J1318,'Type Chart'!$C$2:$T$20,9,false)*HLOOKUP($K1318,'Type Chart'!$C$2:$U$20,9,false)</f>
        <v>1</v>
      </c>
      <c r="AC1318" s="960">
        <f t="array" ref="AC1318">HLOOKUP($J1318,'Type Chart'!$C$2:$T$20,10,false)*HLOOKUP($K1318,'Type Chart'!$C$2:$U$20,10,false)</f>
        <v>1</v>
      </c>
      <c r="AD1318" s="960">
        <f t="array" ref="AD1318">HLOOKUP($J1318,'Type Chart'!$C$2:$T$20,11,false)*HLOOKUP($K1318,'Type Chart'!$C$2:$U$20,11,false)</f>
        <v>1</v>
      </c>
      <c r="AE1318" s="960">
        <f t="array" ref="AE1318">HLOOKUP($J1318,'Type Chart'!$C$2:$T$20,12,false)*HLOOKUP($K1318,'Type Chart'!$C$2:$U$20,12,false)</f>
        <v>1</v>
      </c>
      <c r="AF1318" s="960">
        <f t="array" ref="AF1318">HLOOKUP($J1318,'Type Chart'!$C$2:$T$20,13,false)*HLOOKUP($K1318,'Type Chart'!$C$2:$U$20,13,false)</f>
        <v>0.5</v>
      </c>
      <c r="AG1318" s="960">
        <f t="array" ref="AG1318">HLOOKUP($J1318,'Type Chart'!$C$2:$T$20,14,false)*HLOOKUP($K1318,'Type Chart'!$C$2:$U$20,14,false)</f>
        <v>1</v>
      </c>
      <c r="AH1318" s="960">
        <f t="array" ref="AH1318">HLOOKUP($J1318,'Type Chart'!$C$2:$T$20,15,false)*HLOOKUP($K1318,'Type Chart'!$C$2:$U$20,15,false)</f>
        <v>2</v>
      </c>
      <c r="AI1318" s="960">
        <f t="array" ref="AI1318">HLOOKUP($J1318,'Type Chart'!$C$2:$T$20,16,false)*HLOOKUP($K1318,'Type Chart'!$C$2:$U$20,16,false)</f>
        <v>1</v>
      </c>
      <c r="AJ1318" s="960">
        <f t="array" ref="AJ1318">HLOOKUP($J1318,'Type Chart'!$C$2:$T$20,17,false)*HLOOKUP($K1318,'Type Chart'!$C$2:$U$20,17,false)</f>
        <v>1</v>
      </c>
      <c r="AK1318" s="960">
        <f t="array" ref="AK1318">HLOOKUP($J1318,'Type Chart'!$C$2:$T$20,18,false)*HLOOKUP($K1318,'Type Chart'!$C$2:$U$20,18,false)</f>
        <v>1</v>
      </c>
      <c r="AL1318" s="960">
        <f t="array" ref="AL1318">HLOOKUP($J1318,'Type Chart'!$C$2:$T$20,19,false)*HLOOKUP($K1318,'Type Chart'!$C$2:$U$20,19,false)</f>
        <v>0.5</v>
      </c>
      <c r="AM1318" s="1145" t="s">
        <v>1146</v>
      </c>
      <c r="AN1318" s="965" t="s">
        <v>1147</v>
      </c>
      <c r="AO1318" s="966" t="s">
        <v>1039</v>
      </c>
      <c r="AP1318" s="936"/>
      <c r="AQ1318" s="1245"/>
      <c r="AR1318" s="1245"/>
      <c r="AS1318" s="936"/>
    </row>
    <row r="1319" ht="15.75" customHeight="1">
      <c r="A1319" s="1099"/>
      <c r="B1319" s="948" t="s">
        <v>1148</v>
      </c>
      <c r="C1319" s="1197" t="s">
        <v>1149</v>
      </c>
      <c r="D1319" s="1197" t="s">
        <v>1149</v>
      </c>
      <c r="E1319" s="1147" t="s">
        <v>1149</v>
      </c>
      <c r="F1319" s="940"/>
      <c r="G1319" s="953"/>
      <c r="H1319" s="969"/>
      <c r="I1319" s="998" t="s">
        <v>4418</v>
      </c>
      <c r="J1319" s="958" t="s">
        <v>178</v>
      </c>
      <c r="K1319" s="984" t="s">
        <v>216</v>
      </c>
      <c r="L1319" s="959">
        <v>70.0</v>
      </c>
      <c r="M1319" s="960">
        <v>62.0</v>
      </c>
      <c r="N1319" s="960">
        <v>67.0</v>
      </c>
      <c r="O1319" s="960">
        <v>55.0</v>
      </c>
      <c r="P1319" s="960">
        <v>55.0</v>
      </c>
      <c r="Q1319" s="960">
        <v>56.0</v>
      </c>
      <c r="R1319" s="960">
        <v>148.0</v>
      </c>
      <c r="S1319" s="960">
        <v>211.0</v>
      </c>
      <c r="T1319" s="960">
        <v>232.0</v>
      </c>
      <c r="U1319" s="960">
        <f t="array" ref="U1319">HLOOKUP($J1319,'Type Chart'!$C$2:$T$20,2,false)*HLOOKUP($K1319,'Type Chart'!$C$2:$U$20,2,false)</f>
        <v>1</v>
      </c>
      <c r="V1319" s="960">
        <f t="array" ref="V1319">HLOOKUP($J1319,'Type Chart'!$C$2:$T$20,3,false)*HLOOKUP($K1319,'Type Chart'!$C$2:$U$20,3,false)</f>
        <v>0.5</v>
      </c>
      <c r="W1319" s="960">
        <f t="array" ref="W1319">HLOOKUP($J1319,'Type Chart'!$C$2:$T$20,4,false)*HLOOKUP($K1319,'Type Chart'!$C$2:$U$20,4,false)</f>
        <v>1</v>
      </c>
      <c r="X1319" s="960">
        <f t="array" ref="X1319">HLOOKUP($J1319,'Type Chart'!$C$2:$T$20,5,false)*HLOOKUP($K1319,'Type Chart'!$C$2:$U$20,5,false)</f>
        <v>0.5</v>
      </c>
      <c r="Y1319" s="960">
        <f t="array" ref="Y1319">HLOOKUP($J1319,'Type Chart'!$C$2:$T$20,6,false)*HLOOKUP($K1319,'Type Chart'!$C$2:$U$20,6,false)</f>
        <v>2</v>
      </c>
      <c r="Z1319" s="960">
        <f t="array" ref="Z1319">HLOOKUP($J1319,'Type Chart'!$C$2:$T$20,7,false)*HLOOKUP($K1319,'Type Chart'!$C$2:$U$20,7,false)</f>
        <v>1</v>
      </c>
      <c r="AA1319" s="960">
        <f t="array" ref="AA1319">HLOOKUP($J1319,'Type Chart'!$C$2:$T$20,8,false)*HLOOKUP($K1319,'Type Chart'!$C$2:$U$20,8,false)</f>
        <v>0.5</v>
      </c>
      <c r="AB1319" s="960">
        <f t="array" ref="AB1319">HLOOKUP($J1319,'Type Chart'!$C$2:$T$20,9,false)*HLOOKUP($K1319,'Type Chart'!$C$2:$U$20,9,false)</f>
        <v>1</v>
      </c>
      <c r="AC1319" s="960">
        <f t="array" ref="AC1319">HLOOKUP($J1319,'Type Chart'!$C$2:$T$20,10,false)*HLOOKUP($K1319,'Type Chart'!$C$2:$U$20,10,false)</f>
        <v>1</v>
      </c>
      <c r="AD1319" s="960">
        <f t="array" ref="AD1319">HLOOKUP($J1319,'Type Chart'!$C$2:$T$20,11,false)*HLOOKUP($K1319,'Type Chart'!$C$2:$U$20,11,false)</f>
        <v>1</v>
      </c>
      <c r="AE1319" s="960">
        <f t="array" ref="AE1319">HLOOKUP($J1319,'Type Chart'!$C$2:$T$20,12,false)*HLOOKUP($K1319,'Type Chart'!$C$2:$U$20,12,false)</f>
        <v>1</v>
      </c>
      <c r="AF1319" s="960">
        <f t="array" ref="AF1319">HLOOKUP($J1319,'Type Chart'!$C$2:$T$20,13,false)*HLOOKUP($K1319,'Type Chart'!$C$2:$U$20,13,false)</f>
        <v>0.5</v>
      </c>
      <c r="AG1319" s="960">
        <f t="array" ref="AG1319">HLOOKUP($J1319,'Type Chart'!$C$2:$T$20,14,false)*HLOOKUP($K1319,'Type Chart'!$C$2:$U$20,14,false)</f>
        <v>1</v>
      </c>
      <c r="AH1319" s="960">
        <f t="array" ref="AH1319">HLOOKUP($J1319,'Type Chart'!$C$2:$T$20,15,false)*HLOOKUP($K1319,'Type Chart'!$C$2:$U$20,15,false)</f>
        <v>2</v>
      </c>
      <c r="AI1319" s="960">
        <f t="array" ref="AI1319">HLOOKUP($J1319,'Type Chart'!$C$2:$T$20,16,false)*HLOOKUP($K1319,'Type Chart'!$C$2:$U$20,16,false)</f>
        <v>1</v>
      </c>
      <c r="AJ1319" s="960">
        <f t="array" ref="AJ1319">HLOOKUP($J1319,'Type Chart'!$C$2:$T$20,17,false)*HLOOKUP($K1319,'Type Chart'!$C$2:$U$20,17,false)</f>
        <v>1</v>
      </c>
      <c r="AK1319" s="960">
        <f t="array" ref="AK1319">HLOOKUP($J1319,'Type Chart'!$C$2:$T$20,18,false)*HLOOKUP($K1319,'Type Chart'!$C$2:$U$20,18,false)</f>
        <v>1</v>
      </c>
      <c r="AL1319" s="960">
        <f t="array" ref="AL1319">HLOOKUP($J1319,'Type Chart'!$C$2:$T$20,19,false)*HLOOKUP($K1319,'Type Chart'!$C$2:$U$20,19,false)</f>
        <v>0.5</v>
      </c>
      <c r="AM1319" s="1145" t="s">
        <v>1146</v>
      </c>
      <c r="AN1319" s="965" t="s">
        <v>1147</v>
      </c>
      <c r="AO1319" s="966" t="s">
        <v>1039</v>
      </c>
      <c r="AP1319" s="936"/>
      <c r="AQ1319" s="1245"/>
      <c r="AR1319" s="1245"/>
      <c r="AS1319" s="936"/>
    </row>
    <row r="1320" ht="15.75" customHeight="1">
      <c r="A1320" s="1099"/>
      <c r="B1320" s="948" t="s">
        <v>1151</v>
      </c>
      <c r="C1320" s="1197" t="s">
        <v>1152</v>
      </c>
      <c r="D1320" s="1197" t="s">
        <v>1152</v>
      </c>
      <c r="E1320" s="1147" t="s">
        <v>1152</v>
      </c>
      <c r="F1320" s="940"/>
      <c r="G1320" s="953"/>
      <c r="H1320" s="969"/>
      <c r="I1320" s="998" t="s">
        <v>4419</v>
      </c>
      <c r="J1320" s="958" t="s">
        <v>178</v>
      </c>
      <c r="K1320" s="1204" t="s">
        <v>80</v>
      </c>
      <c r="L1320" s="959">
        <v>90.0</v>
      </c>
      <c r="M1320" s="960">
        <v>92.0</v>
      </c>
      <c r="N1320" s="960">
        <v>87.0</v>
      </c>
      <c r="O1320" s="960">
        <v>75.0</v>
      </c>
      <c r="P1320" s="960">
        <v>85.0</v>
      </c>
      <c r="Q1320" s="960">
        <v>76.0</v>
      </c>
      <c r="R1320" s="960">
        <v>188.0</v>
      </c>
      <c r="S1320" s="960">
        <v>251.0</v>
      </c>
      <c r="T1320" s="960">
        <v>276.0</v>
      </c>
      <c r="U1320" s="960">
        <f t="array" ref="U1320">HLOOKUP($J1320,'Type Chart'!$C$2:$T$20,2,false)*HLOOKUP($K1320,'Type Chart'!$C$2:$U$20,2,false)</f>
        <v>1</v>
      </c>
      <c r="V1320" s="960">
        <f t="array" ref="V1320">HLOOKUP($J1320,'Type Chart'!$C$2:$T$20,3,false)*HLOOKUP($K1320,'Type Chart'!$C$2:$U$20,3,false)</f>
        <v>0.5</v>
      </c>
      <c r="W1320" s="960">
        <f t="array" ref="W1320">HLOOKUP($J1320,'Type Chart'!$C$2:$T$20,4,false)*HLOOKUP($K1320,'Type Chart'!$C$2:$U$20,4,false)</f>
        <v>1</v>
      </c>
      <c r="X1320" s="960">
        <f t="array" ref="X1320">HLOOKUP($J1320,'Type Chart'!$C$2:$T$20,5,false)*HLOOKUP($K1320,'Type Chart'!$C$2:$U$20,5,false)</f>
        <v>0.25</v>
      </c>
      <c r="Y1320" s="960">
        <f t="array" ref="Y1320">HLOOKUP($J1320,'Type Chart'!$C$2:$T$20,6,false)*HLOOKUP($K1320,'Type Chart'!$C$2:$U$20,6,false)</f>
        <v>2</v>
      </c>
      <c r="Z1320" s="960">
        <f t="array" ref="Z1320">HLOOKUP($J1320,'Type Chart'!$C$2:$T$20,7,false)*HLOOKUP($K1320,'Type Chart'!$C$2:$U$20,7,false)</f>
        <v>0.5</v>
      </c>
      <c r="AA1320" s="960">
        <f t="array" ref="AA1320">HLOOKUP($J1320,'Type Chart'!$C$2:$T$20,8,false)*HLOOKUP($K1320,'Type Chart'!$C$2:$U$20,8,false)</f>
        <v>0.5</v>
      </c>
      <c r="AB1320" s="960">
        <f t="array" ref="AB1320">HLOOKUP($J1320,'Type Chart'!$C$2:$T$20,9,false)*HLOOKUP($K1320,'Type Chart'!$C$2:$U$20,9,false)</f>
        <v>1</v>
      </c>
      <c r="AC1320" s="960">
        <f t="array" ref="AC1320">HLOOKUP($J1320,'Type Chart'!$C$2:$T$20,10,false)*HLOOKUP($K1320,'Type Chart'!$C$2:$U$20,10,false)</f>
        <v>1</v>
      </c>
      <c r="AD1320" s="960">
        <f t="array" ref="AD1320">HLOOKUP($J1320,'Type Chart'!$C$2:$T$20,11,false)*HLOOKUP($K1320,'Type Chart'!$C$2:$U$20,11,false)</f>
        <v>1</v>
      </c>
      <c r="AE1320" s="960">
        <f t="array" ref="AE1320">HLOOKUP($J1320,'Type Chart'!$C$2:$T$20,12,false)*HLOOKUP($K1320,'Type Chart'!$C$2:$U$20,12,false)</f>
        <v>2</v>
      </c>
      <c r="AF1320" s="960">
        <f t="array" ref="AF1320">HLOOKUP($J1320,'Type Chart'!$C$2:$T$20,13,false)*HLOOKUP($K1320,'Type Chart'!$C$2:$U$20,13,false)</f>
        <v>1</v>
      </c>
      <c r="AG1320" s="960">
        <f t="array" ref="AG1320">HLOOKUP($J1320,'Type Chart'!$C$2:$T$20,14,false)*HLOOKUP($K1320,'Type Chart'!$C$2:$U$20,14,false)</f>
        <v>0</v>
      </c>
      <c r="AH1320" s="960">
        <f t="array" ref="AH1320">HLOOKUP($J1320,'Type Chart'!$C$2:$T$20,15,false)*HLOOKUP($K1320,'Type Chart'!$C$2:$U$20,15,false)</f>
        <v>2</v>
      </c>
      <c r="AI1320" s="960">
        <f t="array" ref="AI1320">HLOOKUP($J1320,'Type Chart'!$C$2:$T$20,16,false)*HLOOKUP($K1320,'Type Chart'!$C$2:$U$20,16,false)</f>
        <v>2</v>
      </c>
      <c r="AJ1320" s="960">
        <f t="array" ref="AJ1320">HLOOKUP($J1320,'Type Chart'!$C$2:$T$20,17,false)*HLOOKUP($K1320,'Type Chart'!$C$2:$U$20,17,false)</f>
        <v>1</v>
      </c>
      <c r="AK1320" s="960">
        <f t="array" ref="AK1320">HLOOKUP($J1320,'Type Chart'!$C$2:$T$20,18,false)*HLOOKUP($K1320,'Type Chart'!$C$2:$U$20,18,false)</f>
        <v>1</v>
      </c>
      <c r="AL1320" s="960">
        <f t="array" ref="AL1320">HLOOKUP($J1320,'Type Chart'!$C$2:$T$20,19,false)*HLOOKUP($K1320,'Type Chart'!$C$2:$U$20,19,false)</f>
        <v>0.5</v>
      </c>
      <c r="AM1320" s="1145" t="s">
        <v>1146</v>
      </c>
      <c r="AN1320" s="965" t="s">
        <v>1147</v>
      </c>
      <c r="AO1320" s="966" t="s">
        <v>1153</v>
      </c>
      <c r="AP1320" s="936"/>
      <c r="AQ1320" s="1245"/>
      <c r="AR1320" s="1245"/>
      <c r="AS1320" s="936"/>
    </row>
    <row r="1321" ht="15.75" customHeight="1">
      <c r="A1321" s="1099"/>
      <c r="B1321" s="948" t="s">
        <v>1154</v>
      </c>
      <c r="C1321" s="1197" t="s">
        <v>1155</v>
      </c>
      <c r="D1321" s="1197" t="s">
        <v>1156</v>
      </c>
      <c r="E1321" s="1147" t="s">
        <v>1155</v>
      </c>
      <c r="F1321" s="940"/>
      <c r="G1321" s="953"/>
      <c r="H1321" s="969"/>
      <c r="I1321" s="998" t="s">
        <v>4420</v>
      </c>
      <c r="J1321" s="958" t="s">
        <v>178</v>
      </c>
      <c r="K1321" s="984" t="s">
        <v>216</v>
      </c>
      <c r="L1321" s="959">
        <v>46.0</v>
      </c>
      <c r="M1321" s="960">
        <v>57.0</v>
      </c>
      <c r="N1321" s="960">
        <v>40.0</v>
      </c>
      <c r="O1321" s="960">
        <v>40.0</v>
      </c>
      <c r="P1321" s="960">
        <v>40.0</v>
      </c>
      <c r="Q1321" s="960">
        <v>50.0</v>
      </c>
      <c r="R1321" s="960">
        <v>136.0</v>
      </c>
      <c r="S1321" s="960">
        <v>199.0</v>
      </c>
      <c r="T1321" s="960">
        <v>218.0</v>
      </c>
      <c r="U1321" s="960">
        <f t="array" ref="U1321">HLOOKUP($J1321,'Type Chart'!$C$2:$T$20,2,false)*HLOOKUP($K1321,'Type Chart'!$C$2:$U$20,2,false)</f>
        <v>1</v>
      </c>
      <c r="V1321" s="960">
        <f t="array" ref="V1321">HLOOKUP($J1321,'Type Chart'!$C$2:$T$20,3,false)*HLOOKUP($K1321,'Type Chart'!$C$2:$U$20,3,false)</f>
        <v>0.5</v>
      </c>
      <c r="W1321" s="960">
        <f t="array" ref="W1321">HLOOKUP($J1321,'Type Chart'!$C$2:$T$20,4,false)*HLOOKUP($K1321,'Type Chart'!$C$2:$U$20,4,false)</f>
        <v>1</v>
      </c>
      <c r="X1321" s="960">
        <f t="array" ref="X1321">HLOOKUP($J1321,'Type Chart'!$C$2:$T$20,5,false)*HLOOKUP($K1321,'Type Chart'!$C$2:$U$20,5,false)</f>
        <v>0.5</v>
      </c>
      <c r="Y1321" s="960">
        <f t="array" ref="Y1321">HLOOKUP($J1321,'Type Chart'!$C$2:$T$20,6,false)*HLOOKUP($K1321,'Type Chart'!$C$2:$U$20,6,false)</f>
        <v>2</v>
      </c>
      <c r="Z1321" s="960">
        <f t="array" ref="Z1321">HLOOKUP($J1321,'Type Chart'!$C$2:$T$20,7,false)*HLOOKUP($K1321,'Type Chart'!$C$2:$U$20,7,false)</f>
        <v>1</v>
      </c>
      <c r="AA1321" s="960">
        <f t="array" ref="AA1321">HLOOKUP($J1321,'Type Chart'!$C$2:$T$20,8,false)*HLOOKUP($K1321,'Type Chart'!$C$2:$U$20,8,false)</f>
        <v>0.5</v>
      </c>
      <c r="AB1321" s="960">
        <f t="array" ref="AB1321">HLOOKUP($J1321,'Type Chart'!$C$2:$T$20,9,false)*HLOOKUP($K1321,'Type Chart'!$C$2:$U$20,9,false)</f>
        <v>1</v>
      </c>
      <c r="AC1321" s="960">
        <f t="array" ref="AC1321">HLOOKUP($J1321,'Type Chart'!$C$2:$T$20,10,false)*HLOOKUP($K1321,'Type Chart'!$C$2:$U$20,10,false)</f>
        <v>1</v>
      </c>
      <c r="AD1321" s="960">
        <f t="array" ref="AD1321">HLOOKUP($J1321,'Type Chart'!$C$2:$T$20,11,false)*HLOOKUP($K1321,'Type Chart'!$C$2:$U$20,11,false)</f>
        <v>1</v>
      </c>
      <c r="AE1321" s="960">
        <f t="array" ref="AE1321">HLOOKUP($J1321,'Type Chart'!$C$2:$T$20,12,false)*HLOOKUP($K1321,'Type Chart'!$C$2:$U$20,12,false)</f>
        <v>1</v>
      </c>
      <c r="AF1321" s="960">
        <f t="array" ref="AF1321">HLOOKUP($J1321,'Type Chart'!$C$2:$T$20,13,false)*HLOOKUP($K1321,'Type Chart'!$C$2:$U$20,13,false)</f>
        <v>0.5</v>
      </c>
      <c r="AG1321" s="960">
        <f t="array" ref="AG1321">HLOOKUP($J1321,'Type Chart'!$C$2:$T$20,14,false)*HLOOKUP($K1321,'Type Chart'!$C$2:$U$20,14,false)</f>
        <v>1</v>
      </c>
      <c r="AH1321" s="960">
        <f t="array" ref="AH1321">HLOOKUP($J1321,'Type Chart'!$C$2:$T$20,15,false)*HLOOKUP($K1321,'Type Chart'!$C$2:$U$20,15,false)</f>
        <v>2</v>
      </c>
      <c r="AI1321" s="960">
        <f t="array" ref="AI1321">HLOOKUP($J1321,'Type Chart'!$C$2:$T$20,16,false)*HLOOKUP($K1321,'Type Chart'!$C$2:$U$20,16,false)</f>
        <v>1</v>
      </c>
      <c r="AJ1321" s="960">
        <f t="array" ref="AJ1321">HLOOKUP($J1321,'Type Chart'!$C$2:$T$20,17,false)*HLOOKUP($K1321,'Type Chart'!$C$2:$U$20,17,false)</f>
        <v>1</v>
      </c>
      <c r="AK1321" s="960">
        <f t="array" ref="AK1321">HLOOKUP($J1321,'Type Chart'!$C$2:$T$20,18,false)*HLOOKUP($K1321,'Type Chart'!$C$2:$U$20,18,false)</f>
        <v>1</v>
      </c>
      <c r="AL1321" s="960">
        <f t="array" ref="AL1321">HLOOKUP($J1321,'Type Chart'!$C$2:$T$20,19,false)*HLOOKUP($K1321,'Type Chart'!$C$2:$U$20,19,false)</f>
        <v>0.5</v>
      </c>
      <c r="AM1321" s="1145" t="s">
        <v>1146</v>
      </c>
      <c r="AN1321" s="965" t="s">
        <v>1147</v>
      </c>
      <c r="AO1321" s="966" t="s">
        <v>1039</v>
      </c>
      <c r="AP1321" s="936"/>
      <c r="AQ1321" s="1245"/>
      <c r="AR1321" s="1245"/>
      <c r="AS1321" s="936"/>
    </row>
    <row r="1322" ht="15.75" customHeight="1">
      <c r="A1322" s="1099"/>
      <c r="B1322" s="948" t="s">
        <v>1158</v>
      </c>
      <c r="C1322" s="1197" t="s">
        <v>1159</v>
      </c>
      <c r="D1322" s="1197" t="s">
        <v>1159</v>
      </c>
      <c r="E1322" s="1147" t="s">
        <v>1159</v>
      </c>
      <c r="F1322" s="940"/>
      <c r="G1322" s="953"/>
      <c r="H1322" s="969"/>
      <c r="I1322" s="998" t="s">
        <v>4421</v>
      </c>
      <c r="J1322" s="958" t="s">
        <v>178</v>
      </c>
      <c r="K1322" s="984" t="s">
        <v>216</v>
      </c>
      <c r="L1322" s="959">
        <v>61.0</v>
      </c>
      <c r="M1322" s="960">
        <v>72.0</v>
      </c>
      <c r="N1322" s="960">
        <v>57.0</v>
      </c>
      <c r="O1322" s="960">
        <v>55.0</v>
      </c>
      <c r="P1322" s="960">
        <v>55.0</v>
      </c>
      <c r="Q1322" s="960">
        <v>65.0</v>
      </c>
      <c r="R1322" s="960">
        <v>166.0</v>
      </c>
      <c r="S1322" s="960">
        <v>229.0</v>
      </c>
      <c r="T1322" s="960">
        <v>251.0</v>
      </c>
      <c r="U1322" s="960">
        <f t="array" ref="U1322">HLOOKUP($J1322,'Type Chart'!$C$2:$T$20,2,false)*HLOOKUP($K1322,'Type Chart'!$C$2:$U$20,2,false)</f>
        <v>1</v>
      </c>
      <c r="V1322" s="960">
        <f t="array" ref="V1322">HLOOKUP($J1322,'Type Chart'!$C$2:$T$20,3,false)*HLOOKUP($K1322,'Type Chart'!$C$2:$U$20,3,false)</f>
        <v>0.5</v>
      </c>
      <c r="W1322" s="960">
        <f t="array" ref="W1322">HLOOKUP($J1322,'Type Chart'!$C$2:$T$20,4,false)*HLOOKUP($K1322,'Type Chart'!$C$2:$U$20,4,false)</f>
        <v>1</v>
      </c>
      <c r="X1322" s="960">
        <f t="array" ref="X1322">HLOOKUP($J1322,'Type Chart'!$C$2:$T$20,5,false)*HLOOKUP($K1322,'Type Chart'!$C$2:$U$20,5,false)</f>
        <v>0.5</v>
      </c>
      <c r="Y1322" s="960">
        <f t="array" ref="Y1322">HLOOKUP($J1322,'Type Chart'!$C$2:$T$20,6,false)*HLOOKUP($K1322,'Type Chart'!$C$2:$U$20,6,false)</f>
        <v>2</v>
      </c>
      <c r="Z1322" s="960">
        <f t="array" ref="Z1322">HLOOKUP($J1322,'Type Chart'!$C$2:$T$20,7,false)*HLOOKUP($K1322,'Type Chart'!$C$2:$U$20,7,false)</f>
        <v>1</v>
      </c>
      <c r="AA1322" s="960">
        <f t="array" ref="AA1322">HLOOKUP($J1322,'Type Chart'!$C$2:$T$20,8,false)*HLOOKUP($K1322,'Type Chart'!$C$2:$U$20,8,false)</f>
        <v>0.5</v>
      </c>
      <c r="AB1322" s="960">
        <f t="array" ref="AB1322">HLOOKUP($J1322,'Type Chart'!$C$2:$T$20,9,false)*HLOOKUP($K1322,'Type Chart'!$C$2:$U$20,9,false)</f>
        <v>1</v>
      </c>
      <c r="AC1322" s="960">
        <f t="array" ref="AC1322">HLOOKUP($J1322,'Type Chart'!$C$2:$T$20,10,false)*HLOOKUP($K1322,'Type Chart'!$C$2:$U$20,10,false)</f>
        <v>1</v>
      </c>
      <c r="AD1322" s="960">
        <f t="array" ref="AD1322">HLOOKUP($J1322,'Type Chart'!$C$2:$T$20,11,false)*HLOOKUP($K1322,'Type Chart'!$C$2:$U$20,11,false)</f>
        <v>1</v>
      </c>
      <c r="AE1322" s="960">
        <f t="array" ref="AE1322">HLOOKUP($J1322,'Type Chart'!$C$2:$T$20,12,false)*HLOOKUP($K1322,'Type Chart'!$C$2:$U$20,12,false)</f>
        <v>1</v>
      </c>
      <c r="AF1322" s="960">
        <f t="array" ref="AF1322">HLOOKUP($J1322,'Type Chart'!$C$2:$T$20,13,false)*HLOOKUP($K1322,'Type Chart'!$C$2:$U$20,13,false)</f>
        <v>0.5</v>
      </c>
      <c r="AG1322" s="960">
        <f t="array" ref="AG1322">HLOOKUP($J1322,'Type Chart'!$C$2:$T$20,14,false)*HLOOKUP($K1322,'Type Chart'!$C$2:$U$20,14,false)</f>
        <v>1</v>
      </c>
      <c r="AH1322" s="960">
        <f t="array" ref="AH1322">HLOOKUP($J1322,'Type Chart'!$C$2:$T$20,15,false)*HLOOKUP($K1322,'Type Chart'!$C$2:$U$20,15,false)</f>
        <v>2</v>
      </c>
      <c r="AI1322" s="960">
        <f t="array" ref="AI1322">HLOOKUP($J1322,'Type Chart'!$C$2:$T$20,16,false)*HLOOKUP($K1322,'Type Chart'!$C$2:$U$20,16,false)</f>
        <v>1</v>
      </c>
      <c r="AJ1322" s="960">
        <f t="array" ref="AJ1322">HLOOKUP($J1322,'Type Chart'!$C$2:$T$20,17,false)*HLOOKUP($K1322,'Type Chart'!$C$2:$U$20,17,false)</f>
        <v>1</v>
      </c>
      <c r="AK1322" s="960">
        <f t="array" ref="AK1322">HLOOKUP($J1322,'Type Chart'!$C$2:$T$20,18,false)*HLOOKUP($K1322,'Type Chart'!$C$2:$U$20,18,false)</f>
        <v>1</v>
      </c>
      <c r="AL1322" s="960">
        <f t="array" ref="AL1322">HLOOKUP($J1322,'Type Chart'!$C$2:$T$20,19,false)*HLOOKUP($K1322,'Type Chart'!$C$2:$U$20,19,false)</f>
        <v>0.5</v>
      </c>
      <c r="AM1322" s="1145" t="s">
        <v>1146</v>
      </c>
      <c r="AN1322" s="965" t="s">
        <v>1147</v>
      </c>
      <c r="AO1322" s="966" t="s">
        <v>1039</v>
      </c>
      <c r="AP1322" s="936"/>
      <c r="AQ1322" s="1245"/>
      <c r="AR1322" s="1245"/>
      <c r="AS1322" s="936"/>
    </row>
    <row r="1323" ht="15.75" customHeight="1">
      <c r="A1323" s="1099"/>
      <c r="B1323" s="948" t="s">
        <v>1161</v>
      </c>
      <c r="C1323" s="1197" t="s">
        <v>1162</v>
      </c>
      <c r="D1323" s="1197" t="s">
        <v>1162</v>
      </c>
      <c r="E1323" s="1147" t="s">
        <v>1162</v>
      </c>
      <c r="F1323" s="940"/>
      <c r="G1323" s="953"/>
      <c r="H1323" s="969"/>
      <c r="I1323" s="998" t="s">
        <v>4422</v>
      </c>
      <c r="J1323" s="958" t="s">
        <v>178</v>
      </c>
      <c r="K1323" s="1204" t="s">
        <v>80</v>
      </c>
      <c r="L1323" s="959">
        <v>81.0</v>
      </c>
      <c r="M1323" s="960">
        <v>102.0</v>
      </c>
      <c r="N1323" s="960">
        <v>77.0</v>
      </c>
      <c r="O1323" s="960">
        <v>85.0</v>
      </c>
      <c r="P1323" s="960">
        <v>75.0</v>
      </c>
      <c r="Q1323" s="960">
        <v>85.0</v>
      </c>
      <c r="R1323" s="960">
        <v>206.0</v>
      </c>
      <c r="S1323" s="960">
        <v>269.0</v>
      </c>
      <c r="T1323" s="960">
        <v>295.0</v>
      </c>
      <c r="U1323" s="960">
        <f t="array" ref="U1323">HLOOKUP($J1323,'Type Chart'!$C$2:$T$20,2,false)*HLOOKUP($K1323,'Type Chart'!$C$2:$U$20,2,false)</f>
        <v>1</v>
      </c>
      <c r="V1323" s="960">
        <f t="array" ref="V1323">HLOOKUP($J1323,'Type Chart'!$C$2:$T$20,3,false)*HLOOKUP($K1323,'Type Chart'!$C$2:$U$20,3,false)</f>
        <v>0.5</v>
      </c>
      <c r="W1323" s="960">
        <f t="array" ref="W1323">HLOOKUP($J1323,'Type Chart'!$C$2:$T$20,4,false)*HLOOKUP($K1323,'Type Chart'!$C$2:$U$20,4,false)</f>
        <v>1</v>
      </c>
      <c r="X1323" s="960">
        <f t="array" ref="X1323">HLOOKUP($J1323,'Type Chart'!$C$2:$T$20,5,false)*HLOOKUP($K1323,'Type Chart'!$C$2:$U$20,5,false)</f>
        <v>0.25</v>
      </c>
      <c r="Y1323" s="960">
        <f t="array" ref="Y1323">HLOOKUP($J1323,'Type Chart'!$C$2:$T$20,6,false)*HLOOKUP($K1323,'Type Chart'!$C$2:$U$20,6,false)</f>
        <v>2</v>
      </c>
      <c r="Z1323" s="960">
        <f t="array" ref="Z1323">HLOOKUP($J1323,'Type Chart'!$C$2:$T$20,7,false)*HLOOKUP($K1323,'Type Chart'!$C$2:$U$20,7,false)</f>
        <v>0.5</v>
      </c>
      <c r="AA1323" s="960">
        <f t="array" ref="AA1323">HLOOKUP($J1323,'Type Chart'!$C$2:$T$20,8,false)*HLOOKUP($K1323,'Type Chart'!$C$2:$U$20,8,false)</f>
        <v>0.5</v>
      </c>
      <c r="AB1323" s="960">
        <f t="array" ref="AB1323">HLOOKUP($J1323,'Type Chart'!$C$2:$T$20,9,false)*HLOOKUP($K1323,'Type Chart'!$C$2:$U$20,9,false)</f>
        <v>1</v>
      </c>
      <c r="AC1323" s="960">
        <f t="array" ref="AC1323">HLOOKUP($J1323,'Type Chart'!$C$2:$T$20,10,false)*HLOOKUP($K1323,'Type Chart'!$C$2:$U$20,10,false)</f>
        <v>1</v>
      </c>
      <c r="AD1323" s="960">
        <f t="array" ref="AD1323">HLOOKUP($J1323,'Type Chart'!$C$2:$T$20,11,false)*HLOOKUP($K1323,'Type Chart'!$C$2:$U$20,11,false)</f>
        <v>1</v>
      </c>
      <c r="AE1323" s="960">
        <f t="array" ref="AE1323">HLOOKUP($J1323,'Type Chart'!$C$2:$T$20,12,false)*HLOOKUP($K1323,'Type Chart'!$C$2:$U$20,12,false)</f>
        <v>2</v>
      </c>
      <c r="AF1323" s="960">
        <f t="array" ref="AF1323">HLOOKUP($J1323,'Type Chart'!$C$2:$T$20,13,false)*HLOOKUP($K1323,'Type Chart'!$C$2:$U$20,13,false)</f>
        <v>1</v>
      </c>
      <c r="AG1323" s="960">
        <f t="array" ref="AG1323">HLOOKUP($J1323,'Type Chart'!$C$2:$T$20,14,false)*HLOOKUP($K1323,'Type Chart'!$C$2:$U$20,14,false)</f>
        <v>0</v>
      </c>
      <c r="AH1323" s="960">
        <f t="array" ref="AH1323">HLOOKUP($J1323,'Type Chart'!$C$2:$T$20,15,false)*HLOOKUP($K1323,'Type Chart'!$C$2:$U$20,15,false)</f>
        <v>2</v>
      </c>
      <c r="AI1323" s="960">
        <f t="array" ref="AI1323">HLOOKUP($J1323,'Type Chart'!$C$2:$T$20,16,false)*HLOOKUP($K1323,'Type Chart'!$C$2:$U$20,16,false)</f>
        <v>2</v>
      </c>
      <c r="AJ1323" s="960">
        <f t="array" ref="AJ1323">HLOOKUP($J1323,'Type Chart'!$C$2:$T$20,17,false)*HLOOKUP($K1323,'Type Chart'!$C$2:$U$20,17,false)</f>
        <v>1</v>
      </c>
      <c r="AK1323" s="960">
        <f t="array" ref="AK1323">HLOOKUP($J1323,'Type Chart'!$C$2:$T$20,18,false)*HLOOKUP($K1323,'Type Chart'!$C$2:$U$20,18,false)</f>
        <v>1</v>
      </c>
      <c r="AL1323" s="960">
        <f t="array" ref="AL1323">HLOOKUP($J1323,'Type Chart'!$C$2:$T$20,19,false)*HLOOKUP($K1323,'Type Chart'!$C$2:$U$20,19,false)</f>
        <v>0.5</v>
      </c>
      <c r="AM1323" s="1145" t="s">
        <v>1146</v>
      </c>
      <c r="AN1323" s="965" t="s">
        <v>1147</v>
      </c>
      <c r="AO1323" s="966" t="s">
        <v>1153</v>
      </c>
      <c r="AP1323" s="936"/>
      <c r="AQ1323" s="1245"/>
      <c r="AR1323" s="1245"/>
      <c r="AS1323" s="936"/>
    </row>
    <row r="1324" ht="15.75" customHeight="1">
      <c r="A1324" s="1099"/>
      <c r="B1324" s="948" t="s">
        <v>1163</v>
      </c>
      <c r="C1324" s="1197" t="s">
        <v>1164</v>
      </c>
      <c r="D1324" s="1197" t="s">
        <v>1164</v>
      </c>
      <c r="E1324" s="1147" t="s">
        <v>1164</v>
      </c>
      <c r="F1324" s="940"/>
      <c r="G1324" s="953"/>
      <c r="H1324" s="969"/>
      <c r="I1324" s="998" t="s">
        <v>4423</v>
      </c>
      <c r="J1324" s="1207" t="s">
        <v>127</v>
      </c>
      <c r="K1324" s="984" t="s">
        <v>216</v>
      </c>
      <c r="L1324" s="959">
        <v>70.0</v>
      </c>
      <c r="M1324" s="960">
        <v>45.0</v>
      </c>
      <c r="N1324" s="960">
        <v>48.0</v>
      </c>
      <c r="O1324" s="960">
        <v>60.0</v>
      </c>
      <c r="P1324" s="960">
        <v>65.0</v>
      </c>
      <c r="Q1324" s="960">
        <v>35.0</v>
      </c>
      <c r="R1324" s="960">
        <v>106.0</v>
      </c>
      <c r="S1324" s="960">
        <v>169.0</v>
      </c>
      <c r="T1324" s="960">
        <v>185.0</v>
      </c>
      <c r="U1324" s="960">
        <f t="array" ref="U1324">HLOOKUP($J1324,'Type Chart'!$C$2:$T$20,2,false)*HLOOKUP($K1324,'Type Chart'!$C$2:$U$20,2,false)</f>
        <v>1</v>
      </c>
      <c r="V1324" s="960">
        <f t="array" ref="V1324">HLOOKUP($J1324,'Type Chart'!$C$2:$T$20,3,false)*HLOOKUP($K1324,'Type Chart'!$C$2:$U$20,3,false)</f>
        <v>0.5</v>
      </c>
      <c r="W1324" s="960">
        <f t="array" ref="W1324">HLOOKUP($J1324,'Type Chart'!$C$2:$T$20,4,false)*HLOOKUP($K1324,'Type Chart'!$C$2:$U$20,4,false)</f>
        <v>1</v>
      </c>
      <c r="X1324" s="960">
        <f t="array" ref="X1324">HLOOKUP($J1324,'Type Chart'!$C$2:$T$20,5,false)*HLOOKUP($K1324,'Type Chart'!$C$2:$U$20,5,false)</f>
        <v>2</v>
      </c>
      <c r="Y1324" s="960">
        <f t="array" ref="Y1324">HLOOKUP($J1324,'Type Chart'!$C$2:$T$20,6,false)*HLOOKUP($K1324,'Type Chart'!$C$2:$U$20,6,false)</f>
        <v>1</v>
      </c>
      <c r="Z1324" s="960">
        <f t="array" ref="Z1324">HLOOKUP($J1324,'Type Chart'!$C$2:$T$20,7,false)*HLOOKUP($K1324,'Type Chart'!$C$2:$U$20,7,false)</f>
        <v>1</v>
      </c>
      <c r="AA1324" s="960">
        <f t="array" ref="AA1324">HLOOKUP($J1324,'Type Chart'!$C$2:$T$20,8,false)*HLOOKUP($K1324,'Type Chart'!$C$2:$U$20,8,false)</f>
        <v>0.5</v>
      </c>
      <c r="AB1324" s="960">
        <f t="array" ref="AB1324">HLOOKUP($J1324,'Type Chart'!$C$2:$T$20,9,false)*HLOOKUP($K1324,'Type Chart'!$C$2:$U$20,9,false)</f>
        <v>1</v>
      </c>
      <c r="AC1324" s="960">
        <f t="array" ref="AC1324">HLOOKUP($J1324,'Type Chart'!$C$2:$T$20,10,false)*HLOOKUP($K1324,'Type Chart'!$C$2:$U$20,10,false)</f>
        <v>2</v>
      </c>
      <c r="AD1324" s="960">
        <f t="array" ref="AD1324">HLOOKUP($J1324,'Type Chart'!$C$2:$T$20,11,false)*HLOOKUP($K1324,'Type Chart'!$C$2:$U$20,11,false)</f>
        <v>1</v>
      </c>
      <c r="AE1324" s="960">
        <f t="array" ref="AE1324">HLOOKUP($J1324,'Type Chart'!$C$2:$T$20,12,false)*HLOOKUP($K1324,'Type Chart'!$C$2:$U$20,12,false)</f>
        <v>1</v>
      </c>
      <c r="AF1324" s="960">
        <f t="array" ref="AF1324">HLOOKUP($J1324,'Type Chart'!$C$2:$T$20,13,false)*HLOOKUP($K1324,'Type Chart'!$C$2:$U$20,13,false)</f>
        <v>1</v>
      </c>
      <c r="AG1324" s="960">
        <f t="array" ref="AG1324">HLOOKUP($J1324,'Type Chart'!$C$2:$T$20,14,false)*HLOOKUP($K1324,'Type Chart'!$C$2:$U$20,14,false)</f>
        <v>1</v>
      </c>
      <c r="AH1324" s="960">
        <f t="array" ref="AH1324">HLOOKUP($J1324,'Type Chart'!$C$2:$T$20,15,false)*HLOOKUP($K1324,'Type Chart'!$C$2:$U$20,15,false)</f>
        <v>1</v>
      </c>
      <c r="AI1324" s="960">
        <f t="array" ref="AI1324">HLOOKUP($J1324,'Type Chart'!$C$2:$T$20,16,false)*HLOOKUP($K1324,'Type Chart'!$C$2:$U$20,16,false)</f>
        <v>1</v>
      </c>
      <c r="AJ1324" s="960">
        <f t="array" ref="AJ1324">HLOOKUP($J1324,'Type Chart'!$C$2:$T$20,17,false)*HLOOKUP($K1324,'Type Chart'!$C$2:$U$20,17,false)</f>
        <v>0</v>
      </c>
      <c r="AK1324" s="960">
        <f t="array" ref="AK1324">HLOOKUP($J1324,'Type Chart'!$C$2:$T$20,18,false)*HLOOKUP($K1324,'Type Chart'!$C$2:$U$20,18,false)</f>
        <v>0.5</v>
      </c>
      <c r="AL1324" s="960">
        <f t="array" ref="AL1324">HLOOKUP($J1324,'Type Chart'!$C$2:$T$20,19,false)*HLOOKUP($K1324,'Type Chart'!$C$2:$U$20,19,false)</f>
        <v>1</v>
      </c>
      <c r="AM1324" s="1145" t="s">
        <v>1165</v>
      </c>
      <c r="AN1324" s="965" t="s">
        <v>1166</v>
      </c>
      <c r="AO1324" s="966" t="s">
        <v>1167</v>
      </c>
      <c r="AP1324" s="936"/>
      <c r="AQ1324" s="1245"/>
      <c r="AR1324" s="1245"/>
      <c r="AS1324" s="936"/>
    </row>
    <row r="1325" ht="15.75" customHeight="1">
      <c r="A1325" s="1099"/>
      <c r="B1325" s="948" t="s">
        <v>1168</v>
      </c>
      <c r="C1325" s="1197" t="s">
        <v>119</v>
      </c>
      <c r="D1325" s="1197" t="s">
        <v>119</v>
      </c>
      <c r="E1325" s="1147" t="s">
        <v>119</v>
      </c>
      <c r="F1325" s="940"/>
      <c r="G1325" s="953"/>
      <c r="H1325" s="969"/>
      <c r="I1325" s="998" t="s">
        <v>4424</v>
      </c>
      <c r="J1325" s="1207" t="s">
        <v>127</v>
      </c>
      <c r="K1325" s="984" t="s">
        <v>216</v>
      </c>
      <c r="L1325" s="959">
        <v>95.0</v>
      </c>
      <c r="M1325" s="960">
        <v>70.0</v>
      </c>
      <c r="N1325" s="960">
        <v>73.0</v>
      </c>
      <c r="O1325" s="960">
        <v>95.0</v>
      </c>
      <c r="P1325" s="960">
        <v>90.0</v>
      </c>
      <c r="Q1325" s="960">
        <v>60.0</v>
      </c>
      <c r="R1325" s="960">
        <v>156.0</v>
      </c>
      <c r="S1325" s="960">
        <v>219.0</v>
      </c>
      <c r="T1325" s="960">
        <v>240.0</v>
      </c>
      <c r="U1325" s="960">
        <f t="array" ref="U1325">HLOOKUP($J1325,'Type Chart'!$C$2:$T$20,2,false)*HLOOKUP($K1325,'Type Chart'!$C$2:$U$20,2,false)</f>
        <v>1</v>
      </c>
      <c r="V1325" s="960">
        <f t="array" ref="V1325">HLOOKUP($J1325,'Type Chart'!$C$2:$T$20,3,false)*HLOOKUP($K1325,'Type Chart'!$C$2:$U$20,3,false)</f>
        <v>0.5</v>
      </c>
      <c r="W1325" s="960">
        <f t="array" ref="W1325">HLOOKUP($J1325,'Type Chart'!$C$2:$T$20,4,false)*HLOOKUP($K1325,'Type Chart'!$C$2:$U$20,4,false)</f>
        <v>1</v>
      </c>
      <c r="X1325" s="960">
        <f t="array" ref="X1325">HLOOKUP($J1325,'Type Chart'!$C$2:$T$20,5,false)*HLOOKUP($K1325,'Type Chart'!$C$2:$U$20,5,false)</f>
        <v>2</v>
      </c>
      <c r="Y1325" s="960">
        <f t="array" ref="Y1325">HLOOKUP($J1325,'Type Chart'!$C$2:$T$20,6,false)*HLOOKUP($K1325,'Type Chart'!$C$2:$U$20,6,false)</f>
        <v>1</v>
      </c>
      <c r="Z1325" s="960">
        <f t="array" ref="Z1325">HLOOKUP($J1325,'Type Chart'!$C$2:$T$20,7,false)*HLOOKUP($K1325,'Type Chart'!$C$2:$U$20,7,false)</f>
        <v>1</v>
      </c>
      <c r="AA1325" s="960">
        <f t="array" ref="AA1325">HLOOKUP($J1325,'Type Chart'!$C$2:$T$20,8,false)*HLOOKUP($K1325,'Type Chart'!$C$2:$U$20,8,false)</f>
        <v>0.5</v>
      </c>
      <c r="AB1325" s="960">
        <f t="array" ref="AB1325">HLOOKUP($J1325,'Type Chart'!$C$2:$T$20,9,false)*HLOOKUP($K1325,'Type Chart'!$C$2:$U$20,9,false)</f>
        <v>1</v>
      </c>
      <c r="AC1325" s="960">
        <f t="array" ref="AC1325">HLOOKUP($J1325,'Type Chart'!$C$2:$T$20,10,false)*HLOOKUP($K1325,'Type Chart'!$C$2:$U$20,10,false)</f>
        <v>2</v>
      </c>
      <c r="AD1325" s="960">
        <f t="array" ref="AD1325">HLOOKUP($J1325,'Type Chart'!$C$2:$T$20,11,false)*HLOOKUP($K1325,'Type Chart'!$C$2:$U$20,11,false)</f>
        <v>1</v>
      </c>
      <c r="AE1325" s="960">
        <f t="array" ref="AE1325">HLOOKUP($J1325,'Type Chart'!$C$2:$T$20,12,false)*HLOOKUP($K1325,'Type Chart'!$C$2:$U$20,12,false)</f>
        <v>1</v>
      </c>
      <c r="AF1325" s="960">
        <f t="array" ref="AF1325">HLOOKUP($J1325,'Type Chart'!$C$2:$T$20,13,false)*HLOOKUP($K1325,'Type Chart'!$C$2:$U$20,13,false)</f>
        <v>1</v>
      </c>
      <c r="AG1325" s="960">
        <f t="array" ref="AG1325">HLOOKUP($J1325,'Type Chart'!$C$2:$T$20,14,false)*HLOOKUP($K1325,'Type Chart'!$C$2:$U$20,14,false)</f>
        <v>1</v>
      </c>
      <c r="AH1325" s="960">
        <f t="array" ref="AH1325">HLOOKUP($J1325,'Type Chart'!$C$2:$T$20,15,false)*HLOOKUP($K1325,'Type Chart'!$C$2:$U$20,15,false)</f>
        <v>1</v>
      </c>
      <c r="AI1325" s="960">
        <f t="array" ref="AI1325">HLOOKUP($J1325,'Type Chart'!$C$2:$T$20,16,false)*HLOOKUP($K1325,'Type Chart'!$C$2:$U$20,16,false)</f>
        <v>1</v>
      </c>
      <c r="AJ1325" s="960">
        <f t="array" ref="AJ1325">HLOOKUP($J1325,'Type Chart'!$C$2:$T$20,17,false)*HLOOKUP($K1325,'Type Chart'!$C$2:$U$20,17,false)</f>
        <v>0</v>
      </c>
      <c r="AK1325" s="960">
        <f t="array" ref="AK1325">HLOOKUP($J1325,'Type Chart'!$C$2:$T$20,18,false)*HLOOKUP($K1325,'Type Chart'!$C$2:$U$20,18,false)</f>
        <v>0.5</v>
      </c>
      <c r="AL1325" s="960">
        <f t="array" ref="AL1325">HLOOKUP($J1325,'Type Chart'!$C$2:$T$20,19,false)*HLOOKUP($K1325,'Type Chart'!$C$2:$U$20,19,false)</f>
        <v>1</v>
      </c>
      <c r="AM1325" s="1145" t="s">
        <v>1165</v>
      </c>
      <c r="AN1325" s="965" t="s">
        <v>1166</v>
      </c>
      <c r="AO1325" s="966" t="s">
        <v>1169</v>
      </c>
      <c r="AP1325" s="936"/>
      <c r="AQ1325" s="1245"/>
      <c r="AR1325" s="1245"/>
      <c r="AS1325" s="936"/>
    </row>
    <row r="1326" ht="15.75" customHeight="1">
      <c r="A1326" s="1099"/>
      <c r="B1326" s="948" t="s">
        <v>1170</v>
      </c>
      <c r="C1326" s="1197" t="s">
        <v>1171</v>
      </c>
      <c r="D1326" s="1197" t="s">
        <v>1171</v>
      </c>
      <c r="E1326" s="1147" t="s">
        <v>1171</v>
      </c>
      <c r="F1326" s="940"/>
      <c r="G1326" s="953"/>
      <c r="H1326" s="969"/>
      <c r="I1326" s="998" t="s">
        <v>4425</v>
      </c>
      <c r="J1326" s="982" t="s">
        <v>150</v>
      </c>
      <c r="K1326" s="984" t="s">
        <v>216</v>
      </c>
      <c r="L1326" s="959">
        <v>38.0</v>
      </c>
      <c r="M1326" s="960">
        <v>41.0</v>
      </c>
      <c r="N1326" s="960">
        <v>40.0</v>
      </c>
      <c r="O1326" s="960">
        <v>50.0</v>
      </c>
      <c r="P1326" s="960">
        <v>65.0</v>
      </c>
      <c r="Q1326" s="960">
        <v>65.0</v>
      </c>
      <c r="R1326" s="960">
        <v>166.0</v>
      </c>
      <c r="S1326" s="960">
        <v>229.0</v>
      </c>
      <c r="T1326" s="960">
        <v>251.0</v>
      </c>
      <c r="U1326" s="960">
        <f t="array" ref="U1326">HLOOKUP($J1326,'Type Chart'!$C$2:$T$20,2,false)*HLOOKUP($K1326,'Type Chart'!$C$2:$U$20,2,false)</f>
        <v>1</v>
      </c>
      <c r="V1326" s="960">
        <f t="array" ref="V1326">HLOOKUP($J1326,'Type Chart'!$C$2:$T$20,3,false)*HLOOKUP($K1326,'Type Chart'!$C$2:$U$20,3,false)</f>
        <v>1</v>
      </c>
      <c r="W1326" s="960">
        <f t="array" ref="W1326">HLOOKUP($J1326,'Type Chart'!$C$2:$T$20,4,false)*HLOOKUP($K1326,'Type Chart'!$C$2:$U$20,4,false)</f>
        <v>1</v>
      </c>
      <c r="X1326" s="960">
        <f t="array" ref="X1326">HLOOKUP($J1326,'Type Chart'!$C$2:$T$20,5,false)*HLOOKUP($K1326,'Type Chart'!$C$2:$U$20,5,false)</f>
        <v>1</v>
      </c>
      <c r="Y1326" s="960">
        <f t="array" ref="Y1326">HLOOKUP($J1326,'Type Chart'!$C$2:$T$20,6,false)*HLOOKUP($K1326,'Type Chart'!$C$2:$U$20,6,false)</f>
        <v>2</v>
      </c>
      <c r="Z1326" s="960">
        <f t="array" ref="Z1326">HLOOKUP($J1326,'Type Chart'!$C$2:$T$20,7,false)*HLOOKUP($K1326,'Type Chart'!$C$2:$U$20,7,false)</f>
        <v>2</v>
      </c>
      <c r="AA1326" s="960">
        <f t="array" ref="AA1326">HLOOKUP($J1326,'Type Chart'!$C$2:$T$20,8,false)*HLOOKUP($K1326,'Type Chart'!$C$2:$U$20,8,false)</f>
        <v>0.5</v>
      </c>
      <c r="AB1326" s="960">
        <f t="array" ref="AB1326">HLOOKUP($J1326,'Type Chart'!$C$2:$T$20,9,false)*HLOOKUP($K1326,'Type Chart'!$C$2:$U$20,9,false)</f>
        <v>1</v>
      </c>
      <c r="AC1326" s="960">
        <f t="array" ref="AC1326">HLOOKUP($J1326,'Type Chart'!$C$2:$T$20,10,false)*HLOOKUP($K1326,'Type Chart'!$C$2:$U$20,10,false)</f>
        <v>0.5</v>
      </c>
      <c r="AD1326" s="960">
        <f t="array" ref="AD1326">HLOOKUP($J1326,'Type Chart'!$C$2:$T$20,11,false)*HLOOKUP($K1326,'Type Chart'!$C$2:$U$20,11,false)</f>
        <v>0.5</v>
      </c>
      <c r="AE1326" s="960">
        <f t="array" ref="AE1326">HLOOKUP($J1326,'Type Chart'!$C$2:$T$20,12,false)*HLOOKUP($K1326,'Type Chart'!$C$2:$U$20,12,false)</f>
        <v>2</v>
      </c>
      <c r="AF1326" s="960">
        <f t="array" ref="AF1326">HLOOKUP($J1326,'Type Chart'!$C$2:$T$20,13,false)*HLOOKUP($K1326,'Type Chart'!$C$2:$U$20,13,false)</f>
        <v>0.5</v>
      </c>
      <c r="AG1326" s="960">
        <f t="array" ref="AG1326">HLOOKUP($J1326,'Type Chart'!$C$2:$T$20,14,false)*HLOOKUP($K1326,'Type Chart'!$C$2:$U$20,14,false)</f>
        <v>1</v>
      </c>
      <c r="AH1326" s="960">
        <f t="array" ref="AH1326">HLOOKUP($J1326,'Type Chart'!$C$2:$T$20,15,false)*HLOOKUP($K1326,'Type Chart'!$C$2:$U$20,15,false)</f>
        <v>1</v>
      </c>
      <c r="AI1326" s="960">
        <f t="array" ref="AI1326">HLOOKUP($J1326,'Type Chart'!$C$2:$T$20,16,false)*HLOOKUP($K1326,'Type Chart'!$C$2:$U$20,16,false)</f>
        <v>0.5</v>
      </c>
      <c r="AJ1326" s="960">
        <f t="array" ref="AJ1326">HLOOKUP($J1326,'Type Chart'!$C$2:$T$20,17,false)*HLOOKUP($K1326,'Type Chart'!$C$2:$U$20,17,false)</f>
        <v>1</v>
      </c>
      <c r="AK1326" s="960">
        <f t="array" ref="AK1326">HLOOKUP($J1326,'Type Chart'!$C$2:$T$20,18,false)*HLOOKUP($K1326,'Type Chart'!$C$2:$U$20,18,false)</f>
        <v>1</v>
      </c>
      <c r="AL1326" s="960">
        <f t="array" ref="AL1326">HLOOKUP($J1326,'Type Chart'!$C$2:$T$20,19,false)*HLOOKUP($K1326,'Type Chart'!$C$2:$U$20,19,false)</f>
        <v>0.5</v>
      </c>
      <c r="AM1326" s="964" t="s">
        <v>1172</v>
      </c>
      <c r="AN1326" s="965"/>
      <c r="AO1326" s="966" t="s">
        <v>952</v>
      </c>
      <c r="AP1326" s="936"/>
      <c r="AQ1326" s="1245"/>
      <c r="AR1326" s="1245"/>
      <c r="AS1326" s="936"/>
    </row>
    <row r="1327" ht="15.75" customHeight="1">
      <c r="A1327" s="1099"/>
      <c r="B1327" s="948" t="s">
        <v>1173</v>
      </c>
      <c r="C1327" s="1197" t="s">
        <v>1174</v>
      </c>
      <c r="D1327" s="1197" t="s">
        <v>1174</v>
      </c>
      <c r="E1327" s="1147" t="s">
        <v>1175</v>
      </c>
      <c r="F1327" s="940"/>
      <c r="G1327" s="953"/>
      <c r="H1327" s="969"/>
      <c r="I1327" s="998" t="s">
        <v>4426</v>
      </c>
      <c r="J1327" s="1205" t="s">
        <v>345</v>
      </c>
      <c r="K1327" s="984" t="s">
        <v>216</v>
      </c>
      <c r="L1327" s="959">
        <v>38.0</v>
      </c>
      <c r="M1327" s="960">
        <v>41.0</v>
      </c>
      <c r="N1327" s="960">
        <v>40.0</v>
      </c>
      <c r="O1327" s="960">
        <v>50.0</v>
      </c>
      <c r="P1327" s="960">
        <v>65.0</v>
      </c>
      <c r="Q1327" s="960">
        <v>65.0</v>
      </c>
      <c r="R1327" s="960">
        <v>166.0</v>
      </c>
      <c r="S1327" s="960">
        <v>229.0</v>
      </c>
      <c r="T1327" s="960">
        <v>251.0</v>
      </c>
      <c r="U1327" s="960">
        <f t="array" ref="U1327">HLOOKUP($J1327,'Type Chart'!$C$2:$T$20,2,false)*HLOOKUP($K1327,'Type Chart'!$C$2:$U$20,2,false)</f>
        <v>1</v>
      </c>
      <c r="V1327" s="960">
        <f t="array" ref="V1327">HLOOKUP($J1327,'Type Chart'!$C$2:$T$20,3,false)*HLOOKUP($K1327,'Type Chart'!$C$2:$U$20,3,false)</f>
        <v>2</v>
      </c>
      <c r="W1327" s="960">
        <f t="array" ref="W1327">HLOOKUP($J1327,'Type Chart'!$C$2:$T$20,4,false)*HLOOKUP($K1327,'Type Chart'!$C$2:$U$20,4,false)</f>
        <v>1</v>
      </c>
      <c r="X1327" s="960">
        <f t="array" ref="X1327">HLOOKUP($J1327,'Type Chart'!$C$2:$T$20,5,false)*HLOOKUP($K1327,'Type Chart'!$C$2:$U$20,5,false)</f>
        <v>1</v>
      </c>
      <c r="Y1327" s="960">
        <f t="array" ref="Y1327">HLOOKUP($J1327,'Type Chart'!$C$2:$T$20,6,false)*HLOOKUP($K1327,'Type Chart'!$C$2:$U$20,6,false)</f>
        <v>1</v>
      </c>
      <c r="Z1327" s="960">
        <f t="array" ref="Z1327">HLOOKUP($J1327,'Type Chart'!$C$2:$T$20,7,false)*HLOOKUP($K1327,'Type Chart'!$C$2:$U$20,7,false)</f>
        <v>2</v>
      </c>
      <c r="AA1327" s="960">
        <f t="array" ref="AA1327">HLOOKUP($J1327,'Type Chart'!$C$2:$T$20,8,false)*HLOOKUP($K1327,'Type Chart'!$C$2:$U$20,8,false)</f>
        <v>1</v>
      </c>
      <c r="AB1327" s="960">
        <f t="array" ref="AB1327">HLOOKUP($J1327,'Type Chart'!$C$2:$T$20,9,false)*HLOOKUP($K1327,'Type Chart'!$C$2:$U$20,9,false)</f>
        <v>1</v>
      </c>
      <c r="AC1327" s="960">
        <f t="array" ref="AC1327">HLOOKUP($J1327,'Type Chart'!$C$2:$T$20,10,false)*HLOOKUP($K1327,'Type Chart'!$C$2:$U$20,10,false)</f>
        <v>2</v>
      </c>
      <c r="AD1327" s="960">
        <f t="array" ref="AD1327">HLOOKUP($J1327,'Type Chart'!$C$2:$T$20,11,false)*HLOOKUP($K1327,'Type Chart'!$C$2:$U$20,11,false)</f>
        <v>2</v>
      </c>
      <c r="AE1327" s="960">
        <f t="array" ref="AE1327">HLOOKUP($J1327,'Type Chart'!$C$2:$T$20,12,false)*HLOOKUP($K1327,'Type Chart'!$C$2:$U$20,12,false)</f>
        <v>1</v>
      </c>
      <c r="AF1327" s="960">
        <f t="array" ref="AF1327">HLOOKUP($J1327,'Type Chart'!$C$2:$T$20,13,false)*HLOOKUP($K1327,'Type Chart'!$C$2:$U$20,13,false)</f>
        <v>1</v>
      </c>
      <c r="AG1327" s="960">
        <f t="array" ref="AG1327">HLOOKUP($J1327,'Type Chart'!$C$2:$T$20,14,false)*HLOOKUP($K1327,'Type Chart'!$C$2:$U$20,14,false)</f>
        <v>1</v>
      </c>
      <c r="AH1327" s="960">
        <f t="array" ref="AH1327">HLOOKUP($J1327,'Type Chart'!$C$2:$T$20,15,false)*HLOOKUP($K1327,'Type Chart'!$C$2:$U$20,15,false)</f>
        <v>1</v>
      </c>
      <c r="AI1327" s="960">
        <f t="array" ref="AI1327">HLOOKUP($J1327,'Type Chart'!$C$2:$T$20,16,false)*HLOOKUP($K1327,'Type Chart'!$C$2:$U$20,16,false)</f>
        <v>0.5</v>
      </c>
      <c r="AJ1327" s="960">
        <f t="array" ref="AJ1327">HLOOKUP($J1327,'Type Chart'!$C$2:$T$20,17,false)*HLOOKUP($K1327,'Type Chart'!$C$2:$U$20,17,false)</f>
        <v>1</v>
      </c>
      <c r="AK1327" s="960">
        <f t="array" ref="AK1327">HLOOKUP($J1327,'Type Chart'!$C$2:$T$20,18,false)*HLOOKUP($K1327,'Type Chart'!$C$2:$U$20,18,false)</f>
        <v>1</v>
      </c>
      <c r="AL1327" s="960">
        <f t="array" ref="AL1327">HLOOKUP($J1327,'Type Chart'!$C$2:$T$20,19,false)*HLOOKUP($K1327,'Type Chart'!$C$2:$U$20,19,false)</f>
        <v>1</v>
      </c>
      <c r="AM1327" s="964" t="s">
        <v>1135</v>
      </c>
      <c r="AN1327" s="965"/>
      <c r="AO1327" s="966" t="s">
        <v>1176</v>
      </c>
      <c r="AP1327" s="936"/>
      <c r="AQ1327" s="1245"/>
      <c r="AR1327" s="1245"/>
      <c r="AS1327" s="936"/>
    </row>
    <row r="1328" ht="15.75" customHeight="1">
      <c r="A1328" s="1099"/>
      <c r="B1328" s="948" t="s">
        <v>1177</v>
      </c>
      <c r="C1328" s="1197" t="s">
        <v>1178</v>
      </c>
      <c r="D1328" s="1197" t="s">
        <v>1178</v>
      </c>
      <c r="E1328" s="1147" t="s">
        <v>1178</v>
      </c>
      <c r="F1328" s="940"/>
      <c r="G1328" s="953"/>
      <c r="H1328" s="969"/>
      <c r="I1328" s="998" t="s">
        <v>202</v>
      </c>
      <c r="J1328" s="1208" t="s">
        <v>150</v>
      </c>
      <c r="K1328" s="1199" t="s">
        <v>216</v>
      </c>
      <c r="L1328" s="1200">
        <v>73.0</v>
      </c>
      <c r="M1328" s="1201">
        <v>76.0</v>
      </c>
      <c r="N1328" s="1201">
        <v>75.0</v>
      </c>
      <c r="O1328" s="1201">
        <v>81.0</v>
      </c>
      <c r="P1328" s="1201">
        <v>100.0</v>
      </c>
      <c r="Q1328" s="1201">
        <v>100.0</v>
      </c>
      <c r="R1328" s="960">
        <v>236.0</v>
      </c>
      <c r="S1328" s="960">
        <v>299.0</v>
      </c>
      <c r="T1328" s="960">
        <v>328.0</v>
      </c>
      <c r="U1328" s="960">
        <f t="array" ref="U1328">HLOOKUP($J1328,'Type Chart'!$C$2:$T$20,2,false)*HLOOKUP($K1328,'Type Chart'!$C$2:$U$20,2,false)</f>
        <v>1</v>
      </c>
      <c r="V1328" s="960">
        <f t="array" ref="V1328">HLOOKUP($J1328,'Type Chart'!$C$2:$T$20,3,false)*HLOOKUP($K1328,'Type Chart'!$C$2:$U$20,3,false)</f>
        <v>1</v>
      </c>
      <c r="W1328" s="960">
        <f t="array" ref="W1328">HLOOKUP($J1328,'Type Chart'!$C$2:$T$20,4,false)*HLOOKUP($K1328,'Type Chart'!$C$2:$U$20,4,false)</f>
        <v>1</v>
      </c>
      <c r="X1328" s="960">
        <f t="array" ref="X1328">HLOOKUP($J1328,'Type Chart'!$C$2:$T$20,5,false)*HLOOKUP($K1328,'Type Chart'!$C$2:$U$20,5,false)</f>
        <v>1</v>
      </c>
      <c r="Y1328" s="960">
        <f t="array" ref="Y1328">HLOOKUP($J1328,'Type Chart'!$C$2:$T$20,6,false)*HLOOKUP($K1328,'Type Chart'!$C$2:$U$20,6,false)</f>
        <v>2</v>
      </c>
      <c r="Z1328" s="960">
        <f t="array" ref="Z1328">HLOOKUP($J1328,'Type Chart'!$C$2:$T$20,7,false)*HLOOKUP($K1328,'Type Chart'!$C$2:$U$20,7,false)</f>
        <v>2</v>
      </c>
      <c r="AA1328" s="960">
        <f t="array" ref="AA1328">HLOOKUP($J1328,'Type Chart'!$C$2:$T$20,8,false)*HLOOKUP($K1328,'Type Chart'!$C$2:$U$20,8,false)</f>
        <v>0.5</v>
      </c>
      <c r="AB1328" s="960">
        <f t="array" ref="AB1328">HLOOKUP($J1328,'Type Chart'!$C$2:$T$20,9,false)*HLOOKUP($K1328,'Type Chart'!$C$2:$U$20,9,false)</f>
        <v>1</v>
      </c>
      <c r="AC1328" s="960">
        <f t="array" ref="AC1328">HLOOKUP($J1328,'Type Chart'!$C$2:$T$20,10,false)*HLOOKUP($K1328,'Type Chart'!$C$2:$U$20,10,false)</f>
        <v>0.5</v>
      </c>
      <c r="AD1328" s="960">
        <f t="array" ref="AD1328">HLOOKUP($J1328,'Type Chart'!$C$2:$T$20,11,false)*HLOOKUP($K1328,'Type Chart'!$C$2:$U$20,11,false)</f>
        <v>0.5</v>
      </c>
      <c r="AE1328" s="960">
        <f t="array" ref="AE1328">HLOOKUP($J1328,'Type Chart'!$C$2:$T$20,12,false)*HLOOKUP($K1328,'Type Chart'!$C$2:$U$20,12,false)</f>
        <v>2</v>
      </c>
      <c r="AF1328" s="960">
        <f t="array" ref="AF1328">HLOOKUP($J1328,'Type Chart'!$C$2:$T$20,13,false)*HLOOKUP($K1328,'Type Chart'!$C$2:$U$20,13,false)</f>
        <v>0.5</v>
      </c>
      <c r="AG1328" s="960">
        <f t="array" ref="AG1328">HLOOKUP($J1328,'Type Chart'!$C$2:$T$20,14,false)*HLOOKUP($K1328,'Type Chart'!$C$2:$U$20,14,false)</f>
        <v>1</v>
      </c>
      <c r="AH1328" s="960">
        <f t="array" ref="AH1328">HLOOKUP($J1328,'Type Chart'!$C$2:$T$20,15,false)*HLOOKUP($K1328,'Type Chart'!$C$2:$U$20,15,false)</f>
        <v>1</v>
      </c>
      <c r="AI1328" s="960">
        <f t="array" ref="AI1328">HLOOKUP($J1328,'Type Chart'!$C$2:$T$20,16,false)*HLOOKUP($K1328,'Type Chart'!$C$2:$U$20,16,false)</f>
        <v>0.5</v>
      </c>
      <c r="AJ1328" s="960">
        <f t="array" ref="AJ1328">HLOOKUP($J1328,'Type Chart'!$C$2:$T$20,17,false)*HLOOKUP($K1328,'Type Chart'!$C$2:$U$20,17,false)</f>
        <v>1</v>
      </c>
      <c r="AK1328" s="960">
        <f t="array" ref="AK1328">HLOOKUP($J1328,'Type Chart'!$C$2:$T$20,18,false)*HLOOKUP($K1328,'Type Chart'!$C$2:$U$20,18,false)</f>
        <v>1</v>
      </c>
      <c r="AL1328" s="960">
        <f t="array" ref="AL1328">HLOOKUP($J1328,'Type Chart'!$C$2:$T$20,19,false)*HLOOKUP($K1328,'Type Chart'!$C$2:$U$20,19,false)</f>
        <v>0.5</v>
      </c>
      <c r="AM1328" s="1145" t="s">
        <v>1172</v>
      </c>
      <c r="AN1328" s="1202"/>
      <c r="AO1328" s="1146" t="s">
        <v>952</v>
      </c>
      <c r="AP1328" s="936"/>
      <c r="AQ1328" s="1245"/>
      <c r="AR1328" s="1245"/>
      <c r="AS1328" s="936"/>
    </row>
    <row r="1329" ht="15.75" customHeight="1">
      <c r="A1329" s="1099"/>
      <c r="B1329" s="948" t="s">
        <v>1179</v>
      </c>
      <c r="C1329" s="1197" t="s">
        <v>1180</v>
      </c>
      <c r="D1329" s="1197" t="s">
        <v>1180</v>
      </c>
      <c r="E1329" s="1147" t="s">
        <v>1181</v>
      </c>
      <c r="F1329" s="940"/>
      <c r="G1329" s="953"/>
      <c r="H1329" s="969"/>
      <c r="I1329" s="998" t="s">
        <v>4427</v>
      </c>
      <c r="J1329" s="1205" t="s">
        <v>345</v>
      </c>
      <c r="K1329" s="1207" t="s">
        <v>127</v>
      </c>
      <c r="L1329" s="959">
        <v>73.0</v>
      </c>
      <c r="M1329" s="960">
        <v>67.0</v>
      </c>
      <c r="N1329" s="960">
        <v>75.0</v>
      </c>
      <c r="O1329" s="960">
        <v>81.0</v>
      </c>
      <c r="P1329" s="960">
        <v>100.0</v>
      </c>
      <c r="Q1329" s="960">
        <v>109.0</v>
      </c>
      <c r="R1329" s="960">
        <v>254.0</v>
      </c>
      <c r="S1329" s="960">
        <v>317.0</v>
      </c>
      <c r="T1329" s="960">
        <v>348.0</v>
      </c>
      <c r="U1329" s="960">
        <f t="array" ref="U1329">HLOOKUP($J1329,'Type Chart'!$C$2:$T$20,2,false)*HLOOKUP($K1329,'Type Chart'!$C$2:$U$20,2,false)</f>
        <v>1</v>
      </c>
      <c r="V1329" s="960">
        <f t="array" ref="V1329">HLOOKUP($J1329,'Type Chart'!$C$2:$T$20,3,false)*HLOOKUP($K1329,'Type Chart'!$C$2:$U$20,3,false)</f>
        <v>1</v>
      </c>
      <c r="W1329" s="960">
        <f t="array" ref="W1329">HLOOKUP($J1329,'Type Chart'!$C$2:$T$20,4,false)*HLOOKUP($K1329,'Type Chart'!$C$2:$U$20,4,false)</f>
        <v>1</v>
      </c>
      <c r="X1329" s="960">
        <f t="array" ref="X1329">HLOOKUP($J1329,'Type Chart'!$C$2:$T$20,5,false)*HLOOKUP($K1329,'Type Chart'!$C$2:$U$20,5,false)</f>
        <v>2</v>
      </c>
      <c r="Y1329" s="960">
        <f t="array" ref="Y1329">HLOOKUP($J1329,'Type Chart'!$C$2:$T$20,6,false)*HLOOKUP($K1329,'Type Chart'!$C$2:$U$20,6,false)</f>
        <v>1</v>
      </c>
      <c r="Z1329" s="960">
        <f t="array" ref="Z1329">HLOOKUP($J1329,'Type Chart'!$C$2:$T$20,7,false)*HLOOKUP($K1329,'Type Chart'!$C$2:$U$20,7,false)</f>
        <v>2</v>
      </c>
      <c r="AA1329" s="960">
        <f t="array" ref="AA1329">HLOOKUP($J1329,'Type Chart'!$C$2:$T$20,8,false)*HLOOKUP($K1329,'Type Chart'!$C$2:$U$20,8,false)</f>
        <v>0.5</v>
      </c>
      <c r="AB1329" s="960">
        <f t="array" ref="AB1329">HLOOKUP($J1329,'Type Chart'!$C$2:$T$20,9,false)*HLOOKUP($K1329,'Type Chart'!$C$2:$U$20,9,false)</f>
        <v>1</v>
      </c>
      <c r="AC1329" s="960">
        <f t="array" ref="AC1329">HLOOKUP($J1329,'Type Chart'!$C$2:$T$20,10,false)*HLOOKUP($K1329,'Type Chart'!$C$2:$U$20,10,false)</f>
        <v>4</v>
      </c>
      <c r="AD1329" s="960">
        <f t="array" ref="AD1329">HLOOKUP($J1329,'Type Chart'!$C$2:$T$20,11,false)*HLOOKUP($K1329,'Type Chart'!$C$2:$U$20,11,false)</f>
        <v>2</v>
      </c>
      <c r="AE1329" s="960">
        <f t="array" ref="AE1329">HLOOKUP($J1329,'Type Chart'!$C$2:$T$20,12,false)*HLOOKUP($K1329,'Type Chart'!$C$2:$U$20,12,false)</f>
        <v>1</v>
      </c>
      <c r="AF1329" s="960">
        <f t="array" ref="AF1329">HLOOKUP($J1329,'Type Chart'!$C$2:$T$20,13,false)*HLOOKUP($K1329,'Type Chart'!$C$2:$U$20,13,false)</f>
        <v>1</v>
      </c>
      <c r="AG1329" s="960">
        <f t="array" ref="AG1329">HLOOKUP($J1329,'Type Chart'!$C$2:$T$20,14,false)*HLOOKUP($K1329,'Type Chart'!$C$2:$U$20,14,false)</f>
        <v>1</v>
      </c>
      <c r="AH1329" s="960">
        <f t="array" ref="AH1329">HLOOKUP($J1329,'Type Chart'!$C$2:$T$20,15,false)*HLOOKUP($K1329,'Type Chart'!$C$2:$U$20,15,false)</f>
        <v>1</v>
      </c>
      <c r="AI1329" s="960">
        <f t="array" ref="AI1329">HLOOKUP($J1329,'Type Chart'!$C$2:$T$20,16,false)*HLOOKUP($K1329,'Type Chart'!$C$2:$U$20,16,false)</f>
        <v>0.5</v>
      </c>
      <c r="AJ1329" s="960">
        <f t="array" ref="AJ1329">HLOOKUP($J1329,'Type Chart'!$C$2:$T$20,17,false)*HLOOKUP($K1329,'Type Chart'!$C$2:$U$20,17,false)</f>
        <v>0</v>
      </c>
      <c r="AK1329" s="960">
        <f t="array" ref="AK1329">HLOOKUP($J1329,'Type Chart'!$C$2:$T$20,18,false)*HLOOKUP($K1329,'Type Chart'!$C$2:$U$20,18,false)</f>
        <v>0.5</v>
      </c>
      <c r="AL1329" s="960">
        <f t="array" ref="AL1329">HLOOKUP($J1329,'Type Chart'!$C$2:$T$20,19,false)*HLOOKUP($K1329,'Type Chart'!$C$2:$U$20,19,false)</f>
        <v>1</v>
      </c>
      <c r="AM1329" s="1145" t="s">
        <v>1135</v>
      </c>
      <c r="AN1329" s="1202"/>
      <c r="AO1329" s="1146" t="s">
        <v>1176</v>
      </c>
      <c r="AP1329" s="936"/>
      <c r="AQ1329" s="1245"/>
      <c r="AR1329" s="1245"/>
      <c r="AS1329" s="936"/>
    </row>
    <row r="1330" ht="15.75" customHeight="1">
      <c r="A1330" s="1099"/>
      <c r="B1330" s="948" t="s">
        <v>1182</v>
      </c>
      <c r="C1330" s="1197" t="s">
        <v>1183</v>
      </c>
      <c r="D1330" s="1197" t="s">
        <v>1183</v>
      </c>
      <c r="E1330" s="1147" t="s">
        <v>1183</v>
      </c>
      <c r="F1330" s="940"/>
      <c r="G1330" s="953"/>
      <c r="H1330" s="969"/>
      <c r="I1330" s="998" t="s">
        <v>4428</v>
      </c>
      <c r="J1330" s="1194" t="s">
        <v>136</v>
      </c>
      <c r="K1330" s="1207" t="s">
        <v>127</v>
      </c>
      <c r="L1330" s="959">
        <v>115.0</v>
      </c>
      <c r="M1330" s="960">
        <v>45.0</v>
      </c>
      <c r="N1330" s="960">
        <v>20.0</v>
      </c>
      <c r="O1330" s="960">
        <v>45.0</v>
      </c>
      <c r="P1330" s="960">
        <v>25.0</v>
      </c>
      <c r="Q1330" s="960">
        <v>20.0</v>
      </c>
      <c r="R1330" s="960">
        <v>76.0</v>
      </c>
      <c r="S1330" s="960">
        <v>139.0</v>
      </c>
      <c r="T1330" s="960">
        <v>152.0</v>
      </c>
      <c r="U1330" s="960">
        <f t="array" ref="U1330">HLOOKUP($J1330,'Type Chart'!$C$2:$T$20,2,false)*HLOOKUP($K1330,'Type Chart'!$C$2:$U$20,2,false)</f>
        <v>1</v>
      </c>
      <c r="V1330" s="960">
        <f t="array" ref="V1330">HLOOKUP($J1330,'Type Chart'!$C$2:$T$20,3,false)*HLOOKUP($K1330,'Type Chart'!$C$2:$U$20,3,false)</f>
        <v>1</v>
      </c>
      <c r="W1330" s="960">
        <f t="array" ref="W1330">HLOOKUP($J1330,'Type Chart'!$C$2:$T$20,4,false)*HLOOKUP($K1330,'Type Chart'!$C$2:$U$20,4,false)</f>
        <v>1</v>
      </c>
      <c r="X1330" s="960">
        <f t="array" ref="X1330">HLOOKUP($J1330,'Type Chart'!$C$2:$T$20,5,false)*HLOOKUP($K1330,'Type Chart'!$C$2:$U$20,5,false)</f>
        <v>2</v>
      </c>
      <c r="Y1330" s="960">
        <f t="array" ref="Y1330">HLOOKUP($J1330,'Type Chart'!$C$2:$T$20,6,false)*HLOOKUP($K1330,'Type Chart'!$C$2:$U$20,6,false)</f>
        <v>1</v>
      </c>
      <c r="Z1330" s="960">
        <f t="array" ref="Z1330">HLOOKUP($J1330,'Type Chart'!$C$2:$T$20,7,false)*HLOOKUP($K1330,'Type Chart'!$C$2:$U$20,7,false)</f>
        <v>1</v>
      </c>
      <c r="AA1330" s="960">
        <f t="array" ref="AA1330">HLOOKUP($J1330,'Type Chart'!$C$2:$T$20,8,false)*HLOOKUP($K1330,'Type Chart'!$C$2:$U$20,8,false)</f>
        <v>0.5</v>
      </c>
      <c r="AB1330" s="960">
        <f t="array" ref="AB1330">HLOOKUP($J1330,'Type Chart'!$C$2:$T$20,9,false)*HLOOKUP($K1330,'Type Chart'!$C$2:$U$20,9,false)</f>
        <v>0</v>
      </c>
      <c r="AC1330" s="960">
        <f t="array" ref="AC1330">HLOOKUP($J1330,'Type Chart'!$C$2:$T$20,10,false)*HLOOKUP($K1330,'Type Chart'!$C$2:$U$20,10,false)</f>
        <v>2</v>
      </c>
      <c r="AD1330" s="960">
        <f t="array" ref="AD1330">HLOOKUP($J1330,'Type Chart'!$C$2:$T$20,11,false)*HLOOKUP($K1330,'Type Chart'!$C$2:$U$20,11,false)</f>
        <v>1</v>
      </c>
      <c r="AE1330" s="960">
        <f t="array" ref="AE1330">HLOOKUP($J1330,'Type Chart'!$C$2:$T$20,12,false)*HLOOKUP($K1330,'Type Chart'!$C$2:$U$20,12,false)</f>
        <v>1</v>
      </c>
      <c r="AF1330" s="960">
        <f t="array" ref="AF1330">HLOOKUP($J1330,'Type Chart'!$C$2:$T$20,13,false)*HLOOKUP($K1330,'Type Chart'!$C$2:$U$20,13,false)</f>
        <v>1</v>
      </c>
      <c r="AG1330" s="960">
        <f t="array" ref="AG1330">HLOOKUP($J1330,'Type Chart'!$C$2:$T$20,14,false)*HLOOKUP($K1330,'Type Chart'!$C$2:$U$20,14,false)</f>
        <v>1</v>
      </c>
      <c r="AH1330" s="960">
        <f t="array" ref="AH1330">HLOOKUP($J1330,'Type Chart'!$C$2:$T$20,15,false)*HLOOKUP($K1330,'Type Chart'!$C$2:$U$20,15,false)</f>
        <v>1</v>
      </c>
      <c r="AI1330" s="960">
        <f t="array" ref="AI1330">HLOOKUP($J1330,'Type Chart'!$C$2:$T$20,16,false)*HLOOKUP($K1330,'Type Chart'!$C$2:$U$20,16,false)</f>
        <v>1</v>
      </c>
      <c r="AJ1330" s="960">
        <f t="array" ref="AJ1330">HLOOKUP($J1330,'Type Chart'!$C$2:$T$20,17,false)*HLOOKUP($K1330,'Type Chart'!$C$2:$U$20,17,false)</f>
        <v>0</v>
      </c>
      <c r="AK1330" s="960">
        <f t="array" ref="AK1330">HLOOKUP($J1330,'Type Chart'!$C$2:$T$20,18,false)*HLOOKUP($K1330,'Type Chart'!$C$2:$U$20,18,false)</f>
        <v>0.5</v>
      </c>
      <c r="AL1330" s="960">
        <f t="array" ref="AL1330">HLOOKUP($J1330,'Type Chart'!$C$2:$T$20,19,false)*HLOOKUP($K1330,'Type Chart'!$C$2:$U$20,19,false)</f>
        <v>1</v>
      </c>
      <c r="AM1330" s="1145" t="s">
        <v>1165</v>
      </c>
      <c r="AN1330" s="1202" t="s">
        <v>1185</v>
      </c>
      <c r="AO1330" s="1146" t="s">
        <v>1167</v>
      </c>
      <c r="AP1330" s="936"/>
      <c r="AQ1330" s="1245"/>
      <c r="AR1330" s="1245"/>
      <c r="AS1330" s="936"/>
    </row>
    <row r="1331" ht="15.75" customHeight="1">
      <c r="A1331" s="1099"/>
      <c r="B1331" s="948" t="s">
        <v>1186</v>
      </c>
      <c r="C1331" s="1197" t="s">
        <v>1187</v>
      </c>
      <c r="D1331" s="1197" t="s">
        <v>1187</v>
      </c>
      <c r="E1331" s="1147" t="s">
        <v>1187</v>
      </c>
      <c r="F1331" s="940"/>
      <c r="G1331" s="953"/>
      <c r="H1331" s="969"/>
      <c r="I1331" s="998" t="s">
        <v>4429</v>
      </c>
      <c r="J1331" s="1194" t="s">
        <v>136</v>
      </c>
      <c r="K1331" s="1207" t="s">
        <v>127</v>
      </c>
      <c r="L1331" s="959">
        <v>140.0</v>
      </c>
      <c r="M1331" s="960">
        <v>70.0</v>
      </c>
      <c r="N1331" s="960">
        <v>45.0</v>
      </c>
      <c r="O1331" s="960">
        <v>85.0</v>
      </c>
      <c r="P1331" s="960">
        <v>50.0</v>
      </c>
      <c r="Q1331" s="960">
        <v>45.0</v>
      </c>
      <c r="R1331" s="960">
        <v>126.0</v>
      </c>
      <c r="S1331" s="960">
        <v>189.0</v>
      </c>
      <c r="T1331" s="960">
        <v>207.0</v>
      </c>
      <c r="U1331" s="960">
        <f t="array" ref="U1331">HLOOKUP($J1331,'Type Chart'!$C$2:$T$20,2,false)*HLOOKUP($K1331,'Type Chart'!$C$2:$U$20,2,false)</f>
        <v>1</v>
      </c>
      <c r="V1331" s="960">
        <f t="array" ref="V1331">HLOOKUP($J1331,'Type Chart'!$C$2:$T$20,3,false)*HLOOKUP($K1331,'Type Chart'!$C$2:$U$20,3,false)</f>
        <v>1</v>
      </c>
      <c r="W1331" s="960">
        <f t="array" ref="W1331">HLOOKUP($J1331,'Type Chart'!$C$2:$T$20,4,false)*HLOOKUP($K1331,'Type Chart'!$C$2:$U$20,4,false)</f>
        <v>1</v>
      </c>
      <c r="X1331" s="960">
        <f t="array" ref="X1331">HLOOKUP($J1331,'Type Chart'!$C$2:$T$20,5,false)*HLOOKUP($K1331,'Type Chart'!$C$2:$U$20,5,false)</f>
        <v>2</v>
      </c>
      <c r="Y1331" s="960">
        <f t="array" ref="Y1331">HLOOKUP($J1331,'Type Chart'!$C$2:$T$20,6,false)*HLOOKUP($K1331,'Type Chart'!$C$2:$U$20,6,false)</f>
        <v>1</v>
      </c>
      <c r="Z1331" s="960">
        <f t="array" ref="Z1331">HLOOKUP($J1331,'Type Chart'!$C$2:$T$20,7,false)*HLOOKUP($K1331,'Type Chart'!$C$2:$U$20,7,false)</f>
        <v>1</v>
      </c>
      <c r="AA1331" s="960">
        <f t="array" ref="AA1331">HLOOKUP($J1331,'Type Chart'!$C$2:$T$20,8,false)*HLOOKUP($K1331,'Type Chart'!$C$2:$U$20,8,false)</f>
        <v>0.5</v>
      </c>
      <c r="AB1331" s="960">
        <f t="array" ref="AB1331">HLOOKUP($J1331,'Type Chart'!$C$2:$T$20,9,false)*HLOOKUP($K1331,'Type Chart'!$C$2:$U$20,9,false)</f>
        <v>0</v>
      </c>
      <c r="AC1331" s="960">
        <f t="array" ref="AC1331">HLOOKUP($J1331,'Type Chart'!$C$2:$T$20,10,false)*HLOOKUP($K1331,'Type Chart'!$C$2:$U$20,10,false)</f>
        <v>2</v>
      </c>
      <c r="AD1331" s="960">
        <f t="array" ref="AD1331">HLOOKUP($J1331,'Type Chart'!$C$2:$T$20,11,false)*HLOOKUP($K1331,'Type Chart'!$C$2:$U$20,11,false)</f>
        <v>1</v>
      </c>
      <c r="AE1331" s="960">
        <f t="array" ref="AE1331">HLOOKUP($J1331,'Type Chart'!$C$2:$T$20,12,false)*HLOOKUP($K1331,'Type Chart'!$C$2:$U$20,12,false)</f>
        <v>1</v>
      </c>
      <c r="AF1331" s="960">
        <f t="array" ref="AF1331">HLOOKUP($J1331,'Type Chart'!$C$2:$T$20,13,false)*HLOOKUP($K1331,'Type Chart'!$C$2:$U$20,13,false)</f>
        <v>1</v>
      </c>
      <c r="AG1331" s="960">
        <f t="array" ref="AG1331">HLOOKUP($J1331,'Type Chart'!$C$2:$T$20,14,false)*HLOOKUP($K1331,'Type Chart'!$C$2:$U$20,14,false)</f>
        <v>1</v>
      </c>
      <c r="AH1331" s="960">
        <f t="array" ref="AH1331">HLOOKUP($J1331,'Type Chart'!$C$2:$T$20,15,false)*HLOOKUP($K1331,'Type Chart'!$C$2:$U$20,15,false)</f>
        <v>1</v>
      </c>
      <c r="AI1331" s="960">
        <f t="array" ref="AI1331">HLOOKUP($J1331,'Type Chart'!$C$2:$T$20,16,false)*HLOOKUP($K1331,'Type Chart'!$C$2:$U$20,16,false)</f>
        <v>1</v>
      </c>
      <c r="AJ1331" s="960">
        <f t="array" ref="AJ1331">HLOOKUP($J1331,'Type Chart'!$C$2:$T$20,17,false)*HLOOKUP($K1331,'Type Chart'!$C$2:$U$20,17,false)</f>
        <v>0</v>
      </c>
      <c r="AK1331" s="960">
        <f t="array" ref="AK1331">HLOOKUP($J1331,'Type Chart'!$C$2:$T$20,18,false)*HLOOKUP($K1331,'Type Chart'!$C$2:$U$20,18,false)</f>
        <v>0.5</v>
      </c>
      <c r="AL1331" s="960">
        <f t="array" ref="AL1331">HLOOKUP($J1331,'Type Chart'!$C$2:$T$20,19,false)*HLOOKUP($K1331,'Type Chart'!$C$2:$U$20,19,false)</f>
        <v>1</v>
      </c>
      <c r="AM1331" s="964" t="s">
        <v>1165</v>
      </c>
      <c r="AN1331" s="965" t="s">
        <v>1185</v>
      </c>
      <c r="AO1331" s="966" t="s">
        <v>1188</v>
      </c>
      <c r="AP1331" s="936"/>
      <c r="AQ1331" s="1245"/>
      <c r="AR1331" s="1245"/>
      <c r="AS1331" s="936"/>
    </row>
    <row r="1332" ht="15.75" customHeight="1">
      <c r="A1332" s="1099"/>
      <c r="B1332" s="948" t="s">
        <v>1189</v>
      </c>
      <c r="C1332" s="1197" t="s">
        <v>1190</v>
      </c>
      <c r="D1332" s="1197" t="s">
        <v>1190</v>
      </c>
      <c r="E1332" s="1147" t="s">
        <v>1190</v>
      </c>
      <c r="F1332" s="940"/>
      <c r="G1332" s="953"/>
      <c r="H1332" s="969"/>
      <c r="I1332" s="998" t="s">
        <v>4430</v>
      </c>
      <c r="J1332" s="958" t="s">
        <v>178</v>
      </c>
      <c r="K1332" s="1001" t="s">
        <v>128</v>
      </c>
      <c r="L1332" s="959">
        <v>40.0</v>
      </c>
      <c r="M1332" s="960">
        <v>45.0</v>
      </c>
      <c r="N1332" s="960">
        <v>35.0</v>
      </c>
      <c r="O1332" s="960">
        <v>30.0</v>
      </c>
      <c r="P1332" s="960">
        <v>40.0</v>
      </c>
      <c r="Q1332" s="960">
        <v>55.0</v>
      </c>
      <c r="R1332" s="960">
        <v>146.0</v>
      </c>
      <c r="S1332" s="960">
        <v>209.0</v>
      </c>
      <c r="T1332" s="960">
        <v>229.0</v>
      </c>
      <c r="U1332" s="960">
        <f t="array" ref="U1332">HLOOKUP($J1332,'Type Chart'!$C$2:$T$20,2,false)*HLOOKUP($K1332,'Type Chart'!$C$2:$U$20,2,false)</f>
        <v>1</v>
      </c>
      <c r="V1332" s="960">
        <f t="array" ref="V1332">HLOOKUP($J1332,'Type Chart'!$C$2:$T$20,3,false)*HLOOKUP($K1332,'Type Chart'!$C$2:$U$20,3,false)</f>
        <v>0.25</v>
      </c>
      <c r="W1332" s="960">
        <f t="array" ref="W1332">HLOOKUP($J1332,'Type Chart'!$C$2:$T$20,4,false)*HLOOKUP($K1332,'Type Chart'!$C$2:$U$20,4,false)</f>
        <v>1</v>
      </c>
      <c r="X1332" s="960">
        <f t="array" ref="X1332">HLOOKUP($J1332,'Type Chart'!$C$2:$T$20,5,false)*HLOOKUP($K1332,'Type Chart'!$C$2:$U$20,5,false)</f>
        <v>0.5</v>
      </c>
      <c r="Y1332" s="960">
        <f t="array" ref="Y1332">HLOOKUP($J1332,'Type Chart'!$C$2:$T$20,6,false)*HLOOKUP($K1332,'Type Chart'!$C$2:$U$20,6,false)</f>
        <v>0</v>
      </c>
      <c r="Z1332" s="960">
        <f t="array" ref="Z1332">HLOOKUP($J1332,'Type Chart'!$C$2:$T$20,7,false)*HLOOKUP($K1332,'Type Chart'!$C$2:$U$20,7,false)</f>
        <v>2</v>
      </c>
      <c r="AA1332" s="960">
        <f t="array" ref="AA1332">HLOOKUP($J1332,'Type Chart'!$C$2:$T$20,8,false)*HLOOKUP($K1332,'Type Chart'!$C$2:$U$20,8,false)</f>
        <v>0.25</v>
      </c>
      <c r="AB1332" s="960">
        <f t="array" ref="AB1332">HLOOKUP($J1332,'Type Chart'!$C$2:$T$20,9,false)*HLOOKUP($K1332,'Type Chart'!$C$2:$U$20,9,false)</f>
        <v>1</v>
      </c>
      <c r="AC1332" s="960">
        <f t="array" ref="AC1332">HLOOKUP($J1332,'Type Chart'!$C$2:$T$20,10,false)*HLOOKUP($K1332,'Type Chart'!$C$2:$U$20,10,false)</f>
        <v>1</v>
      </c>
      <c r="AD1332" s="960">
        <f t="array" ref="AD1332">HLOOKUP($J1332,'Type Chart'!$C$2:$T$20,11,false)*HLOOKUP($K1332,'Type Chart'!$C$2:$U$20,11,false)</f>
        <v>1</v>
      </c>
      <c r="AE1332" s="960">
        <f t="array" ref="AE1332">HLOOKUP($J1332,'Type Chart'!$C$2:$T$20,12,false)*HLOOKUP($K1332,'Type Chart'!$C$2:$U$20,12,false)</f>
        <v>1</v>
      </c>
      <c r="AF1332" s="960">
        <f t="array" ref="AF1332">HLOOKUP($J1332,'Type Chart'!$C$2:$T$20,13,false)*HLOOKUP($K1332,'Type Chart'!$C$2:$U$20,13,false)</f>
        <v>0.25</v>
      </c>
      <c r="AG1332" s="960">
        <f t="array" ref="AG1332">HLOOKUP($J1332,'Type Chart'!$C$2:$T$20,14,false)*HLOOKUP($K1332,'Type Chart'!$C$2:$U$20,14,false)</f>
        <v>2</v>
      </c>
      <c r="AH1332" s="960">
        <f t="array" ref="AH1332">HLOOKUP($J1332,'Type Chart'!$C$2:$T$20,15,false)*HLOOKUP($K1332,'Type Chart'!$C$2:$U$20,15,false)</f>
        <v>2</v>
      </c>
      <c r="AI1332" s="960">
        <f t="array" ref="AI1332">HLOOKUP($J1332,'Type Chart'!$C$2:$T$20,16,false)*HLOOKUP($K1332,'Type Chart'!$C$2:$U$20,16,false)</f>
        <v>2</v>
      </c>
      <c r="AJ1332" s="960">
        <f t="array" ref="AJ1332">HLOOKUP($J1332,'Type Chart'!$C$2:$T$20,17,false)*HLOOKUP($K1332,'Type Chart'!$C$2:$U$20,17,false)</f>
        <v>1</v>
      </c>
      <c r="AK1332" s="960">
        <f t="array" ref="AK1332">HLOOKUP($J1332,'Type Chart'!$C$2:$T$20,18,false)*HLOOKUP($K1332,'Type Chart'!$C$2:$U$20,18,false)</f>
        <v>1</v>
      </c>
      <c r="AL1332" s="960">
        <f t="array" ref="AL1332">HLOOKUP($J1332,'Type Chart'!$C$2:$T$20,19,false)*HLOOKUP($K1332,'Type Chart'!$C$2:$U$20,19,false)</f>
        <v>0.5</v>
      </c>
      <c r="AM1332" s="964" t="s">
        <v>1192</v>
      </c>
      <c r="AN1332" s="965"/>
      <c r="AO1332" s="966" t="s">
        <v>1193</v>
      </c>
      <c r="AP1332" s="936"/>
      <c r="AQ1332" s="1245"/>
      <c r="AR1332" s="1245"/>
      <c r="AS1332" s="936"/>
    </row>
    <row r="1333" ht="15.75" customHeight="1">
      <c r="A1333" s="1099"/>
      <c r="B1333" s="948" t="s">
        <v>1194</v>
      </c>
      <c r="C1333" s="1197" t="s">
        <v>1195</v>
      </c>
      <c r="D1333" s="1197" t="s">
        <v>1195</v>
      </c>
      <c r="E1333" s="1147" t="s">
        <v>1195</v>
      </c>
      <c r="F1333" s="940"/>
      <c r="G1333" s="953"/>
      <c r="H1333" s="969"/>
      <c r="I1333" s="998" t="s">
        <v>4431</v>
      </c>
      <c r="J1333" s="1209" t="s">
        <v>178</v>
      </c>
      <c r="K1333" s="1210" t="s">
        <v>128</v>
      </c>
      <c r="L1333" s="1200">
        <v>75.0</v>
      </c>
      <c r="M1333" s="1201">
        <v>80.0</v>
      </c>
      <c r="N1333" s="1201">
        <v>70.0</v>
      </c>
      <c r="O1333" s="1201">
        <v>65.0</v>
      </c>
      <c r="P1333" s="1201">
        <v>75.0</v>
      </c>
      <c r="Q1333" s="1201">
        <v>90.0</v>
      </c>
      <c r="R1333" s="960">
        <v>216.0</v>
      </c>
      <c r="S1333" s="960">
        <v>279.0</v>
      </c>
      <c r="T1333" s="960">
        <v>306.0</v>
      </c>
      <c r="U1333" s="960">
        <f t="array" ref="U1333">HLOOKUP($J1333,'Type Chart'!$C$2:$T$20,2,false)*HLOOKUP($K1333,'Type Chart'!$C$2:$U$20,2,false)</f>
        <v>1</v>
      </c>
      <c r="V1333" s="960">
        <f t="array" ref="V1333">HLOOKUP($J1333,'Type Chart'!$C$2:$T$20,3,false)*HLOOKUP($K1333,'Type Chart'!$C$2:$U$20,3,false)</f>
        <v>0.25</v>
      </c>
      <c r="W1333" s="960">
        <f t="array" ref="W1333">HLOOKUP($J1333,'Type Chart'!$C$2:$T$20,4,false)*HLOOKUP($K1333,'Type Chart'!$C$2:$U$20,4,false)</f>
        <v>1</v>
      </c>
      <c r="X1333" s="960">
        <f t="array" ref="X1333">HLOOKUP($J1333,'Type Chart'!$C$2:$T$20,5,false)*HLOOKUP($K1333,'Type Chart'!$C$2:$U$20,5,false)</f>
        <v>0.5</v>
      </c>
      <c r="Y1333" s="960">
        <f t="array" ref="Y1333">HLOOKUP($J1333,'Type Chart'!$C$2:$T$20,6,false)*HLOOKUP($K1333,'Type Chart'!$C$2:$U$20,6,false)</f>
        <v>0</v>
      </c>
      <c r="Z1333" s="960">
        <f t="array" ref="Z1333">HLOOKUP($J1333,'Type Chart'!$C$2:$T$20,7,false)*HLOOKUP($K1333,'Type Chart'!$C$2:$U$20,7,false)</f>
        <v>2</v>
      </c>
      <c r="AA1333" s="960">
        <f t="array" ref="AA1333">HLOOKUP($J1333,'Type Chart'!$C$2:$T$20,8,false)*HLOOKUP($K1333,'Type Chart'!$C$2:$U$20,8,false)</f>
        <v>0.25</v>
      </c>
      <c r="AB1333" s="960">
        <f t="array" ref="AB1333">HLOOKUP($J1333,'Type Chart'!$C$2:$T$20,9,false)*HLOOKUP($K1333,'Type Chart'!$C$2:$U$20,9,false)</f>
        <v>1</v>
      </c>
      <c r="AC1333" s="960">
        <f t="array" ref="AC1333">HLOOKUP($J1333,'Type Chart'!$C$2:$T$20,10,false)*HLOOKUP($K1333,'Type Chart'!$C$2:$U$20,10,false)</f>
        <v>1</v>
      </c>
      <c r="AD1333" s="960">
        <f t="array" ref="AD1333">HLOOKUP($J1333,'Type Chart'!$C$2:$T$20,11,false)*HLOOKUP($K1333,'Type Chart'!$C$2:$U$20,11,false)</f>
        <v>1</v>
      </c>
      <c r="AE1333" s="960">
        <f t="array" ref="AE1333">HLOOKUP($J1333,'Type Chart'!$C$2:$T$20,12,false)*HLOOKUP($K1333,'Type Chart'!$C$2:$U$20,12,false)</f>
        <v>1</v>
      </c>
      <c r="AF1333" s="960">
        <f t="array" ref="AF1333">HLOOKUP($J1333,'Type Chart'!$C$2:$T$20,13,false)*HLOOKUP($K1333,'Type Chart'!$C$2:$U$20,13,false)</f>
        <v>0.25</v>
      </c>
      <c r="AG1333" s="960">
        <f t="array" ref="AG1333">HLOOKUP($J1333,'Type Chart'!$C$2:$T$20,14,false)*HLOOKUP($K1333,'Type Chart'!$C$2:$U$20,14,false)</f>
        <v>2</v>
      </c>
      <c r="AH1333" s="960">
        <f t="array" ref="AH1333">HLOOKUP($J1333,'Type Chart'!$C$2:$T$20,15,false)*HLOOKUP($K1333,'Type Chart'!$C$2:$U$20,15,false)</f>
        <v>2</v>
      </c>
      <c r="AI1333" s="960">
        <f t="array" ref="AI1333">HLOOKUP($J1333,'Type Chart'!$C$2:$T$20,16,false)*HLOOKUP($K1333,'Type Chart'!$C$2:$U$20,16,false)</f>
        <v>2</v>
      </c>
      <c r="AJ1333" s="960">
        <f t="array" ref="AJ1333">HLOOKUP($J1333,'Type Chart'!$C$2:$T$20,17,false)*HLOOKUP($K1333,'Type Chart'!$C$2:$U$20,17,false)</f>
        <v>1</v>
      </c>
      <c r="AK1333" s="960">
        <f t="array" ref="AK1333">HLOOKUP($J1333,'Type Chart'!$C$2:$T$20,18,false)*HLOOKUP($K1333,'Type Chart'!$C$2:$U$20,18,false)</f>
        <v>1</v>
      </c>
      <c r="AL1333" s="960">
        <f t="array" ref="AL1333">HLOOKUP($J1333,'Type Chart'!$C$2:$T$20,19,false)*HLOOKUP($K1333,'Type Chart'!$C$2:$U$20,19,false)</f>
        <v>0.5</v>
      </c>
      <c r="AM1333" s="1145" t="s">
        <v>1192</v>
      </c>
      <c r="AN1333" s="965"/>
      <c r="AO1333" s="1146" t="s">
        <v>1193</v>
      </c>
      <c r="AP1333" s="936"/>
      <c r="AQ1333" s="1245"/>
      <c r="AR1333" s="1245"/>
      <c r="AS1333" s="936"/>
    </row>
    <row r="1334" ht="15.75" customHeight="1">
      <c r="A1334" s="1099"/>
      <c r="B1334" s="948" t="s">
        <v>1197</v>
      </c>
      <c r="C1334" s="1197" t="s">
        <v>1198</v>
      </c>
      <c r="D1334" s="1197" t="s">
        <v>1198</v>
      </c>
      <c r="E1334" s="1147" t="s">
        <v>1198</v>
      </c>
      <c r="F1334" s="940"/>
      <c r="G1334" s="953"/>
      <c r="H1334" s="969"/>
      <c r="I1334" s="998" t="s">
        <v>4432</v>
      </c>
      <c r="J1334" s="957" t="s">
        <v>209</v>
      </c>
      <c r="K1334" s="958" t="s">
        <v>178</v>
      </c>
      <c r="L1334" s="959">
        <v>45.0</v>
      </c>
      <c r="M1334" s="960">
        <v>50.0</v>
      </c>
      <c r="N1334" s="960">
        <v>55.0</v>
      </c>
      <c r="O1334" s="960">
        <v>75.0</v>
      </c>
      <c r="P1334" s="960">
        <v>65.0</v>
      </c>
      <c r="Q1334" s="960">
        <v>30.0</v>
      </c>
      <c r="R1334" s="960">
        <v>96.0</v>
      </c>
      <c r="S1334" s="960">
        <v>159.0</v>
      </c>
      <c r="T1334" s="960">
        <v>174.0</v>
      </c>
      <c r="U1334" s="960">
        <f t="array" ref="U1334">HLOOKUP($J1334,'Type Chart'!$C$2:$T$20,2,false)*HLOOKUP($K1334,'Type Chart'!$C$2:$U$20,2,false)</f>
        <v>1</v>
      </c>
      <c r="V1334" s="960">
        <f t="array" ref="V1334">HLOOKUP($J1334,'Type Chart'!$C$2:$T$20,3,false)*HLOOKUP($K1334,'Type Chart'!$C$2:$U$20,3,false)</f>
        <v>0.5</v>
      </c>
      <c r="W1334" s="960">
        <f t="array" ref="W1334">HLOOKUP($J1334,'Type Chart'!$C$2:$T$20,4,false)*HLOOKUP($K1334,'Type Chart'!$C$2:$U$20,4,false)</f>
        <v>2</v>
      </c>
      <c r="X1334" s="960">
        <f t="array" ref="X1334">HLOOKUP($J1334,'Type Chart'!$C$2:$T$20,5,false)*HLOOKUP($K1334,'Type Chart'!$C$2:$U$20,5,false)</f>
        <v>1</v>
      </c>
      <c r="Y1334" s="960">
        <f t="array" ref="Y1334">HLOOKUP($J1334,'Type Chart'!$C$2:$T$20,6,false)*HLOOKUP($K1334,'Type Chart'!$C$2:$U$20,6,false)</f>
        <v>1</v>
      </c>
      <c r="Z1334" s="960">
        <f t="array" ref="Z1334">HLOOKUP($J1334,'Type Chart'!$C$2:$T$20,7,false)*HLOOKUP($K1334,'Type Chart'!$C$2:$U$20,7,false)</f>
        <v>1</v>
      </c>
      <c r="AA1334" s="960">
        <f t="array" ref="AA1334">HLOOKUP($J1334,'Type Chart'!$C$2:$T$20,8,false)*HLOOKUP($K1334,'Type Chart'!$C$2:$U$20,8,false)</f>
        <v>1</v>
      </c>
      <c r="AB1334" s="960">
        <f t="array" ref="AB1334">HLOOKUP($J1334,'Type Chart'!$C$2:$T$20,9,false)*HLOOKUP($K1334,'Type Chart'!$C$2:$U$20,9,false)</f>
        <v>1</v>
      </c>
      <c r="AC1334" s="960">
        <f t="array" ref="AC1334">HLOOKUP($J1334,'Type Chart'!$C$2:$T$20,10,false)*HLOOKUP($K1334,'Type Chart'!$C$2:$U$20,10,false)</f>
        <v>1</v>
      </c>
      <c r="AD1334" s="960">
        <f t="array" ref="AD1334">HLOOKUP($J1334,'Type Chart'!$C$2:$T$20,11,false)*HLOOKUP($K1334,'Type Chart'!$C$2:$U$20,11,false)</f>
        <v>2</v>
      </c>
      <c r="AE1334" s="960">
        <f t="array" ref="AE1334">HLOOKUP($J1334,'Type Chart'!$C$2:$T$20,12,false)*HLOOKUP($K1334,'Type Chart'!$C$2:$U$20,12,false)</f>
        <v>0.5</v>
      </c>
      <c r="AF1334" s="960">
        <f t="array" ref="AF1334">HLOOKUP($J1334,'Type Chart'!$C$2:$T$20,13,false)*HLOOKUP($K1334,'Type Chart'!$C$2:$U$20,13,false)</f>
        <v>0.25</v>
      </c>
      <c r="AG1334" s="960">
        <f t="array" ref="AG1334">HLOOKUP($J1334,'Type Chart'!$C$2:$T$20,14,false)*HLOOKUP($K1334,'Type Chart'!$C$2:$U$20,14,false)</f>
        <v>0.5</v>
      </c>
      <c r="AH1334" s="960">
        <f t="array" ref="AH1334">HLOOKUP($J1334,'Type Chart'!$C$2:$T$20,15,false)*HLOOKUP($K1334,'Type Chart'!$C$2:$U$20,15,false)</f>
        <v>2</v>
      </c>
      <c r="AI1334" s="960">
        <f t="array" ref="AI1334">HLOOKUP($J1334,'Type Chart'!$C$2:$T$20,16,false)*HLOOKUP($K1334,'Type Chart'!$C$2:$U$20,16,false)</f>
        <v>2</v>
      </c>
      <c r="AJ1334" s="960">
        <f t="array" ref="AJ1334">HLOOKUP($J1334,'Type Chart'!$C$2:$T$20,17,false)*HLOOKUP($K1334,'Type Chart'!$C$2:$U$20,17,false)</f>
        <v>1</v>
      </c>
      <c r="AK1334" s="960">
        <f t="array" ref="AK1334">HLOOKUP($J1334,'Type Chart'!$C$2:$T$20,18,false)*HLOOKUP($K1334,'Type Chart'!$C$2:$U$20,18,false)</f>
        <v>1</v>
      </c>
      <c r="AL1334" s="960">
        <f t="array" ref="AL1334">HLOOKUP($J1334,'Type Chart'!$C$2:$T$20,19,false)*HLOOKUP($K1334,'Type Chart'!$C$2:$U$20,19,false)</f>
        <v>0.5</v>
      </c>
      <c r="AM1334" s="964" t="s">
        <v>524</v>
      </c>
      <c r="AN1334" s="965"/>
      <c r="AO1334" s="966" t="s">
        <v>988</v>
      </c>
      <c r="AP1334" s="936"/>
      <c r="AQ1334" s="1245"/>
      <c r="AR1334" s="1245"/>
      <c r="AS1334" s="936"/>
    </row>
    <row r="1335" ht="15.75" customHeight="1">
      <c r="A1335" s="1099"/>
      <c r="B1335" s="948" t="s">
        <v>1200</v>
      </c>
      <c r="C1335" s="1197" t="s">
        <v>1201</v>
      </c>
      <c r="D1335" s="1197" t="s">
        <v>1201</v>
      </c>
      <c r="E1335" s="1147" t="s">
        <v>1201</v>
      </c>
      <c r="F1335" s="940"/>
      <c r="G1335" s="953"/>
      <c r="H1335" s="969"/>
      <c r="I1335" s="998" t="s">
        <v>4433</v>
      </c>
      <c r="J1335" s="957" t="s">
        <v>209</v>
      </c>
      <c r="K1335" s="958" t="s">
        <v>178</v>
      </c>
      <c r="L1335" s="959">
        <v>60.0</v>
      </c>
      <c r="M1335" s="960">
        <v>65.0</v>
      </c>
      <c r="N1335" s="960">
        <v>70.0</v>
      </c>
      <c r="O1335" s="960">
        <v>85.0</v>
      </c>
      <c r="P1335" s="960">
        <v>75.0</v>
      </c>
      <c r="Q1335" s="960">
        <v>40.0</v>
      </c>
      <c r="R1335" s="960">
        <v>116.0</v>
      </c>
      <c r="S1335" s="960">
        <v>179.0</v>
      </c>
      <c r="T1335" s="960">
        <v>196.0</v>
      </c>
      <c r="U1335" s="960">
        <f t="array" ref="U1335">HLOOKUP($J1335,'Type Chart'!$C$2:$T$20,2,false)*HLOOKUP($K1335,'Type Chart'!$C$2:$U$20,2,false)</f>
        <v>1</v>
      </c>
      <c r="V1335" s="960">
        <f t="array" ref="V1335">HLOOKUP($J1335,'Type Chart'!$C$2:$T$20,3,false)*HLOOKUP($K1335,'Type Chart'!$C$2:$U$20,3,false)</f>
        <v>0.5</v>
      </c>
      <c r="W1335" s="960">
        <f t="array" ref="W1335">HLOOKUP($J1335,'Type Chart'!$C$2:$T$20,4,false)*HLOOKUP($K1335,'Type Chart'!$C$2:$U$20,4,false)</f>
        <v>2</v>
      </c>
      <c r="X1335" s="960">
        <f t="array" ref="X1335">HLOOKUP($J1335,'Type Chart'!$C$2:$T$20,5,false)*HLOOKUP($K1335,'Type Chart'!$C$2:$U$20,5,false)</f>
        <v>1</v>
      </c>
      <c r="Y1335" s="960">
        <f t="array" ref="Y1335">HLOOKUP($J1335,'Type Chart'!$C$2:$T$20,6,false)*HLOOKUP($K1335,'Type Chart'!$C$2:$U$20,6,false)</f>
        <v>1</v>
      </c>
      <c r="Z1335" s="960">
        <f t="array" ref="Z1335">HLOOKUP($J1335,'Type Chart'!$C$2:$T$20,7,false)*HLOOKUP($K1335,'Type Chart'!$C$2:$U$20,7,false)</f>
        <v>1</v>
      </c>
      <c r="AA1335" s="960">
        <f t="array" ref="AA1335">HLOOKUP($J1335,'Type Chart'!$C$2:$T$20,8,false)*HLOOKUP($K1335,'Type Chart'!$C$2:$U$20,8,false)</f>
        <v>1</v>
      </c>
      <c r="AB1335" s="960">
        <f t="array" ref="AB1335">HLOOKUP($J1335,'Type Chart'!$C$2:$T$20,9,false)*HLOOKUP($K1335,'Type Chart'!$C$2:$U$20,9,false)</f>
        <v>1</v>
      </c>
      <c r="AC1335" s="960">
        <f t="array" ref="AC1335">HLOOKUP($J1335,'Type Chart'!$C$2:$T$20,10,false)*HLOOKUP($K1335,'Type Chart'!$C$2:$U$20,10,false)</f>
        <v>1</v>
      </c>
      <c r="AD1335" s="960">
        <f t="array" ref="AD1335">HLOOKUP($J1335,'Type Chart'!$C$2:$T$20,11,false)*HLOOKUP($K1335,'Type Chart'!$C$2:$U$20,11,false)</f>
        <v>2</v>
      </c>
      <c r="AE1335" s="960">
        <f t="array" ref="AE1335">HLOOKUP($J1335,'Type Chart'!$C$2:$T$20,12,false)*HLOOKUP($K1335,'Type Chart'!$C$2:$U$20,12,false)</f>
        <v>0.5</v>
      </c>
      <c r="AF1335" s="960">
        <f t="array" ref="AF1335">HLOOKUP($J1335,'Type Chart'!$C$2:$T$20,13,false)*HLOOKUP($K1335,'Type Chart'!$C$2:$U$20,13,false)</f>
        <v>0.25</v>
      </c>
      <c r="AG1335" s="960">
        <f t="array" ref="AG1335">HLOOKUP($J1335,'Type Chart'!$C$2:$T$20,14,false)*HLOOKUP($K1335,'Type Chart'!$C$2:$U$20,14,false)</f>
        <v>0.5</v>
      </c>
      <c r="AH1335" s="960">
        <f t="array" ref="AH1335">HLOOKUP($J1335,'Type Chart'!$C$2:$T$20,15,false)*HLOOKUP($K1335,'Type Chart'!$C$2:$U$20,15,false)</f>
        <v>2</v>
      </c>
      <c r="AI1335" s="960">
        <f t="array" ref="AI1335">HLOOKUP($J1335,'Type Chart'!$C$2:$T$20,16,false)*HLOOKUP($K1335,'Type Chart'!$C$2:$U$20,16,false)</f>
        <v>2</v>
      </c>
      <c r="AJ1335" s="960">
        <f t="array" ref="AJ1335">HLOOKUP($J1335,'Type Chart'!$C$2:$T$20,17,false)*HLOOKUP($K1335,'Type Chart'!$C$2:$U$20,17,false)</f>
        <v>1</v>
      </c>
      <c r="AK1335" s="960">
        <f t="array" ref="AK1335">HLOOKUP($J1335,'Type Chart'!$C$2:$T$20,18,false)*HLOOKUP($K1335,'Type Chart'!$C$2:$U$20,18,false)</f>
        <v>1</v>
      </c>
      <c r="AL1335" s="960">
        <f t="array" ref="AL1335">HLOOKUP($J1335,'Type Chart'!$C$2:$T$20,19,false)*HLOOKUP($K1335,'Type Chart'!$C$2:$U$20,19,false)</f>
        <v>0.5</v>
      </c>
      <c r="AM1335" s="964" t="s">
        <v>524</v>
      </c>
      <c r="AN1335" s="965"/>
      <c r="AO1335" s="966" t="s">
        <v>1203</v>
      </c>
      <c r="AP1335" s="936"/>
      <c r="AQ1335" s="1245"/>
      <c r="AR1335" s="1245"/>
      <c r="AS1335" s="936"/>
    </row>
    <row r="1336" ht="15.75" customHeight="1">
      <c r="A1336" s="1099"/>
      <c r="B1336" s="948" t="s">
        <v>1204</v>
      </c>
      <c r="C1336" s="1197" t="s">
        <v>1205</v>
      </c>
      <c r="D1336" s="1197" t="s">
        <v>1205</v>
      </c>
      <c r="E1336" s="1147" t="s">
        <v>1205</v>
      </c>
      <c r="F1336" s="940"/>
      <c r="G1336" s="953"/>
      <c r="H1336" s="969"/>
      <c r="I1336" s="998" t="s">
        <v>4434</v>
      </c>
      <c r="J1336" s="957" t="s">
        <v>209</v>
      </c>
      <c r="K1336" s="958" t="s">
        <v>178</v>
      </c>
      <c r="L1336" s="959">
        <v>75.0</v>
      </c>
      <c r="M1336" s="960">
        <v>80.0</v>
      </c>
      <c r="N1336" s="960">
        <v>85.0</v>
      </c>
      <c r="O1336" s="960">
        <v>110.0</v>
      </c>
      <c r="P1336" s="960">
        <v>90.0</v>
      </c>
      <c r="Q1336" s="960">
        <v>50.0</v>
      </c>
      <c r="R1336" s="960">
        <v>136.0</v>
      </c>
      <c r="S1336" s="960">
        <v>199.0</v>
      </c>
      <c r="T1336" s="960">
        <v>218.0</v>
      </c>
      <c r="U1336" s="960">
        <f t="array" ref="U1336">HLOOKUP($J1336,'Type Chart'!$C$2:$T$20,2,false)*HLOOKUP($K1336,'Type Chart'!$C$2:$U$20,2,false)</f>
        <v>1</v>
      </c>
      <c r="V1336" s="960">
        <f t="array" ref="V1336">HLOOKUP($J1336,'Type Chart'!$C$2:$T$20,3,false)*HLOOKUP($K1336,'Type Chart'!$C$2:$U$20,3,false)</f>
        <v>0.5</v>
      </c>
      <c r="W1336" s="960">
        <f t="array" ref="W1336">HLOOKUP($J1336,'Type Chart'!$C$2:$T$20,4,false)*HLOOKUP($K1336,'Type Chart'!$C$2:$U$20,4,false)</f>
        <v>2</v>
      </c>
      <c r="X1336" s="960">
        <f t="array" ref="X1336">HLOOKUP($J1336,'Type Chart'!$C$2:$T$20,5,false)*HLOOKUP($K1336,'Type Chart'!$C$2:$U$20,5,false)</f>
        <v>1</v>
      </c>
      <c r="Y1336" s="960">
        <f t="array" ref="Y1336">HLOOKUP($J1336,'Type Chart'!$C$2:$T$20,6,false)*HLOOKUP($K1336,'Type Chart'!$C$2:$U$20,6,false)</f>
        <v>1</v>
      </c>
      <c r="Z1336" s="960">
        <f t="array" ref="Z1336">HLOOKUP($J1336,'Type Chart'!$C$2:$T$20,7,false)*HLOOKUP($K1336,'Type Chart'!$C$2:$U$20,7,false)</f>
        <v>1</v>
      </c>
      <c r="AA1336" s="960">
        <f t="array" ref="AA1336">HLOOKUP($J1336,'Type Chart'!$C$2:$T$20,8,false)*HLOOKUP($K1336,'Type Chart'!$C$2:$U$20,8,false)</f>
        <v>1</v>
      </c>
      <c r="AB1336" s="960">
        <f t="array" ref="AB1336">HLOOKUP($J1336,'Type Chart'!$C$2:$T$20,9,false)*HLOOKUP($K1336,'Type Chart'!$C$2:$U$20,9,false)</f>
        <v>1</v>
      </c>
      <c r="AC1336" s="960">
        <f t="array" ref="AC1336">HLOOKUP($J1336,'Type Chart'!$C$2:$T$20,10,false)*HLOOKUP($K1336,'Type Chart'!$C$2:$U$20,10,false)</f>
        <v>1</v>
      </c>
      <c r="AD1336" s="960">
        <f t="array" ref="AD1336">HLOOKUP($J1336,'Type Chart'!$C$2:$T$20,11,false)*HLOOKUP($K1336,'Type Chart'!$C$2:$U$20,11,false)</f>
        <v>2</v>
      </c>
      <c r="AE1336" s="960">
        <f t="array" ref="AE1336">HLOOKUP($J1336,'Type Chart'!$C$2:$T$20,12,false)*HLOOKUP($K1336,'Type Chart'!$C$2:$U$20,12,false)</f>
        <v>0.5</v>
      </c>
      <c r="AF1336" s="960">
        <f t="array" ref="AF1336">HLOOKUP($J1336,'Type Chart'!$C$2:$T$20,13,false)*HLOOKUP($K1336,'Type Chart'!$C$2:$U$20,13,false)</f>
        <v>0.25</v>
      </c>
      <c r="AG1336" s="960">
        <f t="array" ref="AG1336">HLOOKUP($J1336,'Type Chart'!$C$2:$T$20,14,false)*HLOOKUP($K1336,'Type Chart'!$C$2:$U$20,14,false)</f>
        <v>0.5</v>
      </c>
      <c r="AH1336" s="960">
        <f t="array" ref="AH1336">HLOOKUP($J1336,'Type Chart'!$C$2:$T$20,15,false)*HLOOKUP($K1336,'Type Chart'!$C$2:$U$20,15,false)</f>
        <v>2</v>
      </c>
      <c r="AI1336" s="960">
        <f t="array" ref="AI1336">HLOOKUP($J1336,'Type Chart'!$C$2:$T$20,16,false)*HLOOKUP($K1336,'Type Chart'!$C$2:$U$20,16,false)</f>
        <v>2</v>
      </c>
      <c r="AJ1336" s="960">
        <f t="array" ref="AJ1336">HLOOKUP($J1336,'Type Chart'!$C$2:$T$20,17,false)*HLOOKUP($K1336,'Type Chart'!$C$2:$U$20,17,false)</f>
        <v>1</v>
      </c>
      <c r="AK1336" s="960">
        <f t="array" ref="AK1336">HLOOKUP($J1336,'Type Chart'!$C$2:$T$20,18,false)*HLOOKUP($K1336,'Type Chart'!$C$2:$U$20,18,false)</f>
        <v>1</v>
      </c>
      <c r="AL1336" s="960">
        <f t="array" ref="AL1336">HLOOKUP($J1336,'Type Chart'!$C$2:$T$20,19,false)*HLOOKUP($K1336,'Type Chart'!$C$2:$U$20,19,false)</f>
        <v>0.5</v>
      </c>
      <c r="AM1336" s="1145" t="s">
        <v>524</v>
      </c>
      <c r="AN1336" s="965"/>
      <c r="AO1336" s="1146" t="s">
        <v>1206</v>
      </c>
      <c r="AP1336" s="936"/>
      <c r="AQ1336" s="1245"/>
      <c r="AR1336" s="1245"/>
      <c r="AS1336" s="936"/>
    </row>
    <row r="1337" ht="15.75" customHeight="1">
      <c r="A1337" s="1099"/>
      <c r="B1337" s="948" t="s">
        <v>1207</v>
      </c>
      <c r="C1337" s="1197" t="s">
        <v>1208</v>
      </c>
      <c r="D1337" s="1197" t="s">
        <v>1208</v>
      </c>
      <c r="E1337" s="1147" t="s">
        <v>1208</v>
      </c>
      <c r="F1337" s="940"/>
      <c r="G1337" s="953"/>
      <c r="H1337" s="969"/>
      <c r="I1337" s="998" t="s">
        <v>4435</v>
      </c>
      <c r="J1337" s="1180" t="s">
        <v>343</v>
      </c>
      <c r="K1337" s="957" t="s">
        <v>209</v>
      </c>
      <c r="L1337" s="959">
        <v>35.0</v>
      </c>
      <c r="M1337" s="960">
        <v>70.0</v>
      </c>
      <c r="N1337" s="960">
        <v>55.0</v>
      </c>
      <c r="O1337" s="960">
        <v>45.0</v>
      </c>
      <c r="P1337" s="960">
        <v>55.0</v>
      </c>
      <c r="Q1337" s="960">
        <v>25.0</v>
      </c>
      <c r="R1337" s="960">
        <v>86.0</v>
      </c>
      <c r="S1337" s="960">
        <v>149.0</v>
      </c>
      <c r="T1337" s="960">
        <v>163.0</v>
      </c>
      <c r="U1337" s="960">
        <f t="array" ref="U1337">HLOOKUP($J1337,'Type Chart'!$C$2:$T$20,2,false)*HLOOKUP($K1337,'Type Chart'!$C$2:$U$20,2,false)</f>
        <v>1</v>
      </c>
      <c r="V1337" s="960">
        <f t="array" ref="V1337">HLOOKUP($J1337,'Type Chart'!$C$2:$T$20,3,false)*HLOOKUP($K1337,'Type Chart'!$C$2:$U$20,3,false)</f>
        <v>0.5</v>
      </c>
      <c r="W1337" s="960">
        <f t="array" ref="W1337">HLOOKUP($J1337,'Type Chart'!$C$2:$T$20,4,false)*HLOOKUP($K1337,'Type Chart'!$C$2:$U$20,4,false)</f>
        <v>4</v>
      </c>
      <c r="X1337" s="960">
        <f t="array" ref="X1337">HLOOKUP($J1337,'Type Chart'!$C$2:$T$20,5,false)*HLOOKUP($K1337,'Type Chart'!$C$2:$U$20,5,false)</f>
        <v>2</v>
      </c>
      <c r="Y1337" s="960">
        <f t="array" ref="Y1337">HLOOKUP($J1337,'Type Chart'!$C$2:$T$20,6,false)*HLOOKUP($K1337,'Type Chart'!$C$2:$U$20,6,false)</f>
        <v>0.25</v>
      </c>
      <c r="Z1337" s="960">
        <f t="array" ref="Z1337">HLOOKUP($J1337,'Type Chart'!$C$2:$T$20,7,false)*HLOOKUP($K1337,'Type Chart'!$C$2:$U$20,7,false)</f>
        <v>2</v>
      </c>
      <c r="AA1337" s="960">
        <f t="array" ref="AA1337">HLOOKUP($J1337,'Type Chart'!$C$2:$T$20,8,false)*HLOOKUP($K1337,'Type Chart'!$C$2:$U$20,8,false)</f>
        <v>2</v>
      </c>
      <c r="AB1337" s="960">
        <f t="array" ref="AB1337">HLOOKUP($J1337,'Type Chart'!$C$2:$T$20,9,false)*HLOOKUP($K1337,'Type Chart'!$C$2:$U$20,9,false)</f>
        <v>1</v>
      </c>
      <c r="AC1337" s="960">
        <f t="array" ref="AC1337">HLOOKUP($J1337,'Type Chart'!$C$2:$T$20,10,false)*HLOOKUP($K1337,'Type Chart'!$C$2:$U$20,10,false)</f>
        <v>1</v>
      </c>
      <c r="AD1337" s="960">
        <f t="array" ref="AD1337">HLOOKUP($J1337,'Type Chart'!$C$2:$T$20,11,false)*HLOOKUP($K1337,'Type Chart'!$C$2:$U$20,11,false)</f>
        <v>4</v>
      </c>
      <c r="AE1337" s="960">
        <f t="array" ref="AE1337">HLOOKUP($J1337,'Type Chart'!$C$2:$T$20,12,false)*HLOOKUP($K1337,'Type Chart'!$C$2:$U$20,12,false)</f>
        <v>0.5</v>
      </c>
      <c r="AF1337" s="960">
        <f t="array" ref="AF1337">HLOOKUP($J1337,'Type Chart'!$C$2:$T$20,13,false)*HLOOKUP($K1337,'Type Chart'!$C$2:$U$20,13,false)</f>
        <v>0.25</v>
      </c>
      <c r="AG1337" s="960">
        <f t="array" ref="AG1337">HLOOKUP($J1337,'Type Chart'!$C$2:$T$20,14,false)*HLOOKUP($K1337,'Type Chart'!$C$2:$U$20,14,false)</f>
        <v>0.5</v>
      </c>
      <c r="AH1337" s="960">
        <f t="array" ref="AH1337">HLOOKUP($J1337,'Type Chart'!$C$2:$T$20,15,false)*HLOOKUP($K1337,'Type Chart'!$C$2:$U$20,15,false)</f>
        <v>1</v>
      </c>
      <c r="AI1337" s="960">
        <f t="array" ref="AI1337">HLOOKUP($J1337,'Type Chart'!$C$2:$T$20,16,false)*HLOOKUP($K1337,'Type Chart'!$C$2:$U$20,16,false)</f>
        <v>2</v>
      </c>
      <c r="AJ1337" s="960">
        <f t="array" ref="AJ1337">HLOOKUP($J1337,'Type Chart'!$C$2:$T$20,17,false)*HLOOKUP($K1337,'Type Chart'!$C$2:$U$20,17,false)</f>
        <v>1</v>
      </c>
      <c r="AK1337" s="960">
        <f t="array" ref="AK1337">HLOOKUP($J1337,'Type Chart'!$C$2:$T$20,18,false)*HLOOKUP($K1337,'Type Chart'!$C$2:$U$20,18,false)</f>
        <v>1</v>
      </c>
      <c r="AL1337" s="960">
        <f t="array" ref="AL1337">HLOOKUP($J1337,'Type Chart'!$C$2:$T$20,19,false)*HLOOKUP($K1337,'Type Chart'!$C$2:$U$20,19,false)</f>
        <v>1</v>
      </c>
      <c r="AM1337" s="964" t="s">
        <v>1206</v>
      </c>
      <c r="AN1337" s="965" t="s">
        <v>1210</v>
      </c>
      <c r="AO1337" s="966" t="s">
        <v>1211</v>
      </c>
      <c r="AP1337" s="936"/>
      <c r="AQ1337" s="1245"/>
      <c r="AR1337" s="1245"/>
      <c r="AS1337" s="936"/>
    </row>
    <row r="1338" ht="15.75" customHeight="1">
      <c r="A1338" s="1099"/>
      <c r="B1338" s="948" t="s">
        <v>1212</v>
      </c>
      <c r="C1338" s="1197" t="s">
        <v>1213</v>
      </c>
      <c r="D1338" s="1197" t="s">
        <v>1213</v>
      </c>
      <c r="E1338" s="1147" t="s">
        <v>1213</v>
      </c>
      <c r="F1338" s="940"/>
      <c r="G1338" s="953"/>
      <c r="H1338" s="969"/>
      <c r="I1338" s="998" t="s">
        <v>4436</v>
      </c>
      <c r="J1338" s="1180" t="s">
        <v>343</v>
      </c>
      <c r="K1338" s="957" t="s">
        <v>209</v>
      </c>
      <c r="L1338" s="959">
        <v>60.0</v>
      </c>
      <c r="M1338" s="960">
        <v>95.0</v>
      </c>
      <c r="N1338" s="960">
        <v>80.0</v>
      </c>
      <c r="O1338" s="960">
        <v>60.0</v>
      </c>
      <c r="P1338" s="960">
        <v>80.0</v>
      </c>
      <c r="Q1338" s="960">
        <v>30.0</v>
      </c>
      <c r="R1338" s="960">
        <v>96.0</v>
      </c>
      <c r="S1338" s="960">
        <v>159.0</v>
      </c>
      <c r="T1338" s="960">
        <v>174.0</v>
      </c>
      <c r="U1338" s="960">
        <f t="array" ref="U1338">HLOOKUP($J1338,'Type Chart'!$C$2:$T$20,2,false)*HLOOKUP($K1338,'Type Chart'!$C$2:$U$20,2,false)</f>
        <v>1</v>
      </c>
      <c r="V1338" s="960">
        <f t="array" ref="V1338">HLOOKUP($J1338,'Type Chart'!$C$2:$T$20,3,false)*HLOOKUP($K1338,'Type Chart'!$C$2:$U$20,3,false)</f>
        <v>0.5</v>
      </c>
      <c r="W1338" s="960">
        <f t="array" ref="W1338">HLOOKUP($J1338,'Type Chart'!$C$2:$T$20,4,false)*HLOOKUP($K1338,'Type Chart'!$C$2:$U$20,4,false)</f>
        <v>4</v>
      </c>
      <c r="X1338" s="960">
        <f t="array" ref="X1338">HLOOKUP($J1338,'Type Chart'!$C$2:$T$20,5,false)*HLOOKUP($K1338,'Type Chart'!$C$2:$U$20,5,false)</f>
        <v>2</v>
      </c>
      <c r="Y1338" s="960">
        <f t="array" ref="Y1338">HLOOKUP($J1338,'Type Chart'!$C$2:$T$20,6,false)*HLOOKUP($K1338,'Type Chart'!$C$2:$U$20,6,false)</f>
        <v>0.25</v>
      </c>
      <c r="Z1338" s="960">
        <f t="array" ref="Z1338">HLOOKUP($J1338,'Type Chart'!$C$2:$T$20,7,false)*HLOOKUP($K1338,'Type Chart'!$C$2:$U$20,7,false)</f>
        <v>2</v>
      </c>
      <c r="AA1338" s="960">
        <f t="array" ref="AA1338">HLOOKUP($J1338,'Type Chart'!$C$2:$T$20,8,false)*HLOOKUP($K1338,'Type Chart'!$C$2:$U$20,8,false)</f>
        <v>2</v>
      </c>
      <c r="AB1338" s="960">
        <f t="array" ref="AB1338">HLOOKUP($J1338,'Type Chart'!$C$2:$T$20,9,false)*HLOOKUP($K1338,'Type Chart'!$C$2:$U$20,9,false)</f>
        <v>1</v>
      </c>
      <c r="AC1338" s="960">
        <f t="array" ref="AC1338">HLOOKUP($J1338,'Type Chart'!$C$2:$T$20,10,false)*HLOOKUP($K1338,'Type Chart'!$C$2:$U$20,10,false)</f>
        <v>1</v>
      </c>
      <c r="AD1338" s="960">
        <f t="array" ref="AD1338">HLOOKUP($J1338,'Type Chart'!$C$2:$T$20,11,false)*HLOOKUP($K1338,'Type Chart'!$C$2:$U$20,11,false)</f>
        <v>4</v>
      </c>
      <c r="AE1338" s="960">
        <f t="array" ref="AE1338">HLOOKUP($J1338,'Type Chart'!$C$2:$T$20,12,false)*HLOOKUP($K1338,'Type Chart'!$C$2:$U$20,12,false)</f>
        <v>0.5</v>
      </c>
      <c r="AF1338" s="960">
        <f t="array" ref="AF1338">HLOOKUP($J1338,'Type Chart'!$C$2:$T$20,13,false)*HLOOKUP($K1338,'Type Chart'!$C$2:$U$20,13,false)</f>
        <v>0.25</v>
      </c>
      <c r="AG1338" s="960">
        <f t="array" ref="AG1338">HLOOKUP($J1338,'Type Chart'!$C$2:$T$20,14,false)*HLOOKUP($K1338,'Type Chart'!$C$2:$U$20,14,false)</f>
        <v>0.5</v>
      </c>
      <c r="AH1338" s="960">
        <f t="array" ref="AH1338">HLOOKUP($J1338,'Type Chart'!$C$2:$T$20,15,false)*HLOOKUP($K1338,'Type Chart'!$C$2:$U$20,15,false)</f>
        <v>1</v>
      </c>
      <c r="AI1338" s="960">
        <f t="array" ref="AI1338">HLOOKUP($J1338,'Type Chart'!$C$2:$T$20,16,false)*HLOOKUP($K1338,'Type Chart'!$C$2:$U$20,16,false)</f>
        <v>2</v>
      </c>
      <c r="AJ1338" s="960">
        <f t="array" ref="AJ1338">HLOOKUP($J1338,'Type Chart'!$C$2:$T$20,17,false)*HLOOKUP($K1338,'Type Chart'!$C$2:$U$20,17,false)</f>
        <v>1</v>
      </c>
      <c r="AK1338" s="960">
        <f t="array" ref="AK1338">HLOOKUP($J1338,'Type Chart'!$C$2:$T$20,18,false)*HLOOKUP($K1338,'Type Chart'!$C$2:$U$20,18,false)</f>
        <v>1</v>
      </c>
      <c r="AL1338" s="960">
        <f t="array" ref="AL1338">HLOOKUP($J1338,'Type Chart'!$C$2:$T$20,19,false)*HLOOKUP($K1338,'Type Chart'!$C$2:$U$20,19,false)</f>
        <v>1</v>
      </c>
      <c r="AM1338" s="964" t="s">
        <v>1206</v>
      </c>
      <c r="AN1338" s="965" t="s">
        <v>1210</v>
      </c>
      <c r="AO1338" s="966" t="s">
        <v>1211</v>
      </c>
      <c r="AP1338" s="936"/>
      <c r="AQ1338" s="1245"/>
      <c r="AR1338" s="1245"/>
      <c r="AS1338" s="936"/>
    </row>
    <row r="1339" ht="15.75" customHeight="1">
      <c r="A1339" s="1099"/>
      <c r="B1339" s="948" t="s">
        <v>1215</v>
      </c>
      <c r="C1339" s="1197" t="s">
        <v>1216</v>
      </c>
      <c r="D1339" s="1197" t="s">
        <v>1216</v>
      </c>
      <c r="E1339" s="1147" t="s">
        <v>1216</v>
      </c>
      <c r="F1339" s="940"/>
      <c r="G1339" s="953"/>
      <c r="H1339" s="969"/>
      <c r="I1339" s="998" t="s">
        <v>4437</v>
      </c>
      <c r="J1339" s="1180" t="s">
        <v>343</v>
      </c>
      <c r="K1339" s="958" t="s">
        <v>178</v>
      </c>
      <c r="L1339" s="959">
        <v>60.0</v>
      </c>
      <c r="M1339" s="960">
        <v>55.0</v>
      </c>
      <c r="N1339" s="960">
        <v>50.0</v>
      </c>
      <c r="O1339" s="960">
        <v>40.0</v>
      </c>
      <c r="P1339" s="960">
        <v>55.0</v>
      </c>
      <c r="Q1339" s="960">
        <v>45.0</v>
      </c>
      <c r="R1339" s="960">
        <v>126.0</v>
      </c>
      <c r="S1339" s="960">
        <v>189.0</v>
      </c>
      <c r="T1339" s="960">
        <v>207.0</v>
      </c>
      <c r="U1339" s="960">
        <f t="array" ref="U1339">HLOOKUP($J1339,'Type Chart'!$C$2:$T$20,2,false)*HLOOKUP($K1339,'Type Chart'!$C$2:$U$20,2,false)</f>
        <v>1</v>
      </c>
      <c r="V1339" s="960">
        <f t="array" ref="V1339">HLOOKUP($J1339,'Type Chart'!$C$2:$T$20,3,false)*HLOOKUP($K1339,'Type Chart'!$C$2:$U$20,3,false)</f>
        <v>0.25</v>
      </c>
      <c r="W1339" s="960">
        <f t="array" ref="W1339">HLOOKUP($J1339,'Type Chart'!$C$2:$T$20,4,false)*HLOOKUP($K1339,'Type Chart'!$C$2:$U$20,4,false)</f>
        <v>2</v>
      </c>
      <c r="X1339" s="960">
        <f t="array" ref="X1339">HLOOKUP($J1339,'Type Chart'!$C$2:$T$20,5,false)*HLOOKUP($K1339,'Type Chart'!$C$2:$U$20,5,false)</f>
        <v>0.5</v>
      </c>
      <c r="Y1339" s="960">
        <f t="array" ref="Y1339">HLOOKUP($J1339,'Type Chart'!$C$2:$T$20,6,false)*HLOOKUP($K1339,'Type Chart'!$C$2:$U$20,6,false)</f>
        <v>1</v>
      </c>
      <c r="Z1339" s="960">
        <f t="array" ref="Z1339">HLOOKUP($J1339,'Type Chart'!$C$2:$T$20,7,false)*HLOOKUP($K1339,'Type Chart'!$C$2:$U$20,7,false)</f>
        <v>2</v>
      </c>
      <c r="AA1339" s="960">
        <f t="array" ref="AA1339">HLOOKUP($J1339,'Type Chart'!$C$2:$T$20,8,false)*HLOOKUP($K1339,'Type Chart'!$C$2:$U$20,8,false)</f>
        <v>0.5</v>
      </c>
      <c r="AB1339" s="960">
        <f t="array" ref="AB1339">HLOOKUP($J1339,'Type Chart'!$C$2:$T$20,9,false)*HLOOKUP($K1339,'Type Chart'!$C$2:$U$20,9,false)</f>
        <v>1</v>
      </c>
      <c r="AC1339" s="960">
        <f t="array" ref="AC1339">HLOOKUP($J1339,'Type Chart'!$C$2:$T$20,10,false)*HLOOKUP($K1339,'Type Chart'!$C$2:$U$20,10,false)</f>
        <v>1</v>
      </c>
      <c r="AD1339" s="960">
        <f t="array" ref="AD1339">HLOOKUP($J1339,'Type Chart'!$C$2:$T$20,11,false)*HLOOKUP($K1339,'Type Chart'!$C$2:$U$20,11,false)</f>
        <v>2</v>
      </c>
      <c r="AE1339" s="960">
        <f t="array" ref="AE1339">HLOOKUP($J1339,'Type Chart'!$C$2:$T$20,12,false)*HLOOKUP($K1339,'Type Chart'!$C$2:$U$20,12,false)</f>
        <v>1</v>
      </c>
      <c r="AF1339" s="960">
        <f t="array" ref="AF1339">HLOOKUP($J1339,'Type Chart'!$C$2:$T$20,13,false)*HLOOKUP($K1339,'Type Chart'!$C$2:$U$20,13,false)</f>
        <v>0.25</v>
      </c>
      <c r="AG1339" s="960">
        <f t="array" ref="AG1339">HLOOKUP($J1339,'Type Chart'!$C$2:$T$20,14,false)*HLOOKUP($K1339,'Type Chart'!$C$2:$U$20,14,false)</f>
        <v>1</v>
      </c>
      <c r="AH1339" s="960">
        <f t="array" ref="AH1339">HLOOKUP($J1339,'Type Chart'!$C$2:$T$20,15,false)*HLOOKUP($K1339,'Type Chart'!$C$2:$U$20,15,false)</f>
        <v>2</v>
      </c>
      <c r="AI1339" s="960">
        <f t="array" ref="AI1339">HLOOKUP($J1339,'Type Chart'!$C$2:$T$20,16,false)*HLOOKUP($K1339,'Type Chart'!$C$2:$U$20,16,false)</f>
        <v>1</v>
      </c>
      <c r="AJ1339" s="960">
        <f t="array" ref="AJ1339">HLOOKUP($J1339,'Type Chart'!$C$2:$T$20,17,false)*HLOOKUP($K1339,'Type Chart'!$C$2:$U$20,17,false)</f>
        <v>1</v>
      </c>
      <c r="AK1339" s="960">
        <f t="array" ref="AK1339">HLOOKUP($J1339,'Type Chart'!$C$2:$T$20,18,false)*HLOOKUP($K1339,'Type Chart'!$C$2:$U$20,18,false)</f>
        <v>1</v>
      </c>
      <c r="AL1339" s="960">
        <f t="array" ref="AL1339">HLOOKUP($J1339,'Type Chart'!$C$2:$T$20,19,false)*HLOOKUP($K1339,'Type Chart'!$C$2:$U$20,19,false)</f>
        <v>0.5</v>
      </c>
      <c r="AM1339" s="964" t="s">
        <v>1002</v>
      </c>
      <c r="AN1339" s="965" t="s">
        <v>1003</v>
      </c>
      <c r="AO1339" s="966" t="s">
        <v>988</v>
      </c>
      <c r="AP1339" s="936"/>
      <c r="AQ1339" s="1245"/>
      <c r="AR1339" s="1245"/>
      <c r="AS1339" s="936"/>
    </row>
    <row r="1340" ht="15.75" customHeight="1">
      <c r="A1340" s="1099"/>
      <c r="B1340" s="948" t="s">
        <v>1218</v>
      </c>
      <c r="C1340" s="1197" t="s">
        <v>1219</v>
      </c>
      <c r="D1340" s="1197" t="s">
        <v>1219</v>
      </c>
      <c r="E1340" s="1147" t="s">
        <v>1219</v>
      </c>
      <c r="F1340" s="940"/>
      <c r="G1340" s="953"/>
      <c r="H1340" s="969"/>
      <c r="I1340" s="998" t="s">
        <v>4438</v>
      </c>
      <c r="J1340" s="1180" t="s">
        <v>343</v>
      </c>
      <c r="K1340" s="958" t="s">
        <v>178</v>
      </c>
      <c r="L1340" s="959">
        <v>70.0</v>
      </c>
      <c r="M1340" s="960">
        <v>65.0</v>
      </c>
      <c r="N1340" s="960">
        <v>60.0</v>
      </c>
      <c r="O1340" s="960">
        <v>90.0</v>
      </c>
      <c r="P1340" s="960">
        <v>75.0</v>
      </c>
      <c r="Q1340" s="960">
        <v>90.0</v>
      </c>
      <c r="R1340" s="960">
        <v>216.0</v>
      </c>
      <c r="S1340" s="960">
        <v>279.0</v>
      </c>
      <c r="T1340" s="960">
        <v>306.0</v>
      </c>
      <c r="U1340" s="960">
        <f t="array" ref="U1340">HLOOKUP($J1340,'Type Chart'!$C$2:$T$20,2,false)*HLOOKUP($K1340,'Type Chart'!$C$2:$U$20,2,false)</f>
        <v>1</v>
      </c>
      <c r="V1340" s="960">
        <f t="array" ref="V1340">HLOOKUP($J1340,'Type Chart'!$C$2:$T$20,3,false)*HLOOKUP($K1340,'Type Chart'!$C$2:$U$20,3,false)</f>
        <v>0.25</v>
      </c>
      <c r="W1340" s="960">
        <f t="array" ref="W1340">HLOOKUP($J1340,'Type Chart'!$C$2:$T$20,4,false)*HLOOKUP($K1340,'Type Chart'!$C$2:$U$20,4,false)</f>
        <v>2</v>
      </c>
      <c r="X1340" s="960">
        <f t="array" ref="X1340">HLOOKUP($J1340,'Type Chart'!$C$2:$T$20,5,false)*HLOOKUP($K1340,'Type Chart'!$C$2:$U$20,5,false)</f>
        <v>0.5</v>
      </c>
      <c r="Y1340" s="960">
        <f t="array" ref="Y1340">HLOOKUP($J1340,'Type Chart'!$C$2:$T$20,6,false)*HLOOKUP($K1340,'Type Chart'!$C$2:$U$20,6,false)</f>
        <v>1</v>
      </c>
      <c r="Z1340" s="960">
        <f t="array" ref="Z1340">HLOOKUP($J1340,'Type Chart'!$C$2:$T$20,7,false)*HLOOKUP($K1340,'Type Chart'!$C$2:$U$20,7,false)</f>
        <v>2</v>
      </c>
      <c r="AA1340" s="960">
        <f t="array" ref="AA1340">HLOOKUP($J1340,'Type Chart'!$C$2:$T$20,8,false)*HLOOKUP($K1340,'Type Chart'!$C$2:$U$20,8,false)</f>
        <v>0.5</v>
      </c>
      <c r="AB1340" s="960">
        <f t="array" ref="AB1340">HLOOKUP($J1340,'Type Chart'!$C$2:$T$20,9,false)*HLOOKUP($K1340,'Type Chart'!$C$2:$U$20,9,false)</f>
        <v>1</v>
      </c>
      <c r="AC1340" s="960">
        <f t="array" ref="AC1340">HLOOKUP($J1340,'Type Chart'!$C$2:$T$20,10,false)*HLOOKUP($K1340,'Type Chart'!$C$2:$U$20,10,false)</f>
        <v>1</v>
      </c>
      <c r="AD1340" s="960">
        <f t="array" ref="AD1340">HLOOKUP($J1340,'Type Chart'!$C$2:$T$20,11,false)*HLOOKUP($K1340,'Type Chart'!$C$2:$U$20,11,false)</f>
        <v>2</v>
      </c>
      <c r="AE1340" s="960">
        <f t="array" ref="AE1340">HLOOKUP($J1340,'Type Chart'!$C$2:$T$20,12,false)*HLOOKUP($K1340,'Type Chart'!$C$2:$U$20,12,false)</f>
        <v>1</v>
      </c>
      <c r="AF1340" s="960">
        <f t="array" ref="AF1340">HLOOKUP($J1340,'Type Chart'!$C$2:$T$20,13,false)*HLOOKUP($K1340,'Type Chart'!$C$2:$U$20,13,false)</f>
        <v>0.25</v>
      </c>
      <c r="AG1340" s="960">
        <f t="array" ref="AG1340">HLOOKUP($J1340,'Type Chart'!$C$2:$T$20,14,false)*HLOOKUP($K1340,'Type Chart'!$C$2:$U$20,14,false)</f>
        <v>1</v>
      </c>
      <c r="AH1340" s="960">
        <f t="array" ref="AH1340">HLOOKUP($J1340,'Type Chart'!$C$2:$T$20,15,false)*HLOOKUP($K1340,'Type Chart'!$C$2:$U$20,15,false)</f>
        <v>2</v>
      </c>
      <c r="AI1340" s="960">
        <f t="array" ref="AI1340">HLOOKUP($J1340,'Type Chart'!$C$2:$T$20,16,false)*HLOOKUP($K1340,'Type Chart'!$C$2:$U$20,16,false)</f>
        <v>1</v>
      </c>
      <c r="AJ1340" s="960">
        <f t="array" ref="AJ1340">HLOOKUP($J1340,'Type Chart'!$C$2:$T$20,17,false)*HLOOKUP($K1340,'Type Chart'!$C$2:$U$20,17,false)</f>
        <v>1</v>
      </c>
      <c r="AK1340" s="960">
        <f t="array" ref="AK1340">HLOOKUP($J1340,'Type Chart'!$C$2:$T$20,18,false)*HLOOKUP($K1340,'Type Chart'!$C$2:$U$20,18,false)</f>
        <v>1</v>
      </c>
      <c r="AL1340" s="960">
        <f t="array" ref="AL1340">HLOOKUP($J1340,'Type Chart'!$C$2:$T$20,19,false)*HLOOKUP($K1340,'Type Chart'!$C$2:$U$20,19,false)</f>
        <v>0.5</v>
      </c>
      <c r="AM1340" s="964" t="s">
        <v>987</v>
      </c>
      <c r="AN1340" s="965" t="s">
        <v>1003</v>
      </c>
      <c r="AO1340" s="966" t="s">
        <v>1220</v>
      </c>
      <c r="AP1340" s="936"/>
      <c r="AQ1340" s="1245"/>
      <c r="AR1340" s="1245"/>
      <c r="AS1340" s="936"/>
    </row>
    <row r="1341" ht="15.75" customHeight="1">
      <c r="A1341" s="1099"/>
      <c r="B1341" s="948" t="s">
        <v>1221</v>
      </c>
      <c r="C1341" s="1197" t="s">
        <v>1222</v>
      </c>
      <c r="D1341" s="1197" t="s">
        <v>1222</v>
      </c>
      <c r="E1341" s="1147" t="s">
        <v>1222</v>
      </c>
      <c r="F1341" s="940"/>
      <c r="G1341" s="953"/>
      <c r="H1341" s="969"/>
      <c r="I1341" s="998" t="s">
        <v>4439</v>
      </c>
      <c r="J1341" s="1204" t="s">
        <v>80</v>
      </c>
      <c r="K1341" s="984" t="s">
        <v>216</v>
      </c>
      <c r="L1341" s="959">
        <v>10.0</v>
      </c>
      <c r="M1341" s="960">
        <v>55.0</v>
      </c>
      <c r="N1341" s="960">
        <v>25.0</v>
      </c>
      <c r="O1341" s="960">
        <v>35.0</v>
      </c>
      <c r="P1341" s="960">
        <v>45.0</v>
      </c>
      <c r="Q1341" s="960">
        <v>95.0</v>
      </c>
      <c r="R1341" s="960">
        <v>226.0</v>
      </c>
      <c r="S1341" s="960">
        <v>289.0</v>
      </c>
      <c r="T1341" s="960">
        <v>317.0</v>
      </c>
      <c r="U1341" s="960">
        <f t="array" ref="U1341">HLOOKUP($J1341,'Type Chart'!$C$2:$T$20,2,false)*HLOOKUP($K1341,'Type Chart'!$C$2:$U$20,2,false)</f>
        <v>1</v>
      </c>
      <c r="V1341" s="960">
        <f t="array" ref="V1341">HLOOKUP($J1341,'Type Chart'!$C$2:$T$20,3,false)*HLOOKUP($K1341,'Type Chart'!$C$2:$U$20,3,false)</f>
        <v>1</v>
      </c>
      <c r="W1341" s="960">
        <f t="array" ref="W1341">HLOOKUP($J1341,'Type Chart'!$C$2:$T$20,4,false)*HLOOKUP($K1341,'Type Chart'!$C$2:$U$20,4,false)</f>
        <v>1</v>
      </c>
      <c r="X1341" s="960">
        <f t="array" ref="X1341">HLOOKUP($J1341,'Type Chart'!$C$2:$T$20,5,false)*HLOOKUP($K1341,'Type Chart'!$C$2:$U$20,5,false)</f>
        <v>0.5</v>
      </c>
      <c r="Y1341" s="960">
        <f t="array" ref="Y1341">HLOOKUP($J1341,'Type Chart'!$C$2:$T$20,6,false)*HLOOKUP($K1341,'Type Chart'!$C$2:$U$20,6,false)</f>
        <v>1</v>
      </c>
      <c r="Z1341" s="960">
        <f t="array" ref="Z1341">HLOOKUP($J1341,'Type Chart'!$C$2:$T$20,7,false)*HLOOKUP($K1341,'Type Chart'!$C$2:$U$20,7,false)</f>
        <v>0.5</v>
      </c>
      <c r="AA1341" s="960">
        <f t="array" ref="AA1341">HLOOKUP($J1341,'Type Chart'!$C$2:$T$20,8,false)*HLOOKUP($K1341,'Type Chart'!$C$2:$U$20,8,false)</f>
        <v>1</v>
      </c>
      <c r="AB1341" s="960">
        <f t="array" ref="AB1341">HLOOKUP($J1341,'Type Chart'!$C$2:$T$20,9,false)*HLOOKUP($K1341,'Type Chart'!$C$2:$U$20,9,false)</f>
        <v>1</v>
      </c>
      <c r="AC1341" s="960">
        <f t="array" ref="AC1341">HLOOKUP($J1341,'Type Chart'!$C$2:$T$20,10,false)*HLOOKUP($K1341,'Type Chart'!$C$2:$U$20,10,false)</f>
        <v>1</v>
      </c>
      <c r="AD1341" s="960">
        <f t="array" ref="AD1341">HLOOKUP($J1341,'Type Chart'!$C$2:$T$20,11,false)*HLOOKUP($K1341,'Type Chart'!$C$2:$U$20,11,false)</f>
        <v>1</v>
      </c>
      <c r="AE1341" s="960">
        <f t="array" ref="AE1341">HLOOKUP($J1341,'Type Chart'!$C$2:$T$20,12,false)*HLOOKUP($K1341,'Type Chart'!$C$2:$U$20,12,false)</f>
        <v>2</v>
      </c>
      <c r="AF1341" s="960">
        <f t="array" ref="AF1341">HLOOKUP($J1341,'Type Chart'!$C$2:$T$20,13,false)*HLOOKUP($K1341,'Type Chart'!$C$2:$U$20,13,false)</f>
        <v>2</v>
      </c>
      <c r="AG1341" s="960">
        <f t="array" ref="AG1341">HLOOKUP($J1341,'Type Chart'!$C$2:$T$20,14,false)*HLOOKUP($K1341,'Type Chart'!$C$2:$U$20,14,false)</f>
        <v>0</v>
      </c>
      <c r="AH1341" s="960">
        <f t="array" ref="AH1341">HLOOKUP($J1341,'Type Chart'!$C$2:$T$20,15,false)*HLOOKUP($K1341,'Type Chart'!$C$2:$U$20,15,false)</f>
        <v>1</v>
      </c>
      <c r="AI1341" s="960">
        <f t="array" ref="AI1341">HLOOKUP($J1341,'Type Chart'!$C$2:$T$20,16,false)*HLOOKUP($K1341,'Type Chart'!$C$2:$U$20,16,false)</f>
        <v>2</v>
      </c>
      <c r="AJ1341" s="960">
        <f t="array" ref="AJ1341">HLOOKUP($J1341,'Type Chart'!$C$2:$T$20,17,false)*HLOOKUP($K1341,'Type Chart'!$C$2:$U$20,17,false)</f>
        <v>1</v>
      </c>
      <c r="AK1341" s="960">
        <f t="array" ref="AK1341">HLOOKUP($J1341,'Type Chart'!$C$2:$T$20,18,false)*HLOOKUP($K1341,'Type Chart'!$C$2:$U$20,18,false)</f>
        <v>1</v>
      </c>
      <c r="AL1341" s="960">
        <f t="array" ref="AL1341">HLOOKUP($J1341,'Type Chart'!$C$2:$T$20,19,false)*HLOOKUP($K1341,'Type Chart'!$C$2:$U$20,19,false)</f>
        <v>1</v>
      </c>
      <c r="AM1341" s="964" t="s">
        <v>1129</v>
      </c>
      <c r="AN1341" s="965" t="s">
        <v>1223</v>
      </c>
      <c r="AO1341" s="966" t="s">
        <v>1224</v>
      </c>
      <c r="AP1341" s="936"/>
      <c r="AQ1341" s="1245"/>
      <c r="AR1341" s="1245"/>
      <c r="AS1341" s="936"/>
    </row>
    <row r="1342" ht="15.75" customHeight="1">
      <c r="A1342" s="1099"/>
      <c r="B1342" s="948" t="s">
        <v>1225</v>
      </c>
      <c r="C1342" s="1197" t="s">
        <v>1226</v>
      </c>
      <c r="D1342" s="1197" t="s">
        <v>1226</v>
      </c>
      <c r="E1342" s="1147" t="s">
        <v>1227</v>
      </c>
      <c r="F1342" s="940"/>
      <c r="G1342" s="953"/>
      <c r="H1342" s="969"/>
      <c r="I1342" s="998" t="s">
        <v>4440</v>
      </c>
      <c r="J1342" s="1204" t="s">
        <v>80</v>
      </c>
      <c r="K1342" s="1206" t="s">
        <v>82</v>
      </c>
      <c r="L1342" s="959">
        <v>10.0</v>
      </c>
      <c r="M1342" s="960">
        <v>55.0</v>
      </c>
      <c r="N1342" s="960">
        <v>30.0</v>
      </c>
      <c r="O1342" s="960">
        <v>35.0</v>
      </c>
      <c r="P1342" s="960">
        <v>45.0</v>
      </c>
      <c r="Q1342" s="960">
        <v>90.0</v>
      </c>
      <c r="R1342" s="960">
        <v>216.0</v>
      </c>
      <c r="S1342" s="960">
        <v>279.0</v>
      </c>
      <c r="T1342" s="960">
        <v>306.0</v>
      </c>
      <c r="U1342" s="960">
        <f t="array" ref="U1342">HLOOKUP($J1342,'Type Chart'!$C$2:$T$20,2,false)*HLOOKUP($K1342,'Type Chart'!$C$2:$U$20,2,false)</f>
        <v>0.5</v>
      </c>
      <c r="V1342" s="960">
        <f t="array" ref="V1342">HLOOKUP($J1342,'Type Chart'!$C$2:$T$20,3,false)*HLOOKUP($K1342,'Type Chart'!$C$2:$U$20,3,false)</f>
        <v>2</v>
      </c>
      <c r="W1342" s="960">
        <f t="array" ref="W1342">HLOOKUP($J1342,'Type Chart'!$C$2:$T$20,4,false)*HLOOKUP($K1342,'Type Chart'!$C$2:$U$20,4,false)</f>
        <v>0.5</v>
      </c>
      <c r="X1342" s="960">
        <f t="array" ref="X1342">HLOOKUP($J1342,'Type Chart'!$C$2:$T$20,5,false)*HLOOKUP($K1342,'Type Chart'!$C$2:$U$20,5,false)</f>
        <v>0</v>
      </c>
      <c r="Y1342" s="960">
        <f t="array" ref="Y1342">HLOOKUP($J1342,'Type Chart'!$C$2:$T$20,6,false)*HLOOKUP($K1342,'Type Chart'!$C$2:$U$20,6,false)</f>
        <v>2</v>
      </c>
      <c r="Z1342" s="960">
        <f t="array" ref="Z1342">HLOOKUP($J1342,'Type Chart'!$C$2:$T$20,7,false)*HLOOKUP($K1342,'Type Chart'!$C$2:$U$20,7,false)</f>
        <v>0.25</v>
      </c>
      <c r="AA1342" s="960">
        <f t="array" ref="AA1342">HLOOKUP($J1342,'Type Chart'!$C$2:$T$20,8,false)*HLOOKUP($K1342,'Type Chart'!$C$2:$U$20,8,false)</f>
        <v>0.5</v>
      </c>
      <c r="AB1342" s="960">
        <f t="array" ref="AB1342">HLOOKUP($J1342,'Type Chart'!$C$2:$T$20,9,false)*HLOOKUP($K1342,'Type Chart'!$C$2:$U$20,9,false)</f>
        <v>1</v>
      </c>
      <c r="AC1342" s="960">
        <f t="array" ref="AC1342">HLOOKUP($J1342,'Type Chart'!$C$2:$T$20,10,false)*HLOOKUP($K1342,'Type Chart'!$C$2:$U$20,10,false)</f>
        <v>0.5</v>
      </c>
      <c r="AD1342" s="960">
        <f t="array" ref="AD1342">HLOOKUP($J1342,'Type Chart'!$C$2:$T$20,11,false)*HLOOKUP($K1342,'Type Chart'!$C$2:$U$20,11,false)</f>
        <v>2</v>
      </c>
      <c r="AE1342" s="960">
        <f t="array" ref="AE1342">HLOOKUP($J1342,'Type Chart'!$C$2:$T$20,12,false)*HLOOKUP($K1342,'Type Chart'!$C$2:$U$20,12,false)</f>
        <v>2</v>
      </c>
      <c r="AF1342" s="960">
        <f t="array" ref="AF1342">HLOOKUP($J1342,'Type Chart'!$C$2:$T$20,13,false)*HLOOKUP($K1342,'Type Chart'!$C$2:$U$20,13,false)</f>
        <v>1</v>
      </c>
      <c r="AG1342" s="960">
        <f t="array" ref="AG1342">HLOOKUP($J1342,'Type Chart'!$C$2:$T$20,14,false)*HLOOKUP($K1342,'Type Chart'!$C$2:$U$20,14,false)</f>
        <v>0</v>
      </c>
      <c r="AH1342" s="960">
        <f t="array" ref="AH1342">HLOOKUP($J1342,'Type Chart'!$C$2:$T$20,15,false)*HLOOKUP($K1342,'Type Chart'!$C$2:$U$20,15,false)</f>
        <v>0.5</v>
      </c>
      <c r="AI1342" s="960">
        <f t="array" ref="AI1342">HLOOKUP($J1342,'Type Chart'!$C$2:$T$20,16,false)*HLOOKUP($K1342,'Type Chart'!$C$2:$U$20,16,false)</f>
        <v>1</v>
      </c>
      <c r="AJ1342" s="960">
        <f t="array" ref="AJ1342">HLOOKUP($J1342,'Type Chart'!$C$2:$T$20,17,false)*HLOOKUP($K1342,'Type Chart'!$C$2:$U$20,17,false)</f>
        <v>0.5</v>
      </c>
      <c r="AK1342" s="960">
        <f t="array" ref="AK1342">HLOOKUP($J1342,'Type Chart'!$C$2:$T$20,18,false)*HLOOKUP($K1342,'Type Chart'!$C$2:$U$20,18,false)</f>
        <v>1</v>
      </c>
      <c r="AL1342" s="960">
        <f t="array" ref="AL1342">HLOOKUP($J1342,'Type Chart'!$C$2:$T$20,19,false)*HLOOKUP($K1342,'Type Chart'!$C$2:$U$20,19,false)</f>
        <v>0.5</v>
      </c>
      <c r="AM1342" s="964" t="s">
        <v>1129</v>
      </c>
      <c r="AN1342" s="965" t="s">
        <v>1229</v>
      </c>
      <c r="AO1342" s="966" t="s">
        <v>1224</v>
      </c>
      <c r="AP1342" s="936"/>
      <c r="AQ1342" s="1245"/>
      <c r="AR1342" s="1245"/>
      <c r="AS1342" s="936"/>
    </row>
    <row r="1343" ht="15.75" customHeight="1">
      <c r="A1343" s="1099"/>
      <c r="B1343" s="948" t="s">
        <v>1230</v>
      </c>
      <c r="C1343" s="1197" t="s">
        <v>1231</v>
      </c>
      <c r="D1343" s="1197" t="s">
        <v>1231</v>
      </c>
      <c r="E1343" s="1147" t="s">
        <v>1231</v>
      </c>
      <c r="F1343" s="940"/>
      <c r="G1343" s="953"/>
      <c r="H1343" s="969"/>
      <c r="I1343" s="998" t="s">
        <v>4441</v>
      </c>
      <c r="J1343" s="1204" t="s">
        <v>80</v>
      </c>
      <c r="K1343" s="984" t="s">
        <v>216</v>
      </c>
      <c r="L1343" s="959">
        <v>35.0</v>
      </c>
      <c r="M1343" s="960">
        <v>100.0</v>
      </c>
      <c r="N1343" s="960">
        <v>50.0</v>
      </c>
      <c r="O1343" s="960">
        <v>50.0</v>
      </c>
      <c r="P1343" s="960">
        <v>70.0</v>
      </c>
      <c r="Q1343" s="960">
        <v>120.0</v>
      </c>
      <c r="R1343" s="960">
        <v>276.0</v>
      </c>
      <c r="S1343" s="960">
        <v>339.0</v>
      </c>
      <c r="T1343" s="960">
        <v>372.0</v>
      </c>
      <c r="U1343" s="960">
        <f t="array" ref="U1343">HLOOKUP($J1343,'Type Chart'!$C$2:$T$20,2,false)*HLOOKUP($K1343,'Type Chart'!$C$2:$U$20,2,false)</f>
        <v>1</v>
      </c>
      <c r="V1343" s="960">
        <f t="array" ref="V1343">HLOOKUP($J1343,'Type Chart'!$C$2:$T$20,3,false)*HLOOKUP($K1343,'Type Chart'!$C$2:$U$20,3,false)</f>
        <v>1</v>
      </c>
      <c r="W1343" s="960">
        <f t="array" ref="W1343">HLOOKUP($J1343,'Type Chart'!$C$2:$T$20,4,false)*HLOOKUP($K1343,'Type Chart'!$C$2:$U$20,4,false)</f>
        <v>1</v>
      </c>
      <c r="X1343" s="960">
        <f t="array" ref="X1343">HLOOKUP($J1343,'Type Chart'!$C$2:$T$20,5,false)*HLOOKUP($K1343,'Type Chart'!$C$2:$U$20,5,false)</f>
        <v>0.5</v>
      </c>
      <c r="Y1343" s="960">
        <f t="array" ref="Y1343">HLOOKUP($J1343,'Type Chart'!$C$2:$T$20,6,false)*HLOOKUP($K1343,'Type Chart'!$C$2:$U$20,6,false)</f>
        <v>1</v>
      </c>
      <c r="Z1343" s="960">
        <f t="array" ref="Z1343">HLOOKUP($J1343,'Type Chart'!$C$2:$T$20,7,false)*HLOOKUP($K1343,'Type Chart'!$C$2:$U$20,7,false)</f>
        <v>0.5</v>
      </c>
      <c r="AA1343" s="960">
        <f t="array" ref="AA1343">HLOOKUP($J1343,'Type Chart'!$C$2:$T$20,8,false)*HLOOKUP($K1343,'Type Chart'!$C$2:$U$20,8,false)</f>
        <v>1</v>
      </c>
      <c r="AB1343" s="960">
        <f t="array" ref="AB1343">HLOOKUP($J1343,'Type Chart'!$C$2:$T$20,9,false)*HLOOKUP($K1343,'Type Chart'!$C$2:$U$20,9,false)</f>
        <v>1</v>
      </c>
      <c r="AC1343" s="960">
        <f t="array" ref="AC1343">HLOOKUP($J1343,'Type Chart'!$C$2:$T$20,10,false)*HLOOKUP($K1343,'Type Chart'!$C$2:$U$20,10,false)</f>
        <v>1</v>
      </c>
      <c r="AD1343" s="960">
        <f t="array" ref="AD1343">HLOOKUP($J1343,'Type Chart'!$C$2:$T$20,11,false)*HLOOKUP($K1343,'Type Chart'!$C$2:$U$20,11,false)</f>
        <v>1</v>
      </c>
      <c r="AE1343" s="960">
        <f t="array" ref="AE1343">HLOOKUP($J1343,'Type Chart'!$C$2:$T$20,12,false)*HLOOKUP($K1343,'Type Chart'!$C$2:$U$20,12,false)</f>
        <v>2</v>
      </c>
      <c r="AF1343" s="960">
        <f t="array" ref="AF1343">HLOOKUP($J1343,'Type Chart'!$C$2:$T$20,13,false)*HLOOKUP($K1343,'Type Chart'!$C$2:$U$20,13,false)</f>
        <v>2</v>
      </c>
      <c r="AG1343" s="960">
        <f t="array" ref="AG1343">HLOOKUP($J1343,'Type Chart'!$C$2:$T$20,14,false)*HLOOKUP($K1343,'Type Chart'!$C$2:$U$20,14,false)</f>
        <v>0</v>
      </c>
      <c r="AH1343" s="960">
        <f t="array" ref="AH1343">HLOOKUP($J1343,'Type Chart'!$C$2:$T$20,15,false)*HLOOKUP($K1343,'Type Chart'!$C$2:$U$20,15,false)</f>
        <v>1</v>
      </c>
      <c r="AI1343" s="960">
        <f t="array" ref="AI1343">HLOOKUP($J1343,'Type Chart'!$C$2:$T$20,16,false)*HLOOKUP($K1343,'Type Chart'!$C$2:$U$20,16,false)</f>
        <v>2</v>
      </c>
      <c r="AJ1343" s="960">
        <f t="array" ref="AJ1343">HLOOKUP($J1343,'Type Chart'!$C$2:$T$20,17,false)*HLOOKUP($K1343,'Type Chart'!$C$2:$U$20,17,false)</f>
        <v>1</v>
      </c>
      <c r="AK1343" s="960">
        <f t="array" ref="AK1343">HLOOKUP($J1343,'Type Chart'!$C$2:$T$20,18,false)*HLOOKUP($K1343,'Type Chart'!$C$2:$U$20,18,false)</f>
        <v>1</v>
      </c>
      <c r="AL1343" s="960">
        <f t="array" ref="AL1343">HLOOKUP($J1343,'Type Chart'!$C$2:$T$20,19,false)*HLOOKUP($K1343,'Type Chart'!$C$2:$U$20,19,false)</f>
        <v>1</v>
      </c>
      <c r="AM1343" s="964" t="s">
        <v>1129</v>
      </c>
      <c r="AN1343" s="965" t="s">
        <v>1223</v>
      </c>
      <c r="AO1343" s="966" t="s">
        <v>1224</v>
      </c>
      <c r="AP1343" s="936"/>
      <c r="AQ1343" s="1245"/>
      <c r="AR1343" s="1245"/>
      <c r="AS1343" s="936"/>
    </row>
    <row r="1344" ht="15.75" customHeight="1">
      <c r="A1344" s="1099"/>
      <c r="B1344" s="948" t="s">
        <v>1232</v>
      </c>
      <c r="C1344" s="1197" t="s">
        <v>1233</v>
      </c>
      <c r="D1344" s="1197" t="s">
        <v>1233</v>
      </c>
      <c r="E1344" s="1147" t="s">
        <v>1234</v>
      </c>
      <c r="F1344" s="940"/>
      <c r="G1344" s="953"/>
      <c r="H1344" s="969"/>
      <c r="I1344" s="998" t="s">
        <v>4442</v>
      </c>
      <c r="J1344" s="1204" t="s">
        <v>80</v>
      </c>
      <c r="K1344" s="1206" t="s">
        <v>82</v>
      </c>
      <c r="L1344" s="959">
        <v>35.0</v>
      </c>
      <c r="M1344" s="960">
        <v>100.0</v>
      </c>
      <c r="N1344" s="960">
        <v>60.0</v>
      </c>
      <c r="O1344" s="960">
        <v>50.0</v>
      </c>
      <c r="P1344" s="960">
        <v>70.0</v>
      </c>
      <c r="Q1344" s="960">
        <v>110.0</v>
      </c>
      <c r="R1344" s="960">
        <v>256.0</v>
      </c>
      <c r="S1344" s="960">
        <v>319.0</v>
      </c>
      <c r="T1344" s="960">
        <v>350.0</v>
      </c>
      <c r="U1344" s="960">
        <f t="array" ref="U1344">HLOOKUP($J1344,'Type Chart'!$C$2:$T$20,2,false)*HLOOKUP($K1344,'Type Chart'!$C$2:$U$20,2,false)</f>
        <v>0.5</v>
      </c>
      <c r="V1344" s="960">
        <f t="array" ref="V1344">HLOOKUP($J1344,'Type Chart'!$C$2:$T$20,3,false)*HLOOKUP($K1344,'Type Chart'!$C$2:$U$20,3,false)</f>
        <v>2</v>
      </c>
      <c r="W1344" s="960">
        <f t="array" ref="W1344">HLOOKUP($J1344,'Type Chart'!$C$2:$T$20,4,false)*HLOOKUP($K1344,'Type Chart'!$C$2:$U$20,4,false)</f>
        <v>0.5</v>
      </c>
      <c r="X1344" s="960">
        <f t="array" ref="X1344">HLOOKUP($J1344,'Type Chart'!$C$2:$T$20,5,false)*HLOOKUP($K1344,'Type Chart'!$C$2:$U$20,5,false)</f>
        <v>0</v>
      </c>
      <c r="Y1344" s="960">
        <f t="array" ref="Y1344">HLOOKUP($J1344,'Type Chart'!$C$2:$T$20,6,false)*HLOOKUP($K1344,'Type Chart'!$C$2:$U$20,6,false)</f>
        <v>2</v>
      </c>
      <c r="Z1344" s="960">
        <f t="array" ref="Z1344">HLOOKUP($J1344,'Type Chart'!$C$2:$T$20,7,false)*HLOOKUP($K1344,'Type Chart'!$C$2:$U$20,7,false)</f>
        <v>0.25</v>
      </c>
      <c r="AA1344" s="960">
        <f t="array" ref="AA1344">HLOOKUP($J1344,'Type Chart'!$C$2:$T$20,8,false)*HLOOKUP($K1344,'Type Chart'!$C$2:$U$20,8,false)</f>
        <v>0.5</v>
      </c>
      <c r="AB1344" s="960">
        <f t="array" ref="AB1344">HLOOKUP($J1344,'Type Chart'!$C$2:$T$20,9,false)*HLOOKUP($K1344,'Type Chart'!$C$2:$U$20,9,false)</f>
        <v>1</v>
      </c>
      <c r="AC1344" s="960">
        <f t="array" ref="AC1344">HLOOKUP($J1344,'Type Chart'!$C$2:$T$20,10,false)*HLOOKUP($K1344,'Type Chart'!$C$2:$U$20,10,false)</f>
        <v>0.5</v>
      </c>
      <c r="AD1344" s="960">
        <f t="array" ref="AD1344">HLOOKUP($J1344,'Type Chart'!$C$2:$T$20,11,false)*HLOOKUP($K1344,'Type Chart'!$C$2:$U$20,11,false)</f>
        <v>2</v>
      </c>
      <c r="AE1344" s="960">
        <f t="array" ref="AE1344">HLOOKUP($J1344,'Type Chart'!$C$2:$T$20,12,false)*HLOOKUP($K1344,'Type Chart'!$C$2:$U$20,12,false)</f>
        <v>2</v>
      </c>
      <c r="AF1344" s="960">
        <f t="array" ref="AF1344">HLOOKUP($J1344,'Type Chart'!$C$2:$T$20,13,false)*HLOOKUP($K1344,'Type Chart'!$C$2:$U$20,13,false)</f>
        <v>1</v>
      </c>
      <c r="AG1344" s="960">
        <f t="array" ref="AG1344">HLOOKUP($J1344,'Type Chart'!$C$2:$T$20,14,false)*HLOOKUP($K1344,'Type Chart'!$C$2:$U$20,14,false)</f>
        <v>0</v>
      </c>
      <c r="AH1344" s="960">
        <f t="array" ref="AH1344">HLOOKUP($J1344,'Type Chart'!$C$2:$T$20,15,false)*HLOOKUP($K1344,'Type Chart'!$C$2:$U$20,15,false)</f>
        <v>0.5</v>
      </c>
      <c r="AI1344" s="960">
        <f t="array" ref="AI1344">HLOOKUP($J1344,'Type Chart'!$C$2:$T$20,16,false)*HLOOKUP($K1344,'Type Chart'!$C$2:$U$20,16,false)</f>
        <v>1</v>
      </c>
      <c r="AJ1344" s="960">
        <f t="array" ref="AJ1344">HLOOKUP($J1344,'Type Chart'!$C$2:$T$20,17,false)*HLOOKUP($K1344,'Type Chart'!$C$2:$U$20,17,false)</f>
        <v>0.5</v>
      </c>
      <c r="AK1344" s="960">
        <f t="array" ref="AK1344">HLOOKUP($J1344,'Type Chart'!$C$2:$T$20,18,false)*HLOOKUP($K1344,'Type Chart'!$C$2:$U$20,18,false)</f>
        <v>1</v>
      </c>
      <c r="AL1344" s="960">
        <f t="array" ref="AL1344">HLOOKUP($J1344,'Type Chart'!$C$2:$T$20,19,false)*HLOOKUP($K1344,'Type Chart'!$C$2:$U$20,19,false)</f>
        <v>0.5</v>
      </c>
      <c r="AM1344" s="964" t="s">
        <v>1129</v>
      </c>
      <c r="AN1344" s="965" t="s">
        <v>1229</v>
      </c>
      <c r="AO1344" s="966" t="s">
        <v>1224</v>
      </c>
      <c r="AP1344" s="936"/>
      <c r="AQ1344" s="1245"/>
      <c r="AR1344" s="1245"/>
      <c r="AS1344" s="936"/>
    </row>
    <row r="1345" ht="15.75" customHeight="1">
      <c r="A1345" s="1099"/>
      <c r="B1345" s="948" t="s">
        <v>1235</v>
      </c>
      <c r="C1345" s="1197" t="s">
        <v>1236</v>
      </c>
      <c r="D1345" s="1197" t="s">
        <v>1236</v>
      </c>
      <c r="E1345" s="1147" t="s">
        <v>1236</v>
      </c>
      <c r="F1345" s="940"/>
      <c r="G1345" s="953"/>
      <c r="H1345" s="969"/>
      <c r="I1345" s="998" t="s">
        <v>4443</v>
      </c>
      <c r="J1345" s="1194" t="s">
        <v>136</v>
      </c>
      <c r="K1345" s="984" t="s">
        <v>216</v>
      </c>
      <c r="L1345" s="959">
        <v>40.0</v>
      </c>
      <c r="M1345" s="960">
        <v>45.0</v>
      </c>
      <c r="N1345" s="960">
        <v>35.0</v>
      </c>
      <c r="O1345" s="960">
        <v>40.0</v>
      </c>
      <c r="P1345" s="960">
        <v>40.0</v>
      </c>
      <c r="Q1345" s="960">
        <v>90.0</v>
      </c>
      <c r="R1345" s="960">
        <v>216.0</v>
      </c>
      <c r="S1345" s="960">
        <v>279.0</v>
      </c>
      <c r="T1345" s="960">
        <v>306.0</v>
      </c>
      <c r="U1345" s="960">
        <f t="array" ref="U1345">HLOOKUP($J1345,'Type Chart'!$C$2:$T$20,2,false)*HLOOKUP($K1345,'Type Chart'!$C$2:$U$20,2,false)</f>
        <v>1</v>
      </c>
      <c r="V1345" s="960">
        <f t="array" ref="V1345">HLOOKUP($J1345,'Type Chart'!$C$2:$T$20,3,false)*HLOOKUP($K1345,'Type Chart'!$C$2:$U$20,3,false)</f>
        <v>2</v>
      </c>
      <c r="W1345" s="960">
        <f t="array" ref="W1345">HLOOKUP($J1345,'Type Chart'!$C$2:$T$20,4,false)*HLOOKUP($K1345,'Type Chart'!$C$2:$U$20,4,false)</f>
        <v>1</v>
      </c>
      <c r="X1345" s="960">
        <f t="array" ref="X1345">HLOOKUP($J1345,'Type Chart'!$C$2:$T$20,5,false)*HLOOKUP($K1345,'Type Chart'!$C$2:$U$20,5,false)</f>
        <v>1</v>
      </c>
      <c r="Y1345" s="960">
        <f t="array" ref="Y1345">HLOOKUP($J1345,'Type Chart'!$C$2:$T$20,6,false)*HLOOKUP($K1345,'Type Chart'!$C$2:$U$20,6,false)</f>
        <v>1</v>
      </c>
      <c r="Z1345" s="960">
        <f t="array" ref="Z1345">HLOOKUP($J1345,'Type Chart'!$C$2:$T$20,7,false)*HLOOKUP($K1345,'Type Chart'!$C$2:$U$20,7,false)</f>
        <v>1</v>
      </c>
      <c r="AA1345" s="960">
        <f t="array" ref="AA1345">HLOOKUP($J1345,'Type Chart'!$C$2:$T$20,8,false)*HLOOKUP($K1345,'Type Chart'!$C$2:$U$20,8,false)</f>
        <v>1</v>
      </c>
      <c r="AB1345" s="960">
        <f t="array" ref="AB1345">HLOOKUP($J1345,'Type Chart'!$C$2:$T$20,9,false)*HLOOKUP($K1345,'Type Chart'!$C$2:$U$20,9,false)</f>
        <v>0</v>
      </c>
      <c r="AC1345" s="960">
        <f t="array" ref="AC1345">HLOOKUP($J1345,'Type Chart'!$C$2:$T$20,10,false)*HLOOKUP($K1345,'Type Chart'!$C$2:$U$20,10,false)</f>
        <v>1</v>
      </c>
      <c r="AD1345" s="960">
        <f t="array" ref="AD1345">HLOOKUP($J1345,'Type Chart'!$C$2:$T$20,11,false)*HLOOKUP($K1345,'Type Chart'!$C$2:$U$20,11,false)</f>
        <v>1</v>
      </c>
      <c r="AE1345" s="960">
        <f t="array" ref="AE1345">HLOOKUP($J1345,'Type Chart'!$C$2:$T$20,12,false)*HLOOKUP($K1345,'Type Chart'!$C$2:$U$20,12,false)</f>
        <v>1</v>
      </c>
      <c r="AF1345" s="960">
        <f t="array" ref="AF1345">HLOOKUP($J1345,'Type Chart'!$C$2:$T$20,13,false)*HLOOKUP($K1345,'Type Chart'!$C$2:$U$20,13,false)</f>
        <v>1</v>
      </c>
      <c r="AG1345" s="960">
        <f t="array" ref="AG1345">HLOOKUP($J1345,'Type Chart'!$C$2:$T$20,14,false)*HLOOKUP($K1345,'Type Chart'!$C$2:$U$20,14,false)</f>
        <v>1</v>
      </c>
      <c r="AH1345" s="960">
        <f t="array" ref="AH1345">HLOOKUP($J1345,'Type Chart'!$C$2:$T$20,15,false)*HLOOKUP($K1345,'Type Chart'!$C$2:$U$20,15,false)</f>
        <v>1</v>
      </c>
      <c r="AI1345" s="960">
        <f t="array" ref="AI1345">HLOOKUP($J1345,'Type Chart'!$C$2:$T$20,16,false)*HLOOKUP($K1345,'Type Chart'!$C$2:$U$20,16,false)</f>
        <v>1</v>
      </c>
      <c r="AJ1345" s="960">
        <f t="array" ref="AJ1345">HLOOKUP($J1345,'Type Chart'!$C$2:$T$20,17,false)*HLOOKUP($K1345,'Type Chart'!$C$2:$U$20,17,false)</f>
        <v>1</v>
      </c>
      <c r="AK1345" s="960">
        <f t="array" ref="AK1345">HLOOKUP($J1345,'Type Chart'!$C$2:$T$20,18,false)*HLOOKUP($K1345,'Type Chart'!$C$2:$U$20,18,false)</f>
        <v>1</v>
      </c>
      <c r="AL1345" s="960">
        <f t="array" ref="AL1345">HLOOKUP($J1345,'Type Chart'!$C$2:$T$20,19,false)*HLOOKUP($K1345,'Type Chart'!$C$2:$U$20,19,false)</f>
        <v>1</v>
      </c>
      <c r="AM1345" s="964" t="s">
        <v>1238</v>
      </c>
      <c r="AN1345" s="965" t="s">
        <v>1239</v>
      </c>
      <c r="AO1345" s="966" t="s">
        <v>1062</v>
      </c>
      <c r="AP1345" s="936"/>
      <c r="AQ1345" s="1245"/>
      <c r="AR1345" s="1245"/>
      <c r="AS1345" s="936"/>
    </row>
    <row r="1346" ht="15.75" customHeight="1">
      <c r="A1346" s="1099"/>
      <c r="B1346" s="948" t="s">
        <v>1240</v>
      </c>
      <c r="C1346" s="1197" t="s">
        <v>1241</v>
      </c>
      <c r="D1346" s="1197" t="s">
        <v>1241</v>
      </c>
      <c r="E1346" s="1147" t="s">
        <v>1242</v>
      </c>
      <c r="F1346" s="940"/>
      <c r="G1346" s="953"/>
      <c r="H1346" s="969"/>
      <c r="I1346" s="998" t="s">
        <v>4444</v>
      </c>
      <c r="J1346" s="1195" t="s">
        <v>193</v>
      </c>
      <c r="K1346" s="984" t="s">
        <v>216</v>
      </c>
      <c r="L1346" s="959">
        <v>40.0</v>
      </c>
      <c r="M1346" s="960">
        <v>35.0</v>
      </c>
      <c r="N1346" s="960">
        <v>35.0</v>
      </c>
      <c r="O1346" s="960">
        <v>50.0</v>
      </c>
      <c r="P1346" s="960">
        <v>40.0</v>
      </c>
      <c r="Q1346" s="960">
        <v>90.0</v>
      </c>
      <c r="R1346" s="960">
        <v>216.0</v>
      </c>
      <c r="S1346" s="960">
        <v>279.0</v>
      </c>
      <c r="T1346" s="960">
        <v>306.0</v>
      </c>
      <c r="U1346" s="960">
        <f t="array" ref="U1346">HLOOKUP($J1346,'Type Chart'!$C$2:$T$20,2,false)*HLOOKUP($K1346,'Type Chart'!$C$2:$U$20,2,false)</f>
        <v>1</v>
      </c>
      <c r="V1346" s="960">
        <f t="array" ref="V1346">HLOOKUP($J1346,'Type Chart'!$C$2:$T$20,3,false)*HLOOKUP($K1346,'Type Chart'!$C$2:$U$20,3,false)</f>
        <v>2</v>
      </c>
      <c r="W1346" s="960">
        <f t="array" ref="W1346">HLOOKUP($J1346,'Type Chart'!$C$2:$T$20,4,false)*HLOOKUP($K1346,'Type Chart'!$C$2:$U$20,4,false)</f>
        <v>1</v>
      </c>
      <c r="X1346" s="960">
        <f t="array" ref="X1346">HLOOKUP($J1346,'Type Chart'!$C$2:$T$20,5,false)*HLOOKUP($K1346,'Type Chart'!$C$2:$U$20,5,false)</f>
        <v>1</v>
      </c>
      <c r="Y1346" s="960">
        <f t="array" ref="Y1346">HLOOKUP($J1346,'Type Chart'!$C$2:$T$20,6,false)*HLOOKUP($K1346,'Type Chart'!$C$2:$U$20,6,false)</f>
        <v>1</v>
      </c>
      <c r="Z1346" s="960">
        <f t="array" ref="Z1346">HLOOKUP($J1346,'Type Chart'!$C$2:$T$20,7,false)*HLOOKUP($K1346,'Type Chart'!$C$2:$U$20,7,false)</f>
        <v>1</v>
      </c>
      <c r="AA1346" s="960">
        <f t="array" ref="AA1346">HLOOKUP($J1346,'Type Chart'!$C$2:$T$20,8,false)*HLOOKUP($K1346,'Type Chart'!$C$2:$U$20,8,false)</f>
        <v>2</v>
      </c>
      <c r="AB1346" s="960">
        <f t="array" ref="AB1346">HLOOKUP($J1346,'Type Chart'!$C$2:$T$20,9,false)*HLOOKUP($K1346,'Type Chart'!$C$2:$U$20,9,false)</f>
        <v>0.5</v>
      </c>
      <c r="AC1346" s="960">
        <f t="array" ref="AC1346">HLOOKUP($J1346,'Type Chart'!$C$2:$T$20,10,false)*HLOOKUP($K1346,'Type Chart'!$C$2:$U$20,10,false)</f>
        <v>1</v>
      </c>
      <c r="AD1346" s="960">
        <f t="array" ref="AD1346">HLOOKUP($J1346,'Type Chart'!$C$2:$T$20,11,false)*HLOOKUP($K1346,'Type Chart'!$C$2:$U$20,11,false)</f>
        <v>1</v>
      </c>
      <c r="AE1346" s="960">
        <f t="array" ref="AE1346">HLOOKUP($J1346,'Type Chart'!$C$2:$T$20,12,false)*HLOOKUP($K1346,'Type Chart'!$C$2:$U$20,12,false)</f>
        <v>1</v>
      </c>
      <c r="AF1346" s="960">
        <f t="array" ref="AF1346">HLOOKUP($J1346,'Type Chart'!$C$2:$T$20,13,false)*HLOOKUP($K1346,'Type Chart'!$C$2:$U$20,13,false)</f>
        <v>1</v>
      </c>
      <c r="AG1346" s="960">
        <f t="array" ref="AG1346">HLOOKUP($J1346,'Type Chart'!$C$2:$T$20,14,false)*HLOOKUP($K1346,'Type Chart'!$C$2:$U$20,14,false)</f>
        <v>1</v>
      </c>
      <c r="AH1346" s="960">
        <f t="array" ref="AH1346">HLOOKUP($J1346,'Type Chart'!$C$2:$T$20,15,false)*HLOOKUP($K1346,'Type Chart'!$C$2:$U$20,15,false)</f>
        <v>0</v>
      </c>
      <c r="AI1346" s="960">
        <f t="array" ref="AI1346">HLOOKUP($J1346,'Type Chart'!$C$2:$T$20,16,false)*HLOOKUP($K1346,'Type Chart'!$C$2:$U$20,16,false)</f>
        <v>1</v>
      </c>
      <c r="AJ1346" s="960">
        <f t="array" ref="AJ1346">HLOOKUP($J1346,'Type Chart'!$C$2:$T$20,17,false)*HLOOKUP($K1346,'Type Chart'!$C$2:$U$20,17,false)</f>
        <v>1</v>
      </c>
      <c r="AK1346" s="960">
        <f t="array" ref="AK1346">HLOOKUP($J1346,'Type Chart'!$C$2:$T$20,18,false)*HLOOKUP($K1346,'Type Chart'!$C$2:$U$20,18,false)</f>
        <v>0.5</v>
      </c>
      <c r="AL1346" s="960">
        <f t="array" ref="AL1346">HLOOKUP($J1346,'Type Chart'!$C$2:$T$20,19,false)*HLOOKUP($K1346,'Type Chart'!$C$2:$U$20,19,false)</f>
        <v>2</v>
      </c>
      <c r="AM1346" s="964" t="s">
        <v>1238</v>
      </c>
      <c r="AN1346" s="965" t="s">
        <v>1239</v>
      </c>
      <c r="AO1346" s="966" t="s">
        <v>1243</v>
      </c>
      <c r="AP1346" s="936"/>
      <c r="AQ1346" s="1245"/>
      <c r="AR1346" s="1245"/>
      <c r="AS1346" s="936"/>
    </row>
    <row r="1347" ht="15.75" customHeight="1">
      <c r="A1347" s="1099"/>
      <c r="B1347" s="948" t="s">
        <v>1244</v>
      </c>
      <c r="C1347" s="1197" t="s">
        <v>1245</v>
      </c>
      <c r="D1347" s="1197" t="s">
        <v>1245</v>
      </c>
      <c r="E1347" s="1147" t="s">
        <v>1246</v>
      </c>
      <c r="F1347" s="940"/>
      <c r="G1347" s="953"/>
      <c r="H1347" s="969"/>
      <c r="I1347" s="998" t="s">
        <v>4445</v>
      </c>
      <c r="J1347" s="1206" t="s">
        <v>82</v>
      </c>
      <c r="K1347" s="984" t="s">
        <v>216</v>
      </c>
      <c r="L1347" s="959">
        <v>50.0</v>
      </c>
      <c r="M1347" s="960">
        <v>65.0</v>
      </c>
      <c r="N1347" s="960">
        <v>55.0</v>
      </c>
      <c r="O1347" s="960">
        <v>40.0</v>
      </c>
      <c r="P1347" s="960">
        <v>40.0</v>
      </c>
      <c r="Q1347" s="960">
        <v>40.0</v>
      </c>
      <c r="R1347" s="960">
        <v>116.0</v>
      </c>
      <c r="S1347" s="960">
        <v>179.0</v>
      </c>
      <c r="T1347" s="960">
        <v>196.0</v>
      </c>
      <c r="U1347" s="960">
        <f t="array" ref="U1347">HLOOKUP($J1347,'Type Chart'!$C$2:$T$20,2,false)*HLOOKUP($K1347,'Type Chart'!$C$2:$U$20,2,false)</f>
        <v>0.5</v>
      </c>
      <c r="V1347" s="960">
        <f t="array" ref="V1347">HLOOKUP($J1347,'Type Chart'!$C$2:$T$20,3,false)*HLOOKUP($K1347,'Type Chart'!$C$2:$U$20,3,false)</f>
        <v>2</v>
      </c>
      <c r="W1347" s="960">
        <f t="array" ref="W1347">HLOOKUP($J1347,'Type Chart'!$C$2:$T$20,4,false)*HLOOKUP($K1347,'Type Chart'!$C$2:$U$20,4,false)</f>
        <v>0.5</v>
      </c>
      <c r="X1347" s="960">
        <f t="array" ref="X1347">HLOOKUP($J1347,'Type Chart'!$C$2:$T$20,5,false)*HLOOKUP($K1347,'Type Chart'!$C$2:$U$20,5,false)</f>
        <v>0</v>
      </c>
      <c r="Y1347" s="960">
        <f t="array" ref="Y1347">HLOOKUP($J1347,'Type Chart'!$C$2:$T$20,6,false)*HLOOKUP($K1347,'Type Chart'!$C$2:$U$20,6,false)</f>
        <v>2</v>
      </c>
      <c r="Z1347" s="960">
        <f t="array" ref="Z1347">HLOOKUP($J1347,'Type Chart'!$C$2:$T$20,7,false)*HLOOKUP($K1347,'Type Chart'!$C$2:$U$20,7,false)</f>
        <v>0.5</v>
      </c>
      <c r="AA1347" s="960">
        <f t="array" ref="AA1347">HLOOKUP($J1347,'Type Chart'!$C$2:$T$20,8,false)*HLOOKUP($K1347,'Type Chart'!$C$2:$U$20,8,false)</f>
        <v>0.5</v>
      </c>
      <c r="AB1347" s="960">
        <f t="array" ref="AB1347">HLOOKUP($J1347,'Type Chart'!$C$2:$T$20,9,false)*HLOOKUP($K1347,'Type Chart'!$C$2:$U$20,9,false)</f>
        <v>1</v>
      </c>
      <c r="AC1347" s="960">
        <f t="array" ref="AC1347">HLOOKUP($J1347,'Type Chart'!$C$2:$T$20,10,false)*HLOOKUP($K1347,'Type Chart'!$C$2:$U$20,10,false)</f>
        <v>0.5</v>
      </c>
      <c r="AD1347" s="960">
        <f t="array" ref="AD1347">HLOOKUP($J1347,'Type Chart'!$C$2:$T$20,11,false)*HLOOKUP($K1347,'Type Chart'!$C$2:$U$20,11,false)</f>
        <v>2</v>
      </c>
      <c r="AE1347" s="960">
        <f t="array" ref="AE1347">HLOOKUP($J1347,'Type Chart'!$C$2:$T$20,12,false)*HLOOKUP($K1347,'Type Chart'!$C$2:$U$20,12,false)</f>
        <v>1</v>
      </c>
      <c r="AF1347" s="960">
        <f t="array" ref="AF1347">HLOOKUP($J1347,'Type Chart'!$C$2:$T$20,13,false)*HLOOKUP($K1347,'Type Chart'!$C$2:$U$20,13,false)</f>
        <v>0.5</v>
      </c>
      <c r="AG1347" s="960">
        <f t="array" ref="AG1347">HLOOKUP($J1347,'Type Chart'!$C$2:$T$20,14,false)*HLOOKUP($K1347,'Type Chart'!$C$2:$U$20,14,false)</f>
        <v>1</v>
      </c>
      <c r="AH1347" s="960">
        <f t="array" ref="AH1347">HLOOKUP($J1347,'Type Chart'!$C$2:$T$20,15,false)*HLOOKUP($K1347,'Type Chart'!$C$2:$U$20,15,false)</f>
        <v>0.5</v>
      </c>
      <c r="AI1347" s="960">
        <f t="array" ref="AI1347">HLOOKUP($J1347,'Type Chart'!$C$2:$T$20,16,false)*HLOOKUP($K1347,'Type Chart'!$C$2:$U$20,16,false)</f>
        <v>0.5</v>
      </c>
      <c r="AJ1347" s="960">
        <f t="array" ref="AJ1347">HLOOKUP($J1347,'Type Chart'!$C$2:$T$20,17,false)*HLOOKUP($K1347,'Type Chart'!$C$2:$U$20,17,false)</f>
        <v>0.5</v>
      </c>
      <c r="AK1347" s="960">
        <f t="array" ref="AK1347">HLOOKUP($J1347,'Type Chart'!$C$2:$T$20,18,false)*HLOOKUP($K1347,'Type Chart'!$C$2:$U$20,18,false)</f>
        <v>1</v>
      </c>
      <c r="AL1347" s="960">
        <f t="array" ref="AL1347">HLOOKUP($J1347,'Type Chart'!$C$2:$T$20,19,false)*HLOOKUP($K1347,'Type Chart'!$C$2:$U$20,19,false)</f>
        <v>0.5</v>
      </c>
      <c r="AM1347" s="964" t="s">
        <v>1238</v>
      </c>
      <c r="AN1347" s="964" t="s">
        <v>932</v>
      </c>
      <c r="AO1347" s="966" t="s">
        <v>1062</v>
      </c>
      <c r="AP1347" s="936"/>
      <c r="AQ1347" s="1245"/>
      <c r="AR1347" s="1245"/>
      <c r="AS1347" s="936"/>
    </row>
    <row r="1348" ht="15.75" customHeight="1">
      <c r="A1348" s="1099"/>
      <c r="B1348" s="948" t="s">
        <v>1248</v>
      </c>
      <c r="C1348" s="1197" t="s">
        <v>1249</v>
      </c>
      <c r="D1348" s="1197" t="s">
        <v>1249</v>
      </c>
      <c r="E1348" s="1147" t="s">
        <v>1249</v>
      </c>
      <c r="F1348" s="940"/>
      <c r="G1348" s="953"/>
      <c r="H1348" s="969"/>
      <c r="I1348" s="998" t="s">
        <v>4446</v>
      </c>
      <c r="J1348" s="1194" t="s">
        <v>136</v>
      </c>
      <c r="K1348" s="984" t="s">
        <v>216</v>
      </c>
      <c r="L1348" s="959">
        <v>65.0</v>
      </c>
      <c r="M1348" s="960">
        <v>70.0</v>
      </c>
      <c r="N1348" s="960">
        <v>60.0</v>
      </c>
      <c r="O1348" s="960">
        <v>65.0</v>
      </c>
      <c r="P1348" s="960">
        <v>65.0</v>
      </c>
      <c r="Q1348" s="960">
        <v>115.0</v>
      </c>
      <c r="R1348" s="960">
        <v>266.0</v>
      </c>
      <c r="S1348" s="960">
        <v>329.0</v>
      </c>
      <c r="T1348" s="960">
        <v>361.0</v>
      </c>
      <c r="U1348" s="960">
        <f t="array" ref="U1348">HLOOKUP($J1348,'Type Chart'!$C$2:$T$20,2,false)*HLOOKUP($K1348,'Type Chart'!$C$2:$U$20,2,false)</f>
        <v>1</v>
      </c>
      <c r="V1348" s="960">
        <f t="array" ref="V1348">HLOOKUP($J1348,'Type Chart'!$C$2:$T$20,3,false)*HLOOKUP($K1348,'Type Chart'!$C$2:$U$20,3,false)</f>
        <v>2</v>
      </c>
      <c r="W1348" s="960">
        <f t="array" ref="W1348">HLOOKUP($J1348,'Type Chart'!$C$2:$T$20,4,false)*HLOOKUP($K1348,'Type Chart'!$C$2:$U$20,4,false)</f>
        <v>1</v>
      </c>
      <c r="X1348" s="960">
        <f t="array" ref="X1348">HLOOKUP($J1348,'Type Chart'!$C$2:$T$20,5,false)*HLOOKUP($K1348,'Type Chart'!$C$2:$U$20,5,false)</f>
        <v>1</v>
      </c>
      <c r="Y1348" s="960">
        <f t="array" ref="Y1348">HLOOKUP($J1348,'Type Chart'!$C$2:$T$20,6,false)*HLOOKUP($K1348,'Type Chart'!$C$2:$U$20,6,false)</f>
        <v>1</v>
      </c>
      <c r="Z1348" s="960">
        <f t="array" ref="Z1348">HLOOKUP($J1348,'Type Chart'!$C$2:$T$20,7,false)*HLOOKUP($K1348,'Type Chart'!$C$2:$U$20,7,false)</f>
        <v>1</v>
      </c>
      <c r="AA1348" s="960">
        <f t="array" ref="AA1348">HLOOKUP($J1348,'Type Chart'!$C$2:$T$20,8,false)*HLOOKUP($K1348,'Type Chart'!$C$2:$U$20,8,false)</f>
        <v>1</v>
      </c>
      <c r="AB1348" s="960">
        <f t="array" ref="AB1348">HLOOKUP($J1348,'Type Chart'!$C$2:$T$20,9,false)*HLOOKUP($K1348,'Type Chart'!$C$2:$U$20,9,false)</f>
        <v>0</v>
      </c>
      <c r="AC1348" s="960">
        <f t="array" ref="AC1348">HLOOKUP($J1348,'Type Chart'!$C$2:$T$20,10,false)*HLOOKUP($K1348,'Type Chart'!$C$2:$U$20,10,false)</f>
        <v>1</v>
      </c>
      <c r="AD1348" s="960">
        <f t="array" ref="AD1348">HLOOKUP($J1348,'Type Chart'!$C$2:$T$20,11,false)*HLOOKUP($K1348,'Type Chart'!$C$2:$U$20,11,false)</f>
        <v>1</v>
      </c>
      <c r="AE1348" s="960">
        <f t="array" ref="AE1348">HLOOKUP($J1348,'Type Chart'!$C$2:$T$20,12,false)*HLOOKUP($K1348,'Type Chart'!$C$2:$U$20,12,false)</f>
        <v>1</v>
      </c>
      <c r="AF1348" s="960">
        <f t="array" ref="AF1348">HLOOKUP($J1348,'Type Chart'!$C$2:$T$20,13,false)*HLOOKUP($K1348,'Type Chart'!$C$2:$U$20,13,false)</f>
        <v>1</v>
      </c>
      <c r="AG1348" s="960">
        <f t="array" ref="AG1348">HLOOKUP($J1348,'Type Chart'!$C$2:$T$20,14,false)*HLOOKUP($K1348,'Type Chart'!$C$2:$U$20,14,false)</f>
        <v>1</v>
      </c>
      <c r="AH1348" s="960">
        <f t="array" ref="AH1348">HLOOKUP($J1348,'Type Chart'!$C$2:$T$20,15,false)*HLOOKUP($K1348,'Type Chart'!$C$2:$U$20,15,false)</f>
        <v>1</v>
      </c>
      <c r="AI1348" s="960">
        <f t="array" ref="AI1348">HLOOKUP($J1348,'Type Chart'!$C$2:$T$20,16,false)*HLOOKUP($K1348,'Type Chart'!$C$2:$U$20,16,false)</f>
        <v>1</v>
      </c>
      <c r="AJ1348" s="960">
        <f t="array" ref="AJ1348">HLOOKUP($J1348,'Type Chart'!$C$2:$T$20,17,false)*HLOOKUP($K1348,'Type Chart'!$C$2:$U$20,17,false)</f>
        <v>1</v>
      </c>
      <c r="AK1348" s="960">
        <f t="array" ref="AK1348">HLOOKUP($J1348,'Type Chart'!$C$2:$T$20,18,false)*HLOOKUP($K1348,'Type Chart'!$C$2:$U$20,18,false)</f>
        <v>1</v>
      </c>
      <c r="AL1348" s="960">
        <f t="array" ref="AL1348">HLOOKUP($J1348,'Type Chart'!$C$2:$T$20,19,false)*HLOOKUP($K1348,'Type Chart'!$C$2:$U$20,19,false)</f>
        <v>1</v>
      </c>
      <c r="AM1348" s="964" t="s">
        <v>1250</v>
      </c>
      <c r="AN1348" s="965" t="s">
        <v>1239</v>
      </c>
      <c r="AO1348" s="966" t="s">
        <v>1062</v>
      </c>
      <c r="AP1348" s="936"/>
      <c r="AQ1348" s="1245"/>
      <c r="AR1348" s="1245"/>
      <c r="AS1348" s="936"/>
    </row>
    <row r="1349" ht="15.75" customHeight="1">
      <c r="A1349" s="1099"/>
      <c r="B1349" s="948" t="s">
        <v>1251</v>
      </c>
      <c r="C1349" s="1197" t="s">
        <v>1252</v>
      </c>
      <c r="D1349" s="1197" t="s">
        <v>1252</v>
      </c>
      <c r="E1349" s="1147" t="s">
        <v>1253</v>
      </c>
      <c r="F1349" s="940"/>
      <c r="G1349" s="953"/>
      <c r="H1349" s="969"/>
      <c r="I1349" s="998" t="s">
        <v>4447</v>
      </c>
      <c r="J1349" s="1195" t="s">
        <v>193</v>
      </c>
      <c r="K1349" s="984" t="s">
        <v>216</v>
      </c>
      <c r="L1349" s="959">
        <v>65.0</v>
      </c>
      <c r="M1349" s="960">
        <v>60.0</v>
      </c>
      <c r="N1349" s="960">
        <v>60.0</v>
      </c>
      <c r="O1349" s="960">
        <v>75.0</v>
      </c>
      <c r="P1349" s="960">
        <v>65.0</v>
      </c>
      <c r="Q1349" s="960">
        <v>115.0</v>
      </c>
      <c r="R1349" s="960">
        <v>266.0</v>
      </c>
      <c r="S1349" s="960">
        <v>329.0</v>
      </c>
      <c r="T1349" s="960">
        <v>361.0</v>
      </c>
      <c r="U1349" s="960">
        <f t="array" ref="U1349">HLOOKUP($J1349,'Type Chart'!$C$2:$T$20,2,false)*HLOOKUP($K1349,'Type Chart'!$C$2:$U$20,2,false)</f>
        <v>1</v>
      </c>
      <c r="V1349" s="960">
        <f t="array" ref="V1349">HLOOKUP($J1349,'Type Chart'!$C$2:$T$20,3,false)*HLOOKUP($K1349,'Type Chart'!$C$2:$U$20,3,false)</f>
        <v>2</v>
      </c>
      <c r="W1349" s="960">
        <f t="array" ref="W1349">HLOOKUP($J1349,'Type Chart'!$C$2:$T$20,4,false)*HLOOKUP($K1349,'Type Chart'!$C$2:$U$20,4,false)</f>
        <v>1</v>
      </c>
      <c r="X1349" s="960">
        <f t="array" ref="X1349">HLOOKUP($J1349,'Type Chart'!$C$2:$T$20,5,false)*HLOOKUP($K1349,'Type Chart'!$C$2:$U$20,5,false)</f>
        <v>1</v>
      </c>
      <c r="Y1349" s="960">
        <f t="array" ref="Y1349">HLOOKUP($J1349,'Type Chart'!$C$2:$T$20,6,false)*HLOOKUP($K1349,'Type Chart'!$C$2:$U$20,6,false)</f>
        <v>1</v>
      </c>
      <c r="Z1349" s="960">
        <f t="array" ref="Z1349">HLOOKUP($J1349,'Type Chart'!$C$2:$T$20,7,false)*HLOOKUP($K1349,'Type Chart'!$C$2:$U$20,7,false)</f>
        <v>1</v>
      </c>
      <c r="AA1349" s="960">
        <f t="array" ref="AA1349">HLOOKUP($J1349,'Type Chart'!$C$2:$T$20,8,false)*HLOOKUP($K1349,'Type Chart'!$C$2:$U$20,8,false)</f>
        <v>2</v>
      </c>
      <c r="AB1349" s="960">
        <f t="array" ref="AB1349">HLOOKUP($J1349,'Type Chart'!$C$2:$T$20,9,false)*HLOOKUP($K1349,'Type Chart'!$C$2:$U$20,9,false)</f>
        <v>0.5</v>
      </c>
      <c r="AC1349" s="960">
        <f t="array" ref="AC1349">HLOOKUP($J1349,'Type Chart'!$C$2:$T$20,10,false)*HLOOKUP($K1349,'Type Chart'!$C$2:$U$20,10,false)</f>
        <v>1</v>
      </c>
      <c r="AD1349" s="960">
        <f t="array" ref="AD1349">HLOOKUP($J1349,'Type Chart'!$C$2:$T$20,11,false)*HLOOKUP($K1349,'Type Chart'!$C$2:$U$20,11,false)</f>
        <v>1</v>
      </c>
      <c r="AE1349" s="960">
        <f t="array" ref="AE1349">HLOOKUP($J1349,'Type Chart'!$C$2:$T$20,12,false)*HLOOKUP($K1349,'Type Chart'!$C$2:$U$20,12,false)</f>
        <v>1</v>
      </c>
      <c r="AF1349" s="960">
        <f t="array" ref="AF1349">HLOOKUP($J1349,'Type Chart'!$C$2:$T$20,13,false)*HLOOKUP($K1349,'Type Chart'!$C$2:$U$20,13,false)</f>
        <v>1</v>
      </c>
      <c r="AG1349" s="960">
        <f t="array" ref="AG1349">HLOOKUP($J1349,'Type Chart'!$C$2:$T$20,14,false)*HLOOKUP($K1349,'Type Chart'!$C$2:$U$20,14,false)</f>
        <v>1</v>
      </c>
      <c r="AH1349" s="960">
        <f t="array" ref="AH1349">HLOOKUP($J1349,'Type Chart'!$C$2:$T$20,15,false)*HLOOKUP($K1349,'Type Chart'!$C$2:$U$20,15,false)</f>
        <v>0</v>
      </c>
      <c r="AI1349" s="960">
        <f t="array" ref="AI1349">HLOOKUP($J1349,'Type Chart'!$C$2:$T$20,16,false)*HLOOKUP($K1349,'Type Chart'!$C$2:$U$20,16,false)</f>
        <v>1</v>
      </c>
      <c r="AJ1349" s="960">
        <f t="array" ref="AJ1349">HLOOKUP($J1349,'Type Chart'!$C$2:$T$20,17,false)*HLOOKUP($K1349,'Type Chart'!$C$2:$U$20,17,false)</f>
        <v>1</v>
      </c>
      <c r="AK1349" s="960">
        <f t="array" ref="AK1349">HLOOKUP($J1349,'Type Chart'!$C$2:$T$20,18,false)*HLOOKUP($K1349,'Type Chart'!$C$2:$U$20,18,false)</f>
        <v>0.5</v>
      </c>
      <c r="AL1349" s="960">
        <f t="array" ref="AL1349">HLOOKUP($J1349,'Type Chart'!$C$2:$T$20,19,false)*HLOOKUP($K1349,'Type Chart'!$C$2:$U$20,19,false)</f>
        <v>2</v>
      </c>
      <c r="AM1349" s="964" t="s">
        <v>1254</v>
      </c>
      <c r="AN1349" s="965" t="s">
        <v>1239</v>
      </c>
      <c r="AO1349" s="966" t="s">
        <v>1243</v>
      </c>
      <c r="AP1349" s="936"/>
      <c r="AQ1349" s="1245"/>
      <c r="AR1349" s="1245"/>
      <c r="AS1349" s="936"/>
    </row>
    <row r="1350" ht="15.75" customHeight="1">
      <c r="A1350" s="1099"/>
      <c r="B1350" s="948" t="s">
        <v>1255</v>
      </c>
      <c r="C1350" s="1197" t="s">
        <v>1256</v>
      </c>
      <c r="D1350" s="1197" t="s">
        <v>1256</v>
      </c>
      <c r="E1350" s="1147" t="s">
        <v>1256</v>
      </c>
      <c r="F1350" s="940"/>
      <c r="G1350" s="953"/>
      <c r="H1350" s="969"/>
      <c r="I1350" s="998" t="s">
        <v>4448</v>
      </c>
      <c r="J1350" s="1056" t="s">
        <v>81</v>
      </c>
      <c r="K1350" s="984" t="s">
        <v>216</v>
      </c>
      <c r="L1350" s="959">
        <v>50.0</v>
      </c>
      <c r="M1350" s="960">
        <v>52.0</v>
      </c>
      <c r="N1350" s="960">
        <v>48.0</v>
      </c>
      <c r="O1350" s="960">
        <v>65.0</v>
      </c>
      <c r="P1350" s="960">
        <v>50.0</v>
      </c>
      <c r="Q1350" s="960">
        <v>55.0</v>
      </c>
      <c r="R1350" s="960">
        <v>146.0</v>
      </c>
      <c r="S1350" s="960">
        <v>209.0</v>
      </c>
      <c r="T1350" s="960">
        <v>229.0</v>
      </c>
      <c r="U1350" s="960">
        <f t="array" ref="U1350">HLOOKUP($J1350,'Type Chart'!$C$2:$T$20,2,false)*HLOOKUP($K1350,'Type Chart'!$C$2:$U$20,2,false)</f>
        <v>1</v>
      </c>
      <c r="V1350" s="960">
        <f t="array" ref="V1350">HLOOKUP($J1350,'Type Chart'!$C$2:$T$20,3,false)*HLOOKUP($K1350,'Type Chart'!$C$2:$U$20,3,false)</f>
        <v>1</v>
      </c>
      <c r="W1350" s="960">
        <f t="array" ref="W1350">HLOOKUP($J1350,'Type Chart'!$C$2:$T$20,4,false)*HLOOKUP($K1350,'Type Chart'!$C$2:$U$20,4,false)</f>
        <v>1</v>
      </c>
      <c r="X1350" s="960">
        <f t="array" ref="X1350">HLOOKUP($J1350,'Type Chart'!$C$2:$T$20,5,false)*HLOOKUP($K1350,'Type Chart'!$C$2:$U$20,5,false)</f>
        <v>1</v>
      </c>
      <c r="Y1350" s="960">
        <f t="array" ref="Y1350">HLOOKUP($J1350,'Type Chart'!$C$2:$T$20,6,false)*HLOOKUP($K1350,'Type Chart'!$C$2:$U$20,6,false)</f>
        <v>1</v>
      </c>
      <c r="Z1350" s="960">
        <f t="array" ref="Z1350">HLOOKUP($J1350,'Type Chart'!$C$2:$T$20,7,false)*HLOOKUP($K1350,'Type Chart'!$C$2:$U$20,7,false)</f>
        <v>1</v>
      </c>
      <c r="AA1350" s="960">
        <f t="array" ref="AA1350">HLOOKUP($J1350,'Type Chart'!$C$2:$T$20,8,false)*HLOOKUP($K1350,'Type Chart'!$C$2:$U$20,8,false)</f>
        <v>1</v>
      </c>
      <c r="AB1350" s="960">
        <f t="array" ref="AB1350">HLOOKUP($J1350,'Type Chart'!$C$2:$T$20,9,false)*HLOOKUP($K1350,'Type Chart'!$C$2:$U$20,9,false)</f>
        <v>1</v>
      </c>
      <c r="AC1350" s="960">
        <f t="array" ref="AC1350">HLOOKUP($J1350,'Type Chart'!$C$2:$T$20,10,false)*HLOOKUP($K1350,'Type Chart'!$C$2:$U$20,10,false)</f>
        <v>0.5</v>
      </c>
      <c r="AD1350" s="960">
        <f t="array" ref="AD1350">HLOOKUP($J1350,'Type Chart'!$C$2:$T$20,11,false)*HLOOKUP($K1350,'Type Chart'!$C$2:$U$20,11,false)</f>
        <v>0.5</v>
      </c>
      <c r="AE1350" s="960">
        <f t="array" ref="AE1350">HLOOKUP($J1350,'Type Chart'!$C$2:$T$20,12,false)*HLOOKUP($K1350,'Type Chart'!$C$2:$U$20,12,false)</f>
        <v>0.5</v>
      </c>
      <c r="AF1350" s="960">
        <f t="array" ref="AF1350">HLOOKUP($J1350,'Type Chart'!$C$2:$T$20,13,false)*HLOOKUP($K1350,'Type Chart'!$C$2:$U$20,13,false)</f>
        <v>2</v>
      </c>
      <c r="AG1350" s="960">
        <f t="array" ref="AG1350">HLOOKUP($J1350,'Type Chart'!$C$2:$T$20,14,false)*HLOOKUP($K1350,'Type Chart'!$C$2:$U$20,14,false)</f>
        <v>2</v>
      </c>
      <c r="AH1350" s="960">
        <f t="array" ref="AH1350">HLOOKUP($J1350,'Type Chart'!$C$2:$T$20,15,false)*HLOOKUP($K1350,'Type Chart'!$C$2:$U$20,15,false)</f>
        <v>1</v>
      </c>
      <c r="AI1350" s="960">
        <f t="array" ref="AI1350">HLOOKUP($J1350,'Type Chart'!$C$2:$T$20,16,false)*HLOOKUP($K1350,'Type Chart'!$C$2:$U$20,16,false)</f>
        <v>0.5</v>
      </c>
      <c r="AJ1350" s="960">
        <f t="array" ref="AJ1350">HLOOKUP($J1350,'Type Chart'!$C$2:$T$20,17,false)*HLOOKUP($K1350,'Type Chart'!$C$2:$U$20,17,false)</f>
        <v>1</v>
      </c>
      <c r="AK1350" s="960">
        <f t="array" ref="AK1350">HLOOKUP($J1350,'Type Chart'!$C$2:$T$20,18,false)*HLOOKUP($K1350,'Type Chart'!$C$2:$U$20,18,false)</f>
        <v>1</v>
      </c>
      <c r="AL1350" s="960">
        <f t="array" ref="AL1350">HLOOKUP($J1350,'Type Chart'!$C$2:$T$20,19,false)*HLOOKUP($K1350,'Type Chart'!$C$2:$U$20,19,false)</f>
        <v>1</v>
      </c>
      <c r="AM1350" s="1145" t="s">
        <v>1211</v>
      </c>
      <c r="AN1350" s="965" t="s">
        <v>1258</v>
      </c>
      <c r="AO1350" s="1146" t="s">
        <v>1259</v>
      </c>
      <c r="AP1350" s="936"/>
      <c r="AQ1350" s="1245"/>
      <c r="AR1350" s="1245"/>
      <c r="AS1350" s="936"/>
    </row>
    <row r="1351" ht="15.75" customHeight="1">
      <c r="A1351" s="1099"/>
      <c r="B1351" s="948" t="s">
        <v>1260</v>
      </c>
      <c r="C1351" s="1197" t="s">
        <v>1261</v>
      </c>
      <c r="D1351" s="1197" t="s">
        <v>1261</v>
      </c>
      <c r="E1351" s="1147" t="s">
        <v>1261</v>
      </c>
      <c r="F1351" s="940"/>
      <c r="G1351" s="953"/>
      <c r="H1351" s="969"/>
      <c r="I1351" s="998" t="s">
        <v>4449</v>
      </c>
      <c r="J1351" s="1211" t="s">
        <v>81</v>
      </c>
      <c r="K1351" s="1199" t="s">
        <v>216</v>
      </c>
      <c r="L1351" s="1200">
        <v>80.0</v>
      </c>
      <c r="M1351" s="1201">
        <v>82.0</v>
      </c>
      <c r="N1351" s="1201">
        <v>78.0</v>
      </c>
      <c r="O1351" s="1201">
        <v>95.0</v>
      </c>
      <c r="P1351" s="1201">
        <v>80.0</v>
      </c>
      <c r="Q1351" s="1201">
        <v>85.0</v>
      </c>
      <c r="R1351" s="960">
        <v>206.0</v>
      </c>
      <c r="S1351" s="960">
        <v>269.0</v>
      </c>
      <c r="T1351" s="960">
        <v>295.0</v>
      </c>
      <c r="U1351" s="960">
        <f t="array" ref="U1351">HLOOKUP($J1351,'Type Chart'!$C$2:$T$20,2,false)*HLOOKUP($K1351,'Type Chart'!$C$2:$U$20,2,false)</f>
        <v>1</v>
      </c>
      <c r="V1351" s="960">
        <f t="array" ref="V1351">HLOOKUP($J1351,'Type Chart'!$C$2:$T$20,3,false)*HLOOKUP($K1351,'Type Chart'!$C$2:$U$20,3,false)</f>
        <v>1</v>
      </c>
      <c r="W1351" s="960">
        <f t="array" ref="W1351">HLOOKUP($J1351,'Type Chart'!$C$2:$T$20,4,false)*HLOOKUP($K1351,'Type Chart'!$C$2:$U$20,4,false)</f>
        <v>1</v>
      </c>
      <c r="X1351" s="960">
        <f t="array" ref="X1351">HLOOKUP($J1351,'Type Chart'!$C$2:$T$20,5,false)*HLOOKUP($K1351,'Type Chart'!$C$2:$U$20,5,false)</f>
        <v>1</v>
      </c>
      <c r="Y1351" s="960">
        <f t="array" ref="Y1351">HLOOKUP($J1351,'Type Chart'!$C$2:$T$20,6,false)*HLOOKUP($K1351,'Type Chart'!$C$2:$U$20,6,false)</f>
        <v>1</v>
      </c>
      <c r="Z1351" s="960">
        <f t="array" ref="Z1351">HLOOKUP($J1351,'Type Chart'!$C$2:$T$20,7,false)*HLOOKUP($K1351,'Type Chart'!$C$2:$U$20,7,false)</f>
        <v>1</v>
      </c>
      <c r="AA1351" s="960">
        <f t="array" ref="AA1351">HLOOKUP($J1351,'Type Chart'!$C$2:$T$20,8,false)*HLOOKUP($K1351,'Type Chart'!$C$2:$U$20,8,false)</f>
        <v>1</v>
      </c>
      <c r="AB1351" s="960">
        <f t="array" ref="AB1351">HLOOKUP($J1351,'Type Chart'!$C$2:$T$20,9,false)*HLOOKUP($K1351,'Type Chart'!$C$2:$U$20,9,false)</f>
        <v>1</v>
      </c>
      <c r="AC1351" s="960">
        <f t="array" ref="AC1351">HLOOKUP($J1351,'Type Chart'!$C$2:$T$20,10,false)*HLOOKUP($K1351,'Type Chart'!$C$2:$U$20,10,false)</f>
        <v>0.5</v>
      </c>
      <c r="AD1351" s="960">
        <f t="array" ref="AD1351">HLOOKUP($J1351,'Type Chart'!$C$2:$T$20,11,false)*HLOOKUP($K1351,'Type Chart'!$C$2:$U$20,11,false)</f>
        <v>0.5</v>
      </c>
      <c r="AE1351" s="960">
        <f t="array" ref="AE1351">HLOOKUP($J1351,'Type Chart'!$C$2:$T$20,12,false)*HLOOKUP($K1351,'Type Chart'!$C$2:$U$20,12,false)</f>
        <v>0.5</v>
      </c>
      <c r="AF1351" s="960">
        <f t="array" ref="AF1351">HLOOKUP($J1351,'Type Chart'!$C$2:$T$20,13,false)*HLOOKUP($K1351,'Type Chart'!$C$2:$U$20,13,false)</f>
        <v>2</v>
      </c>
      <c r="AG1351" s="960">
        <f t="array" ref="AG1351">HLOOKUP($J1351,'Type Chart'!$C$2:$T$20,14,false)*HLOOKUP($K1351,'Type Chart'!$C$2:$U$20,14,false)</f>
        <v>2</v>
      </c>
      <c r="AH1351" s="960">
        <f t="array" ref="AH1351">HLOOKUP($J1351,'Type Chart'!$C$2:$T$20,15,false)*HLOOKUP($K1351,'Type Chart'!$C$2:$U$20,15,false)</f>
        <v>1</v>
      </c>
      <c r="AI1351" s="960">
        <f t="array" ref="AI1351">HLOOKUP($J1351,'Type Chart'!$C$2:$T$20,16,false)*HLOOKUP($K1351,'Type Chart'!$C$2:$U$20,16,false)</f>
        <v>0.5</v>
      </c>
      <c r="AJ1351" s="960">
        <f t="array" ref="AJ1351">HLOOKUP($J1351,'Type Chart'!$C$2:$T$20,17,false)*HLOOKUP($K1351,'Type Chart'!$C$2:$U$20,17,false)</f>
        <v>1</v>
      </c>
      <c r="AK1351" s="960">
        <f t="array" ref="AK1351">HLOOKUP($J1351,'Type Chart'!$C$2:$T$20,18,false)*HLOOKUP($K1351,'Type Chart'!$C$2:$U$20,18,false)</f>
        <v>1</v>
      </c>
      <c r="AL1351" s="960">
        <f t="array" ref="AL1351">HLOOKUP($J1351,'Type Chart'!$C$2:$T$20,19,false)*HLOOKUP($K1351,'Type Chart'!$C$2:$U$20,19,false)</f>
        <v>1</v>
      </c>
      <c r="AM1351" s="1145" t="s">
        <v>1211</v>
      </c>
      <c r="AN1351" s="1202" t="s">
        <v>1258</v>
      </c>
      <c r="AO1351" s="1146" t="s">
        <v>1259</v>
      </c>
      <c r="AP1351" s="936"/>
      <c r="AQ1351" s="1245"/>
      <c r="AR1351" s="1245"/>
      <c r="AS1351" s="936"/>
    </row>
    <row r="1352" ht="15.75" customHeight="1">
      <c r="A1352" s="1099"/>
      <c r="B1352" s="948" t="s">
        <v>1262</v>
      </c>
      <c r="C1352" s="1197" t="s">
        <v>1263</v>
      </c>
      <c r="D1352" s="1197" t="s">
        <v>1263</v>
      </c>
      <c r="E1352" s="1147" t="s">
        <v>1263</v>
      </c>
      <c r="F1352" s="940"/>
      <c r="G1352" s="953"/>
      <c r="H1352" s="969"/>
      <c r="I1352" s="998" t="s">
        <v>4450</v>
      </c>
      <c r="J1352" s="1212" t="s">
        <v>341</v>
      </c>
      <c r="K1352" s="1199" t="s">
        <v>216</v>
      </c>
      <c r="L1352" s="1200">
        <v>40.0</v>
      </c>
      <c r="M1352" s="1201">
        <v>80.0</v>
      </c>
      <c r="N1352" s="1201">
        <v>35.0</v>
      </c>
      <c r="O1352" s="1201">
        <v>35.0</v>
      </c>
      <c r="P1352" s="1201">
        <v>45.0</v>
      </c>
      <c r="Q1352" s="1201">
        <v>70.0</v>
      </c>
      <c r="R1352" s="960">
        <v>176.0</v>
      </c>
      <c r="S1352" s="960">
        <v>239.0</v>
      </c>
      <c r="T1352" s="960">
        <v>262.0</v>
      </c>
      <c r="U1352" s="960">
        <f t="array" ref="U1352">HLOOKUP($J1352,'Type Chart'!$C$2:$T$20,2,false)*HLOOKUP($K1352,'Type Chart'!$C$2:$U$20,2,false)</f>
        <v>1</v>
      </c>
      <c r="V1352" s="960">
        <f t="array" ref="V1352">HLOOKUP($J1352,'Type Chart'!$C$2:$T$20,3,false)*HLOOKUP($K1352,'Type Chart'!$C$2:$U$20,3,false)</f>
        <v>1</v>
      </c>
      <c r="W1352" s="960">
        <f t="array" ref="W1352">HLOOKUP($J1352,'Type Chart'!$C$2:$T$20,4,false)*HLOOKUP($K1352,'Type Chart'!$C$2:$U$20,4,false)</f>
        <v>2</v>
      </c>
      <c r="X1352" s="960">
        <f t="array" ref="X1352">HLOOKUP($J1352,'Type Chart'!$C$2:$T$20,5,false)*HLOOKUP($K1352,'Type Chart'!$C$2:$U$20,5,false)</f>
        <v>1</v>
      </c>
      <c r="Y1352" s="960">
        <f t="array" ref="Y1352">HLOOKUP($J1352,'Type Chart'!$C$2:$T$20,6,false)*HLOOKUP($K1352,'Type Chart'!$C$2:$U$20,6,false)</f>
        <v>1</v>
      </c>
      <c r="Z1352" s="960">
        <f t="array" ref="Z1352">HLOOKUP($J1352,'Type Chart'!$C$2:$T$20,7,false)*HLOOKUP($K1352,'Type Chart'!$C$2:$U$20,7,false)</f>
        <v>0.5</v>
      </c>
      <c r="AA1352" s="960">
        <f t="array" ref="AA1352">HLOOKUP($J1352,'Type Chart'!$C$2:$T$20,8,false)*HLOOKUP($K1352,'Type Chart'!$C$2:$U$20,8,false)</f>
        <v>0.5</v>
      </c>
      <c r="AB1352" s="960">
        <f t="array" ref="AB1352">HLOOKUP($J1352,'Type Chart'!$C$2:$T$20,9,false)*HLOOKUP($K1352,'Type Chart'!$C$2:$U$20,9,false)</f>
        <v>1</v>
      </c>
      <c r="AC1352" s="960">
        <f t="array" ref="AC1352">HLOOKUP($J1352,'Type Chart'!$C$2:$T$20,10,false)*HLOOKUP($K1352,'Type Chart'!$C$2:$U$20,10,false)</f>
        <v>1</v>
      </c>
      <c r="AD1352" s="960">
        <f t="array" ref="AD1352">HLOOKUP($J1352,'Type Chart'!$C$2:$T$20,11,false)*HLOOKUP($K1352,'Type Chart'!$C$2:$U$20,11,false)</f>
        <v>1</v>
      </c>
      <c r="AE1352" s="960">
        <f t="array" ref="AE1352">HLOOKUP($J1352,'Type Chart'!$C$2:$T$20,12,false)*HLOOKUP($K1352,'Type Chart'!$C$2:$U$20,12,false)</f>
        <v>1</v>
      </c>
      <c r="AF1352" s="960">
        <f t="array" ref="AF1352">HLOOKUP($J1352,'Type Chart'!$C$2:$T$20,13,false)*HLOOKUP($K1352,'Type Chart'!$C$2:$U$20,13,false)</f>
        <v>1</v>
      </c>
      <c r="AG1352" s="960">
        <f t="array" ref="AG1352">HLOOKUP($J1352,'Type Chart'!$C$2:$T$20,14,false)*HLOOKUP($K1352,'Type Chart'!$C$2:$U$20,14,false)</f>
        <v>1</v>
      </c>
      <c r="AH1352" s="960">
        <f t="array" ref="AH1352">HLOOKUP($J1352,'Type Chart'!$C$2:$T$20,15,false)*HLOOKUP($K1352,'Type Chart'!$C$2:$U$20,15,false)</f>
        <v>2</v>
      </c>
      <c r="AI1352" s="960">
        <f t="array" ref="AI1352">HLOOKUP($J1352,'Type Chart'!$C$2:$T$20,16,false)*HLOOKUP($K1352,'Type Chart'!$C$2:$U$20,16,false)</f>
        <v>1</v>
      </c>
      <c r="AJ1352" s="960">
        <f t="array" ref="AJ1352">HLOOKUP($J1352,'Type Chart'!$C$2:$T$20,17,false)*HLOOKUP($K1352,'Type Chart'!$C$2:$U$20,17,false)</f>
        <v>1</v>
      </c>
      <c r="AK1352" s="960">
        <f t="array" ref="AK1352">HLOOKUP($J1352,'Type Chart'!$C$2:$T$20,18,false)*HLOOKUP($K1352,'Type Chart'!$C$2:$U$20,18,false)</f>
        <v>0.5</v>
      </c>
      <c r="AL1352" s="960">
        <f t="array" ref="AL1352">HLOOKUP($J1352,'Type Chart'!$C$2:$T$20,19,false)*HLOOKUP($K1352,'Type Chart'!$C$2:$U$20,19,false)</f>
        <v>2</v>
      </c>
      <c r="AM1352" s="1145" t="s">
        <v>1265</v>
      </c>
      <c r="AN1352" s="1202" t="s">
        <v>1266</v>
      </c>
      <c r="AO1352" s="1146" t="s">
        <v>1267</v>
      </c>
      <c r="AP1352" s="936"/>
      <c r="AQ1352" s="1245"/>
      <c r="AR1352" s="1245"/>
      <c r="AS1352" s="936"/>
    </row>
    <row r="1353" ht="15.75" customHeight="1">
      <c r="A1353" s="1099"/>
      <c r="B1353" s="948" t="s">
        <v>1268</v>
      </c>
      <c r="C1353" s="1197" t="s">
        <v>1269</v>
      </c>
      <c r="D1353" s="1197" t="s">
        <v>1269</v>
      </c>
      <c r="E1353" s="1147" t="s">
        <v>1269</v>
      </c>
      <c r="F1353" s="940"/>
      <c r="G1353" s="953"/>
      <c r="H1353" s="969"/>
      <c r="I1353" s="998" t="s">
        <v>4451</v>
      </c>
      <c r="J1353" s="1213" t="s">
        <v>341</v>
      </c>
      <c r="K1353" s="984" t="s">
        <v>216</v>
      </c>
      <c r="L1353" s="959">
        <v>65.0</v>
      </c>
      <c r="M1353" s="960">
        <v>105.0</v>
      </c>
      <c r="N1353" s="960">
        <v>60.0</v>
      </c>
      <c r="O1353" s="960">
        <v>60.0</v>
      </c>
      <c r="P1353" s="960">
        <v>70.0</v>
      </c>
      <c r="Q1353" s="960">
        <v>95.0</v>
      </c>
      <c r="R1353" s="960">
        <v>226.0</v>
      </c>
      <c r="S1353" s="960">
        <v>289.0</v>
      </c>
      <c r="T1353" s="960">
        <v>317.0</v>
      </c>
      <c r="U1353" s="960">
        <f t="array" ref="U1353">HLOOKUP($J1353,'Type Chart'!$C$2:$T$20,2,false)*HLOOKUP($K1353,'Type Chart'!$C$2:$U$20,2,false)</f>
        <v>1</v>
      </c>
      <c r="V1353" s="960">
        <f t="array" ref="V1353">HLOOKUP($J1353,'Type Chart'!$C$2:$T$20,3,false)*HLOOKUP($K1353,'Type Chart'!$C$2:$U$20,3,false)</f>
        <v>1</v>
      </c>
      <c r="W1353" s="960">
        <f t="array" ref="W1353">HLOOKUP($J1353,'Type Chart'!$C$2:$T$20,4,false)*HLOOKUP($K1353,'Type Chart'!$C$2:$U$20,4,false)</f>
        <v>2</v>
      </c>
      <c r="X1353" s="960">
        <f t="array" ref="X1353">HLOOKUP($J1353,'Type Chart'!$C$2:$T$20,5,false)*HLOOKUP($K1353,'Type Chart'!$C$2:$U$20,5,false)</f>
        <v>1</v>
      </c>
      <c r="Y1353" s="960">
        <f t="array" ref="Y1353">HLOOKUP($J1353,'Type Chart'!$C$2:$T$20,6,false)*HLOOKUP($K1353,'Type Chart'!$C$2:$U$20,6,false)</f>
        <v>1</v>
      </c>
      <c r="Z1353" s="960">
        <f t="array" ref="Z1353">HLOOKUP($J1353,'Type Chart'!$C$2:$T$20,7,false)*HLOOKUP($K1353,'Type Chart'!$C$2:$U$20,7,false)</f>
        <v>0.5</v>
      </c>
      <c r="AA1353" s="960">
        <f t="array" ref="AA1353">HLOOKUP($J1353,'Type Chart'!$C$2:$T$20,8,false)*HLOOKUP($K1353,'Type Chart'!$C$2:$U$20,8,false)</f>
        <v>0.5</v>
      </c>
      <c r="AB1353" s="960">
        <f t="array" ref="AB1353">HLOOKUP($J1353,'Type Chart'!$C$2:$T$20,9,false)*HLOOKUP($K1353,'Type Chart'!$C$2:$U$20,9,false)</f>
        <v>1</v>
      </c>
      <c r="AC1353" s="960">
        <f t="array" ref="AC1353">HLOOKUP($J1353,'Type Chart'!$C$2:$T$20,10,false)*HLOOKUP($K1353,'Type Chart'!$C$2:$U$20,10,false)</f>
        <v>1</v>
      </c>
      <c r="AD1353" s="960">
        <f t="array" ref="AD1353">HLOOKUP($J1353,'Type Chart'!$C$2:$T$20,11,false)*HLOOKUP($K1353,'Type Chart'!$C$2:$U$20,11,false)</f>
        <v>1</v>
      </c>
      <c r="AE1353" s="960">
        <f t="array" ref="AE1353">HLOOKUP($J1353,'Type Chart'!$C$2:$T$20,12,false)*HLOOKUP($K1353,'Type Chart'!$C$2:$U$20,12,false)</f>
        <v>1</v>
      </c>
      <c r="AF1353" s="960">
        <f t="array" ref="AF1353">HLOOKUP($J1353,'Type Chart'!$C$2:$T$20,13,false)*HLOOKUP($K1353,'Type Chart'!$C$2:$U$20,13,false)</f>
        <v>1</v>
      </c>
      <c r="AG1353" s="960">
        <f t="array" ref="AG1353">HLOOKUP($J1353,'Type Chart'!$C$2:$T$20,14,false)*HLOOKUP($K1353,'Type Chart'!$C$2:$U$20,14,false)</f>
        <v>1</v>
      </c>
      <c r="AH1353" s="960">
        <f t="array" ref="AH1353">HLOOKUP($J1353,'Type Chart'!$C$2:$T$20,15,false)*HLOOKUP($K1353,'Type Chart'!$C$2:$U$20,15,false)</f>
        <v>2</v>
      </c>
      <c r="AI1353" s="960">
        <f t="array" ref="AI1353">HLOOKUP($J1353,'Type Chart'!$C$2:$T$20,16,false)*HLOOKUP($K1353,'Type Chart'!$C$2:$U$20,16,false)</f>
        <v>1</v>
      </c>
      <c r="AJ1353" s="960">
        <f t="array" ref="AJ1353">HLOOKUP($J1353,'Type Chart'!$C$2:$T$20,17,false)*HLOOKUP($K1353,'Type Chart'!$C$2:$U$20,17,false)</f>
        <v>1</v>
      </c>
      <c r="AK1353" s="960">
        <f t="array" ref="AK1353">HLOOKUP($J1353,'Type Chart'!$C$2:$T$20,18,false)*HLOOKUP($K1353,'Type Chart'!$C$2:$U$20,18,false)</f>
        <v>0.5</v>
      </c>
      <c r="AL1353" s="960">
        <f t="array" ref="AL1353">HLOOKUP($J1353,'Type Chart'!$C$2:$T$20,19,false)*HLOOKUP($K1353,'Type Chart'!$C$2:$U$20,19,false)</f>
        <v>2</v>
      </c>
      <c r="AM1353" s="964" t="s">
        <v>1265</v>
      </c>
      <c r="AN1353" s="965" t="s">
        <v>1266</v>
      </c>
      <c r="AO1353" s="966" t="s">
        <v>1267</v>
      </c>
      <c r="AP1353" s="936"/>
      <c r="AQ1353" s="1245"/>
      <c r="AR1353" s="1245"/>
      <c r="AS1353" s="936"/>
    </row>
    <row r="1354" ht="15.75" customHeight="1">
      <c r="A1354" s="1099"/>
      <c r="B1354" s="948" t="s">
        <v>1270</v>
      </c>
      <c r="C1354" s="1197" t="s">
        <v>1271</v>
      </c>
      <c r="D1354" s="1197" t="s">
        <v>1271</v>
      </c>
      <c r="E1354" s="1147" t="s">
        <v>1271</v>
      </c>
      <c r="F1354" s="940"/>
      <c r="G1354" s="953"/>
      <c r="H1354" s="969"/>
      <c r="I1354" s="998" t="s">
        <v>4452</v>
      </c>
      <c r="J1354" s="982" t="s">
        <v>150</v>
      </c>
      <c r="K1354" s="984" t="s">
        <v>216</v>
      </c>
      <c r="L1354" s="959">
        <v>55.0</v>
      </c>
      <c r="M1354" s="960">
        <v>70.0</v>
      </c>
      <c r="N1354" s="960">
        <v>45.0</v>
      </c>
      <c r="O1354" s="960">
        <v>70.0</v>
      </c>
      <c r="P1354" s="960">
        <v>50.0</v>
      </c>
      <c r="Q1354" s="960">
        <v>60.0</v>
      </c>
      <c r="R1354" s="960">
        <v>156.0</v>
      </c>
      <c r="S1354" s="960">
        <v>219.0</v>
      </c>
      <c r="T1354" s="960">
        <v>240.0</v>
      </c>
      <c r="U1354" s="960">
        <f t="array" ref="U1354">HLOOKUP($J1354,'Type Chart'!$C$2:$T$20,2,false)*HLOOKUP($K1354,'Type Chart'!$C$2:$U$20,2,false)</f>
        <v>1</v>
      </c>
      <c r="V1354" s="960">
        <f t="array" ref="V1354">HLOOKUP($J1354,'Type Chart'!$C$2:$T$20,3,false)*HLOOKUP($K1354,'Type Chart'!$C$2:$U$20,3,false)</f>
        <v>1</v>
      </c>
      <c r="W1354" s="960">
        <f t="array" ref="W1354">HLOOKUP($J1354,'Type Chart'!$C$2:$T$20,4,false)*HLOOKUP($K1354,'Type Chart'!$C$2:$U$20,4,false)</f>
        <v>1</v>
      </c>
      <c r="X1354" s="960">
        <f t="array" ref="X1354">HLOOKUP($J1354,'Type Chart'!$C$2:$T$20,5,false)*HLOOKUP($K1354,'Type Chart'!$C$2:$U$20,5,false)</f>
        <v>1</v>
      </c>
      <c r="Y1354" s="960">
        <f t="array" ref="Y1354">HLOOKUP($J1354,'Type Chart'!$C$2:$T$20,6,false)*HLOOKUP($K1354,'Type Chart'!$C$2:$U$20,6,false)</f>
        <v>2</v>
      </c>
      <c r="Z1354" s="960">
        <f t="array" ref="Z1354">HLOOKUP($J1354,'Type Chart'!$C$2:$T$20,7,false)*HLOOKUP($K1354,'Type Chart'!$C$2:$U$20,7,false)</f>
        <v>2</v>
      </c>
      <c r="AA1354" s="960">
        <f t="array" ref="AA1354">HLOOKUP($J1354,'Type Chart'!$C$2:$T$20,8,false)*HLOOKUP($K1354,'Type Chart'!$C$2:$U$20,8,false)</f>
        <v>0.5</v>
      </c>
      <c r="AB1354" s="960">
        <f t="array" ref="AB1354">HLOOKUP($J1354,'Type Chart'!$C$2:$T$20,9,false)*HLOOKUP($K1354,'Type Chart'!$C$2:$U$20,9,false)</f>
        <v>1</v>
      </c>
      <c r="AC1354" s="960">
        <f t="array" ref="AC1354">HLOOKUP($J1354,'Type Chart'!$C$2:$T$20,10,false)*HLOOKUP($K1354,'Type Chart'!$C$2:$U$20,10,false)</f>
        <v>0.5</v>
      </c>
      <c r="AD1354" s="960">
        <f t="array" ref="AD1354">HLOOKUP($J1354,'Type Chart'!$C$2:$T$20,11,false)*HLOOKUP($K1354,'Type Chart'!$C$2:$U$20,11,false)</f>
        <v>0.5</v>
      </c>
      <c r="AE1354" s="960">
        <f t="array" ref="AE1354">HLOOKUP($J1354,'Type Chart'!$C$2:$T$20,12,false)*HLOOKUP($K1354,'Type Chart'!$C$2:$U$20,12,false)</f>
        <v>2</v>
      </c>
      <c r="AF1354" s="960">
        <f t="array" ref="AF1354">HLOOKUP($J1354,'Type Chart'!$C$2:$T$20,13,false)*HLOOKUP($K1354,'Type Chart'!$C$2:$U$20,13,false)</f>
        <v>0.5</v>
      </c>
      <c r="AG1354" s="960">
        <f t="array" ref="AG1354">HLOOKUP($J1354,'Type Chart'!$C$2:$T$20,14,false)*HLOOKUP($K1354,'Type Chart'!$C$2:$U$20,14,false)</f>
        <v>1</v>
      </c>
      <c r="AH1354" s="960">
        <f t="array" ref="AH1354">HLOOKUP($J1354,'Type Chart'!$C$2:$T$20,15,false)*HLOOKUP($K1354,'Type Chart'!$C$2:$U$20,15,false)</f>
        <v>1</v>
      </c>
      <c r="AI1354" s="960">
        <f t="array" ref="AI1354">HLOOKUP($J1354,'Type Chart'!$C$2:$T$20,16,false)*HLOOKUP($K1354,'Type Chart'!$C$2:$U$20,16,false)</f>
        <v>0.5</v>
      </c>
      <c r="AJ1354" s="960">
        <f t="array" ref="AJ1354">HLOOKUP($J1354,'Type Chart'!$C$2:$T$20,17,false)*HLOOKUP($K1354,'Type Chart'!$C$2:$U$20,17,false)</f>
        <v>1</v>
      </c>
      <c r="AK1354" s="960">
        <f t="array" ref="AK1354">HLOOKUP($J1354,'Type Chart'!$C$2:$T$20,18,false)*HLOOKUP($K1354,'Type Chart'!$C$2:$U$20,18,false)</f>
        <v>1</v>
      </c>
      <c r="AL1354" s="960">
        <f t="array" ref="AL1354">HLOOKUP($J1354,'Type Chart'!$C$2:$T$20,19,false)*HLOOKUP($K1354,'Type Chart'!$C$2:$U$20,19,false)</f>
        <v>0.5</v>
      </c>
      <c r="AM1354" s="1145" t="s">
        <v>1061</v>
      </c>
      <c r="AN1354" s="965" t="s">
        <v>1172</v>
      </c>
      <c r="AO1354" s="966" t="s">
        <v>1273</v>
      </c>
      <c r="AP1354" s="936"/>
      <c r="AQ1354" s="1245"/>
      <c r="AR1354" s="1245"/>
      <c r="AS1354" s="936"/>
    </row>
    <row r="1355" ht="15.75" customHeight="1">
      <c r="A1355" s="1099"/>
      <c r="B1355" s="948" t="s">
        <v>1274</v>
      </c>
      <c r="C1355" s="1197" t="s">
        <v>4453</v>
      </c>
      <c r="D1355" s="1197" t="s">
        <v>4453</v>
      </c>
      <c r="E1355" s="1147" t="s">
        <v>4453</v>
      </c>
      <c r="F1355" s="940"/>
      <c r="G1355" s="953"/>
      <c r="H1355" s="969"/>
      <c r="I1355" s="998" t="s">
        <v>4454</v>
      </c>
      <c r="J1355" s="982" t="s">
        <v>150</v>
      </c>
      <c r="K1355" s="1214" t="s">
        <v>342</v>
      </c>
      <c r="L1355" s="959">
        <v>60.0</v>
      </c>
      <c r="M1355" s="960">
        <v>75.0</v>
      </c>
      <c r="N1355" s="960">
        <v>45.0</v>
      </c>
      <c r="O1355" s="960">
        <v>65.0</v>
      </c>
      <c r="P1355" s="960">
        <v>50.0</v>
      </c>
      <c r="Q1355" s="960">
        <v>55.0</v>
      </c>
      <c r="R1355" s="960">
        <v>146.0</v>
      </c>
      <c r="S1355" s="960">
        <v>209.0</v>
      </c>
      <c r="T1355" s="960">
        <v>229.0</v>
      </c>
      <c r="U1355" s="960">
        <f t="array" ref="U1355">HLOOKUP($J1355,'Type Chart'!$C$2:$T$20,2,false)*HLOOKUP($K1355,'Type Chart'!$C$2:$U$20,2,false)</f>
        <v>0.5</v>
      </c>
      <c r="V1355" s="960">
        <f t="array" ref="V1355">HLOOKUP($J1355,'Type Chart'!$C$2:$T$20,3,false)*HLOOKUP($K1355,'Type Chart'!$C$2:$U$20,3,false)</f>
        <v>2</v>
      </c>
      <c r="W1355" s="960">
        <f t="array" ref="W1355">HLOOKUP($J1355,'Type Chart'!$C$2:$T$20,4,false)*HLOOKUP($K1355,'Type Chart'!$C$2:$U$20,4,false)</f>
        <v>0.5</v>
      </c>
      <c r="X1355" s="960">
        <f t="array" ref="X1355">HLOOKUP($J1355,'Type Chart'!$C$2:$T$20,5,false)*HLOOKUP($K1355,'Type Chart'!$C$2:$U$20,5,false)</f>
        <v>0.5</v>
      </c>
      <c r="Y1355" s="960">
        <f t="array" ref="Y1355">HLOOKUP($J1355,'Type Chart'!$C$2:$T$20,6,false)*HLOOKUP($K1355,'Type Chart'!$C$2:$U$20,6,false)</f>
        <v>4</v>
      </c>
      <c r="Z1355" s="960">
        <f t="array" ref="Z1355">HLOOKUP($J1355,'Type Chart'!$C$2:$T$20,7,false)*HLOOKUP($K1355,'Type Chart'!$C$2:$U$20,7,false)</f>
        <v>2</v>
      </c>
      <c r="AA1355" s="960">
        <f t="array" ref="AA1355">HLOOKUP($J1355,'Type Chart'!$C$2:$T$20,8,false)*HLOOKUP($K1355,'Type Chart'!$C$2:$U$20,8,false)</f>
        <v>0.5</v>
      </c>
      <c r="AB1355" s="960">
        <f t="array" ref="AB1355">HLOOKUP($J1355,'Type Chart'!$C$2:$T$20,9,false)*HLOOKUP($K1355,'Type Chart'!$C$2:$U$20,9,false)</f>
        <v>1</v>
      </c>
      <c r="AC1355" s="960">
        <f t="array" ref="AC1355">HLOOKUP($J1355,'Type Chart'!$C$2:$T$20,10,false)*HLOOKUP($K1355,'Type Chart'!$C$2:$U$20,10,false)</f>
        <v>1</v>
      </c>
      <c r="AD1355" s="960">
        <f t="array" ref="AD1355">HLOOKUP($J1355,'Type Chart'!$C$2:$T$20,11,false)*HLOOKUP($K1355,'Type Chart'!$C$2:$U$20,11,false)</f>
        <v>0.25</v>
      </c>
      <c r="AE1355" s="960">
        <f t="array" ref="AE1355">HLOOKUP($J1355,'Type Chart'!$C$2:$T$20,12,false)*HLOOKUP($K1355,'Type Chart'!$C$2:$U$20,12,false)</f>
        <v>4</v>
      </c>
      <c r="AF1355" s="960">
        <f t="array" ref="AF1355">HLOOKUP($J1355,'Type Chart'!$C$2:$T$20,13,false)*HLOOKUP($K1355,'Type Chart'!$C$2:$U$20,13,false)</f>
        <v>1</v>
      </c>
      <c r="AG1355" s="960">
        <f t="array" ref="AG1355">HLOOKUP($J1355,'Type Chart'!$C$2:$T$20,14,false)*HLOOKUP($K1355,'Type Chart'!$C$2:$U$20,14,false)</f>
        <v>1</v>
      </c>
      <c r="AH1355" s="960">
        <f t="array" ref="AH1355">HLOOKUP($J1355,'Type Chart'!$C$2:$T$20,15,false)*HLOOKUP($K1355,'Type Chart'!$C$2:$U$20,15,false)</f>
        <v>1</v>
      </c>
      <c r="AI1355" s="960">
        <f t="array" ref="AI1355">HLOOKUP($J1355,'Type Chart'!$C$2:$T$20,16,false)*HLOOKUP($K1355,'Type Chart'!$C$2:$U$20,16,false)</f>
        <v>0.5</v>
      </c>
      <c r="AJ1355" s="960">
        <f t="array" ref="AJ1355">HLOOKUP($J1355,'Type Chart'!$C$2:$T$20,17,false)*HLOOKUP($K1355,'Type Chart'!$C$2:$U$20,17,false)</f>
        <v>1</v>
      </c>
      <c r="AK1355" s="960">
        <f t="array" ref="AK1355">HLOOKUP($J1355,'Type Chart'!$C$2:$T$20,18,false)*HLOOKUP($K1355,'Type Chart'!$C$2:$U$20,18,false)</f>
        <v>1</v>
      </c>
      <c r="AL1355" s="960">
        <f t="array" ref="AL1355">HLOOKUP($J1355,'Type Chart'!$C$2:$T$20,19,false)*HLOOKUP($K1355,'Type Chart'!$C$2:$U$20,19,false)</f>
        <v>0.5</v>
      </c>
      <c r="AM1355" s="964" t="s">
        <v>1061</v>
      </c>
      <c r="AN1355" s="964" t="s">
        <v>1172</v>
      </c>
      <c r="AO1355" s="966" t="s">
        <v>1276</v>
      </c>
      <c r="AP1355" s="936"/>
      <c r="AQ1355" s="1245"/>
      <c r="AR1355" s="1245"/>
      <c r="AS1355" s="936"/>
    </row>
    <row r="1356" ht="15.75" customHeight="1">
      <c r="A1356" s="1099"/>
      <c r="B1356" s="948" t="s">
        <v>1277</v>
      </c>
      <c r="C1356" s="1197" t="s">
        <v>1278</v>
      </c>
      <c r="D1356" s="1197" t="s">
        <v>1278</v>
      </c>
      <c r="E1356" s="1147" t="s">
        <v>1278</v>
      </c>
      <c r="F1356" s="940"/>
      <c r="G1356" s="953"/>
      <c r="H1356" s="969"/>
      <c r="I1356" s="998" t="s">
        <v>208</v>
      </c>
      <c r="J1356" s="1208" t="s">
        <v>150</v>
      </c>
      <c r="K1356" s="1199" t="s">
        <v>216</v>
      </c>
      <c r="L1356" s="1200">
        <v>90.0</v>
      </c>
      <c r="M1356" s="1201">
        <v>110.0</v>
      </c>
      <c r="N1356" s="1201">
        <v>80.0</v>
      </c>
      <c r="O1356" s="1201">
        <v>100.0</v>
      </c>
      <c r="P1356" s="1201">
        <v>80.0</v>
      </c>
      <c r="Q1356" s="1201">
        <v>95.0</v>
      </c>
      <c r="R1356" s="960">
        <v>226.0</v>
      </c>
      <c r="S1356" s="960">
        <v>289.0</v>
      </c>
      <c r="T1356" s="960">
        <v>317.0</v>
      </c>
      <c r="U1356" s="960">
        <f t="array" ref="U1356">HLOOKUP($J1356,'Type Chart'!$C$2:$T$20,2,false)*HLOOKUP($K1356,'Type Chart'!$C$2:$U$20,2,false)</f>
        <v>1</v>
      </c>
      <c r="V1356" s="960">
        <f t="array" ref="V1356">HLOOKUP($J1356,'Type Chart'!$C$2:$T$20,3,false)*HLOOKUP($K1356,'Type Chart'!$C$2:$U$20,3,false)</f>
        <v>1</v>
      </c>
      <c r="W1356" s="960">
        <f t="array" ref="W1356">HLOOKUP($J1356,'Type Chart'!$C$2:$T$20,4,false)*HLOOKUP($K1356,'Type Chart'!$C$2:$U$20,4,false)</f>
        <v>1</v>
      </c>
      <c r="X1356" s="960">
        <f t="array" ref="X1356">HLOOKUP($J1356,'Type Chart'!$C$2:$T$20,5,false)*HLOOKUP($K1356,'Type Chart'!$C$2:$U$20,5,false)</f>
        <v>1</v>
      </c>
      <c r="Y1356" s="960">
        <f t="array" ref="Y1356">HLOOKUP($J1356,'Type Chart'!$C$2:$T$20,6,false)*HLOOKUP($K1356,'Type Chart'!$C$2:$U$20,6,false)</f>
        <v>2</v>
      </c>
      <c r="Z1356" s="960">
        <f t="array" ref="Z1356">HLOOKUP($J1356,'Type Chart'!$C$2:$T$20,7,false)*HLOOKUP($K1356,'Type Chart'!$C$2:$U$20,7,false)</f>
        <v>2</v>
      </c>
      <c r="AA1356" s="960">
        <f t="array" ref="AA1356">HLOOKUP($J1356,'Type Chart'!$C$2:$T$20,8,false)*HLOOKUP($K1356,'Type Chart'!$C$2:$U$20,8,false)</f>
        <v>0.5</v>
      </c>
      <c r="AB1356" s="960">
        <f t="array" ref="AB1356">HLOOKUP($J1356,'Type Chart'!$C$2:$T$20,9,false)*HLOOKUP($K1356,'Type Chart'!$C$2:$U$20,9,false)</f>
        <v>1</v>
      </c>
      <c r="AC1356" s="960">
        <f t="array" ref="AC1356">HLOOKUP($J1356,'Type Chart'!$C$2:$T$20,10,false)*HLOOKUP($K1356,'Type Chart'!$C$2:$U$20,10,false)</f>
        <v>0.5</v>
      </c>
      <c r="AD1356" s="960">
        <f t="array" ref="AD1356">HLOOKUP($J1356,'Type Chart'!$C$2:$T$20,11,false)*HLOOKUP($K1356,'Type Chart'!$C$2:$U$20,11,false)</f>
        <v>0.5</v>
      </c>
      <c r="AE1356" s="960">
        <f t="array" ref="AE1356">HLOOKUP($J1356,'Type Chart'!$C$2:$T$20,12,false)*HLOOKUP($K1356,'Type Chart'!$C$2:$U$20,12,false)</f>
        <v>2</v>
      </c>
      <c r="AF1356" s="960">
        <f t="array" ref="AF1356">HLOOKUP($J1356,'Type Chart'!$C$2:$T$20,13,false)*HLOOKUP($K1356,'Type Chart'!$C$2:$U$20,13,false)</f>
        <v>0.5</v>
      </c>
      <c r="AG1356" s="960">
        <f t="array" ref="AG1356">HLOOKUP($J1356,'Type Chart'!$C$2:$T$20,14,false)*HLOOKUP($K1356,'Type Chart'!$C$2:$U$20,14,false)</f>
        <v>1</v>
      </c>
      <c r="AH1356" s="960">
        <f t="array" ref="AH1356">HLOOKUP($J1356,'Type Chart'!$C$2:$T$20,15,false)*HLOOKUP($K1356,'Type Chart'!$C$2:$U$20,15,false)</f>
        <v>1</v>
      </c>
      <c r="AI1356" s="960">
        <f t="array" ref="AI1356">HLOOKUP($J1356,'Type Chart'!$C$2:$T$20,16,false)*HLOOKUP($K1356,'Type Chart'!$C$2:$U$20,16,false)</f>
        <v>0.5</v>
      </c>
      <c r="AJ1356" s="960">
        <f t="array" ref="AJ1356">HLOOKUP($J1356,'Type Chart'!$C$2:$T$20,17,false)*HLOOKUP($K1356,'Type Chart'!$C$2:$U$20,17,false)</f>
        <v>1</v>
      </c>
      <c r="AK1356" s="960">
        <f t="array" ref="AK1356">HLOOKUP($J1356,'Type Chart'!$C$2:$T$20,18,false)*HLOOKUP($K1356,'Type Chart'!$C$2:$U$20,18,false)</f>
        <v>1</v>
      </c>
      <c r="AL1356" s="960">
        <f t="array" ref="AL1356">HLOOKUP($J1356,'Type Chart'!$C$2:$T$20,19,false)*HLOOKUP($K1356,'Type Chart'!$C$2:$U$20,19,false)</f>
        <v>0.5</v>
      </c>
      <c r="AM1356" s="1145" t="s">
        <v>1061</v>
      </c>
      <c r="AN1356" s="965" t="s">
        <v>1172</v>
      </c>
      <c r="AO1356" s="1146" t="s">
        <v>1273</v>
      </c>
      <c r="AP1356" s="936"/>
      <c r="AQ1356" s="1245"/>
      <c r="AR1356" s="1245"/>
      <c r="AS1356" s="936"/>
    </row>
    <row r="1357" ht="15.75" customHeight="1">
      <c r="A1357" s="1099"/>
      <c r="B1357" s="948" t="s">
        <v>1279</v>
      </c>
      <c r="C1357" s="1197" t="s">
        <v>4455</v>
      </c>
      <c r="D1357" s="1197" t="s">
        <v>4455</v>
      </c>
      <c r="E1357" s="1147" t="s">
        <v>4455</v>
      </c>
      <c r="F1357" s="940"/>
      <c r="G1357" s="953"/>
      <c r="H1357" s="969"/>
      <c r="I1357" s="998" t="s">
        <v>4456</v>
      </c>
      <c r="J1357" s="982" t="s">
        <v>150</v>
      </c>
      <c r="K1357" s="1214" t="s">
        <v>342</v>
      </c>
      <c r="L1357" s="959">
        <v>95.0</v>
      </c>
      <c r="M1357" s="960">
        <v>115.0</v>
      </c>
      <c r="N1357" s="960">
        <v>80.0</v>
      </c>
      <c r="O1357" s="960">
        <v>95.0</v>
      </c>
      <c r="P1357" s="960">
        <v>80.0</v>
      </c>
      <c r="Q1357" s="960">
        <v>90.0</v>
      </c>
      <c r="R1357" s="960">
        <v>216.0</v>
      </c>
      <c r="S1357" s="960">
        <v>279.0</v>
      </c>
      <c r="T1357" s="960">
        <v>306.0</v>
      </c>
      <c r="U1357" s="960">
        <f t="array" ref="U1357">HLOOKUP($J1357,'Type Chart'!$C$2:$T$20,2,false)*HLOOKUP($K1357,'Type Chart'!$C$2:$U$20,2,false)</f>
        <v>0.5</v>
      </c>
      <c r="V1357" s="960">
        <f t="array" ref="V1357">HLOOKUP($J1357,'Type Chart'!$C$2:$T$20,3,false)*HLOOKUP($K1357,'Type Chart'!$C$2:$U$20,3,false)</f>
        <v>2</v>
      </c>
      <c r="W1357" s="960">
        <f t="array" ref="W1357">HLOOKUP($J1357,'Type Chart'!$C$2:$T$20,4,false)*HLOOKUP($K1357,'Type Chart'!$C$2:$U$20,4,false)</f>
        <v>0.5</v>
      </c>
      <c r="X1357" s="960">
        <f t="array" ref="X1357">HLOOKUP($J1357,'Type Chart'!$C$2:$T$20,5,false)*HLOOKUP($K1357,'Type Chart'!$C$2:$U$20,5,false)</f>
        <v>0.5</v>
      </c>
      <c r="Y1357" s="960">
        <f t="array" ref="Y1357">HLOOKUP($J1357,'Type Chart'!$C$2:$T$20,6,false)*HLOOKUP($K1357,'Type Chart'!$C$2:$U$20,6,false)</f>
        <v>4</v>
      </c>
      <c r="Z1357" s="960">
        <f t="array" ref="Z1357">HLOOKUP($J1357,'Type Chart'!$C$2:$T$20,7,false)*HLOOKUP($K1357,'Type Chart'!$C$2:$U$20,7,false)</f>
        <v>2</v>
      </c>
      <c r="AA1357" s="960">
        <f t="array" ref="AA1357">HLOOKUP($J1357,'Type Chart'!$C$2:$T$20,8,false)*HLOOKUP($K1357,'Type Chart'!$C$2:$U$20,8,false)</f>
        <v>0.5</v>
      </c>
      <c r="AB1357" s="960">
        <f t="array" ref="AB1357">HLOOKUP($J1357,'Type Chart'!$C$2:$T$20,9,false)*HLOOKUP($K1357,'Type Chart'!$C$2:$U$20,9,false)</f>
        <v>1</v>
      </c>
      <c r="AC1357" s="960">
        <f t="array" ref="AC1357">HLOOKUP($J1357,'Type Chart'!$C$2:$T$20,10,false)*HLOOKUP($K1357,'Type Chart'!$C$2:$U$20,10,false)</f>
        <v>1</v>
      </c>
      <c r="AD1357" s="960">
        <f t="array" ref="AD1357">HLOOKUP($J1357,'Type Chart'!$C$2:$T$20,11,false)*HLOOKUP($K1357,'Type Chart'!$C$2:$U$20,11,false)</f>
        <v>0.25</v>
      </c>
      <c r="AE1357" s="960">
        <f t="array" ref="AE1357">HLOOKUP($J1357,'Type Chart'!$C$2:$T$20,12,false)*HLOOKUP($K1357,'Type Chart'!$C$2:$U$20,12,false)</f>
        <v>4</v>
      </c>
      <c r="AF1357" s="960">
        <f t="array" ref="AF1357">HLOOKUP($J1357,'Type Chart'!$C$2:$T$20,13,false)*HLOOKUP($K1357,'Type Chart'!$C$2:$U$20,13,false)</f>
        <v>1</v>
      </c>
      <c r="AG1357" s="960">
        <f t="array" ref="AG1357">HLOOKUP($J1357,'Type Chart'!$C$2:$T$20,14,false)*HLOOKUP($K1357,'Type Chart'!$C$2:$U$20,14,false)</f>
        <v>1</v>
      </c>
      <c r="AH1357" s="960">
        <f t="array" ref="AH1357">HLOOKUP($J1357,'Type Chart'!$C$2:$T$20,15,false)*HLOOKUP($K1357,'Type Chart'!$C$2:$U$20,15,false)</f>
        <v>1</v>
      </c>
      <c r="AI1357" s="960">
        <f t="array" ref="AI1357">HLOOKUP($J1357,'Type Chart'!$C$2:$T$20,16,false)*HLOOKUP($K1357,'Type Chart'!$C$2:$U$20,16,false)</f>
        <v>0.5</v>
      </c>
      <c r="AJ1357" s="960">
        <f t="array" ref="AJ1357">HLOOKUP($J1357,'Type Chart'!$C$2:$T$20,17,false)*HLOOKUP($K1357,'Type Chart'!$C$2:$U$20,17,false)</f>
        <v>1</v>
      </c>
      <c r="AK1357" s="960">
        <f t="array" ref="AK1357">HLOOKUP($J1357,'Type Chart'!$C$2:$T$20,18,false)*HLOOKUP($K1357,'Type Chart'!$C$2:$U$20,18,false)</f>
        <v>1</v>
      </c>
      <c r="AL1357" s="960">
        <f t="array" ref="AL1357">HLOOKUP($J1357,'Type Chart'!$C$2:$T$20,19,false)*HLOOKUP($K1357,'Type Chart'!$C$2:$U$20,19,false)</f>
        <v>0.5</v>
      </c>
      <c r="AM1357" s="964" t="s">
        <v>1061</v>
      </c>
      <c r="AN1357" s="965" t="s">
        <v>1172</v>
      </c>
      <c r="AO1357" s="966" t="s">
        <v>1276</v>
      </c>
      <c r="AP1357" s="936"/>
      <c r="AQ1357" s="1245"/>
      <c r="AR1357" s="1245"/>
      <c r="AS1357" s="936"/>
    </row>
    <row r="1358" ht="15.75" customHeight="1">
      <c r="A1358" s="1099"/>
      <c r="B1358" s="948" t="s">
        <v>1280</v>
      </c>
      <c r="C1358" s="1197" t="s">
        <v>1281</v>
      </c>
      <c r="D1358" s="1197" t="s">
        <v>1281</v>
      </c>
      <c r="E1358" s="1147" t="s">
        <v>1281</v>
      </c>
      <c r="F1358" s="940"/>
      <c r="G1358" s="953"/>
      <c r="H1358" s="969"/>
      <c r="I1358" s="998" t="s">
        <v>4457</v>
      </c>
      <c r="J1358" s="1056" t="s">
        <v>81</v>
      </c>
      <c r="K1358" s="984" t="s">
        <v>216</v>
      </c>
      <c r="L1358" s="959">
        <v>40.0</v>
      </c>
      <c r="M1358" s="960">
        <v>50.0</v>
      </c>
      <c r="N1358" s="960">
        <v>40.0</v>
      </c>
      <c r="O1358" s="960">
        <v>40.0</v>
      </c>
      <c r="P1358" s="960">
        <v>40.0</v>
      </c>
      <c r="Q1358" s="960">
        <v>90.0</v>
      </c>
      <c r="R1358" s="960">
        <v>216.0</v>
      </c>
      <c r="S1358" s="960">
        <v>279.0</v>
      </c>
      <c r="T1358" s="960">
        <v>306.0</v>
      </c>
      <c r="U1358" s="960">
        <f t="array" ref="U1358">HLOOKUP($J1358,'Type Chart'!$C$2:$T$20,2,false)*HLOOKUP($K1358,'Type Chart'!$C$2:$U$20,2,false)</f>
        <v>1</v>
      </c>
      <c r="V1358" s="960">
        <f t="array" ref="V1358">HLOOKUP($J1358,'Type Chart'!$C$2:$T$20,3,false)*HLOOKUP($K1358,'Type Chart'!$C$2:$U$20,3,false)</f>
        <v>1</v>
      </c>
      <c r="W1358" s="960">
        <f t="array" ref="W1358">HLOOKUP($J1358,'Type Chart'!$C$2:$T$20,4,false)*HLOOKUP($K1358,'Type Chart'!$C$2:$U$20,4,false)</f>
        <v>1</v>
      </c>
      <c r="X1358" s="960">
        <f t="array" ref="X1358">HLOOKUP($J1358,'Type Chart'!$C$2:$T$20,5,false)*HLOOKUP($K1358,'Type Chart'!$C$2:$U$20,5,false)</f>
        <v>1</v>
      </c>
      <c r="Y1358" s="960">
        <f t="array" ref="Y1358">HLOOKUP($J1358,'Type Chart'!$C$2:$T$20,6,false)*HLOOKUP($K1358,'Type Chart'!$C$2:$U$20,6,false)</f>
        <v>1</v>
      </c>
      <c r="Z1358" s="960">
        <f t="array" ref="Z1358">HLOOKUP($J1358,'Type Chart'!$C$2:$T$20,7,false)*HLOOKUP($K1358,'Type Chart'!$C$2:$U$20,7,false)</f>
        <v>1</v>
      </c>
      <c r="AA1358" s="960">
        <f t="array" ref="AA1358">HLOOKUP($J1358,'Type Chart'!$C$2:$T$20,8,false)*HLOOKUP($K1358,'Type Chart'!$C$2:$U$20,8,false)</f>
        <v>1</v>
      </c>
      <c r="AB1358" s="960">
        <f t="array" ref="AB1358">HLOOKUP($J1358,'Type Chart'!$C$2:$T$20,9,false)*HLOOKUP($K1358,'Type Chart'!$C$2:$U$20,9,false)</f>
        <v>1</v>
      </c>
      <c r="AC1358" s="960">
        <f t="array" ref="AC1358">HLOOKUP($J1358,'Type Chart'!$C$2:$T$20,10,false)*HLOOKUP($K1358,'Type Chart'!$C$2:$U$20,10,false)</f>
        <v>0.5</v>
      </c>
      <c r="AD1358" s="960">
        <f t="array" ref="AD1358">HLOOKUP($J1358,'Type Chart'!$C$2:$T$20,11,false)*HLOOKUP($K1358,'Type Chart'!$C$2:$U$20,11,false)</f>
        <v>0.5</v>
      </c>
      <c r="AE1358" s="960">
        <f t="array" ref="AE1358">HLOOKUP($J1358,'Type Chart'!$C$2:$T$20,12,false)*HLOOKUP($K1358,'Type Chart'!$C$2:$U$20,12,false)</f>
        <v>0.5</v>
      </c>
      <c r="AF1358" s="960">
        <f t="array" ref="AF1358">HLOOKUP($J1358,'Type Chart'!$C$2:$T$20,13,false)*HLOOKUP($K1358,'Type Chart'!$C$2:$U$20,13,false)</f>
        <v>2</v>
      </c>
      <c r="AG1358" s="960">
        <f t="array" ref="AG1358">HLOOKUP($J1358,'Type Chart'!$C$2:$T$20,14,false)*HLOOKUP($K1358,'Type Chart'!$C$2:$U$20,14,false)</f>
        <v>2</v>
      </c>
      <c r="AH1358" s="960">
        <f t="array" ref="AH1358">HLOOKUP($J1358,'Type Chart'!$C$2:$T$20,15,false)*HLOOKUP($K1358,'Type Chart'!$C$2:$U$20,15,false)</f>
        <v>1</v>
      </c>
      <c r="AI1358" s="960">
        <f t="array" ref="AI1358">HLOOKUP($J1358,'Type Chart'!$C$2:$T$20,16,false)*HLOOKUP($K1358,'Type Chart'!$C$2:$U$20,16,false)</f>
        <v>0.5</v>
      </c>
      <c r="AJ1358" s="960">
        <f t="array" ref="AJ1358">HLOOKUP($J1358,'Type Chart'!$C$2:$T$20,17,false)*HLOOKUP($K1358,'Type Chart'!$C$2:$U$20,17,false)</f>
        <v>1</v>
      </c>
      <c r="AK1358" s="960">
        <f t="array" ref="AK1358">HLOOKUP($J1358,'Type Chart'!$C$2:$T$20,18,false)*HLOOKUP($K1358,'Type Chart'!$C$2:$U$20,18,false)</f>
        <v>1</v>
      </c>
      <c r="AL1358" s="960">
        <f t="array" ref="AL1358">HLOOKUP($J1358,'Type Chart'!$C$2:$T$20,19,false)*HLOOKUP($K1358,'Type Chart'!$C$2:$U$20,19,false)</f>
        <v>1</v>
      </c>
      <c r="AM1358" s="964" t="s">
        <v>1283</v>
      </c>
      <c r="AN1358" s="965" t="s">
        <v>1211</v>
      </c>
      <c r="AO1358" s="966" t="s">
        <v>1259</v>
      </c>
      <c r="AP1358" s="936"/>
      <c r="AQ1358" s="1245"/>
      <c r="AR1358" s="1245"/>
      <c r="AS1358" s="936"/>
    </row>
    <row r="1359" ht="15.75" customHeight="1">
      <c r="A1359" s="1099"/>
      <c r="B1359" s="948" t="s">
        <v>1284</v>
      </c>
      <c r="C1359" s="1197" t="s">
        <v>1285</v>
      </c>
      <c r="D1359" s="1197" t="s">
        <v>1285</v>
      </c>
      <c r="E1359" s="1147" t="s">
        <v>1285</v>
      </c>
      <c r="F1359" s="940"/>
      <c r="G1359" s="953"/>
      <c r="H1359" s="969"/>
      <c r="I1359" s="998" t="s">
        <v>4458</v>
      </c>
      <c r="J1359" s="1056" t="s">
        <v>81</v>
      </c>
      <c r="K1359" s="984" t="s">
        <v>216</v>
      </c>
      <c r="L1359" s="959">
        <v>65.0</v>
      </c>
      <c r="M1359" s="960">
        <v>65.0</v>
      </c>
      <c r="N1359" s="960">
        <v>65.0</v>
      </c>
      <c r="O1359" s="960">
        <v>50.0</v>
      </c>
      <c r="P1359" s="960">
        <v>50.0</v>
      </c>
      <c r="Q1359" s="960">
        <v>90.0</v>
      </c>
      <c r="R1359" s="960">
        <v>216.0</v>
      </c>
      <c r="S1359" s="960">
        <v>279.0</v>
      </c>
      <c r="T1359" s="960">
        <v>306.0</v>
      </c>
      <c r="U1359" s="960">
        <f t="array" ref="U1359">HLOOKUP($J1359,'Type Chart'!$C$2:$T$20,2,false)*HLOOKUP($K1359,'Type Chart'!$C$2:$U$20,2,false)</f>
        <v>1</v>
      </c>
      <c r="V1359" s="960">
        <f t="array" ref="V1359">HLOOKUP($J1359,'Type Chart'!$C$2:$T$20,3,false)*HLOOKUP($K1359,'Type Chart'!$C$2:$U$20,3,false)</f>
        <v>1</v>
      </c>
      <c r="W1359" s="960">
        <f t="array" ref="W1359">HLOOKUP($J1359,'Type Chart'!$C$2:$T$20,4,false)*HLOOKUP($K1359,'Type Chart'!$C$2:$U$20,4,false)</f>
        <v>1</v>
      </c>
      <c r="X1359" s="960">
        <f t="array" ref="X1359">HLOOKUP($J1359,'Type Chart'!$C$2:$T$20,5,false)*HLOOKUP($K1359,'Type Chart'!$C$2:$U$20,5,false)</f>
        <v>1</v>
      </c>
      <c r="Y1359" s="960">
        <f t="array" ref="Y1359">HLOOKUP($J1359,'Type Chart'!$C$2:$T$20,6,false)*HLOOKUP($K1359,'Type Chart'!$C$2:$U$20,6,false)</f>
        <v>1</v>
      </c>
      <c r="Z1359" s="960">
        <f t="array" ref="Z1359">HLOOKUP($J1359,'Type Chart'!$C$2:$T$20,7,false)*HLOOKUP($K1359,'Type Chart'!$C$2:$U$20,7,false)</f>
        <v>1</v>
      </c>
      <c r="AA1359" s="960">
        <f t="array" ref="AA1359">HLOOKUP($J1359,'Type Chart'!$C$2:$T$20,8,false)*HLOOKUP($K1359,'Type Chart'!$C$2:$U$20,8,false)</f>
        <v>1</v>
      </c>
      <c r="AB1359" s="960">
        <f t="array" ref="AB1359">HLOOKUP($J1359,'Type Chart'!$C$2:$T$20,9,false)*HLOOKUP($K1359,'Type Chart'!$C$2:$U$20,9,false)</f>
        <v>1</v>
      </c>
      <c r="AC1359" s="960">
        <f t="array" ref="AC1359">HLOOKUP($J1359,'Type Chart'!$C$2:$T$20,10,false)*HLOOKUP($K1359,'Type Chart'!$C$2:$U$20,10,false)</f>
        <v>0.5</v>
      </c>
      <c r="AD1359" s="960">
        <f t="array" ref="AD1359">HLOOKUP($J1359,'Type Chart'!$C$2:$T$20,11,false)*HLOOKUP($K1359,'Type Chart'!$C$2:$U$20,11,false)</f>
        <v>0.5</v>
      </c>
      <c r="AE1359" s="960">
        <f t="array" ref="AE1359">HLOOKUP($J1359,'Type Chart'!$C$2:$T$20,12,false)*HLOOKUP($K1359,'Type Chart'!$C$2:$U$20,12,false)</f>
        <v>0.5</v>
      </c>
      <c r="AF1359" s="960">
        <f t="array" ref="AF1359">HLOOKUP($J1359,'Type Chart'!$C$2:$T$20,13,false)*HLOOKUP($K1359,'Type Chart'!$C$2:$U$20,13,false)</f>
        <v>2</v>
      </c>
      <c r="AG1359" s="960">
        <f t="array" ref="AG1359">HLOOKUP($J1359,'Type Chart'!$C$2:$T$20,14,false)*HLOOKUP($K1359,'Type Chart'!$C$2:$U$20,14,false)</f>
        <v>2</v>
      </c>
      <c r="AH1359" s="960">
        <f t="array" ref="AH1359">HLOOKUP($J1359,'Type Chart'!$C$2:$T$20,15,false)*HLOOKUP($K1359,'Type Chart'!$C$2:$U$20,15,false)</f>
        <v>1</v>
      </c>
      <c r="AI1359" s="960">
        <f t="array" ref="AI1359">HLOOKUP($J1359,'Type Chart'!$C$2:$T$20,16,false)*HLOOKUP($K1359,'Type Chart'!$C$2:$U$20,16,false)</f>
        <v>0.5</v>
      </c>
      <c r="AJ1359" s="960">
        <f t="array" ref="AJ1359">HLOOKUP($J1359,'Type Chart'!$C$2:$T$20,17,false)*HLOOKUP($K1359,'Type Chart'!$C$2:$U$20,17,false)</f>
        <v>1</v>
      </c>
      <c r="AK1359" s="960">
        <f t="array" ref="AK1359">HLOOKUP($J1359,'Type Chart'!$C$2:$T$20,18,false)*HLOOKUP($K1359,'Type Chart'!$C$2:$U$20,18,false)</f>
        <v>1</v>
      </c>
      <c r="AL1359" s="960">
        <f t="array" ref="AL1359">HLOOKUP($J1359,'Type Chart'!$C$2:$T$20,19,false)*HLOOKUP($K1359,'Type Chart'!$C$2:$U$20,19,false)</f>
        <v>1</v>
      </c>
      <c r="AM1359" s="964" t="s">
        <v>1283</v>
      </c>
      <c r="AN1359" s="965" t="s">
        <v>1211</v>
      </c>
      <c r="AO1359" s="966" t="s">
        <v>1259</v>
      </c>
      <c r="AP1359" s="936"/>
      <c r="AQ1359" s="1245"/>
      <c r="AR1359" s="1245"/>
      <c r="AS1359" s="936"/>
    </row>
    <row r="1360" ht="15.75" customHeight="1">
      <c r="A1360" s="1099"/>
      <c r="B1360" s="948" t="s">
        <v>1287</v>
      </c>
      <c r="C1360" s="1197" t="s">
        <v>1288</v>
      </c>
      <c r="D1360" s="1197" t="s">
        <v>1288</v>
      </c>
      <c r="E1360" s="1147" t="s">
        <v>1288</v>
      </c>
      <c r="F1360" s="940"/>
      <c r="G1360" s="953"/>
      <c r="H1360" s="969"/>
      <c r="I1360" s="998" t="s">
        <v>4459</v>
      </c>
      <c r="J1360" s="1056" t="s">
        <v>81</v>
      </c>
      <c r="K1360" s="1213" t="s">
        <v>341</v>
      </c>
      <c r="L1360" s="959">
        <v>90.0</v>
      </c>
      <c r="M1360" s="960">
        <v>95.0</v>
      </c>
      <c r="N1360" s="960">
        <v>95.0</v>
      </c>
      <c r="O1360" s="960">
        <v>70.0</v>
      </c>
      <c r="P1360" s="960">
        <v>90.0</v>
      </c>
      <c r="Q1360" s="960">
        <v>70.0</v>
      </c>
      <c r="R1360" s="960">
        <v>176.0</v>
      </c>
      <c r="S1360" s="960">
        <v>239.0</v>
      </c>
      <c r="T1360" s="960">
        <v>262.0</v>
      </c>
      <c r="U1360" s="960">
        <f t="array" ref="U1360">HLOOKUP($J1360,'Type Chart'!$C$2:$T$20,2,false)*HLOOKUP($K1360,'Type Chart'!$C$2:$U$20,2,false)</f>
        <v>1</v>
      </c>
      <c r="V1360" s="960">
        <f t="array" ref="V1360">HLOOKUP($J1360,'Type Chart'!$C$2:$T$20,3,false)*HLOOKUP($K1360,'Type Chart'!$C$2:$U$20,3,false)</f>
        <v>1</v>
      </c>
      <c r="W1360" s="960">
        <f t="array" ref="W1360">HLOOKUP($J1360,'Type Chart'!$C$2:$T$20,4,false)*HLOOKUP($K1360,'Type Chart'!$C$2:$U$20,4,false)</f>
        <v>2</v>
      </c>
      <c r="X1360" s="960">
        <f t="array" ref="X1360">HLOOKUP($J1360,'Type Chart'!$C$2:$T$20,5,false)*HLOOKUP($K1360,'Type Chart'!$C$2:$U$20,5,false)</f>
        <v>1</v>
      </c>
      <c r="Y1360" s="960">
        <f t="array" ref="Y1360">HLOOKUP($J1360,'Type Chart'!$C$2:$T$20,6,false)*HLOOKUP($K1360,'Type Chart'!$C$2:$U$20,6,false)</f>
        <v>1</v>
      </c>
      <c r="Z1360" s="960">
        <f t="array" ref="Z1360">HLOOKUP($J1360,'Type Chart'!$C$2:$T$20,7,false)*HLOOKUP($K1360,'Type Chart'!$C$2:$U$20,7,false)</f>
        <v>0.5</v>
      </c>
      <c r="AA1360" s="960">
        <f t="array" ref="AA1360">HLOOKUP($J1360,'Type Chart'!$C$2:$T$20,8,false)*HLOOKUP($K1360,'Type Chart'!$C$2:$U$20,8,false)</f>
        <v>0.5</v>
      </c>
      <c r="AB1360" s="960">
        <f t="array" ref="AB1360">HLOOKUP($J1360,'Type Chart'!$C$2:$T$20,9,false)*HLOOKUP($K1360,'Type Chart'!$C$2:$U$20,9,false)</f>
        <v>1</v>
      </c>
      <c r="AC1360" s="960">
        <f t="array" ref="AC1360">HLOOKUP($J1360,'Type Chart'!$C$2:$T$20,10,false)*HLOOKUP($K1360,'Type Chart'!$C$2:$U$20,10,false)</f>
        <v>0.5</v>
      </c>
      <c r="AD1360" s="960">
        <f t="array" ref="AD1360">HLOOKUP($J1360,'Type Chart'!$C$2:$T$20,11,false)*HLOOKUP($K1360,'Type Chart'!$C$2:$U$20,11,false)</f>
        <v>0.5</v>
      </c>
      <c r="AE1360" s="960">
        <f t="array" ref="AE1360">HLOOKUP($J1360,'Type Chart'!$C$2:$T$20,12,false)*HLOOKUP($K1360,'Type Chart'!$C$2:$U$20,12,false)</f>
        <v>0.5</v>
      </c>
      <c r="AF1360" s="960">
        <f t="array" ref="AF1360">HLOOKUP($J1360,'Type Chart'!$C$2:$T$20,13,false)*HLOOKUP($K1360,'Type Chart'!$C$2:$U$20,13,false)</f>
        <v>2</v>
      </c>
      <c r="AG1360" s="960">
        <f t="array" ref="AG1360">HLOOKUP($J1360,'Type Chart'!$C$2:$T$20,14,false)*HLOOKUP($K1360,'Type Chart'!$C$2:$U$20,14,false)</f>
        <v>2</v>
      </c>
      <c r="AH1360" s="960">
        <f t="array" ref="AH1360">HLOOKUP($J1360,'Type Chart'!$C$2:$T$20,15,false)*HLOOKUP($K1360,'Type Chart'!$C$2:$U$20,15,false)</f>
        <v>2</v>
      </c>
      <c r="AI1360" s="960">
        <f t="array" ref="AI1360">HLOOKUP($J1360,'Type Chart'!$C$2:$T$20,16,false)*HLOOKUP($K1360,'Type Chart'!$C$2:$U$20,16,false)</f>
        <v>0.5</v>
      </c>
      <c r="AJ1360" s="960">
        <f t="array" ref="AJ1360">HLOOKUP($J1360,'Type Chart'!$C$2:$T$20,17,false)*HLOOKUP($K1360,'Type Chart'!$C$2:$U$20,17,false)</f>
        <v>1</v>
      </c>
      <c r="AK1360" s="960">
        <f t="array" ref="AK1360">HLOOKUP($J1360,'Type Chart'!$C$2:$T$20,18,false)*HLOOKUP($K1360,'Type Chart'!$C$2:$U$20,18,false)</f>
        <v>0.5</v>
      </c>
      <c r="AL1360" s="960">
        <f t="array" ref="AL1360">HLOOKUP($J1360,'Type Chart'!$C$2:$T$20,19,false)*HLOOKUP($K1360,'Type Chart'!$C$2:$U$20,19,false)</f>
        <v>2</v>
      </c>
      <c r="AM1360" s="964" t="s">
        <v>1283</v>
      </c>
      <c r="AN1360" s="965" t="s">
        <v>1211</v>
      </c>
      <c r="AO1360" s="966" t="s">
        <v>1259</v>
      </c>
      <c r="AP1360" s="936"/>
      <c r="AQ1360" s="1245"/>
      <c r="AR1360" s="1245"/>
      <c r="AS1360" s="936"/>
    </row>
    <row r="1361" ht="15.75" customHeight="1">
      <c r="A1361" s="1099"/>
      <c r="B1361" s="948" t="s">
        <v>1289</v>
      </c>
      <c r="C1361" s="1197" t="s">
        <v>1290</v>
      </c>
      <c r="D1361" s="1197" t="s">
        <v>1290</v>
      </c>
      <c r="E1361" s="1147" t="s">
        <v>1290</v>
      </c>
      <c r="F1361" s="940"/>
      <c r="G1361" s="953"/>
      <c r="H1361" s="969"/>
      <c r="I1361" s="998" t="s">
        <v>4460</v>
      </c>
      <c r="J1361" s="1203" t="s">
        <v>344</v>
      </c>
      <c r="K1361" s="984" t="s">
        <v>216</v>
      </c>
      <c r="L1361" s="959">
        <v>25.0</v>
      </c>
      <c r="M1361" s="960">
        <v>20.0</v>
      </c>
      <c r="N1361" s="960">
        <v>15.0</v>
      </c>
      <c r="O1361" s="960">
        <v>105.0</v>
      </c>
      <c r="P1361" s="960">
        <v>55.0</v>
      </c>
      <c r="Q1361" s="960">
        <v>90.0</v>
      </c>
      <c r="R1361" s="960">
        <v>216.0</v>
      </c>
      <c r="S1361" s="960">
        <v>279.0</v>
      </c>
      <c r="T1361" s="960">
        <v>306.0</v>
      </c>
      <c r="U1361" s="960">
        <f t="array" ref="U1361">HLOOKUP($J1361,'Type Chart'!$C$2:$T$20,2,false)*HLOOKUP($K1361,'Type Chart'!$C$2:$U$20,2,false)</f>
        <v>1</v>
      </c>
      <c r="V1361" s="960">
        <f t="array" ref="V1361">HLOOKUP($J1361,'Type Chart'!$C$2:$T$20,3,false)*HLOOKUP($K1361,'Type Chart'!$C$2:$U$20,3,false)</f>
        <v>0.5</v>
      </c>
      <c r="W1361" s="960">
        <f t="array" ref="W1361">HLOOKUP($J1361,'Type Chart'!$C$2:$T$20,4,false)*HLOOKUP($K1361,'Type Chart'!$C$2:$U$20,4,false)</f>
        <v>1</v>
      </c>
      <c r="X1361" s="960">
        <f t="array" ref="X1361">HLOOKUP($J1361,'Type Chart'!$C$2:$T$20,5,false)*HLOOKUP($K1361,'Type Chart'!$C$2:$U$20,5,false)</f>
        <v>1</v>
      </c>
      <c r="Y1361" s="960">
        <f t="array" ref="Y1361">HLOOKUP($J1361,'Type Chart'!$C$2:$T$20,6,false)*HLOOKUP($K1361,'Type Chart'!$C$2:$U$20,6,false)</f>
        <v>1</v>
      </c>
      <c r="Z1361" s="960">
        <f t="array" ref="Z1361">HLOOKUP($J1361,'Type Chart'!$C$2:$T$20,7,false)*HLOOKUP($K1361,'Type Chart'!$C$2:$U$20,7,false)</f>
        <v>1</v>
      </c>
      <c r="AA1361" s="960">
        <f t="array" ref="AA1361">HLOOKUP($J1361,'Type Chart'!$C$2:$T$20,8,false)*HLOOKUP($K1361,'Type Chart'!$C$2:$U$20,8,false)</f>
        <v>2</v>
      </c>
      <c r="AB1361" s="960">
        <f t="array" ref="AB1361">HLOOKUP($J1361,'Type Chart'!$C$2:$T$20,9,false)*HLOOKUP($K1361,'Type Chart'!$C$2:$U$20,9,false)</f>
        <v>2</v>
      </c>
      <c r="AC1361" s="960">
        <f t="array" ref="AC1361">HLOOKUP($J1361,'Type Chart'!$C$2:$T$20,10,false)*HLOOKUP($K1361,'Type Chart'!$C$2:$U$20,10,false)</f>
        <v>1</v>
      </c>
      <c r="AD1361" s="960">
        <f t="array" ref="AD1361">HLOOKUP($J1361,'Type Chart'!$C$2:$T$20,11,false)*HLOOKUP($K1361,'Type Chart'!$C$2:$U$20,11,false)</f>
        <v>1</v>
      </c>
      <c r="AE1361" s="960">
        <f t="array" ref="AE1361">HLOOKUP($J1361,'Type Chart'!$C$2:$T$20,12,false)*HLOOKUP($K1361,'Type Chart'!$C$2:$U$20,12,false)</f>
        <v>1</v>
      </c>
      <c r="AF1361" s="960">
        <f t="array" ref="AF1361">HLOOKUP($J1361,'Type Chart'!$C$2:$T$20,13,false)*HLOOKUP($K1361,'Type Chart'!$C$2:$U$20,13,false)</f>
        <v>1</v>
      </c>
      <c r="AG1361" s="960">
        <f t="array" ref="AG1361">HLOOKUP($J1361,'Type Chart'!$C$2:$T$20,14,false)*HLOOKUP($K1361,'Type Chart'!$C$2:$U$20,14,false)</f>
        <v>1</v>
      </c>
      <c r="AH1361" s="960">
        <f t="array" ref="AH1361">HLOOKUP($J1361,'Type Chart'!$C$2:$T$20,15,false)*HLOOKUP($K1361,'Type Chart'!$C$2:$U$20,15,false)</f>
        <v>0.5</v>
      </c>
      <c r="AI1361" s="960">
        <f t="array" ref="AI1361">HLOOKUP($J1361,'Type Chart'!$C$2:$T$20,16,false)*HLOOKUP($K1361,'Type Chart'!$C$2:$U$20,16,false)</f>
        <v>1</v>
      </c>
      <c r="AJ1361" s="960">
        <f t="array" ref="AJ1361">HLOOKUP($J1361,'Type Chart'!$C$2:$T$20,17,false)*HLOOKUP($K1361,'Type Chart'!$C$2:$U$20,17,false)</f>
        <v>1</v>
      </c>
      <c r="AK1361" s="960">
        <f t="array" ref="AK1361">HLOOKUP($J1361,'Type Chart'!$C$2:$T$20,18,false)*HLOOKUP($K1361,'Type Chart'!$C$2:$U$20,18,false)</f>
        <v>2</v>
      </c>
      <c r="AL1361" s="960">
        <f t="array" ref="AL1361">HLOOKUP($J1361,'Type Chart'!$C$2:$T$20,19,false)*HLOOKUP($K1361,'Type Chart'!$C$2:$U$20,19,false)</f>
        <v>1</v>
      </c>
      <c r="AM1361" s="964" t="s">
        <v>1292</v>
      </c>
      <c r="AN1361" s="965" t="s">
        <v>1192</v>
      </c>
      <c r="AO1361" s="966" t="s">
        <v>1166</v>
      </c>
      <c r="AP1361" s="936"/>
      <c r="AQ1361" s="1245"/>
      <c r="AR1361" s="1245"/>
      <c r="AS1361" s="936"/>
    </row>
    <row r="1362" ht="15.75" customHeight="1">
      <c r="A1362" s="1099"/>
      <c r="B1362" s="948" t="s">
        <v>1293</v>
      </c>
      <c r="C1362" s="1197" t="s">
        <v>1294</v>
      </c>
      <c r="D1362" s="1197" t="s">
        <v>1294</v>
      </c>
      <c r="E1362" s="1147" t="s">
        <v>1294</v>
      </c>
      <c r="F1362" s="940"/>
      <c r="G1362" s="953"/>
      <c r="H1362" s="969"/>
      <c r="I1362" s="998" t="s">
        <v>4461</v>
      </c>
      <c r="J1362" s="1203" t="s">
        <v>344</v>
      </c>
      <c r="K1362" s="984" t="s">
        <v>216</v>
      </c>
      <c r="L1362" s="959">
        <v>40.0</v>
      </c>
      <c r="M1362" s="960">
        <v>35.0</v>
      </c>
      <c r="N1362" s="960">
        <v>30.0</v>
      </c>
      <c r="O1362" s="960">
        <v>120.0</v>
      </c>
      <c r="P1362" s="960">
        <v>70.0</v>
      </c>
      <c r="Q1362" s="960">
        <v>105.0</v>
      </c>
      <c r="R1362" s="960">
        <v>246.0</v>
      </c>
      <c r="S1362" s="960">
        <v>309.0</v>
      </c>
      <c r="T1362" s="960">
        <v>339.0</v>
      </c>
      <c r="U1362" s="960">
        <f t="array" ref="U1362">HLOOKUP($J1362,'Type Chart'!$C$2:$T$20,2,false)*HLOOKUP($K1362,'Type Chart'!$C$2:$U$20,2,false)</f>
        <v>1</v>
      </c>
      <c r="V1362" s="960">
        <f t="array" ref="V1362">HLOOKUP($J1362,'Type Chart'!$C$2:$T$20,3,false)*HLOOKUP($K1362,'Type Chart'!$C$2:$U$20,3,false)</f>
        <v>0.5</v>
      </c>
      <c r="W1362" s="960">
        <f t="array" ref="W1362">HLOOKUP($J1362,'Type Chart'!$C$2:$T$20,4,false)*HLOOKUP($K1362,'Type Chart'!$C$2:$U$20,4,false)</f>
        <v>1</v>
      </c>
      <c r="X1362" s="960">
        <f t="array" ref="X1362">HLOOKUP($J1362,'Type Chart'!$C$2:$T$20,5,false)*HLOOKUP($K1362,'Type Chart'!$C$2:$U$20,5,false)</f>
        <v>1</v>
      </c>
      <c r="Y1362" s="960">
        <f t="array" ref="Y1362">HLOOKUP($J1362,'Type Chart'!$C$2:$T$20,6,false)*HLOOKUP($K1362,'Type Chart'!$C$2:$U$20,6,false)</f>
        <v>1</v>
      </c>
      <c r="Z1362" s="960">
        <f t="array" ref="Z1362">HLOOKUP($J1362,'Type Chart'!$C$2:$T$20,7,false)*HLOOKUP($K1362,'Type Chart'!$C$2:$U$20,7,false)</f>
        <v>1</v>
      </c>
      <c r="AA1362" s="960">
        <f t="array" ref="AA1362">HLOOKUP($J1362,'Type Chart'!$C$2:$T$20,8,false)*HLOOKUP($K1362,'Type Chart'!$C$2:$U$20,8,false)</f>
        <v>2</v>
      </c>
      <c r="AB1362" s="960">
        <f t="array" ref="AB1362">HLOOKUP($J1362,'Type Chart'!$C$2:$T$20,9,false)*HLOOKUP($K1362,'Type Chart'!$C$2:$U$20,9,false)</f>
        <v>2</v>
      </c>
      <c r="AC1362" s="960">
        <f t="array" ref="AC1362">HLOOKUP($J1362,'Type Chart'!$C$2:$T$20,10,false)*HLOOKUP($K1362,'Type Chart'!$C$2:$U$20,10,false)</f>
        <v>1</v>
      </c>
      <c r="AD1362" s="960">
        <f t="array" ref="AD1362">HLOOKUP($J1362,'Type Chart'!$C$2:$T$20,11,false)*HLOOKUP($K1362,'Type Chart'!$C$2:$U$20,11,false)</f>
        <v>1</v>
      </c>
      <c r="AE1362" s="960">
        <f t="array" ref="AE1362">HLOOKUP($J1362,'Type Chart'!$C$2:$T$20,12,false)*HLOOKUP($K1362,'Type Chart'!$C$2:$U$20,12,false)</f>
        <v>1</v>
      </c>
      <c r="AF1362" s="960">
        <f t="array" ref="AF1362">HLOOKUP($J1362,'Type Chart'!$C$2:$T$20,13,false)*HLOOKUP($K1362,'Type Chart'!$C$2:$U$20,13,false)</f>
        <v>1</v>
      </c>
      <c r="AG1362" s="960">
        <f t="array" ref="AG1362">HLOOKUP($J1362,'Type Chart'!$C$2:$T$20,14,false)*HLOOKUP($K1362,'Type Chart'!$C$2:$U$20,14,false)</f>
        <v>1</v>
      </c>
      <c r="AH1362" s="960">
        <f t="array" ref="AH1362">HLOOKUP($J1362,'Type Chart'!$C$2:$T$20,15,false)*HLOOKUP($K1362,'Type Chart'!$C$2:$U$20,15,false)</f>
        <v>0.5</v>
      </c>
      <c r="AI1362" s="960">
        <f t="array" ref="AI1362">HLOOKUP($J1362,'Type Chart'!$C$2:$T$20,16,false)*HLOOKUP($K1362,'Type Chart'!$C$2:$U$20,16,false)</f>
        <v>1</v>
      </c>
      <c r="AJ1362" s="960">
        <f t="array" ref="AJ1362">HLOOKUP($J1362,'Type Chart'!$C$2:$T$20,17,false)*HLOOKUP($K1362,'Type Chart'!$C$2:$U$20,17,false)</f>
        <v>1</v>
      </c>
      <c r="AK1362" s="960">
        <f t="array" ref="AK1362">HLOOKUP($J1362,'Type Chart'!$C$2:$T$20,18,false)*HLOOKUP($K1362,'Type Chart'!$C$2:$U$20,18,false)</f>
        <v>2</v>
      </c>
      <c r="AL1362" s="960">
        <f t="array" ref="AL1362">HLOOKUP($J1362,'Type Chart'!$C$2:$T$20,19,false)*HLOOKUP($K1362,'Type Chart'!$C$2:$U$20,19,false)</f>
        <v>1</v>
      </c>
      <c r="AM1362" s="964" t="s">
        <v>1292</v>
      </c>
      <c r="AN1362" s="965" t="s">
        <v>1192</v>
      </c>
      <c r="AO1362" s="966" t="s">
        <v>1166</v>
      </c>
      <c r="AP1362" s="936"/>
      <c r="AQ1362" s="1245"/>
      <c r="AR1362" s="1245"/>
      <c r="AS1362" s="936"/>
    </row>
    <row r="1363" ht="15.75" customHeight="1">
      <c r="A1363" s="1099"/>
      <c r="B1363" s="948" t="s">
        <v>1296</v>
      </c>
      <c r="C1363" s="1197" t="s">
        <v>1297</v>
      </c>
      <c r="D1363" s="1197" t="s">
        <v>1297</v>
      </c>
      <c r="E1363" s="1147" t="s">
        <v>1297</v>
      </c>
      <c r="F1363" s="940"/>
      <c r="G1363" s="953"/>
      <c r="H1363" s="969"/>
      <c r="I1363" s="998" t="s">
        <v>4462</v>
      </c>
      <c r="J1363" s="1215" t="s">
        <v>344</v>
      </c>
      <c r="K1363" s="1199" t="s">
        <v>216</v>
      </c>
      <c r="L1363" s="1200">
        <v>55.0</v>
      </c>
      <c r="M1363" s="1201">
        <v>50.0</v>
      </c>
      <c r="N1363" s="1201">
        <v>45.0</v>
      </c>
      <c r="O1363" s="1201">
        <v>135.0</v>
      </c>
      <c r="P1363" s="1201">
        <v>95.0</v>
      </c>
      <c r="Q1363" s="1201">
        <v>120.0</v>
      </c>
      <c r="R1363" s="960">
        <v>276.0</v>
      </c>
      <c r="S1363" s="960">
        <v>339.0</v>
      </c>
      <c r="T1363" s="960">
        <v>372.0</v>
      </c>
      <c r="U1363" s="960">
        <f t="array" ref="U1363">HLOOKUP($J1363,'Type Chart'!$C$2:$T$20,2,false)*HLOOKUP($K1363,'Type Chart'!$C$2:$U$20,2,false)</f>
        <v>1</v>
      </c>
      <c r="V1363" s="960">
        <f t="array" ref="V1363">HLOOKUP($J1363,'Type Chart'!$C$2:$T$20,3,false)*HLOOKUP($K1363,'Type Chart'!$C$2:$U$20,3,false)</f>
        <v>0.5</v>
      </c>
      <c r="W1363" s="960">
        <f t="array" ref="W1363">HLOOKUP($J1363,'Type Chart'!$C$2:$T$20,4,false)*HLOOKUP($K1363,'Type Chart'!$C$2:$U$20,4,false)</f>
        <v>1</v>
      </c>
      <c r="X1363" s="960">
        <f t="array" ref="X1363">HLOOKUP($J1363,'Type Chart'!$C$2:$T$20,5,false)*HLOOKUP($K1363,'Type Chart'!$C$2:$U$20,5,false)</f>
        <v>1</v>
      </c>
      <c r="Y1363" s="960">
        <f t="array" ref="Y1363">HLOOKUP($J1363,'Type Chart'!$C$2:$T$20,6,false)*HLOOKUP($K1363,'Type Chart'!$C$2:$U$20,6,false)</f>
        <v>1</v>
      </c>
      <c r="Z1363" s="960">
        <f t="array" ref="Z1363">HLOOKUP($J1363,'Type Chart'!$C$2:$T$20,7,false)*HLOOKUP($K1363,'Type Chart'!$C$2:$U$20,7,false)</f>
        <v>1</v>
      </c>
      <c r="AA1363" s="960">
        <f t="array" ref="AA1363">HLOOKUP($J1363,'Type Chart'!$C$2:$T$20,8,false)*HLOOKUP($K1363,'Type Chart'!$C$2:$U$20,8,false)</f>
        <v>2</v>
      </c>
      <c r="AB1363" s="960">
        <f t="array" ref="AB1363">HLOOKUP($J1363,'Type Chart'!$C$2:$T$20,9,false)*HLOOKUP($K1363,'Type Chart'!$C$2:$U$20,9,false)</f>
        <v>2</v>
      </c>
      <c r="AC1363" s="960">
        <f t="array" ref="AC1363">HLOOKUP($J1363,'Type Chart'!$C$2:$T$20,10,false)*HLOOKUP($K1363,'Type Chart'!$C$2:$U$20,10,false)</f>
        <v>1</v>
      </c>
      <c r="AD1363" s="960">
        <f t="array" ref="AD1363">HLOOKUP($J1363,'Type Chart'!$C$2:$T$20,11,false)*HLOOKUP($K1363,'Type Chart'!$C$2:$U$20,11,false)</f>
        <v>1</v>
      </c>
      <c r="AE1363" s="960">
        <f t="array" ref="AE1363">HLOOKUP($J1363,'Type Chart'!$C$2:$T$20,12,false)*HLOOKUP($K1363,'Type Chart'!$C$2:$U$20,12,false)</f>
        <v>1</v>
      </c>
      <c r="AF1363" s="960">
        <f t="array" ref="AF1363">HLOOKUP($J1363,'Type Chart'!$C$2:$T$20,13,false)*HLOOKUP($K1363,'Type Chart'!$C$2:$U$20,13,false)</f>
        <v>1</v>
      </c>
      <c r="AG1363" s="960">
        <f t="array" ref="AG1363">HLOOKUP($J1363,'Type Chart'!$C$2:$T$20,14,false)*HLOOKUP($K1363,'Type Chart'!$C$2:$U$20,14,false)</f>
        <v>1</v>
      </c>
      <c r="AH1363" s="960">
        <f t="array" ref="AH1363">HLOOKUP($J1363,'Type Chart'!$C$2:$T$20,15,false)*HLOOKUP($K1363,'Type Chart'!$C$2:$U$20,15,false)</f>
        <v>0.5</v>
      </c>
      <c r="AI1363" s="960">
        <f t="array" ref="AI1363">HLOOKUP($J1363,'Type Chart'!$C$2:$T$20,16,false)*HLOOKUP($K1363,'Type Chart'!$C$2:$U$20,16,false)</f>
        <v>1</v>
      </c>
      <c r="AJ1363" s="960">
        <f t="array" ref="AJ1363">HLOOKUP($J1363,'Type Chart'!$C$2:$T$20,17,false)*HLOOKUP($K1363,'Type Chart'!$C$2:$U$20,17,false)</f>
        <v>1</v>
      </c>
      <c r="AK1363" s="960">
        <f t="array" ref="AK1363">HLOOKUP($J1363,'Type Chart'!$C$2:$T$20,18,false)*HLOOKUP($K1363,'Type Chart'!$C$2:$U$20,18,false)</f>
        <v>2</v>
      </c>
      <c r="AL1363" s="960">
        <f t="array" ref="AL1363">HLOOKUP($J1363,'Type Chart'!$C$2:$T$20,19,false)*HLOOKUP($K1363,'Type Chart'!$C$2:$U$20,19,false)</f>
        <v>1</v>
      </c>
      <c r="AM1363" s="1145" t="s">
        <v>1292</v>
      </c>
      <c r="AN1363" s="1202" t="s">
        <v>1192</v>
      </c>
      <c r="AO1363" s="1146" t="s">
        <v>1166</v>
      </c>
      <c r="AP1363" s="936"/>
      <c r="AQ1363" s="1245"/>
      <c r="AR1363" s="1245"/>
      <c r="AS1363" s="936"/>
    </row>
    <row r="1364" ht="15.75" customHeight="1">
      <c r="A1364" s="1099"/>
      <c r="B1364" s="948" t="s">
        <v>1299</v>
      </c>
      <c r="C1364" s="1197" t="s">
        <v>1300</v>
      </c>
      <c r="D1364" s="1197" t="s">
        <v>1300</v>
      </c>
      <c r="E1364" s="1147" t="s">
        <v>1300</v>
      </c>
      <c r="F1364" s="940"/>
      <c r="G1364" s="953"/>
      <c r="H1364" s="969"/>
      <c r="I1364" s="998" t="s">
        <v>4463</v>
      </c>
      <c r="J1364" s="1203" t="s">
        <v>344</v>
      </c>
      <c r="K1364" s="984" t="s">
        <v>216</v>
      </c>
      <c r="L1364" s="959">
        <v>55.0</v>
      </c>
      <c r="M1364" s="960">
        <v>50.0</v>
      </c>
      <c r="N1364" s="960">
        <v>65.0</v>
      </c>
      <c r="O1364" s="960">
        <v>175.0</v>
      </c>
      <c r="P1364" s="960">
        <v>105.0</v>
      </c>
      <c r="Q1364" s="960">
        <v>150.0</v>
      </c>
      <c r="R1364" s="960">
        <v>336.0</v>
      </c>
      <c r="S1364" s="960">
        <v>399.0</v>
      </c>
      <c r="T1364" s="960">
        <v>438.0</v>
      </c>
      <c r="U1364" s="960">
        <f t="array" ref="U1364">HLOOKUP($J1364,'Type Chart'!$C$2:$T$20,2,false)*HLOOKUP($K1364,'Type Chart'!$C$2:$U$20,2,false)</f>
        <v>1</v>
      </c>
      <c r="V1364" s="960">
        <f t="array" ref="V1364">HLOOKUP($J1364,'Type Chart'!$C$2:$T$20,3,false)*HLOOKUP($K1364,'Type Chart'!$C$2:$U$20,3,false)</f>
        <v>0.5</v>
      </c>
      <c r="W1364" s="960">
        <f t="array" ref="W1364">HLOOKUP($J1364,'Type Chart'!$C$2:$T$20,4,false)*HLOOKUP($K1364,'Type Chart'!$C$2:$U$20,4,false)</f>
        <v>1</v>
      </c>
      <c r="X1364" s="960">
        <f t="array" ref="X1364">HLOOKUP($J1364,'Type Chart'!$C$2:$T$20,5,false)*HLOOKUP($K1364,'Type Chart'!$C$2:$U$20,5,false)</f>
        <v>1</v>
      </c>
      <c r="Y1364" s="960">
        <f t="array" ref="Y1364">HLOOKUP($J1364,'Type Chart'!$C$2:$T$20,6,false)*HLOOKUP($K1364,'Type Chart'!$C$2:$U$20,6,false)</f>
        <v>1</v>
      </c>
      <c r="Z1364" s="960">
        <f t="array" ref="Z1364">HLOOKUP($J1364,'Type Chart'!$C$2:$T$20,7,false)*HLOOKUP($K1364,'Type Chart'!$C$2:$U$20,7,false)</f>
        <v>1</v>
      </c>
      <c r="AA1364" s="960">
        <f t="array" ref="AA1364">HLOOKUP($J1364,'Type Chart'!$C$2:$T$20,8,false)*HLOOKUP($K1364,'Type Chart'!$C$2:$U$20,8,false)</f>
        <v>2</v>
      </c>
      <c r="AB1364" s="960">
        <f t="array" ref="AB1364">HLOOKUP($J1364,'Type Chart'!$C$2:$T$20,9,false)*HLOOKUP($K1364,'Type Chart'!$C$2:$U$20,9,false)</f>
        <v>2</v>
      </c>
      <c r="AC1364" s="960">
        <f t="array" ref="AC1364">HLOOKUP($J1364,'Type Chart'!$C$2:$T$20,10,false)*HLOOKUP($K1364,'Type Chart'!$C$2:$U$20,10,false)</f>
        <v>1</v>
      </c>
      <c r="AD1364" s="960">
        <f t="array" ref="AD1364">HLOOKUP($J1364,'Type Chart'!$C$2:$T$20,11,false)*HLOOKUP($K1364,'Type Chart'!$C$2:$U$20,11,false)</f>
        <v>1</v>
      </c>
      <c r="AE1364" s="960">
        <f t="array" ref="AE1364">HLOOKUP($J1364,'Type Chart'!$C$2:$T$20,12,false)*HLOOKUP($K1364,'Type Chart'!$C$2:$U$20,12,false)</f>
        <v>1</v>
      </c>
      <c r="AF1364" s="960">
        <f t="array" ref="AF1364">HLOOKUP($J1364,'Type Chart'!$C$2:$T$20,13,false)*HLOOKUP($K1364,'Type Chart'!$C$2:$U$20,13,false)</f>
        <v>1</v>
      </c>
      <c r="AG1364" s="960">
        <f t="array" ref="AG1364">HLOOKUP($J1364,'Type Chart'!$C$2:$T$20,14,false)*HLOOKUP($K1364,'Type Chart'!$C$2:$U$20,14,false)</f>
        <v>1</v>
      </c>
      <c r="AH1364" s="960">
        <f t="array" ref="AH1364">HLOOKUP($J1364,'Type Chart'!$C$2:$T$20,15,false)*HLOOKUP($K1364,'Type Chart'!$C$2:$U$20,15,false)</f>
        <v>0.5</v>
      </c>
      <c r="AI1364" s="960">
        <f t="array" ref="AI1364">HLOOKUP($J1364,'Type Chart'!$C$2:$T$20,16,false)*HLOOKUP($K1364,'Type Chart'!$C$2:$U$20,16,false)</f>
        <v>1</v>
      </c>
      <c r="AJ1364" s="960">
        <f t="array" ref="AJ1364">HLOOKUP($J1364,'Type Chart'!$C$2:$T$20,17,false)*HLOOKUP($K1364,'Type Chart'!$C$2:$U$20,17,false)</f>
        <v>1</v>
      </c>
      <c r="AK1364" s="960">
        <f t="array" ref="AK1364">HLOOKUP($J1364,'Type Chart'!$C$2:$T$20,18,false)*HLOOKUP($K1364,'Type Chart'!$C$2:$U$20,18,false)</f>
        <v>2</v>
      </c>
      <c r="AL1364" s="960">
        <f t="array" ref="AL1364">HLOOKUP($J1364,'Type Chart'!$C$2:$T$20,19,false)*HLOOKUP($K1364,'Type Chart'!$C$2:$U$20,19,false)</f>
        <v>1</v>
      </c>
      <c r="AM1364" s="964" t="s">
        <v>1302</v>
      </c>
      <c r="AN1364" s="965"/>
      <c r="AO1364" s="966"/>
      <c r="AP1364" s="936"/>
      <c r="AQ1364" s="1245"/>
      <c r="AR1364" s="1245"/>
      <c r="AS1364" s="936"/>
    </row>
    <row r="1365" ht="15.75" customHeight="1">
      <c r="A1365" s="1099"/>
      <c r="B1365" s="948" t="s">
        <v>1303</v>
      </c>
      <c r="C1365" s="1197" t="s">
        <v>1304</v>
      </c>
      <c r="D1365" s="1197" t="s">
        <v>1304</v>
      </c>
      <c r="E1365" s="1147" t="s">
        <v>1304</v>
      </c>
      <c r="F1365" s="940"/>
      <c r="G1365" s="953"/>
      <c r="H1365" s="969"/>
      <c r="I1365" s="998" t="s">
        <v>4464</v>
      </c>
      <c r="J1365" s="1213" t="s">
        <v>341</v>
      </c>
      <c r="K1365" s="984" t="s">
        <v>216</v>
      </c>
      <c r="L1365" s="959">
        <v>70.0</v>
      </c>
      <c r="M1365" s="960">
        <v>80.0</v>
      </c>
      <c r="N1365" s="960">
        <v>50.0</v>
      </c>
      <c r="O1365" s="960">
        <v>35.0</v>
      </c>
      <c r="P1365" s="960">
        <v>35.0</v>
      </c>
      <c r="Q1365" s="960">
        <v>35.0</v>
      </c>
      <c r="R1365" s="960">
        <v>106.0</v>
      </c>
      <c r="S1365" s="960">
        <v>169.0</v>
      </c>
      <c r="T1365" s="960">
        <v>185.0</v>
      </c>
      <c r="U1365" s="960">
        <f t="array" ref="U1365">HLOOKUP($J1365,'Type Chart'!$C$2:$T$20,2,false)*HLOOKUP($K1365,'Type Chart'!$C$2:$U$20,2,false)</f>
        <v>1</v>
      </c>
      <c r="V1365" s="960">
        <f t="array" ref="V1365">HLOOKUP($J1365,'Type Chart'!$C$2:$T$20,3,false)*HLOOKUP($K1365,'Type Chart'!$C$2:$U$20,3,false)</f>
        <v>1</v>
      </c>
      <c r="W1365" s="960">
        <f t="array" ref="W1365">HLOOKUP($J1365,'Type Chart'!$C$2:$T$20,4,false)*HLOOKUP($K1365,'Type Chart'!$C$2:$U$20,4,false)</f>
        <v>2</v>
      </c>
      <c r="X1365" s="960">
        <f t="array" ref="X1365">HLOOKUP($J1365,'Type Chart'!$C$2:$T$20,5,false)*HLOOKUP($K1365,'Type Chart'!$C$2:$U$20,5,false)</f>
        <v>1</v>
      </c>
      <c r="Y1365" s="960">
        <f t="array" ref="Y1365">HLOOKUP($J1365,'Type Chart'!$C$2:$T$20,6,false)*HLOOKUP($K1365,'Type Chart'!$C$2:$U$20,6,false)</f>
        <v>1</v>
      </c>
      <c r="Z1365" s="960">
        <f t="array" ref="Z1365">HLOOKUP($J1365,'Type Chart'!$C$2:$T$20,7,false)*HLOOKUP($K1365,'Type Chart'!$C$2:$U$20,7,false)</f>
        <v>0.5</v>
      </c>
      <c r="AA1365" s="960">
        <f t="array" ref="AA1365">HLOOKUP($J1365,'Type Chart'!$C$2:$T$20,8,false)*HLOOKUP($K1365,'Type Chart'!$C$2:$U$20,8,false)</f>
        <v>0.5</v>
      </c>
      <c r="AB1365" s="960">
        <f t="array" ref="AB1365">HLOOKUP($J1365,'Type Chart'!$C$2:$T$20,9,false)*HLOOKUP($K1365,'Type Chart'!$C$2:$U$20,9,false)</f>
        <v>1</v>
      </c>
      <c r="AC1365" s="960">
        <f t="array" ref="AC1365">HLOOKUP($J1365,'Type Chart'!$C$2:$T$20,10,false)*HLOOKUP($K1365,'Type Chart'!$C$2:$U$20,10,false)</f>
        <v>1</v>
      </c>
      <c r="AD1365" s="960">
        <f t="array" ref="AD1365">HLOOKUP($J1365,'Type Chart'!$C$2:$T$20,11,false)*HLOOKUP($K1365,'Type Chart'!$C$2:$U$20,11,false)</f>
        <v>1</v>
      </c>
      <c r="AE1365" s="960">
        <f t="array" ref="AE1365">HLOOKUP($J1365,'Type Chart'!$C$2:$T$20,12,false)*HLOOKUP($K1365,'Type Chart'!$C$2:$U$20,12,false)</f>
        <v>1</v>
      </c>
      <c r="AF1365" s="960">
        <f t="array" ref="AF1365">HLOOKUP($J1365,'Type Chart'!$C$2:$T$20,13,false)*HLOOKUP($K1365,'Type Chart'!$C$2:$U$20,13,false)</f>
        <v>1</v>
      </c>
      <c r="AG1365" s="960">
        <f t="array" ref="AG1365">HLOOKUP($J1365,'Type Chart'!$C$2:$T$20,14,false)*HLOOKUP($K1365,'Type Chart'!$C$2:$U$20,14,false)</f>
        <v>1</v>
      </c>
      <c r="AH1365" s="960">
        <f t="array" ref="AH1365">HLOOKUP($J1365,'Type Chart'!$C$2:$T$20,15,false)*HLOOKUP($K1365,'Type Chart'!$C$2:$U$20,15,false)</f>
        <v>2</v>
      </c>
      <c r="AI1365" s="960">
        <f t="array" ref="AI1365">HLOOKUP($J1365,'Type Chart'!$C$2:$T$20,16,false)*HLOOKUP($K1365,'Type Chart'!$C$2:$U$20,16,false)</f>
        <v>1</v>
      </c>
      <c r="AJ1365" s="960">
        <f t="array" ref="AJ1365">HLOOKUP($J1365,'Type Chart'!$C$2:$T$20,17,false)*HLOOKUP($K1365,'Type Chart'!$C$2:$U$20,17,false)</f>
        <v>1</v>
      </c>
      <c r="AK1365" s="960">
        <f t="array" ref="AK1365">HLOOKUP($J1365,'Type Chart'!$C$2:$T$20,18,false)*HLOOKUP($K1365,'Type Chart'!$C$2:$U$20,18,false)</f>
        <v>0.5</v>
      </c>
      <c r="AL1365" s="960">
        <f t="array" ref="AL1365">HLOOKUP($J1365,'Type Chart'!$C$2:$T$20,19,false)*HLOOKUP($K1365,'Type Chart'!$C$2:$U$20,19,false)</f>
        <v>2</v>
      </c>
      <c r="AM1365" s="964" t="s">
        <v>1038</v>
      </c>
      <c r="AN1365" s="965" t="s">
        <v>1034</v>
      </c>
      <c r="AO1365" s="966" t="s">
        <v>1306</v>
      </c>
      <c r="AP1365" s="936"/>
      <c r="AQ1365" s="1245"/>
      <c r="AR1365" s="1245"/>
      <c r="AS1365" s="936"/>
    </row>
    <row r="1366" ht="15.75" customHeight="1">
      <c r="A1366" s="1099"/>
      <c r="B1366" s="948" t="s">
        <v>1307</v>
      </c>
      <c r="C1366" s="1197" t="s">
        <v>1308</v>
      </c>
      <c r="D1366" s="1197" t="s">
        <v>1308</v>
      </c>
      <c r="E1366" s="1147" t="s">
        <v>1308</v>
      </c>
      <c r="F1366" s="940"/>
      <c r="G1366" s="953"/>
      <c r="H1366" s="969"/>
      <c r="I1366" s="998" t="s">
        <v>4465</v>
      </c>
      <c r="J1366" s="1213" t="s">
        <v>341</v>
      </c>
      <c r="K1366" s="984" t="s">
        <v>216</v>
      </c>
      <c r="L1366" s="959">
        <v>80.0</v>
      </c>
      <c r="M1366" s="960">
        <v>100.0</v>
      </c>
      <c r="N1366" s="960">
        <v>70.0</v>
      </c>
      <c r="O1366" s="960">
        <v>50.0</v>
      </c>
      <c r="P1366" s="960">
        <v>60.0</v>
      </c>
      <c r="Q1366" s="960">
        <v>45.0</v>
      </c>
      <c r="R1366" s="960">
        <v>126.0</v>
      </c>
      <c r="S1366" s="960">
        <v>189.0</v>
      </c>
      <c r="T1366" s="960">
        <v>207.0</v>
      </c>
      <c r="U1366" s="960">
        <f t="array" ref="U1366">HLOOKUP($J1366,'Type Chart'!$C$2:$T$20,2,false)*HLOOKUP($K1366,'Type Chart'!$C$2:$U$20,2,false)</f>
        <v>1</v>
      </c>
      <c r="V1366" s="960">
        <f t="array" ref="V1366">HLOOKUP($J1366,'Type Chart'!$C$2:$T$20,3,false)*HLOOKUP($K1366,'Type Chart'!$C$2:$U$20,3,false)</f>
        <v>1</v>
      </c>
      <c r="W1366" s="960">
        <f t="array" ref="W1366">HLOOKUP($J1366,'Type Chart'!$C$2:$T$20,4,false)*HLOOKUP($K1366,'Type Chart'!$C$2:$U$20,4,false)</f>
        <v>2</v>
      </c>
      <c r="X1366" s="960">
        <f t="array" ref="X1366">HLOOKUP($J1366,'Type Chart'!$C$2:$T$20,5,false)*HLOOKUP($K1366,'Type Chart'!$C$2:$U$20,5,false)</f>
        <v>1</v>
      </c>
      <c r="Y1366" s="960">
        <f t="array" ref="Y1366">HLOOKUP($J1366,'Type Chart'!$C$2:$T$20,6,false)*HLOOKUP($K1366,'Type Chart'!$C$2:$U$20,6,false)</f>
        <v>1</v>
      </c>
      <c r="Z1366" s="960">
        <f t="array" ref="Z1366">HLOOKUP($J1366,'Type Chart'!$C$2:$T$20,7,false)*HLOOKUP($K1366,'Type Chart'!$C$2:$U$20,7,false)</f>
        <v>0.5</v>
      </c>
      <c r="AA1366" s="960">
        <f t="array" ref="AA1366">HLOOKUP($J1366,'Type Chart'!$C$2:$T$20,8,false)*HLOOKUP($K1366,'Type Chart'!$C$2:$U$20,8,false)</f>
        <v>0.5</v>
      </c>
      <c r="AB1366" s="960">
        <f t="array" ref="AB1366">HLOOKUP($J1366,'Type Chart'!$C$2:$T$20,9,false)*HLOOKUP($K1366,'Type Chart'!$C$2:$U$20,9,false)</f>
        <v>1</v>
      </c>
      <c r="AC1366" s="960">
        <f t="array" ref="AC1366">HLOOKUP($J1366,'Type Chart'!$C$2:$T$20,10,false)*HLOOKUP($K1366,'Type Chart'!$C$2:$U$20,10,false)</f>
        <v>1</v>
      </c>
      <c r="AD1366" s="960">
        <f t="array" ref="AD1366">HLOOKUP($J1366,'Type Chart'!$C$2:$T$20,11,false)*HLOOKUP($K1366,'Type Chart'!$C$2:$U$20,11,false)</f>
        <v>1</v>
      </c>
      <c r="AE1366" s="960">
        <f t="array" ref="AE1366">HLOOKUP($J1366,'Type Chart'!$C$2:$T$20,12,false)*HLOOKUP($K1366,'Type Chart'!$C$2:$U$20,12,false)</f>
        <v>1</v>
      </c>
      <c r="AF1366" s="960">
        <f t="array" ref="AF1366">HLOOKUP($J1366,'Type Chart'!$C$2:$T$20,13,false)*HLOOKUP($K1366,'Type Chart'!$C$2:$U$20,13,false)</f>
        <v>1</v>
      </c>
      <c r="AG1366" s="960">
        <f t="array" ref="AG1366">HLOOKUP($J1366,'Type Chart'!$C$2:$T$20,14,false)*HLOOKUP($K1366,'Type Chart'!$C$2:$U$20,14,false)</f>
        <v>1</v>
      </c>
      <c r="AH1366" s="960">
        <f t="array" ref="AH1366">HLOOKUP($J1366,'Type Chart'!$C$2:$T$20,15,false)*HLOOKUP($K1366,'Type Chart'!$C$2:$U$20,15,false)</f>
        <v>2</v>
      </c>
      <c r="AI1366" s="960">
        <f t="array" ref="AI1366">HLOOKUP($J1366,'Type Chart'!$C$2:$T$20,16,false)*HLOOKUP($K1366,'Type Chart'!$C$2:$U$20,16,false)</f>
        <v>1</v>
      </c>
      <c r="AJ1366" s="960">
        <f t="array" ref="AJ1366">HLOOKUP($J1366,'Type Chart'!$C$2:$T$20,17,false)*HLOOKUP($K1366,'Type Chart'!$C$2:$U$20,17,false)</f>
        <v>1</v>
      </c>
      <c r="AK1366" s="960">
        <f t="array" ref="AK1366">HLOOKUP($J1366,'Type Chart'!$C$2:$T$20,18,false)*HLOOKUP($K1366,'Type Chart'!$C$2:$U$20,18,false)</f>
        <v>0.5</v>
      </c>
      <c r="AL1366" s="960">
        <f t="array" ref="AL1366">HLOOKUP($J1366,'Type Chart'!$C$2:$T$20,19,false)*HLOOKUP($K1366,'Type Chart'!$C$2:$U$20,19,false)</f>
        <v>2</v>
      </c>
      <c r="AM1366" s="964" t="s">
        <v>1038</v>
      </c>
      <c r="AN1366" s="965" t="s">
        <v>1034</v>
      </c>
      <c r="AO1366" s="966" t="s">
        <v>1306</v>
      </c>
      <c r="AP1366" s="936"/>
      <c r="AQ1366" s="1245"/>
      <c r="AR1366" s="1245"/>
      <c r="AS1366" s="936"/>
    </row>
    <row r="1367" ht="15.75" customHeight="1">
      <c r="A1367" s="1099"/>
      <c r="B1367" s="948" t="s">
        <v>1310</v>
      </c>
      <c r="C1367" s="1197" t="s">
        <v>1311</v>
      </c>
      <c r="D1367" s="1197" t="s">
        <v>1311</v>
      </c>
      <c r="E1367" s="1147" t="s">
        <v>1311</v>
      </c>
      <c r="F1367" s="940"/>
      <c r="G1367" s="953"/>
      <c r="H1367" s="969"/>
      <c r="I1367" s="998" t="s">
        <v>4466</v>
      </c>
      <c r="J1367" s="1213" t="s">
        <v>341</v>
      </c>
      <c r="K1367" s="984" t="s">
        <v>216</v>
      </c>
      <c r="L1367" s="959">
        <v>90.0</v>
      </c>
      <c r="M1367" s="960">
        <v>130.0</v>
      </c>
      <c r="N1367" s="960">
        <v>80.0</v>
      </c>
      <c r="O1367" s="960">
        <v>65.0</v>
      </c>
      <c r="P1367" s="960">
        <v>85.0</v>
      </c>
      <c r="Q1367" s="960">
        <v>55.0</v>
      </c>
      <c r="R1367" s="960">
        <v>146.0</v>
      </c>
      <c r="S1367" s="960">
        <v>209.0</v>
      </c>
      <c r="T1367" s="960">
        <v>229.0</v>
      </c>
      <c r="U1367" s="960">
        <f t="array" ref="U1367">HLOOKUP($J1367,'Type Chart'!$C$2:$T$20,2,false)*HLOOKUP($K1367,'Type Chart'!$C$2:$U$20,2,false)</f>
        <v>1</v>
      </c>
      <c r="V1367" s="960">
        <f t="array" ref="V1367">HLOOKUP($J1367,'Type Chart'!$C$2:$T$20,3,false)*HLOOKUP($K1367,'Type Chart'!$C$2:$U$20,3,false)</f>
        <v>1</v>
      </c>
      <c r="W1367" s="960">
        <f t="array" ref="W1367">HLOOKUP($J1367,'Type Chart'!$C$2:$T$20,4,false)*HLOOKUP($K1367,'Type Chart'!$C$2:$U$20,4,false)</f>
        <v>2</v>
      </c>
      <c r="X1367" s="960">
        <f t="array" ref="X1367">HLOOKUP($J1367,'Type Chart'!$C$2:$T$20,5,false)*HLOOKUP($K1367,'Type Chart'!$C$2:$U$20,5,false)</f>
        <v>1</v>
      </c>
      <c r="Y1367" s="960">
        <f t="array" ref="Y1367">HLOOKUP($J1367,'Type Chart'!$C$2:$T$20,6,false)*HLOOKUP($K1367,'Type Chart'!$C$2:$U$20,6,false)</f>
        <v>1</v>
      </c>
      <c r="Z1367" s="960">
        <f t="array" ref="Z1367">HLOOKUP($J1367,'Type Chart'!$C$2:$T$20,7,false)*HLOOKUP($K1367,'Type Chart'!$C$2:$U$20,7,false)</f>
        <v>0.5</v>
      </c>
      <c r="AA1367" s="960">
        <f t="array" ref="AA1367">HLOOKUP($J1367,'Type Chart'!$C$2:$T$20,8,false)*HLOOKUP($K1367,'Type Chart'!$C$2:$U$20,8,false)</f>
        <v>0.5</v>
      </c>
      <c r="AB1367" s="960">
        <f t="array" ref="AB1367">HLOOKUP($J1367,'Type Chart'!$C$2:$T$20,9,false)*HLOOKUP($K1367,'Type Chart'!$C$2:$U$20,9,false)</f>
        <v>1</v>
      </c>
      <c r="AC1367" s="960">
        <f t="array" ref="AC1367">HLOOKUP($J1367,'Type Chart'!$C$2:$T$20,10,false)*HLOOKUP($K1367,'Type Chart'!$C$2:$U$20,10,false)</f>
        <v>1</v>
      </c>
      <c r="AD1367" s="960">
        <f t="array" ref="AD1367">HLOOKUP($J1367,'Type Chart'!$C$2:$T$20,11,false)*HLOOKUP($K1367,'Type Chart'!$C$2:$U$20,11,false)</f>
        <v>1</v>
      </c>
      <c r="AE1367" s="960">
        <f t="array" ref="AE1367">HLOOKUP($J1367,'Type Chart'!$C$2:$T$20,12,false)*HLOOKUP($K1367,'Type Chart'!$C$2:$U$20,12,false)</f>
        <v>1</v>
      </c>
      <c r="AF1367" s="960">
        <f t="array" ref="AF1367">HLOOKUP($J1367,'Type Chart'!$C$2:$T$20,13,false)*HLOOKUP($K1367,'Type Chart'!$C$2:$U$20,13,false)</f>
        <v>1</v>
      </c>
      <c r="AG1367" s="960">
        <f t="array" ref="AG1367">HLOOKUP($J1367,'Type Chart'!$C$2:$T$20,14,false)*HLOOKUP($K1367,'Type Chart'!$C$2:$U$20,14,false)</f>
        <v>1</v>
      </c>
      <c r="AH1367" s="960">
        <f t="array" ref="AH1367">HLOOKUP($J1367,'Type Chart'!$C$2:$T$20,15,false)*HLOOKUP($K1367,'Type Chart'!$C$2:$U$20,15,false)</f>
        <v>2</v>
      </c>
      <c r="AI1367" s="960">
        <f t="array" ref="AI1367">HLOOKUP($J1367,'Type Chart'!$C$2:$T$20,16,false)*HLOOKUP($K1367,'Type Chart'!$C$2:$U$20,16,false)</f>
        <v>1</v>
      </c>
      <c r="AJ1367" s="960">
        <f t="array" ref="AJ1367">HLOOKUP($J1367,'Type Chart'!$C$2:$T$20,17,false)*HLOOKUP($K1367,'Type Chart'!$C$2:$U$20,17,false)</f>
        <v>1</v>
      </c>
      <c r="AK1367" s="960">
        <f t="array" ref="AK1367">HLOOKUP($J1367,'Type Chart'!$C$2:$T$20,18,false)*HLOOKUP($K1367,'Type Chart'!$C$2:$U$20,18,false)</f>
        <v>0.5</v>
      </c>
      <c r="AL1367" s="960">
        <f t="array" ref="AL1367">HLOOKUP($J1367,'Type Chart'!$C$2:$T$20,19,false)*HLOOKUP($K1367,'Type Chart'!$C$2:$U$20,19,false)</f>
        <v>2</v>
      </c>
      <c r="AM1367" s="964" t="s">
        <v>1038</v>
      </c>
      <c r="AN1367" s="965" t="s">
        <v>1034</v>
      </c>
      <c r="AO1367" s="966" t="s">
        <v>1306</v>
      </c>
      <c r="AP1367" s="936"/>
      <c r="AQ1367" s="1245"/>
      <c r="AR1367" s="1245"/>
      <c r="AS1367" s="936"/>
    </row>
    <row r="1368" ht="15.75" customHeight="1">
      <c r="A1368" s="1099"/>
      <c r="B1368" s="948" t="s">
        <v>1313</v>
      </c>
      <c r="C1368" s="1197" t="s">
        <v>1314</v>
      </c>
      <c r="D1368" s="1197" t="s">
        <v>1314</v>
      </c>
      <c r="E1368" s="1147" t="s">
        <v>1314</v>
      </c>
      <c r="F1368" s="940"/>
      <c r="G1368" s="953"/>
      <c r="H1368" s="969"/>
      <c r="I1368" s="998" t="s">
        <v>4467</v>
      </c>
      <c r="J1368" s="957" t="s">
        <v>209</v>
      </c>
      <c r="K1368" s="958" t="s">
        <v>178</v>
      </c>
      <c r="L1368" s="959">
        <v>50.0</v>
      </c>
      <c r="M1368" s="960">
        <v>75.0</v>
      </c>
      <c r="N1368" s="960">
        <v>35.0</v>
      </c>
      <c r="O1368" s="960">
        <v>70.0</v>
      </c>
      <c r="P1368" s="960">
        <v>30.0</v>
      </c>
      <c r="Q1368" s="960">
        <v>40.0</v>
      </c>
      <c r="R1368" s="960">
        <v>116.0</v>
      </c>
      <c r="S1368" s="960">
        <v>179.0</v>
      </c>
      <c r="T1368" s="960">
        <v>196.0</v>
      </c>
      <c r="U1368" s="960">
        <f t="array" ref="U1368">HLOOKUP($J1368,'Type Chart'!$C$2:$T$20,2,false)*HLOOKUP($K1368,'Type Chart'!$C$2:$U$20,2,false)</f>
        <v>1</v>
      </c>
      <c r="V1368" s="960">
        <f t="array" ref="V1368">HLOOKUP($J1368,'Type Chart'!$C$2:$T$20,3,false)*HLOOKUP($K1368,'Type Chart'!$C$2:$U$20,3,false)</f>
        <v>0.5</v>
      </c>
      <c r="W1368" s="960">
        <f t="array" ref="W1368">HLOOKUP($J1368,'Type Chart'!$C$2:$T$20,4,false)*HLOOKUP($K1368,'Type Chart'!$C$2:$U$20,4,false)</f>
        <v>2</v>
      </c>
      <c r="X1368" s="960">
        <f t="array" ref="X1368">HLOOKUP($J1368,'Type Chart'!$C$2:$T$20,5,false)*HLOOKUP($K1368,'Type Chart'!$C$2:$U$20,5,false)</f>
        <v>1</v>
      </c>
      <c r="Y1368" s="960">
        <f t="array" ref="Y1368">HLOOKUP($J1368,'Type Chart'!$C$2:$T$20,6,false)*HLOOKUP($K1368,'Type Chart'!$C$2:$U$20,6,false)</f>
        <v>1</v>
      </c>
      <c r="Z1368" s="960">
        <f t="array" ref="Z1368">HLOOKUP($J1368,'Type Chart'!$C$2:$T$20,7,false)*HLOOKUP($K1368,'Type Chart'!$C$2:$U$20,7,false)</f>
        <v>1</v>
      </c>
      <c r="AA1368" s="960">
        <f t="array" ref="AA1368">HLOOKUP($J1368,'Type Chart'!$C$2:$T$20,8,false)*HLOOKUP($K1368,'Type Chart'!$C$2:$U$20,8,false)</f>
        <v>1</v>
      </c>
      <c r="AB1368" s="960">
        <f t="array" ref="AB1368">HLOOKUP($J1368,'Type Chart'!$C$2:$T$20,9,false)*HLOOKUP($K1368,'Type Chart'!$C$2:$U$20,9,false)</f>
        <v>1</v>
      </c>
      <c r="AC1368" s="960">
        <f t="array" ref="AC1368">HLOOKUP($J1368,'Type Chart'!$C$2:$T$20,10,false)*HLOOKUP($K1368,'Type Chart'!$C$2:$U$20,10,false)</f>
        <v>1</v>
      </c>
      <c r="AD1368" s="960">
        <f t="array" ref="AD1368">HLOOKUP($J1368,'Type Chart'!$C$2:$T$20,11,false)*HLOOKUP($K1368,'Type Chart'!$C$2:$U$20,11,false)</f>
        <v>2</v>
      </c>
      <c r="AE1368" s="960">
        <f t="array" ref="AE1368">HLOOKUP($J1368,'Type Chart'!$C$2:$T$20,12,false)*HLOOKUP($K1368,'Type Chart'!$C$2:$U$20,12,false)</f>
        <v>0.5</v>
      </c>
      <c r="AF1368" s="960">
        <f t="array" ref="AF1368">HLOOKUP($J1368,'Type Chart'!$C$2:$T$20,13,false)*HLOOKUP($K1368,'Type Chart'!$C$2:$U$20,13,false)</f>
        <v>0.25</v>
      </c>
      <c r="AG1368" s="960">
        <f t="array" ref="AG1368">HLOOKUP($J1368,'Type Chart'!$C$2:$T$20,14,false)*HLOOKUP($K1368,'Type Chart'!$C$2:$U$20,14,false)</f>
        <v>0.5</v>
      </c>
      <c r="AH1368" s="960">
        <f t="array" ref="AH1368">HLOOKUP($J1368,'Type Chart'!$C$2:$T$20,15,false)*HLOOKUP($K1368,'Type Chart'!$C$2:$U$20,15,false)</f>
        <v>2</v>
      </c>
      <c r="AI1368" s="960">
        <f t="array" ref="AI1368">HLOOKUP($J1368,'Type Chart'!$C$2:$T$20,16,false)*HLOOKUP($K1368,'Type Chart'!$C$2:$U$20,16,false)</f>
        <v>2</v>
      </c>
      <c r="AJ1368" s="960">
        <f t="array" ref="AJ1368">HLOOKUP($J1368,'Type Chart'!$C$2:$T$20,17,false)*HLOOKUP($K1368,'Type Chart'!$C$2:$U$20,17,false)</f>
        <v>1</v>
      </c>
      <c r="AK1368" s="960">
        <f t="array" ref="AK1368">HLOOKUP($J1368,'Type Chart'!$C$2:$T$20,18,false)*HLOOKUP($K1368,'Type Chart'!$C$2:$U$20,18,false)</f>
        <v>1</v>
      </c>
      <c r="AL1368" s="960">
        <f t="array" ref="AL1368">HLOOKUP($J1368,'Type Chart'!$C$2:$T$20,19,false)*HLOOKUP($K1368,'Type Chart'!$C$2:$U$20,19,false)</f>
        <v>0.5</v>
      </c>
      <c r="AM1368" s="964" t="s">
        <v>524</v>
      </c>
      <c r="AN1368" s="965"/>
      <c r="AO1368" s="966" t="s">
        <v>1044</v>
      </c>
      <c r="AP1368" s="936"/>
      <c r="AQ1368" s="1245"/>
      <c r="AR1368" s="1245"/>
      <c r="AS1368" s="936"/>
    </row>
    <row r="1369" ht="15.75" customHeight="1">
      <c r="A1369" s="1099"/>
      <c r="B1369" s="948" t="s">
        <v>1316</v>
      </c>
      <c r="C1369" s="1197" t="s">
        <v>1317</v>
      </c>
      <c r="D1369" s="1197" t="s">
        <v>1317</v>
      </c>
      <c r="E1369" s="1147" t="s">
        <v>1317</v>
      </c>
      <c r="F1369" s="940"/>
      <c r="G1369" s="953"/>
      <c r="H1369" s="969"/>
      <c r="I1369" s="998" t="s">
        <v>4468</v>
      </c>
      <c r="J1369" s="957" t="s">
        <v>209</v>
      </c>
      <c r="K1369" s="958" t="s">
        <v>178</v>
      </c>
      <c r="L1369" s="959">
        <v>65.0</v>
      </c>
      <c r="M1369" s="960">
        <v>90.0</v>
      </c>
      <c r="N1369" s="960">
        <v>50.0</v>
      </c>
      <c r="O1369" s="960">
        <v>85.0</v>
      </c>
      <c r="P1369" s="960">
        <v>45.0</v>
      </c>
      <c r="Q1369" s="960">
        <v>55.0</v>
      </c>
      <c r="R1369" s="960">
        <v>146.0</v>
      </c>
      <c r="S1369" s="960">
        <v>209.0</v>
      </c>
      <c r="T1369" s="960">
        <v>229.0</v>
      </c>
      <c r="U1369" s="960">
        <f t="array" ref="U1369">HLOOKUP($J1369,'Type Chart'!$C$2:$T$20,2,false)*HLOOKUP($K1369,'Type Chart'!$C$2:$U$20,2,false)</f>
        <v>1</v>
      </c>
      <c r="V1369" s="960">
        <f t="array" ref="V1369">HLOOKUP($J1369,'Type Chart'!$C$2:$T$20,3,false)*HLOOKUP($K1369,'Type Chart'!$C$2:$U$20,3,false)</f>
        <v>0.5</v>
      </c>
      <c r="W1369" s="960">
        <f t="array" ref="W1369">HLOOKUP($J1369,'Type Chart'!$C$2:$T$20,4,false)*HLOOKUP($K1369,'Type Chart'!$C$2:$U$20,4,false)</f>
        <v>2</v>
      </c>
      <c r="X1369" s="960">
        <f t="array" ref="X1369">HLOOKUP($J1369,'Type Chart'!$C$2:$T$20,5,false)*HLOOKUP($K1369,'Type Chart'!$C$2:$U$20,5,false)</f>
        <v>1</v>
      </c>
      <c r="Y1369" s="960">
        <f t="array" ref="Y1369">HLOOKUP($J1369,'Type Chart'!$C$2:$T$20,6,false)*HLOOKUP($K1369,'Type Chart'!$C$2:$U$20,6,false)</f>
        <v>1</v>
      </c>
      <c r="Z1369" s="960">
        <f t="array" ref="Z1369">HLOOKUP($J1369,'Type Chart'!$C$2:$T$20,7,false)*HLOOKUP($K1369,'Type Chart'!$C$2:$U$20,7,false)</f>
        <v>1</v>
      </c>
      <c r="AA1369" s="960">
        <f t="array" ref="AA1369">HLOOKUP($J1369,'Type Chart'!$C$2:$T$20,8,false)*HLOOKUP($K1369,'Type Chart'!$C$2:$U$20,8,false)</f>
        <v>1</v>
      </c>
      <c r="AB1369" s="960">
        <f t="array" ref="AB1369">HLOOKUP($J1369,'Type Chart'!$C$2:$T$20,9,false)*HLOOKUP($K1369,'Type Chart'!$C$2:$U$20,9,false)</f>
        <v>1</v>
      </c>
      <c r="AC1369" s="960">
        <f t="array" ref="AC1369">HLOOKUP($J1369,'Type Chart'!$C$2:$T$20,10,false)*HLOOKUP($K1369,'Type Chart'!$C$2:$U$20,10,false)</f>
        <v>1</v>
      </c>
      <c r="AD1369" s="960">
        <f t="array" ref="AD1369">HLOOKUP($J1369,'Type Chart'!$C$2:$T$20,11,false)*HLOOKUP($K1369,'Type Chart'!$C$2:$U$20,11,false)</f>
        <v>2</v>
      </c>
      <c r="AE1369" s="960">
        <f t="array" ref="AE1369">HLOOKUP($J1369,'Type Chart'!$C$2:$T$20,12,false)*HLOOKUP($K1369,'Type Chart'!$C$2:$U$20,12,false)</f>
        <v>0.5</v>
      </c>
      <c r="AF1369" s="960">
        <f t="array" ref="AF1369">HLOOKUP($J1369,'Type Chart'!$C$2:$T$20,13,false)*HLOOKUP($K1369,'Type Chart'!$C$2:$U$20,13,false)</f>
        <v>0.25</v>
      </c>
      <c r="AG1369" s="960">
        <f t="array" ref="AG1369">HLOOKUP($J1369,'Type Chart'!$C$2:$T$20,14,false)*HLOOKUP($K1369,'Type Chart'!$C$2:$U$20,14,false)</f>
        <v>0.5</v>
      </c>
      <c r="AH1369" s="960">
        <f t="array" ref="AH1369">HLOOKUP($J1369,'Type Chart'!$C$2:$T$20,15,false)*HLOOKUP($K1369,'Type Chart'!$C$2:$U$20,15,false)</f>
        <v>2</v>
      </c>
      <c r="AI1369" s="960">
        <f t="array" ref="AI1369">HLOOKUP($J1369,'Type Chart'!$C$2:$T$20,16,false)*HLOOKUP($K1369,'Type Chart'!$C$2:$U$20,16,false)</f>
        <v>2</v>
      </c>
      <c r="AJ1369" s="960">
        <f t="array" ref="AJ1369">HLOOKUP($J1369,'Type Chart'!$C$2:$T$20,17,false)*HLOOKUP($K1369,'Type Chart'!$C$2:$U$20,17,false)</f>
        <v>1</v>
      </c>
      <c r="AK1369" s="960">
        <f t="array" ref="AK1369">HLOOKUP($J1369,'Type Chart'!$C$2:$T$20,18,false)*HLOOKUP($K1369,'Type Chart'!$C$2:$U$20,18,false)</f>
        <v>1</v>
      </c>
      <c r="AL1369" s="960">
        <f t="array" ref="AL1369">HLOOKUP($J1369,'Type Chart'!$C$2:$T$20,19,false)*HLOOKUP($K1369,'Type Chart'!$C$2:$U$20,19,false)</f>
        <v>0.5</v>
      </c>
      <c r="AM1369" s="964" t="s">
        <v>524</v>
      </c>
      <c r="AN1369" s="965"/>
      <c r="AO1369" s="966" t="s">
        <v>1044</v>
      </c>
      <c r="AP1369" s="936"/>
      <c r="AQ1369" s="1245"/>
      <c r="AR1369" s="1245"/>
      <c r="AS1369" s="936"/>
    </row>
    <row r="1370" ht="15.75" customHeight="1">
      <c r="A1370" s="1099"/>
      <c r="B1370" s="948" t="s">
        <v>1319</v>
      </c>
      <c r="C1370" s="1197" t="s">
        <v>1320</v>
      </c>
      <c r="D1370" s="1197" t="s">
        <v>1320</v>
      </c>
      <c r="E1370" s="1147" t="s">
        <v>1320</v>
      </c>
      <c r="F1370" s="940"/>
      <c r="G1370" s="953"/>
      <c r="H1370" s="969"/>
      <c r="I1370" s="998" t="s">
        <v>4469</v>
      </c>
      <c r="J1370" s="957" t="s">
        <v>209</v>
      </c>
      <c r="K1370" s="958" t="s">
        <v>178</v>
      </c>
      <c r="L1370" s="959">
        <v>80.0</v>
      </c>
      <c r="M1370" s="960">
        <v>105.0</v>
      </c>
      <c r="N1370" s="960">
        <v>65.0</v>
      </c>
      <c r="O1370" s="960">
        <v>100.0</v>
      </c>
      <c r="P1370" s="960">
        <v>70.0</v>
      </c>
      <c r="Q1370" s="960">
        <v>70.0</v>
      </c>
      <c r="R1370" s="960">
        <v>176.0</v>
      </c>
      <c r="S1370" s="960">
        <v>239.0</v>
      </c>
      <c r="T1370" s="960">
        <v>262.0</v>
      </c>
      <c r="U1370" s="960">
        <f t="array" ref="U1370">HLOOKUP($J1370,'Type Chart'!$C$2:$T$20,2,false)*HLOOKUP($K1370,'Type Chart'!$C$2:$U$20,2,false)</f>
        <v>1</v>
      </c>
      <c r="V1370" s="960">
        <f t="array" ref="V1370">HLOOKUP($J1370,'Type Chart'!$C$2:$T$20,3,false)*HLOOKUP($K1370,'Type Chart'!$C$2:$U$20,3,false)</f>
        <v>0.5</v>
      </c>
      <c r="W1370" s="960">
        <f t="array" ref="W1370">HLOOKUP($J1370,'Type Chart'!$C$2:$T$20,4,false)*HLOOKUP($K1370,'Type Chart'!$C$2:$U$20,4,false)</f>
        <v>2</v>
      </c>
      <c r="X1370" s="960">
        <f t="array" ref="X1370">HLOOKUP($J1370,'Type Chart'!$C$2:$T$20,5,false)*HLOOKUP($K1370,'Type Chart'!$C$2:$U$20,5,false)</f>
        <v>1</v>
      </c>
      <c r="Y1370" s="960">
        <f t="array" ref="Y1370">HLOOKUP($J1370,'Type Chart'!$C$2:$T$20,6,false)*HLOOKUP($K1370,'Type Chart'!$C$2:$U$20,6,false)</f>
        <v>1</v>
      </c>
      <c r="Z1370" s="960">
        <f t="array" ref="Z1370">HLOOKUP($J1370,'Type Chart'!$C$2:$T$20,7,false)*HLOOKUP($K1370,'Type Chart'!$C$2:$U$20,7,false)</f>
        <v>1</v>
      </c>
      <c r="AA1370" s="960">
        <f t="array" ref="AA1370">HLOOKUP($J1370,'Type Chart'!$C$2:$T$20,8,false)*HLOOKUP($K1370,'Type Chart'!$C$2:$U$20,8,false)</f>
        <v>1</v>
      </c>
      <c r="AB1370" s="960">
        <f t="array" ref="AB1370">HLOOKUP($J1370,'Type Chart'!$C$2:$T$20,9,false)*HLOOKUP($K1370,'Type Chart'!$C$2:$U$20,9,false)</f>
        <v>1</v>
      </c>
      <c r="AC1370" s="960">
        <f t="array" ref="AC1370">HLOOKUP($J1370,'Type Chart'!$C$2:$T$20,10,false)*HLOOKUP($K1370,'Type Chart'!$C$2:$U$20,10,false)</f>
        <v>1</v>
      </c>
      <c r="AD1370" s="960">
        <f t="array" ref="AD1370">HLOOKUP($J1370,'Type Chart'!$C$2:$T$20,11,false)*HLOOKUP($K1370,'Type Chart'!$C$2:$U$20,11,false)</f>
        <v>2</v>
      </c>
      <c r="AE1370" s="960">
        <f t="array" ref="AE1370">HLOOKUP($J1370,'Type Chart'!$C$2:$T$20,12,false)*HLOOKUP($K1370,'Type Chart'!$C$2:$U$20,12,false)</f>
        <v>0.5</v>
      </c>
      <c r="AF1370" s="960">
        <f t="array" ref="AF1370">HLOOKUP($J1370,'Type Chart'!$C$2:$T$20,13,false)*HLOOKUP($K1370,'Type Chart'!$C$2:$U$20,13,false)</f>
        <v>0.25</v>
      </c>
      <c r="AG1370" s="960">
        <f t="array" ref="AG1370">HLOOKUP($J1370,'Type Chart'!$C$2:$T$20,14,false)*HLOOKUP($K1370,'Type Chart'!$C$2:$U$20,14,false)</f>
        <v>0.5</v>
      </c>
      <c r="AH1370" s="960">
        <f t="array" ref="AH1370">HLOOKUP($J1370,'Type Chart'!$C$2:$T$20,15,false)*HLOOKUP($K1370,'Type Chart'!$C$2:$U$20,15,false)</f>
        <v>2</v>
      </c>
      <c r="AI1370" s="960">
        <f t="array" ref="AI1370">HLOOKUP($J1370,'Type Chart'!$C$2:$T$20,16,false)*HLOOKUP($K1370,'Type Chart'!$C$2:$U$20,16,false)</f>
        <v>2</v>
      </c>
      <c r="AJ1370" s="960">
        <f t="array" ref="AJ1370">HLOOKUP($J1370,'Type Chart'!$C$2:$T$20,17,false)*HLOOKUP($K1370,'Type Chart'!$C$2:$U$20,17,false)</f>
        <v>1</v>
      </c>
      <c r="AK1370" s="960">
        <f t="array" ref="AK1370">HLOOKUP($J1370,'Type Chart'!$C$2:$T$20,18,false)*HLOOKUP($K1370,'Type Chart'!$C$2:$U$20,18,false)</f>
        <v>1</v>
      </c>
      <c r="AL1370" s="960">
        <f t="array" ref="AL1370">HLOOKUP($J1370,'Type Chart'!$C$2:$T$20,19,false)*HLOOKUP($K1370,'Type Chart'!$C$2:$U$20,19,false)</f>
        <v>0.5</v>
      </c>
      <c r="AM1370" s="964" t="s">
        <v>524</v>
      </c>
      <c r="AN1370" s="965"/>
      <c r="AO1370" s="966" t="s">
        <v>1044</v>
      </c>
      <c r="AP1370" s="936"/>
      <c r="AQ1370" s="1245"/>
      <c r="AR1370" s="1245"/>
      <c r="AS1370" s="936"/>
    </row>
    <row r="1371" ht="15.75" customHeight="1">
      <c r="A1371" s="1099"/>
      <c r="B1371" s="948" t="s">
        <v>1321</v>
      </c>
      <c r="C1371" s="1197" t="s">
        <v>1322</v>
      </c>
      <c r="D1371" s="1197" t="s">
        <v>1322</v>
      </c>
      <c r="E1371" s="1147" t="s">
        <v>1322</v>
      </c>
      <c r="F1371" s="940"/>
      <c r="G1371" s="953"/>
      <c r="H1371" s="969"/>
      <c r="I1371" s="998" t="s">
        <v>4470</v>
      </c>
      <c r="J1371" s="1056" t="s">
        <v>81</v>
      </c>
      <c r="K1371" s="958" t="s">
        <v>178</v>
      </c>
      <c r="L1371" s="959">
        <v>40.0</v>
      </c>
      <c r="M1371" s="960">
        <v>40.0</v>
      </c>
      <c r="N1371" s="960">
        <v>35.0</v>
      </c>
      <c r="O1371" s="960">
        <v>50.0</v>
      </c>
      <c r="P1371" s="960">
        <v>100.0</v>
      </c>
      <c r="Q1371" s="960">
        <v>70.0</v>
      </c>
      <c r="R1371" s="960">
        <v>176.0</v>
      </c>
      <c r="S1371" s="960">
        <v>239.0</v>
      </c>
      <c r="T1371" s="960">
        <v>262.0</v>
      </c>
      <c r="U1371" s="960">
        <f t="array" ref="U1371">HLOOKUP($J1371,'Type Chart'!$C$2:$T$20,2,false)*HLOOKUP($K1371,'Type Chart'!$C$2:$U$20,2,false)</f>
        <v>1</v>
      </c>
      <c r="V1371" s="960">
        <f t="array" ref="V1371">HLOOKUP($J1371,'Type Chart'!$C$2:$T$20,3,false)*HLOOKUP($K1371,'Type Chart'!$C$2:$U$20,3,false)</f>
        <v>0.5</v>
      </c>
      <c r="W1371" s="960">
        <f t="array" ref="W1371">HLOOKUP($J1371,'Type Chart'!$C$2:$T$20,4,false)*HLOOKUP($K1371,'Type Chart'!$C$2:$U$20,4,false)</f>
        <v>1</v>
      </c>
      <c r="X1371" s="960">
        <f t="array" ref="X1371">HLOOKUP($J1371,'Type Chart'!$C$2:$T$20,5,false)*HLOOKUP($K1371,'Type Chart'!$C$2:$U$20,5,false)</f>
        <v>0.5</v>
      </c>
      <c r="Y1371" s="960">
        <f t="array" ref="Y1371">HLOOKUP($J1371,'Type Chart'!$C$2:$T$20,6,false)*HLOOKUP($K1371,'Type Chart'!$C$2:$U$20,6,false)</f>
        <v>2</v>
      </c>
      <c r="Z1371" s="960">
        <f t="array" ref="Z1371">HLOOKUP($J1371,'Type Chart'!$C$2:$T$20,7,false)*HLOOKUP($K1371,'Type Chart'!$C$2:$U$20,7,false)</f>
        <v>1</v>
      </c>
      <c r="AA1371" s="960">
        <f t="array" ref="AA1371">HLOOKUP($J1371,'Type Chart'!$C$2:$T$20,8,false)*HLOOKUP($K1371,'Type Chart'!$C$2:$U$20,8,false)</f>
        <v>0.5</v>
      </c>
      <c r="AB1371" s="960">
        <f t="array" ref="AB1371">HLOOKUP($J1371,'Type Chart'!$C$2:$T$20,9,false)*HLOOKUP($K1371,'Type Chart'!$C$2:$U$20,9,false)</f>
        <v>1</v>
      </c>
      <c r="AC1371" s="960">
        <f t="array" ref="AC1371">HLOOKUP($J1371,'Type Chart'!$C$2:$T$20,10,false)*HLOOKUP($K1371,'Type Chart'!$C$2:$U$20,10,false)</f>
        <v>0.5</v>
      </c>
      <c r="AD1371" s="960">
        <f t="array" ref="AD1371">HLOOKUP($J1371,'Type Chart'!$C$2:$T$20,11,false)*HLOOKUP($K1371,'Type Chart'!$C$2:$U$20,11,false)</f>
        <v>0.5</v>
      </c>
      <c r="AE1371" s="960">
        <f t="array" ref="AE1371">HLOOKUP($J1371,'Type Chart'!$C$2:$T$20,12,false)*HLOOKUP($K1371,'Type Chart'!$C$2:$U$20,12,false)</f>
        <v>0.5</v>
      </c>
      <c r="AF1371" s="960">
        <f t="array" ref="AF1371">HLOOKUP($J1371,'Type Chart'!$C$2:$T$20,13,false)*HLOOKUP($K1371,'Type Chart'!$C$2:$U$20,13,false)</f>
        <v>1</v>
      </c>
      <c r="AG1371" s="960">
        <f t="array" ref="AG1371">HLOOKUP($J1371,'Type Chart'!$C$2:$T$20,14,false)*HLOOKUP($K1371,'Type Chart'!$C$2:$U$20,14,false)</f>
        <v>2</v>
      </c>
      <c r="AH1371" s="960">
        <f t="array" ref="AH1371">HLOOKUP($J1371,'Type Chart'!$C$2:$T$20,15,false)*HLOOKUP($K1371,'Type Chart'!$C$2:$U$20,15,false)</f>
        <v>2</v>
      </c>
      <c r="AI1371" s="960">
        <f t="array" ref="AI1371">HLOOKUP($J1371,'Type Chart'!$C$2:$T$20,16,false)*HLOOKUP($K1371,'Type Chart'!$C$2:$U$20,16,false)</f>
        <v>0.5</v>
      </c>
      <c r="AJ1371" s="960">
        <f t="array" ref="AJ1371">HLOOKUP($J1371,'Type Chart'!$C$2:$T$20,17,false)*HLOOKUP($K1371,'Type Chart'!$C$2:$U$20,17,false)</f>
        <v>1</v>
      </c>
      <c r="AK1371" s="960">
        <f t="array" ref="AK1371">HLOOKUP($J1371,'Type Chart'!$C$2:$T$20,18,false)*HLOOKUP($K1371,'Type Chart'!$C$2:$U$20,18,false)</f>
        <v>1</v>
      </c>
      <c r="AL1371" s="960">
        <f t="array" ref="AL1371">HLOOKUP($J1371,'Type Chart'!$C$2:$T$20,19,false)*HLOOKUP($K1371,'Type Chart'!$C$2:$U$20,19,false)</f>
        <v>0.5</v>
      </c>
      <c r="AM1371" s="964" t="s">
        <v>1324</v>
      </c>
      <c r="AN1371" s="965" t="s">
        <v>1325</v>
      </c>
      <c r="AO1371" s="966" t="s">
        <v>960</v>
      </c>
      <c r="AP1371" s="936"/>
      <c r="AQ1371" s="1245"/>
      <c r="AR1371" s="1245"/>
      <c r="AS1371" s="936"/>
    </row>
    <row r="1372" ht="15.75" customHeight="1">
      <c r="A1372" s="1099"/>
      <c r="B1372" s="948" t="s">
        <v>1326</v>
      </c>
      <c r="C1372" s="1197" t="s">
        <v>1327</v>
      </c>
      <c r="D1372" s="1197" t="s">
        <v>1327</v>
      </c>
      <c r="E1372" s="1147" t="s">
        <v>1327</v>
      </c>
      <c r="F1372" s="940"/>
      <c r="G1372" s="953"/>
      <c r="H1372" s="969"/>
      <c r="I1372" s="998" t="s">
        <v>4471</v>
      </c>
      <c r="J1372" s="1056" t="s">
        <v>81</v>
      </c>
      <c r="K1372" s="958" t="s">
        <v>178</v>
      </c>
      <c r="L1372" s="959">
        <v>80.0</v>
      </c>
      <c r="M1372" s="960">
        <v>70.0</v>
      </c>
      <c r="N1372" s="960">
        <v>65.0</v>
      </c>
      <c r="O1372" s="960">
        <v>80.0</v>
      </c>
      <c r="P1372" s="960">
        <v>120.0</v>
      </c>
      <c r="Q1372" s="960">
        <v>100.0</v>
      </c>
      <c r="R1372" s="960">
        <v>236.0</v>
      </c>
      <c r="S1372" s="960">
        <v>299.0</v>
      </c>
      <c r="T1372" s="960">
        <v>328.0</v>
      </c>
      <c r="U1372" s="960">
        <f t="array" ref="U1372">HLOOKUP($J1372,'Type Chart'!$C$2:$T$20,2,false)*HLOOKUP($K1372,'Type Chart'!$C$2:$U$20,2,false)</f>
        <v>1</v>
      </c>
      <c r="V1372" s="960">
        <f t="array" ref="V1372">HLOOKUP($J1372,'Type Chart'!$C$2:$T$20,3,false)*HLOOKUP($K1372,'Type Chart'!$C$2:$U$20,3,false)</f>
        <v>0.5</v>
      </c>
      <c r="W1372" s="960">
        <f t="array" ref="W1372">HLOOKUP($J1372,'Type Chart'!$C$2:$T$20,4,false)*HLOOKUP($K1372,'Type Chart'!$C$2:$U$20,4,false)</f>
        <v>1</v>
      </c>
      <c r="X1372" s="960">
        <f t="array" ref="X1372">HLOOKUP($J1372,'Type Chart'!$C$2:$T$20,5,false)*HLOOKUP($K1372,'Type Chart'!$C$2:$U$20,5,false)</f>
        <v>0.5</v>
      </c>
      <c r="Y1372" s="960">
        <f t="array" ref="Y1372">HLOOKUP($J1372,'Type Chart'!$C$2:$T$20,6,false)*HLOOKUP($K1372,'Type Chart'!$C$2:$U$20,6,false)</f>
        <v>2</v>
      </c>
      <c r="Z1372" s="960">
        <f t="array" ref="Z1372">HLOOKUP($J1372,'Type Chart'!$C$2:$T$20,7,false)*HLOOKUP($K1372,'Type Chart'!$C$2:$U$20,7,false)</f>
        <v>1</v>
      </c>
      <c r="AA1372" s="960">
        <f t="array" ref="AA1372">HLOOKUP($J1372,'Type Chart'!$C$2:$T$20,8,false)*HLOOKUP($K1372,'Type Chart'!$C$2:$U$20,8,false)</f>
        <v>0.5</v>
      </c>
      <c r="AB1372" s="960">
        <f t="array" ref="AB1372">HLOOKUP($J1372,'Type Chart'!$C$2:$T$20,9,false)*HLOOKUP($K1372,'Type Chart'!$C$2:$U$20,9,false)</f>
        <v>1</v>
      </c>
      <c r="AC1372" s="960">
        <f t="array" ref="AC1372">HLOOKUP($J1372,'Type Chart'!$C$2:$T$20,10,false)*HLOOKUP($K1372,'Type Chart'!$C$2:$U$20,10,false)</f>
        <v>0.5</v>
      </c>
      <c r="AD1372" s="960">
        <f t="array" ref="AD1372">HLOOKUP($J1372,'Type Chart'!$C$2:$T$20,11,false)*HLOOKUP($K1372,'Type Chart'!$C$2:$U$20,11,false)</f>
        <v>0.5</v>
      </c>
      <c r="AE1372" s="960">
        <f t="array" ref="AE1372">HLOOKUP($J1372,'Type Chart'!$C$2:$T$20,12,false)*HLOOKUP($K1372,'Type Chart'!$C$2:$U$20,12,false)</f>
        <v>0.5</v>
      </c>
      <c r="AF1372" s="960">
        <f t="array" ref="AF1372">HLOOKUP($J1372,'Type Chart'!$C$2:$T$20,13,false)*HLOOKUP($K1372,'Type Chart'!$C$2:$U$20,13,false)</f>
        <v>1</v>
      </c>
      <c r="AG1372" s="960">
        <f t="array" ref="AG1372">HLOOKUP($J1372,'Type Chart'!$C$2:$T$20,14,false)*HLOOKUP($K1372,'Type Chart'!$C$2:$U$20,14,false)</f>
        <v>2</v>
      </c>
      <c r="AH1372" s="960">
        <f t="array" ref="AH1372">HLOOKUP($J1372,'Type Chart'!$C$2:$T$20,15,false)*HLOOKUP($K1372,'Type Chart'!$C$2:$U$20,15,false)</f>
        <v>2</v>
      </c>
      <c r="AI1372" s="960">
        <f t="array" ref="AI1372">HLOOKUP($J1372,'Type Chart'!$C$2:$T$20,16,false)*HLOOKUP($K1372,'Type Chart'!$C$2:$U$20,16,false)</f>
        <v>0.5</v>
      </c>
      <c r="AJ1372" s="960">
        <f t="array" ref="AJ1372">HLOOKUP($J1372,'Type Chart'!$C$2:$T$20,17,false)*HLOOKUP($K1372,'Type Chart'!$C$2:$U$20,17,false)</f>
        <v>1</v>
      </c>
      <c r="AK1372" s="960">
        <f t="array" ref="AK1372">HLOOKUP($J1372,'Type Chart'!$C$2:$T$20,18,false)*HLOOKUP($K1372,'Type Chart'!$C$2:$U$20,18,false)</f>
        <v>1</v>
      </c>
      <c r="AL1372" s="960">
        <f t="array" ref="AL1372">HLOOKUP($J1372,'Type Chart'!$C$2:$T$20,19,false)*HLOOKUP($K1372,'Type Chart'!$C$2:$U$20,19,false)</f>
        <v>0.5</v>
      </c>
      <c r="AM1372" s="964" t="s">
        <v>1324</v>
      </c>
      <c r="AN1372" s="965" t="s">
        <v>1325</v>
      </c>
      <c r="AO1372" s="966" t="s">
        <v>960</v>
      </c>
      <c r="AP1372" s="936"/>
      <c r="AQ1372" s="1245"/>
      <c r="AR1372" s="1245"/>
      <c r="AS1372" s="936"/>
    </row>
    <row r="1373" ht="15.75" customHeight="1">
      <c r="A1373" s="1099"/>
      <c r="B1373" s="948" t="s">
        <v>1328</v>
      </c>
      <c r="C1373" s="1197" t="s">
        <v>1329</v>
      </c>
      <c r="D1373" s="1197" t="s">
        <v>1329</v>
      </c>
      <c r="E1373" s="1147" t="s">
        <v>1329</v>
      </c>
      <c r="F1373" s="940"/>
      <c r="G1373" s="953"/>
      <c r="H1373" s="969"/>
      <c r="I1373" s="998" t="s">
        <v>4472</v>
      </c>
      <c r="J1373" s="1214" t="s">
        <v>342</v>
      </c>
      <c r="K1373" s="1204" t="s">
        <v>80</v>
      </c>
      <c r="L1373" s="959">
        <v>40.0</v>
      </c>
      <c r="M1373" s="960">
        <v>80.0</v>
      </c>
      <c r="N1373" s="960">
        <v>100.0</v>
      </c>
      <c r="O1373" s="960">
        <v>30.0</v>
      </c>
      <c r="P1373" s="960">
        <v>30.0</v>
      </c>
      <c r="Q1373" s="960">
        <v>20.0</v>
      </c>
      <c r="R1373" s="960">
        <v>76.0</v>
      </c>
      <c r="S1373" s="960">
        <v>139.0</v>
      </c>
      <c r="T1373" s="960">
        <v>152.0</v>
      </c>
      <c r="U1373" s="960">
        <f t="array" ref="U1373">HLOOKUP($J1373,'Type Chart'!$C$2:$T$20,2,false)*HLOOKUP($K1373,'Type Chart'!$C$2:$U$20,2,false)</f>
        <v>0.5</v>
      </c>
      <c r="V1373" s="960">
        <f t="array" ref="V1373">HLOOKUP($J1373,'Type Chart'!$C$2:$T$20,3,false)*HLOOKUP($K1373,'Type Chart'!$C$2:$U$20,3,false)</f>
        <v>2</v>
      </c>
      <c r="W1373" s="960">
        <f t="array" ref="W1373">HLOOKUP($J1373,'Type Chart'!$C$2:$T$20,4,false)*HLOOKUP($K1373,'Type Chart'!$C$2:$U$20,4,false)</f>
        <v>0.5</v>
      </c>
      <c r="X1373" s="960">
        <f t="array" ref="X1373">HLOOKUP($J1373,'Type Chart'!$C$2:$T$20,5,false)*HLOOKUP($K1373,'Type Chart'!$C$2:$U$20,5,false)</f>
        <v>0.25</v>
      </c>
      <c r="Y1373" s="960">
        <f t="array" ref="Y1373">HLOOKUP($J1373,'Type Chart'!$C$2:$T$20,6,false)*HLOOKUP($K1373,'Type Chart'!$C$2:$U$20,6,false)</f>
        <v>2</v>
      </c>
      <c r="Z1373" s="960">
        <f t="array" ref="Z1373">HLOOKUP($J1373,'Type Chart'!$C$2:$T$20,7,false)*HLOOKUP($K1373,'Type Chart'!$C$2:$U$20,7,false)</f>
        <v>0.5</v>
      </c>
      <c r="AA1373" s="960">
        <f t="array" ref="AA1373">HLOOKUP($J1373,'Type Chart'!$C$2:$T$20,8,false)*HLOOKUP($K1373,'Type Chart'!$C$2:$U$20,8,false)</f>
        <v>1</v>
      </c>
      <c r="AB1373" s="960">
        <f t="array" ref="AB1373">HLOOKUP($J1373,'Type Chart'!$C$2:$T$20,9,false)*HLOOKUP($K1373,'Type Chart'!$C$2:$U$20,9,false)</f>
        <v>1</v>
      </c>
      <c r="AC1373" s="960">
        <f t="array" ref="AC1373">HLOOKUP($J1373,'Type Chart'!$C$2:$T$20,10,false)*HLOOKUP($K1373,'Type Chart'!$C$2:$U$20,10,false)</f>
        <v>2</v>
      </c>
      <c r="AD1373" s="960">
        <f t="array" ref="AD1373">HLOOKUP($J1373,'Type Chart'!$C$2:$T$20,11,false)*HLOOKUP($K1373,'Type Chart'!$C$2:$U$20,11,false)</f>
        <v>0.5</v>
      </c>
      <c r="AE1373" s="960">
        <f t="array" ref="AE1373">HLOOKUP($J1373,'Type Chart'!$C$2:$T$20,12,false)*HLOOKUP($K1373,'Type Chart'!$C$2:$U$20,12,false)</f>
        <v>4</v>
      </c>
      <c r="AF1373" s="960">
        <f t="array" ref="AF1373">HLOOKUP($J1373,'Type Chart'!$C$2:$T$20,13,false)*HLOOKUP($K1373,'Type Chart'!$C$2:$U$20,13,false)</f>
        <v>4</v>
      </c>
      <c r="AG1373" s="960">
        <f t="array" ref="AG1373">HLOOKUP($J1373,'Type Chart'!$C$2:$T$20,14,false)*HLOOKUP($K1373,'Type Chart'!$C$2:$U$20,14,false)</f>
        <v>0</v>
      </c>
      <c r="AH1373" s="960">
        <f t="array" ref="AH1373">HLOOKUP($J1373,'Type Chart'!$C$2:$T$20,15,false)*HLOOKUP($K1373,'Type Chart'!$C$2:$U$20,15,false)</f>
        <v>1</v>
      </c>
      <c r="AI1373" s="960">
        <f t="array" ref="AI1373">HLOOKUP($J1373,'Type Chart'!$C$2:$T$20,16,false)*HLOOKUP($K1373,'Type Chart'!$C$2:$U$20,16,false)</f>
        <v>2</v>
      </c>
      <c r="AJ1373" s="960">
        <f t="array" ref="AJ1373">HLOOKUP($J1373,'Type Chart'!$C$2:$T$20,17,false)*HLOOKUP($K1373,'Type Chart'!$C$2:$U$20,17,false)</f>
        <v>1</v>
      </c>
      <c r="AK1373" s="960">
        <f t="array" ref="AK1373">HLOOKUP($J1373,'Type Chart'!$C$2:$T$20,18,false)*HLOOKUP($K1373,'Type Chart'!$C$2:$U$20,18,false)</f>
        <v>1</v>
      </c>
      <c r="AL1373" s="960">
        <f t="array" ref="AL1373">HLOOKUP($J1373,'Type Chart'!$C$2:$T$20,19,false)*HLOOKUP($K1373,'Type Chart'!$C$2:$U$20,19,false)</f>
        <v>1</v>
      </c>
      <c r="AM1373" s="964" t="s">
        <v>1276</v>
      </c>
      <c r="AN1373" s="965" t="s">
        <v>1331</v>
      </c>
      <c r="AO1373" s="966" t="s">
        <v>1129</v>
      </c>
      <c r="AP1373" s="936"/>
      <c r="AQ1373" s="1245"/>
      <c r="AR1373" s="1245"/>
      <c r="AS1373" s="936"/>
    </row>
    <row r="1374" ht="15.75" customHeight="1">
      <c r="A1374" s="1099"/>
      <c r="B1374" s="948" t="s">
        <v>1332</v>
      </c>
      <c r="C1374" s="1197" t="s">
        <v>1333</v>
      </c>
      <c r="D1374" s="1197" t="s">
        <v>1333</v>
      </c>
      <c r="E1374" s="1147" t="s">
        <v>1334</v>
      </c>
      <c r="F1374" s="940"/>
      <c r="G1374" s="953"/>
      <c r="H1374" s="969"/>
      <c r="I1374" s="998" t="s">
        <v>4473</v>
      </c>
      <c r="J1374" s="1214" t="s">
        <v>342</v>
      </c>
      <c r="K1374" s="1196" t="s">
        <v>203</v>
      </c>
      <c r="L1374" s="959">
        <v>40.0</v>
      </c>
      <c r="M1374" s="960">
        <v>80.0</v>
      </c>
      <c r="N1374" s="960">
        <v>100.0</v>
      </c>
      <c r="O1374" s="960">
        <v>30.0</v>
      </c>
      <c r="P1374" s="960">
        <v>30.0</v>
      </c>
      <c r="Q1374" s="960">
        <v>20.0</v>
      </c>
      <c r="R1374" s="960">
        <v>76.0</v>
      </c>
      <c r="S1374" s="960">
        <v>139.0</v>
      </c>
      <c r="T1374" s="960">
        <v>152.0</v>
      </c>
      <c r="U1374" s="960">
        <f t="array" ref="U1374">HLOOKUP($J1374,'Type Chart'!$C$2:$T$20,2,false)*HLOOKUP($K1374,'Type Chart'!$C$2:$U$20,2,false)</f>
        <v>0.5</v>
      </c>
      <c r="V1374" s="960">
        <f t="array" ref="V1374">HLOOKUP($J1374,'Type Chart'!$C$2:$T$20,3,false)*HLOOKUP($K1374,'Type Chart'!$C$2:$U$20,3,false)</f>
        <v>2</v>
      </c>
      <c r="W1374" s="960">
        <f t="array" ref="W1374">HLOOKUP($J1374,'Type Chart'!$C$2:$T$20,4,false)*HLOOKUP($K1374,'Type Chart'!$C$2:$U$20,4,false)</f>
        <v>0.25</v>
      </c>
      <c r="X1374" s="960">
        <f t="array" ref="X1374">HLOOKUP($J1374,'Type Chart'!$C$2:$T$20,5,false)*HLOOKUP($K1374,'Type Chart'!$C$2:$U$20,5,false)</f>
        <v>0.5</v>
      </c>
      <c r="Y1374" s="960">
        <f t="array" ref="Y1374">HLOOKUP($J1374,'Type Chart'!$C$2:$T$20,6,false)*HLOOKUP($K1374,'Type Chart'!$C$2:$U$20,6,false)</f>
        <v>4</v>
      </c>
      <c r="Z1374" s="960">
        <f t="array" ref="Z1374">HLOOKUP($J1374,'Type Chart'!$C$2:$T$20,7,false)*HLOOKUP($K1374,'Type Chart'!$C$2:$U$20,7,false)</f>
        <v>1</v>
      </c>
      <c r="AA1374" s="960">
        <f t="array" ref="AA1374">HLOOKUP($J1374,'Type Chart'!$C$2:$T$20,8,false)*HLOOKUP($K1374,'Type Chart'!$C$2:$U$20,8,false)</f>
        <v>1</v>
      </c>
      <c r="AB1374" s="960">
        <f t="array" ref="AB1374">HLOOKUP($J1374,'Type Chart'!$C$2:$T$20,9,false)*HLOOKUP($K1374,'Type Chart'!$C$2:$U$20,9,false)</f>
        <v>1</v>
      </c>
      <c r="AC1374" s="960">
        <f t="array" ref="AC1374">HLOOKUP($J1374,'Type Chart'!$C$2:$T$20,10,false)*HLOOKUP($K1374,'Type Chart'!$C$2:$U$20,10,false)</f>
        <v>1</v>
      </c>
      <c r="AD1374" s="960">
        <f t="array" ref="AD1374">HLOOKUP($J1374,'Type Chart'!$C$2:$T$20,11,false)*HLOOKUP($K1374,'Type Chart'!$C$2:$U$20,11,false)</f>
        <v>0.5</v>
      </c>
      <c r="AE1374" s="960">
        <f t="array" ref="AE1374">HLOOKUP($J1374,'Type Chart'!$C$2:$T$20,12,false)*HLOOKUP($K1374,'Type Chart'!$C$2:$U$20,12,false)</f>
        <v>2</v>
      </c>
      <c r="AF1374" s="960">
        <f t="array" ref="AF1374">HLOOKUP($J1374,'Type Chart'!$C$2:$T$20,13,false)*HLOOKUP($K1374,'Type Chart'!$C$2:$U$20,13,false)</f>
        <v>2</v>
      </c>
      <c r="AG1374" s="960">
        <f t="array" ref="AG1374">HLOOKUP($J1374,'Type Chart'!$C$2:$T$20,14,false)*HLOOKUP($K1374,'Type Chart'!$C$2:$U$20,14,false)</f>
        <v>0.5</v>
      </c>
      <c r="AH1374" s="960">
        <f t="array" ref="AH1374">HLOOKUP($J1374,'Type Chart'!$C$2:$T$20,15,false)*HLOOKUP($K1374,'Type Chart'!$C$2:$U$20,15,false)</f>
        <v>1</v>
      </c>
      <c r="AI1374" s="960">
        <f t="array" ref="AI1374">HLOOKUP($J1374,'Type Chart'!$C$2:$T$20,16,false)*HLOOKUP($K1374,'Type Chart'!$C$2:$U$20,16,false)</f>
        <v>1</v>
      </c>
      <c r="AJ1374" s="960">
        <f t="array" ref="AJ1374">HLOOKUP($J1374,'Type Chart'!$C$2:$T$20,17,false)*HLOOKUP($K1374,'Type Chart'!$C$2:$U$20,17,false)</f>
        <v>1</v>
      </c>
      <c r="AK1374" s="960">
        <f t="array" ref="AK1374">HLOOKUP($J1374,'Type Chart'!$C$2:$T$20,18,false)*HLOOKUP($K1374,'Type Chart'!$C$2:$U$20,18,false)</f>
        <v>1</v>
      </c>
      <c r="AL1374" s="960">
        <f t="array" ref="AL1374">HLOOKUP($J1374,'Type Chart'!$C$2:$T$20,19,false)*HLOOKUP($K1374,'Type Chart'!$C$2:$U$20,19,false)</f>
        <v>1</v>
      </c>
      <c r="AM1374" s="964" t="s">
        <v>1336</v>
      </c>
      <c r="AN1374" s="965" t="s">
        <v>1331</v>
      </c>
      <c r="AO1374" s="966" t="s">
        <v>1337</v>
      </c>
      <c r="AP1374" s="936"/>
      <c r="AQ1374" s="1245"/>
      <c r="AR1374" s="1245"/>
      <c r="AS1374" s="936"/>
    </row>
    <row r="1375" ht="15.75" customHeight="1">
      <c r="A1375" s="1099"/>
      <c r="B1375" s="948" t="s">
        <v>1338</v>
      </c>
      <c r="C1375" s="1197" t="s">
        <v>1339</v>
      </c>
      <c r="D1375" s="1197" t="s">
        <v>1339</v>
      </c>
      <c r="E1375" s="1147" t="s">
        <v>1339</v>
      </c>
      <c r="F1375" s="940"/>
      <c r="G1375" s="953"/>
      <c r="H1375" s="969"/>
      <c r="I1375" s="998" t="s">
        <v>4474</v>
      </c>
      <c r="J1375" s="1214" t="s">
        <v>342</v>
      </c>
      <c r="K1375" s="1204" t="s">
        <v>80</v>
      </c>
      <c r="L1375" s="959">
        <v>55.0</v>
      </c>
      <c r="M1375" s="960">
        <v>95.0</v>
      </c>
      <c r="N1375" s="960">
        <v>115.0</v>
      </c>
      <c r="O1375" s="960">
        <v>45.0</v>
      </c>
      <c r="P1375" s="960">
        <v>45.0</v>
      </c>
      <c r="Q1375" s="960">
        <v>35.0</v>
      </c>
      <c r="R1375" s="960">
        <v>106.0</v>
      </c>
      <c r="S1375" s="960">
        <v>169.0</v>
      </c>
      <c r="T1375" s="960">
        <v>185.0</v>
      </c>
      <c r="U1375" s="960">
        <f t="array" ref="U1375">HLOOKUP($J1375,'Type Chart'!$C$2:$T$20,2,false)*HLOOKUP($K1375,'Type Chart'!$C$2:$U$20,2,false)</f>
        <v>0.5</v>
      </c>
      <c r="V1375" s="960">
        <f t="array" ref="V1375">HLOOKUP($J1375,'Type Chart'!$C$2:$T$20,3,false)*HLOOKUP($K1375,'Type Chart'!$C$2:$U$20,3,false)</f>
        <v>2</v>
      </c>
      <c r="W1375" s="960">
        <f t="array" ref="W1375">HLOOKUP($J1375,'Type Chart'!$C$2:$T$20,4,false)*HLOOKUP($K1375,'Type Chart'!$C$2:$U$20,4,false)</f>
        <v>0.5</v>
      </c>
      <c r="X1375" s="960">
        <f t="array" ref="X1375">HLOOKUP($J1375,'Type Chart'!$C$2:$T$20,5,false)*HLOOKUP($K1375,'Type Chart'!$C$2:$U$20,5,false)</f>
        <v>0.25</v>
      </c>
      <c r="Y1375" s="960">
        <f t="array" ref="Y1375">HLOOKUP($J1375,'Type Chart'!$C$2:$T$20,6,false)*HLOOKUP($K1375,'Type Chart'!$C$2:$U$20,6,false)</f>
        <v>2</v>
      </c>
      <c r="Z1375" s="960">
        <f t="array" ref="Z1375">HLOOKUP($J1375,'Type Chart'!$C$2:$T$20,7,false)*HLOOKUP($K1375,'Type Chart'!$C$2:$U$20,7,false)</f>
        <v>0.5</v>
      </c>
      <c r="AA1375" s="960">
        <f t="array" ref="AA1375">HLOOKUP($J1375,'Type Chart'!$C$2:$T$20,8,false)*HLOOKUP($K1375,'Type Chart'!$C$2:$U$20,8,false)</f>
        <v>1</v>
      </c>
      <c r="AB1375" s="960">
        <f t="array" ref="AB1375">HLOOKUP($J1375,'Type Chart'!$C$2:$T$20,9,false)*HLOOKUP($K1375,'Type Chart'!$C$2:$U$20,9,false)</f>
        <v>1</v>
      </c>
      <c r="AC1375" s="960">
        <f t="array" ref="AC1375">HLOOKUP($J1375,'Type Chart'!$C$2:$T$20,10,false)*HLOOKUP($K1375,'Type Chart'!$C$2:$U$20,10,false)</f>
        <v>2</v>
      </c>
      <c r="AD1375" s="960">
        <f t="array" ref="AD1375">HLOOKUP($J1375,'Type Chart'!$C$2:$T$20,11,false)*HLOOKUP($K1375,'Type Chart'!$C$2:$U$20,11,false)</f>
        <v>0.5</v>
      </c>
      <c r="AE1375" s="960">
        <f t="array" ref="AE1375">HLOOKUP($J1375,'Type Chart'!$C$2:$T$20,12,false)*HLOOKUP($K1375,'Type Chart'!$C$2:$U$20,12,false)</f>
        <v>4</v>
      </c>
      <c r="AF1375" s="960">
        <f t="array" ref="AF1375">HLOOKUP($J1375,'Type Chart'!$C$2:$T$20,13,false)*HLOOKUP($K1375,'Type Chart'!$C$2:$U$20,13,false)</f>
        <v>4</v>
      </c>
      <c r="AG1375" s="960">
        <f t="array" ref="AG1375">HLOOKUP($J1375,'Type Chart'!$C$2:$T$20,14,false)*HLOOKUP($K1375,'Type Chart'!$C$2:$U$20,14,false)</f>
        <v>0</v>
      </c>
      <c r="AH1375" s="960">
        <f t="array" ref="AH1375">HLOOKUP($J1375,'Type Chart'!$C$2:$T$20,15,false)*HLOOKUP($K1375,'Type Chart'!$C$2:$U$20,15,false)</f>
        <v>1</v>
      </c>
      <c r="AI1375" s="960">
        <f t="array" ref="AI1375">HLOOKUP($J1375,'Type Chart'!$C$2:$T$20,16,false)*HLOOKUP($K1375,'Type Chart'!$C$2:$U$20,16,false)</f>
        <v>2</v>
      </c>
      <c r="AJ1375" s="960">
        <f t="array" ref="AJ1375">HLOOKUP($J1375,'Type Chart'!$C$2:$T$20,17,false)*HLOOKUP($K1375,'Type Chart'!$C$2:$U$20,17,false)</f>
        <v>1</v>
      </c>
      <c r="AK1375" s="960">
        <f t="array" ref="AK1375">HLOOKUP($J1375,'Type Chart'!$C$2:$T$20,18,false)*HLOOKUP($K1375,'Type Chart'!$C$2:$U$20,18,false)</f>
        <v>1</v>
      </c>
      <c r="AL1375" s="960">
        <f t="array" ref="AL1375">HLOOKUP($J1375,'Type Chart'!$C$2:$T$20,19,false)*HLOOKUP($K1375,'Type Chart'!$C$2:$U$20,19,false)</f>
        <v>1</v>
      </c>
      <c r="AM1375" s="1145" t="s">
        <v>1276</v>
      </c>
      <c r="AN1375" s="1202" t="s">
        <v>1331</v>
      </c>
      <c r="AO1375" s="1146" t="s">
        <v>1129</v>
      </c>
      <c r="AP1375" s="936"/>
      <c r="AQ1375" s="1245"/>
      <c r="AR1375" s="1245"/>
      <c r="AS1375" s="936"/>
    </row>
    <row r="1376" ht="15.75" customHeight="1">
      <c r="A1376" s="1099"/>
      <c r="B1376" s="948" t="s">
        <v>1341</v>
      </c>
      <c r="C1376" s="1197" t="s">
        <v>1342</v>
      </c>
      <c r="D1376" s="1197" t="s">
        <v>1342</v>
      </c>
      <c r="E1376" s="1147" t="s">
        <v>1343</v>
      </c>
      <c r="F1376" s="940"/>
      <c r="G1376" s="953"/>
      <c r="H1376" s="969"/>
      <c r="I1376" s="998" t="s">
        <v>4475</v>
      </c>
      <c r="J1376" s="1214" t="s">
        <v>342</v>
      </c>
      <c r="K1376" s="1196" t="s">
        <v>203</v>
      </c>
      <c r="L1376" s="959">
        <v>55.0</v>
      </c>
      <c r="M1376" s="960">
        <v>95.0</v>
      </c>
      <c r="N1376" s="960">
        <v>115.0</v>
      </c>
      <c r="O1376" s="960">
        <v>45.0</v>
      </c>
      <c r="P1376" s="960">
        <v>45.0</v>
      </c>
      <c r="Q1376" s="960">
        <v>35.0</v>
      </c>
      <c r="R1376" s="960">
        <v>106.0</v>
      </c>
      <c r="S1376" s="960">
        <v>169.0</v>
      </c>
      <c r="T1376" s="960">
        <v>185.0</v>
      </c>
      <c r="U1376" s="960">
        <f t="array" ref="U1376">HLOOKUP($J1376,'Type Chart'!$C$2:$T$20,2,false)*HLOOKUP($K1376,'Type Chart'!$C$2:$U$20,2,false)</f>
        <v>0.5</v>
      </c>
      <c r="V1376" s="960">
        <f t="array" ref="V1376">HLOOKUP($J1376,'Type Chart'!$C$2:$T$20,3,false)*HLOOKUP($K1376,'Type Chart'!$C$2:$U$20,3,false)</f>
        <v>2</v>
      </c>
      <c r="W1376" s="960">
        <f t="array" ref="W1376">HLOOKUP($J1376,'Type Chart'!$C$2:$T$20,4,false)*HLOOKUP($K1376,'Type Chart'!$C$2:$U$20,4,false)</f>
        <v>0.25</v>
      </c>
      <c r="X1376" s="960">
        <f t="array" ref="X1376">HLOOKUP($J1376,'Type Chart'!$C$2:$T$20,5,false)*HLOOKUP($K1376,'Type Chart'!$C$2:$U$20,5,false)</f>
        <v>0.5</v>
      </c>
      <c r="Y1376" s="960">
        <f t="array" ref="Y1376">HLOOKUP($J1376,'Type Chart'!$C$2:$T$20,6,false)*HLOOKUP($K1376,'Type Chart'!$C$2:$U$20,6,false)</f>
        <v>4</v>
      </c>
      <c r="Z1376" s="960">
        <f t="array" ref="Z1376">HLOOKUP($J1376,'Type Chart'!$C$2:$T$20,7,false)*HLOOKUP($K1376,'Type Chart'!$C$2:$U$20,7,false)</f>
        <v>1</v>
      </c>
      <c r="AA1376" s="960">
        <f t="array" ref="AA1376">HLOOKUP($J1376,'Type Chart'!$C$2:$T$20,8,false)*HLOOKUP($K1376,'Type Chart'!$C$2:$U$20,8,false)</f>
        <v>1</v>
      </c>
      <c r="AB1376" s="960">
        <f t="array" ref="AB1376">HLOOKUP($J1376,'Type Chart'!$C$2:$T$20,9,false)*HLOOKUP($K1376,'Type Chart'!$C$2:$U$20,9,false)</f>
        <v>1</v>
      </c>
      <c r="AC1376" s="960">
        <f t="array" ref="AC1376">HLOOKUP($J1376,'Type Chart'!$C$2:$T$20,10,false)*HLOOKUP($K1376,'Type Chart'!$C$2:$U$20,10,false)</f>
        <v>1</v>
      </c>
      <c r="AD1376" s="960">
        <f t="array" ref="AD1376">HLOOKUP($J1376,'Type Chart'!$C$2:$T$20,11,false)*HLOOKUP($K1376,'Type Chart'!$C$2:$U$20,11,false)</f>
        <v>0.5</v>
      </c>
      <c r="AE1376" s="960">
        <f t="array" ref="AE1376">HLOOKUP($J1376,'Type Chart'!$C$2:$T$20,12,false)*HLOOKUP($K1376,'Type Chart'!$C$2:$U$20,12,false)</f>
        <v>2</v>
      </c>
      <c r="AF1376" s="960">
        <f t="array" ref="AF1376">HLOOKUP($J1376,'Type Chart'!$C$2:$T$20,13,false)*HLOOKUP($K1376,'Type Chart'!$C$2:$U$20,13,false)</f>
        <v>2</v>
      </c>
      <c r="AG1376" s="960">
        <f t="array" ref="AG1376">HLOOKUP($J1376,'Type Chart'!$C$2:$T$20,14,false)*HLOOKUP($K1376,'Type Chart'!$C$2:$U$20,14,false)</f>
        <v>0.5</v>
      </c>
      <c r="AH1376" s="960">
        <f t="array" ref="AH1376">HLOOKUP($J1376,'Type Chart'!$C$2:$T$20,15,false)*HLOOKUP($K1376,'Type Chart'!$C$2:$U$20,15,false)</f>
        <v>1</v>
      </c>
      <c r="AI1376" s="960">
        <f t="array" ref="AI1376">HLOOKUP($J1376,'Type Chart'!$C$2:$T$20,16,false)*HLOOKUP($K1376,'Type Chart'!$C$2:$U$20,16,false)</f>
        <v>1</v>
      </c>
      <c r="AJ1376" s="960">
        <f t="array" ref="AJ1376">HLOOKUP($J1376,'Type Chart'!$C$2:$T$20,17,false)*HLOOKUP($K1376,'Type Chart'!$C$2:$U$20,17,false)</f>
        <v>1</v>
      </c>
      <c r="AK1376" s="960">
        <f t="array" ref="AK1376">HLOOKUP($J1376,'Type Chart'!$C$2:$T$20,18,false)*HLOOKUP($K1376,'Type Chart'!$C$2:$U$20,18,false)</f>
        <v>1</v>
      </c>
      <c r="AL1376" s="960">
        <f t="array" ref="AL1376">HLOOKUP($J1376,'Type Chart'!$C$2:$T$20,19,false)*HLOOKUP($K1376,'Type Chart'!$C$2:$U$20,19,false)</f>
        <v>1</v>
      </c>
      <c r="AM1376" s="964" t="s">
        <v>1336</v>
      </c>
      <c r="AN1376" s="965" t="s">
        <v>1331</v>
      </c>
      <c r="AO1376" s="966" t="s">
        <v>1337</v>
      </c>
      <c r="AP1376" s="936"/>
      <c r="AQ1376" s="1245"/>
      <c r="AR1376" s="1245"/>
      <c r="AS1376" s="936"/>
    </row>
    <row r="1377" ht="15.75" customHeight="1">
      <c r="A1377" s="1099"/>
      <c r="B1377" s="948" t="s">
        <v>1345</v>
      </c>
      <c r="C1377" s="1197" t="s">
        <v>1346</v>
      </c>
      <c r="D1377" s="1197" t="s">
        <v>1346</v>
      </c>
      <c r="E1377" s="1147" t="s">
        <v>1346</v>
      </c>
      <c r="F1377" s="940"/>
      <c r="G1377" s="953"/>
      <c r="H1377" s="969"/>
      <c r="I1377" s="998" t="s">
        <v>4476</v>
      </c>
      <c r="J1377" s="1214" t="s">
        <v>342</v>
      </c>
      <c r="K1377" s="1204" t="s">
        <v>80</v>
      </c>
      <c r="L1377" s="959">
        <v>80.0</v>
      </c>
      <c r="M1377" s="960">
        <v>120.0</v>
      </c>
      <c r="N1377" s="960">
        <v>130.0</v>
      </c>
      <c r="O1377" s="960">
        <v>55.0</v>
      </c>
      <c r="P1377" s="960">
        <v>65.0</v>
      </c>
      <c r="Q1377" s="960">
        <v>45.0</v>
      </c>
      <c r="R1377" s="960">
        <v>126.0</v>
      </c>
      <c r="S1377" s="960">
        <v>189.0</v>
      </c>
      <c r="T1377" s="960">
        <v>207.0</v>
      </c>
      <c r="U1377" s="960">
        <f t="array" ref="U1377">HLOOKUP($J1377,'Type Chart'!$C$2:$T$20,2,false)*HLOOKUP($K1377,'Type Chart'!$C$2:$U$20,2,false)</f>
        <v>0.5</v>
      </c>
      <c r="V1377" s="960">
        <f t="array" ref="V1377">HLOOKUP($J1377,'Type Chart'!$C$2:$T$20,3,false)*HLOOKUP($K1377,'Type Chart'!$C$2:$U$20,3,false)</f>
        <v>2</v>
      </c>
      <c r="W1377" s="960">
        <f t="array" ref="W1377">HLOOKUP($J1377,'Type Chart'!$C$2:$T$20,4,false)*HLOOKUP($K1377,'Type Chart'!$C$2:$U$20,4,false)</f>
        <v>0.5</v>
      </c>
      <c r="X1377" s="960">
        <f t="array" ref="X1377">HLOOKUP($J1377,'Type Chart'!$C$2:$T$20,5,false)*HLOOKUP($K1377,'Type Chart'!$C$2:$U$20,5,false)</f>
        <v>0.25</v>
      </c>
      <c r="Y1377" s="960">
        <f t="array" ref="Y1377">HLOOKUP($J1377,'Type Chart'!$C$2:$T$20,6,false)*HLOOKUP($K1377,'Type Chart'!$C$2:$U$20,6,false)</f>
        <v>2</v>
      </c>
      <c r="Z1377" s="960">
        <f t="array" ref="Z1377">HLOOKUP($J1377,'Type Chart'!$C$2:$T$20,7,false)*HLOOKUP($K1377,'Type Chart'!$C$2:$U$20,7,false)</f>
        <v>0.5</v>
      </c>
      <c r="AA1377" s="960">
        <f t="array" ref="AA1377">HLOOKUP($J1377,'Type Chart'!$C$2:$T$20,8,false)*HLOOKUP($K1377,'Type Chart'!$C$2:$U$20,8,false)</f>
        <v>1</v>
      </c>
      <c r="AB1377" s="960">
        <f t="array" ref="AB1377">HLOOKUP($J1377,'Type Chart'!$C$2:$T$20,9,false)*HLOOKUP($K1377,'Type Chart'!$C$2:$U$20,9,false)</f>
        <v>1</v>
      </c>
      <c r="AC1377" s="960">
        <f t="array" ref="AC1377">HLOOKUP($J1377,'Type Chart'!$C$2:$T$20,10,false)*HLOOKUP($K1377,'Type Chart'!$C$2:$U$20,10,false)</f>
        <v>2</v>
      </c>
      <c r="AD1377" s="960">
        <f t="array" ref="AD1377">HLOOKUP($J1377,'Type Chart'!$C$2:$T$20,11,false)*HLOOKUP($K1377,'Type Chart'!$C$2:$U$20,11,false)</f>
        <v>0.5</v>
      </c>
      <c r="AE1377" s="960">
        <f t="array" ref="AE1377">HLOOKUP($J1377,'Type Chart'!$C$2:$T$20,12,false)*HLOOKUP($K1377,'Type Chart'!$C$2:$U$20,12,false)</f>
        <v>4</v>
      </c>
      <c r="AF1377" s="960">
        <f t="array" ref="AF1377">HLOOKUP($J1377,'Type Chart'!$C$2:$T$20,13,false)*HLOOKUP($K1377,'Type Chart'!$C$2:$U$20,13,false)</f>
        <v>4</v>
      </c>
      <c r="AG1377" s="960">
        <f t="array" ref="AG1377">HLOOKUP($J1377,'Type Chart'!$C$2:$T$20,14,false)*HLOOKUP($K1377,'Type Chart'!$C$2:$U$20,14,false)</f>
        <v>0</v>
      </c>
      <c r="AH1377" s="960">
        <f t="array" ref="AH1377">HLOOKUP($J1377,'Type Chart'!$C$2:$T$20,15,false)*HLOOKUP($K1377,'Type Chart'!$C$2:$U$20,15,false)</f>
        <v>1</v>
      </c>
      <c r="AI1377" s="960">
        <f t="array" ref="AI1377">HLOOKUP($J1377,'Type Chart'!$C$2:$T$20,16,false)*HLOOKUP($K1377,'Type Chart'!$C$2:$U$20,16,false)</f>
        <v>2</v>
      </c>
      <c r="AJ1377" s="960">
        <f t="array" ref="AJ1377">HLOOKUP($J1377,'Type Chart'!$C$2:$T$20,17,false)*HLOOKUP($K1377,'Type Chart'!$C$2:$U$20,17,false)</f>
        <v>1</v>
      </c>
      <c r="AK1377" s="960">
        <f t="array" ref="AK1377">HLOOKUP($J1377,'Type Chart'!$C$2:$T$20,18,false)*HLOOKUP($K1377,'Type Chart'!$C$2:$U$20,18,false)</f>
        <v>1</v>
      </c>
      <c r="AL1377" s="960">
        <f t="array" ref="AL1377">HLOOKUP($J1377,'Type Chart'!$C$2:$T$20,19,false)*HLOOKUP($K1377,'Type Chart'!$C$2:$U$20,19,false)</f>
        <v>1</v>
      </c>
      <c r="AM1377" s="964" t="s">
        <v>1276</v>
      </c>
      <c r="AN1377" s="965" t="s">
        <v>1331</v>
      </c>
      <c r="AO1377" s="966" t="s">
        <v>1129</v>
      </c>
      <c r="AP1377" s="936"/>
      <c r="AQ1377" s="1245"/>
      <c r="AR1377" s="1245"/>
      <c r="AS1377" s="936"/>
    </row>
    <row r="1378" ht="15.75" customHeight="1">
      <c r="A1378" s="1099"/>
      <c r="B1378" s="948" t="s">
        <v>1347</v>
      </c>
      <c r="C1378" s="1197" t="s">
        <v>1348</v>
      </c>
      <c r="D1378" s="1197" t="s">
        <v>1348</v>
      </c>
      <c r="E1378" s="1147" t="s">
        <v>1349</v>
      </c>
      <c r="F1378" s="940"/>
      <c r="G1378" s="953"/>
      <c r="H1378" s="969"/>
      <c r="I1378" s="998" t="s">
        <v>4477</v>
      </c>
      <c r="J1378" s="1214" t="s">
        <v>342</v>
      </c>
      <c r="K1378" s="1196" t="s">
        <v>203</v>
      </c>
      <c r="L1378" s="959">
        <v>80.0</v>
      </c>
      <c r="M1378" s="960">
        <v>120.0</v>
      </c>
      <c r="N1378" s="960">
        <v>130.0</v>
      </c>
      <c r="O1378" s="960">
        <v>55.0</v>
      </c>
      <c r="P1378" s="960">
        <v>65.0</v>
      </c>
      <c r="Q1378" s="960">
        <v>45.0</v>
      </c>
      <c r="R1378" s="960">
        <v>126.0</v>
      </c>
      <c r="S1378" s="960">
        <v>189.0</v>
      </c>
      <c r="T1378" s="960">
        <v>207.0</v>
      </c>
      <c r="U1378" s="960">
        <f t="array" ref="U1378">HLOOKUP($J1378,'Type Chart'!$C$2:$T$20,2,false)*HLOOKUP($K1378,'Type Chart'!$C$2:$U$20,2,false)</f>
        <v>0.5</v>
      </c>
      <c r="V1378" s="960">
        <f t="array" ref="V1378">HLOOKUP($J1378,'Type Chart'!$C$2:$T$20,3,false)*HLOOKUP($K1378,'Type Chart'!$C$2:$U$20,3,false)</f>
        <v>2</v>
      </c>
      <c r="W1378" s="960">
        <f t="array" ref="W1378">HLOOKUP($J1378,'Type Chart'!$C$2:$T$20,4,false)*HLOOKUP($K1378,'Type Chart'!$C$2:$U$20,4,false)</f>
        <v>0.25</v>
      </c>
      <c r="X1378" s="960">
        <f t="array" ref="X1378">HLOOKUP($J1378,'Type Chart'!$C$2:$T$20,5,false)*HLOOKUP($K1378,'Type Chart'!$C$2:$U$20,5,false)</f>
        <v>0.5</v>
      </c>
      <c r="Y1378" s="960">
        <f t="array" ref="Y1378">HLOOKUP($J1378,'Type Chart'!$C$2:$T$20,6,false)*HLOOKUP($K1378,'Type Chart'!$C$2:$U$20,6,false)</f>
        <v>4</v>
      </c>
      <c r="Z1378" s="960">
        <f t="array" ref="Z1378">HLOOKUP($J1378,'Type Chart'!$C$2:$T$20,7,false)*HLOOKUP($K1378,'Type Chart'!$C$2:$U$20,7,false)</f>
        <v>1</v>
      </c>
      <c r="AA1378" s="960">
        <f t="array" ref="AA1378">HLOOKUP($J1378,'Type Chart'!$C$2:$T$20,8,false)*HLOOKUP($K1378,'Type Chart'!$C$2:$U$20,8,false)</f>
        <v>1</v>
      </c>
      <c r="AB1378" s="960">
        <f t="array" ref="AB1378">HLOOKUP($J1378,'Type Chart'!$C$2:$T$20,9,false)*HLOOKUP($K1378,'Type Chart'!$C$2:$U$20,9,false)</f>
        <v>1</v>
      </c>
      <c r="AC1378" s="960">
        <f t="array" ref="AC1378">HLOOKUP($J1378,'Type Chart'!$C$2:$T$20,10,false)*HLOOKUP($K1378,'Type Chart'!$C$2:$U$20,10,false)</f>
        <v>1</v>
      </c>
      <c r="AD1378" s="960">
        <f t="array" ref="AD1378">HLOOKUP($J1378,'Type Chart'!$C$2:$T$20,11,false)*HLOOKUP($K1378,'Type Chart'!$C$2:$U$20,11,false)</f>
        <v>0.5</v>
      </c>
      <c r="AE1378" s="960">
        <f t="array" ref="AE1378">HLOOKUP($J1378,'Type Chart'!$C$2:$T$20,12,false)*HLOOKUP($K1378,'Type Chart'!$C$2:$U$20,12,false)</f>
        <v>2</v>
      </c>
      <c r="AF1378" s="960">
        <f t="array" ref="AF1378">HLOOKUP($J1378,'Type Chart'!$C$2:$T$20,13,false)*HLOOKUP($K1378,'Type Chart'!$C$2:$U$20,13,false)</f>
        <v>2</v>
      </c>
      <c r="AG1378" s="960">
        <f t="array" ref="AG1378">HLOOKUP($J1378,'Type Chart'!$C$2:$T$20,14,false)*HLOOKUP($K1378,'Type Chart'!$C$2:$U$20,14,false)</f>
        <v>0.5</v>
      </c>
      <c r="AH1378" s="960">
        <f t="array" ref="AH1378">HLOOKUP($J1378,'Type Chart'!$C$2:$T$20,15,false)*HLOOKUP($K1378,'Type Chart'!$C$2:$U$20,15,false)</f>
        <v>1</v>
      </c>
      <c r="AI1378" s="960">
        <f t="array" ref="AI1378">HLOOKUP($J1378,'Type Chart'!$C$2:$T$20,16,false)*HLOOKUP($K1378,'Type Chart'!$C$2:$U$20,16,false)</f>
        <v>1</v>
      </c>
      <c r="AJ1378" s="960">
        <f t="array" ref="AJ1378">HLOOKUP($J1378,'Type Chart'!$C$2:$T$20,17,false)*HLOOKUP($K1378,'Type Chart'!$C$2:$U$20,17,false)</f>
        <v>1</v>
      </c>
      <c r="AK1378" s="960">
        <f t="array" ref="AK1378">HLOOKUP($J1378,'Type Chart'!$C$2:$T$20,18,false)*HLOOKUP($K1378,'Type Chart'!$C$2:$U$20,18,false)</f>
        <v>1</v>
      </c>
      <c r="AL1378" s="960">
        <f t="array" ref="AL1378">HLOOKUP($J1378,'Type Chart'!$C$2:$T$20,19,false)*HLOOKUP($K1378,'Type Chart'!$C$2:$U$20,19,false)</f>
        <v>1</v>
      </c>
      <c r="AM1378" s="964" t="s">
        <v>1336</v>
      </c>
      <c r="AN1378" s="965" t="s">
        <v>1331</v>
      </c>
      <c r="AO1378" s="966" t="s">
        <v>1337</v>
      </c>
      <c r="AP1378" s="936"/>
      <c r="AQ1378" s="1245"/>
      <c r="AR1378" s="1245"/>
      <c r="AS1378" s="936"/>
    </row>
    <row r="1379" ht="15.75" customHeight="1">
      <c r="A1379" s="1099"/>
      <c r="B1379" s="948" t="s">
        <v>1350</v>
      </c>
      <c r="C1379" s="1197" t="s">
        <v>1351</v>
      </c>
      <c r="D1379" s="1197" t="s">
        <v>1351</v>
      </c>
      <c r="E1379" s="1147" t="s">
        <v>1351</v>
      </c>
      <c r="F1379" s="940"/>
      <c r="G1379" s="953"/>
      <c r="H1379" s="969"/>
      <c r="I1379" s="998" t="s">
        <v>4478</v>
      </c>
      <c r="J1379" s="982" t="s">
        <v>150</v>
      </c>
      <c r="K1379" s="984" t="s">
        <v>216</v>
      </c>
      <c r="L1379" s="959">
        <v>50.0</v>
      </c>
      <c r="M1379" s="960">
        <v>85.0</v>
      </c>
      <c r="N1379" s="960">
        <v>55.0</v>
      </c>
      <c r="O1379" s="960">
        <v>65.0</v>
      </c>
      <c r="P1379" s="960">
        <v>65.0</v>
      </c>
      <c r="Q1379" s="960">
        <v>90.0</v>
      </c>
      <c r="R1379" s="960">
        <v>216.0</v>
      </c>
      <c r="S1379" s="960">
        <v>279.0</v>
      </c>
      <c r="T1379" s="960">
        <v>306.0</v>
      </c>
      <c r="U1379" s="960">
        <f t="array" ref="U1379">HLOOKUP($J1379,'Type Chart'!$C$2:$T$20,2,false)*HLOOKUP($K1379,'Type Chart'!$C$2:$U$20,2,false)</f>
        <v>1</v>
      </c>
      <c r="V1379" s="960">
        <f t="array" ref="V1379">HLOOKUP($J1379,'Type Chart'!$C$2:$T$20,3,false)*HLOOKUP($K1379,'Type Chart'!$C$2:$U$20,3,false)</f>
        <v>1</v>
      </c>
      <c r="W1379" s="960">
        <f t="array" ref="W1379">HLOOKUP($J1379,'Type Chart'!$C$2:$T$20,4,false)*HLOOKUP($K1379,'Type Chart'!$C$2:$U$20,4,false)</f>
        <v>1</v>
      </c>
      <c r="X1379" s="960">
        <f t="array" ref="X1379">HLOOKUP($J1379,'Type Chart'!$C$2:$T$20,5,false)*HLOOKUP($K1379,'Type Chart'!$C$2:$U$20,5,false)</f>
        <v>1</v>
      </c>
      <c r="Y1379" s="960">
        <f t="array" ref="Y1379">HLOOKUP($J1379,'Type Chart'!$C$2:$T$20,6,false)*HLOOKUP($K1379,'Type Chart'!$C$2:$U$20,6,false)</f>
        <v>2</v>
      </c>
      <c r="Z1379" s="960">
        <f t="array" ref="Z1379">HLOOKUP($J1379,'Type Chart'!$C$2:$T$20,7,false)*HLOOKUP($K1379,'Type Chart'!$C$2:$U$20,7,false)</f>
        <v>2</v>
      </c>
      <c r="AA1379" s="960">
        <f t="array" ref="AA1379">HLOOKUP($J1379,'Type Chart'!$C$2:$T$20,8,false)*HLOOKUP($K1379,'Type Chart'!$C$2:$U$20,8,false)</f>
        <v>0.5</v>
      </c>
      <c r="AB1379" s="960">
        <f t="array" ref="AB1379">HLOOKUP($J1379,'Type Chart'!$C$2:$T$20,9,false)*HLOOKUP($K1379,'Type Chart'!$C$2:$U$20,9,false)</f>
        <v>1</v>
      </c>
      <c r="AC1379" s="960">
        <f t="array" ref="AC1379">HLOOKUP($J1379,'Type Chart'!$C$2:$T$20,10,false)*HLOOKUP($K1379,'Type Chart'!$C$2:$U$20,10,false)</f>
        <v>0.5</v>
      </c>
      <c r="AD1379" s="960">
        <f t="array" ref="AD1379">HLOOKUP($J1379,'Type Chart'!$C$2:$T$20,11,false)*HLOOKUP($K1379,'Type Chart'!$C$2:$U$20,11,false)</f>
        <v>0.5</v>
      </c>
      <c r="AE1379" s="960">
        <f t="array" ref="AE1379">HLOOKUP($J1379,'Type Chart'!$C$2:$T$20,12,false)*HLOOKUP($K1379,'Type Chart'!$C$2:$U$20,12,false)</f>
        <v>2</v>
      </c>
      <c r="AF1379" s="960">
        <f t="array" ref="AF1379">HLOOKUP($J1379,'Type Chart'!$C$2:$T$20,13,false)*HLOOKUP($K1379,'Type Chart'!$C$2:$U$20,13,false)</f>
        <v>0.5</v>
      </c>
      <c r="AG1379" s="960">
        <f t="array" ref="AG1379">HLOOKUP($J1379,'Type Chart'!$C$2:$T$20,14,false)*HLOOKUP($K1379,'Type Chart'!$C$2:$U$20,14,false)</f>
        <v>1</v>
      </c>
      <c r="AH1379" s="960">
        <f t="array" ref="AH1379">HLOOKUP($J1379,'Type Chart'!$C$2:$T$20,15,false)*HLOOKUP($K1379,'Type Chart'!$C$2:$U$20,15,false)</f>
        <v>1</v>
      </c>
      <c r="AI1379" s="960">
        <f t="array" ref="AI1379">HLOOKUP($J1379,'Type Chart'!$C$2:$T$20,16,false)*HLOOKUP($K1379,'Type Chart'!$C$2:$U$20,16,false)</f>
        <v>0.5</v>
      </c>
      <c r="AJ1379" s="960">
        <f t="array" ref="AJ1379">HLOOKUP($J1379,'Type Chart'!$C$2:$T$20,17,false)*HLOOKUP($K1379,'Type Chart'!$C$2:$U$20,17,false)</f>
        <v>1</v>
      </c>
      <c r="AK1379" s="960">
        <f t="array" ref="AK1379">HLOOKUP($J1379,'Type Chart'!$C$2:$T$20,18,false)*HLOOKUP($K1379,'Type Chart'!$C$2:$U$20,18,false)</f>
        <v>1</v>
      </c>
      <c r="AL1379" s="960">
        <f t="array" ref="AL1379">HLOOKUP($J1379,'Type Chart'!$C$2:$T$20,19,false)*HLOOKUP($K1379,'Type Chart'!$C$2:$U$20,19,false)</f>
        <v>0.5</v>
      </c>
      <c r="AM1379" s="1145" t="s">
        <v>988</v>
      </c>
      <c r="AN1379" s="965" t="s">
        <v>1172</v>
      </c>
      <c r="AO1379" s="1146" t="s">
        <v>1353</v>
      </c>
      <c r="AP1379" s="936"/>
      <c r="AQ1379" s="1245"/>
      <c r="AR1379" s="1245"/>
      <c r="AS1379" s="936"/>
    </row>
    <row r="1380" ht="15.75" customHeight="1">
      <c r="A1380" s="1099"/>
      <c r="B1380" s="948" t="s">
        <v>1354</v>
      </c>
      <c r="C1380" s="1197" t="s">
        <v>1355</v>
      </c>
      <c r="D1380" s="1197" t="s">
        <v>1355</v>
      </c>
      <c r="E1380" s="1147" t="s">
        <v>1356</v>
      </c>
      <c r="F1380" s="940"/>
      <c r="G1380" s="953"/>
      <c r="H1380" s="969"/>
      <c r="I1380" s="998" t="s">
        <v>4479</v>
      </c>
      <c r="J1380" s="1215" t="s">
        <v>344</v>
      </c>
      <c r="K1380" s="1199" t="s">
        <v>216</v>
      </c>
      <c r="L1380" s="1200">
        <v>50.0</v>
      </c>
      <c r="M1380" s="1201">
        <v>85.0</v>
      </c>
      <c r="N1380" s="1201">
        <v>55.0</v>
      </c>
      <c r="O1380" s="1201">
        <v>65.0</v>
      </c>
      <c r="P1380" s="1201">
        <v>65.0</v>
      </c>
      <c r="Q1380" s="1201">
        <v>90.0</v>
      </c>
      <c r="R1380" s="960">
        <v>216.0</v>
      </c>
      <c r="S1380" s="960">
        <v>279.0</v>
      </c>
      <c r="T1380" s="960">
        <v>306.0</v>
      </c>
      <c r="U1380" s="960">
        <f t="array" ref="U1380">HLOOKUP($J1380,'Type Chart'!$C$2:$T$20,2,false)*HLOOKUP($K1380,'Type Chart'!$C$2:$U$20,2,false)</f>
        <v>1</v>
      </c>
      <c r="V1380" s="960">
        <f t="array" ref="V1380">HLOOKUP($J1380,'Type Chart'!$C$2:$T$20,3,false)*HLOOKUP($K1380,'Type Chart'!$C$2:$U$20,3,false)</f>
        <v>0.5</v>
      </c>
      <c r="W1380" s="960">
        <f t="array" ref="W1380">HLOOKUP($J1380,'Type Chart'!$C$2:$T$20,4,false)*HLOOKUP($K1380,'Type Chart'!$C$2:$U$20,4,false)</f>
        <v>1</v>
      </c>
      <c r="X1380" s="960">
        <f t="array" ref="X1380">HLOOKUP($J1380,'Type Chart'!$C$2:$T$20,5,false)*HLOOKUP($K1380,'Type Chart'!$C$2:$U$20,5,false)</f>
        <v>1</v>
      </c>
      <c r="Y1380" s="960">
        <f t="array" ref="Y1380">HLOOKUP($J1380,'Type Chart'!$C$2:$T$20,6,false)*HLOOKUP($K1380,'Type Chart'!$C$2:$U$20,6,false)</f>
        <v>1</v>
      </c>
      <c r="Z1380" s="960">
        <f t="array" ref="Z1380">HLOOKUP($J1380,'Type Chart'!$C$2:$T$20,7,false)*HLOOKUP($K1380,'Type Chart'!$C$2:$U$20,7,false)</f>
        <v>1</v>
      </c>
      <c r="AA1380" s="960">
        <f t="array" ref="AA1380">HLOOKUP($J1380,'Type Chart'!$C$2:$T$20,8,false)*HLOOKUP($K1380,'Type Chart'!$C$2:$U$20,8,false)</f>
        <v>2</v>
      </c>
      <c r="AB1380" s="960">
        <f t="array" ref="AB1380">HLOOKUP($J1380,'Type Chart'!$C$2:$T$20,9,false)*HLOOKUP($K1380,'Type Chart'!$C$2:$U$20,9,false)</f>
        <v>2</v>
      </c>
      <c r="AC1380" s="960">
        <f t="array" ref="AC1380">HLOOKUP($J1380,'Type Chart'!$C$2:$T$20,10,false)*HLOOKUP($K1380,'Type Chart'!$C$2:$U$20,10,false)</f>
        <v>1</v>
      </c>
      <c r="AD1380" s="960">
        <f t="array" ref="AD1380">HLOOKUP($J1380,'Type Chart'!$C$2:$T$20,11,false)*HLOOKUP($K1380,'Type Chart'!$C$2:$U$20,11,false)</f>
        <v>1</v>
      </c>
      <c r="AE1380" s="960">
        <f t="array" ref="AE1380">HLOOKUP($J1380,'Type Chart'!$C$2:$T$20,12,false)*HLOOKUP($K1380,'Type Chart'!$C$2:$U$20,12,false)</f>
        <v>1</v>
      </c>
      <c r="AF1380" s="960">
        <f t="array" ref="AF1380">HLOOKUP($J1380,'Type Chart'!$C$2:$T$20,13,false)*HLOOKUP($K1380,'Type Chart'!$C$2:$U$20,13,false)</f>
        <v>1</v>
      </c>
      <c r="AG1380" s="960">
        <f t="array" ref="AG1380">HLOOKUP($J1380,'Type Chart'!$C$2:$T$20,14,false)*HLOOKUP($K1380,'Type Chart'!$C$2:$U$20,14,false)</f>
        <v>1</v>
      </c>
      <c r="AH1380" s="960">
        <f t="array" ref="AH1380">HLOOKUP($J1380,'Type Chart'!$C$2:$T$20,15,false)*HLOOKUP($K1380,'Type Chart'!$C$2:$U$20,15,false)</f>
        <v>0.5</v>
      </c>
      <c r="AI1380" s="960">
        <f t="array" ref="AI1380">HLOOKUP($J1380,'Type Chart'!$C$2:$T$20,16,false)*HLOOKUP($K1380,'Type Chart'!$C$2:$U$20,16,false)</f>
        <v>1</v>
      </c>
      <c r="AJ1380" s="960">
        <f t="array" ref="AJ1380">HLOOKUP($J1380,'Type Chart'!$C$2:$T$20,17,false)*HLOOKUP($K1380,'Type Chart'!$C$2:$U$20,17,false)</f>
        <v>1</v>
      </c>
      <c r="AK1380" s="960">
        <f t="array" ref="AK1380">HLOOKUP($J1380,'Type Chart'!$C$2:$T$20,18,false)*HLOOKUP($K1380,'Type Chart'!$C$2:$U$20,18,false)</f>
        <v>2</v>
      </c>
      <c r="AL1380" s="960">
        <f t="array" ref="AL1380">HLOOKUP($J1380,'Type Chart'!$C$2:$T$20,19,false)*HLOOKUP($K1380,'Type Chart'!$C$2:$U$20,19,false)</f>
        <v>1</v>
      </c>
      <c r="AM1380" s="1145" t="s">
        <v>988</v>
      </c>
      <c r="AN1380" s="1145" t="s">
        <v>1358</v>
      </c>
      <c r="AO1380" s="1146" t="s">
        <v>1359</v>
      </c>
      <c r="AP1380" s="936"/>
      <c r="AQ1380" s="1245"/>
      <c r="AR1380" s="1245"/>
      <c r="AS1380" s="936"/>
    </row>
    <row r="1381" ht="15.75" customHeight="1">
      <c r="A1381" s="1099"/>
      <c r="B1381" s="948" t="s">
        <v>1360</v>
      </c>
      <c r="C1381" s="1197" t="s">
        <v>1361</v>
      </c>
      <c r="D1381" s="1197" t="s">
        <v>1361</v>
      </c>
      <c r="E1381" s="1147" t="s">
        <v>1361</v>
      </c>
      <c r="F1381" s="940"/>
      <c r="G1381" s="953"/>
      <c r="H1381" s="969"/>
      <c r="I1381" s="998" t="s">
        <v>4480</v>
      </c>
      <c r="J1381" s="982" t="s">
        <v>150</v>
      </c>
      <c r="K1381" s="984" t="s">
        <v>216</v>
      </c>
      <c r="L1381" s="959">
        <v>65.0</v>
      </c>
      <c r="M1381" s="960">
        <v>100.0</v>
      </c>
      <c r="N1381" s="960">
        <v>70.0</v>
      </c>
      <c r="O1381" s="960">
        <v>80.0</v>
      </c>
      <c r="P1381" s="960">
        <v>80.0</v>
      </c>
      <c r="Q1381" s="960">
        <v>105.0</v>
      </c>
      <c r="R1381" s="960">
        <v>246.0</v>
      </c>
      <c r="S1381" s="960">
        <v>309.0</v>
      </c>
      <c r="T1381" s="960">
        <v>339.0</v>
      </c>
      <c r="U1381" s="960">
        <f t="array" ref="U1381">HLOOKUP($J1381,'Type Chart'!$C$2:$T$20,2,false)*HLOOKUP($K1381,'Type Chart'!$C$2:$U$20,2,false)</f>
        <v>1</v>
      </c>
      <c r="V1381" s="960">
        <f t="array" ref="V1381">HLOOKUP($J1381,'Type Chart'!$C$2:$T$20,3,false)*HLOOKUP($K1381,'Type Chart'!$C$2:$U$20,3,false)</f>
        <v>1</v>
      </c>
      <c r="W1381" s="960">
        <f t="array" ref="W1381">HLOOKUP($J1381,'Type Chart'!$C$2:$T$20,4,false)*HLOOKUP($K1381,'Type Chart'!$C$2:$U$20,4,false)</f>
        <v>1</v>
      </c>
      <c r="X1381" s="960">
        <f t="array" ref="X1381">HLOOKUP($J1381,'Type Chart'!$C$2:$T$20,5,false)*HLOOKUP($K1381,'Type Chart'!$C$2:$U$20,5,false)</f>
        <v>1</v>
      </c>
      <c r="Y1381" s="960">
        <f t="array" ref="Y1381">HLOOKUP($J1381,'Type Chart'!$C$2:$T$20,6,false)*HLOOKUP($K1381,'Type Chart'!$C$2:$U$20,6,false)</f>
        <v>2</v>
      </c>
      <c r="Z1381" s="960">
        <f t="array" ref="Z1381">HLOOKUP($J1381,'Type Chart'!$C$2:$T$20,7,false)*HLOOKUP($K1381,'Type Chart'!$C$2:$U$20,7,false)</f>
        <v>2</v>
      </c>
      <c r="AA1381" s="960">
        <f t="array" ref="AA1381">HLOOKUP($J1381,'Type Chart'!$C$2:$T$20,8,false)*HLOOKUP($K1381,'Type Chart'!$C$2:$U$20,8,false)</f>
        <v>0.5</v>
      </c>
      <c r="AB1381" s="960">
        <f t="array" ref="AB1381">HLOOKUP($J1381,'Type Chart'!$C$2:$T$20,9,false)*HLOOKUP($K1381,'Type Chart'!$C$2:$U$20,9,false)</f>
        <v>1</v>
      </c>
      <c r="AC1381" s="960">
        <f t="array" ref="AC1381">HLOOKUP($J1381,'Type Chart'!$C$2:$T$20,10,false)*HLOOKUP($K1381,'Type Chart'!$C$2:$U$20,10,false)</f>
        <v>0.5</v>
      </c>
      <c r="AD1381" s="960">
        <f t="array" ref="AD1381">HLOOKUP($J1381,'Type Chart'!$C$2:$T$20,11,false)*HLOOKUP($K1381,'Type Chart'!$C$2:$U$20,11,false)</f>
        <v>0.5</v>
      </c>
      <c r="AE1381" s="960">
        <f t="array" ref="AE1381">HLOOKUP($J1381,'Type Chart'!$C$2:$T$20,12,false)*HLOOKUP($K1381,'Type Chart'!$C$2:$U$20,12,false)</f>
        <v>2</v>
      </c>
      <c r="AF1381" s="960">
        <f t="array" ref="AF1381">HLOOKUP($J1381,'Type Chart'!$C$2:$T$20,13,false)*HLOOKUP($K1381,'Type Chart'!$C$2:$U$20,13,false)</f>
        <v>0.5</v>
      </c>
      <c r="AG1381" s="960">
        <f t="array" ref="AG1381">HLOOKUP($J1381,'Type Chart'!$C$2:$T$20,14,false)*HLOOKUP($K1381,'Type Chart'!$C$2:$U$20,14,false)</f>
        <v>1</v>
      </c>
      <c r="AH1381" s="960">
        <f t="array" ref="AH1381">HLOOKUP($J1381,'Type Chart'!$C$2:$T$20,15,false)*HLOOKUP($K1381,'Type Chart'!$C$2:$U$20,15,false)</f>
        <v>1</v>
      </c>
      <c r="AI1381" s="960">
        <f t="array" ref="AI1381">HLOOKUP($J1381,'Type Chart'!$C$2:$T$20,16,false)*HLOOKUP($K1381,'Type Chart'!$C$2:$U$20,16,false)</f>
        <v>0.5</v>
      </c>
      <c r="AJ1381" s="960">
        <f t="array" ref="AJ1381">HLOOKUP($J1381,'Type Chart'!$C$2:$T$20,17,false)*HLOOKUP($K1381,'Type Chart'!$C$2:$U$20,17,false)</f>
        <v>1</v>
      </c>
      <c r="AK1381" s="960">
        <f t="array" ref="AK1381">HLOOKUP($J1381,'Type Chart'!$C$2:$T$20,18,false)*HLOOKUP($K1381,'Type Chart'!$C$2:$U$20,18,false)</f>
        <v>1</v>
      </c>
      <c r="AL1381" s="960">
        <f t="array" ref="AL1381">HLOOKUP($J1381,'Type Chart'!$C$2:$T$20,19,false)*HLOOKUP($K1381,'Type Chart'!$C$2:$U$20,19,false)</f>
        <v>0.5</v>
      </c>
      <c r="AM1381" s="964" t="s">
        <v>988</v>
      </c>
      <c r="AN1381" s="965" t="s">
        <v>1172</v>
      </c>
      <c r="AO1381" s="966" t="s">
        <v>1353</v>
      </c>
      <c r="AP1381" s="936"/>
      <c r="AQ1381" s="1245"/>
      <c r="AR1381" s="1245"/>
      <c r="AS1381" s="936"/>
    </row>
    <row r="1382" ht="15.75" customHeight="1">
      <c r="A1382" s="1099"/>
      <c r="B1382" s="948" t="s">
        <v>1363</v>
      </c>
      <c r="C1382" s="1197" t="s">
        <v>1364</v>
      </c>
      <c r="D1382" s="1197" t="s">
        <v>1364</v>
      </c>
      <c r="E1382" s="1147" t="s">
        <v>1365</v>
      </c>
      <c r="F1382" s="940"/>
      <c r="G1382" s="953"/>
      <c r="H1382" s="969"/>
      <c r="I1382" s="998" t="s">
        <v>4481</v>
      </c>
      <c r="J1382" s="1203" t="s">
        <v>344</v>
      </c>
      <c r="K1382" s="1207" t="s">
        <v>127</v>
      </c>
      <c r="L1382" s="959">
        <v>65.0</v>
      </c>
      <c r="M1382" s="960">
        <v>100.0</v>
      </c>
      <c r="N1382" s="960">
        <v>70.0</v>
      </c>
      <c r="O1382" s="960">
        <v>80.0</v>
      </c>
      <c r="P1382" s="960">
        <v>80.0</v>
      </c>
      <c r="Q1382" s="960">
        <v>105.0</v>
      </c>
      <c r="R1382" s="960">
        <v>246.0</v>
      </c>
      <c r="S1382" s="960">
        <v>309.0</v>
      </c>
      <c r="T1382" s="960">
        <v>339.0</v>
      </c>
      <c r="U1382" s="960">
        <f t="array" ref="U1382">HLOOKUP($J1382,'Type Chart'!$C$2:$T$20,2,false)*HLOOKUP($K1382,'Type Chart'!$C$2:$U$20,2,false)</f>
        <v>1</v>
      </c>
      <c r="V1382" s="960">
        <f t="array" ref="V1382">HLOOKUP($J1382,'Type Chart'!$C$2:$T$20,3,false)*HLOOKUP($K1382,'Type Chart'!$C$2:$U$20,3,false)</f>
        <v>0.25</v>
      </c>
      <c r="W1382" s="960">
        <f t="array" ref="W1382">HLOOKUP($J1382,'Type Chart'!$C$2:$T$20,4,false)*HLOOKUP($K1382,'Type Chart'!$C$2:$U$20,4,false)</f>
        <v>1</v>
      </c>
      <c r="X1382" s="960">
        <f t="array" ref="X1382">HLOOKUP($J1382,'Type Chart'!$C$2:$T$20,5,false)*HLOOKUP($K1382,'Type Chart'!$C$2:$U$20,5,false)</f>
        <v>2</v>
      </c>
      <c r="Y1382" s="960">
        <f t="array" ref="Y1382">HLOOKUP($J1382,'Type Chart'!$C$2:$T$20,6,false)*HLOOKUP($K1382,'Type Chart'!$C$2:$U$20,6,false)</f>
        <v>1</v>
      </c>
      <c r="Z1382" s="960">
        <f t="array" ref="Z1382">HLOOKUP($J1382,'Type Chart'!$C$2:$T$20,7,false)*HLOOKUP($K1382,'Type Chart'!$C$2:$U$20,7,false)</f>
        <v>1</v>
      </c>
      <c r="AA1382" s="960">
        <f t="array" ref="AA1382">HLOOKUP($J1382,'Type Chart'!$C$2:$T$20,8,false)*HLOOKUP($K1382,'Type Chart'!$C$2:$U$20,8,false)</f>
        <v>1</v>
      </c>
      <c r="AB1382" s="960">
        <f t="array" ref="AB1382">HLOOKUP($J1382,'Type Chart'!$C$2:$T$20,9,false)*HLOOKUP($K1382,'Type Chart'!$C$2:$U$20,9,false)</f>
        <v>2</v>
      </c>
      <c r="AC1382" s="960">
        <f t="array" ref="AC1382">HLOOKUP($J1382,'Type Chart'!$C$2:$T$20,10,false)*HLOOKUP($K1382,'Type Chart'!$C$2:$U$20,10,false)</f>
        <v>2</v>
      </c>
      <c r="AD1382" s="960">
        <f t="array" ref="AD1382">HLOOKUP($J1382,'Type Chart'!$C$2:$T$20,11,false)*HLOOKUP($K1382,'Type Chart'!$C$2:$U$20,11,false)</f>
        <v>1</v>
      </c>
      <c r="AE1382" s="960">
        <f t="array" ref="AE1382">HLOOKUP($J1382,'Type Chart'!$C$2:$T$20,12,false)*HLOOKUP($K1382,'Type Chart'!$C$2:$U$20,12,false)</f>
        <v>1</v>
      </c>
      <c r="AF1382" s="960">
        <f t="array" ref="AF1382">HLOOKUP($J1382,'Type Chart'!$C$2:$T$20,13,false)*HLOOKUP($K1382,'Type Chart'!$C$2:$U$20,13,false)</f>
        <v>1</v>
      </c>
      <c r="AG1382" s="960">
        <f t="array" ref="AG1382">HLOOKUP($J1382,'Type Chart'!$C$2:$T$20,14,false)*HLOOKUP($K1382,'Type Chart'!$C$2:$U$20,14,false)</f>
        <v>1</v>
      </c>
      <c r="AH1382" s="960">
        <f t="array" ref="AH1382">HLOOKUP($J1382,'Type Chart'!$C$2:$T$20,15,false)*HLOOKUP($K1382,'Type Chart'!$C$2:$U$20,15,false)</f>
        <v>0.5</v>
      </c>
      <c r="AI1382" s="960">
        <f t="array" ref="AI1382">HLOOKUP($J1382,'Type Chart'!$C$2:$T$20,16,false)*HLOOKUP($K1382,'Type Chart'!$C$2:$U$20,16,false)</f>
        <v>1</v>
      </c>
      <c r="AJ1382" s="960">
        <f t="array" ref="AJ1382">HLOOKUP($J1382,'Type Chart'!$C$2:$T$20,17,false)*HLOOKUP($K1382,'Type Chart'!$C$2:$U$20,17,false)</f>
        <v>0</v>
      </c>
      <c r="AK1382" s="960">
        <f t="array" ref="AK1382">HLOOKUP($J1382,'Type Chart'!$C$2:$T$20,18,false)*HLOOKUP($K1382,'Type Chart'!$C$2:$U$20,18,false)</f>
        <v>1</v>
      </c>
      <c r="AL1382" s="960">
        <f t="array" ref="AL1382">HLOOKUP($J1382,'Type Chart'!$C$2:$T$20,19,false)*HLOOKUP($K1382,'Type Chart'!$C$2:$U$20,19,false)</f>
        <v>1</v>
      </c>
      <c r="AM1382" s="964" t="s">
        <v>988</v>
      </c>
      <c r="AN1382" s="964" t="s">
        <v>1358</v>
      </c>
      <c r="AO1382" s="966" t="s">
        <v>1359</v>
      </c>
      <c r="AP1382" s="936"/>
      <c r="AQ1382" s="1245"/>
      <c r="AR1382" s="1245"/>
      <c r="AS1382" s="936"/>
    </row>
    <row r="1383" ht="15.75" customHeight="1">
      <c r="A1383" s="1099"/>
      <c r="B1383" s="948" t="s">
        <v>1367</v>
      </c>
      <c r="C1383" s="1197" t="s">
        <v>1368</v>
      </c>
      <c r="D1383" s="1197" t="s">
        <v>1368</v>
      </c>
      <c r="E1383" s="1147" t="s">
        <v>1368</v>
      </c>
      <c r="F1383" s="940"/>
      <c r="G1383" s="953"/>
      <c r="H1383" s="969"/>
      <c r="I1383" s="998" t="s">
        <v>4482</v>
      </c>
      <c r="J1383" s="1056" t="s">
        <v>81</v>
      </c>
      <c r="K1383" s="1203" t="s">
        <v>344</v>
      </c>
      <c r="L1383" s="959">
        <v>90.0</v>
      </c>
      <c r="M1383" s="960">
        <v>65.0</v>
      </c>
      <c r="N1383" s="960">
        <v>65.0</v>
      </c>
      <c r="O1383" s="960">
        <v>40.0</v>
      </c>
      <c r="P1383" s="960">
        <v>40.0</v>
      </c>
      <c r="Q1383" s="960">
        <v>15.0</v>
      </c>
      <c r="R1383" s="960">
        <v>66.0</v>
      </c>
      <c r="S1383" s="960">
        <v>129.0</v>
      </c>
      <c r="T1383" s="960">
        <v>141.0</v>
      </c>
      <c r="U1383" s="960">
        <f t="array" ref="U1383">HLOOKUP($J1383,'Type Chart'!$C$2:$T$20,2,false)*HLOOKUP($K1383,'Type Chart'!$C$2:$U$20,2,false)</f>
        <v>1</v>
      </c>
      <c r="V1383" s="960">
        <f t="array" ref="V1383">HLOOKUP($J1383,'Type Chart'!$C$2:$T$20,3,false)*HLOOKUP($K1383,'Type Chart'!$C$2:$U$20,3,false)</f>
        <v>0.5</v>
      </c>
      <c r="W1383" s="960">
        <f t="array" ref="W1383">HLOOKUP($J1383,'Type Chart'!$C$2:$T$20,4,false)*HLOOKUP($K1383,'Type Chart'!$C$2:$U$20,4,false)</f>
        <v>1</v>
      </c>
      <c r="X1383" s="960">
        <f t="array" ref="X1383">HLOOKUP($J1383,'Type Chart'!$C$2:$T$20,5,false)*HLOOKUP($K1383,'Type Chart'!$C$2:$U$20,5,false)</f>
        <v>1</v>
      </c>
      <c r="Y1383" s="960">
        <f t="array" ref="Y1383">HLOOKUP($J1383,'Type Chart'!$C$2:$T$20,6,false)*HLOOKUP($K1383,'Type Chart'!$C$2:$U$20,6,false)</f>
        <v>1</v>
      </c>
      <c r="Z1383" s="960">
        <f t="array" ref="Z1383">HLOOKUP($J1383,'Type Chart'!$C$2:$T$20,7,false)*HLOOKUP($K1383,'Type Chart'!$C$2:$U$20,7,false)</f>
        <v>1</v>
      </c>
      <c r="AA1383" s="960">
        <f t="array" ref="AA1383">HLOOKUP($J1383,'Type Chart'!$C$2:$T$20,8,false)*HLOOKUP($K1383,'Type Chart'!$C$2:$U$20,8,false)</f>
        <v>2</v>
      </c>
      <c r="AB1383" s="960">
        <f t="array" ref="AB1383">HLOOKUP($J1383,'Type Chart'!$C$2:$T$20,9,false)*HLOOKUP($K1383,'Type Chart'!$C$2:$U$20,9,false)</f>
        <v>2</v>
      </c>
      <c r="AC1383" s="960">
        <f t="array" ref="AC1383">HLOOKUP($J1383,'Type Chart'!$C$2:$T$20,10,false)*HLOOKUP($K1383,'Type Chart'!$C$2:$U$20,10,false)</f>
        <v>0.5</v>
      </c>
      <c r="AD1383" s="960">
        <f t="array" ref="AD1383">HLOOKUP($J1383,'Type Chart'!$C$2:$T$20,11,false)*HLOOKUP($K1383,'Type Chart'!$C$2:$U$20,11,false)</f>
        <v>0.5</v>
      </c>
      <c r="AE1383" s="960">
        <f t="array" ref="AE1383">HLOOKUP($J1383,'Type Chart'!$C$2:$T$20,12,false)*HLOOKUP($K1383,'Type Chart'!$C$2:$U$20,12,false)</f>
        <v>0.5</v>
      </c>
      <c r="AF1383" s="960">
        <f t="array" ref="AF1383">HLOOKUP($J1383,'Type Chart'!$C$2:$T$20,13,false)*HLOOKUP($K1383,'Type Chart'!$C$2:$U$20,13,false)</f>
        <v>2</v>
      </c>
      <c r="AG1383" s="960">
        <f t="array" ref="AG1383">HLOOKUP($J1383,'Type Chart'!$C$2:$T$20,14,false)*HLOOKUP($K1383,'Type Chart'!$C$2:$U$20,14,false)</f>
        <v>2</v>
      </c>
      <c r="AH1383" s="960">
        <f t="array" ref="AH1383">HLOOKUP($J1383,'Type Chart'!$C$2:$T$20,15,false)*HLOOKUP($K1383,'Type Chart'!$C$2:$U$20,15,false)</f>
        <v>0.5</v>
      </c>
      <c r="AI1383" s="960">
        <f t="array" ref="AI1383">HLOOKUP($J1383,'Type Chart'!$C$2:$T$20,16,false)*HLOOKUP($K1383,'Type Chart'!$C$2:$U$20,16,false)</f>
        <v>0.5</v>
      </c>
      <c r="AJ1383" s="960">
        <f t="array" ref="AJ1383">HLOOKUP($J1383,'Type Chart'!$C$2:$T$20,17,false)*HLOOKUP($K1383,'Type Chart'!$C$2:$U$20,17,false)</f>
        <v>1</v>
      </c>
      <c r="AK1383" s="960">
        <f t="array" ref="AK1383">HLOOKUP($J1383,'Type Chart'!$C$2:$T$20,18,false)*HLOOKUP($K1383,'Type Chart'!$C$2:$U$20,18,false)</f>
        <v>2</v>
      </c>
      <c r="AL1383" s="960">
        <f t="array" ref="AL1383">HLOOKUP($J1383,'Type Chart'!$C$2:$T$20,19,false)*HLOOKUP($K1383,'Type Chart'!$C$2:$U$20,19,false)</f>
        <v>1</v>
      </c>
      <c r="AM1383" s="964" t="s">
        <v>1369</v>
      </c>
      <c r="AN1383" s="965" t="s">
        <v>1370</v>
      </c>
      <c r="AO1383" s="966" t="s">
        <v>1371</v>
      </c>
      <c r="AP1383" s="936"/>
      <c r="AQ1383" s="1245"/>
      <c r="AR1383" s="1245"/>
      <c r="AS1383" s="936"/>
    </row>
    <row r="1384" ht="15.75" customHeight="1">
      <c r="A1384" s="1099"/>
      <c r="B1384" s="948" t="s">
        <v>1372</v>
      </c>
      <c r="C1384" s="1197" t="s">
        <v>1373</v>
      </c>
      <c r="D1384" s="1197" t="s">
        <v>1373</v>
      </c>
      <c r="E1384" s="1147" t="s">
        <v>1374</v>
      </c>
      <c r="F1384" s="940"/>
      <c r="G1384" s="953"/>
      <c r="H1384" s="969"/>
      <c r="I1384" s="998" t="s">
        <v>4483</v>
      </c>
      <c r="J1384" s="1203" t="s">
        <v>344</v>
      </c>
      <c r="K1384" s="964" t="s">
        <v>216</v>
      </c>
      <c r="L1384" s="959">
        <v>90.0</v>
      </c>
      <c r="M1384" s="960">
        <v>65.0</v>
      </c>
      <c r="N1384" s="960">
        <v>65.0</v>
      </c>
      <c r="O1384" s="960">
        <v>40.0</v>
      </c>
      <c r="P1384" s="960">
        <v>40.0</v>
      </c>
      <c r="Q1384" s="960">
        <v>15.0</v>
      </c>
      <c r="R1384" s="960">
        <v>66.0</v>
      </c>
      <c r="S1384" s="960">
        <v>129.0</v>
      </c>
      <c r="T1384" s="960">
        <v>141.0</v>
      </c>
      <c r="U1384" s="960">
        <f t="array" ref="U1384">HLOOKUP($J1384,'Type Chart'!$C$2:$T$20,2,false)*HLOOKUP($K1384,'Type Chart'!$C$2:$U$20,2,false)</f>
        <v>1</v>
      </c>
      <c r="V1384" s="960">
        <f t="array" ref="V1384">HLOOKUP($J1384,'Type Chart'!$C$2:$T$20,3,false)*HLOOKUP($K1384,'Type Chart'!$C$2:$U$20,3,false)</f>
        <v>0.5</v>
      </c>
      <c r="W1384" s="960">
        <f t="array" ref="W1384">HLOOKUP($J1384,'Type Chart'!$C$2:$T$20,4,false)*HLOOKUP($K1384,'Type Chart'!$C$2:$U$20,4,false)</f>
        <v>1</v>
      </c>
      <c r="X1384" s="960">
        <f t="array" ref="X1384">HLOOKUP($J1384,'Type Chart'!$C$2:$T$20,5,false)*HLOOKUP($K1384,'Type Chart'!$C$2:$U$20,5,false)</f>
        <v>1</v>
      </c>
      <c r="Y1384" s="960">
        <f t="array" ref="Y1384">HLOOKUP($J1384,'Type Chart'!$C$2:$T$20,6,false)*HLOOKUP($K1384,'Type Chart'!$C$2:$U$20,6,false)</f>
        <v>1</v>
      </c>
      <c r="Z1384" s="960">
        <f t="array" ref="Z1384">HLOOKUP($J1384,'Type Chart'!$C$2:$T$20,7,false)*HLOOKUP($K1384,'Type Chart'!$C$2:$U$20,7,false)</f>
        <v>1</v>
      </c>
      <c r="AA1384" s="960">
        <f t="array" ref="AA1384">HLOOKUP($J1384,'Type Chart'!$C$2:$T$20,8,false)*HLOOKUP($K1384,'Type Chart'!$C$2:$U$20,8,false)</f>
        <v>2</v>
      </c>
      <c r="AB1384" s="960">
        <f t="array" ref="AB1384">HLOOKUP($J1384,'Type Chart'!$C$2:$T$20,9,false)*HLOOKUP($K1384,'Type Chart'!$C$2:$U$20,9,false)</f>
        <v>2</v>
      </c>
      <c r="AC1384" s="960">
        <f t="array" ref="AC1384">HLOOKUP($J1384,'Type Chart'!$C$2:$T$20,10,false)*HLOOKUP($K1384,'Type Chart'!$C$2:$U$20,10,false)</f>
        <v>1</v>
      </c>
      <c r="AD1384" s="960">
        <f t="array" ref="AD1384">HLOOKUP($J1384,'Type Chart'!$C$2:$T$20,11,false)*HLOOKUP($K1384,'Type Chart'!$C$2:$U$20,11,false)</f>
        <v>1</v>
      </c>
      <c r="AE1384" s="960">
        <f t="array" ref="AE1384">HLOOKUP($J1384,'Type Chart'!$C$2:$T$20,12,false)*HLOOKUP($K1384,'Type Chart'!$C$2:$U$20,12,false)</f>
        <v>1</v>
      </c>
      <c r="AF1384" s="960">
        <f t="array" ref="AF1384">HLOOKUP($J1384,'Type Chart'!$C$2:$T$20,13,false)*HLOOKUP($K1384,'Type Chart'!$C$2:$U$20,13,false)</f>
        <v>1</v>
      </c>
      <c r="AG1384" s="960">
        <f t="array" ref="AG1384">HLOOKUP($J1384,'Type Chart'!$C$2:$T$20,14,false)*HLOOKUP($K1384,'Type Chart'!$C$2:$U$20,14,false)</f>
        <v>1</v>
      </c>
      <c r="AH1384" s="960">
        <f t="array" ref="AH1384">HLOOKUP($J1384,'Type Chart'!$C$2:$T$20,15,false)*HLOOKUP($K1384,'Type Chart'!$C$2:$U$20,15,false)</f>
        <v>0.5</v>
      </c>
      <c r="AI1384" s="960">
        <f t="array" ref="AI1384">HLOOKUP($J1384,'Type Chart'!$C$2:$T$20,16,false)*HLOOKUP($K1384,'Type Chart'!$C$2:$U$20,16,false)</f>
        <v>1</v>
      </c>
      <c r="AJ1384" s="960">
        <f t="array" ref="AJ1384">HLOOKUP($J1384,'Type Chart'!$C$2:$T$20,17,false)*HLOOKUP($K1384,'Type Chart'!$C$2:$U$20,17,false)</f>
        <v>1</v>
      </c>
      <c r="AK1384" s="960">
        <f t="array" ref="AK1384">HLOOKUP($J1384,'Type Chart'!$C$2:$T$20,18,false)*HLOOKUP($K1384,'Type Chart'!$C$2:$U$20,18,false)</f>
        <v>2</v>
      </c>
      <c r="AL1384" s="960">
        <f t="array" ref="AL1384">HLOOKUP($J1384,'Type Chart'!$C$2:$T$20,19,false)*HLOOKUP($K1384,'Type Chart'!$C$2:$U$20,19,false)</f>
        <v>1</v>
      </c>
      <c r="AM1384" s="964" t="s">
        <v>1044</v>
      </c>
      <c r="AN1384" s="965" t="s">
        <v>1370</v>
      </c>
      <c r="AO1384" s="966" t="s">
        <v>1371</v>
      </c>
      <c r="AP1384" s="936"/>
      <c r="AQ1384" s="1245"/>
      <c r="AR1384" s="1245"/>
      <c r="AS1384" s="936"/>
    </row>
    <row r="1385" ht="15.75" customHeight="1">
      <c r="A1385" s="1099"/>
      <c r="B1385" s="948" t="s">
        <v>1376</v>
      </c>
      <c r="C1385" s="1197" t="s">
        <v>1377</v>
      </c>
      <c r="D1385" s="1197" t="s">
        <v>1377</v>
      </c>
      <c r="E1385" s="1147" t="s">
        <v>1377</v>
      </c>
      <c r="F1385" s="940"/>
      <c r="G1385" s="953"/>
      <c r="H1385" s="969"/>
      <c r="I1385" s="998" t="s">
        <v>4484</v>
      </c>
      <c r="J1385" s="1211" t="s">
        <v>81</v>
      </c>
      <c r="K1385" s="1215" t="s">
        <v>344</v>
      </c>
      <c r="L1385" s="1200">
        <v>95.0</v>
      </c>
      <c r="M1385" s="1201">
        <v>75.0</v>
      </c>
      <c r="N1385" s="1201">
        <v>110.0</v>
      </c>
      <c r="O1385" s="1201">
        <v>100.0</v>
      </c>
      <c r="P1385" s="1201">
        <v>80.0</v>
      </c>
      <c r="Q1385" s="1201">
        <v>30.0</v>
      </c>
      <c r="R1385" s="960">
        <v>96.0</v>
      </c>
      <c r="S1385" s="960">
        <v>159.0</v>
      </c>
      <c r="T1385" s="960">
        <v>174.0</v>
      </c>
      <c r="U1385" s="960">
        <f t="array" ref="U1385">HLOOKUP($J1385,'Type Chart'!$C$2:$T$20,2,false)*HLOOKUP($K1385,'Type Chart'!$C$2:$U$20,2,false)</f>
        <v>1</v>
      </c>
      <c r="V1385" s="960">
        <f t="array" ref="V1385">HLOOKUP($J1385,'Type Chart'!$C$2:$T$20,3,false)*HLOOKUP($K1385,'Type Chart'!$C$2:$U$20,3,false)</f>
        <v>0.5</v>
      </c>
      <c r="W1385" s="960">
        <f t="array" ref="W1385">HLOOKUP($J1385,'Type Chart'!$C$2:$T$20,4,false)*HLOOKUP($K1385,'Type Chart'!$C$2:$U$20,4,false)</f>
        <v>1</v>
      </c>
      <c r="X1385" s="960">
        <f t="array" ref="X1385">HLOOKUP($J1385,'Type Chart'!$C$2:$T$20,5,false)*HLOOKUP($K1385,'Type Chart'!$C$2:$U$20,5,false)</f>
        <v>1</v>
      </c>
      <c r="Y1385" s="960">
        <f t="array" ref="Y1385">HLOOKUP($J1385,'Type Chart'!$C$2:$T$20,6,false)*HLOOKUP($K1385,'Type Chart'!$C$2:$U$20,6,false)</f>
        <v>1</v>
      </c>
      <c r="Z1385" s="960">
        <f t="array" ref="Z1385">HLOOKUP($J1385,'Type Chart'!$C$2:$T$20,7,false)*HLOOKUP($K1385,'Type Chart'!$C$2:$U$20,7,false)</f>
        <v>1</v>
      </c>
      <c r="AA1385" s="960">
        <f t="array" ref="AA1385">HLOOKUP($J1385,'Type Chart'!$C$2:$T$20,8,false)*HLOOKUP($K1385,'Type Chart'!$C$2:$U$20,8,false)</f>
        <v>2</v>
      </c>
      <c r="AB1385" s="960">
        <f t="array" ref="AB1385">HLOOKUP($J1385,'Type Chart'!$C$2:$T$20,9,false)*HLOOKUP($K1385,'Type Chart'!$C$2:$U$20,9,false)</f>
        <v>2</v>
      </c>
      <c r="AC1385" s="960">
        <f t="array" ref="AC1385">HLOOKUP($J1385,'Type Chart'!$C$2:$T$20,10,false)*HLOOKUP($K1385,'Type Chart'!$C$2:$U$20,10,false)</f>
        <v>0.5</v>
      </c>
      <c r="AD1385" s="960">
        <f t="array" ref="AD1385">HLOOKUP($J1385,'Type Chart'!$C$2:$T$20,11,false)*HLOOKUP($K1385,'Type Chart'!$C$2:$U$20,11,false)</f>
        <v>0.5</v>
      </c>
      <c r="AE1385" s="960">
        <f t="array" ref="AE1385">HLOOKUP($J1385,'Type Chart'!$C$2:$T$20,12,false)*HLOOKUP($K1385,'Type Chart'!$C$2:$U$20,12,false)</f>
        <v>0.5</v>
      </c>
      <c r="AF1385" s="960">
        <f t="array" ref="AF1385">HLOOKUP($J1385,'Type Chart'!$C$2:$T$20,13,false)*HLOOKUP($K1385,'Type Chart'!$C$2:$U$20,13,false)</f>
        <v>2</v>
      </c>
      <c r="AG1385" s="960">
        <f t="array" ref="AG1385">HLOOKUP($J1385,'Type Chart'!$C$2:$T$20,14,false)*HLOOKUP($K1385,'Type Chart'!$C$2:$U$20,14,false)</f>
        <v>2</v>
      </c>
      <c r="AH1385" s="960">
        <f t="array" ref="AH1385">HLOOKUP($J1385,'Type Chart'!$C$2:$T$20,15,false)*HLOOKUP($K1385,'Type Chart'!$C$2:$U$20,15,false)</f>
        <v>0.5</v>
      </c>
      <c r="AI1385" s="960">
        <f t="array" ref="AI1385">HLOOKUP($J1385,'Type Chart'!$C$2:$T$20,16,false)*HLOOKUP($K1385,'Type Chart'!$C$2:$U$20,16,false)</f>
        <v>0.5</v>
      </c>
      <c r="AJ1385" s="960">
        <f t="array" ref="AJ1385">HLOOKUP($J1385,'Type Chart'!$C$2:$T$20,17,false)*HLOOKUP($K1385,'Type Chart'!$C$2:$U$20,17,false)</f>
        <v>1</v>
      </c>
      <c r="AK1385" s="960">
        <f t="array" ref="AK1385">HLOOKUP($J1385,'Type Chart'!$C$2:$T$20,18,false)*HLOOKUP($K1385,'Type Chart'!$C$2:$U$20,18,false)</f>
        <v>2</v>
      </c>
      <c r="AL1385" s="960">
        <f t="array" ref="AL1385">HLOOKUP($J1385,'Type Chart'!$C$2:$T$20,19,false)*HLOOKUP($K1385,'Type Chart'!$C$2:$U$20,19,false)</f>
        <v>1</v>
      </c>
      <c r="AM1385" s="1145" t="s">
        <v>1369</v>
      </c>
      <c r="AN1385" s="1202" t="s">
        <v>1370</v>
      </c>
      <c r="AO1385" s="1146" t="s">
        <v>1371</v>
      </c>
      <c r="AP1385" s="936"/>
      <c r="AQ1385" s="1245"/>
      <c r="AR1385" s="1245"/>
      <c r="AS1385" s="936"/>
    </row>
    <row r="1386" ht="15.75" customHeight="1">
      <c r="A1386" s="1099"/>
      <c r="B1386" s="948" t="s">
        <v>1378</v>
      </c>
      <c r="C1386" s="1197" t="s">
        <v>1379</v>
      </c>
      <c r="D1386" s="1197" t="s">
        <v>1379</v>
      </c>
      <c r="E1386" s="1147" t="s">
        <v>1380</v>
      </c>
      <c r="F1386" s="940"/>
      <c r="G1386" s="953"/>
      <c r="H1386" s="969"/>
      <c r="I1386" s="998" t="s">
        <v>4485</v>
      </c>
      <c r="J1386" s="1209" t="s">
        <v>178</v>
      </c>
      <c r="K1386" s="1215" t="s">
        <v>344</v>
      </c>
      <c r="L1386" s="1200">
        <v>95.0</v>
      </c>
      <c r="M1386" s="1201">
        <v>100.0</v>
      </c>
      <c r="N1386" s="1201">
        <v>95.0</v>
      </c>
      <c r="O1386" s="1201">
        <v>100.0</v>
      </c>
      <c r="P1386" s="1201">
        <v>70.0</v>
      </c>
      <c r="Q1386" s="1201">
        <v>30.0</v>
      </c>
      <c r="R1386" s="960">
        <v>96.0</v>
      </c>
      <c r="S1386" s="960">
        <v>159.0</v>
      </c>
      <c r="T1386" s="960">
        <v>174.0</v>
      </c>
      <c r="U1386" s="960">
        <f t="array" ref="U1386">HLOOKUP($J1386,'Type Chart'!$C$2:$T$20,2,false)*HLOOKUP($K1386,'Type Chart'!$C$2:$U$20,2,false)</f>
        <v>1</v>
      </c>
      <c r="V1386" s="960">
        <f t="array" ref="V1386">HLOOKUP($J1386,'Type Chart'!$C$2:$T$20,3,false)*HLOOKUP($K1386,'Type Chart'!$C$2:$U$20,3,false)</f>
        <v>0.25</v>
      </c>
      <c r="W1386" s="960">
        <f t="array" ref="W1386">HLOOKUP($J1386,'Type Chart'!$C$2:$T$20,4,false)*HLOOKUP($K1386,'Type Chart'!$C$2:$U$20,4,false)</f>
        <v>1</v>
      </c>
      <c r="X1386" s="960">
        <f t="array" ref="X1386">HLOOKUP($J1386,'Type Chart'!$C$2:$T$20,5,false)*HLOOKUP($K1386,'Type Chart'!$C$2:$U$20,5,false)</f>
        <v>0.5</v>
      </c>
      <c r="Y1386" s="960">
        <f t="array" ref="Y1386">HLOOKUP($J1386,'Type Chart'!$C$2:$T$20,6,false)*HLOOKUP($K1386,'Type Chart'!$C$2:$U$20,6,false)</f>
        <v>2</v>
      </c>
      <c r="Z1386" s="960">
        <f t="array" ref="Z1386">HLOOKUP($J1386,'Type Chart'!$C$2:$T$20,7,false)*HLOOKUP($K1386,'Type Chart'!$C$2:$U$20,7,false)</f>
        <v>1</v>
      </c>
      <c r="AA1386" s="960">
        <f t="array" ref="AA1386">HLOOKUP($J1386,'Type Chart'!$C$2:$T$20,8,false)*HLOOKUP($K1386,'Type Chart'!$C$2:$U$20,8,false)</f>
        <v>1</v>
      </c>
      <c r="AB1386" s="960">
        <f t="array" ref="AB1386">HLOOKUP($J1386,'Type Chart'!$C$2:$T$20,9,false)*HLOOKUP($K1386,'Type Chart'!$C$2:$U$20,9,false)</f>
        <v>2</v>
      </c>
      <c r="AC1386" s="960">
        <f t="array" ref="AC1386">HLOOKUP($J1386,'Type Chart'!$C$2:$T$20,10,false)*HLOOKUP($K1386,'Type Chart'!$C$2:$U$20,10,false)</f>
        <v>1</v>
      </c>
      <c r="AD1386" s="960">
        <f t="array" ref="AD1386">HLOOKUP($J1386,'Type Chart'!$C$2:$T$20,11,false)*HLOOKUP($K1386,'Type Chart'!$C$2:$U$20,11,false)</f>
        <v>1</v>
      </c>
      <c r="AE1386" s="960">
        <f t="array" ref="AE1386">HLOOKUP($J1386,'Type Chart'!$C$2:$T$20,12,false)*HLOOKUP($K1386,'Type Chart'!$C$2:$U$20,12,false)</f>
        <v>1</v>
      </c>
      <c r="AF1386" s="960">
        <f t="array" ref="AF1386">HLOOKUP($J1386,'Type Chart'!$C$2:$T$20,13,false)*HLOOKUP($K1386,'Type Chart'!$C$2:$U$20,13,false)</f>
        <v>0.5</v>
      </c>
      <c r="AG1386" s="960">
        <f t="array" ref="AG1386">HLOOKUP($J1386,'Type Chart'!$C$2:$T$20,14,false)*HLOOKUP($K1386,'Type Chart'!$C$2:$U$20,14,false)</f>
        <v>1</v>
      </c>
      <c r="AH1386" s="960">
        <f t="array" ref="AH1386">HLOOKUP($J1386,'Type Chart'!$C$2:$T$20,15,false)*HLOOKUP($K1386,'Type Chart'!$C$2:$U$20,15,false)</f>
        <v>1</v>
      </c>
      <c r="AI1386" s="960">
        <f t="array" ref="AI1386">HLOOKUP($J1386,'Type Chart'!$C$2:$T$20,16,false)*HLOOKUP($K1386,'Type Chart'!$C$2:$U$20,16,false)</f>
        <v>1</v>
      </c>
      <c r="AJ1386" s="960">
        <f t="array" ref="AJ1386">HLOOKUP($J1386,'Type Chart'!$C$2:$T$20,17,false)*HLOOKUP($K1386,'Type Chart'!$C$2:$U$20,17,false)</f>
        <v>1</v>
      </c>
      <c r="AK1386" s="960">
        <f t="array" ref="AK1386">HLOOKUP($J1386,'Type Chart'!$C$2:$T$20,18,false)*HLOOKUP($K1386,'Type Chart'!$C$2:$U$20,18,false)</f>
        <v>2</v>
      </c>
      <c r="AL1386" s="960">
        <f t="array" ref="AL1386">HLOOKUP($J1386,'Type Chart'!$C$2:$T$20,19,false)*HLOOKUP($K1386,'Type Chart'!$C$2:$U$20,19,false)</f>
        <v>0.5</v>
      </c>
      <c r="AM1386" s="1145" t="s">
        <v>1381</v>
      </c>
      <c r="AN1386" s="1202" t="s">
        <v>1370</v>
      </c>
      <c r="AO1386" s="1146" t="s">
        <v>1371</v>
      </c>
      <c r="AP1386" s="936"/>
      <c r="AQ1386" s="1245"/>
      <c r="AR1386" s="1245"/>
      <c r="AS1386" s="936"/>
    </row>
    <row r="1387" ht="15.75" customHeight="1">
      <c r="A1387" s="1099"/>
      <c r="B1387" s="948" t="s">
        <v>1382</v>
      </c>
      <c r="C1387" s="1197" t="s">
        <v>1383</v>
      </c>
      <c r="D1387" s="1197" t="s">
        <v>1383</v>
      </c>
      <c r="E1387" s="1147" t="s">
        <v>1383</v>
      </c>
      <c r="F1387" s="940"/>
      <c r="G1387" s="953"/>
      <c r="H1387" s="969"/>
      <c r="I1387" s="998" t="s">
        <v>4486</v>
      </c>
      <c r="J1387" s="1056" t="s">
        <v>81</v>
      </c>
      <c r="K1387" s="1203" t="s">
        <v>344</v>
      </c>
      <c r="L1387" s="959">
        <v>95.0</v>
      </c>
      <c r="M1387" s="960">
        <v>75.0</v>
      </c>
      <c r="N1387" s="960">
        <v>180.0</v>
      </c>
      <c r="O1387" s="960">
        <v>130.0</v>
      </c>
      <c r="P1387" s="960">
        <v>80.0</v>
      </c>
      <c r="Q1387" s="960">
        <v>30.0</v>
      </c>
      <c r="R1387" s="960">
        <v>96.0</v>
      </c>
      <c r="S1387" s="960">
        <v>159.0</v>
      </c>
      <c r="T1387" s="960">
        <v>174.0</v>
      </c>
      <c r="U1387" s="960">
        <f t="array" ref="U1387">HLOOKUP($J1387,'Type Chart'!$C$2:$T$20,2,false)*HLOOKUP($K1387,'Type Chart'!$C$2:$U$20,2,false)</f>
        <v>1</v>
      </c>
      <c r="V1387" s="960">
        <f t="array" ref="V1387">HLOOKUP($J1387,'Type Chart'!$C$2:$T$20,3,false)*HLOOKUP($K1387,'Type Chart'!$C$2:$U$20,3,false)</f>
        <v>0.5</v>
      </c>
      <c r="W1387" s="960">
        <f t="array" ref="W1387">HLOOKUP($J1387,'Type Chart'!$C$2:$T$20,4,false)*HLOOKUP($K1387,'Type Chart'!$C$2:$U$20,4,false)</f>
        <v>1</v>
      </c>
      <c r="X1387" s="960">
        <f t="array" ref="X1387">HLOOKUP($J1387,'Type Chart'!$C$2:$T$20,5,false)*HLOOKUP($K1387,'Type Chart'!$C$2:$U$20,5,false)</f>
        <v>1</v>
      </c>
      <c r="Y1387" s="960">
        <f t="array" ref="Y1387">HLOOKUP($J1387,'Type Chart'!$C$2:$T$20,6,false)*HLOOKUP($K1387,'Type Chart'!$C$2:$U$20,6,false)</f>
        <v>1</v>
      </c>
      <c r="Z1387" s="960">
        <f t="array" ref="Z1387">HLOOKUP($J1387,'Type Chart'!$C$2:$T$20,7,false)*HLOOKUP($K1387,'Type Chart'!$C$2:$U$20,7,false)</f>
        <v>1</v>
      </c>
      <c r="AA1387" s="960">
        <f t="array" ref="AA1387">HLOOKUP($J1387,'Type Chart'!$C$2:$T$20,8,false)*HLOOKUP($K1387,'Type Chart'!$C$2:$U$20,8,false)</f>
        <v>2</v>
      </c>
      <c r="AB1387" s="960">
        <f t="array" ref="AB1387">HLOOKUP($J1387,'Type Chart'!$C$2:$T$20,9,false)*HLOOKUP($K1387,'Type Chart'!$C$2:$U$20,9,false)</f>
        <v>2</v>
      </c>
      <c r="AC1387" s="960">
        <f t="array" ref="AC1387">HLOOKUP($J1387,'Type Chart'!$C$2:$T$20,10,false)*HLOOKUP($K1387,'Type Chart'!$C$2:$U$20,10,false)</f>
        <v>0.5</v>
      </c>
      <c r="AD1387" s="960">
        <f t="array" ref="AD1387">HLOOKUP($J1387,'Type Chart'!$C$2:$T$20,11,false)*HLOOKUP($K1387,'Type Chart'!$C$2:$U$20,11,false)</f>
        <v>0.5</v>
      </c>
      <c r="AE1387" s="960">
        <f t="array" ref="AE1387">HLOOKUP($J1387,'Type Chart'!$C$2:$T$20,12,false)*HLOOKUP($K1387,'Type Chart'!$C$2:$U$20,12,false)</f>
        <v>0.5</v>
      </c>
      <c r="AF1387" s="960">
        <f t="array" ref="AF1387">HLOOKUP($J1387,'Type Chart'!$C$2:$T$20,13,false)*HLOOKUP($K1387,'Type Chart'!$C$2:$U$20,13,false)</f>
        <v>2</v>
      </c>
      <c r="AG1387" s="960">
        <f t="array" ref="AG1387">HLOOKUP($J1387,'Type Chart'!$C$2:$T$20,14,false)*HLOOKUP($K1387,'Type Chart'!$C$2:$U$20,14,false)</f>
        <v>2</v>
      </c>
      <c r="AH1387" s="960">
        <f t="array" ref="AH1387">HLOOKUP($J1387,'Type Chart'!$C$2:$T$20,15,false)*HLOOKUP($K1387,'Type Chart'!$C$2:$U$20,15,false)</f>
        <v>0.5</v>
      </c>
      <c r="AI1387" s="960">
        <f t="array" ref="AI1387">HLOOKUP($J1387,'Type Chart'!$C$2:$T$20,16,false)*HLOOKUP($K1387,'Type Chart'!$C$2:$U$20,16,false)</f>
        <v>0.5</v>
      </c>
      <c r="AJ1387" s="960">
        <f t="array" ref="AJ1387">HLOOKUP($J1387,'Type Chart'!$C$2:$T$20,17,false)*HLOOKUP($K1387,'Type Chart'!$C$2:$U$20,17,false)</f>
        <v>1</v>
      </c>
      <c r="AK1387" s="960">
        <f t="array" ref="AK1387">HLOOKUP($J1387,'Type Chart'!$C$2:$T$20,18,false)*HLOOKUP($K1387,'Type Chart'!$C$2:$U$20,18,false)</f>
        <v>2</v>
      </c>
      <c r="AL1387" s="960">
        <f t="array" ref="AL1387">HLOOKUP($J1387,'Type Chart'!$C$2:$T$20,19,false)*HLOOKUP($K1387,'Type Chart'!$C$2:$U$20,19,false)</f>
        <v>1</v>
      </c>
      <c r="AM1387" s="964" t="s">
        <v>1385</v>
      </c>
      <c r="AN1387" s="965"/>
      <c r="AO1387" s="966"/>
      <c r="AP1387" s="936"/>
      <c r="AQ1387" s="1245"/>
      <c r="AR1387" s="1245"/>
      <c r="AS1387" s="936"/>
    </row>
    <row r="1388" ht="15.75" customHeight="1">
      <c r="A1388" s="1099"/>
      <c r="B1388" s="948" t="s">
        <v>1386</v>
      </c>
      <c r="C1388" s="1197" t="s">
        <v>1387</v>
      </c>
      <c r="D1388" s="1197" t="s">
        <v>1387</v>
      </c>
      <c r="E1388" s="1147" t="s">
        <v>1387</v>
      </c>
      <c r="F1388" s="940"/>
      <c r="G1388" s="953"/>
      <c r="H1388" s="969"/>
      <c r="I1388" s="998" t="s">
        <v>4487</v>
      </c>
      <c r="J1388" s="1196" t="s">
        <v>203</v>
      </c>
      <c r="K1388" s="1206" t="s">
        <v>82</v>
      </c>
      <c r="L1388" s="959">
        <v>25.0</v>
      </c>
      <c r="M1388" s="960">
        <v>35.0</v>
      </c>
      <c r="N1388" s="960">
        <v>70.0</v>
      </c>
      <c r="O1388" s="960">
        <v>95.0</v>
      </c>
      <c r="P1388" s="960">
        <v>55.0</v>
      </c>
      <c r="Q1388" s="960">
        <v>45.0</v>
      </c>
      <c r="R1388" s="960">
        <v>126.0</v>
      </c>
      <c r="S1388" s="960">
        <v>189.0</v>
      </c>
      <c r="T1388" s="960">
        <v>207.0</v>
      </c>
      <c r="U1388" s="960">
        <f t="array" ref="U1388">HLOOKUP($J1388,'Type Chart'!$C$2:$T$20,2,false)*HLOOKUP($K1388,'Type Chart'!$C$2:$U$20,2,false)</f>
        <v>0.5</v>
      </c>
      <c r="V1388" s="960">
        <f t="array" ref="V1388">HLOOKUP($J1388,'Type Chart'!$C$2:$T$20,3,false)*HLOOKUP($K1388,'Type Chart'!$C$2:$U$20,3,false)</f>
        <v>2</v>
      </c>
      <c r="W1388" s="960">
        <f t="array" ref="W1388">HLOOKUP($J1388,'Type Chart'!$C$2:$T$20,4,false)*HLOOKUP($K1388,'Type Chart'!$C$2:$U$20,4,false)</f>
        <v>0.25</v>
      </c>
      <c r="X1388" s="960">
        <f t="array" ref="X1388">HLOOKUP($J1388,'Type Chart'!$C$2:$T$20,5,false)*HLOOKUP($K1388,'Type Chart'!$C$2:$U$20,5,false)</f>
        <v>0</v>
      </c>
      <c r="Y1388" s="960">
        <f t="array" ref="Y1388">HLOOKUP($J1388,'Type Chart'!$C$2:$T$20,6,false)*HLOOKUP($K1388,'Type Chart'!$C$2:$U$20,6,false)</f>
        <v>4</v>
      </c>
      <c r="Z1388" s="960">
        <f t="array" ref="Z1388">HLOOKUP($J1388,'Type Chart'!$C$2:$T$20,7,false)*HLOOKUP($K1388,'Type Chart'!$C$2:$U$20,7,false)</f>
        <v>0.5</v>
      </c>
      <c r="AA1388" s="960">
        <f t="array" ref="AA1388">HLOOKUP($J1388,'Type Chart'!$C$2:$T$20,8,false)*HLOOKUP($K1388,'Type Chart'!$C$2:$U$20,8,false)</f>
        <v>0.5</v>
      </c>
      <c r="AB1388" s="960">
        <f t="array" ref="AB1388">HLOOKUP($J1388,'Type Chart'!$C$2:$T$20,9,false)*HLOOKUP($K1388,'Type Chart'!$C$2:$U$20,9,false)</f>
        <v>1</v>
      </c>
      <c r="AC1388" s="960">
        <f t="array" ref="AC1388">HLOOKUP($J1388,'Type Chart'!$C$2:$T$20,10,false)*HLOOKUP($K1388,'Type Chart'!$C$2:$U$20,10,false)</f>
        <v>0.25</v>
      </c>
      <c r="AD1388" s="960">
        <f t="array" ref="AD1388">HLOOKUP($J1388,'Type Chart'!$C$2:$T$20,11,false)*HLOOKUP($K1388,'Type Chart'!$C$2:$U$20,11,false)</f>
        <v>2</v>
      </c>
      <c r="AE1388" s="960">
        <f t="array" ref="AE1388">HLOOKUP($J1388,'Type Chart'!$C$2:$T$20,12,false)*HLOOKUP($K1388,'Type Chart'!$C$2:$U$20,12,false)</f>
        <v>1</v>
      </c>
      <c r="AF1388" s="960">
        <f t="array" ref="AF1388">HLOOKUP($J1388,'Type Chart'!$C$2:$T$20,13,false)*HLOOKUP($K1388,'Type Chart'!$C$2:$U$20,13,false)</f>
        <v>0.5</v>
      </c>
      <c r="AG1388" s="960">
        <f t="array" ref="AG1388">HLOOKUP($J1388,'Type Chart'!$C$2:$T$20,14,false)*HLOOKUP($K1388,'Type Chart'!$C$2:$U$20,14,false)</f>
        <v>0.5</v>
      </c>
      <c r="AH1388" s="960">
        <f t="array" ref="AH1388">HLOOKUP($J1388,'Type Chart'!$C$2:$T$20,15,false)*HLOOKUP($K1388,'Type Chart'!$C$2:$U$20,15,false)</f>
        <v>0.5</v>
      </c>
      <c r="AI1388" s="960">
        <f t="array" ref="AI1388">HLOOKUP($J1388,'Type Chart'!$C$2:$T$20,16,false)*HLOOKUP($K1388,'Type Chart'!$C$2:$U$20,16,false)</f>
        <v>0.5</v>
      </c>
      <c r="AJ1388" s="960">
        <f t="array" ref="AJ1388">HLOOKUP($J1388,'Type Chart'!$C$2:$T$20,17,false)*HLOOKUP($K1388,'Type Chart'!$C$2:$U$20,17,false)</f>
        <v>0.5</v>
      </c>
      <c r="AK1388" s="960">
        <f t="array" ref="AK1388">HLOOKUP($J1388,'Type Chart'!$C$2:$T$20,18,false)*HLOOKUP($K1388,'Type Chart'!$C$2:$U$20,18,false)</f>
        <v>1</v>
      </c>
      <c r="AL1388" s="960">
        <f t="array" ref="AL1388">HLOOKUP($J1388,'Type Chart'!$C$2:$T$20,19,false)*HLOOKUP($K1388,'Type Chart'!$C$2:$U$20,19,false)</f>
        <v>0.5</v>
      </c>
      <c r="AM1388" s="964" t="s">
        <v>1336</v>
      </c>
      <c r="AN1388" s="965" t="s">
        <v>1331</v>
      </c>
      <c r="AO1388" s="966" t="s">
        <v>1389</v>
      </c>
      <c r="AP1388" s="936"/>
      <c r="AQ1388" s="1245"/>
      <c r="AR1388" s="1245"/>
      <c r="AS1388" s="936"/>
    </row>
    <row r="1389" ht="15.75" customHeight="1">
      <c r="A1389" s="1099"/>
      <c r="B1389" s="948" t="s">
        <v>1390</v>
      </c>
      <c r="C1389" s="1197" t="s">
        <v>1391</v>
      </c>
      <c r="D1389" s="1197" t="s">
        <v>1391</v>
      </c>
      <c r="E1389" s="1147" t="s">
        <v>1391</v>
      </c>
      <c r="F1389" s="940"/>
      <c r="G1389" s="953"/>
      <c r="H1389" s="969"/>
      <c r="I1389" s="998" t="s">
        <v>4488</v>
      </c>
      <c r="J1389" s="1196" t="s">
        <v>203</v>
      </c>
      <c r="K1389" s="1206" t="s">
        <v>82</v>
      </c>
      <c r="L1389" s="959">
        <v>50.0</v>
      </c>
      <c r="M1389" s="960">
        <v>60.0</v>
      </c>
      <c r="N1389" s="960">
        <v>95.0</v>
      </c>
      <c r="O1389" s="960">
        <v>120.0</v>
      </c>
      <c r="P1389" s="960">
        <v>70.0</v>
      </c>
      <c r="Q1389" s="960">
        <v>70.0</v>
      </c>
      <c r="R1389" s="960">
        <v>176.0</v>
      </c>
      <c r="S1389" s="960">
        <v>239.0</v>
      </c>
      <c r="T1389" s="960">
        <v>262.0</v>
      </c>
      <c r="U1389" s="960">
        <f t="array" ref="U1389">HLOOKUP($J1389,'Type Chart'!$C$2:$T$20,2,false)*HLOOKUP($K1389,'Type Chart'!$C$2:$U$20,2,false)</f>
        <v>0.5</v>
      </c>
      <c r="V1389" s="960">
        <f t="array" ref="V1389">HLOOKUP($J1389,'Type Chart'!$C$2:$T$20,3,false)*HLOOKUP($K1389,'Type Chart'!$C$2:$U$20,3,false)</f>
        <v>2</v>
      </c>
      <c r="W1389" s="960">
        <f t="array" ref="W1389">HLOOKUP($J1389,'Type Chart'!$C$2:$T$20,4,false)*HLOOKUP($K1389,'Type Chart'!$C$2:$U$20,4,false)</f>
        <v>0.25</v>
      </c>
      <c r="X1389" s="960">
        <f t="array" ref="X1389">HLOOKUP($J1389,'Type Chart'!$C$2:$T$20,5,false)*HLOOKUP($K1389,'Type Chart'!$C$2:$U$20,5,false)</f>
        <v>0</v>
      </c>
      <c r="Y1389" s="960">
        <f t="array" ref="Y1389">HLOOKUP($J1389,'Type Chart'!$C$2:$T$20,6,false)*HLOOKUP($K1389,'Type Chart'!$C$2:$U$20,6,false)</f>
        <v>4</v>
      </c>
      <c r="Z1389" s="960">
        <f t="array" ref="Z1389">HLOOKUP($J1389,'Type Chart'!$C$2:$T$20,7,false)*HLOOKUP($K1389,'Type Chart'!$C$2:$U$20,7,false)</f>
        <v>0.5</v>
      </c>
      <c r="AA1389" s="960">
        <f t="array" ref="AA1389">HLOOKUP($J1389,'Type Chart'!$C$2:$T$20,8,false)*HLOOKUP($K1389,'Type Chart'!$C$2:$U$20,8,false)</f>
        <v>0.5</v>
      </c>
      <c r="AB1389" s="960">
        <f t="array" ref="AB1389">HLOOKUP($J1389,'Type Chart'!$C$2:$T$20,9,false)*HLOOKUP($K1389,'Type Chart'!$C$2:$U$20,9,false)</f>
        <v>1</v>
      </c>
      <c r="AC1389" s="960">
        <f t="array" ref="AC1389">HLOOKUP($J1389,'Type Chart'!$C$2:$T$20,10,false)*HLOOKUP($K1389,'Type Chart'!$C$2:$U$20,10,false)</f>
        <v>0.25</v>
      </c>
      <c r="AD1389" s="960">
        <f t="array" ref="AD1389">HLOOKUP($J1389,'Type Chart'!$C$2:$T$20,11,false)*HLOOKUP($K1389,'Type Chart'!$C$2:$U$20,11,false)</f>
        <v>2</v>
      </c>
      <c r="AE1389" s="960">
        <f t="array" ref="AE1389">HLOOKUP($J1389,'Type Chart'!$C$2:$T$20,12,false)*HLOOKUP($K1389,'Type Chart'!$C$2:$U$20,12,false)</f>
        <v>1</v>
      </c>
      <c r="AF1389" s="960">
        <f t="array" ref="AF1389">HLOOKUP($J1389,'Type Chart'!$C$2:$T$20,13,false)*HLOOKUP($K1389,'Type Chart'!$C$2:$U$20,13,false)</f>
        <v>0.5</v>
      </c>
      <c r="AG1389" s="960">
        <f t="array" ref="AG1389">HLOOKUP($J1389,'Type Chart'!$C$2:$T$20,14,false)*HLOOKUP($K1389,'Type Chart'!$C$2:$U$20,14,false)</f>
        <v>0.5</v>
      </c>
      <c r="AH1389" s="960">
        <f t="array" ref="AH1389">HLOOKUP($J1389,'Type Chart'!$C$2:$T$20,15,false)*HLOOKUP($K1389,'Type Chart'!$C$2:$U$20,15,false)</f>
        <v>0.5</v>
      </c>
      <c r="AI1389" s="960">
        <f t="array" ref="AI1389">HLOOKUP($J1389,'Type Chart'!$C$2:$T$20,16,false)*HLOOKUP($K1389,'Type Chart'!$C$2:$U$20,16,false)</f>
        <v>0.5</v>
      </c>
      <c r="AJ1389" s="960">
        <f t="array" ref="AJ1389">HLOOKUP($J1389,'Type Chart'!$C$2:$T$20,17,false)*HLOOKUP($K1389,'Type Chart'!$C$2:$U$20,17,false)</f>
        <v>0.5</v>
      </c>
      <c r="AK1389" s="960">
        <f t="array" ref="AK1389">HLOOKUP($J1389,'Type Chart'!$C$2:$T$20,18,false)*HLOOKUP($K1389,'Type Chart'!$C$2:$U$20,18,false)</f>
        <v>1</v>
      </c>
      <c r="AL1389" s="960">
        <f t="array" ref="AL1389">HLOOKUP($J1389,'Type Chart'!$C$2:$T$20,19,false)*HLOOKUP($K1389,'Type Chart'!$C$2:$U$20,19,false)</f>
        <v>0.5</v>
      </c>
      <c r="AM1389" s="964" t="s">
        <v>1336</v>
      </c>
      <c r="AN1389" s="965" t="s">
        <v>1331</v>
      </c>
      <c r="AO1389" s="966" t="s">
        <v>1389</v>
      </c>
      <c r="AP1389" s="936"/>
      <c r="AQ1389" s="1245"/>
      <c r="AR1389" s="1245"/>
      <c r="AS1389" s="936"/>
    </row>
    <row r="1390" ht="15.75" customHeight="1">
      <c r="A1390" s="1099"/>
      <c r="B1390" s="948" t="s">
        <v>1392</v>
      </c>
      <c r="C1390" s="1197" t="s">
        <v>1393</v>
      </c>
      <c r="D1390" s="1197" t="s">
        <v>1393</v>
      </c>
      <c r="E1390" s="1147" t="s">
        <v>1393</v>
      </c>
      <c r="F1390" s="940"/>
      <c r="G1390" s="953"/>
      <c r="H1390" s="969"/>
      <c r="I1390" s="998" t="s">
        <v>4489</v>
      </c>
      <c r="J1390" s="1194" t="s">
        <v>136</v>
      </c>
      <c r="K1390" s="1001" t="s">
        <v>128</v>
      </c>
      <c r="L1390" s="959">
        <v>52.0</v>
      </c>
      <c r="M1390" s="960">
        <v>90.0</v>
      </c>
      <c r="N1390" s="960">
        <v>55.0</v>
      </c>
      <c r="O1390" s="960">
        <v>58.0</v>
      </c>
      <c r="P1390" s="960">
        <v>62.0</v>
      </c>
      <c r="Q1390" s="960">
        <v>60.0</v>
      </c>
      <c r="R1390" s="960">
        <v>156.0</v>
      </c>
      <c r="S1390" s="960">
        <v>219.0</v>
      </c>
      <c r="T1390" s="960">
        <v>240.0</v>
      </c>
      <c r="U1390" s="960">
        <f t="array" ref="U1390">HLOOKUP($J1390,'Type Chart'!$C$2:$T$20,2,false)*HLOOKUP($K1390,'Type Chart'!$C$2:$U$20,2,false)</f>
        <v>1</v>
      </c>
      <c r="V1390" s="960">
        <f t="array" ref="V1390">HLOOKUP($J1390,'Type Chart'!$C$2:$T$20,3,false)*HLOOKUP($K1390,'Type Chart'!$C$2:$U$20,3,false)</f>
        <v>1</v>
      </c>
      <c r="W1390" s="960">
        <f t="array" ref="W1390">HLOOKUP($J1390,'Type Chart'!$C$2:$T$20,4,false)*HLOOKUP($K1390,'Type Chart'!$C$2:$U$20,4,false)</f>
        <v>1</v>
      </c>
      <c r="X1390" s="960">
        <f t="array" ref="X1390">HLOOKUP($J1390,'Type Chart'!$C$2:$T$20,5,false)*HLOOKUP($K1390,'Type Chart'!$C$2:$U$20,5,false)</f>
        <v>1</v>
      </c>
      <c r="Y1390" s="960">
        <f t="array" ref="Y1390">HLOOKUP($J1390,'Type Chart'!$C$2:$T$20,6,false)*HLOOKUP($K1390,'Type Chart'!$C$2:$U$20,6,false)</f>
        <v>0</v>
      </c>
      <c r="Z1390" s="960">
        <f t="array" ref="Z1390">HLOOKUP($J1390,'Type Chart'!$C$2:$T$20,7,false)*HLOOKUP($K1390,'Type Chart'!$C$2:$U$20,7,false)</f>
        <v>2</v>
      </c>
      <c r="AA1390" s="960">
        <f t="array" ref="AA1390">HLOOKUP($J1390,'Type Chart'!$C$2:$T$20,8,false)*HLOOKUP($K1390,'Type Chart'!$C$2:$U$20,8,false)</f>
        <v>0.5</v>
      </c>
      <c r="AB1390" s="960">
        <f t="array" ref="AB1390">HLOOKUP($J1390,'Type Chart'!$C$2:$T$20,9,false)*HLOOKUP($K1390,'Type Chart'!$C$2:$U$20,9,false)</f>
        <v>0</v>
      </c>
      <c r="AC1390" s="960">
        <f t="array" ref="AC1390">HLOOKUP($J1390,'Type Chart'!$C$2:$T$20,10,false)*HLOOKUP($K1390,'Type Chart'!$C$2:$U$20,10,false)</f>
        <v>1</v>
      </c>
      <c r="AD1390" s="960">
        <f t="array" ref="AD1390">HLOOKUP($J1390,'Type Chart'!$C$2:$T$20,11,false)*HLOOKUP($K1390,'Type Chart'!$C$2:$U$20,11,false)</f>
        <v>1</v>
      </c>
      <c r="AE1390" s="960">
        <f t="array" ref="AE1390">HLOOKUP($J1390,'Type Chart'!$C$2:$T$20,12,false)*HLOOKUP($K1390,'Type Chart'!$C$2:$U$20,12,false)</f>
        <v>1</v>
      </c>
      <c r="AF1390" s="960">
        <f t="array" ref="AF1390">HLOOKUP($J1390,'Type Chart'!$C$2:$T$20,13,false)*HLOOKUP($K1390,'Type Chart'!$C$2:$U$20,13,false)</f>
        <v>0.5</v>
      </c>
      <c r="AG1390" s="960">
        <f t="array" ref="AG1390">HLOOKUP($J1390,'Type Chart'!$C$2:$T$20,14,false)*HLOOKUP($K1390,'Type Chart'!$C$2:$U$20,14,false)</f>
        <v>2</v>
      </c>
      <c r="AH1390" s="960">
        <f t="array" ref="AH1390">HLOOKUP($J1390,'Type Chart'!$C$2:$T$20,15,false)*HLOOKUP($K1390,'Type Chart'!$C$2:$U$20,15,false)</f>
        <v>1</v>
      </c>
      <c r="AI1390" s="960">
        <f t="array" ref="AI1390">HLOOKUP($J1390,'Type Chart'!$C$2:$T$20,16,false)*HLOOKUP($K1390,'Type Chart'!$C$2:$U$20,16,false)</f>
        <v>2</v>
      </c>
      <c r="AJ1390" s="960">
        <f t="array" ref="AJ1390">HLOOKUP($J1390,'Type Chart'!$C$2:$T$20,17,false)*HLOOKUP($K1390,'Type Chart'!$C$2:$U$20,17,false)</f>
        <v>1</v>
      </c>
      <c r="AK1390" s="960">
        <f t="array" ref="AK1390">HLOOKUP($J1390,'Type Chart'!$C$2:$T$20,18,false)*HLOOKUP($K1390,'Type Chart'!$C$2:$U$20,18,false)</f>
        <v>1</v>
      </c>
      <c r="AL1390" s="960">
        <f t="array" ref="AL1390">HLOOKUP($J1390,'Type Chart'!$C$2:$T$20,19,false)*HLOOKUP($K1390,'Type Chart'!$C$2:$U$20,19,false)</f>
        <v>1</v>
      </c>
      <c r="AM1390" s="964" t="s">
        <v>1022</v>
      </c>
      <c r="AN1390" s="965" t="s">
        <v>1192</v>
      </c>
      <c r="AO1390" s="966" t="s">
        <v>1267</v>
      </c>
      <c r="AP1390" s="936"/>
      <c r="AQ1390" s="1245"/>
      <c r="AR1390" s="1245"/>
      <c r="AS1390" s="936"/>
    </row>
    <row r="1391" ht="15.75" customHeight="1">
      <c r="A1391" s="1099"/>
      <c r="B1391" s="948" t="s">
        <v>1395</v>
      </c>
      <c r="C1391" s="1197" t="s">
        <v>1396</v>
      </c>
      <c r="D1391" s="1197" t="s">
        <v>1396</v>
      </c>
      <c r="E1391" s="1147" t="s">
        <v>1397</v>
      </c>
      <c r="F1391" s="940"/>
      <c r="G1391" s="953"/>
      <c r="H1391" s="969"/>
      <c r="I1391" s="998" t="s">
        <v>4490</v>
      </c>
      <c r="J1391" s="1213" t="s">
        <v>341</v>
      </c>
      <c r="K1391" s="984" t="s">
        <v>216</v>
      </c>
      <c r="L1391" s="959">
        <v>52.0</v>
      </c>
      <c r="M1391" s="960">
        <v>95.0</v>
      </c>
      <c r="N1391" s="960">
        <v>55.0</v>
      </c>
      <c r="O1391" s="960">
        <v>58.0</v>
      </c>
      <c r="P1391" s="960">
        <v>62.0</v>
      </c>
      <c r="Q1391" s="960">
        <v>55.0</v>
      </c>
      <c r="R1391" s="960">
        <v>146.0</v>
      </c>
      <c r="S1391" s="960">
        <v>209.0</v>
      </c>
      <c r="T1391" s="960">
        <v>229.0</v>
      </c>
      <c r="U1391" s="960">
        <f t="array" ref="U1391">HLOOKUP($J1391,'Type Chart'!$C$2:$T$20,2,false)*HLOOKUP($K1391,'Type Chart'!$C$2:$U$20,2,false)</f>
        <v>1</v>
      </c>
      <c r="V1391" s="960">
        <f t="array" ref="V1391">HLOOKUP($J1391,'Type Chart'!$C$2:$T$20,3,false)*HLOOKUP($K1391,'Type Chart'!$C$2:$U$20,3,false)</f>
        <v>1</v>
      </c>
      <c r="W1391" s="960">
        <f t="array" ref="W1391">HLOOKUP($J1391,'Type Chart'!$C$2:$T$20,4,false)*HLOOKUP($K1391,'Type Chart'!$C$2:$U$20,4,false)</f>
        <v>2</v>
      </c>
      <c r="X1391" s="960">
        <f t="array" ref="X1391">HLOOKUP($J1391,'Type Chart'!$C$2:$T$20,5,false)*HLOOKUP($K1391,'Type Chart'!$C$2:$U$20,5,false)</f>
        <v>1</v>
      </c>
      <c r="Y1391" s="960">
        <f t="array" ref="Y1391">HLOOKUP($J1391,'Type Chart'!$C$2:$T$20,6,false)*HLOOKUP($K1391,'Type Chart'!$C$2:$U$20,6,false)</f>
        <v>1</v>
      </c>
      <c r="Z1391" s="960">
        <f t="array" ref="Z1391">HLOOKUP($J1391,'Type Chart'!$C$2:$T$20,7,false)*HLOOKUP($K1391,'Type Chart'!$C$2:$U$20,7,false)</f>
        <v>0.5</v>
      </c>
      <c r="AA1391" s="960">
        <f t="array" ref="AA1391">HLOOKUP($J1391,'Type Chart'!$C$2:$T$20,8,false)*HLOOKUP($K1391,'Type Chart'!$C$2:$U$20,8,false)</f>
        <v>0.5</v>
      </c>
      <c r="AB1391" s="960">
        <f t="array" ref="AB1391">HLOOKUP($J1391,'Type Chart'!$C$2:$T$20,9,false)*HLOOKUP($K1391,'Type Chart'!$C$2:$U$20,9,false)</f>
        <v>1</v>
      </c>
      <c r="AC1391" s="960">
        <f t="array" ref="AC1391">HLOOKUP($J1391,'Type Chart'!$C$2:$T$20,10,false)*HLOOKUP($K1391,'Type Chart'!$C$2:$U$20,10,false)</f>
        <v>1</v>
      </c>
      <c r="AD1391" s="960">
        <f t="array" ref="AD1391">HLOOKUP($J1391,'Type Chart'!$C$2:$T$20,11,false)*HLOOKUP($K1391,'Type Chart'!$C$2:$U$20,11,false)</f>
        <v>1</v>
      </c>
      <c r="AE1391" s="960">
        <f t="array" ref="AE1391">HLOOKUP($J1391,'Type Chart'!$C$2:$T$20,12,false)*HLOOKUP($K1391,'Type Chart'!$C$2:$U$20,12,false)</f>
        <v>1</v>
      </c>
      <c r="AF1391" s="960">
        <f t="array" ref="AF1391">HLOOKUP($J1391,'Type Chart'!$C$2:$T$20,13,false)*HLOOKUP($K1391,'Type Chart'!$C$2:$U$20,13,false)</f>
        <v>1</v>
      </c>
      <c r="AG1391" s="960">
        <f t="array" ref="AG1391">HLOOKUP($J1391,'Type Chart'!$C$2:$T$20,14,false)*HLOOKUP($K1391,'Type Chart'!$C$2:$U$20,14,false)</f>
        <v>1</v>
      </c>
      <c r="AH1391" s="960">
        <f t="array" ref="AH1391">HLOOKUP($J1391,'Type Chart'!$C$2:$T$20,15,false)*HLOOKUP($K1391,'Type Chart'!$C$2:$U$20,15,false)</f>
        <v>2</v>
      </c>
      <c r="AI1391" s="960">
        <f t="array" ref="AI1391">HLOOKUP($J1391,'Type Chart'!$C$2:$T$20,16,false)*HLOOKUP($K1391,'Type Chart'!$C$2:$U$20,16,false)</f>
        <v>1</v>
      </c>
      <c r="AJ1391" s="960">
        <f t="array" ref="AJ1391">HLOOKUP($J1391,'Type Chart'!$C$2:$T$20,17,false)*HLOOKUP($K1391,'Type Chart'!$C$2:$U$20,17,false)</f>
        <v>1</v>
      </c>
      <c r="AK1391" s="960">
        <f t="array" ref="AK1391">HLOOKUP($J1391,'Type Chart'!$C$2:$T$20,18,false)*HLOOKUP($K1391,'Type Chart'!$C$2:$U$20,18,false)</f>
        <v>0.5</v>
      </c>
      <c r="AL1391" s="960">
        <f t="array" ref="AL1391">HLOOKUP($J1391,'Type Chart'!$C$2:$T$20,19,false)*HLOOKUP($K1391,'Type Chart'!$C$2:$U$20,19,false)</f>
        <v>2</v>
      </c>
      <c r="AM1391" s="964" t="s">
        <v>1306</v>
      </c>
      <c r="AN1391" s="965"/>
      <c r="AO1391" s="966" t="s">
        <v>1399</v>
      </c>
      <c r="AP1391" s="936"/>
      <c r="AQ1391" s="1245"/>
      <c r="AR1391" s="1245"/>
      <c r="AS1391" s="936"/>
    </row>
    <row r="1392" ht="15.75" customHeight="1">
      <c r="A1392" s="1099"/>
      <c r="B1392" s="948" t="s">
        <v>1400</v>
      </c>
      <c r="C1392" s="1197" t="s">
        <v>1401</v>
      </c>
      <c r="D1392" s="1197" t="s">
        <v>1401</v>
      </c>
      <c r="E1392" s="1147" t="s">
        <v>1401</v>
      </c>
      <c r="F1392" s="940"/>
      <c r="G1392" s="953"/>
      <c r="H1392" s="969"/>
      <c r="I1392" s="998" t="s">
        <v>4491</v>
      </c>
      <c r="J1392" s="1216" t="s">
        <v>136</v>
      </c>
      <c r="K1392" s="1210" t="s">
        <v>128</v>
      </c>
      <c r="L1392" s="1200">
        <v>35.0</v>
      </c>
      <c r="M1392" s="1201">
        <v>85.0</v>
      </c>
      <c r="N1392" s="1201">
        <v>45.0</v>
      </c>
      <c r="O1392" s="1201">
        <v>35.0</v>
      </c>
      <c r="P1392" s="1201">
        <v>35.0</v>
      </c>
      <c r="Q1392" s="1201">
        <v>75.0</v>
      </c>
      <c r="R1392" s="960">
        <v>186.0</v>
      </c>
      <c r="S1392" s="960">
        <v>249.0</v>
      </c>
      <c r="T1392" s="960">
        <v>273.0</v>
      </c>
      <c r="U1392" s="960">
        <f t="array" ref="U1392">HLOOKUP($J1392,'Type Chart'!$C$2:$T$20,2,false)*HLOOKUP($K1392,'Type Chart'!$C$2:$U$20,2,false)</f>
        <v>1</v>
      </c>
      <c r="V1392" s="960">
        <f t="array" ref="V1392">HLOOKUP($J1392,'Type Chart'!$C$2:$T$20,3,false)*HLOOKUP($K1392,'Type Chart'!$C$2:$U$20,3,false)</f>
        <v>1</v>
      </c>
      <c r="W1392" s="960">
        <f t="array" ref="W1392">HLOOKUP($J1392,'Type Chart'!$C$2:$T$20,4,false)*HLOOKUP($K1392,'Type Chart'!$C$2:$U$20,4,false)</f>
        <v>1</v>
      </c>
      <c r="X1392" s="960">
        <f t="array" ref="X1392">HLOOKUP($J1392,'Type Chart'!$C$2:$T$20,5,false)*HLOOKUP($K1392,'Type Chart'!$C$2:$U$20,5,false)</f>
        <v>1</v>
      </c>
      <c r="Y1392" s="960">
        <f t="array" ref="Y1392">HLOOKUP($J1392,'Type Chart'!$C$2:$T$20,6,false)*HLOOKUP($K1392,'Type Chart'!$C$2:$U$20,6,false)</f>
        <v>0</v>
      </c>
      <c r="Z1392" s="960">
        <f t="array" ref="Z1392">HLOOKUP($J1392,'Type Chart'!$C$2:$T$20,7,false)*HLOOKUP($K1392,'Type Chart'!$C$2:$U$20,7,false)</f>
        <v>2</v>
      </c>
      <c r="AA1392" s="960">
        <f t="array" ref="AA1392">HLOOKUP($J1392,'Type Chart'!$C$2:$T$20,8,false)*HLOOKUP($K1392,'Type Chart'!$C$2:$U$20,8,false)</f>
        <v>0.5</v>
      </c>
      <c r="AB1392" s="960">
        <f t="array" ref="AB1392">HLOOKUP($J1392,'Type Chart'!$C$2:$T$20,9,false)*HLOOKUP($K1392,'Type Chart'!$C$2:$U$20,9,false)</f>
        <v>0</v>
      </c>
      <c r="AC1392" s="960">
        <f t="array" ref="AC1392">HLOOKUP($J1392,'Type Chart'!$C$2:$T$20,10,false)*HLOOKUP($K1392,'Type Chart'!$C$2:$U$20,10,false)</f>
        <v>1</v>
      </c>
      <c r="AD1392" s="960">
        <f t="array" ref="AD1392">HLOOKUP($J1392,'Type Chart'!$C$2:$T$20,11,false)*HLOOKUP($K1392,'Type Chart'!$C$2:$U$20,11,false)</f>
        <v>1</v>
      </c>
      <c r="AE1392" s="960">
        <f t="array" ref="AE1392">HLOOKUP($J1392,'Type Chart'!$C$2:$T$20,12,false)*HLOOKUP($K1392,'Type Chart'!$C$2:$U$20,12,false)</f>
        <v>1</v>
      </c>
      <c r="AF1392" s="960">
        <f t="array" ref="AF1392">HLOOKUP($J1392,'Type Chart'!$C$2:$T$20,13,false)*HLOOKUP($K1392,'Type Chart'!$C$2:$U$20,13,false)</f>
        <v>0.5</v>
      </c>
      <c r="AG1392" s="960">
        <f t="array" ref="AG1392">HLOOKUP($J1392,'Type Chart'!$C$2:$T$20,14,false)*HLOOKUP($K1392,'Type Chart'!$C$2:$U$20,14,false)</f>
        <v>2</v>
      </c>
      <c r="AH1392" s="960">
        <f t="array" ref="AH1392">HLOOKUP($J1392,'Type Chart'!$C$2:$T$20,15,false)*HLOOKUP($K1392,'Type Chart'!$C$2:$U$20,15,false)</f>
        <v>1</v>
      </c>
      <c r="AI1392" s="960">
        <f t="array" ref="AI1392">HLOOKUP($J1392,'Type Chart'!$C$2:$T$20,16,false)*HLOOKUP($K1392,'Type Chart'!$C$2:$U$20,16,false)</f>
        <v>2</v>
      </c>
      <c r="AJ1392" s="960">
        <f t="array" ref="AJ1392">HLOOKUP($J1392,'Type Chart'!$C$2:$T$20,17,false)*HLOOKUP($K1392,'Type Chart'!$C$2:$U$20,17,false)</f>
        <v>1</v>
      </c>
      <c r="AK1392" s="960">
        <f t="array" ref="AK1392">HLOOKUP($J1392,'Type Chart'!$C$2:$T$20,18,false)*HLOOKUP($K1392,'Type Chart'!$C$2:$U$20,18,false)</f>
        <v>1</v>
      </c>
      <c r="AL1392" s="960">
        <f t="array" ref="AL1392">HLOOKUP($J1392,'Type Chart'!$C$2:$T$20,19,false)*HLOOKUP($K1392,'Type Chart'!$C$2:$U$20,19,false)</f>
        <v>1</v>
      </c>
      <c r="AM1392" s="1145" t="s">
        <v>988</v>
      </c>
      <c r="AN1392" s="965" t="s">
        <v>1403</v>
      </c>
      <c r="AO1392" s="966" t="s">
        <v>1023</v>
      </c>
      <c r="AP1392" s="936"/>
      <c r="AQ1392" s="1245"/>
      <c r="AR1392" s="1245"/>
      <c r="AS1392" s="936"/>
    </row>
    <row r="1393" ht="15.75" customHeight="1">
      <c r="A1393" s="1099"/>
      <c r="B1393" s="948" t="s">
        <v>1404</v>
      </c>
      <c r="C1393" s="1197" t="s">
        <v>1405</v>
      </c>
      <c r="D1393" s="1197" t="s">
        <v>1405</v>
      </c>
      <c r="E1393" s="1147" t="s">
        <v>1405</v>
      </c>
      <c r="F1393" s="940"/>
      <c r="G1393" s="953"/>
      <c r="H1393" s="969"/>
      <c r="I1393" s="998" t="s">
        <v>4492</v>
      </c>
      <c r="J1393" s="1194" t="s">
        <v>136</v>
      </c>
      <c r="K1393" s="1001" t="s">
        <v>128</v>
      </c>
      <c r="L1393" s="959">
        <v>60.0</v>
      </c>
      <c r="M1393" s="960">
        <v>110.0</v>
      </c>
      <c r="N1393" s="960">
        <v>70.0</v>
      </c>
      <c r="O1393" s="960">
        <v>60.0</v>
      </c>
      <c r="P1393" s="960">
        <v>60.0</v>
      </c>
      <c r="Q1393" s="960">
        <v>110.0</v>
      </c>
      <c r="R1393" s="960">
        <v>256.0</v>
      </c>
      <c r="S1393" s="960">
        <v>319.0</v>
      </c>
      <c r="T1393" s="960">
        <v>350.0</v>
      </c>
      <c r="U1393" s="960">
        <f t="array" ref="U1393">HLOOKUP($J1393,'Type Chart'!$C$2:$T$20,2,false)*HLOOKUP($K1393,'Type Chart'!$C$2:$U$20,2,false)</f>
        <v>1</v>
      </c>
      <c r="V1393" s="960">
        <f t="array" ref="V1393">HLOOKUP($J1393,'Type Chart'!$C$2:$T$20,3,false)*HLOOKUP($K1393,'Type Chart'!$C$2:$U$20,3,false)</f>
        <v>1</v>
      </c>
      <c r="W1393" s="960">
        <f t="array" ref="W1393">HLOOKUP($J1393,'Type Chart'!$C$2:$T$20,4,false)*HLOOKUP($K1393,'Type Chart'!$C$2:$U$20,4,false)</f>
        <v>1</v>
      </c>
      <c r="X1393" s="960">
        <f t="array" ref="X1393">HLOOKUP($J1393,'Type Chart'!$C$2:$T$20,5,false)*HLOOKUP($K1393,'Type Chart'!$C$2:$U$20,5,false)</f>
        <v>1</v>
      </c>
      <c r="Y1393" s="960">
        <f t="array" ref="Y1393">HLOOKUP($J1393,'Type Chart'!$C$2:$T$20,6,false)*HLOOKUP($K1393,'Type Chart'!$C$2:$U$20,6,false)</f>
        <v>0</v>
      </c>
      <c r="Z1393" s="960">
        <f t="array" ref="Z1393">HLOOKUP($J1393,'Type Chart'!$C$2:$T$20,7,false)*HLOOKUP($K1393,'Type Chart'!$C$2:$U$20,7,false)</f>
        <v>2</v>
      </c>
      <c r="AA1393" s="960">
        <f t="array" ref="AA1393">HLOOKUP($J1393,'Type Chart'!$C$2:$T$20,8,false)*HLOOKUP($K1393,'Type Chart'!$C$2:$U$20,8,false)</f>
        <v>0.5</v>
      </c>
      <c r="AB1393" s="960">
        <f t="array" ref="AB1393">HLOOKUP($J1393,'Type Chart'!$C$2:$T$20,9,false)*HLOOKUP($K1393,'Type Chart'!$C$2:$U$20,9,false)</f>
        <v>0</v>
      </c>
      <c r="AC1393" s="960">
        <f t="array" ref="AC1393">HLOOKUP($J1393,'Type Chart'!$C$2:$T$20,10,false)*HLOOKUP($K1393,'Type Chart'!$C$2:$U$20,10,false)</f>
        <v>1</v>
      </c>
      <c r="AD1393" s="960">
        <f t="array" ref="AD1393">HLOOKUP($J1393,'Type Chart'!$C$2:$T$20,11,false)*HLOOKUP($K1393,'Type Chart'!$C$2:$U$20,11,false)</f>
        <v>1</v>
      </c>
      <c r="AE1393" s="960">
        <f t="array" ref="AE1393">HLOOKUP($J1393,'Type Chart'!$C$2:$T$20,12,false)*HLOOKUP($K1393,'Type Chart'!$C$2:$U$20,12,false)</f>
        <v>1</v>
      </c>
      <c r="AF1393" s="960">
        <f t="array" ref="AF1393">HLOOKUP($J1393,'Type Chart'!$C$2:$T$20,13,false)*HLOOKUP($K1393,'Type Chart'!$C$2:$U$20,13,false)</f>
        <v>0.5</v>
      </c>
      <c r="AG1393" s="960">
        <f t="array" ref="AG1393">HLOOKUP($J1393,'Type Chart'!$C$2:$T$20,14,false)*HLOOKUP($K1393,'Type Chart'!$C$2:$U$20,14,false)</f>
        <v>2</v>
      </c>
      <c r="AH1393" s="960">
        <f t="array" ref="AH1393">HLOOKUP($J1393,'Type Chart'!$C$2:$T$20,15,false)*HLOOKUP($K1393,'Type Chart'!$C$2:$U$20,15,false)</f>
        <v>1</v>
      </c>
      <c r="AI1393" s="960">
        <f t="array" ref="AI1393">HLOOKUP($J1393,'Type Chart'!$C$2:$T$20,16,false)*HLOOKUP($K1393,'Type Chart'!$C$2:$U$20,16,false)</f>
        <v>2</v>
      </c>
      <c r="AJ1393" s="960">
        <f t="array" ref="AJ1393">HLOOKUP($J1393,'Type Chart'!$C$2:$T$20,17,false)*HLOOKUP($K1393,'Type Chart'!$C$2:$U$20,17,false)</f>
        <v>1</v>
      </c>
      <c r="AK1393" s="960">
        <f t="array" ref="AK1393">HLOOKUP($J1393,'Type Chart'!$C$2:$T$20,18,false)*HLOOKUP($K1393,'Type Chart'!$C$2:$U$20,18,false)</f>
        <v>1</v>
      </c>
      <c r="AL1393" s="960">
        <f t="array" ref="AL1393">HLOOKUP($J1393,'Type Chart'!$C$2:$T$20,19,false)*HLOOKUP($K1393,'Type Chart'!$C$2:$U$20,19,false)</f>
        <v>1</v>
      </c>
      <c r="AM1393" s="964" t="s">
        <v>988</v>
      </c>
      <c r="AN1393" s="965" t="s">
        <v>1403</v>
      </c>
      <c r="AO1393" s="966" t="s">
        <v>1023</v>
      </c>
      <c r="AP1393" s="936"/>
      <c r="AQ1393" s="1245"/>
      <c r="AR1393" s="1245"/>
      <c r="AS1393" s="936"/>
    </row>
    <row r="1394" ht="15.75" customHeight="1">
      <c r="A1394" s="1099"/>
      <c r="B1394" s="948" t="s">
        <v>1406</v>
      </c>
      <c r="C1394" s="1197" t="s">
        <v>1407</v>
      </c>
      <c r="D1394" s="1197" t="s">
        <v>1407</v>
      </c>
      <c r="E1394" s="1147" t="s">
        <v>1407</v>
      </c>
      <c r="F1394" s="940"/>
      <c r="G1394" s="953"/>
      <c r="H1394" s="969"/>
      <c r="I1394" s="998" t="s">
        <v>4493</v>
      </c>
      <c r="J1394" s="1056" t="s">
        <v>81</v>
      </c>
      <c r="K1394" s="984" t="s">
        <v>216</v>
      </c>
      <c r="L1394" s="959">
        <v>65.0</v>
      </c>
      <c r="M1394" s="960">
        <v>45.0</v>
      </c>
      <c r="N1394" s="960">
        <v>55.0</v>
      </c>
      <c r="O1394" s="960">
        <v>45.0</v>
      </c>
      <c r="P1394" s="960">
        <v>70.0</v>
      </c>
      <c r="Q1394" s="960">
        <v>45.0</v>
      </c>
      <c r="R1394" s="960">
        <v>126.0</v>
      </c>
      <c r="S1394" s="960">
        <v>189.0</v>
      </c>
      <c r="T1394" s="960">
        <v>207.0</v>
      </c>
      <c r="U1394" s="960">
        <f t="array" ref="U1394">HLOOKUP($J1394,'Type Chart'!$C$2:$T$20,2,false)*HLOOKUP($K1394,'Type Chart'!$C$2:$U$20,2,false)</f>
        <v>1</v>
      </c>
      <c r="V1394" s="960">
        <f t="array" ref="V1394">HLOOKUP($J1394,'Type Chart'!$C$2:$T$20,3,false)*HLOOKUP($K1394,'Type Chart'!$C$2:$U$20,3,false)</f>
        <v>1</v>
      </c>
      <c r="W1394" s="960">
        <f t="array" ref="W1394">HLOOKUP($J1394,'Type Chart'!$C$2:$T$20,4,false)*HLOOKUP($K1394,'Type Chart'!$C$2:$U$20,4,false)</f>
        <v>1</v>
      </c>
      <c r="X1394" s="960">
        <f t="array" ref="X1394">HLOOKUP($J1394,'Type Chart'!$C$2:$T$20,5,false)*HLOOKUP($K1394,'Type Chart'!$C$2:$U$20,5,false)</f>
        <v>1</v>
      </c>
      <c r="Y1394" s="960">
        <f t="array" ref="Y1394">HLOOKUP($J1394,'Type Chart'!$C$2:$T$20,6,false)*HLOOKUP($K1394,'Type Chart'!$C$2:$U$20,6,false)</f>
        <v>1</v>
      </c>
      <c r="Z1394" s="960">
        <f t="array" ref="Z1394">HLOOKUP($J1394,'Type Chart'!$C$2:$T$20,7,false)*HLOOKUP($K1394,'Type Chart'!$C$2:$U$20,7,false)</f>
        <v>1</v>
      </c>
      <c r="AA1394" s="960">
        <f t="array" ref="AA1394">HLOOKUP($J1394,'Type Chart'!$C$2:$T$20,8,false)*HLOOKUP($K1394,'Type Chart'!$C$2:$U$20,8,false)</f>
        <v>1</v>
      </c>
      <c r="AB1394" s="960">
        <f t="array" ref="AB1394">HLOOKUP($J1394,'Type Chart'!$C$2:$T$20,9,false)*HLOOKUP($K1394,'Type Chart'!$C$2:$U$20,9,false)</f>
        <v>1</v>
      </c>
      <c r="AC1394" s="960">
        <f t="array" ref="AC1394">HLOOKUP($J1394,'Type Chart'!$C$2:$T$20,10,false)*HLOOKUP($K1394,'Type Chart'!$C$2:$U$20,10,false)</f>
        <v>0.5</v>
      </c>
      <c r="AD1394" s="960">
        <f t="array" ref="AD1394">HLOOKUP($J1394,'Type Chart'!$C$2:$T$20,11,false)*HLOOKUP($K1394,'Type Chart'!$C$2:$U$20,11,false)</f>
        <v>0.5</v>
      </c>
      <c r="AE1394" s="960">
        <f t="array" ref="AE1394">HLOOKUP($J1394,'Type Chart'!$C$2:$T$20,12,false)*HLOOKUP($K1394,'Type Chart'!$C$2:$U$20,12,false)</f>
        <v>0.5</v>
      </c>
      <c r="AF1394" s="960">
        <f t="array" ref="AF1394">HLOOKUP($J1394,'Type Chart'!$C$2:$T$20,13,false)*HLOOKUP($K1394,'Type Chart'!$C$2:$U$20,13,false)</f>
        <v>2</v>
      </c>
      <c r="AG1394" s="960">
        <f t="array" ref="AG1394">HLOOKUP($J1394,'Type Chart'!$C$2:$T$20,14,false)*HLOOKUP($K1394,'Type Chart'!$C$2:$U$20,14,false)</f>
        <v>2</v>
      </c>
      <c r="AH1394" s="960">
        <f t="array" ref="AH1394">HLOOKUP($J1394,'Type Chart'!$C$2:$T$20,15,false)*HLOOKUP($K1394,'Type Chart'!$C$2:$U$20,15,false)</f>
        <v>1</v>
      </c>
      <c r="AI1394" s="960">
        <f t="array" ref="AI1394">HLOOKUP($J1394,'Type Chart'!$C$2:$T$20,16,false)*HLOOKUP($K1394,'Type Chart'!$C$2:$U$20,16,false)</f>
        <v>0.5</v>
      </c>
      <c r="AJ1394" s="960">
        <f t="array" ref="AJ1394">HLOOKUP($J1394,'Type Chart'!$C$2:$T$20,17,false)*HLOOKUP($K1394,'Type Chart'!$C$2:$U$20,17,false)</f>
        <v>1</v>
      </c>
      <c r="AK1394" s="960">
        <f t="array" ref="AK1394">HLOOKUP($J1394,'Type Chart'!$C$2:$T$20,18,false)*HLOOKUP($K1394,'Type Chart'!$C$2:$U$20,18,false)</f>
        <v>1</v>
      </c>
      <c r="AL1394" s="960">
        <f t="array" ref="AL1394">HLOOKUP($J1394,'Type Chart'!$C$2:$T$20,19,false)*HLOOKUP($K1394,'Type Chart'!$C$2:$U$20,19,false)</f>
        <v>1</v>
      </c>
      <c r="AM1394" s="964" t="s">
        <v>760</v>
      </c>
      <c r="AN1394" s="965" t="s">
        <v>1409</v>
      </c>
      <c r="AO1394" s="966" t="s">
        <v>1410</v>
      </c>
      <c r="AP1394" s="936"/>
      <c r="AQ1394" s="1245"/>
      <c r="AR1394" s="1245"/>
      <c r="AS1394" s="936"/>
    </row>
    <row r="1395" ht="15.75" customHeight="1">
      <c r="A1395" s="1099"/>
      <c r="B1395" s="948" t="s">
        <v>1411</v>
      </c>
      <c r="C1395" s="1197" t="s">
        <v>1412</v>
      </c>
      <c r="D1395" s="1197" t="s">
        <v>1412</v>
      </c>
      <c r="E1395" s="1147" t="s">
        <v>1412</v>
      </c>
      <c r="F1395" s="940"/>
      <c r="G1395" s="953"/>
      <c r="H1395" s="969"/>
      <c r="I1395" s="998" t="s">
        <v>4494</v>
      </c>
      <c r="J1395" s="1056" t="s">
        <v>81</v>
      </c>
      <c r="K1395" s="1205" t="s">
        <v>345</v>
      </c>
      <c r="L1395" s="959">
        <v>90.0</v>
      </c>
      <c r="M1395" s="960">
        <v>70.0</v>
      </c>
      <c r="N1395" s="960">
        <v>80.0</v>
      </c>
      <c r="O1395" s="960">
        <v>70.0</v>
      </c>
      <c r="P1395" s="960">
        <v>95.0</v>
      </c>
      <c r="Q1395" s="960">
        <v>70.0</v>
      </c>
      <c r="R1395" s="960">
        <v>176.0</v>
      </c>
      <c r="S1395" s="960">
        <v>239.0</v>
      </c>
      <c r="T1395" s="960">
        <v>262.0</v>
      </c>
      <c r="U1395" s="960">
        <f t="array" ref="U1395">HLOOKUP($J1395,'Type Chart'!$C$2:$T$20,2,false)*HLOOKUP($K1395,'Type Chart'!$C$2:$U$20,2,false)</f>
        <v>1</v>
      </c>
      <c r="V1395" s="960">
        <f t="array" ref="V1395">HLOOKUP($J1395,'Type Chart'!$C$2:$T$20,3,false)*HLOOKUP($K1395,'Type Chart'!$C$2:$U$20,3,false)</f>
        <v>2</v>
      </c>
      <c r="W1395" s="960">
        <f t="array" ref="W1395">HLOOKUP($J1395,'Type Chart'!$C$2:$T$20,4,false)*HLOOKUP($K1395,'Type Chart'!$C$2:$U$20,4,false)</f>
        <v>1</v>
      </c>
      <c r="X1395" s="960">
        <f t="array" ref="X1395">HLOOKUP($J1395,'Type Chart'!$C$2:$T$20,5,false)*HLOOKUP($K1395,'Type Chart'!$C$2:$U$20,5,false)</f>
        <v>1</v>
      </c>
      <c r="Y1395" s="960">
        <f t="array" ref="Y1395">HLOOKUP($J1395,'Type Chart'!$C$2:$T$20,6,false)*HLOOKUP($K1395,'Type Chart'!$C$2:$U$20,6,false)</f>
        <v>1</v>
      </c>
      <c r="Z1395" s="960">
        <f t="array" ref="Z1395">HLOOKUP($J1395,'Type Chart'!$C$2:$T$20,7,false)*HLOOKUP($K1395,'Type Chart'!$C$2:$U$20,7,false)</f>
        <v>2</v>
      </c>
      <c r="AA1395" s="960">
        <f t="array" ref="AA1395">HLOOKUP($J1395,'Type Chart'!$C$2:$T$20,8,false)*HLOOKUP($K1395,'Type Chart'!$C$2:$U$20,8,false)</f>
        <v>1</v>
      </c>
      <c r="AB1395" s="960">
        <f t="array" ref="AB1395">HLOOKUP($J1395,'Type Chart'!$C$2:$T$20,9,false)*HLOOKUP($K1395,'Type Chart'!$C$2:$U$20,9,false)</f>
        <v>1</v>
      </c>
      <c r="AC1395" s="960">
        <f t="array" ref="AC1395">HLOOKUP($J1395,'Type Chart'!$C$2:$T$20,10,false)*HLOOKUP($K1395,'Type Chart'!$C$2:$U$20,10,false)</f>
        <v>1</v>
      </c>
      <c r="AD1395" s="960">
        <f t="array" ref="AD1395">HLOOKUP($J1395,'Type Chart'!$C$2:$T$20,11,false)*HLOOKUP($K1395,'Type Chart'!$C$2:$U$20,11,false)</f>
        <v>1</v>
      </c>
      <c r="AE1395" s="960">
        <f t="array" ref="AE1395">HLOOKUP($J1395,'Type Chart'!$C$2:$T$20,12,false)*HLOOKUP($K1395,'Type Chart'!$C$2:$U$20,12,false)</f>
        <v>0.5</v>
      </c>
      <c r="AF1395" s="960">
        <f t="array" ref="AF1395">HLOOKUP($J1395,'Type Chart'!$C$2:$T$20,13,false)*HLOOKUP($K1395,'Type Chart'!$C$2:$U$20,13,false)</f>
        <v>2</v>
      </c>
      <c r="AG1395" s="960">
        <f t="array" ref="AG1395">HLOOKUP($J1395,'Type Chart'!$C$2:$T$20,14,false)*HLOOKUP($K1395,'Type Chart'!$C$2:$U$20,14,false)</f>
        <v>2</v>
      </c>
      <c r="AH1395" s="960">
        <f t="array" ref="AH1395">HLOOKUP($J1395,'Type Chart'!$C$2:$T$20,15,false)*HLOOKUP($K1395,'Type Chart'!$C$2:$U$20,15,false)</f>
        <v>1</v>
      </c>
      <c r="AI1395" s="960">
        <f t="array" ref="AI1395">HLOOKUP($J1395,'Type Chart'!$C$2:$T$20,16,false)*HLOOKUP($K1395,'Type Chart'!$C$2:$U$20,16,false)</f>
        <v>0.25</v>
      </c>
      <c r="AJ1395" s="960">
        <f t="array" ref="AJ1395">HLOOKUP($J1395,'Type Chart'!$C$2:$T$20,17,false)*HLOOKUP($K1395,'Type Chart'!$C$2:$U$20,17,false)</f>
        <v>1</v>
      </c>
      <c r="AK1395" s="960">
        <f t="array" ref="AK1395">HLOOKUP($J1395,'Type Chart'!$C$2:$T$20,18,false)*HLOOKUP($K1395,'Type Chart'!$C$2:$U$20,18,false)</f>
        <v>1</v>
      </c>
      <c r="AL1395" s="960">
        <f t="array" ref="AL1395">HLOOKUP($J1395,'Type Chart'!$C$2:$T$20,19,false)*HLOOKUP($K1395,'Type Chart'!$C$2:$U$20,19,false)</f>
        <v>1</v>
      </c>
      <c r="AM1395" s="964" t="s">
        <v>760</v>
      </c>
      <c r="AN1395" s="965" t="s">
        <v>1409</v>
      </c>
      <c r="AO1395" s="966" t="s">
        <v>1410</v>
      </c>
      <c r="AP1395" s="936"/>
      <c r="AQ1395" s="1245"/>
      <c r="AR1395" s="1245"/>
      <c r="AS1395" s="936"/>
    </row>
    <row r="1396" ht="15.75" customHeight="1">
      <c r="A1396" s="1099"/>
      <c r="B1396" s="948" t="s">
        <v>1413</v>
      </c>
      <c r="C1396" s="1197" t="s">
        <v>1414</v>
      </c>
      <c r="D1396" s="1197" t="s">
        <v>1414</v>
      </c>
      <c r="E1396" s="1147" t="s">
        <v>1414</v>
      </c>
      <c r="F1396" s="940"/>
      <c r="G1396" s="953"/>
      <c r="H1396" s="969"/>
      <c r="I1396" s="998" t="s">
        <v>4495</v>
      </c>
      <c r="J1396" s="1209" t="s">
        <v>178</v>
      </c>
      <c r="K1396" s="1199" t="s">
        <v>216</v>
      </c>
      <c r="L1396" s="1200">
        <v>80.0</v>
      </c>
      <c r="M1396" s="1201">
        <v>80.0</v>
      </c>
      <c r="N1396" s="1201">
        <v>50.0</v>
      </c>
      <c r="O1396" s="1201">
        <v>40.0</v>
      </c>
      <c r="P1396" s="1201">
        <v>50.0</v>
      </c>
      <c r="Q1396" s="1201">
        <v>25.0</v>
      </c>
      <c r="R1396" s="1201">
        <v>86.0</v>
      </c>
      <c r="S1396" s="1201">
        <v>149.0</v>
      </c>
      <c r="T1396" s="1201">
        <v>163.0</v>
      </c>
      <c r="U1396" s="960">
        <f t="array" ref="U1396">HLOOKUP($J1396,'Type Chart'!$C$2:$T$20,2,false)*HLOOKUP($K1396,'Type Chart'!$C$2:$U$20,2,false)</f>
        <v>1</v>
      </c>
      <c r="V1396" s="960">
        <f t="array" ref="V1396">HLOOKUP($J1396,'Type Chart'!$C$2:$T$20,3,false)*HLOOKUP($K1396,'Type Chart'!$C$2:$U$20,3,false)</f>
        <v>0.5</v>
      </c>
      <c r="W1396" s="960">
        <f t="array" ref="W1396">HLOOKUP($J1396,'Type Chart'!$C$2:$T$20,4,false)*HLOOKUP($K1396,'Type Chart'!$C$2:$U$20,4,false)</f>
        <v>1</v>
      </c>
      <c r="X1396" s="960">
        <f t="array" ref="X1396">HLOOKUP($J1396,'Type Chart'!$C$2:$T$20,5,false)*HLOOKUP($K1396,'Type Chart'!$C$2:$U$20,5,false)</f>
        <v>0.5</v>
      </c>
      <c r="Y1396" s="960">
        <f t="array" ref="Y1396">HLOOKUP($J1396,'Type Chart'!$C$2:$T$20,6,false)*HLOOKUP($K1396,'Type Chart'!$C$2:$U$20,6,false)</f>
        <v>2</v>
      </c>
      <c r="Z1396" s="960">
        <f t="array" ref="Z1396">HLOOKUP($J1396,'Type Chart'!$C$2:$T$20,7,false)*HLOOKUP($K1396,'Type Chart'!$C$2:$U$20,7,false)</f>
        <v>1</v>
      </c>
      <c r="AA1396" s="960">
        <f t="array" ref="AA1396">HLOOKUP($J1396,'Type Chart'!$C$2:$T$20,8,false)*HLOOKUP($K1396,'Type Chart'!$C$2:$U$20,8,false)</f>
        <v>0.5</v>
      </c>
      <c r="AB1396" s="960">
        <f t="array" ref="AB1396">HLOOKUP($J1396,'Type Chart'!$C$2:$T$20,9,false)*HLOOKUP($K1396,'Type Chart'!$C$2:$U$20,9,false)</f>
        <v>1</v>
      </c>
      <c r="AC1396" s="960">
        <f t="array" ref="AC1396">HLOOKUP($J1396,'Type Chart'!$C$2:$T$20,10,false)*HLOOKUP($K1396,'Type Chart'!$C$2:$U$20,10,false)</f>
        <v>1</v>
      </c>
      <c r="AD1396" s="960">
        <f t="array" ref="AD1396">HLOOKUP($J1396,'Type Chart'!$C$2:$T$20,11,false)*HLOOKUP($K1396,'Type Chart'!$C$2:$U$20,11,false)</f>
        <v>1</v>
      </c>
      <c r="AE1396" s="960">
        <f t="array" ref="AE1396">HLOOKUP($J1396,'Type Chart'!$C$2:$T$20,12,false)*HLOOKUP($K1396,'Type Chart'!$C$2:$U$20,12,false)</f>
        <v>1</v>
      </c>
      <c r="AF1396" s="960">
        <f t="array" ref="AF1396">HLOOKUP($J1396,'Type Chart'!$C$2:$T$20,13,false)*HLOOKUP($K1396,'Type Chart'!$C$2:$U$20,13,false)</f>
        <v>0.5</v>
      </c>
      <c r="AG1396" s="960">
        <f t="array" ref="AG1396">HLOOKUP($J1396,'Type Chart'!$C$2:$T$20,14,false)*HLOOKUP($K1396,'Type Chart'!$C$2:$U$20,14,false)</f>
        <v>1</v>
      </c>
      <c r="AH1396" s="960">
        <f t="array" ref="AH1396">HLOOKUP($J1396,'Type Chart'!$C$2:$T$20,15,false)*HLOOKUP($K1396,'Type Chart'!$C$2:$U$20,15,false)</f>
        <v>2</v>
      </c>
      <c r="AI1396" s="960">
        <f t="array" ref="AI1396">HLOOKUP($J1396,'Type Chart'!$C$2:$T$20,16,false)*HLOOKUP($K1396,'Type Chart'!$C$2:$U$20,16,false)</f>
        <v>1</v>
      </c>
      <c r="AJ1396" s="960">
        <f t="array" ref="AJ1396">HLOOKUP($J1396,'Type Chart'!$C$2:$T$20,17,false)*HLOOKUP($K1396,'Type Chart'!$C$2:$U$20,17,false)</f>
        <v>1</v>
      </c>
      <c r="AK1396" s="960">
        <f t="array" ref="AK1396">HLOOKUP($J1396,'Type Chart'!$C$2:$T$20,18,false)*HLOOKUP($K1396,'Type Chart'!$C$2:$U$20,18,false)</f>
        <v>1</v>
      </c>
      <c r="AL1396" s="960">
        <f t="array" ref="AL1396">HLOOKUP($J1396,'Type Chart'!$C$2:$T$20,19,false)*HLOOKUP($K1396,'Type Chart'!$C$2:$U$20,19,false)</f>
        <v>0.5</v>
      </c>
      <c r="AM1396" s="1145" t="s">
        <v>1203</v>
      </c>
      <c r="AN1396" s="1202" t="s">
        <v>1416</v>
      </c>
      <c r="AO1396" s="1146" t="s">
        <v>1417</v>
      </c>
      <c r="AP1396" s="936"/>
      <c r="AQ1396" s="1245"/>
      <c r="AR1396" s="1245"/>
      <c r="AS1396" s="936"/>
    </row>
    <row r="1397" ht="15.75" customHeight="1">
      <c r="A1397" s="1099"/>
      <c r="B1397" s="948" t="s">
        <v>1418</v>
      </c>
      <c r="C1397" s="1197" t="s">
        <v>1419</v>
      </c>
      <c r="D1397" s="1197" t="s">
        <v>1419</v>
      </c>
      <c r="E1397" s="1147" t="s">
        <v>1420</v>
      </c>
      <c r="F1397" s="940"/>
      <c r="G1397" s="953"/>
      <c r="H1397" s="969"/>
      <c r="I1397" s="998" t="s">
        <v>4496</v>
      </c>
      <c r="J1397" s="958" t="s">
        <v>178</v>
      </c>
      <c r="K1397" s="1195" t="s">
        <v>193</v>
      </c>
      <c r="L1397" s="959">
        <v>80.0</v>
      </c>
      <c r="M1397" s="960">
        <v>80.0</v>
      </c>
      <c r="N1397" s="960">
        <v>50.0</v>
      </c>
      <c r="O1397" s="960">
        <v>40.0</v>
      </c>
      <c r="P1397" s="960">
        <v>50.0</v>
      </c>
      <c r="Q1397" s="960">
        <v>25.0</v>
      </c>
      <c r="R1397" s="960">
        <v>86.0</v>
      </c>
      <c r="S1397" s="960">
        <v>149.0</v>
      </c>
      <c r="T1397" s="960">
        <v>163.0</v>
      </c>
      <c r="U1397" s="960">
        <f t="array" ref="U1397">HLOOKUP($J1397,'Type Chart'!$C$2:$T$20,2,false)*HLOOKUP($K1397,'Type Chart'!$C$2:$U$20,2,false)</f>
        <v>1</v>
      </c>
      <c r="V1397" s="960">
        <f t="array" ref="V1397">HLOOKUP($J1397,'Type Chart'!$C$2:$T$20,3,false)*HLOOKUP($K1397,'Type Chart'!$C$2:$U$20,3,false)</f>
        <v>1</v>
      </c>
      <c r="W1397" s="960">
        <f t="array" ref="W1397">HLOOKUP($J1397,'Type Chart'!$C$2:$T$20,4,false)*HLOOKUP($K1397,'Type Chart'!$C$2:$U$20,4,false)</f>
        <v>1</v>
      </c>
      <c r="X1397" s="960">
        <f t="array" ref="X1397">HLOOKUP($J1397,'Type Chart'!$C$2:$T$20,5,false)*HLOOKUP($K1397,'Type Chart'!$C$2:$U$20,5,false)</f>
        <v>0.5</v>
      </c>
      <c r="Y1397" s="960">
        <f t="array" ref="Y1397">HLOOKUP($J1397,'Type Chart'!$C$2:$T$20,6,false)*HLOOKUP($K1397,'Type Chart'!$C$2:$U$20,6,false)</f>
        <v>2</v>
      </c>
      <c r="Z1397" s="960">
        <f t="array" ref="Z1397">HLOOKUP($J1397,'Type Chart'!$C$2:$T$20,7,false)*HLOOKUP($K1397,'Type Chart'!$C$2:$U$20,7,false)</f>
        <v>1</v>
      </c>
      <c r="AA1397" s="960">
        <f t="array" ref="AA1397">HLOOKUP($J1397,'Type Chart'!$C$2:$T$20,8,false)*HLOOKUP($K1397,'Type Chart'!$C$2:$U$20,8,false)</f>
        <v>1</v>
      </c>
      <c r="AB1397" s="960">
        <f t="array" ref="AB1397">HLOOKUP($J1397,'Type Chart'!$C$2:$T$20,9,false)*HLOOKUP($K1397,'Type Chart'!$C$2:$U$20,9,false)</f>
        <v>0.5</v>
      </c>
      <c r="AC1397" s="960">
        <f t="array" ref="AC1397">HLOOKUP($J1397,'Type Chart'!$C$2:$T$20,10,false)*HLOOKUP($K1397,'Type Chart'!$C$2:$U$20,10,false)</f>
        <v>1</v>
      </c>
      <c r="AD1397" s="960">
        <f t="array" ref="AD1397">HLOOKUP($J1397,'Type Chart'!$C$2:$T$20,11,false)*HLOOKUP($K1397,'Type Chart'!$C$2:$U$20,11,false)</f>
        <v>1</v>
      </c>
      <c r="AE1397" s="960">
        <f t="array" ref="AE1397">HLOOKUP($J1397,'Type Chart'!$C$2:$T$20,12,false)*HLOOKUP($K1397,'Type Chart'!$C$2:$U$20,12,false)</f>
        <v>1</v>
      </c>
      <c r="AF1397" s="960">
        <f t="array" ref="AF1397">HLOOKUP($J1397,'Type Chart'!$C$2:$T$20,13,false)*HLOOKUP($K1397,'Type Chart'!$C$2:$U$20,13,false)</f>
        <v>0.5</v>
      </c>
      <c r="AG1397" s="960">
        <f t="array" ref="AG1397">HLOOKUP($J1397,'Type Chart'!$C$2:$T$20,14,false)*HLOOKUP($K1397,'Type Chart'!$C$2:$U$20,14,false)</f>
        <v>1</v>
      </c>
      <c r="AH1397" s="960">
        <f t="array" ref="AH1397">HLOOKUP($J1397,'Type Chart'!$C$2:$T$20,15,false)*HLOOKUP($K1397,'Type Chart'!$C$2:$U$20,15,false)</f>
        <v>0</v>
      </c>
      <c r="AI1397" s="960">
        <f t="array" ref="AI1397">HLOOKUP($J1397,'Type Chart'!$C$2:$T$20,16,false)*HLOOKUP($K1397,'Type Chart'!$C$2:$U$20,16,false)</f>
        <v>1</v>
      </c>
      <c r="AJ1397" s="960">
        <f t="array" ref="AJ1397">HLOOKUP($J1397,'Type Chart'!$C$2:$T$20,17,false)*HLOOKUP($K1397,'Type Chart'!$C$2:$U$20,17,false)</f>
        <v>1</v>
      </c>
      <c r="AK1397" s="960">
        <f t="array" ref="AK1397">HLOOKUP($J1397,'Type Chart'!$C$2:$T$20,18,false)*HLOOKUP($K1397,'Type Chart'!$C$2:$U$20,18,false)</f>
        <v>0.5</v>
      </c>
      <c r="AL1397" s="960">
        <f t="array" ref="AL1397">HLOOKUP($J1397,'Type Chart'!$C$2:$T$20,19,false)*HLOOKUP($K1397,'Type Chart'!$C$2:$U$20,19,false)</f>
        <v>1</v>
      </c>
      <c r="AM1397" s="964" t="s">
        <v>1417</v>
      </c>
      <c r="AN1397" s="965" t="s">
        <v>1044</v>
      </c>
      <c r="AO1397" s="966" t="s">
        <v>1421</v>
      </c>
      <c r="AP1397" s="936"/>
      <c r="AQ1397" s="1245"/>
      <c r="AR1397" s="1245"/>
      <c r="AS1397" s="936"/>
    </row>
    <row r="1398" ht="15.75" customHeight="1">
      <c r="A1398" s="1099"/>
      <c r="B1398" s="948" t="s">
        <v>1422</v>
      </c>
      <c r="C1398" s="1197" t="s">
        <v>1423</v>
      </c>
      <c r="D1398" s="1197" t="s">
        <v>1423</v>
      </c>
      <c r="E1398" s="1147" t="s">
        <v>1423</v>
      </c>
      <c r="F1398" s="940"/>
      <c r="G1398" s="953"/>
      <c r="H1398" s="969"/>
      <c r="I1398" s="998" t="s">
        <v>4497</v>
      </c>
      <c r="J1398" s="958" t="s">
        <v>178</v>
      </c>
      <c r="K1398" s="984" t="s">
        <v>216</v>
      </c>
      <c r="L1398" s="959">
        <v>105.0</v>
      </c>
      <c r="M1398" s="960">
        <v>105.0</v>
      </c>
      <c r="N1398" s="960">
        <v>75.0</v>
      </c>
      <c r="O1398" s="960">
        <v>65.0</v>
      </c>
      <c r="P1398" s="960">
        <v>100.0</v>
      </c>
      <c r="Q1398" s="960">
        <v>50.0</v>
      </c>
      <c r="R1398" s="960">
        <v>136.0</v>
      </c>
      <c r="S1398" s="960">
        <v>199.0</v>
      </c>
      <c r="T1398" s="960">
        <v>218.0</v>
      </c>
      <c r="U1398" s="960">
        <f t="array" ref="U1398">HLOOKUP($J1398,'Type Chart'!$C$2:$T$20,2,false)*HLOOKUP($K1398,'Type Chart'!$C$2:$U$20,2,false)</f>
        <v>1</v>
      </c>
      <c r="V1398" s="960">
        <f t="array" ref="V1398">HLOOKUP($J1398,'Type Chart'!$C$2:$T$20,3,false)*HLOOKUP($K1398,'Type Chart'!$C$2:$U$20,3,false)</f>
        <v>0.5</v>
      </c>
      <c r="W1398" s="960">
        <f t="array" ref="W1398">HLOOKUP($J1398,'Type Chart'!$C$2:$T$20,4,false)*HLOOKUP($K1398,'Type Chart'!$C$2:$U$20,4,false)</f>
        <v>1</v>
      </c>
      <c r="X1398" s="960">
        <f t="array" ref="X1398">HLOOKUP($J1398,'Type Chart'!$C$2:$T$20,5,false)*HLOOKUP($K1398,'Type Chart'!$C$2:$U$20,5,false)</f>
        <v>0.5</v>
      </c>
      <c r="Y1398" s="960">
        <f t="array" ref="Y1398">HLOOKUP($J1398,'Type Chart'!$C$2:$T$20,6,false)*HLOOKUP($K1398,'Type Chart'!$C$2:$U$20,6,false)</f>
        <v>2</v>
      </c>
      <c r="Z1398" s="960">
        <f t="array" ref="Z1398">HLOOKUP($J1398,'Type Chart'!$C$2:$T$20,7,false)*HLOOKUP($K1398,'Type Chart'!$C$2:$U$20,7,false)</f>
        <v>1</v>
      </c>
      <c r="AA1398" s="960">
        <f t="array" ref="AA1398">HLOOKUP($J1398,'Type Chart'!$C$2:$T$20,8,false)*HLOOKUP($K1398,'Type Chart'!$C$2:$U$20,8,false)</f>
        <v>0.5</v>
      </c>
      <c r="AB1398" s="960">
        <f t="array" ref="AB1398">HLOOKUP($J1398,'Type Chart'!$C$2:$T$20,9,false)*HLOOKUP($K1398,'Type Chart'!$C$2:$U$20,9,false)</f>
        <v>1</v>
      </c>
      <c r="AC1398" s="960">
        <f t="array" ref="AC1398">HLOOKUP($J1398,'Type Chart'!$C$2:$T$20,10,false)*HLOOKUP($K1398,'Type Chart'!$C$2:$U$20,10,false)</f>
        <v>1</v>
      </c>
      <c r="AD1398" s="960">
        <f t="array" ref="AD1398">HLOOKUP($J1398,'Type Chart'!$C$2:$T$20,11,false)*HLOOKUP($K1398,'Type Chart'!$C$2:$U$20,11,false)</f>
        <v>1</v>
      </c>
      <c r="AE1398" s="960">
        <f t="array" ref="AE1398">HLOOKUP($J1398,'Type Chart'!$C$2:$T$20,12,false)*HLOOKUP($K1398,'Type Chart'!$C$2:$U$20,12,false)</f>
        <v>1</v>
      </c>
      <c r="AF1398" s="960">
        <f t="array" ref="AF1398">HLOOKUP($J1398,'Type Chart'!$C$2:$T$20,13,false)*HLOOKUP($K1398,'Type Chart'!$C$2:$U$20,13,false)</f>
        <v>0.5</v>
      </c>
      <c r="AG1398" s="960">
        <f t="array" ref="AG1398">HLOOKUP($J1398,'Type Chart'!$C$2:$T$20,14,false)*HLOOKUP($K1398,'Type Chart'!$C$2:$U$20,14,false)</f>
        <v>1</v>
      </c>
      <c r="AH1398" s="960">
        <f t="array" ref="AH1398">HLOOKUP($J1398,'Type Chart'!$C$2:$T$20,15,false)*HLOOKUP($K1398,'Type Chart'!$C$2:$U$20,15,false)</f>
        <v>2</v>
      </c>
      <c r="AI1398" s="960">
        <f t="array" ref="AI1398">HLOOKUP($J1398,'Type Chart'!$C$2:$T$20,16,false)*HLOOKUP($K1398,'Type Chart'!$C$2:$U$20,16,false)</f>
        <v>1</v>
      </c>
      <c r="AJ1398" s="960">
        <f t="array" ref="AJ1398">HLOOKUP($J1398,'Type Chart'!$C$2:$T$20,17,false)*HLOOKUP($K1398,'Type Chart'!$C$2:$U$20,17,false)</f>
        <v>1</v>
      </c>
      <c r="AK1398" s="960">
        <f t="array" ref="AK1398">HLOOKUP($J1398,'Type Chart'!$C$2:$T$20,18,false)*HLOOKUP($K1398,'Type Chart'!$C$2:$U$20,18,false)</f>
        <v>1</v>
      </c>
      <c r="AL1398" s="960">
        <f t="array" ref="AL1398">HLOOKUP($J1398,'Type Chart'!$C$2:$T$20,19,false)*HLOOKUP($K1398,'Type Chart'!$C$2:$U$20,19,false)</f>
        <v>0.5</v>
      </c>
      <c r="AM1398" s="964" t="s">
        <v>1203</v>
      </c>
      <c r="AN1398" s="965" t="s">
        <v>1416</v>
      </c>
      <c r="AO1398" s="966" t="s">
        <v>1417</v>
      </c>
      <c r="AP1398" s="936"/>
      <c r="AQ1398" s="1245"/>
      <c r="AR1398" s="1245"/>
      <c r="AS1398" s="936"/>
    </row>
    <row r="1399" ht="15.75" customHeight="1">
      <c r="A1399" s="1099"/>
      <c r="B1399" s="948" t="s">
        <v>1424</v>
      </c>
      <c r="C1399" s="1197" t="s">
        <v>1425</v>
      </c>
      <c r="D1399" s="1197" t="s">
        <v>1425</v>
      </c>
      <c r="E1399" s="1147" t="s">
        <v>1426</v>
      </c>
      <c r="F1399" s="940"/>
      <c r="G1399" s="953"/>
      <c r="H1399" s="969"/>
      <c r="I1399" s="998" t="s">
        <v>4498</v>
      </c>
      <c r="J1399" s="958" t="s">
        <v>178</v>
      </c>
      <c r="K1399" s="1195" t="s">
        <v>193</v>
      </c>
      <c r="L1399" s="959">
        <v>105.0</v>
      </c>
      <c r="M1399" s="960">
        <v>105.0</v>
      </c>
      <c r="N1399" s="960">
        <v>75.0</v>
      </c>
      <c r="O1399" s="960">
        <v>65.0</v>
      </c>
      <c r="P1399" s="960">
        <v>100.0</v>
      </c>
      <c r="Q1399" s="960">
        <v>50.0</v>
      </c>
      <c r="R1399" s="960">
        <v>136.0</v>
      </c>
      <c r="S1399" s="960">
        <v>199.0</v>
      </c>
      <c r="T1399" s="960">
        <v>218.0</v>
      </c>
      <c r="U1399" s="960">
        <f t="array" ref="U1399">HLOOKUP($J1399,'Type Chart'!$C$2:$T$20,2,false)*HLOOKUP($K1399,'Type Chart'!$C$2:$U$20,2,false)</f>
        <v>1</v>
      </c>
      <c r="V1399" s="960">
        <f t="array" ref="V1399">HLOOKUP($J1399,'Type Chart'!$C$2:$T$20,3,false)*HLOOKUP($K1399,'Type Chart'!$C$2:$U$20,3,false)</f>
        <v>1</v>
      </c>
      <c r="W1399" s="960">
        <f t="array" ref="W1399">HLOOKUP($J1399,'Type Chart'!$C$2:$T$20,4,false)*HLOOKUP($K1399,'Type Chart'!$C$2:$U$20,4,false)</f>
        <v>1</v>
      </c>
      <c r="X1399" s="960">
        <f t="array" ref="X1399">HLOOKUP($J1399,'Type Chart'!$C$2:$T$20,5,false)*HLOOKUP($K1399,'Type Chart'!$C$2:$U$20,5,false)</f>
        <v>0.5</v>
      </c>
      <c r="Y1399" s="960">
        <f t="array" ref="Y1399">HLOOKUP($J1399,'Type Chart'!$C$2:$T$20,6,false)*HLOOKUP($K1399,'Type Chart'!$C$2:$U$20,6,false)</f>
        <v>2</v>
      </c>
      <c r="Z1399" s="960">
        <f t="array" ref="Z1399">HLOOKUP($J1399,'Type Chart'!$C$2:$T$20,7,false)*HLOOKUP($K1399,'Type Chart'!$C$2:$U$20,7,false)</f>
        <v>1</v>
      </c>
      <c r="AA1399" s="960">
        <f t="array" ref="AA1399">HLOOKUP($J1399,'Type Chart'!$C$2:$T$20,8,false)*HLOOKUP($K1399,'Type Chart'!$C$2:$U$20,8,false)</f>
        <v>1</v>
      </c>
      <c r="AB1399" s="960">
        <f t="array" ref="AB1399">HLOOKUP($J1399,'Type Chart'!$C$2:$T$20,9,false)*HLOOKUP($K1399,'Type Chart'!$C$2:$U$20,9,false)</f>
        <v>0.5</v>
      </c>
      <c r="AC1399" s="960">
        <f t="array" ref="AC1399">HLOOKUP($J1399,'Type Chart'!$C$2:$T$20,10,false)*HLOOKUP($K1399,'Type Chart'!$C$2:$U$20,10,false)</f>
        <v>1</v>
      </c>
      <c r="AD1399" s="960">
        <f t="array" ref="AD1399">HLOOKUP($J1399,'Type Chart'!$C$2:$T$20,11,false)*HLOOKUP($K1399,'Type Chart'!$C$2:$U$20,11,false)</f>
        <v>1</v>
      </c>
      <c r="AE1399" s="960">
        <f t="array" ref="AE1399">HLOOKUP($J1399,'Type Chart'!$C$2:$T$20,12,false)*HLOOKUP($K1399,'Type Chart'!$C$2:$U$20,12,false)</f>
        <v>1</v>
      </c>
      <c r="AF1399" s="960">
        <f t="array" ref="AF1399">HLOOKUP($J1399,'Type Chart'!$C$2:$T$20,13,false)*HLOOKUP($K1399,'Type Chart'!$C$2:$U$20,13,false)</f>
        <v>0.5</v>
      </c>
      <c r="AG1399" s="960">
        <f t="array" ref="AG1399">HLOOKUP($J1399,'Type Chart'!$C$2:$T$20,14,false)*HLOOKUP($K1399,'Type Chart'!$C$2:$U$20,14,false)</f>
        <v>1</v>
      </c>
      <c r="AH1399" s="960">
        <f t="array" ref="AH1399">HLOOKUP($J1399,'Type Chart'!$C$2:$T$20,15,false)*HLOOKUP($K1399,'Type Chart'!$C$2:$U$20,15,false)</f>
        <v>0</v>
      </c>
      <c r="AI1399" s="960">
        <f t="array" ref="AI1399">HLOOKUP($J1399,'Type Chart'!$C$2:$T$20,16,false)*HLOOKUP($K1399,'Type Chart'!$C$2:$U$20,16,false)</f>
        <v>1</v>
      </c>
      <c r="AJ1399" s="960">
        <f t="array" ref="AJ1399">HLOOKUP($J1399,'Type Chart'!$C$2:$T$20,17,false)*HLOOKUP($K1399,'Type Chart'!$C$2:$U$20,17,false)</f>
        <v>1</v>
      </c>
      <c r="AK1399" s="960">
        <f t="array" ref="AK1399">HLOOKUP($J1399,'Type Chart'!$C$2:$T$20,18,false)*HLOOKUP($K1399,'Type Chart'!$C$2:$U$20,18,false)</f>
        <v>0.5</v>
      </c>
      <c r="AL1399" s="960">
        <f t="array" ref="AL1399">HLOOKUP($J1399,'Type Chart'!$C$2:$T$20,19,false)*HLOOKUP($K1399,'Type Chart'!$C$2:$U$20,19,false)</f>
        <v>1</v>
      </c>
      <c r="AM1399" s="964" t="s">
        <v>1417</v>
      </c>
      <c r="AN1399" s="965" t="s">
        <v>1044</v>
      </c>
      <c r="AO1399" s="966" t="s">
        <v>1421</v>
      </c>
      <c r="AP1399" s="936"/>
      <c r="AQ1399" s="1245"/>
      <c r="AR1399" s="1245"/>
      <c r="AS1399" s="936"/>
    </row>
    <row r="1400" ht="15.75" customHeight="1">
      <c r="A1400" s="1099"/>
      <c r="B1400" s="948" t="s">
        <v>1427</v>
      </c>
      <c r="C1400" s="1197" t="s">
        <v>1428</v>
      </c>
      <c r="D1400" s="1197" t="s">
        <v>1428</v>
      </c>
      <c r="E1400" s="1147" t="s">
        <v>1428</v>
      </c>
      <c r="F1400" s="940"/>
      <c r="G1400" s="953"/>
      <c r="H1400" s="969"/>
      <c r="I1400" s="998" t="s">
        <v>4499</v>
      </c>
      <c r="J1400" s="1056" t="s">
        <v>81</v>
      </c>
      <c r="K1400" s="984" t="s">
        <v>216</v>
      </c>
      <c r="L1400" s="959">
        <v>30.0</v>
      </c>
      <c r="M1400" s="960">
        <v>65.0</v>
      </c>
      <c r="N1400" s="960">
        <v>100.0</v>
      </c>
      <c r="O1400" s="960">
        <v>45.0</v>
      </c>
      <c r="P1400" s="960">
        <v>25.0</v>
      </c>
      <c r="Q1400" s="960">
        <v>40.0</v>
      </c>
      <c r="R1400" s="960">
        <v>116.0</v>
      </c>
      <c r="S1400" s="960">
        <v>179.0</v>
      </c>
      <c r="T1400" s="960">
        <v>196.0</v>
      </c>
      <c r="U1400" s="960">
        <f t="array" ref="U1400">HLOOKUP($J1400,'Type Chart'!$C$2:$T$20,2,false)*HLOOKUP($K1400,'Type Chart'!$C$2:$U$20,2,false)</f>
        <v>1</v>
      </c>
      <c r="V1400" s="960">
        <f t="array" ref="V1400">HLOOKUP($J1400,'Type Chart'!$C$2:$T$20,3,false)*HLOOKUP($K1400,'Type Chart'!$C$2:$U$20,3,false)</f>
        <v>1</v>
      </c>
      <c r="W1400" s="960">
        <f t="array" ref="W1400">HLOOKUP($J1400,'Type Chart'!$C$2:$T$20,4,false)*HLOOKUP($K1400,'Type Chart'!$C$2:$U$20,4,false)</f>
        <v>1</v>
      </c>
      <c r="X1400" s="960">
        <f t="array" ref="X1400">HLOOKUP($J1400,'Type Chart'!$C$2:$T$20,5,false)*HLOOKUP($K1400,'Type Chart'!$C$2:$U$20,5,false)</f>
        <v>1</v>
      </c>
      <c r="Y1400" s="960">
        <f t="array" ref="Y1400">HLOOKUP($J1400,'Type Chart'!$C$2:$T$20,6,false)*HLOOKUP($K1400,'Type Chart'!$C$2:$U$20,6,false)</f>
        <v>1</v>
      </c>
      <c r="Z1400" s="960">
        <f t="array" ref="Z1400">HLOOKUP($J1400,'Type Chart'!$C$2:$T$20,7,false)*HLOOKUP($K1400,'Type Chart'!$C$2:$U$20,7,false)</f>
        <v>1</v>
      </c>
      <c r="AA1400" s="960">
        <f t="array" ref="AA1400">HLOOKUP($J1400,'Type Chart'!$C$2:$T$20,8,false)*HLOOKUP($K1400,'Type Chart'!$C$2:$U$20,8,false)</f>
        <v>1</v>
      </c>
      <c r="AB1400" s="960">
        <f t="array" ref="AB1400">HLOOKUP($J1400,'Type Chart'!$C$2:$T$20,9,false)*HLOOKUP($K1400,'Type Chart'!$C$2:$U$20,9,false)</f>
        <v>1</v>
      </c>
      <c r="AC1400" s="960">
        <f t="array" ref="AC1400">HLOOKUP($J1400,'Type Chart'!$C$2:$T$20,10,false)*HLOOKUP($K1400,'Type Chart'!$C$2:$U$20,10,false)</f>
        <v>0.5</v>
      </c>
      <c r="AD1400" s="960">
        <f t="array" ref="AD1400">HLOOKUP($J1400,'Type Chart'!$C$2:$T$20,11,false)*HLOOKUP($K1400,'Type Chart'!$C$2:$U$20,11,false)</f>
        <v>0.5</v>
      </c>
      <c r="AE1400" s="960">
        <f t="array" ref="AE1400">HLOOKUP($J1400,'Type Chart'!$C$2:$T$20,12,false)*HLOOKUP($K1400,'Type Chart'!$C$2:$U$20,12,false)</f>
        <v>0.5</v>
      </c>
      <c r="AF1400" s="960">
        <f t="array" ref="AF1400">HLOOKUP($J1400,'Type Chart'!$C$2:$T$20,13,false)*HLOOKUP($K1400,'Type Chart'!$C$2:$U$20,13,false)</f>
        <v>2</v>
      </c>
      <c r="AG1400" s="960">
        <f t="array" ref="AG1400">HLOOKUP($J1400,'Type Chart'!$C$2:$T$20,14,false)*HLOOKUP($K1400,'Type Chart'!$C$2:$U$20,14,false)</f>
        <v>2</v>
      </c>
      <c r="AH1400" s="960">
        <f t="array" ref="AH1400">HLOOKUP($J1400,'Type Chart'!$C$2:$T$20,15,false)*HLOOKUP($K1400,'Type Chart'!$C$2:$U$20,15,false)</f>
        <v>1</v>
      </c>
      <c r="AI1400" s="960">
        <f t="array" ref="AI1400">HLOOKUP($J1400,'Type Chart'!$C$2:$T$20,16,false)*HLOOKUP($K1400,'Type Chart'!$C$2:$U$20,16,false)</f>
        <v>0.5</v>
      </c>
      <c r="AJ1400" s="960">
        <f t="array" ref="AJ1400">HLOOKUP($J1400,'Type Chart'!$C$2:$T$20,17,false)*HLOOKUP($K1400,'Type Chart'!$C$2:$U$20,17,false)</f>
        <v>1</v>
      </c>
      <c r="AK1400" s="960">
        <f t="array" ref="AK1400">HLOOKUP($J1400,'Type Chart'!$C$2:$T$20,18,false)*HLOOKUP($K1400,'Type Chart'!$C$2:$U$20,18,false)</f>
        <v>1</v>
      </c>
      <c r="AL1400" s="960">
        <f t="array" ref="AL1400">HLOOKUP($J1400,'Type Chart'!$C$2:$T$20,19,false)*HLOOKUP($K1400,'Type Chart'!$C$2:$U$20,19,false)</f>
        <v>1</v>
      </c>
      <c r="AM1400" s="964" t="s">
        <v>1385</v>
      </c>
      <c r="AN1400" s="965" t="s">
        <v>1430</v>
      </c>
      <c r="AO1400" s="966" t="s">
        <v>1431</v>
      </c>
      <c r="AP1400" s="936"/>
      <c r="AQ1400" s="1245"/>
      <c r="AR1400" s="1245"/>
      <c r="AS1400" s="936"/>
    </row>
    <row r="1401" ht="15.75" customHeight="1">
      <c r="A1401" s="1099"/>
      <c r="B1401" s="948" t="s">
        <v>1432</v>
      </c>
      <c r="C1401" s="1197" t="s">
        <v>1433</v>
      </c>
      <c r="D1401" s="1197" t="s">
        <v>1433</v>
      </c>
      <c r="E1401" s="1147" t="s">
        <v>1433</v>
      </c>
      <c r="F1401" s="940"/>
      <c r="G1401" s="953"/>
      <c r="H1401" s="969"/>
      <c r="I1401" s="998" t="s">
        <v>4500</v>
      </c>
      <c r="J1401" s="1056" t="s">
        <v>81</v>
      </c>
      <c r="K1401" s="1205" t="s">
        <v>345</v>
      </c>
      <c r="L1401" s="959">
        <v>50.0</v>
      </c>
      <c r="M1401" s="960">
        <v>95.0</v>
      </c>
      <c r="N1401" s="960">
        <v>180.0</v>
      </c>
      <c r="O1401" s="960">
        <v>85.0</v>
      </c>
      <c r="P1401" s="960">
        <v>45.0</v>
      </c>
      <c r="Q1401" s="960">
        <v>70.0</v>
      </c>
      <c r="R1401" s="960">
        <v>176.0</v>
      </c>
      <c r="S1401" s="960">
        <v>239.0</v>
      </c>
      <c r="T1401" s="960">
        <v>262.0</v>
      </c>
      <c r="U1401" s="960">
        <f t="array" ref="U1401">HLOOKUP($J1401,'Type Chart'!$C$2:$T$20,2,false)*HLOOKUP($K1401,'Type Chart'!$C$2:$U$20,2,false)</f>
        <v>1</v>
      </c>
      <c r="V1401" s="960">
        <f t="array" ref="V1401">HLOOKUP($J1401,'Type Chart'!$C$2:$T$20,3,false)*HLOOKUP($K1401,'Type Chart'!$C$2:$U$20,3,false)</f>
        <v>2</v>
      </c>
      <c r="W1401" s="960">
        <f t="array" ref="W1401">HLOOKUP($J1401,'Type Chart'!$C$2:$T$20,4,false)*HLOOKUP($K1401,'Type Chart'!$C$2:$U$20,4,false)</f>
        <v>1</v>
      </c>
      <c r="X1401" s="960">
        <f t="array" ref="X1401">HLOOKUP($J1401,'Type Chart'!$C$2:$T$20,5,false)*HLOOKUP($K1401,'Type Chart'!$C$2:$U$20,5,false)</f>
        <v>1</v>
      </c>
      <c r="Y1401" s="960">
        <f t="array" ref="Y1401">HLOOKUP($J1401,'Type Chart'!$C$2:$T$20,6,false)*HLOOKUP($K1401,'Type Chart'!$C$2:$U$20,6,false)</f>
        <v>1</v>
      </c>
      <c r="Z1401" s="960">
        <f t="array" ref="Z1401">HLOOKUP($J1401,'Type Chart'!$C$2:$T$20,7,false)*HLOOKUP($K1401,'Type Chart'!$C$2:$U$20,7,false)</f>
        <v>2</v>
      </c>
      <c r="AA1401" s="960">
        <f t="array" ref="AA1401">HLOOKUP($J1401,'Type Chart'!$C$2:$T$20,8,false)*HLOOKUP($K1401,'Type Chart'!$C$2:$U$20,8,false)</f>
        <v>1</v>
      </c>
      <c r="AB1401" s="960">
        <f t="array" ref="AB1401">HLOOKUP($J1401,'Type Chart'!$C$2:$T$20,9,false)*HLOOKUP($K1401,'Type Chart'!$C$2:$U$20,9,false)</f>
        <v>1</v>
      </c>
      <c r="AC1401" s="960">
        <f t="array" ref="AC1401">HLOOKUP($J1401,'Type Chart'!$C$2:$T$20,10,false)*HLOOKUP($K1401,'Type Chart'!$C$2:$U$20,10,false)</f>
        <v>1</v>
      </c>
      <c r="AD1401" s="960">
        <f t="array" ref="AD1401">HLOOKUP($J1401,'Type Chart'!$C$2:$T$20,11,false)*HLOOKUP($K1401,'Type Chart'!$C$2:$U$20,11,false)</f>
        <v>1</v>
      </c>
      <c r="AE1401" s="960">
        <f t="array" ref="AE1401">HLOOKUP($J1401,'Type Chart'!$C$2:$T$20,12,false)*HLOOKUP($K1401,'Type Chart'!$C$2:$U$20,12,false)</f>
        <v>0.5</v>
      </c>
      <c r="AF1401" s="960">
        <f t="array" ref="AF1401">HLOOKUP($J1401,'Type Chart'!$C$2:$T$20,13,false)*HLOOKUP($K1401,'Type Chart'!$C$2:$U$20,13,false)</f>
        <v>2</v>
      </c>
      <c r="AG1401" s="960">
        <f t="array" ref="AG1401">HLOOKUP($J1401,'Type Chart'!$C$2:$T$20,14,false)*HLOOKUP($K1401,'Type Chart'!$C$2:$U$20,14,false)</f>
        <v>2</v>
      </c>
      <c r="AH1401" s="960">
        <f t="array" ref="AH1401">HLOOKUP($J1401,'Type Chart'!$C$2:$T$20,15,false)*HLOOKUP($K1401,'Type Chart'!$C$2:$U$20,15,false)</f>
        <v>1</v>
      </c>
      <c r="AI1401" s="960">
        <f t="array" ref="AI1401">HLOOKUP($J1401,'Type Chart'!$C$2:$T$20,16,false)*HLOOKUP($K1401,'Type Chart'!$C$2:$U$20,16,false)</f>
        <v>0.25</v>
      </c>
      <c r="AJ1401" s="960">
        <f t="array" ref="AJ1401">HLOOKUP($J1401,'Type Chart'!$C$2:$T$20,17,false)*HLOOKUP($K1401,'Type Chart'!$C$2:$U$20,17,false)</f>
        <v>1</v>
      </c>
      <c r="AK1401" s="960">
        <f t="array" ref="AK1401">HLOOKUP($J1401,'Type Chart'!$C$2:$T$20,18,false)*HLOOKUP($K1401,'Type Chart'!$C$2:$U$20,18,false)</f>
        <v>1</v>
      </c>
      <c r="AL1401" s="960">
        <f t="array" ref="AL1401">HLOOKUP($J1401,'Type Chart'!$C$2:$T$20,19,false)*HLOOKUP($K1401,'Type Chart'!$C$2:$U$20,19,false)</f>
        <v>1</v>
      </c>
      <c r="AM1401" s="964" t="s">
        <v>1385</v>
      </c>
      <c r="AN1401" s="965" t="s">
        <v>1430</v>
      </c>
      <c r="AO1401" s="966" t="s">
        <v>1431</v>
      </c>
      <c r="AP1401" s="936"/>
      <c r="AQ1401" s="1245"/>
      <c r="AR1401" s="1245"/>
      <c r="AS1401" s="936"/>
    </row>
    <row r="1402" ht="15.75" customHeight="1">
      <c r="A1402" s="1099"/>
      <c r="B1402" s="948" t="s">
        <v>1434</v>
      </c>
      <c r="C1402" s="1197" t="s">
        <v>1435</v>
      </c>
      <c r="D1402" s="1197" t="s">
        <v>1435</v>
      </c>
      <c r="E1402" s="1147" t="s">
        <v>1435</v>
      </c>
      <c r="F1402" s="940"/>
      <c r="G1402" s="953"/>
      <c r="H1402" s="969"/>
      <c r="I1402" s="998" t="s">
        <v>4501</v>
      </c>
      <c r="J1402" s="1220" t="s">
        <v>215</v>
      </c>
      <c r="K1402" s="958" t="s">
        <v>178</v>
      </c>
      <c r="L1402" s="959">
        <v>30.0</v>
      </c>
      <c r="M1402" s="960">
        <v>35.0</v>
      </c>
      <c r="N1402" s="960">
        <v>30.0</v>
      </c>
      <c r="O1402" s="960">
        <v>100.0</v>
      </c>
      <c r="P1402" s="960">
        <v>35.0</v>
      </c>
      <c r="Q1402" s="960">
        <v>80.0</v>
      </c>
      <c r="R1402" s="960">
        <v>196.0</v>
      </c>
      <c r="S1402" s="960">
        <v>259.0</v>
      </c>
      <c r="T1402" s="960">
        <v>284.0</v>
      </c>
      <c r="U1402" s="960">
        <f t="array" ref="U1402">HLOOKUP($J1402,'Type Chart'!$C$2:$T$20,2,false)*HLOOKUP($K1402,'Type Chart'!$C$2:$U$20,2,false)</f>
        <v>0</v>
      </c>
      <c r="V1402" s="960">
        <f t="array" ref="V1402">HLOOKUP($J1402,'Type Chart'!$C$2:$T$20,3,false)*HLOOKUP($K1402,'Type Chart'!$C$2:$U$20,3,false)</f>
        <v>0</v>
      </c>
      <c r="W1402" s="960">
        <f t="array" ref="W1402">HLOOKUP($J1402,'Type Chart'!$C$2:$T$20,4,false)*HLOOKUP($K1402,'Type Chart'!$C$2:$U$20,4,false)</f>
        <v>1</v>
      </c>
      <c r="X1402" s="960">
        <f t="array" ref="X1402">HLOOKUP($J1402,'Type Chart'!$C$2:$T$20,5,false)*HLOOKUP($K1402,'Type Chart'!$C$2:$U$20,5,false)</f>
        <v>0.25</v>
      </c>
      <c r="Y1402" s="960">
        <f t="array" ref="Y1402">HLOOKUP($J1402,'Type Chart'!$C$2:$T$20,6,false)*HLOOKUP($K1402,'Type Chart'!$C$2:$U$20,6,false)</f>
        <v>2</v>
      </c>
      <c r="Z1402" s="960">
        <f t="array" ref="Z1402">HLOOKUP($J1402,'Type Chart'!$C$2:$T$20,7,false)*HLOOKUP($K1402,'Type Chart'!$C$2:$U$20,7,false)</f>
        <v>1</v>
      </c>
      <c r="AA1402" s="960">
        <f t="array" ref="AA1402">HLOOKUP($J1402,'Type Chart'!$C$2:$T$20,8,false)*HLOOKUP($K1402,'Type Chart'!$C$2:$U$20,8,false)</f>
        <v>0.25</v>
      </c>
      <c r="AB1402" s="960">
        <f t="array" ref="AB1402">HLOOKUP($J1402,'Type Chart'!$C$2:$T$20,9,false)*HLOOKUP($K1402,'Type Chart'!$C$2:$U$20,9,false)</f>
        <v>2</v>
      </c>
      <c r="AC1402" s="960">
        <f t="array" ref="AC1402">HLOOKUP($J1402,'Type Chart'!$C$2:$T$20,10,false)*HLOOKUP($K1402,'Type Chart'!$C$2:$U$20,10,false)</f>
        <v>1</v>
      </c>
      <c r="AD1402" s="960">
        <f t="array" ref="AD1402">HLOOKUP($J1402,'Type Chart'!$C$2:$T$20,11,false)*HLOOKUP($K1402,'Type Chart'!$C$2:$U$20,11,false)</f>
        <v>1</v>
      </c>
      <c r="AE1402" s="960">
        <f t="array" ref="AE1402">HLOOKUP($J1402,'Type Chart'!$C$2:$T$20,12,false)*HLOOKUP($K1402,'Type Chart'!$C$2:$U$20,12,false)</f>
        <v>1</v>
      </c>
      <c r="AF1402" s="960">
        <f t="array" ref="AF1402">HLOOKUP($J1402,'Type Chart'!$C$2:$T$20,13,false)*HLOOKUP($K1402,'Type Chart'!$C$2:$U$20,13,false)</f>
        <v>0.5</v>
      </c>
      <c r="AG1402" s="960">
        <f t="array" ref="AG1402">HLOOKUP($J1402,'Type Chart'!$C$2:$T$20,14,false)*HLOOKUP($K1402,'Type Chart'!$C$2:$U$20,14,false)</f>
        <v>1</v>
      </c>
      <c r="AH1402" s="960">
        <f t="array" ref="AH1402">HLOOKUP($J1402,'Type Chart'!$C$2:$T$20,15,false)*HLOOKUP($K1402,'Type Chart'!$C$2:$U$20,15,false)</f>
        <v>2</v>
      </c>
      <c r="AI1402" s="960">
        <f t="array" ref="AI1402">HLOOKUP($J1402,'Type Chart'!$C$2:$T$20,16,false)*HLOOKUP($K1402,'Type Chart'!$C$2:$U$20,16,false)</f>
        <v>1</v>
      </c>
      <c r="AJ1402" s="960">
        <f t="array" ref="AJ1402">HLOOKUP($J1402,'Type Chart'!$C$2:$T$20,17,false)*HLOOKUP($K1402,'Type Chart'!$C$2:$U$20,17,false)</f>
        <v>1</v>
      </c>
      <c r="AK1402" s="960">
        <f t="array" ref="AK1402">HLOOKUP($J1402,'Type Chart'!$C$2:$T$20,18,false)*HLOOKUP($K1402,'Type Chart'!$C$2:$U$20,18,false)</f>
        <v>2</v>
      </c>
      <c r="AL1402" s="960">
        <f t="array" ref="AL1402">HLOOKUP($J1402,'Type Chart'!$C$2:$T$20,19,false)*HLOOKUP($K1402,'Type Chart'!$C$2:$U$20,19,false)</f>
        <v>0.5</v>
      </c>
      <c r="AM1402" s="964" t="s">
        <v>1437</v>
      </c>
      <c r="AN1402" s="965"/>
      <c r="AO1402" s="966"/>
      <c r="AP1402" s="936"/>
      <c r="AQ1402" s="1245"/>
      <c r="AR1402" s="1245"/>
      <c r="AS1402" s="936"/>
    </row>
    <row r="1403" ht="15.75" customHeight="1">
      <c r="A1403" s="1099"/>
      <c r="B1403" s="948" t="s">
        <v>1438</v>
      </c>
      <c r="C1403" s="1197" t="s">
        <v>1439</v>
      </c>
      <c r="D1403" s="1197" t="s">
        <v>1439</v>
      </c>
      <c r="E1403" s="1147" t="s">
        <v>1439</v>
      </c>
      <c r="F1403" s="940"/>
      <c r="G1403" s="953"/>
      <c r="H1403" s="969"/>
      <c r="I1403" s="998" t="s">
        <v>4502</v>
      </c>
      <c r="J1403" s="1220" t="s">
        <v>215</v>
      </c>
      <c r="K1403" s="958" t="s">
        <v>178</v>
      </c>
      <c r="L1403" s="959">
        <v>45.0</v>
      </c>
      <c r="M1403" s="960">
        <v>50.0</v>
      </c>
      <c r="N1403" s="960">
        <v>45.0</v>
      </c>
      <c r="O1403" s="960">
        <v>115.0</v>
      </c>
      <c r="P1403" s="960">
        <v>55.0</v>
      </c>
      <c r="Q1403" s="960">
        <v>95.0</v>
      </c>
      <c r="R1403" s="960">
        <v>226.0</v>
      </c>
      <c r="S1403" s="960">
        <v>289.0</v>
      </c>
      <c r="T1403" s="960">
        <v>317.0</v>
      </c>
      <c r="U1403" s="960">
        <f t="array" ref="U1403">HLOOKUP($J1403,'Type Chart'!$C$2:$T$20,2,false)*HLOOKUP($K1403,'Type Chart'!$C$2:$U$20,2,false)</f>
        <v>0</v>
      </c>
      <c r="V1403" s="960">
        <f t="array" ref="V1403">HLOOKUP($J1403,'Type Chart'!$C$2:$T$20,3,false)*HLOOKUP($K1403,'Type Chart'!$C$2:$U$20,3,false)</f>
        <v>0</v>
      </c>
      <c r="W1403" s="960">
        <f t="array" ref="W1403">HLOOKUP($J1403,'Type Chart'!$C$2:$T$20,4,false)*HLOOKUP($K1403,'Type Chart'!$C$2:$U$20,4,false)</f>
        <v>1</v>
      </c>
      <c r="X1403" s="960">
        <f t="array" ref="X1403">HLOOKUP($J1403,'Type Chart'!$C$2:$T$20,5,false)*HLOOKUP($K1403,'Type Chart'!$C$2:$U$20,5,false)</f>
        <v>0.25</v>
      </c>
      <c r="Y1403" s="960">
        <f t="array" ref="Y1403">HLOOKUP($J1403,'Type Chart'!$C$2:$T$20,6,false)*HLOOKUP($K1403,'Type Chart'!$C$2:$U$20,6,false)</f>
        <v>2</v>
      </c>
      <c r="Z1403" s="960">
        <f t="array" ref="Z1403">HLOOKUP($J1403,'Type Chart'!$C$2:$T$20,7,false)*HLOOKUP($K1403,'Type Chart'!$C$2:$U$20,7,false)</f>
        <v>1</v>
      </c>
      <c r="AA1403" s="960">
        <f t="array" ref="AA1403">HLOOKUP($J1403,'Type Chart'!$C$2:$T$20,8,false)*HLOOKUP($K1403,'Type Chart'!$C$2:$U$20,8,false)</f>
        <v>0.25</v>
      </c>
      <c r="AB1403" s="960">
        <f t="array" ref="AB1403">HLOOKUP($J1403,'Type Chart'!$C$2:$T$20,9,false)*HLOOKUP($K1403,'Type Chart'!$C$2:$U$20,9,false)</f>
        <v>2</v>
      </c>
      <c r="AC1403" s="960">
        <f t="array" ref="AC1403">HLOOKUP($J1403,'Type Chart'!$C$2:$T$20,10,false)*HLOOKUP($K1403,'Type Chart'!$C$2:$U$20,10,false)</f>
        <v>1</v>
      </c>
      <c r="AD1403" s="960">
        <f t="array" ref="AD1403">HLOOKUP($J1403,'Type Chart'!$C$2:$T$20,11,false)*HLOOKUP($K1403,'Type Chart'!$C$2:$U$20,11,false)</f>
        <v>1</v>
      </c>
      <c r="AE1403" s="960">
        <f t="array" ref="AE1403">HLOOKUP($J1403,'Type Chart'!$C$2:$T$20,12,false)*HLOOKUP($K1403,'Type Chart'!$C$2:$U$20,12,false)</f>
        <v>1</v>
      </c>
      <c r="AF1403" s="960">
        <f t="array" ref="AF1403">HLOOKUP($J1403,'Type Chart'!$C$2:$T$20,13,false)*HLOOKUP($K1403,'Type Chart'!$C$2:$U$20,13,false)</f>
        <v>0.5</v>
      </c>
      <c r="AG1403" s="960">
        <f t="array" ref="AG1403">HLOOKUP($J1403,'Type Chart'!$C$2:$T$20,14,false)*HLOOKUP($K1403,'Type Chart'!$C$2:$U$20,14,false)</f>
        <v>1</v>
      </c>
      <c r="AH1403" s="960">
        <f t="array" ref="AH1403">HLOOKUP($J1403,'Type Chart'!$C$2:$T$20,15,false)*HLOOKUP($K1403,'Type Chart'!$C$2:$U$20,15,false)</f>
        <v>2</v>
      </c>
      <c r="AI1403" s="960">
        <f t="array" ref="AI1403">HLOOKUP($J1403,'Type Chart'!$C$2:$T$20,16,false)*HLOOKUP($K1403,'Type Chart'!$C$2:$U$20,16,false)</f>
        <v>1</v>
      </c>
      <c r="AJ1403" s="960">
        <f t="array" ref="AJ1403">HLOOKUP($J1403,'Type Chart'!$C$2:$T$20,17,false)*HLOOKUP($K1403,'Type Chart'!$C$2:$U$20,17,false)</f>
        <v>1</v>
      </c>
      <c r="AK1403" s="960">
        <f t="array" ref="AK1403">HLOOKUP($J1403,'Type Chart'!$C$2:$T$20,18,false)*HLOOKUP($K1403,'Type Chart'!$C$2:$U$20,18,false)</f>
        <v>2</v>
      </c>
      <c r="AL1403" s="960">
        <f t="array" ref="AL1403">HLOOKUP($J1403,'Type Chart'!$C$2:$T$20,19,false)*HLOOKUP($K1403,'Type Chart'!$C$2:$U$20,19,false)</f>
        <v>0.5</v>
      </c>
      <c r="AM1403" s="964" t="s">
        <v>1437</v>
      </c>
      <c r="AN1403" s="965"/>
      <c r="AO1403" s="966"/>
      <c r="AP1403" s="936"/>
      <c r="AQ1403" s="1245"/>
      <c r="AR1403" s="1245"/>
      <c r="AS1403" s="936"/>
    </row>
    <row r="1404" ht="15.75" customHeight="1">
      <c r="A1404" s="1099"/>
      <c r="B1404" s="948" t="s">
        <v>1440</v>
      </c>
      <c r="C1404" s="1197" t="s">
        <v>1441</v>
      </c>
      <c r="D1404" s="1197" t="s">
        <v>1441</v>
      </c>
      <c r="E1404" s="1147" t="s">
        <v>1441</v>
      </c>
      <c r="F1404" s="940"/>
      <c r="G1404" s="953"/>
      <c r="H1404" s="969"/>
      <c r="I1404" s="998" t="s">
        <v>4503</v>
      </c>
      <c r="J1404" s="1221" t="s">
        <v>215</v>
      </c>
      <c r="K1404" s="1209" t="s">
        <v>178</v>
      </c>
      <c r="L1404" s="1200">
        <v>60.0</v>
      </c>
      <c r="M1404" s="1201">
        <v>65.0</v>
      </c>
      <c r="N1404" s="1201">
        <v>60.0</v>
      </c>
      <c r="O1404" s="1201">
        <v>130.0</v>
      </c>
      <c r="P1404" s="1201">
        <v>75.0</v>
      </c>
      <c r="Q1404" s="1201">
        <v>110.0</v>
      </c>
      <c r="R1404" s="960">
        <v>256.0</v>
      </c>
      <c r="S1404" s="960">
        <v>319.0</v>
      </c>
      <c r="T1404" s="960">
        <v>350.0</v>
      </c>
      <c r="U1404" s="960">
        <f t="array" ref="U1404">HLOOKUP($J1404,'Type Chart'!$C$2:$T$20,2,false)*HLOOKUP($K1404,'Type Chart'!$C$2:$U$20,2,false)</f>
        <v>0</v>
      </c>
      <c r="V1404" s="960">
        <f t="array" ref="V1404">HLOOKUP($J1404,'Type Chart'!$C$2:$T$20,3,false)*HLOOKUP($K1404,'Type Chart'!$C$2:$U$20,3,false)</f>
        <v>0</v>
      </c>
      <c r="W1404" s="960">
        <f t="array" ref="W1404">HLOOKUP($J1404,'Type Chart'!$C$2:$T$20,4,false)*HLOOKUP($K1404,'Type Chart'!$C$2:$U$20,4,false)</f>
        <v>1</v>
      </c>
      <c r="X1404" s="960">
        <f t="array" ref="X1404">HLOOKUP($J1404,'Type Chart'!$C$2:$T$20,5,false)*HLOOKUP($K1404,'Type Chart'!$C$2:$U$20,5,false)</f>
        <v>0.25</v>
      </c>
      <c r="Y1404" s="960">
        <f t="array" ref="Y1404">HLOOKUP($J1404,'Type Chart'!$C$2:$T$20,6,false)*HLOOKUP($K1404,'Type Chart'!$C$2:$U$20,6,false)</f>
        <v>2</v>
      </c>
      <c r="Z1404" s="960">
        <f t="array" ref="Z1404">HLOOKUP($J1404,'Type Chart'!$C$2:$T$20,7,false)*HLOOKUP($K1404,'Type Chart'!$C$2:$U$20,7,false)</f>
        <v>1</v>
      </c>
      <c r="AA1404" s="960">
        <f t="array" ref="AA1404">HLOOKUP($J1404,'Type Chart'!$C$2:$T$20,8,false)*HLOOKUP($K1404,'Type Chart'!$C$2:$U$20,8,false)</f>
        <v>0.25</v>
      </c>
      <c r="AB1404" s="960">
        <f t="array" ref="AB1404">HLOOKUP($J1404,'Type Chart'!$C$2:$T$20,9,false)*HLOOKUP($K1404,'Type Chart'!$C$2:$U$20,9,false)</f>
        <v>2</v>
      </c>
      <c r="AC1404" s="960">
        <f t="array" ref="AC1404">HLOOKUP($J1404,'Type Chart'!$C$2:$T$20,10,false)*HLOOKUP($K1404,'Type Chart'!$C$2:$U$20,10,false)</f>
        <v>1</v>
      </c>
      <c r="AD1404" s="960">
        <f t="array" ref="AD1404">HLOOKUP($J1404,'Type Chart'!$C$2:$T$20,11,false)*HLOOKUP($K1404,'Type Chart'!$C$2:$U$20,11,false)</f>
        <v>1</v>
      </c>
      <c r="AE1404" s="960">
        <f t="array" ref="AE1404">HLOOKUP($J1404,'Type Chart'!$C$2:$T$20,12,false)*HLOOKUP($K1404,'Type Chart'!$C$2:$U$20,12,false)</f>
        <v>1</v>
      </c>
      <c r="AF1404" s="960">
        <f t="array" ref="AF1404">HLOOKUP($J1404,'Type Chart'!$C$2:$T$20,13,false)*HLOOKUP($K1404,'Type Chart'!$C$2:$U$20,13,false)</f>
        <v>0.5</v>
      </c>
      <c r="AG1404" s="960">
        <f t="array" ref="AG1404">HLOOKUP($J1404,'Type Chart'!$C$2:$T$20,14,false)*HLOOKUP($K1404,'Type Chart'!$C$2:$U$20,14,false)</f>
        <v>1</v>
      </c>
      <c r="AH1404" s="960">
        <f t="array" ref="AH1404">HLOOKUP($J1404,'Type Chart'!$C$2:$T$20,15,false)*HLOOKUP($K1404,'Type Chart'!$C$2:$U$20,15,false)</f>
        <v>2</v>
      </c>
      <c r="AI1404" s="960">
        <f t="array" ref="AI1404">HLOOKUP($J1404,'Type Chart'!$C$2:$T$20,16,false)*HLOOKUP($K1404,'Type Chart'!$C$2:$U$20,16,false)</f>
        <v>1</v>
      </c>
      <c r="AJ1404" s="960">
        <f t="array" ref="AJ1404">HLOOKUP($J1404,'Type Chart'!$C$2:$T$20,17,false)*HLOOKUP($K1404,'Type Chart'!$C$2:$U$20,17,false)</f>
        <v>1</v>
      </c>
      <c r="AK1404" s="960">
        <f t="array" ref="AK1404">HLOOKUP($J1404,'Type Chart'!$C$2:$T$20,18,false)*HLOOKUP($K1404,'Type Chart'!$C$2:$U$20,18,false)</f>
        <v>2</v>
      </c>
      <c r="AL1404" s="960">
        <f t="array" ref="AL1404">HLOOKUP($J1404,'Type Chart'!$C$2:$T$20,19,false)*HLOOKUP($K1404,'Type Chart'!$C$2:$U$20,19,false)</f>
        <v>0.5</v>
      </c>
      <c r="AM1404" s="1145" t="s">
        <v>1442</v>
      </c>
      <c r="AN1404" s="965"/>
      <c r="AO1404" s="966"/>
      <c r="AP1404" s="936"/>
      <c r="AQ1404" s="1245"/>
      <c r="AR1404" s="1245"/>
      <c r="AS1404" s="936"/>
    </row>
    <row r="1405" ht="15.75" customHeight="1">
      <c r="A1405" s="1099"/>
      <c r="B1405" s="948" t="s">
        <v>1443</v>
      </c>
      <c r="C1405" s="1197" t="s">
        <v>1444</v>
      </c>
      <c r="D1405" s="1197" t="s">
        <v>1444</v>
      </c>
      <c r="E1405" s="1147" t="s">
        <v>1444</v>
      </c>
      <c r="F1405" s="940"/>
      <c r="G1405" s="953"/>
      <c r="H1405" s="969"/>
      <c r="I1405" s="998" t="s">
        <v>4504</v>
      </c>
      <c r="J1405" s="1221" t="s">
        <v>215</v>
      </c>
      <c r="K1405" s="1209" t="s">
        <v>178</v>
      </c>
      <c r="L1405" s="1200">
        <v>60.0</v>
      </c>
      <c r="M1405" s="1201">
        <v>65.0</v>
      </c>
      <c r="N1405" s="1201">
        <v>80.0</v>
      </c>
      <c r="O1405" s="1201">
        <v>170.0</v>
      </c>
      <c r="P1405" s="1201">
        <v>95.0</v>
      </c>
      <c r="Q1405" s="1201">
        <v>130.0</v>
      </c>
      <c r="R1405" s="960">
        <v>296.0</v>
      </c>
      <c r="S1405" s="960">
        <v>359.0</v>
      </c>
      <c r="T1405" s="960">
        <v>394.0</v>
      </c>
      <c r="U1405" s="960">
        <f t="array" ref="U1405">HLOOKUP($J1405,'Type Chart'!$C$2:$T$20,2,false)*HLOOKUP($K1405,'Type Chart'!$C$2:$U$20,2,false)</f>
        <v>0</v>
      </c>
      <c r="V1405" s="960">
        <f t="array" ref="V1405">HLOOKUP($J1405,'Type Chart'!$C$2:$T$20,3,false)*HLOOKUP($K1405,'Type Chart'!$C$2:$U$20,3,false)</f>
        <v>0</v>
      </c>
      <c r="W1405" s="960">
        <f t="array" ref="W1405">HLOOKUP($J1405,'Type Chart'!$C$2:$T$20,4,false)*HLOOKUP($K1405,'Type Chart'!$C$2:$U$20,4,false)</f>
        <v>1</v>
      </c>
      <c r="X1405" s="960">
        <f t="array" ref="X1405">HLOOKUP($J1405,'Type Chart'!$C$2:$T$20,5,false)*HLOOKUP($K1405,'Type Chart'!$C$2:$U$20,5,false)</f>
        <v>0.25</v>
      </c>
      <c r="Y1405" s="960">
        <f t="array" ref="Y1405">HLOOKUP($J1405,'Type Chart'!$C$2:$T$20,6,false)*HLOOKUP($K1405,'Type Chart'!$C$2:$U$20,6,false)</f>
        <v>2</v>
      </c>
      <c r="Z1405" s="960">
        <f t="array" ref="Z1405">HLOOKUP($J1405,'Type Chart'!$C$2:$T$20,7,false)*HLOOKUP($K1405,'Type Chart'!$C$2:$U$20,7,false)</f>
        <v>1</v>
      </c>
      <c r="AA1405" s="960">
        <f t="array" ref="AA1405">HLOOKUP($J1405,'Type Chart'!$C$2:$T$20,8,false)*HLOOKUP($K1405,'Type Chart'!$C$2:$U$20,8,false)</f>
        <v>0.25</v>
      </c>
      <c r="AB1405" s="960">
        <f t="array" ref="AB1405">HLOOKUP($J1405,'Type Chart'!$C$2:$T$20,9,false)*HLOOKUP($K1405,'Type Chart'!$C$2:$U$20,9,false)</f>
        <v>2</v>
      </c>
      <c r="AC1405" s="960">
        <f t="array" ref="AC1405">HLOOKUP($J1405,'Type Chart'!$C$2:$T$20,10,false)*HLOOKUP($K1405,'Type Chart'!$C$2:$U$20,10,false)</f>
        <v>1</v>
      </c>
      <c r="AD1405" s="960">
        <f t="array" ref="AD1405">HLOOKUP($J1405,'Type Chart'!$C$2:$T$20,11,false)*HLOOKUP($K1405,'Type Chart'!$C$2:$U$20,11,false)</f>
        <v>1</v>
      </c>
      <c r="AE1405" s="960">
        <f t="array" ref="AE1405">HLOOKUP($J1405,'Type Chart'!$C$2:$T$20,12,false)*HLOOKUP($K1405,'Type Chart'!$C$2:$U$20,12,false)</f>
        <v>1</v>
      </c>
      <c r="AF1405" s="960">
        <f t="array" ref="AF1405">HLOOKUP($J1405,'Type Chart'!$C$2:$T$20,13,false)*HLOOKUP($K1405,'Type Chart'!$C$2:$U$20,13,false)</f>
        <v>0.5</v>
      </c>
      <c r="AG1405" s="960">
        <f t="array" ref="AG1405">HLOOKUP($J1405,'Type Chart'!$C$2:$T$20,14,false)*HLOOKUP($K1405,'Type Chart'!$C$2:$U$20,14,false)</f>
        <v>1</v>
      </c>
      <c r="AH1405" s="960">
        <f t="array" ref="AH1405">HLOOKUP($J1405,'Type Chart'!$C$2:$T$20,15,false)*HLOOKUP($K1405,'Type Chart'!$C$2:$U$20,15,false)</f>
        <v>2</v>
      </c>
      <c r="AI1405" s="960">
        <f t="array" ref="AI1405">HLOOKUP($J1405,'Type Chart'!$C$2:$T$20,16,false)*HLOOKUP($K1405,'Type Chart'!$C$2:$U$20,16,false)</f>
        <v>1</v>
      </c>
      <c r="AJ1405" s="960">
        <f t="array" ref="AJ1405">HLOOKUP($J1405,'Type Chart'!$C$2:$T$20,17,false)*HLOOKUP($K1405,'Type Chart'!$C$2:$U$20,17,false)</f>
        <v>1</v>
      </c>
      <c r="AK1405" s="960">
        <f t="array" ref="AK1405">HLOOKUP($J1405,'Type Chart'!$C$2:$T$20,18,false)*HLOOKUP($K1405,'Type Chart'!$C$2:$U$20,18,false)</f>
        <v>2</v>
      </c>
      <c r="AL1405" s="960">
        <f t="array" ref="AL1405">HLOOKUP($J1405,'Type Chart'!$C$2:$T$20,19,false)*HLOOKUP($K1405,'Type Chart'!$C$2:$U$20,19,false)</f>
        <v>0.5</v>
      </c>
      <c r="AM1405" s="1145" t="s">
        <v>1446</v>
      </c>
      <c r="AN1405" s="965"/>
      <c r="AO1405" s="966"/>
      <c r="AP1405" s="936"/>
      <c r="AQ1405" s="1245"/>
      <c r="AR1405" s="1245"/>
      <c r="AS1405" s="936"/>
    </row>
    <row r="1406" ht="15.75" customHeight="1">
      <c r="A1406" s="1099"/>
      <c r="B1406" s="948" t="s">
        <v>1447</v>
      </c>
      <c r="C1406" s="1197" t="s">
        <v>1448</v>
      </c>
      <c r="D1406" s="1197" t="s">
        <v>1448</v>
      </c>
      <c r="E1406" s="1147" t="s">
        <v>1448</v>
      </c>
      <c r="F1406" s="940"/>
      <c r="G1406" s="953"/>
      <c r="H1406" s="969"/>
      <c r="I1406" s="998" t="s">
        <v>4505</v>
      </c>
      <c r="J1406" s="1222" t="s">
        <v>342</v>
      </c>
      <c r="K1406" s="1223" t="s">
        <v>80</v>
      </c>
      <c r="L1406" s="1200">
        <v>35.0</v>
      </c>
      <c r="M1406" s="1201">
        <v>45.0</v>
      </c>
      <c r="N1406" s="1201">
        <v>160.0</v>
      </c>
      <c r="O1406" s="1201">
        <v>30.0</v>
      </c>
      <c r="P1406" s="1201">
        <v>45.0</v>
      </c>
      <c r="Q1406" s="1201">
        <v>70.0</v>
      </c>
      <c r="R1406" s="960">
        <v>176.0</v>
      </c>
      <c r="S1406" s="960">
        <v>239.0</v>
      </c>
      <c r="T1406" s="960">
        <v>262.0</v>
      </c>
      <c r="U1406" s="960">
        <f t="array" ref="U1406">HLOOKUP($J1406,'Type Chart'!$C$2:$T$20,2,false)*HLOOKUP($K1406,'Type Chart'!$C$2:$U$20,2,false)</f>
        <v>0.5</v>
      </c>
      <c r="V1406" s="960">
        <f t="array" ref="V1406">HLOOKUP($J1406,'Type Chart'!$C$2:$T$20,3,false)*HLOOKUP($K1406,'Type Chart'!$C$2:$U$20,3,false)</f>
        <v>2</v>
      </c>
      <c r="W1406" s="960">
        <f t="array" ref="W1406">HLOOKUP($J1406,'Type Chart'!$C$2:$T$20,4,false)*HLOOKUP($K1406,'Type Chart'!$C$2:$U$20,4,false)</f>
        <v>0.5</v>
      </c>
      <c r="X1406" s="960">
        <f t="array" ref="X1406">HLOOKUP($J1406,'Type Chart'!$C$2:$T$20,5,false)*HLOOKUP($K1406,'Type Chart'!$C$2:$U$20,5,false)</f>
        <v>0.25</v>
      </c>
      <c r="Y1406" s="960">
        <f t="array" ref="Y1406">HLOOKUP($J1406,'Type Chart'!$C$2:$T$20,6,false)*HLOOKUP($K1406,'Type Chart'!$C$2:$U$20,6,false)</f>
        <v>2</v>
      </c>
      <c r="Z1406" s="960">
        <f t="array" ref="Z1406">HLOOKUP($J1406,'Type Chart'!$C$2:$T$20,7,false)*HLOOKUP($K1406,'Type Chart'!$C$2:$U$20,7,false)</f>
        <v>0.5</v>
      </c>
      <c r="AA1406" s="960">
        <f t="array" ref="AA1406">HLOOKUP($J1406,'Type Chart'!$C$2:$T$20,8,false)*HLOOKUP($K1406,'Type Chart'!$C$2:$U$20,8,false)</f>
        <v>1</v>
      </c>
      <c r="AB1406" s="960">
        <f t="array" ref="AB1406">HLOOKUP($J1406,'Type Chart'!$C$2:$T$20,9,false)*HLOOKUP($K1406,'Type Chart'!$C$2:$U$20,9,false)</f>
        <v>1</v>
      </c>
      <c r="AC1406" s="960">
        <f t="array" ref="AC1406">HLOOKUP($J1406,'Type Chart'!$C$2:$T$20,10,false)*HLOOKUP($K1406,'Type Chart'!$C$2:$U$20,10,false)</f>
        <v>2</v>
      </c>
      <c r="AD1406" s="960">
        <f t="array" ref="AD1406">HLOOKUP($J1406,'Type Chart'!$C$2:$T$20,11,false)*HLOOKUP($K1406,'Type Chart'!$C$2:$U$20,11,false)</f>
        <v>0.5</v>
      </c>
      <c r="AE1406" s="960">
        <f t="array" ref="AE1406">HLOOKUP($J1406,'Type Chart'!$C$2:$T$20,12,false)*HLOOKUP($K1406,'Type Chart'!$C$2:$U$20,12,false)</f>
        <v>4</v>
      </c>
      <c r="AF1406" s="960">
        <f t="array" ref="AF1406">HLOOKUP($J1406,'Type Chart'!$C$2:$T$20,13,false)*HLOOKUP($K1406,'Type Chart'!$C$2:$U$20,13,false)</f>
        <v>4</v>
      </c>
      <c r="AG1406" s="960">
        <f t="array" ref="AG1406">HLOOKUP($J1406,'Type Chart'!$C$2:$T$20,14,false)*HLOOKUP($K1406,'Type Chart'!$C$2:$U$20,14,false)</f>
        <v>0</v>
      </c>
      <c r="AH1406" s="960">
        <f t="array" ref="AH1406">HLOOKUP($J1406,'Type Chart'!$C$2:$T$20,15,false)*HLOOKUP($K1406,'Type Chart'!$C$2:$U$20,15,false)</f>
        <v>1</v>
      </c>
      <c r="AI1406" s="960">
        <f t="array" ref="AI1406">HLOOKUP($J1406,'Type Chart'!$C$2:$T$20,16,false)*HLOOKUP($K1406,'Type Chart'!$C$2:$U$20,16,false)</f>
        <v>2</v>
      </c>
      <c r="AJ1406" s="960">
        <f t="array" ref="AJ1406">HLOOKUP($J1406,'Type Chart'!$C$2:$T$20,17,false)*HLOOKUP($K1406,'Type Chart'!$C$2:$U$20,17,false)</f>
        <v>1</v>
      </c>
      <c r="AK1406" s="960">
        <f t="array" ref="AK1406">HLOOKUP($J1406,'Type Chart'!$C$2:$T$20,18,false)*HLOOKUP($K1406,'Type Chart'!$C$2:$U$20,18,false)</f>
        <v>1</v>
      </c>
      <c r="AL1406" s="960">
        <f t="array" ref="AL1406">HLOOKUP($J1406,'Type Chart'!$C$2:$T$20,19,false)*HLOOKUP($K1406,'Type Chart'!$C$2:$U$20,19,false)</f>
        <v>1</v>
      </c>
      <c r="AM1406" s="1145" t="s">
        <v>1276</v>
      </c>
      <c r="AN1406" s="965" t="s">
        <v>1331</v>
      </c>
      <c r="AO1406" s="966" t="s">
        <v>1450</v>
      </c>
      <c r="AP1406" s="936"/>
      <c r="AQ1406" s="1245"/>
      <c r="AR1406" s="1245"/>
      <c r="AS1406" s="936"/>
    </row>
    <row r="1407" ht="15.75" customHeight="1">
      <c r="A1407" s="1099"/>
      <c r="B1407" s="948" t="s">
        <v>1451</v>
      </c>
      <c r="C1407" s="1197" t="s">
        <v>1452</v>
      </c>
      <c r="D1407" s="1197" t="s">
        <v>1452</v>
      </c>
      <c r="E1407" s="1147" t="s">
        <v>1452</v>
      </c>
      <c r="F1407" s="940"/>
      <c r="G1407" s="953"/>
      <c r="H1407" s="969"/>
      <c r="I1407" s="998" t="s">
        <v>4506</v>
      </c>
      <c r="J1407" s="1203" t="s">
        <v>344</v>
      </c>
      <c r="K1407" s="984" t="s">
        <v>216</v>
      </c>
      <c r="L1407" s="959">
        <v>60.0</v>
      </c>
      <c r="M1407" s="960">
        <v>48.0</v>
      </c>
      <c r="N1407" s="960">
        <v>45.0</v>
      </c>
      <c r="O1407" s="960">
        <v>43.0</v>
      </c>
      <c r="P1407" s="960">
        <v>90.0</v>
      </c>
      <c r="Q1407" s="960">
        <v>42.0</v>
      </c>
      <c r="R1407" s="960">
        <v>120.0</v>
      </c>
      <c r="S1407" s="960">
        <v>183.0</v>
      </c>
      <c r="T1407" s="960">
        <v>201.0</v>
      </c>
      <c r="U1407" s="960">
        <f t="array" ref="U1407">HLOOKUP($J1407,'Type Chart'!$C$2:$T$20,2,false)*HLOOKUP($K1407,'Type Chart'!$C$2:$U$20,2,false)</f>
        <v>1</v>
      </c>
      <c r="V1407" s="960">
        <f t="array" ref="V1407">HLOOKUP($J1407,'Type Chart'!$C$2:$T$20,3,false)*HLOOKUP($K1407,'Type Chart'!$C$2:$U$20,3,false)</f>
        <v>0.5</v>
      </c>
      <c r="W1407" s="960">
        <f t="array" ref="W1407">HLOOKUP($J1407,'Type Chart'!$C$2:$T$20,4,false)*HLOOKUP($K1407,'Type Chart'!$C$2:$U$20,4,false)</f>
        <v>1</v>
      </c>
      <c r="X1407" s="960">
        <f t="array" ref="X1407">HLOOKUP($J1407,'Type Chart'!$C$2:$T$20,5,false)*HLOOKUP($K1407,'Type Chart'!$C$2:$U$20,5,false)</f>
        <v>1</v>
      </c>
      <c r="Y1407" s="960">
        <f t="array" ref="Y1407">HLOOKUP($J1407,'Type Chart'!$C$2:$T$20,6,false)*HLOOKUP($K1407,'Type Chart'!$C$2:$U$20,6,false)</f>
        <v>1</v>
      </c>
      <c r="Z1407" s="960">
        <f t="array" ref="Z1407">HLOOKUP($J1407,'Type Chart'!$C$2:$T$20,7,false)*HLOOKUP($K1407,'Type Chart'!$C$2:$U$20,7,false)</f>
        <v>1</v>
      </c>
      <c r="AA1407" s="960">
        <f t="array" ref="AA1407">HLOOKUP($J1407,'Type Chart'!$C$2:$T$20,8,false)*HLOOKUP($K1407,'Type Chart'!$C$2:$U$20,8,false)</f>
        <v>2</v>
      </c>
      <c r="AB1407" s="960">
        <f t="array" ref="AB1407">HLOOKUP($J1407,'Type Chart'!$C$2:$T$20,9,false)*HLOOKUP($K1407,'Type Chart'!$C$2:$U$20,9,false)</f>
        <v>2</v>
      </c>
      <c r="AC1407" s="960">
        <f t="array" ref="AC1407">HLOOKUP($J1407,'Type Chart'!$C$2:$T$20,10,false)*HLOOKUP($K1407,'Type Chart'!$C$2:$U$20,10,false)</f>
        <v>1</v>
      </c>
      <c r="AD1407" s="960">
        <f t="array" ref="AD1407">HLOOKUP($J1407,'Type Chart'!$C$2:$T$20,11,false)*HLOOKUP($K1407,'Type Chart'!$C$2:$U$20,11,false)</f>
        <v>1</v>
      </c>
      <c r="AE1407" s="960">
        <f t="array" ref="AE1407">HLOOKUP($J1407,'Type Chart'!$C$2:$T$20,12,false)*HLOOKUP($K1407,'Type Chart'!$C$2:$U$20,12,false)</f>
        <v>1</v>
      </c>
      <c r="AF1407" s="960">
        <f t="array" ref="AF1407">HLOOKUP($J1407,'Type Chart'!$C$2:$T$20,13,false)*HLOOKUP($K1407,'Type Chart'!$C$2:$U$20,13,false)</f>
        <v>1</v>
      </c>
      <c r="AG1407" s="960">
        <f t="array" ref="AG1407">HLOOKUP($J1407,'Type Chart'!$C$2:$T$20,14,false)*HLOOKUP($K1407,'Type Chart'!$C$2:$U$20,14,false)</f>
        <v>1</v>
      </c>
      <c r="AH1407" s="960">
        <f t="array" ref="AH1407">HLOOKUP($J1407,'Type Chart'!$C$2:$T$20,15,false)*HLOOKUP($K1407,'Type Chart'!$C$2:$U$20,15,false)</f>
        <v>0.5</v>
      </c>
      <c r="AI1407" s="960">
        <f t="array" ref="AI1407">HLOOKUP($J1407,'Type Chart'!$C$2:$T$20,16,false)*HLOOKUP($K1407,'Type Chart'!$C$2:$U$20,16,false)</f>
        <v>1</v>
      </c>
      <c r="AJ1407" s="960">
        <f t="array" ref="AJ1407">HLOOKUP($J1407,'Type Chart'!$C$2:$T$20,17,false)*HLOOKUP($K1407,'Type Chart'!$C$2:$U$20,17,false)</f>
        <v>1</v>
      </c>
      <c r="AK1407" s="960">
        <f t="array" ref="AK1407">HLOOKUP($J1407,'Type Chart'!$C$2:$T$20,18,false)*HLOOKUP($K1407,'Type Chart'!$C$2:$U$20,18,false)</f>
        <v>2</v>
      </c>
      <c r="AL1407" s="960">
        <f t="array" ref="AL1407">HLOOKUP($J1407,'Type Chart'!$C$2:$T$20,19,false)*HLOOKUP($K1407,'Type Chart'!$C$2:$U$20,19,false)</f>
        <v>1</v>
      </c>
      <c r="AM1407" s="964" t="s">
        <v>1454</v>
      </c>
      <c r="AN1407" s="965" t="s">
        <v>1455</v>
      </c>
      <c r="AO1407" s="966" t="s">
        <v>1192</v>
      </c>
      <c r="AP1407" s="936"/>
      <c r="AQ1407" s="1245"/>
      <c r="AR1407" s="1245"/>
      <c r="AS1407" s="936"/>
    </row>
    <row r="1408" ht="15.75" customHeight="1">
      <c r="A1408" s="1099"/>
      <c r="B1408" s="948" t="s">
        <v>1456</v>
      </c>
      <c r="C1408" s="1197" t="s">
        <v>1457</v>
      </c>
      <c r="D1408" s="1197" t="s">
        <v>1457</v>
      </c>
      <c r="E1408" s="1147" t="s">
        <v>1457</v>
      </c>
      <c r="F1408" s="940"/>
      <c r="G1408" s="953"/>
      <c r="H1408" s="969"/>
      <c r="I1408" s="998" t="s">
        <v>4507</v>
      </c>
      <c r="J1408" s="1215" t="s">
        <v>344</v>
      </c>
      <c r="K1408" s="1199" t="s">
        <v>216</v>
      </c>
      <c r="L1408" s="1200">
        <v>85.0</v>
      </c>
      <c r="M1408" s="1201">
        <v>73.0</v>
      </c>
      <c r="N1408" s="1201">
        <v>70.0</v>
      </c>
      <c r="O1408" s="1201">
        <v>73.0</v>
      </c>
      <c r="P1408" s="1201">
        <v>115.0</v>
      </c>
      <c r="Q1408" s="1201">
        <v>67.0</v>
      </c>
      <c r="R1408" s="960">
        <v>170.0</v>
      </c>
      <c r="S1408" s="960">
        <v>233.0</v>
      </c>
      <c r="T1408" s="960">
        <v>256.0</v>
      </c>
      <c r="U1408" s="960">
        <f t="array" ref="U1408">HLOOKUP($J1408,'Type Chart'!$C$2:$T$20,2,false)*HLOOKUP($K1408,'Type Chart'!$C$2:$U$20,2,false)</f>
        <v>1</v>
      </c>
      <c r="V1408" s="960">
        <f t="array" ref="V1408">HLOOKUP($J1408,'Type Chart'!$C$2:$T$20,3,false)*HLOOKUP($K1408,'Type Chart'!$C$2:$U$20,3,false)</f>
        <v>0.5</v>
      </c>
      <c r="W1408" s="960">
        <f t="array" ref="W1408">HLOOKUP($J1408,'Type Chart'!$C$2:$T$20,4,false)*HLOOKUP($K1408,'Type Chart'!$C$2:$U$20,4,false)</f>
        <v>1</v>
      </c>
      <c r="X1408" s="960">
        <f t="array" ref="X1408">HLOOKUP($J1408,'Type Chart'!$C$2:$T$20,5,false)*HLOOKUP($K1408,'Type Chart'!$C$2:$U$20,5,false)</f>
        <v>1</v>
      </c>
      <c r="Y1408" s="960">
        <f t="array" ref="Y1408">HLOOKUP($J1408,'Type Chart'!$C$2:$T$20,6,false)*HLOOKUP($K1408,'Type Chart'!$C$2:$U$20,6,false)</f>
        <v>1</v>
      </c>
      <c r="Z1408" s="960">
        <f t="array" ref="Z1408">HLOOKUP($J1408,'Type Chart'!$C$2:$T$20,7,false)*HLOOKUP($K1408,'Type Chart'!$C$2:$U$20,7,false)</f>
        <v>1</v>
      </c>
      <c r="AA1408" s="960">
        <f t="array" ref="AA1408">HLOOKUP($J1408,'Type Chart'!$C$2:$T$20,8,false)*HLOOKUP($K1408,'Type Chart'!$C$2:$U$20,8,false)</f>
        <v>2</v>
      </c>
      <c r="AB1408" s="960">
        <f t="array" ref="AB1408">HLOOKUP($J1408,'Type Chart'!$C$2:$T$20,9,false)*HLOOKUP($K1408,'Type Chart'!$C$2:$U$20,9,false)</f>
        <v>2</v>
      </c>
      <c r="AC1408" s="960">
        <f t="array" ref="AC1408">HLOOKUP($J1408,'Type Chart'!$C$2:$T$20,10,false)*HLOOKUP($K1408,'Type Chart'!$C$2:$U$20,10,false)</f>
        <v>1</v>
      </c>
      <c r="AD1408" s="960">
        <f t="array" ref="AD1408">HLOOKUP($J1408,'Type Chart'!$C$2:$T$20,11,false)*HLOOKUP($K1408,'Type Chart'!$C$2:$U$20,11,false)</f>
        <v>1</v>
      </c>
      <c r="AE1408" s="960">
        <f t="array" ref="AE1408">HLOOKUP($J1408,'Type Chart'!$C$2:$T$20,12,false)*HLOOKUP($K1408,'Type Chart'!$C$2:$U$20,12,false)</f>
        <v>1</v>
      </c>
      <c r="AF1408" s="960">
        <f t="array" ref="AF1408">HLOOKUP($J1408,'Type Chart'!$C$2:$T$20,13,false)*HLOOKUP($K1408,'Type Chart'!$C$2:$U$20,13,false)</f>
        <v>1</v>
      </c>
      <c r="AG1408" s="960">
        <f t="array" ref="AG1408">HLOOKUP($J1408,'Type Chart'!$C$2:$T$20,14,false)*HLOOKUP($K1408,'Type Chart'!$C$2:$U$20,14,false)</f>
        <v>1</v>
      </c>
      <c r="AH1408" s="960">
        <f t="array" ref="AH1408">HLOOKUP($J1408,'Type Chart'!$C$2:$T$20,15,false)*HLOOKUP($K1408,'Type Chart'!$C$2:$U$20,15,false)</f>
        <v>0.5</v>
      </c>
      <c r="AI1408" s="960">
        <f t="array" ref="AI1408">HLOOKUP($J1408,'Type Chart'!$C$2:$T$20,16,false)*HLOOKUP($K1408,'Type Chart'!$C$2:$U$20,16,false)</f>
        <v>1</v>
      </c>
      <c r="AJ1408" s="960">
        <f t="array" ref="AJ1408">HLOOKUP($J1408,'Type Chart'!$C$2:$T$20,17,false)*HLOOKUP($K1408,'Type Chart'!$C$2:$U$20,17,false)</f>
        <v>1</v>
      </c>
      <c r="AK1408" s="960">
        <f t="array" ref="AK1408">HLOOKUP($J1408,'Type Chart'!$C$2:$T$20,18,false)*HLOOKUP($K1408,'Type Chart'!$C$2:$U$20,18,false)</f>
        <v>2</v>
      </c>
      <c r="AL1408" s="960">
        <f t="array" ref="AL1408">HLOOKUP($J1408,'Type Chart'!$C$2:$T$20,19,false)*HLOOKUP($K1408,'Type Chart'!$C$2:$U$20,19,false)</f>
        <v>1</v>
      </c>
      <c r="AM1408" s="1145" t="s">
        <v>1454</v>
      </c>
      <c r="AN1408" s="1202" t="s">
        <v>1455</v>
      </c>
      <c r="AO1408" s="1146" t="s">
        <v>1192</v>
      </c>
      <c r="AP1408" s="936"/>
      <c r="AQ1408" s="1245"/>
      <c r="AR1408" s="1245"/>
      <c r="AS1408" s="936"/>
    </row>
    <row r="1409" ht="15.75" customHeight="1">
      <c r="A1409" s="1099"/>
      <c r="B1409" s="948" t="s">
        <v>1458</v>
      </c>
      <c r="C1409" s="1197" t="s">
        <v>1459</v>
      </c>
      <c r="D1409" s="1197" t="s">
        <v>1459</v>
      </c>
      <c r="E1409" s="1147" t="s">
        <v>1459</v>
      </c>
      <c r="F1409" s="940"/>
      <c r="G1409" s="953"/>
      <c r="H1409" s="969"/>
      <c r="I1409" s="998" t="s">
        <v>4508</v>
      </c>
      <c r="J1409" s="1056" t="s">
        <v>81</v>
      </c>
      <c r="K1409" s="984" t="s">
        <v>216</v>
      </c>
      <c r="L1409" s="959">
        <v>30.0</v>
      </c>
      <c r="M1409" s="960">
        <v>105.0</v>
      </c>
      <c r="N1409" s="960">
        <v>90.0</v>
      </c>
      <c r="O1409" s="960">
        <v>25.0</v>
      </c>
      <c r="P1409" s="960">
        <v>25.0</v>
      </c>
      <c r="Q1409" s="960">
        <v>50.0</v>
      </c>
      <c r="R1409" s="960">
        <v>136.0</v>
      </c>
      <c r="S1409" s="960">
        <v>199.0</v>
      </c>
      <c r="T1409" s="960">
        <v>218.0</v>
      </c>
      <c r="U1409" s="960">
        <f t="array" ref="U1409">HLOOKUP($J1409,'Type Chart'!$C$2:$T$20,2,false)*HLOOKUP($K1409,'Type Chart'!$C$2:$U$20,2,false)</f>
        <v>1</v>
      </c>
      <c r="V1409" s="960">
        <f t="array" ref="V1409">HLOOKUP($J1409,'Type Chart'!$C$2:$T$20,3,false)*HLOOKUP($K1409,'Type Chart'!$C$2:$U$20,3,false)</f>
        <v>1</v>
      </c>
      <c r="W1409" s="960">
        <f t="array" ref="W1409">HLOOKUP($J1409,'Type Chart'!$C$2:$T$20,4,false)*HLOOKUP($K1409,'Type Chart'!$C$2:$U$20,4,false)</f>
        <v>1</v>
      </c>
      <c r="X1409" s="960">
        <f t="array" ref="X1409">HLOOKUP($J1409,'Type Chart'!$C$2:$T$20,5,false)*HLOOKUP($K1409,'Type Chart'!$C$2:$U$20,5,false)</f>
        <v>1</v>
      </c>
      <c r="Y1409" s="960">
        <f t="array" ref="Y1409">HLOOKUP($J1409,'Type Chart'!$C$2:$T$20,6,false)*HLOOKUP($K1409,'Type Chart'!$C$2:$U$20,6,false)</f>
        <v>1</v>
      </c>
      <c r="Z1409" s="960">
        <f t="array" ref="Z1409">HLOOKUP($J1409,'Type Chart'!$C$2:$T$20,7,false)*HLOOKUP($K1409,'Type Chart'!$C$2:$U$20,7,false)</f>
        <v>1</v>
      </c>
      <c r="AA1409" s="960">
        <f t="array" ref="AA1409">HLOOKUP($J1409,'Type Chart'!$C$2:$T$20,8,false)*HLOOKUP($K1409,'Type Chart'!$C$2:$U$20,8,false)</f>
        <v>1</v>
      </c>
      <c r="AB1409" s="960">
        <f t="array" ref="AB1409">HLOOKUP($J1409,'Type Chart'!$C$2:$T$20,9,false)*HLOOKUP($K1409,'Type Chart'!$C$2:$U$20,9,false)</f>
        <v>1</v>
      </c>
      <c r="AC1409" s="960">
        <f t="array" ref="AC1409">HLOOKUP($J1409,'Type Chart'!$C$2:$T$20,10,false)*HLOOKUP($K1409,'Type Chart'!$C$2:$U$20,10,false)</f>
        <v>0.5</v>
      </c>
      <c r="AD1409" s="960">
        <f t="array" ref="AD1409">HLOOKUP($J1409,'Type Chart'!$C$2:$T$20,11,false)*HLOOKUP($K1409,'Type Chart'!$C$2:$U$20,11,false)</f>
        <v>0.5</v>
      </c>
      <c r="AE1409" s="960">
        <f t="array" ref="AE1409">HLOOKUP($J1409,'Type Chart'!$C$2:$T$20,12,false)*HLOOKUP($K1409,'Type Chart'!$C$2:$U$20,12,false)</f>
        <v>0.5</v>
      </c>
      <c r="AF1409" s="960">
        <f t="array" ref="AF1409">HLOOKUP($J1409,'Type Chart'!$C$2:$T$20,13,false)*HLOOKUP($K1409,'Type Chart'!$C$2:$U$20,13,false)</f>
        <v>2</v>
      </c>
      <c r="AG1409" s="960">
        <f t="array" ref="AG1409">HLOOKUP($J1409,'Type Chart'!$C$2:$T$20,14,false)*HLOOKUP($K1409,'Type Chart'!$C$2:$U$20,14,false)</f>
        <v>2</v>
      </c>
      <c r="AH1409" s="960">
        <f t="array" ref="AH1409">HLOOKUP($J1409,'Type Chart'!$C$2:$T$20,15,false)*HLOOKUP($K1409,'Type Chart'!$C$2:$U$20,15,false)</f>
        <v>1</v>
      </c>
      <c r="AI1409" s="960">
        <f t="array" ref="AI1409">HLOOKUP($J1409,'Type Chart'!$C$2:$T$20,16,false)*HLOOKUP($K1409,'Type Chart'!$C$2:$U$20,16,false)</f>
        <v>0.5</v>
      </c>
      <c r="AJ1409" s="960">
        <f t="array" ref="AJ1409">HLOOKUP($J1409,'Type Chart'!$C$2:$T$20,17,false)*HLOOKUP($K1409,'Type Chart'!$C$2:$U$20,17,false)</f>
        <v>1</v>
      </c>
      <c r="AK1409" s="960">
        <f t="array" ref="AK1409">HLOOKUP($J1409,'Type Chart'!$C$2:$T$20,18,false)*HLOOKUP($K1409,'Type Chart'!$C$2:$U$20,18,false)</f>
        <v>1</v>
      </c>
      <c r="AL1409" s="960">
        <f t="array" ref="AL1409">HLOOKUP($J1409,'Type Chart'!$C$2:$T$20,19,false)*HLOOKUP($K1409,'Type Chart'!$C$2:$U$20,19,false)</f>
        <v>1</v>
      </c>
      <c r="AM1409" s="964" t="s">
        <v>1461</v>
      </c>
      <c r="AN1409" s="965" t="s">
        <v>1385</v>
      </c>
      <c r="AO1409" s="966" t="s">
        <v>1153</v>
      </c>
      <c r="AP1409" s="936"/>
      <c r="AQ1409" s="1245"/>
      <c r="AR1409" s="1245"/>
      <c r="AS1409" s="936"/>
    </row>
    <row r="1410" ht="15.75" customHeight="1">
      <c r="A1410" s="1099"/>
      <c r="B1410" s="948" t="s">
        <v>1462</v>
      </c>
      <c r="C1410" s="1197" t="s">
        <v>1463</v>
      </c>
      <c r="D1410" s="1197" t="s">
        <v>1463</v>
      </c>
      <c r="E1410" s="1147" t="s">
        <v>1463</v>
      </c>
      <c r="F1410" s="940"/>
      <c r="G1410" s="953"/>
      <c r="H1410" s="969"/>
      <c r="I1410" s="998" t="s">
        <v>4509</v>
      </c>
      <c r="J1410" s="1056" t="s">
        <v>81</v>
      </c>
      <c r="K1410" s="984" t="s">
        <v>216</v>
      </c>
      <c r="L1410" s="959">
        <v>55.0</v>
      </c>
      <c r="M1410" s="960">
        <v>130.0</v>
      </c>
      <c r="N1410" s="960">
        <v>115.0</v>
      </c>
      <c r="O1410" s="960">
        <v>50.0</v>
      </c>
      <c r="P1410" s="960">
        <v>50.0</v>
      </c>
      <c r="Q1410" s="960">
        <v>75.0</v>
      </c>
      <c r="R1410" s="960">
        <v>186.0</v>
      </c>
      <c r="S1410" s="960">
        <v>249.0</v>
      </c>
      <c r="T1410" s="960">
        <v>273.0</v>
      </c>
      <c r="U1410" s="960">
        <f t="array" ref="U1410">HLOOKUP($J1410,'Type Chart'!$C$2:$T$20,2,false)*HLOOKUP($K1410,'Type Chart'!$C$2:$U$20,2,false)</f>
        <v>1</v>
      </c>
      <c r="V1410" s="960">
        <f t="array" ref="V1410">HLOOKUP($J1410,'Type Chart'!$C$2:$T$20,3,false)*HLOOKUP($K1410,'Type Chart'!$C$2:$U$20,3,false)</f>
        <v>1</v>
      </c>
      <c r="W1410" s="960">
        <f t="array" ref="W1410">HLOOKUP($J1410,'Type Chart'!$C$2:$T$20,4,false)*HLOOKUP($K1410,'Type Chart'!$C$2:$U$20,4,false)</f>
        <v>1</v>
      </c>
      <c r="X1410" s="960">
        <f t="array" ref="X1410">HLOOKUP($J1410,'Type Chart'!$C$2:$T$20,5,false)*HLOOKUP($K1410,'Type Chart'!$C$2:$U$20,5,false)</f>
        <v>1</v>
      </c>
      <c r="Y1410" s="960">
        <f t="array" ref="Y1410">HLOOKUP($J1410,'Type Chart'!$C$2:$T$20,6,false)*HLOOKUP($K1410,'Type Chart'!$C$2:$U$20,6,false)</f>
        <v>1</v>
      </c>
      <c r="Z1410" s="960">
        <f t="array" ref="Z1410">HLOOKUP($J1410,'Type Chart'!$C$2:$T$20,7,false)*HLOOKUP($K1410,'Type Chart'!$C$2:$U$20,7,false)</f>
        <v>1</v>
      </c>
      <c r="AA1410" s="960">
        <f t="array" ref="AA1410">HLOOKUP($J1410,'Type Chart'!$C$2:$T$20,8,false)*HLOOKUP($K1410,'Type Chart'!$C$2:$U$20,8,false)</f>
        <v>1</v>
      </c>
      <c r="AB1410" s="960">
        <f t="array" ref="AB1410">HLOOKUP($J1410,'Type Chart'!$C$2:$T$20,9,false)*HLOOKUP($K1410,'Type Chart'!$C$2:$U$20,9,false)</f>
        <v>1</v>
      </c>
      <c r="AC1410" s="960">
        <f t="array" ref="AC1410">HLOOKUP($J1410,'Type Chart'!$C$2:$T$20,10,false)*HLOOKUP($K1410,'Type Chart'!$C$2:$U$20,10,false)</f>
        <v>0.5</v>
      </c>
      <c r="AD1410" s="960">
        <f t="array" ref="AD1410">HLOOKUP($J1410,'Type Chart'!$C$2:$T$20,11,false)*HLOOKUP($K1410,'Type Chart'!$C$2:$U$20,11,false)</f>
        <v>0.5</v>
      </c>
      <c r="AE1410" s="960">
        <f t="array" ref="AE1410">HLOOKUP($J1410,'Type Chart'!$C$2:$T$20,12,false)*HLOOKUP($K1410,'Type Chart'!$C$2:$U$20,12,false)</f>
        <v>0.5</v>
      </c>
      <c r="AF1410" s="960">
        <f t="array" ref="AF1410">HLOOKUP($J1410,'Type Chart'!$C$2:$T$20,13,false)*HLOOKUP($K1410,'Type Chart'!$C$2:$U$20,13,false)</f>
        <v>2</v>
      </c>
      <c r="AG1410" s="960">
        <f t="array" ref="AG1410">HLOOKUP($J1410,'Type Chart'!$C$2:$T$20,14,false)*HLOOKUP($K1410,'Type Chart'!$C$2:$U$20,14,false)</f>
        <v>2</v>
      </c>
      <c r="AH1410" s="960">
        <f t="array" ref="AH1410">HLOOKUP($J1410,'Type Chart'!$C$2:$T$20,15,false)*HLOOKUP($K1410,'Type Chart'!$C$2:$U$20,15,false)</f>
        <v>1</v>
      </c>
      <c r="AI1410" s="960">
        <f t="array" ref="AI1410">HLOOKUP($J1410,'Type Chart'!$C$2:$T$20,16,false)*HLOOKUP($K1410,'Type Chart'!$C$2:$U$20,16,false)</f>
        <v>0.5</v>
      </c>
      <c r="AJ1410" s="960">
        <f t="array" ref="AJ1410">HLOOKUP($J1410,'Type Chart'!$C$2:$T$20,17,false)*HLOOKUP($K1410,'Type Chart'!$C$2:$U$20,17,false)</f>
        <v>1</v>
      </c>
      <c r="AK1410" s="960">
        <f t="array" ref="AK1410">HLOOKUP($J1410,'Type Chart'!$C$2:$T$20,18,false)*HLOOKUP($K1410,'Type Chart'!$C$2:$U$20,18,false)</f>
        <v>1</v>
      </c>
      <c r="AL1410" s="960">
        <f t="array" ref="AL1410">HLOOKUP($J1410,'Type Chart'!$C$2:$T$20,19,false)*HLOOKUP($K1410,'Type Chart'!$C$2:$U$20,19,false)</f>
        <v>1</v>
      </c>
      <c r="AM1410" s="1145" t="s">
        <v>1461</v>
      </c>
      <c r="AN1410" s="1202" t="s">
        <v>1385</v>
      </c>
      <c r="AO1410" s="1146" t="s">
        <v>1153</v>
      </c>
      <c r="AP1410" s="936"/>
      <c r="AQ1410" s="1245"/>
      <c r="AR1410" s="1245"/>
      <c r="AS1410" s="936"/>
    </row>
    <row r="1411" ht="15.75" customHeight="1">
      <c r="A1411" s="1099"/>
      <c r="B1411" s="948" t="s">
        <v>1465</v>
      </c>
      <c r="C1411" s="1197" t="s">
        <v>1466</v>
      </c>
      <c r="D1411" s="1197" t="s">
        <v>1466</v>
      </c>
      <c r="E1411" s="1147" t="s">
        <v>1466</v>
      </c>
      <c r="F1411" s="940"/>
      <c r="G1411" s="953"/>
      <c r="H1411" s="969"/>
      <c r="I1411" s="998" t="s">
        <v>4510</v>
      </c>
      <c r="J1411" s="1196" t="s">
        <v>203</v>
      </c>
      <c r="K1411" s="984" t="s">
        <v>216</v>
      </c>
      <c r="L1411" s="959">
        <v>40.0</v>
      </c>
      <c r="M1411" s="960">
        <v>30.0</v>
      </c>
      <c r="N1411" s="960">
        <v>50.0</v>
      </c>
      <c r="O1411" s="960">
        <v>55.0</v>
      </c>
      <c r="P1411" s="960">
        <v>55.0</v>
      </c>
      <c r="Q1411" s="960">
        <v>100.0</v>
      </c>
      <c r="R1411" s="960">
        <v>236.0</v>
      </c>
      <c r="S1411" s="960">
        <v>299.0</v>
      </c>
      <c r="T1411" s="960">
        <v>328.0</v>
      </c>
      <c r="U1411" s="960">
        <f t="array" ref="U1411">HLOOKUP($J1411,'Type Chart'!$C$2:$T$20,2,false)*HLOOKUP($K1411,'Type Chart'!$C$2:$U$20,2,false)</f>
        <v>1</v>
      </c>
      <c r="V1411" s="960">
        <f t="array" ref="V1411">HLOOKUP($J1411,'Type Chart'!$C$2:$T$20,3,false)*HLOOKUP($K1411,'Type Chart'!$C$2:$U$20,3,false)</f>
        <v>1</v>
      </c>
      <c r="W1411" s="960">
        <f t="array" ref="W1411">HLOOKUP($J1411,'Type Chart'!$C$2:$T$20,4,false)*HLOOKUP($K1411,'Type Chart'!$C$2:$U$20,4,false)</f>
        <v>0.5</v>
      </c>
      <c r="X1411" s="960">
        <f t="array" ref="X1411">HLOOKUP($J1411,'Type Chart'!$C$2:$T$20,5,false)*HLOOKUP($K1411,'Type Chart'!$C$2:$U$20,5,false)</f>
        <v>1</v>
      </c>
      <c r="Y1411" s="960">
        <f t="array" ref="Y1411">HLOOKUP($J1411,'Type Chart'!$C$2:$T$20,6,false)*HLOOKUP($K1411,'Type Chart'!$C$2:$U$20,6,false)</f>
        <v>2</v>
      </c>
      <c r="Z1411" s="960">
        <f t="array" ref="Z1411">HLOOKUP($J1411,'Type Chart'!$C$2:$T$20,7,false)*HLOOKUP($K1411,'Type Chart'!$C$2:$U$20,7,false)</f>
        <v>1</v>
      </c>
      <c r="AA1411" s="960">
        <f t="array" ref="AA1411">HLOOKUP($J1411,'Type Chart'!$C$2:$T$20,8,false)*HLOOKUP($K1411,'Type Chart'!$C$2:$U$20,8,false)</f>
        <v>1</v>
      </c>
      <c r="AB1411" s="960">
        <f t="array" ref="AB1411">HLOOKUP($J1411,'Type Chart'!$C$2:$T$20,9,false)*HLOOKUP($K1411,'Type Chart'!$C$2:$U$20,9,false)</f>
        <v>1</v>
      </c>
      <c r="AC1411" s="960">
        <f t="array" ref="AC1411">HLOOKUP($J1411,'Type Chart'!$C$2:$T$20,10,false)*HLOOKUP($K1411,'Type Chart'!$C$2:$U$20,10,false)</f>
        <v>0.5</v>
      </c>
      <c r="AD1411" s="960">
        <f t="array" ref="AD1411">HLOOKUP($J1411,'Type Chart'!$C$2:$T$20,11,false)*HLOOKUP($K1411,'Type Chart'!$C$2:$U$20,11,false)</f>
        <v>1</v>
      </c>
      <c r="AE1411" s="960">
        <f t="array" ref="AE1411">HLOOKUP($J1411,'Type Chart'!$C$2:$T$20,12,false)*HLOOKUP($K1411,'Type Chart'!$C$2:$U$20,12,false)</f>
        <v>1</v>
      </c>
      <c r="AF1411" s="960">
        <f t="array" ref="AF1411">HLOOKUP($J1411,'Type Chart'!$C$2:$T$20,13,false)*HLOOKUP($K1411,'Type Chart'!$C$2:$U$20,13,false)</f>
        <v>1</v>
      </c>
      <c r="AG1411" s="960">
        <f t="array" ref="AG1411">HLOOKUP($J1411,'Type Chart'!$C$2:$T$20,14,false)*HLOOKUP($K1411,'Type Chart'!$C$2:$U$20,14,false)</f>
        <v>0.5</v>
      </c>
      <c r="AH1411" s="960">
        <f t="array" ref="AH1411">HLOOKUP($J1411,'Type Chart'!$C$2:$T$20,15,false)*HLOOKUP($K1411,'Type Chart'!$C$2:$U$20,15,false)</f>
        <v>1</v>
      </c>
      <c r="AI1411" s="960">
        <f t="array" ref="AI1411">HLOOKUP($J1411,'Type Chart'!$C$2:$T$20,16,false)*HLOOKUP($K1411,'Type Chart'!$C$2:$U$20,16,false)</f>
        <v>1</v>
      </c>
      <c r="AJ1411" s="960">
        <f t="array" ref="AJ1411">HLOOKUP($J1411,'Type Chart'!$C$2:$T$20,17,false)*HLOOKUP($K1411,'Type Chart'!$C$2:$U$20,17,false)</f>
        <v>1</v>
      </c>
      <c r="AK1411" s="960">
        <f t="array" ref="AK1411">HLOOKUP($J1411,'Type Chart'!$C$2:$T$20,18,false)*HLOOKUP($K1411,'Type Chart'!$C$2:$U$20,18,false)</f>
        <v>1</v>
      </c>
      <c r="AL1411" s="960">
        <f t="array" ref="AL1411">HLOOKUP($J1411,'Type Chart'!$C$2:$T$20,19,false)*HLOOKUP($K1411,'Type Chart'!$C$2:$U$20,19,false)</f>
        <v>1</v>
      </c>
      <c r="AM1411" s="964" t="s">
        <v>1468</v>
      </c>
      <c r="AN1411" s="965" t="s">
        <v>1067</v>
      </c>
      <c r="AO1411" s="966" t="s">
        <v>1469</v>
      </c>
      <c r="AP1411" s="936"/>
      <c r="AQ1411" s="1245"/>
      <c r="AR1411" s="1245"/>
      <c r="AS1411" s="936"/>
    </row>
    <row r="1412" ht="15.75" customHeight="1">
      <c r="A1412" s="1099"/>
      <c r="B1412" s="948" t="s">
        <v>1470</v>
      </c>
      <c r="C1412" s="1197" t="s">
        <v>4511</v>
      </c>
      <c r="D1412" s="1197" t="s">
        <v>4511</v>
      </c>
      <c r="E1412" s="1147" t="s">
        <v>4511</v>
      </c>
      <c r="F1412" s="940"/>
      <c r="G1412" s="953"/>
      <c r="H1412" s="969"/>
      <c r="I1412" s="998" t="s">
        <v>4512</v>
      </c>
      <c r="J1412" s="1196" t="s">
        <v>203</v>
      </c>
      <c r="K1412" s="957" t="s">
        <v>209</v>
      </c>
      <c r="L1412" s="959">
        <v>40.0</v>
      </c>
      <c r="M1412" s="960">
        <v>30.0</v>
      </c>
      <c r="N1412" s="960">
        <v>50.0</v>
      </c>
      <c r="O1412" s="960">
        <v>55.0</v>
      </c>
      <c r="P1412" s="960">
        <v>55.0</v>
      </c>
      <c r="Q1412" s="960">
        <v>100.0</v>
      </c>
      <c r="R1412" s="960">
        <v>236.0</v>
      </c>
      <c r="S1412" s="960">
        <v>299.0</v>
      </c>
      <c r="T1412" s="960">
        <v>328.0</v>
      </c>
      <c r="U1412" s="960">
        <f t="array" ref="U1412">HLOOKUP($J1412,'Type Chart'!$C$2:$T$20,2,false)*HLOOKUP($K1412,'Type Chart'!$C$2:$U$20,2,false)</f>
        <v>1</v>
      </c>
      <c r="V1412" s="960">
        <f t="array" ref="V1412">HLOOKUP($J1412,'Type Chart'!$C$2:$T$20,3,false)*HLOOKUP($K1412,'Type Chart'!$C$2:$U$20,3,false)</f>
        <v>1</v>
      </c>
      <c r="W1412" s="960">
        <f t="array" ref="W1412">HLOOKUP($J1412,'Type Chart'!$C$2:$T$20,4,false)*HLOOKUP($K1412,'Type Chart'!$C$2:$U$20,4,false)</f>
        <v>1</v>
      </c>
      <c r="X1412" s="960">
        <f t="array" ref="X1412">HLOOKUP($J1412,'Type Chart'!$C$2:$T$20,5,false)*HLOOKUP($K1412,'Type Chart'!$C$2:$U$20,5,false)</f>
        <v>2</v>
      </c>
      <c r="Y1412" s="960">
        <f t="array" ref="Y1412">HLOOKUP($J1412,'Type Chart'!$C$2:$T$20,6,false)*HLOOKUP($K1412,'Type Chart'!$C$2:$U$20,6,false)</f>
        <v>1</v>
      </c>
      <c r="Z1412" s="960">
        <f t="array" ref="Z1412">HLOOKUP($J1412,'Type Chart'!$C$2:$T$20,7,false)*HLOOKUP($K1412,'Type Chart'!$C$2:$U$20,7,false)</f>
        <v>1</v>
      </c>
      <c r="AA1412" s="960">
        <f t="array" ref="AA1412">HLOOKUP($J1412,'Type Chart'!$C$2:$T$20,8,false)*HLOOKUP($K1412,'Type Chart'!$C$2:$U$20,8,false)</f>
        <v>2</v>
      </c>
      <c r="AB1412" s="960">
        <f t="array" ref="AB1412">HLOOKUP($J1412,'Type Chart'!$C$2:$T$20,9,false)*HLOOKUP($K1412,'Type Chart'!$C$2:$U$20,9,false)</f>
        <v>1</v>
      </c>
      <c r="AC1412" s="960">
        <f t="array" ref="AC1412">HLOOKUP($J1412,'Type Chart'!$C$2:$T$20,10,false)*HLOOKUP($K1412,'Type Chart'!$C$2:$U$20,10,false)</f>
        <v>0.5</v>
      </c>
      <c r="AD1412" s="960">
        <f t="array" ref="AD1412">HLOOKUP($J1412,'Type Chart'!$C$2:$T$20,11,false)*HLOOKUP($K1412,'Type Chart'!$C$2:$U$20,11,false)</f>
        <v>2</v>
      </c>
      <c r="AE1412" s="960">
        <f t="array" ref="AE1412">HLOOKUP($J1412,'Type Chart'!$C$2:$T$20,12,false)*HLOOKUP($K1412,'Type Chart'!$C$2:$U$20,12,false)</f>
        <v>0.5</v>
      </c>
      <c r="AF1412" s="960">
        <f t="array" ref="AF1412">HLOOKUP($J1412,'Type Chart'!$C$2:$T$20,13,false)*HLOOKUP($K1412,'Type Chart'!$C$2:$U$20,13,false)</f>
        <v>0.5</v>
      </c>
      <c r="AG1412" s="960">
        <f t="array" ref="AG1412">HLOOKUP($J1412,'Type Chart'!$C$2:$T$20,14,false)*HLOOKUP($K1412,'Type Chart'!$C$2:$U$20,14,false)</f>
        <v>0.25</v>
      </c>
      <c r="AH1412" s="960">
        <f t="array" ref="AH1412">HLOOKUP($J1412,'Type Chart'!$C$2:$T$20,15,false)*HLOOKUP($K1412,'Type Chart'!$C$2:$U$20,15,false)</f>
        <v>1</v>
      </c>
      <c r="AI1412" s="960">
        <f t="array" ref="AI1412">HLOOKUP($J1412,'Type Chart'!$C$2:$T$20,16,false)*HLOOKUP($K1412,'Type Chart'!$C$2:$U$20,16,false)</f>
        <v>2</v>
      </c>
      <c r="AJ1412" s="960">
        <f t="array" ref="AJ1412">HLOOKUP($J1412,'Type Chart'!$C$2:$T$20,17,false)*HLOOKUP($K1412,'Type Chart'!$C$2:$U$20,17,false)</f>
        <v>1</v>
      </c>
      <c r="AK1412" s="960">
        <f t="array" ref="AK1412">HLOOKUP($J1412,'Type Chart'!$C$2:$T$20,18,false)*HLOOKUP($K1412,'Type Chart'!$C$2:$U$20,18,false)</f>
        <v>1</v>
      </c>
      <c r="AL1412" s="960">
        <f t="array" ref="AL1412">HLOOKUP($J1412,'Type Chart'!$C$2:$T$20,19,false)*HLOOKUP($K1412,'Type Chart'!$C$2:$U$20,19,false)</f>
        <v>1</v>
      </c>
      <c r="AM1412" s="964"/>
      <c r="AN1412" s="965"/>
      <c r="AO1412" s="966"/>
      <c r="AP1412" s="936"/>
      <c r="AQ1412" s="1245"/>
      <c r="AR1412" s="1245"/>
      <c r="AS1412" s="936"/>
    </row>
    <row r="1413" ht="15.75" customHeight="1">
      <c r="A1413" s="1099"/>
      <c r="B1413" s="948" t="s">
        <v>1472</v>
      </c>
      <c r="C1413" s="1197" t="s">
        <v>1473</v>
      </c>
      <c r="D1413" s="1197" t="s">
        <v>1473</v>
      </c>
      <c r="E1413" s="1147" t="s">
        <v>1473</v>
      </c>
      <c r="F1413" s="940"/>
      <c r="G1413" s="953"/>
      <c r="H1413" s="969"/>
      <c r="I1413" s="998" t="s">
        <v>4513</v>
      </c>
      <c r="J1413" s="1196" t="s">
        <v>203</v>
      </c>
      <c r="K1413" s="957" t="s">
        <v>209</v>
      </c>
      <c r="L1413" s="959">
        <v>60.0</v>
      </c>
      <c r="M1413" s="960">
        <v>50.0</v>
      </c>
      <c r="N1413" s="960">
        <v>70.0</v>
      </c>
      <c r="O1413" s="960">
        <v>80.0</v>
      </c>
      <c r="P1413" s="960">
        <v>80.0</v>
      </c>
      <c r="Q1413" s="960">
        <v>150.0</v>
      </c>
      <c r="R1413" s="960">
        <v>336.0</v>
      </c>
      <c r="S1413" s="960">
        <v>399.0</v>
      </c>
      <c r="T1413" s="960">
        <v>438.0</v>
      </c>
      <c r="U1413" s="960">
        <f t="array" ref="U1413">HLOOKUP($J1413,'Type Chart'!$C$2:$T$20,2,false)*HLOOKUP($K1413,'Type Chart'!$C$2:$U$20,2,false)</f>
        <v>1</v>
      </c>
      <c r="V1413" s="960">
        <f t="array" ref="V1413">HLOOKUP($J1413,'Type Chart'!$C$2:$T$20,3,false)*HLOOKUP($K1413,'Type Chart'!$C$2:$U$20,3,false)</f>
        <v>1</v>
      </c>
      <c r="W1413" s="960">
        <f t="array" ref="W1413">HLOOKUP($J1413,'Type Chart'!$C$2:$T$20,4,false)*HLOOKUP($K1413,'Type Chart'!$C$2:$U$20,4,false)</f>
        <v>1</v>
      </c>
      <c r="X1413" s="960">
        <f t="array" ref="X1413">HLOOKUP($J1413,'Type Chart'!$C$2:$T$20,5,false)*HLOOKUP($K1413,'Type Chart'!$C$2:$U$20,5,false)</f>
        <v>2</v>
      </c>
      <c r="Y1413" s="960">
        <f t="array" ref="Y1413">HLOOKUP($J1413,'Type Chart'!$C$2:$T$20,6,false)*HLOOKUP($K1413,'Type Chart'!$C$2:$U$20,6,false)</f>
        <v>1</v>
      </c>
      <c r="Z1413" s="960">
        <f t="array" ref="Z1413">HLOOKUP($J1413,'Type Chart'!$C$2:$T$20,7,false)*HLOOKUP($K1413,'Type Chart'!$C$2:$U$20,7,false)</f>
        <v>1</v>
      </c>
      <c r="AA1413" s="960">
        <f t="array" ref="AA1413">HLOOKUP($J1413,'Type Chart'!$C$2:$T$20,8,false)*HLOOKUP($K1413,'Type Chart'!$C$2:$U$20,8,false)</f>
        <v>2</v>
      </c>
      <c r="AB1413" s="960">
        <f t="array" ref="AB1413">HLOOKUP($J1413,'Type Chart'!$C$2:$T$20,9,false)*HLOOKUP($K1413,'Type Chart'!$C$2:$U$20,9,false)</f>
        <v>1</v>
      </c>
      <c r="AC1413" s="960">
        <f t="array" ref="AC1413">HLOOKUP($J1413,'Type Chart'!$C$2:$T$20,10,false)*HLOOKUP($K1413,'Type Chart'!$C$2:$U$20,10,false)</f>
        <v>0.5</v>
      </c>
      <c r="AD1413" s="960">
        <f t="array" ref="AD1413">HLOOKUP($J1413,'Type Chart'!$C$2:$T$20,11,false)*HLOOKUP($K1413,'Type Chart'!$C$2:$U$20,11,false)</f>
        <v>2</v>
      </c>
      <c r="AE1413" s="960">
        <f t="array" ref="AE1413">HLOOKUP($J1413,'Type Chart'!$C$2:$T$20,12,false)*HLOOKUP($K1413,'Type Chart'!$C$2:$U$20,12,false)</f>
        <v>0.5</v>
      </c>
      <c r="AF1413" s="960">
        <f t="array" ref="AF1413">HLOOKUP($J1413,'Type Chart'!$C$2:$T$20,13,false)*HLOOKUP($K1413,'Type Chart'!$C$2:$U$20,13,false)</f>
        <v>0.5</v>
      </c>
      <c r="AG1413" s="960">
        <f t="array" ref="AG1413">HLOOKUP($J1413,'Type Chart'!$C$2:$T$20,14,false)*HLOOKUP($K1413,'Type Chart'!$C$2:$U$20,14,false)</f>
        <v>0.25</v>
      </c>
      <c r="AH1413" s="960">
        <f t="array" ref="AH1413">HLOOKUP($J1413,'Type Chart'!$C$2:$T$20,15,false)*HLOOKUP($K1413,'Type Chart'!$C$2:$U$20,15,false)</f>
        <v>1</v>
      </c>
      <c r="AI1413" s="960">
        <f t="array" ref="AI1413">HLOOKUP($J1413,'Type Chart'!$C$2:$T$20,16,false)*HLOOKUP($K1413,'Type Chart'!$C$2:$U$20,16,false)</f>
        <v>2</v>
      </c>
      <c r="AJ1413" s="960">
        <f t="array" ref="AJ1413">HLOOKUP($J1413,'Type Chart'!$C$2:$T$20,17,false)*HLOOKUP($K1413,'Type Chart'!$C$2:$U$20,17,false)</f>
        <v>1</v>
      </c>
      <c r="AK1413" s="960">
        <f t="array" ref="AK1413">HLOOKUP($J1413,'Type Chart'!$C$2:$T$20,18,false)*HLOOKUP($K1413,'Type Chart'!$C$2:$U$20,18,false)</f>
        <v>1</v>
      </c>
      <c r="AL1413" s="960">
        <f t="array" ref="AL1413">HLOOKUP($J1413,'Type Chart'!$C$2:$T$20,19,false)*HLOOKUP($K1413,'Type Chart'!$C$2:$U$20,19,false)</f>
        <v>1</v>
      </c>
      <c r="AM1413" s="964" t="s">
        <v>1468</v>
      </c>
      <c r="AN1413" s="965" t="s">
        <v>1067</v>
      </c>
      <c r="AO1413" s="966" t="s">
        <v>1469</v>
      </c>
      <c r="AP1413" s="936"/>
      <c r="AQ1413" s="1245"/>
      <c r="AR1413" s="1245"/>
      <c r="AS1413" s="936"/>
    </row>
    <row r="1414" ht="15.75" customHeight="1">
      <c r="A1414" s="1099"/>
      <c r="B1414" s="948" t="s">
        <v>1474</v>
      </c>
      <c r="C1414" s="1197" t="s">
        <v>4514</v>
      </c>
      <c r="D1414" s="1197" t="s">
        <v>4514</v>
      </c>
      <c r="E1414" s="1147" t="s">
        <v>4514</v>
      </c>
      <c r="F1414" s="940"/>
      <c r="G1414" s="953"/>
      <c r="H1414" s="969"/>
      <c r="I1414" s="998" t="s">
        <v>4515</v>
      </c>
      <c r="J1414" s="1196" t="s">
        <v>203</v>
      </c>
      <c r="K1414" s="984"/>
      <c r="L1414" s="959">
        <v>60.0</v>
      </c>
      <c r="M1414" s="960">
        <v>50.0</v>
      </c>
      <c r="N1414" s="960">
        <v>70.0</v>
      </c>
      <c r="O1414" s="960">
        <v>80.0</v>
      </c>
      <c r="P1414" s="960">
        <v>80.0</v>
      </c>
      <c r="Q1414" s="960">
        <v>150.0</v>
      </c>
      <c r="R1414" s="960">
        <v>336.0</v>
      </c>
      <c r="S1414" s="960">
        <v>399.0</v>
      </c>
      <c r="T1414" s="960">
        <v>438.0</v>
      </c>
      <c r="U1414" s="960" t="str">
        <f t="array" ref="U1414">HLOOKUP($J1414,'Type Chart'!$C$2:$T$20,2,false)*HLOOKUP($K1414,'Type Chart'!$C$2:$U$20,2,false)</f>
        <v>#N/A</v>
      </c>
      <c r="V1414" s="960" t="str">
        <f t="array" ref="V1414">HLOOKUP($J1414,'Type Chart'!$C$2:$T$20,3,false)*HLOOKUP($K1414,'Type Chart'!$C$2:$U$20,3,false)</f>
        <v>#N/A</v>
      </c>
      <c r="W1414" s="960" t="str">
        <f t="array" ref="W1414">HLOOKUP($J1414,'Type Chart'!$C$2:$T$20,4,false)*HLOOKUP($K1414,'Type Chart'!$C$2:$U$20,4,false)</f>
        <v>#N/A</v>
      </c>
      <c r="X1414" s="960" t="str">
        <f t="array" ref="X1414">HLOOKUP($J1414,'Type Chart'!$C$2:$T$20,5,false)*HLOOKUP($K1414,'Type Chart'!$C$2:$U$20,5,false)</f>
        <v>#N/A</v>
      </c>
      <c r="Y1414" s="960" t="str">
        <f t="array" ref="Y1414">HLOOKUP($J1414,'Type Chart'!$C$2:$T$20,6,false)*HLOOKUP($K1414,'Type Chart'!$C$2:$U$20,6,false)</f>
        <v>#N/A</v>
      </c>
      <c r="Z1414" s="960" t="str">
        <f t="array" ref="Z1414">HLOOKUP($J1414,'Type Chart'!$C$2:$T$20,7,false)*HLOOKUP($K1414,'Type Chart'!$C$2:$U$20,7,false)</f>
        <v>#N/A</v>
      </c>
      <c r="AA1414" s="960" t="str">
        <f t="array" ref="AA1414">HLOOKUP($J1414,'Type Chart'!$C$2:$T$20,8,false)*HLOOKUP($K1414,'Type Chart'!$C$2:$U$20,8,false)</f>
        <v>#N/A</v>
      </c>
      <c r="AB1414" s="960" t="str">
        <f t="array" ref="AB1414">HLOOKUP($J1414,'Type Chart'!$C$2:$T$20,9,false)*HLOOKUP($K1414,'Type Chart'!$C$2:$U$20,9,false)</f>
        <v>#N/A</v>
      </c>
      <c r="AC1414" s="960" t="str">
        <f t="array" ref="AC1414">HLOOKUP($J1414,'Type Chart'!$C$2:$T$20,10,false)*HLOOKUP($K1414,'Type Chart'!$C$2:$U$20,10,false)</f>
        <v>#N/A</v>
      </c>
      <c r="AD1414" s="960" t="str">
        <f t="array" ref="AD1414">HLOOKUP($J1414,'Type Chart'!$C$2:$T$20,11,false)*HLOOKUP($K1414,'Type Chart'!$C$2:$U$20,11,false)</f>
        <v>#N/A</v>
      </c>
      <c r="AE1414" s="960" t="str">
        <f t="array" ref="AE1414">HLOOKUP($J1414,'Type Chart'!$C$2:$T$20,12,false)*HLOOKUP($K1414,'Type Chart'!$C$2:$U$20,12,false)</f>
        <v>#N/A</v>
      </c>
      <c r="AF1414" s="960" t="str">
        <f t="array" ref="AF1414">HLOOKUP($J1414,'Type Chart'!$C$2:$T$20,13,false)*HLOOKUP($K1414,'Type Chart'!$C$2:$U$20,13,false)</f>
        <v>#N/A</v>
      </c>
      <c r="AG1414" s="960" t="str">
        <f t="array" ref="AG1414">HLOOKUP($J1414,'Type Chart'!$C$2:$T$20,14,false)*HLOOKUP($K1414,'Type Chart'!$C$2:$U$20,14,false)</f>
        <v>#N/A</v>
      </c>
      <c r="AH1414" s="960" t="str">
        <f t="array" ref="AH1414">HLOOKUP($J1414,'Type Chart'!$C$2:$T$20,15,false)*HLOOKUP($K1414,'Type Chart'!$C$2:$U$20,15,false)</f>
        <v>#N/A</v>
      </c>
      <c r="AI1414" s="960" t="str">
        <f t="array" ref="AI1414">HLOOKUP($J1414,'Type Chart'!$C$2:$T$20,16,false)*HLOOKUP($K1414,'Type Chart'!$C$2:$U$20,16,false)</f>
        <v>#N/A</v>
      </c>
      <c r="AJ1414" s="960" t="str">
        <f t="array" ref="AJ1414">HLOOKUP($J1414,'Type Chart'!$C$2:$T$20,17,false)*HLOOKUP($K1414,'Type Chart'!$C$2:$U$20,17,false)</f>
        <v>#N/A</v>
      </c>
      <c r="AK1414" s="960" t="str">
        <f t="array" ref="AK1414">HLOOKUP($J1414,'Type Chart'!$C$2:$T$20,18,false)*HLOOKUP($K1414,'Type Chart'!$C$2:$U$20,18,false)</f>
        <v>#N/A</v>
      </c>
      <c r="AL1414" s="960" t="str">
        <f t="array" ref="AL1414">HLOOKUP($J1414,'Type Chart'!$C$2:$T$20,19,false)*HLOOKUP($K1414,'Type Chart'!$C$2:$U$20,19,false)</f>
        <v>#N/A</v>
      </c>
      <c r="AM1414" s="964"/>
      <c r="AN1414" s="965"/>
      <c r="AO1414" s="966"/>
      <c r="AP1414" s="936"/>
      <c r="AQ1414" s="1245"/>
      <c r="AR1414" s="1245"/>
      <c r="AS1414" s="936"/>
    </row>
    <row r="1415" ht="15.75" customHeight="1">
      <c r="A1415" s="1099"/>
      <c r="B1415" s="948" t="s">
        <v>1475</v>
      </c>
      <c r="C1415" s="1197" t="s">
        <v>1476</v>
      </c>
      <c r="D1415" s="1197" t="s">
        <v>1476</v>
      </c>
      <c r="E1415" s="1147" t="s">
        <v>1476</v>
      </c>
      <c r="F1415" s="940"/>
      <c r="G1415" s="953"/>
      <c r="H1415" s="969"/>
      <c r="I1415" s="998" t="s">
        <v>4516</v>
      </c>
      <c r="J1415" s="957" t="s">
        <v>209</v>
      </c>
      <c r="K1415" s="1203" t="s">
        <v>344</v>
      </c>
      <c r="L1415" s="959">
        <v>60.0</v>
      </c>
      <c r="M1415" s="960">
        <v>40.0</v>
      </c>
      <c r="N1415" s="960">
        <v>80.0</v>
      </c>
      <c r="O1415" s="960">
        <v>60.0</v>
      </c>
      <c r="P1415" s="960">
        <v>45.0</v>
      </c>
      <c r="Q1415" s="960">
        <v>40.0</v>
      </c>
      <c r="R1415" s="960">
        <v>116.0</v>
      </c>
      <c r="S1415" s="960">
        <v>179.0</v>
      </c>
      <c r="T1415" s="960">
        <v>196.0</v>
      </c>
      <c r="U1415" s="960">
        <f t="array" ref="U1415">HLOOKUP($J1415,'Type Chart'!$C$2:$T$20,2,false)*HLOOKUP($K1415,'Type Chart'!$C$2:$U$20,2,false)</f>
        <v>1</v>
      </c>
      <c r="V1415" s="960">
        <f t="array" ref="V1415">HLOOKUP($J1415,'Type Chart'!$C$2:$T$20,3,false)*HLOOKUP($K1415,'Type Chart'!$C$2:$U$20,3,false)</f>
        <v>0.5</v>
      </c>
      <c r="W1415" s="960">
        <f t="array" ref="W1415">HLOOKUP($J1415,'Type Chart'!$C$2:$T$20,4,false)*HLOOKUP($K1415,'Type Chart'!$C$2:$U$20,4,false)</f>
        <v>2</v>
      </c>
      <c r="X1415" s="960">
        <f t="array" ref="X1415">HLOOKUP($J1415,'Type Chart'!$C$2:$T$20,5,false)*HLOOKUP($K1415,'Type Chart'!$C$2:$U$20,5,false)</f>
        <v>2</v>
      </c>
      <c r="Y1415" s="960">
        <f t="array" ref="Y1415">HLOOKUP($J1415,'Type Chart'!$C$2:$T$20,6,false)*HLOOKUP($K1415,'Type Chart'!$C$2:$U$20,6,false)</f>
        <v>0.5</v>
      </c>
      <c r="Z1415" s="960">
        <f t="array" ref="Z1415">HLOOKUP($J1415,'Type Chart'!$C$2:$T$20,7,false)*HLOOKUP($K1415,'Type Chart'!$C$2:$U$20,7,false)</f>
        <v>1</v>
      </c>
      <c r="AA1415" s="960">
        <f t="array" ref="AA1415">HLOOKUP($J1415,'Type Chart'!$C$2:$T$20,8,false)*HLOOKUP($K1415,'Type Chart'!$C$2:$U$20,8,false)</f>
        <v>4</v>
      </c>
      <c r="AB1415" s="960">
        <f t="array" ref="AB1415">HLOOKUP($J1415,'Type Chart'!$C$2:$T$20,9,false)*HLOOKUP($K1415,'Type Chart'!$C$2:$U$20,9,false)</f>
        <v>2</v>
      </c>
      <c r="AC1415" s="960">
        <f t="array" ref="AC1415">HLOOKUP($J1415,'Type Chart'!$C$2:$T$20,10,false)*HLOOKUP($K1415,'Type Chart'!$C$2:$U$20,10,false)</f>
        <v>1</v>
      </c>
      <c r="AD1415" s="960">
        <f t="array" ref="AD1415">HLOOKUP($J1415,'Type Chart'!$C$2:$T$20,11,false)*HLOOKUP($K1415,'Type Chart'!$C$2:$U$20,11,false)</f>
        <v>2</v>
      </c>
      <c r="AE1415" s="960">
        <f t="array" ref="AE1415">HLOOKUP($J1415,'Type Chart'!$C$2:$T$20,12,false)*HLOOKUP($K1415,'Type Chart'!$C$2:$U$20,12,false)</f>
        <v>0.5</v>
      </c>
      <c r="AF1415" s="960">
        <f t="array" ref="AF1415">HLOOKUP($J1415,'Type Chart'!$C$2:$T$20,13,false)*HLOOKUP($K1415,'Type Chart'!$C$2:$U$20,13,false)</f>
        <v>0.5</v>
      </c>
      <c r="AG1415" s="960">
        <f t="array" ref="AG1415">HLOOKUP($J1415,'Type Chart'!$C$2:$T$20,14,false)*HLOOKUP($K1415,'Type Chart'!$C$2:$U$20,14,false)</f>
        <v>0.5</v>
      </c>
      <c r="AH1415" s="960">
        <f t="array" ref="AH1415">HLOOKUP($J1415,'Type Chart'!$C$2:$T$20,15,false)*HLOOKUP($K1415,'Type Chart'!$C$2:$U$20,15,false)</f>
        <v>0.5</v>
      </c>
      <c r="AI1415" s="960">
        <f t="array" ref="AI1415">HLOOKUP($J1415,'Type Chart'!$C$2:$T$20,16,false)*HLOOKUP($K1415,'Type Chart'!$C$2:$U$20,16,false)</f>
        <v>2</v>
      </c>
      <c r="AJ1415" s="960">
        <f t="array" ref="AJ1415">HLOOKUP($J1415,'Type Chart'!$C$2:$T$20,17,false)*HLOOKUP($K1415,'Type Chart'!$C$2:$U$20,17,false)</f>
        <v>1</v>
      </c>
      <c r="AK1415" s="960">
        <f t="array" ref="AK1415">HLOOKUP($J1415,'Type Chart'!$C$2:$T$20,18,false)*HLOOKUP($K1415,'Type Chart'!$C$2:$U$20,18,false)</f>
        <v>2</v>
      </c>
      <c r="AL1415" s="960">
        <f t="array" ref="AL1415">HLOOKUP($J1415,'Type Chart'!$C$2:$T$20,19,false)*HLOOKUP($K1415,'Type Chart'!$C$2:$U$20,19,false)</f>
        <v>1</v>
      </c>
      <c r="AM1415" s="964" t="s">
        <v>524</v>
      </c>
      <c r="AN1415" s="965"/>
      <c r="AO1415" s="966" t="s">
        <v>1478</v>
      </c>
      <c r="AP1415" s="936"/>
      <c r="AQ1415" s="1245"/>
      <c r="AR1415" s="1245"/>
      <c r="AS1415" s="936"/>
    </row>
    <row r="1416" ht="15.75" customHeight="1">
      <c r="A1416" s="1099"/>
      <c r="B1416" s="948" t="s">
        <v>1479</v>
      </c>
      <c r="C1416" s="1197" t="s">
        <v>1480</v>
      </c>
      <c r="D1416" s="1197" t="s">
        <v>1480</v>
      </c>
      <c r="E1416" s="1147" t="s">
        <v>1480</v>
      </c>
      <c r="F1416" s="940"/>
      <c r="G1416" s="953"/>
      <c r="H1416" s="969"/>
      <c r="I1416" s="998" t="s">
        <v>4517</v>
      </c>
      <c r="J1416" s="957" t="s">
        <v>209</v>
      </c>
      <c r="K1416" s="1203" t="s">
        <v>344</v>
      </c>
      <c r="L1416" s="959">
        <v>95.0</v>
      </c>
      <c r="M1416" s="960">
        <v>95.0</v>
      </c>
      <c r="N1416" s="960">
        <v>85.0</v>
      </c>
      <c r="O1416" s="960">
        <v>125.0</v>
      </c>
      <c r="P1416" s="960">
        <v>75.0</v>
      </c>
      <c r="Q1416" s="960">
        <v>55.0</v>
      </c>
      <c r="R1416" s="960">
        <v>146.0</v>
      </c>
      <c r="S1416" s="960">
        <v>209.0</v>
      </c>
      <c r="T1416" s="960">
        <v>229.0</v>
      </c>
      <c r="U1416" s="960">
        <f t="array" ref="U1416">HLOOKUP($J1416,'Type Chart'!$C$2:$T$20,2,false)*HLOOKUP($K1416,'Type Chart'!$C$2:$U$20,2,false)</f>
        <v>1</v>
      </c>
      <c r="V1416" s="960">
        <f t="array" ref="V1416">HLOOKUP($J1416,'Type Chart'!$C$2:$T$20,3,false)*HLOOKUP($K1416,'Type Chart'!$C$2:$U$20,3,false)</f>
        <v>0.5</v>
      </c>
      <c r="W1416" s="960">
        <f t="array" ref="W1416">HLOOKUP($J1416,'Type Chart'!$C$2:$T$20,4,false)*HLOOKUP($K1416,'Type Chart'!$C$2:$U$20,4,false)</f>
        <v>2</v>
      </c>
      <c r="X1416" s="960">
        <f t="array" ref="X1416">HLOOKUP($J1416,'Type Chart'!$C$2:$T$20,5,false)*HLOOKUP($K1416,'Type Chart'!$C$2:$U$20,5,false)</f>
        <v>2</v>
      </c>
      <c r="Y1416" s="960">
        <f t="array" ref="Y1416">HLOOKUP($J1416,'Type Chart'!$C$2:$T$20,6,false)*HLOOKUP($K1416,'Type Chart'!$C$2:$U$20,6,false)</f>
        <v>0.5</v>
      </c>
      <c r="Z1416" s="960">
        <f t="array" ref="Z1416">HLOOKUP($J1416,'Type Chart'!$C$2:$T$20,7,false)*HLOOKUP($K1416,'Type Chart'!$C$2:$U$20,7,false)</f>
        <v>1</v>
      </c>
      <c r="AA1416" s="960">
        <f t="array" ref="AA1416">HLOOKUP($J1416,'Type Chart'!$C$2:$T$20,8,false)*HLOOKUP($K1416,'Type Chart'!$C$2:$U$20,8,false)</f>
        <v>4</v>
      </c>
      <c r="AB1416" s="960">
        <f t="array" ref="AB1416">HLOOKUP($J1416,'Type Chart'!$C$2:$T$20,9,false)*HLOOKUP($K1416,'Type Chart'!$C$2:$U$20,9,false)</f>
        <v>2</v>
      </c>
      <c r="AC1416" s="960">
        <f t="array" ref="AC1416">HLOOKUP($J1416,'Type Chart'!$C$2:$T$20,10,false)*HLOOKUP($K1416,'Type Chart'!$C$2:$U$20,10,false)</f>
        <v>1</v>
      </c>
      <c r="AD1416" s="960">
        <f t="array" ref="AD1416">HLOOKUP($J1416,'Type Chart'!$C$2:$T$20,11,false)*HLOOKUP($K1416,'Type Chart'!$C$2:$U$20,11,false)</f>
        <v>2</v>
      </c>
      <c r="AE1416" s="960">
        <f t="array" ref="AE1416">HLOOKUP($J1416,'Type Chart'!$C$2:$T$20,12,false)*HLOOKUP($K1416,'Type Chart'!$C$2:$U$20,12,false)</f>
        <v>0.5</v>
      </c>
      <c r="AF1416" s="960">
        <f t="array" ref="AF1416">HLOOKUP($J1416,'Type Chart'!$C$2:$T$20,13,false)*HLOOKUP($K1416,'Type Chart'!$C$2:$U$20,13,false)</f>
        <v>0.5</v>
      </c>
      <c r="AG1416" s="960">
        <f t="array" ref="AG1416">HLOOKUP($J1416,'Type Chart'!$C$2:$T$20,14,false)*HLOOKUP($K1416,'Type Chart'!$C$2:$U$20,14,false)</f>
        <v>0.5</v>
      </c>
      <c r="AH1416" s="960">
        <f t="array" ref="AH1416">HLOOKUP($J1416,'Type Chart'!$C$2:$T$20,15,false)*HLOOKUP($K1416,'Type Chart'!$C$2:$U$20,15,false)</f>
        <v>0.5</v>
      </c>
      <c r="AI1416" s="960">
        <f t="array" ref="AI1416">HLOOKUP($J1416,'Type Chart'!$C$2:$T$20,16,false)*HLOOKUP($K1416,'Type Chart'!$C$2:$U$20,16,false)</f>
        <v>2</v>
      </c>
      <c r="AJ1416" s="960">
        <f t="array" ref="AJ1416">HLOOKUP($J1416,'Type Chart'!$C$2:$T$20,17,false)*HLOOKUP($K1416,'Type Chart'!$C$2:$U$20,17,false)</f>
        <v>1</v>
      </c>
      <c r="AK1416" s="960">
        <f t="array" ref="AK1416">HLOOKUP($J1416,'Type Chart'!$C$2:$T$20,18,false)*HLOOKUP($K1416,'Type Chart'!$C$2:$U$20,18,false)</f>
        <v>2</v>
      </c>
      <c r="AL1416" s="960">
        <f t="array" ref="AL1416">HLOOKUP($J1416,'Type Chart'!$C$2:$T$20,19,false)*HLOOKUP($K1416,'Type Chart'!$C$2:$U$20,19,false)</f>
        <v>1</v>
      </c>
      <c r="AM1416" s="964" t="s">
        <v>524</v>
      </c>
      <c r="AN1416" s="965"/>
      <c r="AO1416" s="966" t="s">
        <v>1478</v>
      </c>
      <c r="AP1416" s="936"/>
      <c r="AQ1416" s="1245"/>
      <c r="AR1416" s="1245"/>
      <c r="AS1416" s="936"/>
    </row>
    <row r="1417" ht="15.75" customHeight="1">
      <c r="A1417" s="1099"/>
      <c r="B1417" s="948" t="s">
        <v>1481</v>
      </c>
      <c r="C1417" s="1197" t="s">
        <v>1482</v>
      </c>
      <c r="D1417" s="1197" t="s">
        <v>1482</v>
      </c>
      <c r="E1417" s="1147" t="s">
        <v>1483</v>
      </c>
      <c r="F1417" s="940"/>
      <c r="G1417" s="953"/>
      <c r="H1417" s="969"/>
      <c r="I1417" s="998" t="s">
        <v>4518</v>
      </c>
      <c r="J1417" s="957" t="s">
        <v>209</v>
      </c>
      <c r="K1417" s="1006" t="s">
        <v>346</v>
      </c>
      <c r="L1417" s="959">
        <v>95.0</v>
      </c>
      <c r="M1417" s="960">
        <v>105.0</v>
      </c>
      <c r="N1417" s="960">
        <v>85.0</v>
      </c>
      <c r="O1417" s="960">
        <v>125.0</v>
      </c>
      <c r="P1417" s="960">
        <v>75.0</v>
      </c>
      <c r="Q1417" s="960">
        <v>45.0</v>
      </c>
      <c r="R1417" s="960">
        <v>126.0</v>
      </c>
      <c r="S1417" s="960">
        <v>189.0</v>
      </c>
      <c r="T1417" s="960">
        <v>207.0</v>
      </c>
      <c r="U1417" s="960">
        <f t="array" ref="U1417">HLOOKUP($J1417,'Type Chart'!$C$2:$T$20,2,false)*HLOOKUP($K1417,'Type Chart'!$C$2:$U$20,2,false)</f>
        <v>1</v>
      </c>
      <c r="V1417" s="960">
        <f t="array" ref="V1417">HLOOKUP($J1417,'Type Chart'!$C$2:$T$20,3,false)*HLOOKUP($K1417,'Type Chart'!$C$2:$U$20,3,false)</f>
        <v>1</v>
      </c>
      <c r="W1417" s="960">
        <f t="array" ref="W1417">HLOOKUP($J1417,'Type Chart'!$C$2:$T$20,4,false)*HLOOKUP($K1417,'Type Chart'!$C$2:$U$20,4,false)</f>
        <v>2</v>
      </c>
      <c r="X1417" s="960">
        <f t="array" ref="X1417">HLOOKUP($J1417,'Type Chart'!$C$2:$T$20,5,false)*HLOOKUP($K1417,'Type Chart'!$C$2:$U$20,5,false)</f>
        <v>2</v>
      </c>
      <c r="Y1417" s="960">
        <f t="array" ref="Y1417">HLOOKUP($J1417,'Type Chart'!$C$2:$T$20,6,false)*HLOOKUP($K1417,'Type Chart'!$C$2:$U$20,6,false)</f>
        <v>0.5</v>
      </c>
      <c r="Z1417" s="960">
        <f t="array" ref="Z1417">HLOOKUP($J1417,'Type Chart'!$C$2:$T$20,7,false)*HLOOKUP($K1417,'Type Chart'!$C$2:$U$20,7,false)</f>
        <v>1</v>
      </c>
      <c r="AA1417" s="960">
        <f t="array" ref="AA1417">HLOOKUP($J1417,'Type Chart'!$C$2:$T$20,8,false)*HLOOKUP($K1417,'Type Chart'!$C$2:$U$20,8,false)</f>
        <v>2</v>
      </c>
      <c r="AB1417" s="960">
        <f t="array" ref="AB1417">HLOOKUP($J1417,'Type Chart'!$C$2:$T$20,9,false)*HLOOKUP($K1417,'Type Chart'!$C$2:$U$20,9,false)</f>
        <v>1</v>
      </c>
      <c r="AC1417" s="960">
        <f t="array" ref="AC1417">HLOOKUP($J1417,'Type Chart'!$C$2:$T$20,10,false)*HLOOKUP($K1417,'Type Chart'!$C$2:$U$20,10,false)</f>
        <v>1</v>
      </c>
      <c r="AD1417" s="960">
        <f t="array" ref="AD1417">HLOOKUP($J1417,'Type Chart'!$C$2:$T$20,11,false)*HLOOKUP($K1417,'Type Chart'!$C$2:$U$20,11,false)</f>
        <v>1</v>
      </c>
      <c r="AE1417" s="960">
        <f t="array" ref="AE1417">HLOOKUP($J1417,'Type Chart'!$C$2:$T$20,12,false)*HLOOKUP($K1417,'Type Chart'!$C$2:$U$20,12,false)</f>
        <v>0.25</v>
      </c>
      <c r="AF1417" s="960">
        <f t="array" ref="AF1417">HLOOKUP($J1417,'Type Chart'!$C$2:$T$20,13,false)*HLOOKUP($K1417,'Type Chart'!$C$2:$U$20,13,false)</f>
        <v>0.25</v>
      </c>
      <c r="AG1417" s="960">
        <f t="array" ref="AG1417">HLOOKUP($J1417,'Type Chart'!$C$2:$T$20,14,false)*HLOOKUP($K1417,'Type Chart'!$C$2:$U$20,14,false)</f>
        <v>0.25</v>
      </c>
      <c r="AH1417" s="960">
        <f t="array" ref="AH1417">HLOOKUP($J1417,'Type Chart'!$C$2:$T$20,15,false)*HLOOKUP($K1417,'Type Chart'!$C$2:$U$20,15,false)</f>
        <v>1</v>
      </c>
      <c r="AI1417" s="960">
        <f t="array" ref="AI1417">HLOOKUP($J1417,'Type Chart'!$C$2:$T$20,16,false)*HLOOKUP($K1417,'Type Chart'!$C$2:$U$20,16,false)</f>
        <v>4</v>
      </c>
      <c r="AJ1417" s="960">
        <f t="array" ref="AJ1417">HLOOKUP($J1417,'Type Chart'!$C$2:$T$20,17,false)*HLOOKUP($K1417,'Type Chart'!$C$2:$U$20,17,false)</f>
        <v>2</v>
      </c>
      <c r="AK1417" s="960">
        <f t="array" ref="AK1417">HLOOKUP($J1417,'Type Chart'!$C$2:$T$20,18,false)*HLOOKUP($K1417,'Type Chart'!$C$2:$U$20,18,false)</f>
        <v>1</v>
      </c>
      <c r="AL1417" s="960">
        <f t="array" ref="AL1417">HLOOKUP($J1417,'Type Chart'!$C$2:$T$20,19,false)*HLOOKUP($K1417,'Type Chart'!$C$2:$U$20,19,false)</f>
        <v>2</v>
      </c>
      <c r="AM1417" s="964" t="s">
        <v>1188</v>
      </c>
      <c r="AN1417" s="965"/>
      <c r="AO1417" s="966" t="s">
        <v>1478</v>
      </c>
      <c r="AP1417" s="936"/>
      <c r="AQ1417" s="1245"/>
      <c r="AR1417" s="1245"/>
      <c r="AS1417" s="936"/>
    </row>
    <row r="1418" ht="15.75" customHeight="1">
      <c r="A1418" s="1099"/>
      <c r="B1418" s="948" t="s">
        <v>1484</v>
      </c>
      <c r="C1418" s="1197" t="s">
        <v>1485</v>
      </c>
      <c r="D1418" s="1197" t="s">
        <v>1485</v>
      </c>
      <c r="E1418" s="1147" t="s">
        <v>1485</v>
      </c>
      <c r="F1418" s="940"/>
      <c r="G1418" s="953"/>
      <c r="H1418" s="969"/>
      <c r="I1418" s="998" t="s">
        <v>4519</v>
      </c>
      <c r="J1418" s="1204" t="s">
        <v>80</v>
      </c>
      <c r="K1418" s="984" t="s">
        <v>216</v>
      </c>
      <c r="L1418" s="959">
        <v>50.0</v>
      </c>
      <c r="M1418" s="960">
        <v>50.0</v>
      </c>
      <c r="N1418" s="960">
        <v>95.0</v>
      </c>
      <c r="O1418" s="960">
        <v>40.0</v>
      </c>
      <c r="P1418" s="960">
        <v>50.0</v>
      </c>
      <c r="Q1418" s="960">
        <v>35.0</v>
      </c>
      <c r="R1418" s="960">
        <v>106.0</v>
      </c>
      <c r="S1418" s="960">
        <v>169.0</v>
      </c>
      <c r="T1418" s="960">
        <v>185.0</v>
      </c>
      <c r="U1418" s="960">
        <f t="array" ref="U1418">HLOOKUP($J1418,'Type Chart'!$C$2:$T$20,2,false)*HLOOKUP($K1418,'Type Chart'!$C$2:$U$20,2,false)</f>
        <v>1</v>
      </c>
      <c r="V1418" s="960">
        <f t="array" ref="V1418">HLOOKUP($J1418,'Type Chart'!$C$2:$T$20,3,false)*HLOOKUP($K1418,'Type Chart'!$C$2:$U$20,3,false)</f>
        <v>1</v>
      </c>
      <c r="W1418" s="960">
        <f t="array" ref="W1418">HLOOKUP($J1418,'Type Chart'!$C$2:$T$20,4,false)*HLOOKUP($K1418,'Type Chart'!$C$2:$U$20,4,false)</f>
        <v>1</v>
      </c>
      <c r="X1418" s="960">
        <f t="array" ref="X1418">HLOOKUP($J1418,'Type Chart'!$C$2:$T$20,5,false)*HLOOKUP($K1418,'Type Chart'!$C$2:$U$20,5,false)</f>
        <v>0.5</v>
      </c>
      <c r="Y1418" s="960">
        <f t="array" ref="Y1418">HLOOKUP($J1418,'Type Chart'!$C$2:$T$20,6,false)*HLOOKUP($K1418,'Type Chart'!$C$2:$U$20,6,false)</f>
        <v>1</v>
      </c>
      <c r="Z1418" s="960">
        <f t="array" ref="Z1418">HLOOKUP($J1418,'Type Chart'!$C$2:$T$20,7,false)*HLOOKUP($K1418,'Type Chart'!$C$2:$U$20,7,false)</f>
        <v>0.5</v>
      </c>
      <c r="AA1418" s="960">
        <f t="array" ref="AA1418">HLOOKUP($J1418,'Type Chart'!$C$2:$T$20,8,false)*HLOOKUP($K1418,'Type Chart'!$C$2:$U$20,8,false)</f>
        <v>1</v>
      </c>
      <c r="AB1418" s="960">
        <f t="array" ref="AB1418">HLOOKUP($J1418,'Type Chart'!$C$2:$T$20,9,false)*HLOOKUP($K1418,'Type Chart'!$C$2:$U$20,9,false)</f>
        <v>1</v>
      </c>
      <c r="AC1418" s="960">
        <f t="array" ref="AC1418">HLOOKUP($J1418,'Type Chart'!$C$2:$T$20,10,false)*HLOOKUP($K1418,'Type Chart'!$C$2:$U$20,10,false)</f>
        <v>1</v>
      </c>
      <c r="AD1418" s="960">
        <f t="array" ref="AD1418">HLOOKUP($J1418,'Type Chart'!$C$2:$T$20,11,false)*HLOOKUP($K1418,'Type Chart'!$C$2:$U$20,11,false)</f>
        <v>1</v>
      </c>
      <c r="AE1418" s="960">
        <f t="array" ref="AE1418">HLOOKUP($J1418,'Type Chart'!$C$2:$T$20,12,false)*HLOOKUP($K1418,'Type Chart'!$C$2:$U$20,12,false)</f>
        <v>2</v>
      </c>
      <c r="AF1418" s="960">
        <f t="array" ref="AF1418">HLOOKUP($J1418,'Type Chart'!$C$2:$T$20,13,false)*HLOOKUP($K1418,'Type Chart'!$C$2:$U$20,13,false)</f>
        <v>2</v>
      </c>
      <c r="AG1418" s="960">
        <f t="array" ref="AG1418">HLOOKUP($J1418,'Type Chart'!$C$2:$T$20,14,false)*HLOOKUP($K1418,'Type Chart'!$C$2:$U$20,14,false)</f>
        <v>0</v>
      </c>
      <c r="AH1418" s="960">
        <f t="array" ref="AH1418">HLOOKUP($J1418,'Type Chart'!$C$2:$T$20,15,false)*HLOOKUP($K1418,'Type Chart'!$C$2:$U$20,15,false)</f>
        <v>1</v>
      </c>
      <c r="AI1418" s="960">
        <f t="array" ref="AI1418">HLOOKUP($J1418,'Type Chart'!$C$2:$T$20,16,false)*HLOOKUP($K1418,'Type Chart'!$C$2:$U$20,16,false)</f>
        <v>2</v>
      </c>
      <c r="AJ1418" s="960">
        <f t="array" ref="AJ1418">HLOOKUP($J1418,'Type Chart'!$C$2:$T$20,17,false)*HLOOKUP($K1418,'Type Chart'!$C$2:$U$20,17,false)</f>
        <v>1</v>
      </c>
      <c r="AK1418" s="960">
        <f t="array" ref="AK1418">HLOOKUP($J1418,'Type Chart'!$C$2:$T$20,18,false)*HLOOKUP($K1418,'Type Chart'!$C$2:$U$20,18,false)</f>
        <v>1</v>
      </c>
      <c r="AL1418" s="960">
        <f t="array" ref="AL1418">HLOOKUP($J1418,'Type Chart'!$C$2:$T$20,19,false)*HLOOKUP($K1418,'Type Chart'!$C$2:$U$20,19,false)</f>
        <v>1</v>
      </c>
      <c r="AM1418" s="964" t="s">
        <v>1276</v>
      </c>
      <c r="AN1418" s="965" t="s">
        <v>1068</v>
      </c>
      <c r="AO1418" s="966" t="s">
        <v>1487</v>
      </c>
      <c r="AP1418" s="936"/>
      <c r="AQ1418" s="1245"/>
      <c r="AR1418" s="1245"/>
      <c r="AS1418" s="936"/>
    </row>
    <row r="1419" ht="15.75" customHeight="1">
      <c r="A1419" s="1099"/>
      <c r="B1419" s="948" t="s">
        <v>1488</v>
      </c>
      <c r="C1419" s="1197" t="s">
        <v>1489</v>
      </c>
      <c r="D1419" s="1197" t="s">
        <v>1489</v>
      </c>
      <c r="E1419" s="1147" t="s">
        <v>1489</v>
      </c>
      <c r="F1419" s="940"/>
      <c r="G1419" s="953"/>
      <c r="H1419" s="969"/>
      <c r="I1419" s="998" t="s">
        <v>4520</v>
      </c>
      <c r="J1419" s="1204" t="s">
        <v>80</v>
      </c>
      <c r="K1419" s="984" t="s">
        <v>216</v>
      </c>
      <c r="L1419" s="959">
        <v>60.0</v>
      </c>
      <c r="M1419" s="960">
        <v>80.0</v>
      </c>
      <c r="N1419" s="960">
        <v>110.0</v>
      </c>
      <c r="O1419" s="960">
        <v>50.0</v>
      </c>
      <c r="P1419" s="960">
        <v>80.0</v>
      </c>
      <c r="Q1419" s="960">
        <v>45.0</v>
      </c>
      <c r="R1419" s="960">
        <v>126.0</v>
      </c>
      <c r="S1419" s="960">
        <v>189.0</v>
      </c>
      <c r="T1419" s="960">
        <v>207.0</v>
      </c>
      <c r="U1419" s="960">
        <f t="array" ref="U1419">HLOOKUP($J1419,'Type Chart'!$C$2:$T$20,2,false)*HLOOKUP($K1419,'Type Chart'!$C$2:$U$20,2,false)</f>
        <v>1</v>
      </c>
      <c r="V1419" s="960">
        <f t="array" ref="V1419">HLOOKUP($J1419,'Type Chart'!$C$2:$T$20,3,false)*HLOOKUP($K1419,'Type Chart'!$C$2:$U$20,3,false)</f>
        <v>1</v>
      </c>
      <c r="W1419" s="960">
        <f t="array" ref="W1419">HLOOKUP($J1419,'Type Chart'!$C$2:$T$20,4,false)*HLOOKUP($K1419,'Type Chart'!$C$2:$U$20,4,false)</f>
        <v>1</v>
      </c>
      <c r="X1419" s="960">
        <f t="array" ref="X1419">HLOOKUP($J1419,'Type Chart'!$C$2:$T$20,5,false)*HLOOKUP($K1419,'Type Chart'!$C$2:$U$20,5,false)</f>
        <v>0.5</v>
      </c>
      <c r="Y1419" s="960">
        <f t="array" ref="Y1419">HLOOKUP($J1419,'Type Chart'!$C$2:$T$20,6,false)*HLOOKUP($K1419,'Type Chart'!$C$2:$U$20,6,false)</f>
        <v>1</v>
      </c>
      <c r="Z1419" s="960">
        <f t="array" ref="Z1419">HLOOKUP($J1419,'Type Chart'!$C$2:$T$20,7,false)*HLOOKUP($K1419,'Type Chart'!$C$2:$U$20,7,false)</f>
        <v>0.5</v>
      </c>
      <c r="AA1419" s="960">
        <f t="array" ref="AA1419">HLOOKUP($J1419,'Type Chart'!$C$2:$T$20,8,false)*HLOOKUP($K1419,'Type Chart'!$C$2:$U$20,8,false)</f>
        <v>1</v>
      </c>
      <c r="AB1419" s="960">
        <f t="array" ref="AB1419">HLOOKUP($J1419,'Type Chart'!$C$2:$T$20,9,false)*HLOOKUP($K1419,'Type Chart'!$C$2:$U$20,9,false)</f>
        <v>1</v>
      </c>
      <c r="AC1419" s="960">
        <f t="array" ref="AC1419">HLOOKUP($J1419,'Type Chart'!$C$2:$T$20,10,false)*HLOOKUP($K1419,'Type Chart'!$C$2:$U$20,10,false)</f>
        <v>1</v>
      </c>
      <c r="AD1419" s="960">
        <f t="array" ref="AD1419">HLOOKUP($J1419,'Type Chart'!$C$2:$T$20,11,false)*HLOOKUP($K1419,'Type Chart'!$C$2:$U$20,11,false)</f>
        <v>1</v>
      </c>
      <c r="AE1419" s="960">
        <f t="array" ref="AE1419">HLOOKUP($J1419,'Type Chart'!$C$2:$T$20,12,false)*HLOOKUP($K1419,'Type Chart'!$C$2:$U$20,12,false)</f>
        <v>2</v>
      </c>
      <c r="AF1419" s="960">
        <f t="array" ref="AF1419">HLOOKUP($J1419,'Type Chart'!$C$2:$T$20,13,false)*HLOOKUP($K1419,'Type Chart'!$C$2:$U$20,13,false)</f>
        <v>2</v>
      </c>
      <c r="AG1419" s="960">
        <f t="array" ref="AG1419">HLOOKUP($J1419,'Type Chart'!$C$2:$T$20,14,false)*HLOOKUP($K1419,'Type Chart'!$C$2:$U$20,14,false)</f>
        <v>0</v>
      </c>
      <c r="AH1419" s="960">
        <f t="array" ref="AH1419">HLOOKUP($J1419,'Type Chart'!$C$2:$T$20,15,false)*HLOOKUP($K1419,'Type Chart'!$C$2:$U$20,15,false)</f>
        <v>1</v>
      </c>
      <c r="AI1419" s="960">
        <f t="array" ref="AI1419">HLOOKUP($J1419,'Type Chart'!$C$2:$T$20,16,false)*HLOOKUP($K1419,'Type Chart'!$C$2:$U$20,16,false)</f>
        <v>2</v>
      </c>
      <c r="AJ1419" s="960">
        <f t="array" ref="AJ1419">HLOOKUP($J1419,'Type Chart'!$C$2:$T$20,17,false)*HLOOKUP($K1419,'Type Chart'!$C$2:$U$20,17,false)</f>
        <v>1</v>
      </c>
      <c r="AK1419" s="960">
        <f t="array" ref="AK1419">HLOOKUP($J1419,'Type Chart'!$C$2:$T$20,18,false)*HLOOKUP($K1419,'Type Chart'!$C$2:$U$20,18,false)</f>
        <v>1</v>
      </c>
      <c r="AL1419" s="960">
        <f t="array" ref="AL1419">HLOOKUP($J1419,'Type Chart'!$C$2:$T$20,19,false)*HLOOKUP($K1419,'Type Chart'!$C$2:$U$20,19,false)</f>
        <v>1</v>
      </c>
      <c r="AM1419" s="964" t="s">
        <v>1276</v>
      </c>
      <c r="AN1419" s="965" t="s">
        <v>1068</v>
      </c>
      <c r="AO1419" s="966" t="s">
        <v>1487</v>
      </c>
      <c r="AP1419" s="936"/>
      <c r="AQ1419" s="1245"/>
      <c r="AR1419" s="1245"/>
      <c r="AS1419" s="936"/>
    </row>
    <row r="1420" ht="15.75" customHeight="1">
      <c r="A1420" s="1099"/>
      <c r="B1420" s="948" t="s">
        <v>1491</v>
      </c>
      <c r="C1420" s="1197" t="s">
        <v>1492</v>
      </c>
      <c r="D1420" s="1197" t="s">
        <v>1492</v>
      </c>
      <c r="E1420" s="1147" t="s">
        <v>1493</v>
      </c>
      <c r="F1420" s="940"/>
      <c r="G1420" s="953"/>
      <c r="H1420" s="969"/>
      <c r="I1420" s="998" t="s">
        <v>4521</v>
      </c>
      <c r="J1420" s="982" t="s">
        <v>150</v>
      </c>
      <c r="K1420" s="1220" t="s">
        <v>215</v>
      </c>
      <c r="L1420" s="959">
        <v>60.0</v>
      </c>
      <c r="M1420" s="960">
        <v>80.0</v>
      </c>
      <c r="N1420" s="960">
        <v>110.0</v>
      </c>
      <c r="O1420" s="960">
        <v>50.0</v>
      </c>
      <c r="P1420" s="960">
        <v>80.0</v>
      </c>
      <c r="Q1420" s="960">
        <v>45.0</v>
      </c>
      <c r="R1420" s="960">
        <v>126.0</v>
      </c>
      <c r="S1420" s="960">
        <v>189.0</v>
      </c>
      <c r="T1420" s="960">
        <v>207.0</v>
      </c>
      <c r="U1420" s="960">
        <f t="array" ref="U1420">HLOOKUP($J1420,'Type Chart'!$C$2:$T$20,2,false)*HLOOKUP($K1420,'Type Chart'!$C$2:$U$20,2,false)</f>
        <v>0</v>
      </c>
      <c r="V1420" s="960">
        <f t="array" ref="V1420">HLOOKUP($J1420,'Type Chart'!$C$2:$T$20,3,false)*HLOOKUP($K1420,'Type Chart'!$C$2:$U$20,3,false)</f>
        <v>0</v>
      </c>
      <c r="W1420" s="960">
        <f t="array" ref="W1420">HLOOKUP($J1420,'Type Chart'!$C$2:$T$20,4,false)*HLOOKUP($K1420,'Type Chart'!$C$2:$U$20,4,false)</f>
        <v>1</v>
      </c>
      <c r="X1420" s="960">
        <f t="array" ref="X1420">HLOOKUP($J1420,'Type Chart'!$C$2:$T$20,5,false)*HLOOKUP($K1420,'Type Chart'!$C$2:$U$20,5,false)</f>
        <v>0.5</v>
      </c>
      <c r="Y1420" s="960">
        <f t="array" ref="Y1420">HLOOKUP($J1420,'Type Chart'!$C$2:$T$20,6,false)*HLOOKUP($K1420,'Type Chart'!$C$2:$U$20,6,false)</f>
        <v>2</v>
      </c>
      <c r="Z1420" s="960">
        <f t="array" ref="Z1420">HLOOKUP($J1420,'Type Chart'!$C$2:$T$20,7,false)*HLOOKUP($K1420,'Type Chart'!$C$2:$U$20,7,false)</f>
        <v>2</v>
      </c>
      <c r="AA1420" s="960">
        <f t="array" ref="AA1420">HLOOKUP($J1420,'Type Chart'!$C$2:$T$20,8,false)*HLOOKUP($K1420,'Type Chart'!$C$2:$U$20,8,false)</f>
        <v>0.25</v>
      </c>
      <c r="AB1420" s="960">
        <f t="array" ref="AB1420">HLOOKUP($J1420,'Type Chart'!$C$2:$T$20,9,false)*HLOOKUP($K1420,'Type Chart'!$C$2:$U$20,9,false)</f>
        <v>2</v>
      </c>
      <c r="AC1420" s="960">
        <f t="array" ref="AC1420">HLOOKUP($J1420,'Type Chart'!$C$2:$T$20,10,false)*HLOOKUP($K1420,'Type Chart'!$C$2:$U$20,10,false)</f>
        <v>0.5</v>
      </c>
      <c r="AD1420" s="960">
        <f t="array" ref="AD1420">HLOOKUP($J1420,'Type Chart'!$C$2:$T$20,11,false)*HLOOKUP($K1420,'Type Chart'!$C$2:$U$20,11,false)</f>
        <v>0.5</v>
      </c>
      <c r="AE1420" s="960">
        <f t="array" ref="AE1420">HLOOKUP($J1420,'Type Chart'!$C$2:$T$20,12,false)*HLOOKUP($K1420,'Type Chart'!$C$2:$U$20,12,false)</f>
        <v>2</v>
      </c>
      <c r="AF1420" s="960">
        <f t="array" ref="AF1420">HLOOKUP($J1420,'Type Chart'!$C$2:$T$20,13,false)*HLOOKUP($K1420,'Type Chart'!$C$2:$U$20,13,false)</f>
        <v>0.5</v>
      </c>
      <c r="AG1420" s="960">
        <f t="array" ref="AG1420">HLOOKUP($J1420,'Type Chart'!$C$2:$T$20,14,false)*HLOOKUP($K1420,'Type Chart'!$C$2:$U$20,14,false)</f>
        <v>1</v>
      </c>
      <c r="AH1420" s="960">
        <f t="array" ref="AH1420">HLOOKUP($J1420,'Type Chart'!$C$2:$T$20,15,false)*HLOOKUP($K1420,'Type Chart'!$C$2:$U$20,15,false)</f>
        <v>1</v>
      </c>
      <c r="AI1420" s="960">
        <f t="array" ref="AI1420">HLOOKUP($J1420,'Type Chart'!$C$2:$T$20,16,false)*HLOOKUP($K1420,'Type Chart'!$C$2:$U$20,16,false)</f>
        <v>0.5</v>
      </c>
      <c r="AJ1420" s="960">
        <f t="array" ref="AJ1420">HLOOKUP($J1420,'Type Chart'!$C$2:$T$20,17,false)*HLOOKUP($K1420,'Type Chart'!$C$2:$U$20,17,false)</f>
        <v>1</v>
      </c>
      <c r="AK1420" s="960">
        <f t="array" ref="AK1420">HLOOKUP($J1420,'Type Chart'!$C$2:$T$20,18,false)*HLOOKUP($K1420,'Type Chart'!$C$2:$U$20,18,false)</f>
        <v>2</v>
      </c>
      <c r="AL1420" s="960">
        <f t="array" ref="AL1420">HLOOKUP($J1420,'Type Chart'!$C$2:$T$20,19,false)*HLOOKUP($K1420,'Type Chart'!$C$2:$U$20,19,false)</f>
        <v>0.5</v>
      </c>
      <c r="AM1420" s="964" t="s">
        <v>1442</v>
      </c>
      <c r="AN1420" s="965" t="s">
        <v>1068</v>
      </c>
      <c r="AO1420" s="966" t="s">
        <v>1276</v>
      </c>
      <c r="AP1420" s="936"/>
      <c r="AQ1420" s="1245"/>
      <c r="AR1420" s="1245"/>
      <c r="AS1420" s="936"/>
    </row>
    <row r="1421" ht="15.75" customHeight="1">
      <c r="A1421" s="1099"/>
      <c r="B1421" s="948" t="s">
        <v>1495</v>
      </c>
      <c r="C1421" s="1197" t="s">
        <v>1496</v>
      </c>
      <c r="D1421" s="1197" t="s">
        <v>1496</v>
      </c>
      <c r="E1421" s="1147" t="s">
        <v>1496</v>
      </c>
      <c r="F1421" s="940"/>
      <c r="G1421" s="953"/>
      <c r="H1421" s="969"/>
      <c r="I1421" s="998" t="s">
        <v>4522</v>
      </c>
      <c r="J1421" s="1213" t="s">
        <v>341</v>
      </c>
      <c r="K1421" s="984" t="s">
        <v>216</v>
      </c>
      <c r="L1421" s="959">
        <v>50.0</v>
      </c>
      <c r="M1421" s="960">
        <v>120.0</v>
      </c>
      <c r="N1421" s="960">
        <v>53.0</v>
      </c>
      <c r="O1421" s="960">
        <v>35.0</v>
      </c>
      <c r="P1421" s="960">
        <v>110.0</v>
      </c>
      <c r="Q1421" s="960">
        <v>87.0</v>
      </c>
      <c r="R1421" s="960">
        <v>210.0</v>
      </c>
      <c r="S1421" s="960">
        <v>273.0</v>
      </c>
      <c r="T1421" s="960">
        <v>300.0</v>
      </c>
      <c r="U1421" s="960">
        <f t="array" ref="U1421">HLOOKUP($J1421,'Type Chart'!$C$2:$T$20,2,false)*HLOOKUP($K1421,'Type Chart'!$C$2:$U$20,2,false)</f>
        <v>1</v>
      </c>
      <c r="V1421" s="960">
        <f t="array" ref="V1421">HLOOKUP($J1421,'Type Chart'!$C$2:$T$20,3,false)*HLOOKUP($K1421,'Type Chart'!$C$2:$U$20,3,false)</f>
        <v>1</v>
      </c>
      <c r="W1421" s="960">
        <f t="array" ref="W1421">HLOOKUP($J1421,'Type Chart'!$C$2:$T$20,4,false)*HLOOKUP($K1421,'Type Chart'!$C$2:$U$20,4,false)</f>
        <v>2</v>
      </c>
      <c r="X1421" s="960">
        <f t="array" ref="X1421">HLOOKUP($J1421,'Type Chart'!$C$2:$T$20,5,false)*HLOOKUP($K1421,'Type Chart'!$C$2:$U$20,5,false)</f>
        <v>1</v>
      </c>
      <c r="Y1421" s="960">
        <f t="array" ref="Y1421">HLOOKUP($J1421,'Type Chart'!$C$2:$T$20,6,false)*HLOOKUP($K1421,'Type Chart'!$C$2:$U$20,6,false)</f>
        <v>1</v>
      </c>
      <c r="Z1421" s="960">
        <f t="array" ref="Z1421">HLOOKUP($J1421,'Type Chart'!$C$2:$T$20,7,false)*HLOOKUP($K1421,'Type Chart'!$C$2:$U$20,7,false)</f>
        <v>0.5</v>
      </c>
      <c r="AA1421" s="960">
        <f t="array" ref="AA1421">HLOOKUP($J1421,'Type Chart'!$C$2:$T$20,8,false)*HLOOKUP($K1421,'Type Chart'!$C$2:$U$20,8,false)</f>
        <v>0.5</v>
      </c>
      <c r="AB1421" s="960">
        <f t="array" ref="AB1421">HLOOKUP($J1421,'Type Chart'!$C$2:$T$20,9,false)*HLOOKUP($K1421,'Type Chart'!$C$2:$U$20,9,false)</f>
        <v>1</v>
      </c>
      <c r="AC1421" s="960">
        <f t="array" ref="AC1421">HLOOKUP($J1421,'Type Chart'!$C$2:$T$20,10,false)*HLOOKUP($K1421,'Type Chart'!$C$2:$U$20,10,false)</f>
        <v>1</v>
      </c>
      <c r="AD1421" s="960">
        <f t="array" ref="AD1421">HLOOKUP($J1421,'Type Chart'!$C$2:$T$20,11,false)*HLOOKUP($K1421,'Type Chart'!$C$2:$U$20,11,false)</f>
        <v>1</v>
      </c>
      <c r="AE1421" s="960">
        <f t="array" ref="AE1421">HLOOKUP($J1421,'Type Chart'!$C$2:$T$20,12,false)*HLOOKUP($K1421,'Type Chart'!$C$2:$U$20,12,false)</f>
        <v>1</v>
      </c>
      <c r="AF1421" s="960">
        <f t="array" ref="AF1421">HLOOKUP($J1421,'Type Chart'!$C$2:$T$20,13,false)*HLOOKUP($K1421,'Type Chart'!$C$2:$U$20,13,false)</f>
        <v>1</v>
      </c>
      <c r="AG1421" s="960">
        <f t="array" ref="AG1421">HLOOKUP($J1421,'Type Chart'!$C$2:$T$20,14,false)*HLOOKUP($K1421,'Type Chart'!$C$2:$U$20,14,false)</f>
        <v>1</v>
      </c>
      <c r="AH1421" s="960">
        <f t="array" ref="AH1421">HLOOKUP($J1421,'Type Chart'!$C$2:$T$20,15,false)*HLOOKUP($K1421,'Type Chart'!$C$2:$U$20,15,false)</f>
        <v>2</v>
      </c>
      <c r="AI1421" s="960">
        <f t="array" ref="AI1421">HLOOKUP($J1421,'Type Chart'!$C$2:$T$20,16,false)*HLOOKUP($K1421,'Type Chart'!$C$2:$U$20,16,false)</f>
        <v>1</v>
      </c>
      <c r="AJ1421" s="960">
        <f t="array" ref="AJ1421">HLOOKUP($J1421,'Type Chart'!$C$2:$T$20,17,false)*HLOOKUP($K1421,'Type Chart'!$C$2:$U$20,17,false)</f>
        <v>1</v>
      </c>
      <c r="AK1421" s="960">
        <f t="array" ref="AK1421">HLOOKUP($J1421,'Type Chart'!$C$2:$T$20,18,false)*HLOOKUP($K1421,'Type Chart'!$C$2:$U$20,18,false)</f>
        <v>0.5</v>
      </c>
      <c r="AL1421" s="960">
        <f t="array" ref="AL1421">HLOOKUP($J1421,'Type Chart'!$C$2:$T$20,19,false)*HLOOKUP($K1421,'Type Chart'!$C$2:$U$20,19,false)</f>
        <v>2</v>
      </c>
      <c r="AM1421" s="964" t="s">
        <v>1250</v>
      </c>
      <c r="AN1421" s="965" t="s">
        <v>1497</v>
      </c>
      <c r="AO1421" s="966" t="s">
        <v>1498</v>
      </c>
      <c r="AP1421" s="936"/>
      <c r="AQ1421" s="1245"/>
      <c r="AR1421" s="1245"/>
      <c r="AS1421" s="936"/>
    </row>
    <row r="1422" ht="15.75" customHeight="1">
      <c r="A1422" s="1099"/>
      <c r="B1422" s="948" t="s">
        <v>1499</v>
      </c>
      <c r="C1422" s="1197" t="s">
        <v>1500</v>
      </c>
      <c r="D1422" s="1197" t="s">
        <v>1500</v>
      </c>
      <c r="E1422" s="1147" t="s">
        <v>1500</v>
      </c>
      <c r="F1422" s="940"/>
      <c r="G1422" s="953"/>
      <c r="H1422" s="969"/>
      <c r="I1422" s="998" t="s">
        <v>4523</v>
      </c>
      <c r="J1422" s="1213" t="s">
        <v>341</v>
      </c>
      <c r="K1422" s="984" t="s">
        <v>216</v>
      </c>
      <c r="L1422" s="959">
        <v>50.0</v>
      </c>
      <c r="M1422" s="960">
        <v>105.0</v>
      </c>
      <c r="N1422" s="960">
        <v>79.0</v>
      </c>
      <c r="O1422" s="960">
        <v>35.0</v>
      </c>
      <c r="P1422" s="960">
        <v>110.0</v>
      </c>
      <c r="Q1422" s="960">
        <v>76.0</v>
      </c>
      <c r="R1422" s="960">
        <v>188.0</v>
      </c>
      <c r="S1422" s="960">
        <v>251.0</v>
      </c>
      <c r="T1422" s="960">
        <v>276.0</v>
      </c>
      <c r="U1422" s="960">
        <f t="array" ref="U1422">HLOOKUP($J1422,'Type Chart'!$C$2:$T$20,2,false)*HLOOKUP($K1422,'Type Chart'!$C$2:$U$20,2,false)</f>
        <v>1</v>
      </c>
      <c r="V1422" s="960">
        <f t="array" ref="V1422">HLOOKUP($J1422,'Type Chart'!$C$2:$T$20,3,false)*HLOOKUP($K1422,'Type Chart'!$C$2:$U$20,3,false)</f>
        <v>1</v>
      </c>
      <c r="W1422" s="960">
        <f t="array" ref="W1422">HLOOKUP($J1422,'Type Chart'!$C$2:$T$20,4,false)*HLOOKUP($K1422,'Type Chart'!$C$2:$U$20,4,false)</f>
        <v>2</v>
      </c>
      <c r="X1422" s="960">
        <f t="array" ref="X1422">HLOOKUP($J1422,'Type Chart'!$C$2:$T$20,5,false)*HLOOKUP($K1422,'Type Chart'!$C$2:$U$20,5,false)</f>
        <v>1</v>
      </c>
      <c r="Y1422" s="960">
        <f t="array" ref="Y1422">HLOOKUP($J1422,'Type Chart'!$C$2:$T$20,6,false)*HLOOKUP($K1422,'Type Chart'!$C$2:$U$20,6,false)</f>
        <v>1</v>
      </c>
      <c r="Z1422" s="960">
        <f t="array" ref="Z1422">HLOOKUP($J1422,'Type Chart'!$C$2:$T$20,7,false)*HLOOKUP($K1422,'Type Chart'!$C$2:$U$20,7,false)</f>
        <v>0.5</v>
      </c>
      <c r="AA1422" s="960">
        <f t="array" ref="AA1422">HLOOKUP($J1422,'Type Chart'!$C$2:$T$20,8,false)*HLOOKUP($K1422,'Type Chart'!$C$2:$U$20,8,false)</f>
        <v>0.5</v>
      </c>
      <c r="AB1422" s="960">
        <f t="array" ref="AB1422">HLOOKUP($J1422,'Type Chart'!$C$2:$T$20,9,false)*HLOOKUP($K1422,'Type Chart'!$C$2:$U$20,9,false)</f>
        <v>1</v>
      </c>
      <c r="AC1422" s="960">
        <f t="array" ref="AC1422">HLOOKUP($J1422,'Type Chart'!$C$2:$T$20,10,false)*HLOOKUP($K1422,'Type Chart'!$C$2:$U$20,10,false)</f>
        <v>1</v>
      </c>
      <c r="AD1422" s="960">
        <f t="array" ref="AD1422">HLOOKUP($J1422,'Type Chart'!$C$2:$T$20,11,false)*HLOOKUP($K1422,'Type Chart'!$C$2:$U$20,11,false)</f>
        <v>1</v>
      </c>
      <c r="AE1422" s="960">
        <f t="array" ref="AE1422">HLOOKUP($J1422,'Type Chart'!$C$2:$T$20,12,false)*HLOOKUP($K1422,'Type Chart'!$C$2:$U$20,12,false)</f>
        <v>1</v>
      </c>
      <c r="AF1422" s="960">
        <f t="array" ref="AF1422">HLOOKUP($J1422,'Type Chart'!$C$2:$T$20,13,false)*HLOOKUP($K1422,'Type Chart'!$C$2:$U$20,13,false)</f>
        <v>1</v>
      </c>
      <c r="AG1422" s="960">
        <f t="array" ref="AG1422">HLOOKUP($J1422,'Type Chart'!$C$2:$T$20,14,false)*HLOOKUP($K1422,'Type Chart'!$C$2:$U$20,14,false)</f>
        <v>1</v>
      </c>
      <c r="AH1422" s="960">
        <f t="array" ref="AH1422">HLOOKUP($J1422,'Type Chart'!$C$2:$T$20,15,false)*HLOOKUP($K1422,'Type Chart'!$C$2:$U$20,15,false)</f>
        <v>2</v>
      </c>
      <c r="AI1422" s="960">
        <f t="array" ref="AI1422">HLOOKUP($J1422,'Type Chart'!$C$2:$T$20,16,false)*HLOOKUP($K1422,'Type Chart'!$C$2:$U$20,16,false)</f>
        <v>1</v>
      </c>
      <c r="AJ1422" s="960">
        <f t="array" ref="AJ1422">HLOOKUP($J1422,'Type Chart'!$C$2:$T$20,17,false)*HLOOKUP($K1422,'Type Chart'!$C$2:$U$20,17,false)</f>
        <v>1</v>
      </c>
      <c r="AK1422" s="960">
        <f t="array" ref="AK1422">HLOOKUP($J1422,'Type Chart'!$C$2:$T$20,18,false)*HLOOKUP($K1422,'Type Chart'!$C$2:$U$20,18,false)</f>
        <v>0.5</v>
      </c>
      <c r="AL1422" s="960">
        <f t="array" ref="AL1422">HLOOKUP($J1422,'Type Chart'!$C$2:$T$20,19,false)*HLOOKUP($K1422,'Type Chart'!$C$2:$U$20,19,false)</f>
        <v>2</v>
      </c>
      <c r="AM1422" s="1145" t="s">
        <v>1022</v>
      </c>
      <c r="AN1422" s="1202" t="s">
        <v>1501</v>
      </c>
      <c r="AO1422" s="1146" t="s">
        <v>1192</v>
      </c>
      <c r="AP1422" s="936"/>
      <c r="AQ1422" s="1245"/>
      <c r="AR1422" s="1245"/>
      <c r="AS1422" s="936"/>
    </row>
    <row r="1423" ht="15.75" customHeight="1">
      <c r="A1423" s="1099"/>
      <c r="B1423" s="948" t="s">
        <v>1502</v>
      </c>
      <c r="C1423" s="1197" t="s">
        <v>1503</v>
      </c>
      <c r="D1423" s="1197" t="s">
        <v>1503</v>
      </c>
      <c r="E1423" s="1147" t="s">
        <v>1503</v>
      </c>
      <c r="F1423" s="940"/>
      <c r="G1423" s="953"/>
      <c r="H1423" s="969"/>
      <c r="I1423" s="998" t="s">
        <v>4524</v>
      </c>
      <c r="J1423" s="1216" t="s">
        <v>136</v>
      </c>
      <c r="K1423" s="1199" t="s">
        <v>216</v>
      </c>
      <c r="L1423" s="1200">
        <v>90.0</v>
      </c>
      <c r="M1423" s="1201">
        <v>55.0</v>
      </c>
      <c r="N1423" s="1201">
        <v>75.0</v>
      </c>
      <c r="O1423" s="1201">
        <v>60.0</v>
      </c>
      <c r="P1423" s="1201">
        <v>75.0</v>
      </c>
      <c r="Q1423" s="1201">
        <v>30.0</v>
      </c>
      <c r="R1423" s="960">
        <v>96.0</v>
      </c>
      <c r="S1423" s="960">
        <v>159.0</v>
      </c>
      <c r="T1423" s="960">
        <v>174.0</v>
      </c>
      <c r="U1423" s="960">
        <f t="array" ref="U1423">HLOOKUP($J1423,'Type Chart'!$C$2:$T$20,2,false)*HLOOKUP($K1423,'Type Chart'!$C$2:$U$20,2,false)</f>
        <v>1</v>
      </c>
      <c r="V1423" s="960">
        <f t="array" ref="V1423">HLOOKUP($J1423,'Type Chart'!$C$2:$T$20,3,false)*HLOOKUP($K1423,'Type Chart'!$C$2:$U$20,3,false)</f>
        <v>2</v>
      </c>
      <c r="W1423" s="960">
        <f t="array" ref="W1423">HLOOKUP($J1423,'Type Chart'!$C$2:$T$20,4,false)*HLOOKUP($K1423,'Type Chart'!$C$2:$U$20,4,false)</f>
        <v>1</v>
      </c>
      <c r="X1423" s="960">
        <f t="array" ref="X1423">HLOOKUP($J1423,'Type Chart'!$C$2:$T$20,5,false)*HLOOKUP($K1423,'Type Chart'!$C$2:$U$20,5,false)</f>
        <v>1</v>
      </c>
      <c r="Y1423" s="960">
        <f t="array" ref="Y1423">HLOOKUP($J1423,'Type Chart'!$C$2:$T$20,6,false)*HLOOKUP($K1423,'Type Chart'!$C$2:$U$20,6,false)</f>
        <v>1</v>
      </c>
      <c r="Z1423" s="960">
        <f t="array" ref="Z1423">HLOOKUP($J1423,'Type Chart'!$C$2:$T$20,7,false)*HLOOKUP($K1423,'Type Chart'!$C$2:$U$20,7,false)</f>
        <v>1</v>
      </c>
      <c r="AA1423" s="960">
        <f t="array" ref="AA1423">HLOOKUP($J1423,'Type Chart'!$C$2:$T$20,8,false)*HLOOKUP($K1423,'Type Chart'!$C$2:$U$20,8,false)</f>
        <v>1</v>
      </c>
      <c r="AB1423" s="960">
        <f t="array" ref="AB1423">HLOOKUP($J1423,'Type Chart'!$C$2:$T$20,9,false)*HLOOKUP($K1423,'Type Chart'!$C$2:$U$20,9,false)</f>
        <v>0</v>
      </c>
      <c r="AC1423" s="960">
        <f t="array" ref="AC1423">HLOOKUP($J1423,'Type Chart'!$C$2:$T$20,10,false)*HLOOKUP($K1423,'Type Chart'!$C$2:$U$20,10,false)</f>
        <v>1</v>
      </c>
      <c r="AD1423" s="960">
        <f t="array" ref="AD1423">HLOOKUP($J1423,'Type Chart'!$C$2:$T$20,11,false)*HLOOKUP($K1423,'Type Chart'!$C$2:$U$20,11,false)</f>
        <v>1</v>
      </c>
      <c r="AE1423" s="960">
        <f t="array" ref="AE1423">HLOOKUP($J1423,'Type Chart'!$C$2:$T$20,12,false)*HLOOKUP($K1423,'Type Chart'!$C$2:$U$20,12,false)</f>
        <v>1</v>
      </c>
      <c r="AF1423" s="960">
        <f t="array" ref="AF1423">HLOOKUP($J1423,'Type Chart'!$C$2:$T$20,13,false)*HLOOKUP($K1423,'Type Chart'!$C$2:$U$20,13,false)</f>
        <v>1</v>
      </c>
      <c r="AG1423" s="960">
        <f t="array" ref="AG1423">HLOOKUP($J1423,'Type Chart'!$C$2:$T$20,14,false)*HLOOKUP($K1423,'Type Chart'!$C$2:$U$20,14,false)</f>
        <v>1</v>
      </c>
      <c r="AH1423" s="960">
        <f t="array" ref="AH1423">HLOOKUP($J1423,'Type Chart'!$C$2:$T$20,15,false)*HLOOKUP($K1423,'Type Chart'!$C$2:$U$20,15,false)</f>
        <v>1</v>
      </c>
      <c r="AI1423" s="960">
        <f t="array" ref="AI1423">HLOOKUP($J1423,'Type Chart'!$C$2:$T$20,16,false)*HLOOKUP($K1423,'Type Chart'!$C$2:$U$20,16,false)</f>
        <v>1</v>
      </c>
      <c r="AJ1423" s="960">
        <f t="array" ref="AJ1423">HLOOKUP($J1423,'Type Chart'!$C$2:$T$20,17,false)*HLOOKUP($K1423,'Type Chart'!$C$2:$U$20,17,false)</f>
        <v>1</v>
      </c>
      <c r="AK1423" s="960">
        <f t="array" ref="AK1423">HLOOKUP($J1423,'Type Chart'!$C$2:$T$20,18,false)*HLOOKUP($K1423,'Type Chart'!$C$2:$U$20,18,false)</f>
        <v>1</v>
      </c>
      <c r="AL1423" s="960">
        <f t="array" ref="AL1423">HLOOKUP($J1423,'Type Chart'!$C$2:$T$20,19,false)*HLOOKUP($K1423,'Type Chart'!$C$2:$U$20,19,false)</f>
        <v>1</v>
      </c>
      <c r="AM1423" s="1145" t="s">
        <v>1370</v>
      </c>
      <c r="AN1423" s="965" t="s">
        <v>1369</v>
      </c>
      <c r="AO1423" s="1146" t="s">
        <v>1258</v>
      </c>
      <c r="AP1423" s="936"/>
      <c r="AQ1423" s="1245"/>
      <c r="AR1423" s="1245"/>
      <c r="AS1423" s="936"/>
    </row>
    <row r="1424" ht="15.75" customHeight="1">
      <c r="A1424" s="1099"/>
      <c r="B1424" s="948" t="s">
        <v>1505</v>
      </c>
      <c r="C1424" s="1197" t="s">
        <v>1506</v>
      </c>
      <c r="D1424" s="1197" t="s">
        <v>1506</v>
      </c>
      <c r="E1424" s="1147" t="s">
        <v>1506</v>
      </c>
      <c r="F1424" s="940"/>
      <c r="G1424" s="953"/>
      <c r="H1424" s="969"/>
      <c r="I1424" s="998" t="s">
        <v>4525</v>
      </c>
      <c r="J1424" s="1209" t="s">
        <v>178</v>
      </c>
      <c r="K1424" s="1199" t="s">
        <v>216</v>
      </c>
      <c r="L1424" s="1200">
        <v>40.0</v>
      </c>
      <c r="M1424" s="1201">
        <v>65.0</v>
      </c>
      <c r="N1424" s="1201">
        <v>95.0</v>
      </c>
      <c r="O1424" s="1201">
        <v>60.0</v>
      </c>
      <c r="P1424" s="1201">
        <v>45.0</v>
      </c>
      <c r="Q1424" s="1201">
        <v>35.0</v>
      </c>
      <c r="R1424" s="960">
        <v>106.0</v>
      </c>
      <c r="S1424" s="960">
        <v>169.0</v>
      </c>
      <c r="T1424" s="960">
        <v>185.0</v>
      </c>
      <c r="U1424" s="960">
        <f t="array" ref="U1424">HLOOKUP($J1424,'Type Chart'!$C$2:$T$20,2,false)*HLOOKUP($K1424,'Type Chart'!$C$2:$U$20,2,false)</f>
        <v>1</v>
      </c>
      <c r="V1424" s="960">
        <f t="array" ref="V1424">HLOOKUP($J1424,'Type Chart'!$C$2:$T$20,3,false)*HLOOKUP($K1424,'Type Chart'!$C$2:$U$20,3,false)</f>
        <v>0.5</v>
      </c>
      <c r="W1424" s="960">
        <f t="array" ref="W1424">HLOOKUP($J1424,'Type Chart'!$C$2:$T$20,4,false)*HLOOKUP($K1424,'Type Chart'!$C$2:$U$20,4,false)</f>
        <v>1</v>
      </c>
      <c r="X1424" s="960">
        <f t="array" ref="X1424">HLOOKUP($J1424,'Type Chart'!$C$2:$T$20,5,false)*HLOOKUP($K1424,'Type Chart'!$C$2:$U$20,5,false)</f>
        <v>0.5</v>
      </c>
      <c r="Y1424" s="960">
        <f t="array" ref="Y1424">HLOOKUP($J1424,'Type Chart'!$C$2:$T$20,6,false)*HLOOKUP($K1424,'Type Chart'!$C$2:$U$20,6,false)</f>
        <v>2</v>
      </c>
      <c r="Z1424" s="960">
        <f t="array" ref="Z1424">HLOOKUP($J1424,'Type Chart'!$C$2:$T$20,7,false)*HLOOKUP($K1424,'Type Chart'!$C$2:$U$20,7,false)</f>
        <v>1</v>
      </c>
      <c r="AA1424" s="960">
        <f t="array" ref="AA1424">HLOOKUP($J1424,'Type Chart'!$C$2:$T$20,8,false)*HLOOKUP($K1424,'Type Chart'!$C$2:$U$20,8,false)</f>
        <v>0.5</v>
      </c>
      <c r="AB1424" s="960">
        <f t="array" ref="AB1424">HLOOKUP($J1424,'Type Chart'!$C$2:$T$20,9,false)*HLOOKUP($K1424,'Type Chart'!$C$2:$U$20,9,false)</f>
        <v>1</v>
      </c>
      <c r="AC1424" s="960">
        <f t="array" ref="AC1424">HLOOKUP($J1424,'Type Chart'!$C$2:$T$20,10,false)*HLOOKUP($K1424,'Type Chart'!$C$2:$U$20,10,false)</f>
        <v>1</v>
      </c>
      <c r="AD1424" s="960">
        <f t="array" ref="AD1424">HLOOKUP($J1424,'Type Chart'!$C$2:$T$20,11,false)*HLOOKUP($K1424,'Type Chart'!$C$2:$U$20,11,false)</f>
        <v>1</v>
      </c>
      <c r="AE1424" s="960">
        <f t="array" ref="AE1424">HLOOKUP($J1424,'Type Chart'!$C$2:$T$20,12,false)*HLOOKUP($K1424,'Type Chart'!$C$2:$U$20,12,false)</f>
        <v>1</v>
      </c>
      <c r="AF1424" s="960">
        <f t="array" ref="AF1424">HLOOKUP($J1424,'Type Chart'!$C$2:$T$20,13,false)*HLOOKUP($K1424,'Type Chart'!$C$2:$U$20,13,false)</f>
        <v>0.5</v>
      </c>
      <c r="AG1424" s="960">
        <f t="array" ref="AG1424">HLOOKUP($J1424,'Type Chart'!$C$2:$T$20,14,false)*HLOOKUP($K1424,'Type Chart'!$C$2:$U$20,14,false)</f>
        <v>1</v>
      </c>
      <c r="AH1424" s="960">
        <f t="array" ref="AH1424">HLOOKUP($J1424,'Type Chart'!$C$2:$T$20,15,false)*HLOOKUP($K1424,'Type Chart'!$C$2:$U$20,15,false)</f>
        <v>2</v>
      </c>
      <c r="AI1424" s="960">
        <f t="array" ref="AI1424">HLOOKUP($J1424,'Type Chart'!$C$2:$T$20,16,false)*HLOOKUP($K1424,'Type Chart'!$C$2:$U$20,16,false)</f>
        <v>1</v>
      </c>
      <c r="AJ1424" s="960">
        <f t="array" ref="AJ1424">HLOOKUP($J1424,'Type Chart'!$C$2:$T$20,17,false)*HLOOKUP($K1424,'Type Chart'!$C$2:$U$20,17,false)</f>
        <v>1</v>
      </c>
      <c r="AK1424" s="960">
        <f t="array" ref="AK1424">HLOOKUP($J1424,'Type Chart'!$C$2:$T$20,18,false)*HLOOKUP($K1424,'Type Chart'!$C$2:$U$20,18,false)</f>
        <v>1</v>
      </c>
      <c r="AL1424" s="960">
        <f t="array" ref="AL1424">HLOOKUP($J1424,'Type Chart'!$C$2:$T$20,19,false)*HLOOKUP($K1424,'Type Chart'!$C$2:$U$20,19,false)</f>
        <v>0.5</v>
      </c>
      <c r="AM1424" s="1145" t="s">
        <v>1437</v>
      </c>
      <c r="AN1424" s="1145" t="s">
        <v>1507</v>
      </c>
      <c r="AO1424" s="1146" t="s">
        <v>1203</v>
      </c>
      <c r="AP1424" s="936"/>
      <c r="AQ1424" s="1245"/>
      <c r="AR1424" s="1245"/>
      <c r="AS1424" s="936"/>
    </row>
    <row r="1425" ht="15.75" customHeight="1">
      <c r="A1425" s="1099"/>
      <c r="B1425" s="948" t="s">
        <v>1508</v>
      </c>
      <c r="C1425" s="1197" t="s">
        <v>1509</v>
      </c>
      <c r="D1425" s="1197" t="s">
        <v>1509</v>
      </c>
      <c r="E1425" s="1147" t="s">
        <v>1509</v>
      </c>
      <c r="F1425" s="940"/>
      <c r="G1425" s="953"/>
      <c r="H1425" s="969"/>
      <c r="I1425" s="998" t="s">
        <v>4526</v>
      </c>
      <c r="J1425" s="1209" t="s">
        <v>178</v>
      </c>
      <c r="K1425" s="1199" t="s">
        <v>216</v>
      </c>
      <c r="L1425" s="1200">
        <v>65.0</v>
      </c>
      <c r="M1425" s="1201">
        <v>90.0</v>
      </c>
      <c r="N1425" s="1201">
        <v>120.0</v>
      </c>
      <c r="O1425" s="1201">
        <v>85.0</v>
      </c>
      <c r="P1425" s="1201">
        <v>70.0</v>
      </c>
      <c r="Q1425" s="1201">
        <v>60.0</v>
      </c>
      <c r="R1425" s="960">
        <v>156.0</v>
      </c>
      <c r="S1425" s="960">
        <v>219.0</v>
      </c>
      <c r="T1425" s="960">
        <v>240.0</v>
      </c>
      <c r="U1425" s="960">
        <f t="array" ref="U1425">HLOOKUP($J1425,'Type Chart'!$C$2:$T$20,2,false)*HLOOKUP($K1425,'Type Chart'!$C$2:$U$20,2,false)</f>
        <v>1</v>
      </c>
      <c r="V1425" s="960">
        <f t="array" ref="V1425">HLOOKUP($J1425,'Type Chart'!$C$2:$T$20,3,false)*HLOOKUP($K1425,'Type Chart'!$C$2:$U$20,3,false)</f>
        <v>0.5</v>
      </c>
      <c r="W1425" s="960">
        <f t="array" ref="W1425">HLOOKUP($J1425,'Type Chart'!$C$2:$T$20,4,false)*HLOOKUP($K1425,'Type Chart'!$C$2:$U$20,4,false)</f>
        <v>1</v>
      </c>
      <c r="X1425" s="960">
        <f t="array" ref="X1425">HLOOKUP($J1425,'Type Chart'!$C$2:$T$20,5,false)*HLOOKUP($K1425,'Type Chart'!$C$2:$U$20,5,false)</f>
        <v>0.5</v>
      </c>
      <c r="Y1425" s="960">
        <f t="array" ref="Y1425">HLOOKUP($J1425,'Type Chart'!$C$2:$T$20,6,false)*HLOOKUP($K1425,'Type Chart'!$C$2:$U$20,6,false)</f>
        <v>2</v>
      </c>
      <c r="Z1425" s="960">
        <f t="array" ref="Z1425">HLOOKUP($J1425,'Type Chart'!$C$2:$T$20,7,false)*HLOOKUP($K1425,'Type Chart'!$C$2:$U$20,7,false)</f>
        <v>1</v>
      </c>
      <c r="AA1425" s="960">
        <f t="array" ref="AA1425">HLOOKUP($J1425,'Type Chart'!$C$2:$T$20,8,false)*HLOOKUP($K1425,'Type Chart'!$C$2:$U$20,8,false)</f>
        <v>0.5</v>
      </c>
      <c r="AB1425" s="960">
        <f t="array" ref="AB1425">HLOOKUP($J1425,'Type Chart'!$C$2:$T$20,9,false)*HLOOKUP($K1425,'Type Chart'!$C$2:$U$20,9,false)</f>
        <v>1</v>
      </c>
      <c r="AC1425" s="960">
        <f t="array" ref="AC1425">HLOOKUP($J1425,'Type Chart'!$C$2:$T$20,10,false)*HLOOKUP($K1425,'Type Chart'!$C$2:$U$20,10,false)</f>
        <v>1</v>
      </c>
      <c r="AD1425" s="960">
        <f t="array" ref="AD1425">HLOOKUP($J1425,'Type Chart'!$C$2:$T$20,11,false)*HLOOKUP($K1425,'Type Chart'!$C$2:$U$20,11,false)</f>
        <v>1</v>
      </c>
      <c r="AE1425" s="960">
        <f t="array" ref="AE1425">HLOOKUP($J1425,'Type Chart'!$C$2:$T$20,12,false)*HLOOKUP($K1425,'Type Chart'!$C$2:$U$20,12,false)</f>
        <v>1</v>
      </c>
      <c r="AF1425" s="960">
        <f t="array" ref="AF1425">HLOOKUP($J1425,'Type Chart'!$C$2:$T$20,13,false)*HLOOKUP($K1425,'Type Chart'!$C$2:$U$20,13,false)</f>
        <v>0.5</v>
      </c>
      <c r="AG1425" s="960">
        <f t="array" ref="AG1425">HLOOKUP($J1425,'Type Chart'!$C$2:$T$20,14,false)*HLOOKUP($K1425,'Type Chart'!$C$2:$U$20,14,false)</f>
        <v>1</v>
      </c>
      <c r="AH1425" s="960">
        <f t="array" ref="AH1425">HLOOKUP($J1425,'Type Chart'!$C$2:$T$20,15,false)*HLOOKUP($K1425,'Type Chart'!$C$2:$U$20,15,false)</f>
        <v>2</v>
      </c>
      <c r="AI1425" s="960">
        <f t="array" ref="AI1425">HLOOKUP($J1425,'Type Chart'!$C$2:$T$20,16,false)*HLOOKUP($K1425,'Type Chart'!$C$2:$U$20,16,false)</f>
        <v>1</v>
      </c>
      <c r="AJ1425" s="960">
        <f t="array" ref="AJ1425">HLOOKUP($J1425,'Type Chart'!$C$2:$T$20,17,false)*HLOOKUP($K1425,'Type Chart'!$C$2:$U$20,17,false)</f>
        <v>1</v>
      </c>
      <c r="AK1425" s="960">
        <f t="array" ref="AK1425">HLOOKUP($J1425,'Type Chart'!$C$2:$T$20,18,false)*HLOOKUP($K1425,'Type Chart'!$C$2:$U$20,18,false)</f>
        <v>1</v>
      </c>
      <c r="AL1425" s="960">
        <f t="array" ref="AL1425">HLOOKUP($J1425,'Type Chart'!$C$2:$T$20,19,false)*HLOOKUP($K1425,'Type Chart'!$C$2:$U$20,19,false)</f>
        <v>0.5</v>
      </c>
      <c r="AM1425" s="1145" t="s">
        <v>1437</v>
      </c>
      <c r="AN1425" s="1145" t="s">
        <v>1507</v>
      </c>
      <c r="AO1425" s="1146" t="s">
        <v>1203</v>
      </c>
      <c r="AP1425" s="936"/>
      <c r="AQ1425" s="1245"/>
      <c r="AR1425" s="1245"/>
      <c r="AS1425" s="936"/>
    </row>
    <row r="1426" ht="15.75" customHeight="1">
      <c r="A1426" s="1099"/>
      <c r="B1426" s="948" t="s">
        <v>1510</v>
      </c>
      <c r="C1426" s="1197" t="s">
        <v>1511</v>
      </c>
      <c r="D1426" s="1197" t="s">
        <v>1511</v>
      </c>
      <c r="E1426" s="1147" t="s">
        <v>1512</v>
      </c>
      <c r="F1426" s="940"/>
      <c r="G1426" s="953"/>
      <c r="H1426" s="969"/>
      <c r="I1426" s="998" t="s">
        <v>4527</v>
      </c>
      <c r="J1426" s="958" t="s">
        <v>178</v>
      </c>
      <c r="K1426" s="1207" t="s">
        <v>127</v>
      </c>
      <c r="L1426" s="959">
        <v>65.0</v>
      </c>
      <c r="M1426" s="960">
        <v>90.0</v>
      </c>
      <c r="N1426" s="960">
        <v>120.0</v>
      </c>
      <c r="O1426" s="960">
        <v>85.0</v>
      </c>
      <c r="P1426" s="960">
        <v>70.0</v>
      </c>
      <c r="Q1426" s="960">
        <v>60.0</v>
      </c>
      <c r="R1426" s="960">
        <v>156.0</v>
      </c>
      <c r="S1426" s="960">
        <v>219.0</v>
      </c>
      <c r="T1426" s="960">
        <v>240.0</v>
      </c>
      <c r="U1426" s="960">
        <f t="array" ref="U1426">HLOOKUP($J1426,'Type Chart'!$C$2:$T$20,2,false)*HLOOKUP($K1426,'Type Chart'!$C$2:$U$20,2,false)</f>
        <v>1</v>
      </c>
      <c r="V1426" s="960">
        <f t="array" ref="V1426">HLOOKUP($J1426,'Type Chart'!$C$2:$T$20,3,false)*HLOOKUP($K1426,'Type Chart'!$C$2:$U$20,3,false)</f>
        <v>0.25</v>
      </c>
      <c r="W1426" s="960">
        <f t="array" ref="W1426">HLOOKUP($J1426,'Type Chart'!$C$2:$T$20,4,false)*HLOOKUP($K1426,'Type Chart'!$C$2:$U$20,4,false)</f>
        <v>1</v>
      </c>
      <c r="X1426" s="960">
        <f t="array" ref="X1426">HLOOKUP($J1426,'Type Chart'!$C$2:$T$20,5,false)*HLOOKUP($K1426,'Type Chart'!$C$2:$U$20,5,false)</f>
        <v>1</v>
      </c>
      <c r="Y1426" s="960">
        <f t="array" ref="Y1426">HLOOKUP($J1426,'Type Chart'!$C$2:$T$20,6,false)*HLOOKUP($K1426,'Type Chart'!$C$2:$U$20,6,false)</f>
        <v>2</v>
      </c>
      <c r="Z1426" s="960">
        <f t="array" ref="Z1426">HLOOKUP($J1426,'Type Chart'!$C$2:$T$20,7,false)*HLOOKUP($K1426,'Type Chart'!$C$2:$U$20,7,false)</f>
        <v>1</v>
      </c>
      <c r="AA1426" s="960">
        <f t="array" ref="AA1426">HLOOKUP($J1426,'Type Chart'!$C$2:$T$20,8,false)*HLOOKUP($K1426,'Type Chart'!$C$2:$U$20,8,false)</f>
        <v>0.25</v>
      </c>
      <c r="AB1426" s="960">
        <f t="array" ref="AB1426">HLOOKUP($J1426,'Type Chart'!$C$2:$T$20,9,false)*HLOOKUP($K1426,'Type Chart'!$C$2:$U$20,9,false)</f>
        <v>1</v>
      </c>
      <c r="AC1426" s="960">
        <f t="array" ref="AC1426">HLOOKUP($J1426,'Type Chart'!$C$2:$T$20,10,false)*HLOOKUP($K1426,'Type Chart'!$C$2:$U$20,10,false)</f>
        <v>2</v>
      </c>
      <c r="AD1426" s="960">
        <f t="array" ref="AD1426">HLOOKUP($J1426,'Type Chart'!$C$2:$T$20,11,false)*HLOOKUP($K1426,'Type Chart'!$C$2:$U$20,11,false)</f>
        <v>1</v>
      </c>
      <c r="AE1426" s="960">
        <f t="array" ref="AE1426">HLOOKUP($J1426,'Type Chart'!$C$2:$T$20,12,false)*HLOOKUP($K1426,'Type Chart'!$C$2:$U$20,12,false)</f>
        <v>1</v>
      </c>
      <c r="AF1426" s="960">
        <f t="array" ref="AF1426">HLOOKUP($J1426,'Type Chart'!$C$2:$T$20,13,false)*HLOOKUP($K1426,'Type Chart'!$C$2:$U$20,13,false)</f>
        <v>0.5</v>
      </c>
      <c r="AG1426" s="960">
        <f t="array" ref="AG1426">HLOOKUP($J1426,'Type Chart'!$C$2:$T$20,14,false)*HLOOKUP($K1426,'Type Chart'!$C$2:$U$20,14,false)</f>
        <v>1</v>
      </c>
      <c r="AH1426" s="960">
        <f t="array" ref="AH1426">HLOOKUP($J1426,'Type Chart'!$C$2:$T$20,15,false)*HLOOKUP($K1426,'Type Chart'!$C$2:$U$20,15,false)</f>
        <v>2</v>
      </c>
      <c r="AI1426" s="960">
        <f t="array" ref="AI1426">HLOOKUP($J1426,'Type Chart'!$C$2:$T$20,16,false)*HLOOKUP($K1426,'Type Chart'!$C$2:$U$20,16,false)</f>
        <v>1</v>
      </c>
      <c r="AJ1426" s="960">
        <f t="array" ref="AJ1426">HLOOKUP($J1426,'Type Chart'!$C$2:$T$20,17,false)*HLOOKUP($K1426,'Type Chart'!$C$2:$U$20,17,false)</f>
        <v>0</v>
      </c>
      <c r="AK1426" s="960">
        <f t="array" ref="AK1426">HLOOKUP($J1426,'Type Chart'!$C$2:$T$20,18,false)*HLOOKUP($K1426,'Type Chart'!$C$2:$U$20,18,false)</f>
        <v>0.5</v>
      </c>
      <c r="AL1426" s="960">
        <f t="array" ref="AL1426">HLOOKUP($J1426,'Type Chart'!$C$2:$T$20,19,false)*HLOOKUP($K1426,'Type Chart'!$C$2:$U$20,19,false)</f>
        <v>0.5</v>
      </c>
      <c r="AM1426" s="964" t="s">
        <v>1437</v>
      </c>
      <c r="AN1426" s="964" t="s">
        <v>1507</v>
      </c>
      <c r="AO1426" s="966" t="s">
        <v>1513</v>
      </c>
      <c r="AP1426" s="936"/>
      <c r="AQ1426" s="1245"/>
      <c r="AR1426" s="1245"/>
      <c r="AS1426" s="936"/>
    </row>
    <row r="1427" ht="15.75" customHeight="1">
      <c r="A1427" s="1099"/>
      <c r="B1427" s="948" t="s">
        <v>1514</v>
      </c>
      <c r="C1427" s="1197" t="s">
        <v>1515</v>
      </c>
      <c r="D1427" s="1197" t="s">
        <v>1515</v>
      </c>
      <c r="E1427" s="1147" t="s">
        <v>1515</v>
      </c>
      <c r="F1427" s="940"/>
      <c r="G1427" s="953"/>
      <c r="H1427" s="969"/>
      <c r="I1427" s="998" t="s">
        <v>4528</v>
      </c>
      <c r="J1427" s="1204" t="s">
        <v>80</v>
      </c>
      <c r="K1427" s="1214" t="s">
        <v>342</v>
      </c>
      <c r="L1427" s="959">
        <v>80.0</v>
      </c>
      <c r="M1427" s="960">
        <v>85.0</v>
      </c>
      <c r="N1427" s="960">
        <v>95.0</v>
      </c>
      <c r="O1427" s="960">
        <v>30.0</v>
      </c>
      <c r="P1427" s="960">
        <v>30.0</v>
      </c>
      <c r="Q1427" s="960">
        <v>25.0</v>
      </c>
      <c r="R1427" s="960">
        <v>86.0</v>
      </c>
      <c r="S1427" s="960">
        <v>149.0</v>
      </c>
      <c r="T1427" s="960">
        <v>163.0</v>
      </c>
      <c r="U1427" s="960">
        <f t="array" ref="U1427">HLOOKUP($J1427,'Type Chart'!$C$2:$T$20,2,false)*HLOOKUP($K1427,'Type Chart'!$C$2:$U$20,2,false)</f>
        <v>0.5</v>
      </c>
      <c r="V1427" s="960">
        <f t="array" ref="V1427">HLOOKUP($J1427,'Type Chart'!$C$2:$T$20,3,false)*HLOOKUP($K1427,'Type Chart'!$C$2:$U$20,3,false)</f>
        <v>2</v>
      </c>
      <c r="W1427" s="960">
        <f t="array" ref="W1427">HLOOKUP($J1427,'Type Chart'!$C$2:$T$20,4,false)*HLOOKUP($K1427,'Type Chart'!$C$2:$U$20,4,false)</f>
        <v>0.5</v>
      </c>
      <c r="X1427" s="960">
        <f t="array" ref="X1427">HLOOKUP($J1427,'Type Chart'!$C$2:$T$20,5,false)*HLOOKUP($K1427,'Type Chart'!$C$2:$U$20,5,false)</f>
        <v>0.25</v>
      </c>
      <c r="Y1427" s="960">
        <f t="array" ref="Y1427">HLOOKUP($J1427,'Type Chart'!$C$2:$T$20,6,false)*HLOOKUP($K1427,'Type Chart'!$C$2:$U$20,6,false)</f>
        <v>2</v>
      </c>
      <c r="Z1427" s="960">
        <f t="array" ref="Z1427">HLOOKUP($J1427,'Type Chart'!$C$2:$T$20,7,false)*HLOOKUP($K1427,'Type Chart'!$C$2:$U$20,7,false)</f>
        <v>0.5</v>
      </c>
      <c r="AA1427" s="960">
        <f t="array" ref="AA1427">HLOOKUP($J1427,'Type Chart'!$C$2:$T$20,8,false)*HLOOKUP($K1427,'Type Chart'!$C$2:$U$20,8,false)</f>
        <v>1</v>
      </c>
      <c r="AB1427" s="960">
        <f t="array" ref="AB1427">HLOOKUP($J1427,'Type Chart'!$C$2:$T$20,9,false)*HLOOKUP($K1427,'Type Chart'!$C$2:$U$20,9,false)</f>
        <v>1</v>
      </c>
      <c r="AC1427" s="960">
        <f t="array" ref="AC1427">HLOOKUP($J1427,'Type Chart'!$C$2:$T$20,10,false)*HLOOKUP($K1427,'Type Chart'!$C$2:$U$20,10,false)</f>
        <v>2</v>
      </c>
      <c r="AD1427" s="960">
        <f t="array" ref="AD1427">HLOOKUP($J1427,'Type Chart'!$C$2:$T$20,11,false)*HLOOKUP($K1427,'Type Chart'!$C$2:$U$20,11,false)</f>
        <v>0.5</v>
      </c>
      <c r="AE1427" s="960">
        <f t="array" ref="AE1427">HLOOKUP($J1427,'Type Chart'!$C$2:$T$20,12,false)*HLOOKUP($K1427,'Type Chart'!$C$2:$U$20,12,false)</f>
        <v>4</v>
      </c>
      <c r="AF1427" s="960">
        <f t="array" ref="AF1427">HLOOKUP($J1427,'Type Chart'!$C$2:$T$20,13,false)*HLOOKUP($K1427,'Type Chart'!$C$2:$U$20,13,false)</f>
        <v>4</v>
      </c>
      <c r="AG1427" s="960">
        <f t="array" ref="AG1427">HLOOKUP($J1427,'Type Chart'!$C$2:$T$20,14,false)*HLOOKUP($K1427,'Type Chart'!$C$2:$U$20,14,false)</f>
        <v>0</v>
      </c>
      <c r="AH1427" s="960">
        <f t="array" ref="AH1427">HLOOKUP($J1427,'Type Chart'!$C$2:$T$20,15,false)*HLOOKUP($K1427,'Type Chart'!$C$2:$U$20,15,false)</f>
        <v>1</v>
      </c>
      <c r="AI1427" s="960">
        <f t="array" ref="AI1427">HLOOKUP($J1427,'Type Chart'!$C$2:$T$20,16,false)*HLOOKUP($K1427,'Type Chart'!$C$2:$U$20,16,false)</f>
        <v>2</v>
      </c>
      <c r="AJ1427" s="960">
        <f t="array" ref="AJ1427">HLOOKUP($J1427,'Type Chart'!$C$2:$T$20,17,false)*HLOOKUP($K1427,'Type Chart'!$C$2:$U$20,17,false)</f>
        <v>1</v>
      </c>
      <c r="AK1427" s="960">
        <f t="array" ref="AK1427">HLOOKUP($J1427,'Type Chart'!$C$2:$T$20,18,false)*HLOOKUP($K1427,'Type Chart'!$C$2:$U$20,18,false)</f>
        <v>1</v>
      </c>
      <c r="AL1427" s="960">
        <f t="array" ref="AL1427">HLOOKUP($J1427,'Type Chart'!$C$2:$T$20,19,false)*HLOOKUP($K1427,'Type Chart'!$C$2:$U$20,19,false)</f>
        <v>1</v>
      </c>
      <c r="AM1427" s="964" t="s">
        <v>1068</v>
      </c>
      <c r="AN1427" s="965" t="s">
        <v>1276</v>
      </c>
      <c r="AO1427" s="966" t="s">
        <v>1497</v>
      </c>
      <c r="AP1427" s="936"/>
      <c r="AQ1427" s="1245"/>
      <c r="AR1427" s="1245"/>
      <c r="AS1427" s="936"/>
    </row>
    <row r="1428" ht="15.75" customHeight="1">
      <c r="A1428" s="1099"/>
      <c r="B1428" s="948" t="s">
        <v>1517</v>
      </c>
      <c r="C1428" s="1197" t="s">
        <v>1518</v>
      </c>
      <c r="D1428" s="1197" t="s">
        <v>1518</v>
      </c>
      <c r="E1428" s="1147" t="s">
        <v>1518</v>
      </c>
      <c r="F1428" s="940"/>
      <c r="G1428" s="953"/>
      <c r="H1428" s="969"/>
      <c r="I1428" s="998" t="s">
        <v>4529</v>
      </c>
      <c r="J1428" s="1223" t="s">
        <v>80</v>
      </c>
      <c r="K1428" s="1222" t="s">
        <v>342</v>
      </c>
      <c r="L1428" s="1200">
        <v>105.0</v>
      </c>
      <c r="M1428" s="1201">
        <v>130.0</v>
      </c>
      <c r="N1428" s="1201">
        <v>120.0</v>
      </c>
      <c r="O1428" s="1201">
        <v>45.0</v>
      </c>
      <c r="P1428" s="1201">
        <v>45.0</v>
      </c>
      <c r="Q1428" s="1201">
        <v>40.0</v>
      </c>
      <c r="R1428" s="960">
        <v>116.0</v>
      </c>
      <c r="S1428" s="960">
        <v>179.0</v>
      </c>
      <c r="T1428" s="960">
        <v>196.0</v>
      </c>
      <c r="U1428" s="960">
        <f t="array" ref="U1428">HLOOKUP($J1428,'Type Chart'!$C$2:$T$20,2,false)*HLOOKUP($K1428,'Type Chart'!$C$2:$U$20,2,false)</f>
        <v>0.5</v>
      </c>
      <c r="V1428" s="960">
        <f t="array" ref="V1428">HLOOKUP($J1428,'Type Chart'!$C$2:$T$20,3,false)*HLOOKUP($K1428,'Type Chart'!$C$2:$U$20,3,false)</f>
        <v>2</v>
      </c>
      <c r="W1428" s="960">
        <f t="array" ref="W1428">HLOOKUP($J1428,'Type Chart'!$C$2:$T$20,4,false)*HLOOKUP($K1428,'Type Chart'!$C$2:$U$20,4,false)</f>
        <v>0.5</v>
      </c>
      <c r="X1428" s="960">
        <f t="array" ref="X1428">HLOOKUP($J1428,'Type Chart'!$C$2:$T$20,5,false)*HLOOKUP($K1428,'Type Chart'!$C$2:$U$20,5,false)</f>
        <v>0.25</v>
      </c>
      <c r="Y1428" s="960">
        <f t="array" ref="Y1428">HLOOKUP($J1428,'Type Chart'!$C$2:$T$20,6,false)*HLOOKUP($K1428,'Type Chart'!$C$2:$U$20,6,false)</f>
        <v>2</v>
      </c>
      <c r="Z1428" s="960">
        <f t="array" ref="Z1428">HLOOKUP($J1428,'Type Chart'!$C$2:$T$20,7,false)*HLOOKUP($K1428,'Type Chart'!$C$2:$U$20,7,false)</f>
        <v>0.5</v>
      </c>
      <c r="AA1428" s="960">
        <f t="array" ref="AA1428">HLOOKUP($J1428,'Type Chart'!$C$2:$T$20,8,false)*HLOOKUP($K1428,'Type Chart'!$C$2:$U$20,8,false)</f>
        <v>1</v>
      </c>
      <c r="AB1428" s="960">
        <f t="array" ref="AB1428">HLOOKUP($J1428,'Type Chart'!$C$2:$T$20,9,false)*HLOOKUP($K1428,'Type Chart'!$C$2:$U$20,9,false)</f>
        <v>1</v>
      </c>
      <c r="AC1428" s="960">
        <f t="array" ref="AC1428">HLOOKUP($J1428,'Type Chart'!$C$2:$T$20,10,false)*HLOOKUP($K1428,'Type Chart'!$C$2:$U$20,10,false)</f>
        <v>2</v>
      </c>
      <c r="AD1428" s="960">
        <f t="array" ref="AD1428">HLOOKUP($J1428,'Type Chart'!$C$2:$T$20,11,false)*HLOOKUP($K1428,'Type Chart'!$C$2:$U$20,11,false)</f>
        <v>0.5</v>
      </c>
      <c r="AE1428" s="960">
        <f t="array" ref="AE1428">HLOOKUP($J1428,'Type Chart'!$C$2:$T$20,12,false)*HLOOKUP($K1428,'Type Chart'!$C$2:$U$20,12,false)</f>
        <v>4</v>
      </c>
      <c r="AF1428" s="960">
        <f t="array" ref="AF1428">HLOOKUP($J1428,'Type Chart'!$C$2:$T$20,13,false)*HLOOKUP($K1428,'Type Chart'!$C$2:$U$20,13,false)</f>
        <v>4</v>
      </c>
      <c r="AG1428" s="960">
        <f t="array" ref="AG1428">HLOOKUP($J1428,'Type Chart'!$C$2:$T$20,14,false)*HLOOKUP($K1428,'Type Chart'!$C$2:$U$20,14,false)</f>
        <v>0</v>
      </c>
      <c r="AH1428" s="960">
        <f t="array" ref="AH1428">HLOOKUP($J1428,'Type Chart'!$C$2:$T$20,15,false)*HLOOKUP($K1428,'Type Chart'!$C$2:$U$20,15,false)</f>
        <v>1</v>
      </c>
      <c r="AI1428" s="960">
        <f t="array" ref="AI1428">HLOOKUP($J1428,'Type Chart'!$C$2:$T$20,16,false)*HLOOKUP($K1428,'Type Chart'!$C$2:$U$20,16,false)</f>
        <v>2</v>
      </c>
      <c r="AJ1428" s="960">
        <f t="array" ref="AJ1428">HLOOKUP($J1428,'Type Chart'!$C$2:$T$20,17,false)*HLOOKUP($K1428,'Type Chart'!$C$2:$U$20,17,false)</f>
        <v>1</v>
      </c>
      <c r="AK1428" s="960">
        <f t="array" ref="AK1428">HLOOKUP($J1428,'Type Chart'!$C$2:$T$20,18,false)*HLOOKUP($K1428,'Type Chart'!$C$2:$U$20,18,false)</f>
        <v>1</v>
      </c>
      <c r="AL1428" s="960">
        <f t="array" ref="AL1428">HLOOKUP($J1428,'Type Chart'!$C$2:$T$20,19,false)*HLOOKUP($K1428,'Type Chart'!$C$2:$U$20,19,false)</f>
        <v>1</v>
      </c>
      <c r="AM1428" s="1145" t="s">
        <v>1068</v>
      </c>
      <c r="AN1428" s="965" t="s">
        <v>1276</v>
      </c>
      <c r="AO1428" s="1146" t="s">
        <v>1497</v>
      </c>
      <c r="AP1428" s="936"/>
      <c r="AQ1428" s="1245"/>
      <c r="AR1428" s="1245"/>
      <c r="AS1428" s="936"/>
    </row>
    <row r="1429" ht="15.75" customHeight="1">
      <c r="A1429" s="1099"/>
      <c r="B1429" s="948" t="s">
        <v>1519</v>
      </c>
      <c r="C1429" s="1197" t="s">
        <v>152</v>
      </c>
      <c r="D1429" s="1197" t="s">
        <v>152</v>
      </c>
      <c r="E1429" s="1147" t="s">
        <v>152</v>
      </c>
      <c r="F1429" s="940"/>
      <c r="G1429" s="953"/>
      <c r="H1429" s="969"/>
      <c r="I1429" s="998" t="s">
        <v>4530</v>
      </c>
      <c r="J1429" s="1194" t="s">
        <v>136</v>
      </c>
      <c r="K1429" s="984" t="s">
        <v>216</v>
      </c>
      <c r="L1429" s="959">
        <v>250.0</v>
      </c>
      <c r="M1429" s="960">
        <v>5.0</v>
      </c>
      <c r="N1429" s="960">
        <v>5.0</v>
      </c>
      <c r="O1429" s="960">
        <v>35.0</v>
      </c>
      <c r="P1429" s="960">
        <v>105.0</v>
      </c>
      <c r="Q1429" s="960">
        <v>50.0</v>
      </c>
      <c r="R1429" s="960">
        <v>136.0</v>
      </c>
      <c r="S1429" s="960">
        <v>199.0</v>
      </c>
      <c r="T1429" s="960">
        <v>218.0</v>
      </c>
      <c r="U1429" s="960">
        <f t="array" ref="U1429">HLOOKUP($J1429,'Type Chart'!$C$2:$T$20,2,false)*HLOOKUP($K1429,'Type Chart'!$C$2:$U$20,2,false)</f>
        <v>1</v>
      </c>
      <c r="V1429" s="960">
        <f t="array" ref="V1429">HLOOKUP($J1429,'Type Chart'!$C$2:$T$20,3,false)*HLOOKUP($K1429,'Type Chart'!$C$2:$U$20,3,false)</f>
        <v>2</v>
      </c>
      <c r="W1429" s="960">
        <f t="array" ref="W1429">HLOOKUP($J1429,'Type Chart'!$C$2:$T$20,4,false)*HLOOKUP($K1429,'Type Chart'!$C$2:$U$20,4,false)</f>
        <v>1</v>
      </c>
      <c r="X1429" s="960">
        <f t="array" ref="X1429">HLOOKUP($J1429,'Type Chart'!$C$2:$T$20,5,false)*HLOOKUP($K1429,'Type Chart'!$C$2:$U$20,5,false)</f>
        <v>1</v>
      </c>
      <c r="Y1429" s="960">
        <f t="array" ref="Y1429">HLOOKUP($J1429,'Type Chart'!$C$2:$T$20,6,false)*HLOOKUP($K1429,'Type Chart'!$C$2:$U$20,6,false)</f>
        <v>1</v>
      </c>
      <c r="Z1429" s="960">
        <f t="array" ref="Z1429">HLOOKUP($J1429,'Type Chart'!$C$2:$T$20,7,false)*HLOOKUP($K1429,'Type Chart'!$C$2:$U$20,7,false)</f>
        <v>1</v>
      </c>
      <c r="AA1429" s="960">
        <f t="array" ref="AA1429">HLOOKUP($J1429,'Type Chart'!$C$2:$T$20,8,false)*HLOOKUP($K1429,'Type Chart'!$C$2:$U$20,8,false)</f>
        <v>1</v>
      </c>
      <c r="AB1429" s="960">
        <f t="array" ref="AB1429">HLOOKUP($J1429,'Type Chart'!$C$2:$T$20,9,false)*HLOOKUP($K1429,'Type Chart'!$C$2:$U$20,9,false)</f>
        <v>0</v>
      </c>
      <c r="AC1429" s="960">
        <f t="array" ref="AC1429">HLOOKUP($J1429,'Type Chart'!$C$2:$T$20,10,false)*HLOOKUP($K1429,'Type Chart'!$C$2:$U$20,10,false)</f>
        <v>1</v>
      </c>
      <c r="AD1429" s="960">
        <f t="array" ref="AD1429">HLOOKUP($J1429,'Type Chart'!$C$2:$T$20,11,false)*HLOOKUP($K1429,'Type Chart'!$C$2:$U$20,11,false)</f>
        <v>1</v>
      </c>
      <c r="AE1429" s="960">
        <f t="array" ref="AE1429">HLOOKUP($J1429,'Type Chart'!$C$2:$T$20,12,false)*HLOOKUP($K1429,'Type Chart'!$C$2:$U$20,12,false)</f>
        <v>1</v>
      </c>
      <c r="AF1429" s="960">
        <f t="array" ref="AF1429">HLOOKUP($J1429,'Type Chart'!$C$2:$T$20,13,false)*HLOOKUP($K1429,'Type Chart'!$C$2:$U$20,13,false)</f>
        <v>1</v>
      </c>
      <c r="AG1429" s="960">
        <f t="array" ref="AG1429">HLOOKUP($J1429,'Type Chart'!$C$2:$T$20,14,false)*HLOOKUP($K1429,'Type Chart'!$C$2:$U$20,14,false)</f>
        <v>1</v>
      </c>
      <c r="AH1429" s="960">
        <f t="array" ref="AH1429">HLOOKUP($J1429,'Type Chart'!$C$2:$T$20,15,false)*HLOOKUP($K1429,'Type Chart'!$C$2:$U$20,15,false)</f>
        <v>1</v>
      </c>
      <c r="AI1429" s="960">
        <f t="array" ref="AI1429">HLOOKUP($J1429,'Type Chart'!$C$2:$T$20,16,false)*HLOOKUP($K1429,'Type Chart'!$C$2:$U$20,16,false)</f>
        <v>1</v>
      </c>
      <c r="AJ1429" s="960">
        <f t="array" ref="AJ1429">HLOOKUP($J1429,'Type Chart'!$C$2:$T$20,17,false)*HLOOKUP($K1429,'Type Chart'!$C$2:$U$20,17,false)</f>
        <v>1</v>
      </c>
      <c r="AK1429" s="960">
        <f t="array" ref="AK1429">HLOOKUP($J1429,'Type Chart'!$C$2:$T$20,18,false)*HLOOKUP($K1429,'Type Chart'!$C$2:$U$20,18,false)</f>
        <v>1</v>
      </c>
      <c r="AL1429" s="960">
        <f t="array" ref="AL1429">HLOOKUP($J1429,'Type Chart'!$C$2:$T$20,19,false)*HLOOKUP($K1429,'Type Chart'!$C$2:$U$20,19,false)</f>
        <v>1</v>
      </c>
      <c r="AM1429" s="964" t="s">
        <v>1520</v>
      </c>
      <c r="AN1429" s="965" t="s">
        <v>1521</v>
      </c>
      <c r="AO1429" s="966" t="s">
        <v>1522</v>
      </c>
      <c r="AP1429" s="936"/>
      <c r="AQ1429" s="1245"/>
      <c r="AR1429" s="1245"/>
      <c r="AS1429" s="936"/>
    </row>
    <row r="1430" ht="15.75" customHeight="1">
      <c r="A1430" s="1099"/>
      <c r="B1430" s="948" t="s">
        <v>1523</v>
      </c>
      <c r="C1430" s="1197" t="s">
        <v>1524</v>
      </c>
      <c r="D1430" s="1197" t="s">
        <v>1524</v>
      </c>
      <c r="E1430" s="1147" t="s">
        <v>1524</v>
      </c>
      <c r="F1430" s="940"/>
      <c r="G1430" s="953"/>
      <c r="H1430" s="969"/>
      <c r="I1430" s="998" t="s">
        <v>4531</v>
      </c>
      <c r="J1430" s="957" t="s">
        <v>209</v>
      </c>
      <c r="K1430" s="984" t="s">
        <v>216</v>
      </c>
      <c r="L1430" s="959">
        <v>65.0</v>
      </c>
      <c r="M1430" s="960">
        <v>55.0</v>
      </c>
      <c r="N1430" s="960">
        <v>115.0</v>
      </c>
      <c r="O1430" s="960">
        <v>100.0</v>
      </c>
      <c r="P1430" s="960">
        <v>40.0</v>
      </c>
      <c r="Q1430" s="960">
        <v>60.0</v>
      </c>
      <c r="R1430" s="960">
        <v>156.0</v>
      </c>
      <c r="S1430" s="960">
        <v>219.0</v>
      </c>
      <c r="T1430" s="960">
        <v>240.0</v>
      </c>
      <c r="U1430" s="960">
        <f t="array" ref="U1430">HLOOKUP($J1430,'Type Chart'!$C$2:$T$20,2,false)*HLOOKUP($K1430,'Type Chart'!$C$2:$U$20,2,false)</f>
        <v>1</v>
      </c>
      <c r="V1430" s="960">
        <f t="array" ref="V1430">HLOOKUP($J1430,'Type Chart'!$C$2:$T$20,3,false)*HLOOKUP($K1430,'Type Chart'!$C$2:$U$20,3,false)</f>
        <v>1</v>
      </c>
      <c r="W1430" s="960">
        <f t="array" ref="W1430">HLOOKUP($J1430,'Type Chart'!$C$2:$T$20,4,false)*HLOOKUP($K1430,'Type Chart'!$C$2:$U$20,4,false)</f>
        <v>2</v>
      </c>
      <c r="X1430" s="960">
        <f t="array" ref="X1430">HLOOKUP($J1430,'Type Chart'!$C$2:$T$20,5,false)*HLOOKUP($K1430,'Type Chart'!$C$2:$U$20,5,false)</f>
        <v>2</v>
      </c>
      <c r="Y1430" s="960">
        <f t="array" ref="Y1430">HLOOKUP($J1430,'Type Chart'!$C$2:$T$20,6,false)*HLOOKUP($K1430,'Type Chart'!$C$2:$U$20,6,false)</f>
        <v>0.5</v>
      </c>
      <c r="Z1430" s="960">
        <f t="array" ref="Z1430">HLOOKUP($J1430,'Type Chart'!$C$2:$T$20,7,false)*HLOOKUP($K1430,'Type Chart'!$C$2:$U$20,7,false)</f>
        <v>1</v>
      </c>
      <c r="AA1430" s="960">
        <f t="array" ref="AA1430">HLOOKUP($J1430,'Type Chart'!$C$2:$T$20,8,false)*HLOOKUP($K1430,'Type Chart'!$C$2:$U$20,8,false)</f>
        <v>2</v>
      </c>
      <c r="AB1430" s="960">
        <f t="array" ref="AB1430">HLOOKUP($J1430,'Type Chart'!$C$2:$T$20,9,false)*HLOOKUP($K1430,'Type Chart'!$C$2:$U$20,9,false)</f>
        <v>1</v>
      </c>
      <c r="AC1430" s="960">
        <f t="array" ref="AC1430">HLOOKUP($J1430,'Type Chart'!$C$2:$T$20,10,false)*HLOOKUP($K1430,'Type Chart'!$C$2:$U$20,10,false)</f>
        <v>1</v>
      </c>
      <c r="AD1430" s="960">
        <f t="array" ref="AD1430">HLOOKUP($J1430,'Type Chart'!$C$2:$T$20,11,false)*HLOOKUP($K1430,'Type Chart'!$C$2:$U$20,11,false)</f>
        <v>2</v>
      </c>
      <c r="AE1430" s="960">
        <f t="array" ref="AE1430">HLOOKUP($J1430,'Type Chart'!$C$2:$T$20,12,false)*HLOOKUP($K1430,'Type Chart'!$C$2:$U$20,12,false)</f>
        <v>0.5</v>
      </c>
      <c r="AF1430" s="960">
        <f t="array" ref="AF1430">HLOOKUP($J1430,'Type Chart'!$C$2:$T$20,13,false)*HLOOKUP($K1430,'Type Chart'!$C$2:$U$20,13,false)</f>
        <v>0.5</v>
      </c>
      <c r="AG1430" s="960">
        <f t="array" ref="AG1430">HLOOKUP($J1430,'Type Chart'!$C$2:$T$20,14,false)*HLOOKUP($K1430,'Type Chart'!$C$2:$U$20,14,false)</f>
        <v>0.5</v>
      </c>
      <c r="AH1430" s="960">
        <f t="array" ref="AH1430">HLOOKUP($J1430,'Type Chart'!$C$2:$T$20,15,false)*HLOOKUP($K1430,'Type Chart'!$C$2:$U$20,15,false)</f>
        <v>1</v>
      </c>
      <c r="AI1430" s="960">
        <f t="array" ref="AI1430">HLOOKUP($J1430,'Type Chart'!$C$2:$T$20,16,false)*HLOOKUP($K1430,'Type Chart'!$C$2:$U$20,16,false)</f>
        <v>2</v>
      </c>
      <c r="AJ1430" s="960">
        <f t="array" ref="AJ1430">HLOOKUP($J1430,'Type Chart'!$C$2:$T$20,17,false)*HLOOKUP($K1430,'Type Chart'!$C$2:$U$20,17,false)</f>
        <v>1</v>
      </c>
      <c r="AK1430" s="960">
        <f t="array" ref="AK1430">HLOOKUP($J1430,'Type Chart'!$C$2:$T$20,18,false)*HLOOKUP($K1430,'Type Chart'!$C$2:$U$20,18,false)</f>
        <v>1</v>
      </c>
      <c r="AL1430" s="960">
        <f t="array" ref="AL1430">HLOOKUP($J1430,'Type Chart'!$C$2:$T$20,19,false)*HLOOKUP($K1430,'Type Chart'!$C$2:$U$20,19,false)</f>
        <v>1</v>
      </c>
      <c r="AM1430" s="964" t="s">
        <v>524</v>
      </c>
      <c r="AN1430" s="965" t="s">
        <v>1526</v>
      </c>
      <c r="AO1430" s="966" t="s">
        <v>1371</v>
      </c>
      <c r="AP1430" s="936"/>
      <c r="AQ1430" s="1245"/>
      <c r="AR1430" s="1245"/>
      <c r="AS1430" s="936"/>
    </row>
    <row r="1431" ht="15.75" customHeight="1">
      <c r="A1431" s="1099"/>
      <c r="B1431" s="948" t="s">
        <v>1527</v>
      </c>
      <c r="C1431" s="1197" t="s">
        <v>1528</v>
      </c>
      <c r="D1431" s="1197" t="s">
        <v>1528</v>
      </c>
      <c r="E1431" s="1147" t="s">
        <v>1528</v>
      </c>
      <c r="F1431" s="940"/>
      <c r="G1431" s="953"/>
      <c r="H1431" s="969"/>
      <c r="I1431" s="998" t="s">
        <v>4532</v>
      </c>
      <c r="J1431" s="1194" t="s">
        <v>136</v>
      </c>
      <c r="K1431" s="984" t="s">
        <v>216</v>
      </c>
      <c r="L1431" s="959">
        <v>105.0</v>
      </c>
      <c r="M1431" s="960">
        <v>95.0</v>
      </c>
      <c r="N1431" s="960">
        <v>80.0</v>
      </c>
      <c r="O1431" s="960">
        <v>40.0</v>
      </c>
      <c r="P1431" s="960">
        <v>80.0</v>
      </c>
      <c r="Q1431" s="960">
        <v>90.0</v>
      </c>
      <c r="R1431" s="960">
        <v>216.0</v>
      </c>
      <c r="S1431" s="960">
        <v>279.0</v>
      </c>
      <c r="T1431" s="960">
        <v>306.0</v>
      </c>
      <c r="U1431" s="960">
        <f t="array" ref="U1431">HLOOKUP($J1431,'Type Chart'!$C$2:$T$20,2,false)*HLOOKUP($K1431,'Type Chart'!$C$2:$U$20,2,false)</f>
        <v>1</v>
      </c>
      <c r="V1431" s="960">
        <f t="array" ref="V1431">HLOOKUP($J1431,'Type Chart'!$C$2:$T$20,3,false)*HLOOKUP($K1431,'Type Chart'!$C$2:$U$20,3,false)</f>
        <v>2</v>
      </c>
      <c r="W1431" s="960">
        <f t="array" ref="W1431">HLOOKUP($J1431,'Type Chart'!$C$2:$T$20,4,false)*HLOOKUP($K1431,'Type Chart'!$C$2:$U$20,4,false)</f>
        <v>1</v>
      </c>
      <c r="X1431" s="960">
        <f t="array" ref="X1431">HLOOKUP($J1431,'Type Chart'!$C$2:$T$20,5,false)*HLOOKUP($K1431,'Type Chart'!$C$2:$U$20,5,false)</f>
        <v>1</v>
      </c>
      <c r="Y1431" s="960">
        <f t="array" ref="Y1431">HLOOKUP($J1431,'Type Chart'!$C$2:$T$20,6,false)*HLOOKUP($K1431,'Type Chart'!$C$2:$U$20,6,false)</f>
        <v>1</v>
      </c>
      <c r="Z1431" s="960">
        <f t="array" ref="Z1431">HLOOKUP($J1431,'Type Chart'!$C$2:$T$20,7,false)*HLOOKUP($K1431,'Type Chart'!$C$2:$U$20,7,false)</f>
        <v>1</v>
      </c>
      <c r="AA1431" s="960">
        <f t="array" ref="AA1431">HLOOKUP($J1431,'Type Chart'!$C$2:$T$20,8,false)*HLOOKUP($K1431,'Type Chart'!$C$2:$U$20,8,false)</f>
        <v>1</v>
      </c>
      <c r="AB1431" s="960">
        <f t="array" ref="AB1431">HLOOKUP($J1431,'Type Chart'!$C$2:$T$20,9,false)*HLOOKUP($K1431,'Type Chart'!$C$2:$U$20,9,false)</f>
        <v>0</v>
      </c>
      <c r="AC1431" s="960">
        <f t="array" ref="AC1431">HLOOKUP($J1431,'Type Chart'!$C$2:$T$20,10,false)*HLOOKUP($K1431,'Type Chart'!$C$2:$U$20,10,false)</f>
        <v>1</v>
      </c>
      <c r="AD1431" s="960">
        <f t="array" ref="AD1431">HLOOKUP($J1431,'Type Chart'!$C$2:$T$20,11,false)*HLOOKUP($K1431,'Type Chart'!$C$2:$U$20,11,false)</f>
        <v>1</v>
      </c>
      <c r="AE1431" s="960">
        <f t="array" ref="AE1431">HLOOKUP($J1431,'Type Chart'!$C$2:$T$20,12,false)*HLOOKUP($K1431,'Type Chart'!$C$2:$U$20,12,false)</f>
        <v>1</v>
      </c>
      <c r="AF1431" s="960">
        <f t="array" ref="AF1431">HLOOKUP($J1431,'Type Chart'!$C$2:$T$20,13,false)*HLOOKUP($K1431,'Type Chart'!$C$2:$U$20,13,false)</f>
        <v>1</v>
      </c>
      <c r="AG1431" s="960">
        <f t="array" ref="AG1431">HLOOKUP($J1431,'Type Chart'!$C$2:$T$20,14,false)*HLOOKUP($K1431,'Type Chart'!$C$2:$U$20,14,false)</f>
        <v>1</v>
      </c>
      <c r="AH1431" s="960">
        <f t="array" ref="AH1431">HLOOKUP($J1431,'Type Chart'!$C$2:$T$20,15,false)*HLOOKUP($K1431,'Type Chart'!$C$2:$U$20,15,false)</f>
        <v>1</v>
      </c>
      <c r="AI1431" s="960">
        <f t="array" ref="AI1431">HLOOKUP($J1431,'Type Chart'!$C$2:$T$20,16,false)*HLOOKUP($K1431,'Type Chart'!$C$2:$U$20,16,false)</f>
        <v>1</v>
      </c>
      <c r="AJ1431" s="960">
        <f t="array" ref="AJ1431">HLOOKUP($J1431,'Type Chart'!$C$2:$T$20,17,false)*HLOOKUP($K1431,'Type Chart'!$C$2:$U$20,17,false)</f>
        <v>1</v>
      </c>
      <c r="AK1431" s="960">
        <f t="array" ref="AK1431">HLOOKUP($J1431,'Type Chart'!$C$2:$T$20,18,false)*HLOOKUP($K1431,'Type Chart'!$C$2:$U$20,18,false)</f>
        <v>1</v>
      </c>
      <c r="AL1431" s="960">
        <f t="array" ref="AL1431">HLOOKUP($J1431,'Type Chart'!$C$2:$T$20,19,false)*HLOOKUP($K1431,'Type Chart'!$C$2:$U$20,19,false)</f>
        <v>1</v>
      </c>
      <c r="AM1431" s="964" t="s">
        <v>1403</v>
      </c>
      <c r="AN1431" s="965" t="s">
        <v>1399</v>
      </c>
      <c r="AO1431" s="966" t="s">
        <v>1192</v>
      </c>
      <c r="AP1431" s="936"/>
      <c r="AQ1431" s="1245"/>
      <c r="AR1431" s="1245"/>
      <c r="AS1431" s="936"/>
    </row>
    <row r="1432" ht="15.75" customHeight="1">
      <c r="A1432" s="1099"/>
      <c r="B1432" s="948" t="s">
        <v>1530</v>
      </c>
      <c r="C1432" s="1197" t="s">
        <v>1531</v>
      </c>
      <c r="D1432" s="1197" t="s">
        <v>1531</v>
      </c>
      <c r="E1432" s="1147" t="s">
        <v>1531</v>
      </c>
      <c r="F1432" s="940"/>
      <c r="G1432" s="953"/>
      <c r="H1432" s="969"/>
      <c r="I1432" s="998" t="s">
        <v>4533</v>
      </c>
      <c r="J1432" s="1194" t="s">
        <v>136</v>
      </c>
      <c r="K1432" s="984" t="s">
        <v>216</v>
      </c>
      <c r="L1432" s="959">
        <v>105.0</v>
      </c>
      <c r="M1432" s="960">
        <v>125.0</v>
      </c>
      <c r="N1432" s="960">
        <v>100.0</v>
      </c>
      <c r="O1432" s="960">
        <v>60.0</v>
      </c>
      <c r="P1432" s="960">
        <v>100.0</v>
      </c>
      <c r="Q1432" s="960">
        <v>100.0</v>
      </c>
      <c r="R1432" s="960">
        <v>236.0</v>
      </c>
      <c r="S1432" s="960">
        <v>299.0</v>
      </c>
      <c r="T1432" s="960">
        <v>328.0</v>
      </c>
      <c r="U1432" s="960">
        <f t="array" ref="U1432">HLOOKUP($J1432,'Type Chart'!$C$2:$T$20,2,false)*HLOOKUP($K1432,'Type Chart'!$C$2:$U$20,2,false)</f>
        <v>1</v>
      </c>
      <c r="V1432" s="960">
        <f t="array" ref="V1432">HLOOKUP($J1432,'Type Chart'!$C$2:$T$20,3,false)*HLOOKUP($K1432,'Type Chart'!$C$2:$U$20,3,false)</f>
        <v>2</v>
      </c>
      <c r="W1432" s="960">
        <f t="array" ref="W1432">HLOOKUP($J1432,'Type Chart'!$C$2:$T$20,4,false)*HLOOKUP($K1432,'Type Chart'!$C$2:$U$20,4,false)</f>
        <v>1</v>
      </c>
      <c r="X1432" s="960">
        <f t="array" ref="X1432">HLOOKUP($J1432,'Type Chart'!$C$2:$T$20,5,false)*HLOOKUP($K1432,'Type Chart'!$C$2:$U$20,5,false)</f>
        <v>1</v>
      </c>
      <c r="Y1432" s="960">
        <f t="array" ref="Y1432">HLOOKUP($J1432,'Type Chart'!$C$2:$T$20,6,false)*HLOOKUP($K1432,'Type Chart'!$C$2:$U$20,6,false)</f>
        <v>1</v>
      </c>
      <c r="Z1432" s="960">
        <f t="array" ref="Z1432">HLOOKUP($J1432,'Type Chart'!$C$2:$T$20,7,false)*HLOOKUP($K1432,'Type Chart'!$C$2:$U$20,7,false)</f>
        <v>1</v>
      </c>
      <c r="AA1432" s="960">
        <f t="array" ref="AA1432">HLOOKUP($J1432,'Type Chart'!$C$2:$T$20,8,false)*HLOOKUP($K1432,'Type Chart'!$C$2:$U$20,8,false)</f>
        <v>1</v>
      </c>
      <c r="AB1432" s="960">
        <f t="array" ref="AB1432">HLOOKUP($J1432,'Type Chart'!$C$2:$T$20,9,false)*HLOOKUP($K1432,'Type Chart'!$C$2:$U$20,9,false)</f>
        <v>0</v>
      </c>
      <c r="AC1432" s="960">
        <f t="array" ref="AC1432">HLOOKUP($J1432,'Type Chart'!$C$2:$T$20,10,false)*HLOOKUP($K1432,'Type Chart'!$C$2:$U$20,10,false)</f>
        <v>1</v>
      </c>
      <c r="AD1432" s="960">
        <f t="array" ref="AD1432">HLOOKUP($J1432,'Type Chart'!$C$2:$T$20,11,false)*HLOOKUP($K1432,'Type Chart'!$C$2:$U$20,11,false)</f>
        <v>1</v>
      </c>
      <c r="AE1432" s="960">
        <f t="array" ref="AE1432">HLOOKUP($J1432,'Type Chart'!$C$2:$T$20,12,false)*HLOOKUP($K1432,'Type Chart'!$C$2:$U$20,12,false)</f>
        <v>1</v>
      </c>
      <c r="AF1432" s="960">
        <f t="array" ref="AF1432">HLOOKUP($J1432,'Type Chart'!$C$2:$T$20,13,false)*HLOOKUP($K1432,'Type Chart'!$C$2:$U$20,13,false)</f>
        <v>1</v>
      </c>
      <c r="AG1432" s="960">
        <f t="array" ref="AG1432">HLOOKUP($J1432,'Type Chart'!$C$2:$T$20,14,false)*HLOOKUP($K1432,'Type Chart'!$C$2:$U$20,14,false)</f>
        <v>1</v>
      </c>
      <c r="AH1432" s="960">
        <f t="array" ref="AH1432">HLOOKUP($J1432,'Type Chart'!$C$2:$T$20,15,false)*HLOOKUP($K1432,'Type Chart'!$C$2:$U$20,15,false)</f>
        <v>1</v>
      </c>
      <c r="AI1432" s="960">
        <f t="array" ref="AI1432">HLOOKUP($J1432,'Type Chart'!$C$2:$T$20,16,false)*HLOOKUP($K1432,'Type Chart'!$C$2:$U$20,16,false)</f>
        <v>1</v>
      </c>
      <c r="AJ1432" s="960">
        <f t="array" ref="AJ1432">HLOOKUP($J1432,'Type Chart'!$C$2:$T$20,17,false)*HLOOKUP($K1432,'Type Chart'!$C$2:$U$20,17,false)</f>
        <v>1</v>
      </c>
      <c r="AK1432" s="960">
        <f t="array" ref="AK1432">HLOOKUP($J1432,'Type Chart'!$C$2:$T$20,18,false)*HLOOKUP($K1432,'Type Chart'!$C$2:$U$20,18,false)</f>
        <v>1</v>
      </c>
      <c r="AL1432" s="960">
        <f t="array" ref="AL1432">HLOOKUP($J1432,'Type Chart'!$C$2:$T$20,19,false)*HLOOKUP($K1432,'Type Chart'!$C$2:$U$20,19,false)</f>
        <v>1</v>
      </c>
      <c r="AM1432" s="964" t="s">
        <v>1399</v>
      </c>
      <c r="AN1432" s="965"/>
      <c r="AO1432" s="966"/>
      <c r="AP1432" s="936"/>
      <c r="AQ1432" s="1245"/>
      <c r="AR1432" s="1245"/>
      <c r="AS1432" s="936"/>
    </row>
    <row r="1433" ht="15.75" customHeight="1">
      <c r="A1433" s="1099"/>
      <c r="B1433" s="948" t="s">
        <v>1533</v>
      </c>
      <c r="C1433" s="1197" t="s">
        <v>1534</v>
      </c>
      <c r="D1433" s="1197" t="s">
        <v>1534</v>
      </c>
      <c r="E1433" s="1147" t="s">
        <v>1534</v>
      </c>
      <c r="F1433" s="940"/>
      <c r="G1433" s="953"/>
      <c r="H1433" s="969"/>
      <c r="I1433" s="998" t="s">
        <v>4534</v>
      </c>
      <c r="J1433" s="1056" t="s">
        <v>81</v>
      </c>
      <c r="K1433" s="984" t="s">
        <v>216</v>
      </c>
      <c r="L1433" s="959">
        <v>30.0</v>
      </c>
      <c r="M1433" s="960">
        <v>40.0</v>
      </c>
      <c r="N1433" s="960">
        <v>70.0</v>
      </c>
      <c r="O1433" s="960">
        <v>70.0</v>
      </c>
      <c r="P1433" s="960">
        <v>25.0</v>
      </c>
      <c r="Q1433" s="960">
        <v>60.0</v>
      </c>
      <c r="R1433" s="960">
        <v>156.0</v>
      </c>
      <c r="S1433" s="960">
        <v>219.0</v>
      </c>
      <c r="T1433" s="960">
        <v>240.0</v>
      </c>
      <c r="U1433" s="960">
        <f t="array" ref="U1433">HLOOKUP($J1433,'Type Chart'!$C$2:$T$20,2,false)*HLOOKUP($K1433,'Type Chart'!$C$2:$U$20,2,false)</f>
        <v>1</v>
      </c>
      <c r="V1433" s="960">
        <f t="array" ref="V1433">HLOOKUP($J1433,'Type Chart'!$C$2:$T$20,3,false)*HLOOKUP($K1433,'Type Chart'!$C$2:$U$20,3,false)</f>
        <v>1</v>
      </c>
      <c r="W1433" s="960">
        <f t="array" ref="W1433">HLOOKUP($J1433,'Type Chart'!$C$2:$T$20,4,false)*HLOOKUP($K1433,'Type Chart'!$C$2:$U$20,4,false)</f>
        <v>1</v>
      </c>
      <c r="X1433" s="960">
        <f t="array" ref="X1433">HLOOKUP($J1433,'Type Chart'!$C$2:$T$20,5,false)*HLOOKUP($K1433,'Type Chart'!$C$2:$U$20,5,false)</f>
        <v>1</v>
      </c>
      <c r="Y1433" s="960">
        <f t="array" ref="Y1433">HLOOKUP($J1433,'Type Chart'!$C$2:$T$20,6,false)*HLOOKUP($K1433,'Type Chart'!$C$2:$U$20,6,false)</f>
        <v>1</v>
      </c>
      <c r="Z1433" s="960">
        <f t="array" ref="Z1433">HLOOKUP($J1433,'Type Chart'!$C$2:$T$20,7,false)*HLOOKUP($K1433,'Type Chart'!$C$2:$U$20,7,false)</f>
        <v>1</v>
      </c>
      <c r="AA1433" s="960">
        <f t="array" ref="AA1433">HLOOKUP($J1433,'Type Chart'!$C$2:$T$20,8,false)*HLOOKUP($K1433,'Type Chart'!$C$2:$U$20,8,false)</f>
        <v>1</v>
      </c>
      <c r="AB1433" s="960">
        <f t="array" ref="AB1433">HLOOKUP($J1433,'Type Chart'!$C$2:$T$20,9,false)*HLOOKUP($K1433,'Type Chart'!$C$2:$U$20,9,false)</f>
        <v>1</v>
      </c>
      <c r="AC1433" s="960">
        <f t="array" ref="AC1433">HLOOKUP($J1433,'Type Chart'!$C$2:$T$20,10,false)*HLOOKUP($K1433,'Type Chart'!$C$2:$U$20,10,false)</f>
        <v>0.5</v>
      </c>
      <c r="AD1433" s="960">
        <f t="array" ref="AD1433">HLOOKUP($J1433,'Type Chart'!$C$2:$T$20,11,false)*HLOOKUP($K1433,'Type Chart'!$C$2:$U$20,11,false)</f>
        <v>0.5</v>
      </c>
      <c r="AE1433" s="960">
        <f t="array" ref="AE1433">HLOOKUP($J1433,'Type Chart'!$C$2:$T$20,12,false)*HLOOKUP($K1433,'Type Chart'!$C$2:$U$20,12,false)</f>
        <v>0.5</v>
      </c>
      <c r="AF1433" s="960">
        <f t="array" ref="AF1433">HLOOKUP($J1433,'Type Chart'!$C$2:$T$20,13,false)*HLOOKUP($K1433,'Type Chart'!$C$2:$U$20,13,false)</f>
        <v>2</v>
      </c>
      <c r="AG1433" s="960">
        <f t="array" ref="AG1433">HLOOKUP($J1433,'Type Chart'!$C$2:$T$20,14,false)*HLOOKUP($K1433,'Type Chart'!$C$2:$U$20,14,false)</f>
        <v>2</v>
      </c>
      <c r="AH1433" s="960">
        <f t="array" ref="AH1433">HLOOKUP($J1433,'Type Chart'!$C$2:$T$20,15,false)*HLOOKUP($K1433,'Type Chart'!$C$2:$U$20,15,false)</f>
        <v>1</v>
      </c>
      <c r="AI1433" s="960">
        <f t="array" ref="AI1433">HLOOKUP($J1433,'Type Chart'!$C$2:$T$20,16,false)*HLOOKUP($K1433,'Type Chart'!$C$2:$U$20,16,false)</f>
        <v>0.5</v>
      </c>
      <c r="AJ1433" s="960">
        <f t="array" ref="AJ1433">HLOOKUP($J1433,'Type Chart'!$C$2:$T$20,17,false)*HLOOKUP($K1433,'Type Chart'!$C$2:$U$20,17,false)</f>
        <v>1</v>
      </c>
      <c r="AK1433" s="960">
        <f t="array" ref="AK1433">HLOOKUP($J1433,'Type Chart'!$C$2:$T$20,18,false)*HLOOKUP($K1433,'Type Chart'!$C$2:$U$20,18,false)</f>
        <v>1</v>
      </c>
      <c r="AL1433" s="960">
        <f t="array" ref="AL1433">HLOOKUP($J1433,'Type Chart'!$C$2:$T$20,19,false)*HLOOKUP($K1433,'Type Chart'!$C$2:$U$20,19,false)</f>
        <v>1</v>
      </c>
      <c r="AM1433" s="964" t="s">
        <v>1259</v>
      </c>
      <c r="AN1433" s="965" t="s">
        <v>1014</v>
      </c>
      <c r="AO1433" s="966" t="s">
        <v>1211</v>
      </c>
      <c r="AP1433" s="936"/>
      <c r="AQ1433" s="1245"/>
      <c r="AR1433" s="1245"/>
      <c r="AS1433" s="936"/>
    </row>
    <row r="1434" ht="15.75" customHeight="1">
      <c r="A1434" s="1099"/>
      <c r="B1434" s="948" t="s">
        <v>1536</v>
      </c>
      <c r="C1434" s="1197" t="s">
        <v>1537</v>
      </c>
      <c r="D1434" s="1197" t="s">
        <v>1537</v>
      </c>
      <c r="E1434" s="1147" t="s">
        <v>1537</v>
      </c>
      <c r="F1434" s="940"/>
      <c r="G1434" s="953"/>
      <c r="H1434" s="969"/>
      <c r="I1434" s="998" t="s">
        <v>4535</v>
      </c>
      <c r="J1434" s="1056" t="s">
        <v>81</v>
      </c>
      <c r="K1434" s="984" t="s">
        <v>216</v>
      </c>
      <c r="L1434" s="959">
        <v>55.0</v>
      </c>
      <c r="M1434" s="960">
        <v>65.0</v>
      </c>
      <c r="N1434" s="960">
        <v>95.0</v>
      </c>
      <c r="O1434" s="960">
        <v>95.0</v>
      </c>
      <c r="P1434" s="960">
        <v>45.0</v>
      </c>
      <c r="Q1434" s="960">
        <v>85.0</v>
      </c>
      <c r="R1434" s="960">
        <v>206.0</v>
      </c>
      <c r="S1434" s="960">
        <v>269.0</v>
      </c>
      <c r="T1434" s="960">
        <v>295.0</v>
      </c>
      <c r="U1434" s="960">
        <f t="array" ref="U1434">HLOOKUP($J1434,'Type Chart'!$C$2:$T$20,2,false)*HLOOKUP($K1434,'Type Chart'!$C$2:$U$20,2,false)</f>
        <v>1</v>
      </c>
      <c r="V1434" s="960">
        <f t="array" ref="V1434">HLOOKUP($J1434,'Type Chart'!$C$2:$T$20,3,false)*HLOOKUP($K1434,'Type Chart'!$C$2:$U$20,3,false)</f>
        <v>1</v>
      </c>
      <c r="W1434" s="960">
        <f t="array" ref="W1434">HLOOKUP($J1434,'Type Chart'!$C$2:$T$20,4,false)*HLOOKUP($K1434,'Type Chart'!$C$2:$U$20,4,false)</f>
        <v>1</v>
      </c>
      <c r="X1434" s="960">
        <f t="array" ref="X1434">HLOOKUP($J1434,'Type Chart'!$C$2:$T$20,5,false)*HLOOKUP($K1434,'Type Chart'!$C$2:$U$20,5,false)</f>
        <v>1</v>
      </c>
      <c r="Y1434" s="960">
        <f t="array" ref="Y1434">HLOOKUP($J1434,'Type Chart'!$C$2:$T$20,6,false)*HLOOKUP($K1434,'Type Chart'!$C$2:$U$20,6,false)</f>
        <v>1</v>
      </c>
      <c r="Z1434" s="960">
        <f t="array" ref="Z1434">HLOOKUP($J1434,'Type Chart'!$C$2:$T$20,7,false)*HLOOKUP($K1434,'Type Chart'!$C$2:$U$20,7,false)</f>
        <v>1</v>
      </c>
      <c r="AA1434" s="960">
        <f t="array" ref="AA1434">HLOOKUP($J1434,'Type Chart'!$C$2:$T$20,8,false)*HLOOKUP($K1434,'Type Chart'!$C$2:$U$20,8,false)</f>
        <v>1</v>
      </c>
      <c r="AB1434" s="960">
        <f t="array" ref="AB1434">HLOOKUP($J1434,'Type Chart'!$C$2:$T$20,9,false)*HLOOKUP($K1434,'Type Chart'!$C$2:$U$20,9,false)</f>
        <v>1</v>
      </c>
      <c r="AC1434" s="960">
        <f t="array" ref="AC1434">HLOOKUP($J1434,'Type Chart'!$C$2:$T$20,10,false)*HLOOKUP($K1434,'Type Chart'!$C$2:$U$20,10,false)</f>
        <v>0.5</v>
      </c>
      <c r="AD1434" s="960">
        <f t="array" ref="AD1434">HLOOKUP($J1434,'Type Chart'!$C$2:$T$20,11,false)*HLOOKUP($K1434,'Type Chart'!$C$2:$U$20,11,false)</f>
        <v>0.5</v>
      </c>
      <c r="AE1434" s="960">
        <f t="array" ref="AE1434">HLOOKUP($J1434,'Type Chart'!$C$2:$T$20,12,false)*HLOOKUP($K1434,'Type Chart'!$C$2:$U$20,12,false)</f>
        <v>0.5</v>
      </c>
      <c r="AF1434" s="960">
        <f t="array" ref="AF1434">HLOOKUP($J1434,'Type Chart'!$C$2:$T$20,13,false)*HLOOKUP($K1434,'Type Chart'!$C$2:$U$20,13,false)</f>
        <v>2</v>
      </c>
      <c r="AG1434" s="960">
        <f t="array" ref="AG1434">HLOOKUP($J1434,'Type Chart'!$C$2:$T$20,14,false)*HLOOKUP($K1434,'Type Chart'!$C$2:$U$20,14,false)</f>
        <v>2</v>
      </c>
      <c r="AH1434" s="960">
        <f t="array" ref="AH1434">HLOOKUP($J1434,'Type Chart'!$C$2:$T$20,15,false)*HLOOKUP($K1434,'Type Chart'!$C$2:$U$20,15,false)</f>
        <v>1</v>
      </c>
      <c r="AI1434" s="960">
        <f t="array" ref="AI1434">HLOOKUP($J1434,'Type Chart'!$C$2:$T$20,16,false)*HLOOKUP($K1434,'Type Chart'!$C$2:$U$20,16,false)</f>
        <v>0.5</v>
      </c>
      <c r="AJ1434" s="960">
        <f t="array" ref="AJ1434">HLOOKUP($J1434,'Type Chart'!$C$2:$T$20,17,false)*HLOOKUP($K1434,'Type Chart'!$C$2:$U$20,17,false)</f>
        <v>1</v>
      </c>
      <c r="AK1434" s="960">
        <f t="array" ref="AK1434">HLOOKUP($J1434,'Type Chart'!$C$2:$T$20,18,false)*HLOOKUP($K1434,'Type Chart'!$C$2:$U$20,18,false)</f>
        <v>1</v>
      </c>
      <c r="AL1434" s="960">
        <f t="array" ref="AL1434">HLOOKUP($J1434,'Type Chart'!$C$2:$T$20,19,false)*HLOOKUP($K1434,'Type Chart'!$C$2:$U$20,19,false)</f>
        <v>1</v>
      </c>
      <c r="AM1434" s="964" t="s">
        <v>1146</v>
      </c>
      <c r="AN1434" s="965" t="s">
        <v>1014</v>
      </c>
      <c r="AO1434" s="966" t="s">
        <v>1211</v>
      </c>
      <c r="AP1434" s="936"/>
      <c r="AQ1434" s="1245"/>
      <c r="AR1434" s="1245"/>
      <c r="AS1434" s="936"/>
    </row>
    <row r="1435" ht="15.75" customHeight="1">
      <c r="A1435" s="1099"/>
      <c r="B1435" s="948" t="s">
        <v>1539</v>
      </c>
      <c r="C1435" s="1197" t="s">
        <v>1540</v>
      </c>
      <c r="D1435" s="1197" t="s">
        <v>1540</v>
      </c>
      <c r="E1435" s="1147" t="s">
        <v>1540</v>
      </c>
      <c r="F1435" s="940"/>
      <c r="G1435" s="953"/>
      <c r="H1435" s="969"/>
      <c r="I1435" s="998" t="s">
        <v>4536</v>
      </c>
      <c r="J1435" s="1056" t="s">
        <v>81</v>
      </c>
      <c r="K1435" s="984" t="s">
        <v>216</v>
      </c>
      <c r="L1435" s="959">
        <v>45.0</v>
      </c>
      <c r="M1435" s="960">
        <v>67.0</v>
      </c>
      <c r="N1435" s="960">
        <v>60.0</v>
      </c>
      <c r="O1435" s="960">
        <v>35.0</v>
      </c>
      <c r="P1435" s="960">
        <v>50.0</v>
      </c>
      <c r="Q1435" s="960">
        <v>63.0</v>
      </c>
      <c r="R1435" s="960">
        <v>162.0</v>
      </c>
      <c r="S1435" s="960">
        <v>225.0</v>
      </c>
      <c r="T1435" s="960">
        <v>247.0</v>
      </c>
      <c r="U1435" s="960">
        <f t="array" ref="U1435">HLOOKUP($J1435,'Type Chart'!$C$2:$T$20,2,false)*HLOOKUP($K1435,'Type Chart'!$C$2:$U$20,2,false)</f>
        <v>1</v>
      </c>
      <c r="V1435" s="960">
        <f t="array" ref="V1435">HLOOKUP($J1435,'Type Chart'!$C$2:$T$20,3,false)*HLOOKUP($K1435,'Type Chart'!$C$2:$U$20,3,false)</f>
        <v>1</v>
      </c>
      <c r="W1435" s="960">
        <f t="array" ref="W1435">HLOOKUP($J1435,'Type Chart'!$C$2:$T$20,4,false)*HLOOKUP($K1435,'Type Chart'!$C$2:$U$20,4,false)</f>
        <v>1</v>
      </c>
      <c r="X1435" s="960">
        <f t="array" ref="X1435">HLOOKUP($J1435,'Type Chart'!$C$2:$T$20,5,false)*HLOOKUP($K1435,'Type Chart'!$C$2:$U$20,5,false)</f>
        <v>1</v>
      </c>
      <c r="Y1435" s="960">
        <f t="array" ref="Y1435">HLOOKUP($J1435,'Type Chart'!$C$2:$T$20,6,false)*HLOOKUP($K1435,'Type Chart'!$C$2:$U$20,6,false)</f>
        <v>1</v>
      </c>
      <c r="Z1435" s="960">
        <f t="array" ref="Z1435">HLOOKUP($J1435,'Type Chart'!$C$2:$T$20,7,false)*HLOOKUP($K1435,'Type Chart'!$C$2:$U$20,7,false)</f>
        <v>1</v>
      </c>
      <c r="AA1435" s="960">
        <f t="array" ref="AA1435">HLOOKUP($J1435,'Type Chart'!$C$2:$T$20,8,false)*HLOOKUP($K1435,'Type Chart'!$C$2:$U$20,8,false)</f>
        <v>1</v>
      </c>
      <c r="AB1435" s="960">
        <f t="array" ref="AB1435">HLOOKUP($J1435,'Type Chart'!$C$2:$T$20,9,false)*HLOOKUP($K1435,'Type Chart'!$C$2:$U$20,9,false)</f>
        <v>1</v>
      </c>
      <c r="AC1435" s="960">
        <f t="array" ref="AC1435">HLOOKUP($J1435,'Type Chart'!$C$2:$T$20,10,false)*HLOOKUP($K1435,'Type Chart'!$C$2:$U$20,10,false)</f>
        <v>0.5</v>
      </c>
      <c r="AD1435" s="960">
        <f t="array" ref="AD1435">HLOOKUP($J1435,'Type Chart'!$C$2:$T$20,11,false)*HLOOKUP($K1435,'Type Chart'!$C$2:$U$20,11,false)</f>
        <v>0.5</v>
      </c>
      <c r="AE1435" s="960">
        <f t="array" ref="AE1435">HLOOKUP($J1435,'Type Chart'!$C$2:$T$20,12,false)*HLOOKUP($K1435,'Type Chart'!$C$2:$U$20,12,false)</f>
        <v>0.5</v>
      </c>
      <c r="AF1435" s="960">
        <f t="array" ref="AF1435">HLOOKUP($J1435,'Type Chart'!$C$2:$T$20,13,false)*HLOOKUP($K1435,'Type Chart'!$C$2:$U$20,13,false)</f>
        <v>2</v>
      </c>
      <c r="AG1435" s="960">
        <f t="array" ref="AG1435">HLOOKUP($J1435,'Type Chart'!$C$2:$T$20,14,false)*HLOOKUP($K1435,'Type Chart'!$C$2:$U$20,14,false)</f>
        <v>2</v>
      </c>
      <c r="AH1435" s="960">
        <f t="array" ref="AH1435">HLOOKUP($J1435,'Type Chart'!$C$2:$T$20,15,false)*HLOOKUP($K1435,'Type Chart'!$C$2:$U$20,15,false)</f>
        <v>1</v>
      </c>
      <c r="AI1435" s="960">
        <f t="array" ref="AI1435">HLOOKUP($J1435,'Type Chart'!$C$2:$T$20,16,false)*HLOOKUP($K1435,'Type Chart'!$C$2:$U$20,16,false)</f>
        <v>0.5</v>
      </c>
      <c r="AJ1435" s="960">
        <f t="array" ref="AJ1435">HLOOKUP($J1435,'Type Chart'!$C$2:$T$20,17,false)*HLOOKUP($K1435,'Type Chart'!$C$2:$U$20,17,false)</f>
        <v>1</v>
      </c>
      <c r="AK1435" s="960">
        <f t="array" ref="AK1435">HLOOKUP($J1435,'Type Chart'!$C$2:$T$20,18,false)*HLOOKUP($K1435,'Type Chart'!$C$2:$U$20,18,false)</f>
        <v>1</v>
      </c>
      <c r="AL1435" s="960">
        <f t="array" ref="AL1435">HLOOKUP($J1435,'Type Chart'!$C$2:$T$20,19,false)*HLOOKUP($K1435,'Type Chart'!$C$2:$U$20,19,false)</f>
        <v>1</v>
      </c>
      <c r="AM1435" s="964" t="s">
        <v>1259</v>
      </c>
      <c r="AN1435" s="965" t="s">
        <v>1542</v>
      </c>
      <c r="AO1435" s="966" t="s">
        <v>1068</v>
      </c>
      <c r="AP1435" s="936"/>
      <c r="AQ1435" s="1245"/>
      <c r="AR1435" s="1245"/>
      <c r="AS1435" s="936"/>
    </row>
    <row r="1436" ht="15.75" customHeight="1">
      <c r="A1436" s="1099"/>
      <c r="B1436" s="948" t="s">
        <v>1543</v>
      </c>
      <c r="C1436" s="1197" t="s">
        <v>1544</v>
      </c>
      <c r="D1436" s="1197" t="s">
        <v>1544</v>
      </c>
      <c r="E1436" s="1147" t="s">
        <v>1544</v>
      </c>
      <c r="F1436" s="940"/>
      <c r="G1436" s="953"/>
      <c r="H1436" s="969"/>
      <c r="I1436" s="998" t="s">
        <v>4537</v>
      </c>
      <c r="J1436" s="1056" t="s">
        <v>81</v>
      </c>
      <c r="K1436" s="984" t="s">
        <v>216</v>
      </c>
      <c r="L1436" s="959">
        <v>80.0</v>
      </c>
      <c r="M1436" s="960">
        <v>92.0</v>
      </c>
      <c r="N1436" s="960">
        <v>65.0</v>
      </c>
      <c r="O1436" s="960">
        <v>65.0</v>
      </c>
      <c r="P1436" s="960">
        <v>80.0</v>
      </c>
      <c r="Q1436" s="960">
        <v>68.0</v>
      </c>
      <c r="R1436" s="960">
        <v>172.0</v>
      </c>
      <c r="S1436" s="960">
        <v>235.0</v>
      </c>
      <c r="T1436" s="960">
        <v>258.0</v>
      </c>
      <c r="U1436" s="960">
        <f t="array" ref="U1436">HLOOKUP($J1436,'Type Chart'!$C$2:$T$20,2,false)*HLOOKUP($K1436,'Type Chart'!$C$2:$U$20,2,false)</f>
        <v>1</v>
      </c>
      <c r="V1436" s="960">
        <f t="array" ref="V1436">HLOOKUP($J1436,'Type Chart'!$C$2:$T$20,3,false)*HLOOKUP($K1436,'Type Chart'!$C$2:$U$20,3,false)</f>
        <v>1</v>
      </c>
      <c r="W1436" s="960">
        <f t="array" ref="W1436">HLOOKUP($J1436,'Type Chart'!$C$2:$T$20,4,false)*HLOOKUP($K1436,'Type Chart'!$C$2:$U$20,4,false)</f>
        <v>1</v>
      </c>
      <c r="X1436" s="960">
        <f t="array" ref="X1436">HLOOKUP($J1436,'Type Chart'!$C$2:$T$20,5,false)*HLOOKUP($K1436,'Type Chart'!$C$2:$U$20,5,false)</f>
        <v>1</v>
      </c>
      <c r="Y1436" s="960">
        <f t="array" ref="Y1436">HLOOKUP($J1436,'Type Chart'!$C$2:$T$20,6,false)*HLOOKUP($K1436,'Type Chart'!$C$2:$U$20,6,false)</f>
        <v>1</v>
      </c>
      <c r="Z1436" s="960">
        <f t="array" ref="Z1436">HLOOKUP($J1436,'Type Chart'!$C$2:$T$20,7,false)*HLOOKUP($K1436,'Type Chart'!$C$2:$U$20,7,false)</f>
        <v>1</v>
      </c>
      <c r="AA1436" s="960">
        <f t="array" ref="AA1436">HLOOKUP($J1436,'Type Chart'!$C$2:$T$20,8,false)*HLOOKUP($K1436,'Type Chart'!$C$2:$U$20,8,false)</f>
        <v>1</v>
      </c>
      <c r="AB1436" s="960">
        <f t="array" ref="AB1436">HLOOKUP($J1436,'Type Chart'!$C$2:$T$20,9,false)*HLOOKUP($K1436,'Type Chart'!$C$2:$U$20,9,false)</f>
        <v>1</v>
      </c>
      <c r="AC1436" s="960">
        <f t="array" ref="AC1436">HLOOKUP($J1436,'Type Chart'!$C$2:$T$20,10,false)*HLOOKUP($K1436,'Type Chart'!$C$2:$U$20,10,false)</f>
        <v>0.5</v>
      </c>
      <c r="AD1436" s="960">
        <f t="array" ref="AD1436">HLOOKUP($J1436,'Type Chart'!$C$2:$T$20,11,false)*HLOOKUP($K1436,'Type Chart'!$C$2:$U$20,11,false)</f>
        <v>0.5</v>
      </c>
      <c r="AE1436" s="960">
        <f t="array" ref="AE1436">HLOOKUP($J1436,'Type Chart'!$C$2:$T$20,12,false)*HLOOKUP($K1436,'Type Chart'!$C$2:$U$20,12,false)</f>
        <v>0.5</v>
      </c>
      <c r="AF1436" s="960">
        <f t="array" ref="AF1436">HLOOKUP($J1436,'Type Chart'!$C$2:$T$20,13,false)*HLOOKUP($K1436,'Type Chart'!$C$2:$U$20,13,false)</f>
        <v>2</v>
      </c>
      <c r="AG1436" s="960">
        <f t="array" ref="AG1436">HLOOKUP($J1436,'Type Chart'!$C$2:$T$20,14,false)*HLOOKUP($K1436,'Type Chart'!$C$2:$U$20,14,false)</f>
        <v>2</v>
      </c>
      <c r="AH1436" s="960">
        <f t="array" ref="AH1436">HLOOKUP($J1436,'Type Chart'!$C$2:$T$20,15,false)*HLOOKUP($K1436,'Type Chart'!$C$2:$U$20,15,false)</f>
        <v>1</v>
      </c>
      <c r="AI1436" s="960">
        <f t="array" ref="AI1436">HLOOKUP($J1436,'Type Chart'!$C$2:$T$20,16,false)*HLOOKUP($K1436,'Type Chart'!$C$2:$U$20,16,false)</f>
        <v>0.5</v>
      </c>
      <c r="AJ1436" s="960">
        <f t="array" ref="AJ1436">HLOOKUP($J1436,'Type Chart'!$C$2:$T$20,17,false)*HLOOKUP($K1436,'Type Chart'!$C$2:$U$20,17,false)</f>
        <v>1</v>
      </c>
      <c r="AK1436" s="960">
        <f t="array" ref="AK1436">HLOOKUP($J1436,'Type Chart'!$C$2:$T$20,18,false)*HLOOKUP($K1436,'Type Chart'!$C$2:$U$20,18,false)</f>
        <v>1</v>
      </c>
      <c r="AL1436" s="960">
        <f t="array" ref="AL1436">HLOOKUP($J1436,'Type Chart'!$C$2:$T$20,19,false)*HLOOKUP($K1436,'Type Chart'!$C$2:$U$20,19,false)</f>
        <v>1</v>
      </c>
      <c r="AM1436" s="964" t="s">
        <v>1259</v>
      </c>
      <c r="AN1436" s="965" t="s">
        <v>1542</v>
      </c>
      <c r="AO1436" s="966" t="s">
        <v>1068</v>
      </c>
      <c r="AP1436" s="936"/>
      <c r="AQ1436" s="1245"/>
      <c r="AR1436" s="1245"/>
      <c r="AS1436" s="936"/>
    </row>
    <row r="1437" ht="15.75" customHeight="1">
      <c r="A1437" s="1099"/>
      <c r="B1437" s="948" t="s">
        <v>1546</v>
      </c>
      <c r="C1437" s="1197" t="s">
        <v>1547</v>
      </c>
      <c r="D1437" s="1197" t="s">
        <v>1547</v>
      </c>
      <c r="E1437" s="1147" t="s">
        <v>1547</v>
      </c>
      <c r="F1437" s="940"/>
      <c r="G1437" s="953"/>
      <c r="H1437" s="969"/>
      <c r="I1437" s="998" t="s">
        <v>4538</v>
      </c>
      <c r="J1437" s="1056" t="s">
        <v>81</v>
      </c>
      <c r="K1437" s="984" t="s">
        <v>216</v>
      </c>
      <c r="L1437" s="959">
        <v>30.0</v>
      </c>
      <c r="M1437" s="960">
        <v>45.0</v>
      </c>
      <c r="N1437" s="960">
        <v>55.0</v>
      </c>
      <c r="O1437" s="960">
        <v>70.0</v>
      </c>
      <c r="P1437" s="960">
        <v>55.0</v>
      </c>
      <c r="Q1437" s="960">
        <v>85.0</v>
      </c>
      <c r="R1437" s="960">
        <v>206.0</v>
      </c>
      <c r="S1437" s="960">
        <v>269.0</v>
      </c>
      <c r="T1437" s="960">
        <v>295.0</v>
      </c>
      <c r="U1437" s="960">
        <f t="array" ref="U1437">HLOOKUP($J1437,'Type Chart'!$C$2:$T$20,2,false)*HLOOKUP($K1437,'Type Chart'!$C$2:$U$20,2,false)</f>
        <v>1</v>
      </c>
      <c r="V1437" s="960">
        <f t="array" ref="V1437">HLOOKUP($J1437,'Type Chart'!$C$2:$T$20,3,false)*HLOOKUP($K1437,'Type Chart'!$C$2:$U$20,3,false)</f>
        <v>1</v>
      </c>
      <c r="W1437" s="960">
        <f t="array" ref="W1437">HLOOKUP($J1437,'Type Chart'!$C$2:$T$20,4,false)*HLOOKUP($K1437,'Type Chart'!$C$2:$U$20,4,false)</f>
        <v>1</v>
      </c>
      <c r="X1437" s="960">
        <f t="array" ref="X1437">HLOOKUP($J1437,'Type Chart'!$C$2:$T$20,5,false)*HLOOKUP($K1437,'Type Chart'!$C$2:$U$20,5,false)</f>
        <v>1</v>
      </c>
      <c r="Y1437" s="960">
        <f t="array" ref="Y1437">HLOOKUP($J1437,'Type Chart'!$C$2:$T$20,6,false)*HLOOKUP($K1437,'Type Chart'!$C$2:$U$20,6,false)</f>
        <v>1</v>
      </c>
      <c r="Z1437" s="960">
        <f t="array" ref="Z1437">HLOOKUP($J1437,'Type Chart'!$C$2:$T$20,7,false)*HLOOKUP($K1437,'Type Chart'!$C$2:$U$20,7,false)</f>
        <v>1</v>
      </c>
      <c r="AA1437" s="960">
        <f t="array" ref="AA1437">HLOOKUP($J1437,'Type Chart'!$C$2:$T$20,8,false)*HLOOKUP($K1437,'Type Chart'!$C$2:$U$20,8,false)</f>
        <v>1</v>
      </c>
      <c r="AB1437" s="960">
        <f t="array" ref="AB1437">HLOOKUP($J1437,'Type Chart'!$C$2:$T$20,9,false)*HLOOKUP($K1437,'Type Chart'!$C$2:$U$20,9,false)</f>
        <v>1</v>
      </c>
      <c r="AC1437" s="960">
        <f t="array" ref="AC1437">HLOOKUP($J1437,'Type Chart'!$C$2:$T$20,10,false)*HLOOKUP($K1437,'Type Chart'!$C$2:$U$20,10,false)</f>
        <v>0.5</v>
      </c>
      <c r="AD1437" s="960">
        <f t="array" ref="AD1437">HLOOKUP($J1437,'Type Chart'!$C$2:$T$20,11,false)*HLOOKUP($K1437,'Type Chart'!$C$2:$U$20,11,false)</f>
        <v>0.5</v>
      </c>
      <c r="AE1437" s="960">
        <f t="array" ref="AE1437">HLOOKUP($J1437,'Type Chart'!$C$2:$T$20,12,false)*HLOOKUP($K1437,'Type Chart'!$C$2:$U$20,12,false)</f>
        <v>0.5</v>
      </c>
      <c r="AF1437" s="960">
        <f t="array" ref="AF1437">HLOOKUP($J1437,'Type Chart'!$C$2:$T$20,13,false)*HLOOKUP($K1437,'Type Chart'!$C$2:$U$20,13,false)</f>
        <v>2</v>
      </c>
      <c r="AG1437" s="960">
        <f t="array" ref="AG1437">HLOOKUP($J1437,'Type Chart'!$C$2:$T$20,14,false)*HLOOKUP($K1437,'Type Chart'!$C$2:$U$20,14,false)</f>
        <v>2</v>
      </c>
      <c r="AH1437" s="960">
        <f t="array" ref="AH1437">HLOOKUP($J1437,'Type Chart'!$C$2:$T$20,15,false)*HLOOKUP($K1437,'Type Chart'!$C$2:$U$20,15,false)</f>
        <v>1</v>
      </c>
      <c r="AI1437" s="960">
        <f t="array" ref="AI1437">HLOOKUP($J1437,'Type Chart'!$C$2:$T$20,16,false)*HLOOKUP($K1437,'Type Chart'!$C$2:$U$20,16,false)</f>
        <v>0.5</v>
      </c>
      <c r="AJ1437" s="960">
        <f t="array" ref="AJ1437">HLOOKUP($J1437,'Type Chart'!$C$2:$T$20,17,false)*HLOOKUP($K1437,'Type Chart'!$C$2:$U$20,17,false)</f>
        <v>1</v>
      </c>
      <c r="AK1437" s="960">
        <f t="array" ref="AK1437">HLOOKUP($J1437,'Type Chart'!$C$2:$T$20,18,false)*HLOOKUP($K1437,'Type Chart'!$C$2:$U$20,18,false)</f>
        <v>1</v>
      </c>
      <c r="AL1437" s="960">
        <f t="array" ref="AL1437">HLOOKUP($J1437,'Type Chart'!$C$2:$T$20,19,false)*HLOOKUP($K1437,'Type Chart'!$C$2:$U$20,19,false)</f>
        <v>1</v>
      </c>
      <c r="AM1437" s="964" t="s">
        <v>1549</v>
      </c>
      <c r="AN1437" s="965" t="s">
        <v>1520</v>
      </c>
      <c r="AO1437" s="966" t="s">
        <v>1389</v>
      </c>
      <c r="AP1437" s="936"/>
      <c r="AQ1437" s="1245"/>
      <c r="AR1437" s="1245"/>
      <c r="AS1437" s="936"/>
    </row>
    <row r="1438" ht="15.75" customHeight="1">
      <c r="A1438" s="1099"/>
      <c r="B1438" s="948" t="s">
        <v>1550</v>
      </c>
      <c r="C1438" s="1197" t="s">
        <v>1551</v>
      </c>
      <c r="D1438" s="1197" t="s">
        <v>1551</v>
      </c>
      <c r="E1438" s="1147" t="s">
        <v>1551</v>
      </c>
      <c r="F1438" s="940"/>
      <c r="G1438" s="953"/>
      <c r="H1438" s="969"/>
      <c r="I1438" s="998" t="s">
        <v>4539</v>
      </c>
      <c r="J1438" s="1056" t="s">
        <v>81</v>
      </c>
      <c r="K1438" s="1203" t="s">
        <v>344</v>
      </c>
      <c r="L1438" s="959">
        <v>60.0</v>
      </c>
      <c r="M1438" s="960">
        <v>75.0</v>
      </c>
      <c r="N1438" s="960">
        <v>85.0</v>
      </c>
      <c r="O1438" s="960">
        <v>100.0</v>
      </c>
      <c r="P1438" s="960">
        <v>85.0</v>
      </c>
      <c r="Q1438" s="960">
        <v>115.0</v>
      </c>
      <c r="R1438" s="960">
        <v>266.0</v>
      </c>
      <c r="S1438" s="960">
        <v>329.0</v>
      </c>
      <c r="T1438" s="960">
        <v>361.0</v>
      </c>
      <c r="U1438" s="960">
        <f t="array" ref="U1438">HLOOKUP($J1438,'Type Chart'!$C$2:$T$20,2,false)*HLOOKUP($K1438,'Type Chart'!$C$2:$U$20,2,false)</f>
        <v>1</v>
      </c>
      <c r="V1438" s="960">
        <f t="array" ref="V1438">HLOOKUP($J1438,'Type Chart'!$C$2:$T$20,3,false)*HLOOKUP($K1438,'Type Chart'!$C$2:$U$20,3,false)</f>
        <v>0.5</v>
      </c>
      <c r="W1438" s="960">
        <f t="array" ref="W1438">HLOOKUP($J1438,'Type Chart'!$C$2:$T$20,4,false)*HLOOKUP($K1438,'Type Chart'!$C$2:$U$20,4,false)</f>
        <v>1</v>
      </c>
      <c r="X1438" s="960">
        <f t="array" ref="X1438">HLOOKUP($J1438,'Type Chart'!$C$2:$T$20,5,false)*HLOOKUP($K1438,'Type Chart'!$C$2:$U$20,5,false)</f>
        <v>1</v>
      </c>
      <c r="Y1438" s="960">
        <f t="array" ref="Y1438">HLOOKUP($J1438,'Type Chart'!$C$2:$T$20,6,false)*HLOOKUP($K1438,'Type Chart'!$C$2:$U$20,6,false)</f>
        <v>1</v>
      </c>
      <c r="Z1438" s="960">
        <f t="array" ref="Z1438">HLOOKUP($J1438,'Type Chart'!$C$2:$T$20,7,false)*HLOOKUP($K1438,'Type Chart'!$C$2:$U$20,7,false)</f>
        <v>1</v>
      </c>
      <c r="AA1438" s="960">
        <f t="array" ref="AA1438">HLOOKUP($J1438,'Type Chart'!$C$2:$T$20,8,false)*HLOOKUP($K1438,'Type Chart'!$C$2:$U$20,8,false)</f>
        <v>2</v>
      </c>
      <c r="AB1438" s="960">
        <f t="array" ref="AB1438">HLOOKUP($J1438,'Type Chart'!$C$2:$T$20,9,false)*HLOOKUP($K1438,'Type Chart'!$C$2:$U$20,9,false)</f>
        <v>2</v>
      </c>
      <c r="AC1438" s="960">
        <f t="array" ref="AC1438">HLOOKUP($J1438,'Type Chart'!$C$2:$T$20,10,false)*HLOOKUP($K1438,'Type Chart'!$C$2:$U$20,10,false)</f>
        <v>0.5</v>
      </c>
      <c r="AD1438" s="960">
        <f t="array" ref="AD1438">HLOOKUP($J1438,'Type Chart'!$C$2:$T$20,11,false)*HLOOKUP($K1438,'Type Chart'!$C$2:$U$20,11,false)</f>
        <v>0.5</v>
      </c>
      <c r="AE1438" s="960">
        <f t="array" ref="AE1438">HLOOKUP($J1438,'Type Chart'!$C$2:$T$20,12,false)*HLOOKUP($K1438,'Type Chart'!$C$2:$U$20,12,false)</f>
        <v>0.5</v>
      </c>
      <c r="AF1438" s="960">
        <f t="array" ref="AF1438">HLOOKUP($J1438,'Type Chart'!$C$2:$T$20,13,false)*HLOOKUP($K1438,'Type Chart'!$C$2:$U$20,13,false)</f>
        <v>2</v>
      </c>
      <c r="AG1438" s="960">
        <f t="array" ref="AG1438">HLOOKUP($J1438,'Type Chart'!$C$2:$T$20,14,false)*HLOOKUP($K1438,'Type Chart'!$C$2:$U$20,14,false)</f>
        <v>2</v>
      </c>
      <c r="AH1438" s="960">
        <f t="array" ref="AH1438">HLOOKUP($J1438,'Type Chart'!$C$2:$T$20,15,false)*HLOOKUP($K1438,'Type Chart'!$C$2:$U$20,15,false)</f>
        <v>0.5</v>
      </c>
      <c r="AI1438" s="960">
        <f t="array" ref="AI1438">HLOOKUP($J1438,'Type Chart'!$C$2:$T$20,16,false)*HLOOKUP($K1438,'Type Chart'!$C$2:$U$20,16,false)</f>
        <v>0.5</v>
      </c>
      <c r="AJ1438" s="960">
        <f t="array" ref="AJ1438">HLOOKUP($J1438,'Type Chart'!$C$2:$T$20,17,false)*HLOOKUP($K1438,'Type Chart'!$C$2:$U$20,17,false)</f>
        <v>1</v>
      </c>
      <c r="AK1438" s="960">
        <f t="array" ref="AK1438">HLOOKUP($J1438,'Type Chart'!$C$2:$T$20,18,false)*HLOOKUP($K1438,'Type Chart'!$C$2:$U$20,18,false)</f>
        <v>2</v>
      </c>
      <c r="AL1438" s="960">
        <f t="array" ref="AL1438">HLOOKUP($J1438,'Type Chart'!$C$2:$T$20,19,false)*HLOOKUP($K1438,'Type Chart'!$C$2:$U$20,19,false)</f>
        <v>1</v>
      </c>
      <c r="AM1438" s="964" t="s">
        <v>1549</v>
      </c>
      <c r="AN1438" s="965" t="s">
        <v>1520</v>
      </c>
      <c r="AO1438" s="966" t="s">
        <v>1389</v>
      </c>
      <c r="AP1438" s="936"/>
      <c r="AQ1438" s="1245"/>
      <c r="AR1438" s="1245"/>
      <c r="AS1438" s="936"/>
    </row>
    <row r="1439" ht="15.75" customHeight="1">
      <c r="A1439" s="1099"/>
      <c r="B1439" s="948" t="s">
        <v>1553</v>
      </c>
      <c r="C1439" s="1197" t="s">
        <v>1554</v>
      </c>
      <c r="D1439" s="1197" t="s">
        <v>1555</v>
      </c>
      <c r="E1439" s="1147" t="s">
        <v>1554</v>
      </c>
      <c r="F1439" s="940"/>
      <c r="G1439" s="953"/>
      <c r="H1439" s="969"/>
      <c r="I1439" s="998" t="s">
        <v>4540</v>
      </c>
      <c r="J1439" s="1203" t="s">
        <v>344</v>
      </c>
      <c r="K1439" s="1207" t="s">
        <v>127</v>
      </c>
      <c r="L1439" s="959">
        <v>40.0</v>
      </c>
      <c r="M1439" s="960">
        <v>45.0</v>
      </c>
      <c r="N1439" s="960">
        <v>65.0</v>
      </c>
      <c r="O1439" s="960">
        <v>100.0</v>
      </c>
      <c r="P1439" s="960">
        <v>120.0</v>
      </c>
      <c r="Q1439" s="960">
        <v>90.0</v>
      </c>
      <c r="R1439" s="960">
        <v>216.0</v>
      </c>
      <c r="S1439" s="960">
        <v>279.0</v>
      </c>
      <c r="T1439" s="960">
        <v>306.0</v>
      </c>
      <c r="U1439" s="960">
        <f t="array" ref="U1439">HLOOKUP($J1439,'Type Chart'!$C$2:$T$20,2,false)*HLOOKUP($K1439,'Type Chart'!$C$2:$U$20,2,false)</f>
        <v>1</v>
      </c>
      <c r="V1439" s="960">
        <f t="array" ref="V1439">HLOOKUP($J1439,'Type Chart'!$C$2:$T$20,3,false)*HLOOKUP($K1439,'Type Chart'!$C$2:$U$20,3,false)</f>
        <v>0.25</v>
      </c>
      <c r="W1439" s="960">
        <f t="array" ref="W1439">HLOOKUP($J1439,'Type Chart'!$C$2:$T$20,4,false)*HLOOKUP($K1439,'Type Chart'!$C$2:$U$20,4,false)</f>
        <v>1</v>
      </c>
      <c r="X1439" s="960">
        <f t="array" ref="X1439">HLOOKUP($J1439,'Type Chart'!$C$2:$T$20,5,false)*HLOOKUP($K1439,'Type Chart'!$C$2:$U$20,5,false)</f>
        <v>2</v>
      </c>
      <c r="Y1439" s="960">
        <f t="array" ref="Y1439">HLOOKUP($J1439,'Type Chart'!$C$2:$T$20,6,false)*HLOOKUP($K1439,'Type Chart'!$C$2:$U$20,6,false)</f>
        <v>1</v>
      </c>
      <c r="Z1439" s="960">
        <f t="array" ref="Z1439">HLOOKUP($J1439,'Type Chart'!$C$2:$T$20,7,false)*HLOOKUP($K1439,'Type Chart'!$C$2:$U$20,7,false)</f>
        <v>1</v>
      </c>
      <c r="AA1439" s="960">
        <f t="array" ref="AA1439">HLOOKUP($J1439,'Type Chart'!$C$2:$T$20,8,false)*HLOOKUP($K1439,'Type Chart'!$C$2:$U$20,8,false)</f>
        <v>1</v>
      </c>
      <c r="AB1439" s="960">
        <f t="array" ref="AB1439">HLOOKUP($J1439,'Type Chart'!$C$2:$T$20,9,false)*HLOOKUP($K1439,'Type Chart'!$C$2:$U$20,9,false)</f>
        <v>2</v>
      </c>
      <c r="AC1439" s="960">
        <f t="array" ref="AC1439">HLOOKUP($J1439,'Type Chart'!$C$2:$T$20,10,false)*HLOOKUP($K1439,'Type Chart'!$C$2:$U$20,10,false)</f>
        <v>2</v>
      </c>
      <c r="AD1439" s="960">
        <f t="array" ref="AD1439">HLOOKUP($J1439,'Type Chart'!$C$2:$T$20,11,false)*HLOOKUP($K1439,'Type Chart'!$C$2:$U$20,11,false)</f>
        <v>1</v>
      </c>
      <c r="AE1439" s="960">
        <f t="array" ref="AE1439">HLOOKUP($J1439,'Type Chart'!$C$2:$T$20,12,false)*HLOOKUP($K1439,'Type Chart'!$C$2:$U$20,12,false)</f>
        <v>1</v>
      </c>
      <c r="AF1439" s="960">
        <f t="array" ref="AF1439">HLOOKUP($J1439,'Type Chart'!$C$2:$T$20,13,false)*HLOOKUP($K1439,'Type Chart'!$C$2:$U$20,13,false)</f>
        <v>1</v>
      </c>
      <c r="AG1439" s="960">
        <f t="array" ref="AG1439">HLOOKUP($J1439,'Type Chart'!$C$2:$T$20,14,false)*HLOOKUP($K1439,'Type Chart'!$C$2:$U$20,14,false)</f>
        <v>1</v>
      </c>
      <c r="AH1439" s="960">
        <f t="array" ref="AH1439">HLOOKUP($J1439,'Type Chart'!$C$2:$T$20,15,false)*HLOOKUP($K1439,'Type Chart'!$C$2:$U$20,15,false)</f>
        <v>0.5</v>
      </c>
      <c r="AI1439" s="960">
        <f t="array" ref="AI1439">HLOOKUP($J1439,'Type Chart'!$C$2:$T$20,16,false)*HLOOKUP($K1439,'Type Chart'!$C$2:$U$20,16,false)</f>
        <v>1</v>
      </c>
      <c r="AJ1439" s="960">
        <f t="array" ref="AJ1439">HLOOKUP($J1439,'Type Chart'!$C$2:$T$20,17,false)*HLOOKUP($K1439,'Type Chart'!$C$2:$U$20,17,false)</f>
        <v>0</v>
      </c>
      <c r="AK1439" s="960">
        <f t="array" ref="AK1439">HLOOKUP($J1439,'Type Chart'!$C$2:$T$20,18,false)*HLOOKUP($K1439,'Type Chart'!$C$2:$U$20,18,false)</f>
        <v>1</v>
      </c>
      <c r="AL1439" s="960">
        <f t="array" ref="AL1439">HLOOKUP($J1439,'Type Chart'!$C$2:$T$20,19,false)*HLOOKUP($K1439,'Type Chart'!$C$2:$U$20,19,false)</f>
        <v>1</v>
      </c>
      <c r="AM1439" s="1145" t="s">
        <v>1468</v>
      </c>
      <c r="AN1439" s="1202" t="s">
        <v>1557</v>
      </c>
      <c r="AO1439" s="1146" t="s">
        <v>1239</v>
      </c>
      <c r="AP1439" s="936"/>
      <c r="AQ1439" s="1245"/>
      <c r="AR1439" s="1245"/>
      <c r="AS1439" s="936"/>
    </row>
    <row r="1440" ht="15.75" customHeight="1">
      <c r="A1440" s="1099"/>
      <c r="B1440" s="948" t="s">
        <v>1558</v>
      </c>
      <c r="C1440" s="1197" t="s">
        <v>1559</v>
      </c>
      <c r="D1440" s="1197" t="s">
        <v>1560</v>
      </c>
      <c r="E1440" s="1147" t="s">
        <v>1561</v>
      </c>
      <c r="F1440" s="940"/>
      <c r="G1440" s="953"/>
      <c r="H1440" s="969"/>
      <c r="I1440" s="998" t="s">
        <v>4541</v>
      </c>
      <c r="J1440" s="1224" t="s">
        <v>345</v>
      </c>
      <c r="K1440" s="1215" t="s">
        <v>344</v>
      </c>
      <c r="L1440" s="1200">
        <v>50.0</v>
      </c>
      <c r="M1440" s="1201">
        <v>65.0</v>
      </c>
      <c r="N1440" s="1201">
        <v>65.0</v>
      </c>
      <c r="O1440" s="1201">
        <v>90.0</v>
      </c>
      <c r="P1440" s="1201">
        <v>90.0</v>
      </c>
      <c r="Q1440" s="1201">
        <v>100.0</v>
      </c>
      <c r="R1440" s="960">
        <v>236.0</v>
      </c>
      <c r="S1440" s="960">
        <v>299.0</v>
      </c>
      <c r="T1440" s="960">
        <v>328.0</v>
      </c>
      <c r="U1440" s="960">
        <f t="array" ref="U1440">HLOOKUP($J1440,'Type Chart'!$C$2:$T$20,2,false)*HLOOKUP($K1440,'Type Chart'!$C$2:$U$20,2,false)</f>
        <v>1</v>
      </c>
      <c r="V1440" s="960">
        <f t="array" ref="V1440">HLOOKUP($J1440,'Type Chart'!$C$2:$T$20,3,false)*HLOOKUP($K1440,'Type Chart'!$C$2:$U$20,3,false)</f>
        <v>1</v>
      </c>
      <c r="W1440" s="960">
        <f t="array" ref="W1440">HLOOKUP($J1440,'Type Chart'!$C$2:$T$20,4,false)*HLOOKUP($K1440,'Type Chart'!$C$2:$U$20,4,false)</f>
        <v>1</v>
      </c>
      <c r="X1440" s="960">
        <f t="array" ref="X1440">HLOOKUP($J1440,'Type Chart'!$C$2:$T$20,5,false)*HLOOKUP($K1440,'Type Chart'!$C$2:$U$20,5,false)</f>
        <v>1</v>
      </c>
      <c r="Y1440" s="960">
        <f t="array" ref="Y1440">HLOOKUP($J1440,'Type Chart'!$C$2:$T$20,6,false)*HLOOKUP($K1440,'Type Chart'!$C$2:$U$20,6,false)</f>
        <v>1</v>
      </c>
      <c r="Z1440" s="960">
        <f t="array" ref="Z1440">HLOOKUP($J1440,'Type Chart'!$C$2:$T$20,7,false)*HLOOKUP($K1440,'Type Chart'!$C$2:$U$20,7,false)</f>
        <v>2</v>
      </c>
      <c r="AA1440" s="960">
        <f t="array" ref="AA1440">HLOOKUP($J1440,'Type Chart'!$C$2:$T$20,8,false)*HLOOKUP($K1440,'Type Chart'!$C$2:$U$20,8,false)</f>
        <v>2</v>
      </c>
      <c r="AB1440" s="960">
        <f t="array" ref="AB1440">HLOOKUP($J1440,'Type Chart'!$C$2:$T$20,9,false)*HLOOKUP($K1440,'Type Chart'!$C$2:$U$20,9,false)</f>
        <v>2</v>
      </c>
      <c r="AC1440" s="960">
        <f t="array" ref="AC1440">HLOOKUP($J1440,'Type Chart'!$C$2:$T$20,10,false)*HLOOKUP($K1440,'Type Chart'!$C$2:$U$20,10,false)</f>
        <v>2</v>
      </c>
      <c r="AD1440" s="960">
        <f t="array" ref="AD1440">HLOOKUP($J1440,'Type Chart'!$C$2:$T$20,11,false)*HLOOKUP($K1440,'Type Chart'!$C$2:$U$20,11,false)</f>
        <v>2</v>
      </c>
      <c r="AE1440" s="960">
        <f t="array" ref="AE1440">HLOOKUP($J1440,'Type Chart'!$C$2:$T$20,12,false)*HLOOKUP($K1440,'Type Chart'!$C$2:$U$20,12,false)</f>
        <v>1</v>
      </c>
      <c r="AF1440" s="960">
        <f t="array" ref="AF1440">HLOOKUP($J1440,'Type Chart'!$C$2:$T$20,13,false)*HLOOKUP($K1440,'Type Chart'!$C$2:$U$20,13,false)</f>
        <v>1</v>
      </c>
      <c r="AG1440" s="960">
        <f t="array" ref="AG1440">HLOOKUP($J1440,'Type Chart'!$C$2:$T$20,14,false)*HLOOKUP($K1440,'Type Chart'!$C$2:$U$20,14,false)</f>
        <v>1</v>
      </c>
      <c r="AH1440" s="960">
        <f t="array" ref="AH1440">HLOOKUP($J1440,'Type Chart'!$C$2:$T$20,15,false)*HLOOKUP($K1440,'Type Chart'!$C$2:$U$20,15,false)</f>
        <v>0.5</v>
      </c>
      <c r="AI1440" s="960">
        <f t="array" ref="AI1440">HLOOKUP($J1440,'Type Chart'!$C$2:$T$20,16,false)*HLOOKUP($K1440,'Type Chart'!$C$2:$U$20,16,false)</f>
        <v>0.5</v>
      </c>
      <c r="AJ1440" s="960">
        <f t="array" ref="AJ1440">HLOOKUP($J1440,'Type Chart'!$C$2:$T$20,17,false)*HLOOKUP($K1440,'Type Chart'!$C$2:$U$20,17,false)</f>
        <v>1</v>
      </c>
      <c r="AK1440" s="960">
        <f t="array" ref="AK1440">HLOOKUP($J1440,'Type Chart'!$C$2:$T$20,18,false)*HLOOKUP($K1440,'Type Chart'!$C$2:$U$20,18,false)</f>
        <v>2</v>
      </c>
      <c r="AL1440" s="960">
        <f t="array" ref="AL1440">HLOOKUP($J1440,'Type Chart'!$C$2:$T$20,19,false)*HLOOKUP($K1440,'Type Chart'!$C$2:$U$20,19,false)</f>
        <v>1</v>
      </c>
      <c r="AM1440" s="1145" t="s">
        <v>1265</v>
      </c>
      <c r="AN1440" s="964" t="s">
        <v>1563</v>
      </c>
      <c r="AO1440" s="966" t="s">
        <v>1239</v>
      </c>
      <c r="AP1440" s="936"/>
      <c r="AQ1440" s="1245"/>
      <c r="AR1440" s="1245"/>
      <c r="AS1440" s="936"/>
    </row>
    <row r="1441" ht="15.75" customHeight="1">
      <c r="A1441" s="1099"/>
      <c r="B1441" s="948" t="s">
        <v>1564</v>
      </c>
      <c r="C1441" s="1197" t="s">
        <v>1565</v>
      </c>
      <c r="D1441" s="1197" t="s">
        <v>1565</v>
      </c>
      <c r="E1441" s="1147" t="s">
        <v>1565</v>
      </c>
      <c r="F1441" s="940"/>
      <c r="G1441" s="953"/>
      <c r="H1441" s="969"/>
      <c r="I1441" s="998" t="s">
        <v>4542</v>
      </c>
      <c r="J1441" s="1225" t="s">
        <v>343</v>
      </c>
      <c r="K1441" s="1210" t="s">
        <v>128</v>
      </c>
      <c r="L1441" s="1200">
        <v>70.0</v>
      </c>
      <c r="M1441" s="1201">
        <v>110.0</v>
      </c>
      <c r="N1441" s="1201">
        <v>80.0</v>
      </c>
      <c r="O1441" s="1201">
        <v>55.0</v>
      </c>
      <c r="P1441" s="1201">
        <v>80.0</v>
      </c>
      <c r="Q1441" s="1201">
        <v>105.0</v>
      </c>
      <c r="R1441" s="960">
        <v>246.0</v>
      </c>
      <c r="S1441" s="960">
        <v>309.0</v>
      </c>
      <c r="T1441" s="960">
        <v>339.0</v>
      </c>
      <c r="U1441" s="960">
        <f t="array" ref="U1441">HLOOKUP($J1441,'Type Chart'!$C$2:$T$20,2,false)*HLOOKUP($K1441,'Type Chart'!$C$2:$U$20,2,false)</f>
        <v>1</v>
      </c>
      <c r="V1441" s="960">
        <f t="array" ref="V1441">HLOOKUP($J1441,'Type Chart'!$C$2:$T$20,3,false)*HLOOKUP($K1441,'Type Chart'!$C$2:$U$20,3,false)</f>
        <v>0.25</v>
      </c>
      <c r="W1441" s="960">
        <f t="array" ref="W1441">HLOOKUP($J1441,'Type Chart'!$C$2:$T$20,4,false)*HLOOKUP($K1441,'Type Chart'!$C$2:$U$20,4,false)</f>
        <v>2</v>
      </c>
      <c r="X1441" s="960">
        <f t="array" ref="X1441">HLOOKUP($J1441,'Type Chart'!$C$2:$T$20,5,false)*HLOOKUP($K1441,'Type Chart'!$C$2:$U$20,5,false)</f>
        <v>1</v>
      </c>
      <c r="Y1441" s="960">
        <f t="array" ref="Y1441">HLOOKUP($J1441,'Type Chart'!$C$2:$T$20,6,false)*HLOOKUP($K1441,'Type Chart'!$C$2:$U$20,6,false)</f>
        <v>0</v>
      </c>
      <c r="Z1441" s="960">
        <f t="array" ref="Z1441">HLOOKUP($J1441,'Type Chart'!$C$2:$T$20,7,false)*HLOOKUP($K1441,'Type Chart'!$C$2:$U$20,7,false)</f>
        <v>4</v>
      </c>
      <c r="AA1441" s="960">
        <f t="array" ref="AA1441">HLOOKUP($J1441,'Type Chart'!$C$2:$T$20,8,false)*HLOOKUP($K1441,'Type Chart'!$C$2:$U$20,8,false)</f>
        <v>0.5</v>
      </c>
      <c r="AB1441" s="960">
        <f t="array" ref="AB1441">HLOOKUP($J1441,'Type Chart'!$C$2:$T$20,9,false)*HLOOKUP($K1441,'Type Chart'!$C$2:$U$20,9,false)</f>
        <v>1</v>
      </c>
      <c r="AC1441" s="960">
        <f t="array" ref="AC1441">HLOOKUP($J1441,'Type Chart'!$C$2:$T$20,10,false)*HLOOKUP($K1441,'Type Chart'!$C$2:$U$20,10,false)</f>
        <v>1</v>
      </c>
      <c r="AD1441" s="960">
        <f t="array" ref="AD1441">HLOOKUP($J1441,'Type Chart'!$C$2:$T$20,11,false)*HLOOKUP($K1441,'Type Chart'!$C$2:$U$20,11,false)</f>
        <v>2</v>
      </c>
      <c r="AE1441" s="960">
        <f t="array" ref="AE1441">HLOOKUP($J1441,'Type Chart'!$C$2:$T$20,12,false)*HLOOKUP($K1441,'Type Chart'!$C$2:$U$20,12,false)</f>
        <v>1</v>
      </c>
      <c r="AF1441" s="960">
        <f t="array" ref="AF1441">HLOOKUP($J1441,'Type Chart'!$C$2:$T$20,13,false)*HLOOKUP($K1441,'Type Chart'!$C$2:$U$20,13,false)</f>
        <v>0.25</v>
      </c>
      <c r="AG1441" s="960">
        <f t="array" ref="AG1441">HLOOKUP($J1441,'Type Chart'!$C$2:$T$20,14,false)*HLOOKUP($K1441,'Type Chart'!$C$2:$U$20,14,false)</f>
        <v>2</v>
      </c>
      <c r="AH1441" s="960">
        <f t="array" ref="AH1441">HLOOKUP($J1441,'Type Chart'!$C$2:$T$20,15,false)*HLOOKUP($K1441,'Type Chart'!$C$2:$U$20,15,false)</f>
        <v>1</v>
      </c>
      <c r="AI1441" s="960">
        <f t="array" ref="AI1441">HLOOKUP($J1441,'Type Chart'!$C$2:$T$20,16,false)*HLOOKUP($K1441,'Type Chart'!$C$2:$U$20,16,false)</f>
        <v>2</v>
      </c>
      <c r="AJ1441" s="960">
        <f t="array" ref="AJ1441">HLOOKUP($J1441,'Type Chart'!$C$2:$T$20,17,false)*HLOOKUP($K1441,'Type Chart'!$C$2:$U$20,17,false)</f>
        <v>1</v>
      </c>
      <c r="AK1441" s="960">
        <f t="array" ref="AK1441">HLOOKUP($J1441,'Type Chart'!$C$2:$T$20,18,false)*HLOOKUP($K1441,'Type Chart'!$C$2:$U$20,18,false)</f>
        <v>1</v>
      </c>
      <c r="AL1441" s="960">
        <f t="array" ref="AL1441">HLOOKUP($J1441,'Type Chart'!$C$2:$T$20,19,false)*HLOOKUP($K1441,'Type Chart'!$C$2:$U$20,19,false)</f>
        <v>1</v>
      </c>
      <c r="AM1441" s="1145" t="s">
        <v>1013</v>
      </c>
      <c r="AN1441" s="965" t="s">
        <v>1239</v>
      </c>
      <c r="AO1441" s="966" t="s">
        <v>1306</v>
      </c>
      <c r="AP1441" s="936"/>
      <c r="AQ1441" s="1245"/>
      <c r="AR1441" s="1245"/>
      <c r="AS1441" s="936"/>
    </row>
    <row r="1442" ht="15.75" customHeight="1">
      <c r="A1442" s="1099"/>
      <c r="B1442" s="948" t="s">
        <v>1566</v>
      </c>
      <c r="C1442" s="1197" t="s">
        <v>1567</v>
      </c>
      <c r="D1442" s="1197" t="s">
        <v>1567</v>
      </c>
      <c r="E1442" s="1147" t="s">
        <v>1567</v>
      </c>
      <c r="F1442" s="940"/>
      <c r="G1442" s="953"/>
      <c r="H1442" s="969"/>
      <c r="I1442" s="998" t="s">
        <v>4543</v>
      </c>
      <c r="J1442" s="1205" t="s">
        <v>345</v>
      </c>
      <c r="K1442" s="1203" t="s">
        <v>344</v>
      </c>
      <c r="L1442" s="959">
        <v>65.0</v>
      </c>
      <c r="M1442" s="960">
        <v>50.0</v>
      </c>
      <c r="N1442" s="960">
        <v>35.0</v>
      </c>
      <c r="O1442" s="960">
        <v>115.0</v>
      </c>
      <c r="P1442" s="960">
        <v>95.0</v>
      </c>
      <c r="Q1442" s="960">
        <v>95.0</v>
      </c>
      <c r="R1442" s="960">
        <v>226.0</v>
      </c>
      <c r="S1442" s="960">
        <v>289.0</v>
      </c>
      <c r="T1442" s="960">
        <v>317.0</v>
      </c>
      <c r="U1442" s="960">
        <f t="array" ref="U1442">HLOOKUP($J1442,'Type Chart'!$C$2:$T$20,2,false)*HLOOKUP($K1442,'Type Chart'!$C$2:$U$20,2,false)</f>
        <v>1</v>
      </c>
      <c r="V1442" s="960">
        <f t="array" ref="V1442">HLOOKUP($J1442,'Type Chart'!$C$2:$T$20,3,false)*HLOOKUP($K1442,'Type Chart'!$C$2:$U$20,3,false)</f>
        <v>1</v>
      </c>
      <c r="W1442" s="960">
        <f t="array" ref="W1442">HLOOKUP($J1442,'Type Chart'!$C$2:$T$20,4,false)*HLOOKUP($K1442,'Type Chart'!$C$2:$U$20,4,false)</f>
        <v>1</v>
      </c>
      <c r="X1442" s="960">
        <f t="array" ref="X1442">HLOOKUP($J1442,'Type Chart'!$C$2:$T$20,5,false)*HLOOKUP($K1442,'Type Chart'!$C$2:$U$20,5,false)</f>
        <v>1</v>
      </c>
      <c r="Y1442" s="960">
        <f t="array" ref="Y1442">HLOOKUP($J1442,'Type Chart'!$C$2:$T$20,6,false)*HLOOKUP($K1442,'Type Chart'!$C$2:$U$20,6,false)</f>
        <v>1</v>
      </c>
      <c r="Z1442" s="960">
        <f t="array" ref="Z1442">HLOOKUP($J1442,'Type Chart'!$C$2:$T$20,7,false)*HLOOKUP($K1442,'Type Chart'!$C$2:$U$20,7,false)</f>
        <v>2</v>
      </c>
      <c r="AA1442" s="960">
        <f t="array" ref="AA1442">HLOOKUP($J1442,'Type Chart'!$C$2:$T$20,8,false)*HLOOKUP($K1442,'Type Chart'!$C$2:$U$20,8,false)</f>
        <v>2</v>
      </c>
      <c r="AB1442" s="960">
        <f t="array" ref="AB1442">HLOOKUP($J1442,'Type Chart'!$C$2:$T$20,9,false)*HLOOKUP($K1442,'Type Chart'!$C$2:$U$20,9,false)</f>
        <v>2</v>
      </c>
      <c r="AC1442" s="960">
        <f t="array" ref="AC1442">HLOOKUP($J1442,'Type Chart'!$C$2:$T$20,10,false)*HLOOKUP($K1442,'Type Chart'!$C$2:$U$20,10,false)</f>
        <v>2</v>
      </c>
      <c r="AD1442" s="960">
        <f t="array" ref="AD1442">HLOOKUP($J1442,'Type Chart'!$C$2:$T$20,11,false)*HLOOKUP($K1442,'Type Chart'!$C$2:$U$20,11,false)</f>
        <v>2</v>
      </c>
      <c r="AE1442" s="960">
        <f t="array" ref="AE1442">HLOOKUP($J1442,'Type Chart'!$C$2:$T$20,12,false)*HLOOKUP($K1442,'Type Chart'!$C$2:$U$20,12,false)</f>
        <v>1</v>
      </c>
      <c r="AF1442" s="960">
        <f t="array" ref="AF1442">HLOOKUP($J1442,'Type Chart'!$C$2:$T$20,13,false)*HLOOKUP($K1442,'Type Chart'!$C$2:$U$20,13,false)</f>
        <v>1</v>
      </c>
      <c r="AG1442" s="960">
        <f t="array" ref="AG1442">HLOOKUP($J1442,'Type Chart'!$C$2:$T$20,14,false)*HLOOKUP($K1442,'Type Chart'!$C$2:$U$20,14,false)</f>
        <v>1</v>
      </c>
      <c r="AH1442" s="960">
        <f t="array" ref="AH1442">HLOOKUP($J1442,'Type Chart'!$C$2:$T$20,15,false)*HLOOKUP($K1442,'Type Chart'!$C$2:$U$20,15,false)</f>
        <v>0.5</v>
      </c>
      <c r="AI1442" s="960">
        <f t="array" ref="AI1442">HLOOKUP($J1442,'Type Chart'!$C$2:$T$20,16,false)*HLOOKUP($K1442,'Type Chart'!$C$2:$U$20,16,false)</f>
        <v>0.5</v>
      </c>
      <c r="AJ1442" s="960">
        <f t="array" ref="AJ1442">HLOOKUP($J1442,'Type Chart'!$C$2:$T$20,17,false)*HLOOKUP($K1442,'Type Chart'!$C$2:$U$20,17,false)</f>
        <v>1</v>
      </c>
      <c r="AK1442" s="960">
        <f t="array" ref="AK1442">HLOOKUP($J1442,'Type Chart'!$C$2:$T$20,18,false)*HLOOKUP($K1442,'Type Chart'!$C$2:$U$20,18,false)</f>
        <v>2</v>
      </c>
      <c r="AL1442" s="960">
        <f t="array" ref="AL1442">HLOOKUP($J1442,'Type Chart'!$C$2:$T$20,19,false)*HLOOKUP($K1442,'Type Chart'!$C$2:$U$20,19,false)</f>
        <v>1</v>
      </c>
      <c r="AM1442" s="964" t="s">
        <v>1369</v>
      </c>
      <c r="AN1442" s="965" t="s">
        <v>1455</v>
      </c>
      <c r="AO1442" s="966" t="s">
        <v>1210</v>
      </c>
      <c r="AP1442" s="936"/>
      <c r="AQ1442" s="1245"/>
      <c r="AR1442" s="1245"/>
      <c r="AS1442" s="936"/>
    </row>
    <row r="1443" ht="15.75" customHeight="1">
      <c r="A1443" s="1099"/>
      <c r="B1443" s="948" t="s">
        <v>1569</v>
      </c>
      <c r="C1443" s="1197" t="s">
        <v>1570</v>
      </c>
      <c r="D1443" s="1197" t="s">
        <v>1570</v>
      </c>
      <c r="E1443" s="1147" t="s">
        <v>1570</v>
      </c>
      <c r="F1443" s="940"/>
      <c r="G1443" s="953"/>
      <c r="H1443" s="969"/>
      <c r="I1443" s="998" t="s">
        <v>4544</v>
      </c>
      <c r="J1443" s="1196" t="s">
        <v>203</v>
      </c>
      <c r="K1443" s="984" t="s">
        <v>216</v>
      </c>
      <c r="L1443" s="959">
        <v>65.0</v>
      </c>
      <c r="M1443" s="960">
        <v>83.0</v>
      </c>
      <c r="N1443" s="960">
        <v>57.0</v>
      </c>
      <c r="O1443" s="960">
        <v>95.0</v>
      </c>
      <c r="P1443" s="960">
        <v>85.0</v>
      </c>
      <c r="Q1443" s="960">
        <v>105.0</v>
      </c>
      <c r="R1443" s="960">
        <v>246.0</v>
      </c>
      <c r="S1443" s="960">
        <v>309.0</v>
      </c>
      <c r="T1443" s="960">
        <v>339.0</v>
      </c>
      <c r="U1443" s="960">
        <f t="array" ref="U1443">HLOOKUP($J1443,'Type Chart'!$C$2:$T$20,2,false)*HLOOKUP($K1443,'Type Chart'!$C$2:$U$20,2,false)</f>
        <v>1</v>
      </c>
      <c r="V1443" s="960">
        <f t="array" ref="V1443">HLOOKUP($J1443,'Type Chart'!$C$2:$T$20,3,false)*HLOOKUP($K1443,'Type Chart'!$C$2:$U$20,3,false)</f>
        <v>1</v>
      </c>
      <c r="W1443" s="960">
        <f t="array" ref="W1443">HLOOKUP($J1443,'Type Chart'!$C$2:$T$20,4,false)*HLOOKUP($K1443,'Type Chart'!$C$2:$U$20,4,false)</f>
        <v>0.5</v>
      </c>
      <c r="X1443" s="960">
        <f t="array" ref="X1443">HLOOKUP($J1443,'Type Chart'!$C$2:$T$20,5,false)*HLOOKUP($K1443,'Type Chart'!$C$2:$U$20,5,false)</f>
        <v>1</v>
      </c>
      <c r="Y1443" s="960">
        <f t="array" ref="Y1443">HLOOKUP($J1443,'Type Chart'!$C$2:$T$20,6,false)*HLOOKUP($K1443,'Type Chart'!$C$2:$U$20,6,false)</f>
        <v>2</v>
      </c>
      <c r="Z1443" s="960">
        <f t="array" ref="Z1443">HLOOKUP($J1443,'Type Chart'!$C$2:$T$20,7,false)*HLOOKUP($K1443,'Type Chart'!$C$2:$U$20,7,false)</f>
        <v>1</v>
      </c>
      <c r="AA1443" s="960">
        <f t="array" ref="AA1443">HLOOKUP($J1443,'Type Chart'!$C$2:$T$20,8,false)*HLOOKUP($K1443,'Type Chart'!$C$2:$U$20,8,false)</f>
        <v>1</v>
      </c>
      <c r="AB1443" s="960">
        <f t="array" ref="AB1443">HLOOKUP($J1443,'Type Chart'!$C$2:$T$20,9,false)*HLOOKUP($K1443,'Type Chart'!$C$2:$U$20,9,false)</f>
        <v>1</v>
      </c>
      <c r="AC1443" s="960">
        <f t="array" ref="AC1443">HLOOKUP($J1443,'Type Chart'!$C$2:$T$20,10,false)*HLOOKUP($K1443,'Type Chart'!$C$2:$U$20,10,false)</f>
        <v>0.5</v>
      </c>
      <c r="AD1443" s="960">
        <f t="array" ref="AD1443">HLOOKUP($J1443,'Type Chart'!$C$2:$T$20,11,false)*HLOOKUP($K1443,'Type Chart'!$C$2:$U$20,11,false)</f>
        <v>1</v>
      </c>
      <c r="AE1443" s="960">
        <f t="array" ref="AE1443">HLOOKUP($J1443,'Type Chart'!$C$2:$T$20,12,false)*HLOOKUP($K1443,'Type Chart'!$C$2:$U$20,12,false)</f>
        <v>1</v>
      </c>
      <c r="AF1443" s="960">
        <f t="array" ref="AF1443">HLOOKUP($J1443,'Type Chart'!$C$2:$T$20,13,false)*HLOOKUP($K1443,'Type Chart'!$C$2:$U$20,13,false)</f>
        <v>1</v>
      </c>
      <c r="AG1443" s="960">
        <f t="array" ref="AG1443">HLOOKUP($J1443,'Type Chart'!$C$2:$T$20,14,false)*HLOOKUP($K1443,'Type Chart'!$C$2:$U$20,14,false)</f>
        <v>0.5</v>
      </c>
      <c r="AH1443" s="960">
        <f t="array" ref="AH1443">HLOOKUP($J1443,'Type Chart'!$C$2:$T$20,15,false)*HLOOKUP($K1443,'Type Chart'!$C$2:$U$20,15,false)</f>
        <v>1</v>
      </c>
      <c r="AI1443" s="960">
        <f t="array" ref="AI1443">HLOOKUP($J1443,'Type Chart'!$C$2:$T$20,16,false)*HLOOKUP($K1443,'Type Chart'!$C$2:$U$20,16,false)</f>
        <v>1</v>
      </c>
      <c r="AJ1443" s="960">
        <f t="array" ref="AJ1443">HLOOKUP($J1443,'Type Chart'!$C$2:$T$20,17,false)*HLOOKUP($K1443,'Type Chart'!$C$2:$U$20,17,false)</f>
        <v>1</v>
      </c>
      <c r="AK1443" s="960">
        <f t="array" ref="AK1443">HLOOKUP($J1443,'Type Chart'!$C$2:$T$20,18,false)*HLOOKUP($K1443,'Type Chart'!$C$2:$U$20,18,false)</f>
        <v>1</v>
      </c>
      <c r="AL1443" s="960">
        <f t="array" ref="AL1443">HLOOKUP($J1443,'Type Chart'!$C$2:$T$20,19,false)*HLOOKUP($K1443,'Type Chart'!$C$2:$U$20,19,false)</f>
        <v>1</v>
      </c>
      <c r="AM1443" s="964" t="s">
        <v>1067</v>
      </c>
      <c r="AN1443" s="965"/>
      <c r="AO1443" s="966" t="s">
        <v>1265</v>
      </c>
      <c r="AP1443" s="936"/>
      <c r="AQ1443" s="1245"/>
      <c r="AR1443" s="1245"/>
      <c r="AS1443" s="936"/>
    </row>
    <row r="1444" ht="15.75" customHeight="1">
      <c r="A1444" s="1099"/>
      <c r="B1444" s="948" t="s">
        <v>1571</v>
      </c>
      <c r="C1444" s="1197" t="s">
        <v>1572</v>
      </c>
      <c r="D1444" s="1197" t="s">
        <v>1572</v>
      </c>
      <c r="E1444" s="1147" t="s">
        <v>1572</v>
      </c>
      <c r="F1444" s="940"/>
      <c r="G1444" s="953"/>
      <c r="H1444" s="969"/>
      <c r="I1444" s="998" t="s">
        <v>4545</v>
      </c>
      <c r="J1444" s="982" t="s">
        <v>150</v>
      </c>
      <c r="K1444" s="984" t="s">
        <v>216</v>
      </c>
      <c r="L1444" s="959">
        <v>65.0</v>
      </c>
      <c r="M1444" s="960">
        <v>95.0</v>
      </c>
      <c r="N1444" s="960">
        <v>57.0</v>
      </c>
      <c r="O1444" s="960">
        <v>100.0</v>
      </c>
      <c r="P1444" s="960">
        <v>85.0</v>
      </c>
      <c r="Q1444" s="960">
        <v>93.0</v>
      </c>
      <c r="R1444" s="960">
        <v>222.0</v>
      </c>
      <c r="S1444" s="960">
        <v>285.0</v>
      </c>
      <c r="T1444" s="960">
        <v>313.0</v>
      </c>
      <c r="U1444" s="960">
        <f t="array" ref="U1444">HLOOKUP($J1444,'Type Chart'!$C$2:$T$20,2,false)*HLOOKUP($K1444,'Type Chart'!$C$2:$U$20,2,false)</f>
        <v>1</v>
      </c>
      <c r="V1444" s="960">
        <f t="array" ref="V1444">HLOOKUP($J1444,'Type Chart'!$C$2:$T$20,3,false)*HLOOKUP($K1444,'Type Chart'!$C$2:$U$20,3,false)</f>
        <v>1</v>
      </c>
      <c r="W1444" s="960">
        <f t="array" ref="W1444">HLOOKUP($J1444,'Type Chart'!$C$2:$T$20,4,false)*HLOOKUP($K1444,'Type Chart'!$C$2:$U$20,4,false)</f>
        <v>1</v>
      </c>
      <c r="X1444" s="960">
        <f t="array" ref="X1444">HLOOKUP($J1444,'Type Chart'!$C$2:$T$20,5,false)*HLOOKUP($K1444,'Type Chart'!$C$2:$U$20,5,false)</f>
        <v>1</v>
      </c>
      <c r="Y1444" s="960">
        <f t="array" ref="Y1444">HLOOKUP($J1444,'Type Chart'!$C$2:$T$20,6,false)*HLOOKUP($K1444,'Type Chart'!$C$2:$U$20,6,false)</f>
        <v>2</v>
      </c>
      <c r="Z1444" s="960">
        <f t="array" ref="Z1444">HLOOKUP($J1444,'Type Chart'!$C$2:$T$20,7,false)*HLOOKUP($K1444,'Type Chart'!$C$2:$U$20,7,false)</f>
        <v>2</v>
      </c>
      <c r="AA1444" s="960">
        <f t="array" ref="AA1444">HLOOKUP($J1444,'Type Chart'!$C$2:$T$20,8,false)*HLOOKUP($K1444,'Type Chart'!$C$2:$U$20,8,false)</f>
        <v>0.5</v>
      </c>
      <c r="AB1444" s="960">
        <f t="array" ref="AB1444">HLOOKUP($J1444,'Type Chart'!$C$2:$T$20,9,false)*HLOOKUP($K1444,'Type Chart'!$C$2:$U$20,9,false)</f>
        <v>1</v>
      </c>
      <c r="AC1444" s="960">
        <f t="array" ref="AC1444">HLOOKUP($J1444,'Type Chart'!$C$2:$T$20,10,false)*HLOOKUP($K1444,'Type Chart'!$C$2:$U$20,10,false)</f>
        <v>0.5</v>
      </c>
      <c r="AD1444" s="960">
        <f t="array" ref="AD1444">HLOOKUP($J1444,'Type Chart'!$C$2:$T$20,11,false)*HLOOKUP($K1444,'Type Chart'!$C$2:$U$20,11,false)</f>
        <v>0.5</v>
      </c>
      <c r="AE1444" s="960">
        <f t="array" ref="AE1444">HLOOKUP($J1444,'Type Chart'!$C$2:$T$20,12,false)*HLOOKUP($K1444,'Type Chart'!$C$2:$U$20,12,false)</f>
        <v>2</v>
      </c>
      <c r="AF1444" s="960">
        <f t="array" ref="AF1444">HLOOKUP($J1444,'Type Chart'!$C$2:$T$20,13,false)*HLOOKUP($K1444,'Type Chart'!$C$2:$U$20,13,false)</f>
        <v>0.5</v>
      </c>
      <c r="AG1444" s="960">
        <f t="array" ref="AG1444">HLOOKUP($J1444,'Type Chart'!$C$2:$T$20,14,false)*HLOOKUP($K1444,'Type Chart'!$C$2:$U$20,14,false)</f>
        <v>1</v>
      </c>
      <c r="AH1444" s="960">
        <f t="array" ref="AH1444">HLOOKUP($J1444,'Type Chart'!$C$2:$T$20,15,false)*HLOOKUP($K1444,'Type Chart'!$C$2:$U$20,15,false)</f>
        <v>1</v>
      </c>
      <c r="AI1444" s="960">
        <f t="array" ref="AI1444">HLOOKUP($J1444,'Type Chart'!$C$2:$T$20,16,false)*HLOOKUP($K1444,'Type Chart'!$C$2:$U$20,16,false)</f>
        <v>0.5</v>
      </c>
      <c r="AJ1444" s="960">
        <f t="array" ref="AJ1444">HLOOKUP($J1444,'Type Chart'!$C$2:$T$20,17,false)*HLOOKUP($K1444,'Type Chart'!$C$2:$U$20,17,false)</f>
        <v>1</v>
      </c>
      <c r="AK1444" s="960">
        <f t="array" ref="AK1444">HLOOKUP($J1444,'Type Chart'!$C$2:$T$20,18,false)*HLOOKUP($K1444,'Type Chart'!$C$2:$U$20,18,false)</f>
        <v>1</v>
      </c>
      <c r="AL1444" s="960">
        <f t="array" ref="AL1444">HLOOKUP($J1444,'Type Chart'!$C$2:$T$20,19,false)*HLOOKUP($K1444,'Type Chart'!$C$2:$U$20,19,false)</f>
        <v>0.5</v>
      </c>
      <c r="AM1444" s="964" t="s">
        <v>1353</v>
      </c>
      <c r="AN1444" s="965"/>
      <c r="AO1444" s="966" t="s">
        <v>1265</v>
      </c>
      <c r="AP1444" s="936"/>
      <c r="AQ1444" s="1245"/>
      <c r="AR1444" s="1245"/>
      <c r="AS1444" s="936"/>
    </row>
    <row r="1445" ht="15.75" customHeight="1">
      <c r="A1445" s="1099"/>
      <c r="B1445" s="948" t="s">
        <v>1573</v>
      </c>
      <c r="C1445" s="1197" t="s">
        <v>1574</v>
      </c>
      <c r="D1445" s="1197" t="s">
        <v>1574</v>
      </c>
      <c r="E1445" s="1147" t="s">
        <v>1574</v>
      </c>
      <c r="F1445" s="940"/>
      <c r="G1445" s="953"/>
      <c r="H1445" s="969"/>
      <c r="I1445" s="998" t="s">
        <v>4546</v>
      </c>
      <c r="J1445" s="1180" t="s">
        <v>343</v>
      </c>
      <c r="K1445" s="984" t="s">
        <v>216</v>
      </c>
      <c r="L1445" s="959">
        <v>65.0</v>
      </c>
      <c r="M1445" s="960">
        <v>125.0</v>
      </c>
      <c r="N1445" s="960">
        <v>100.0</v>
      </c>
      <c r="O1445" s="960">
        <v>55.0</v>
      </c>
      <c r="P1445" s="960">
        <v>70.0</v>
      </c>
      <c r="Q1445" s="960">
        <v>85.0</v>
      </c>
      <c r="R1445" s="960">
        <v>206.0</v>
      </c>
      <c r="S1445" s="960">
        <v>269.0</v>
      </c>
      <c r="T1445" s="960">
        <v>295.0</v>
      </c>
      <c r="U1445" s="960">
        <f t="array" ref="U1445">HLOOKUP($J1445,'Type Chart'!$C$2:$T$20,2,false)*HLOOKUP($K1445,'Type Chart'!$C$2:$U$20,2,false)</f>
        <v>1</v>
      </c>
      <c r="V1445" s="960">
        <f t="array" ref="V1445">HLOOKUP($J1445,'Type Chart'!$C$2:$T$20,3,false)*HLOOKUP($K1445,'Type Chart'!$C$2:$U$20,3,false)</f>
        <v>0.5</v>
      </c>
      <c r="W1445" s="960">
        <f t="array" ref="W1445">HLOOKUP($J1445,'Type Chart'!$C$2:$T$20,4,false)*HLOOKUP($K1445,'Type Chart'!$C$2:$U$20,4,false)</f>
        <v>2</v>
      </c>
      <c r="X1445" s="960">
        <f t="array" ref="X1445">HLOOKUP($J1445,'Type Chart'!$C$2:$T$20,5,false)*HLOOKUP($K1445,'Type Chart'!$C$2:$U$20,5,false)</f>
        <v>1</v>
      </c>
      <c r="Y1445" s="960">
        <f t="array" ref="Y1445">HLOOKUP($J1445,'Type Chart'!$C$2:$T$20,6,false)*HLOOKUP($K1445,'Type Chart'!$C$2:$U$20,6,false)</f>
        <v>0.5</v>
      </c>
      <c r="Z1445" s="960">
        <f t="array" ref="Z1445">HLOOKUP($J1445,'Type Chart'!$C$2:$T$20,7,false)*HLOOKUP($K1445,'Type Chart'!$C$2:$U$20,7,false)</f>
        <v>2</v>
      </c>
      <c r="AA1445" s="960">
        <f t="array" ref="AA1445">HLOOKUP($J1445,'Type Chart'!$C$2:$T$20,8,false)*HLOOKUP($K1445,'Type Chart'!$C$2:$U$20,8,false)</f>
        <v>1</v>
      </c>
      <c r="AB1445" s="960">
        <f t="array" ref="AB1445">HLOOKUP($J1445,'Type Chart'!$C$2:$T$20,9,false)*HLOOKUP($K1445,'Type Chart'!$C$2:$U$20,9,false)</f>
        <v>1</v>
      </c>
      <c r="AC1445" s="960">
        <f t="array" ref="AC1445">HLOOKUP($J1445,'Type Chart'!$C$2:$T$20,10,false)*HLOOKUP($K1445,'Type Chart'!$C$2:$U$20,10,false)</f>
        <v>1</v>
      </c>
      <c r="AD1445" s="960">
        <f t="array" ref="AD1445">HLOOKUP($J1445,'Type Chart'!$C$2:$T$20,11,false)*HLOOKUP($K1445,'Type Chart'!$C$2:$U$20,11,false)</f>
        <v>2</v>
      </c>
      <c r="AE1445" s="960">
        <f t="array" ref="AE1445">HLOOKUP($J1445,'Type Chart'!$C$2:$T$20,12,false)*HLOOKUP($K1445,'Type Chart'!$C$2:$U$20,12,false)</f>
        <v>1</v>
      </c>
      <c r="AF1445" s="960">
        <f t="array" ref="AF1445">HLOOKUP($J1445,'Type Chart'!$C$2:$T$20,13,false)*HLOOKUP($K1445,'Type Chart'!$C$2:$U$20,13,false)</f>
        <v>0.5</v>
      </c>
      <c r="AG1445" s="960">
        <f t="array" ref="AG1445">HLOOKUP($J1445,'Type Chart'!$C$2:$T$20,14,false)*HLOOKUP($K1445,'Type Chart'!$C$2:$U$20,14,false)</f>
        <v>1</v>
      </c>
      <c r="AH1445" s="960">
        <f t="array" ref="AH1445">HLOOKUP($J1445,'Type Chart'!$C$2:$T$20,15,false)*HLOOKUP($K1445,'Type Chart'!$C$2:$U$20,15,false)</f>
        <v>1</v>
      </c>
      <c r="AI1445" s="960">
        <f t="array" ref="AI1445">HLOOKUP($J1445,'Type Chart'!$C$2:$T$20,16,false)*HLOOKUP($K1445,'Type Chart'!$C$2:$U$20,16,false)</f>
        <v>1</v>
      </c>
      <c r="AJ1445" s="960">
        <f t="array" ref="AJ1445">HLOOKUP($J1445,'Type Chart'!$C$2:$T$20,17,false)*HLOOKUP($K1445,'Type Chart'!$C$2:$U$20,17,false)</f>
        <v>1</v>
      </c>
      <c r="AK1445" s="960">
        <f t="array" ref="AK1445">HLOOKUP($J1445,'Type Chart'!$C$2:$T$20,18,false)*HLOOKUP($K1445,'Type Chart'!$C$2:$U$20,18,false)</f>
        <v>1</v>
      </c>
      <c r="AL1445" s="960">
        <f t="array" ref="AL1445">HLOOKUP($J1445,'Type Chart'!$C$2:$T$20,19,false)*HLOOKUP($K1445,'Type Chart'!$C$2:$U$20,19,false)</f>
        <v>1</v>
      </c>
      <c r="AM1445" s="964" t="s">
        <v>1461</v>
      </c>
      <c r="AN1445" s="965" t="s">
        <v>1576</v>
      </c>
      <c r="AO1445" s="966" t="s">
        <v>1577</v>
      </c>
      <c r="AP1445" s="936"/>
      <c r="AQ1445" s="1245"/>
      <c r="AR1445" s="1245"/>
      <c r="AS1445" s="936"/>
    </row>
    <row r="1446" ht="15.75" customHeight="1">
      <c r="A1446" s="1099"/>
      <c r="B1446" s="948" t="s">
        <v>1578</v>
      </c>
      <c r="C1446" s="1197" t="s">
        <v>1579</v>
      </c>
      <c r="D1446" s="1197" t="s">
        <v>1579</v>
      </c>
      <c r="E1446" s="1147" t="s">
        <v>1579</v>
      </c>
      <c r="F1446" s="940"/>
      <c r="G1446" s="953"/>
      <c r="H1446" s="969"/>
      <c r="I1446" s="998" t="s">
        <v>4547</v>
      </c>
      <c r="J1446" s="1180" t="s">
        <v>343</v>
      </c>
      <c r="K1446" s="1001" t="s">
        <v>128</v>
      </c>
      <c r="L1446" s="959">
        <v>65.0</v>
      </c>
      <c r="M1446" s="960">
        <v>155.0</v>
      </c>
      <c r="N1446" s="960">
        <v>120.0</v>
      </c>
      <c r="O1446" s="960">
        <v>65.0</v>
      </c>
      <c r="P1446" s="960">
        <v>90.0</v>
      </c>
      <c r="Q1446" s="960">
        <v>105.0</v>
      </c>
      <c r="R1446" s="960">
        <v>246.0</v>
      </c>
      <c r="S1446" s="960">
        <v>309.0</v>
      </c>
      <c r="T1446" s="960">
        <v>339.0</v>
      </c>
      <c r="U1446" s="960">
        <f t="array" ref="U1446">HLOOKUP($J1446,'Type Chart'!$C$2:$T$20,2,false)*HLOOKUP($K1446,'Type Chart'!$C$2:$U$20,2,false)</f>
        <v>1</v>
      </c>
      <c r="V1446" s="960">
        <f t="array" ref="V1446">HLOOKUP($J1446,'Type Chart'!$C$2:$T$20,3,false)*HLOOKUP($K1446,'Type Chart'!$C$2:$U$20,3,false)</f>
        <v>0.25</v>
      </c>
      <c r="W1446" s="960">
        <f t="array" ref="W1446">HLOOKUP($J1446,'Type Chart'!$C$2:$T$20,4,false)*HLOOKUP($K1446,'Type Chart'!$C$2:$U$20,4,false)</f>
        <v>2</v>
      </c>
      <c r="X1446" s="960">
        <f t="array" ref="X1446">HLOOKUP($J1446,'Type Chart'!$C$2:$T$20,5,false)*HLOOKUP($K1446,'Type Chart'!$C$2:$U$20,5,false)</f>
        <v>1</v>
      </c>
      <c r="Y1446" s="960">
        <f t="array" ref="Y1446">HLOOKUP($J1446,'Type Chart'!$C$2:$T$20,6,false)*HLOOKUP($K1446,'Type Chart'!$C$2:$U$20,6,false)</f>
        <v>0</v>
      </c>
      <c r="Z1446" s="960">
        <f t="array" ref="Z1446">HLOOKUP($J1446,'Type Chart'!$C$2:$T$20,7,false)*HLOOKUP($K1446,'Type Chart'!$C$2:$U$20,7,false)</f>
        <v>4</v>
      </c>
      <c r="AA1446" s="960">
        <f t="array" ref="AA1446">HLOOKUP($J1446,'Type Chart'!$C$2:$T$20,8,false)*HLOOKUP($K1446,'Type Chart'!$C$2:$U$20,8,false)</f>
        <v>0.5</v>
      </c>
      <c r="AB1446" s="960">
        <f t="array" ref="AB1446">HLOOKUP($J1446,'Type Chart'!$C$2:$T$20,9,false)*HLOOKUP($K1446,'Type Chart'!$C$2:$U$20,9,false)</f>
        <v>1</v>
      </c>
      <c r="AC1446" s="960">
        <f t="array" ref="AC1446">HLOOKUP($J1446,'Type Chart'!$C$2:$T$20,10,false)*HLOOKUP($K1446,'Type Chart'!$C$2:$U$20,10,false)</f>
        <v>1</v>
      </c>
      <c r="AD1446" s="960">
        <f t="array" ref="AD1446">HLOOKUP($J1446,'Type Chart'!$C$2:$T$20,11,false)*HLOOKUP($K1446,'Type Chart'!$C$2:$U$20,11,false)</f>
        <v>2</v>
      </c>
      <c r="AE1446" s="960">
        <f t="array" ref="AE1446">HLOOKUP($J1446,'Type Chart'!$C$2:$T$20,12,false)*HLOOKUP($K1446,'Type Chart'!$C$2:$U$20,12,false)</f>
        <v>1</v>
      </c>
      <c r="AF1446" s="960">
        <f t="array" ref="AF1446">HLOOKUP($J1446,'Type Chart'!$C$2:$T$20,13,false)*HLOOKUP($K1446,'Type Chart'!$C$2:$U$20,13,false)</f>
        <v>0.25</v>
      </c>
      <c r="AG1446" s="960">
        <f t="array" ref="AG1446">HLOOKUP($J1446,'Type Chart'!$C$2:$T$20,14,false)*HLOOKUP($K1446,'Type Chart'!$C$2:$U$20,14,false)</f>
        <v>2</v>
      </c>
      <c r="AH1446" s="960">
        <f t="array" ref="AH1446">HLOOKUP($J1446,'Type Chart'!$C$2:$T$20,15,false)*HLOOKUP($K1446,'Type Chart'!$C$2:$U$20,15,false)</f>
        <v>1</v>
      </c>
      <c r="AI1446" s="960">
        <f t="array" ref="AI1446">HLOOKUP($J1446,'Type Chart'!$C$2:$T$20,16,false)*HLOOKUP($K1446,'Type Chart'!$C$2:$U$20,16,false)</f>
        <v>2</v>
      </c>
      <c r="AJ1446" s="960">
        <f t="array" ref="AJ1446">HLOOKUP($J1446,'Type Chart'!$C$2:$T$20,17,false)*HLOOKUP($K1446,'Type Chart'!$C$2:$U$20,17,false)</f>
        <v>1</v>
      </c>
      <c r="AK1446" s="960">
        <f t="array" ref="AK1446">HLOOKUP($J1446,'Type Chart'!$C$2:$T$20,18,false)*HLOOKUP($K1446,'Type Chart'!$C$2:$U$20,18,false)</f>
        <v>1</v>
      </c>
      <c r="AL1446" s="960">
        <f t="array" ref="AL1446">HLOOKUP($J1446,'Type Chart'!$C$2:$T$20,19,false)*HLOOKUP($K1446,'Type Chart'!$C$2:$U$20,19,false)</f>
        <v>1</v>
      </c>
      <c r="AM1446" s="964" t="s">
        <v>1581</v>
      </c>
      <c r="AN1446" s="965"/>
      <c r="AO1446" s="966"/>
      <c r="AP1446" s="936"/>
      <c r="AQ1446" s="1245"/>
      <c r="AR1446" s="1245"/>
      <c r="AS1446" s="936"/>
    </row>
    <row r="1447" ht="15.75" customHeight="1">
      <c r="A1447" s="1099"/>
      <c r="B1447" s="948" t="s">
        <v>1582</v>
      </c>
      <c r="C1447" s="1197" t="s">
        <v>1583</v>
      </c>
      <c r="D1447" s="1197" t="s">
        <v>1583</v>
      </c>
      <c r="E1447" s="1147" t="s">
        <v>1583</v>
      </c>
      <c r="F1447" s="940"/>
      <c r="G1447" s="953"/>
      <c r="H1447" s="969"/>
      <c r="I1447" s="998" t="s">
        <v>4548</v>
      </c>
      <c r="J1447" s="1194" t="s">
        <v>136</v>
      </c>
      <c r="K1447" s="984" t="s">
        <v>216</v>
      </c>
      <c r="L1447" s="959">
        <v>75.0</v>
      </c>
      <c r="M1447" s="960">
        <v>100.0</v>
      </c>
      <c r="N1447" s="960">
        <v>95.0</v>
      </c>
      <c r="O1447" s="960">
        <v>40.0</v>
      </c>
      <c r="P1447" s="960">
        <v>70.0</v>
      </c>
      <c r="Q1447" s="960">
        <v>110.0</v>
      </c>
      <c r="R1447" s="960">
        <v>256.0</v>
      </c>
      <c r="S1447" s="960">
        <v>319.0</v>
      </c>
      <c r="T1447" s="960">
        <v>350.0</v>
      </c>
      <c r="U1447" s="960">
        <f t="array" ref="U1447">HLOOKUP($J1447,'Type Chart'!$C$2:$T$20,2,false)*HLOOKUP($K1447,'Type Chart'!$C$2:$U$20,2,false)</f>
        <v>1</v>
      </c>
      <c r="V1447" s="960">
        <f t="array" ref="V1447">HLOOKUP($J1447,'Type Chart'!$C$2:$T$20,3,false)*HLOOKUP($K1447,'Type Chart'!$C$2:$U$20,3,false)</f>
        <v>2</v>
      </c>
      <c r="W1447" s="960">
        <f t="array" ref="W1447">HLOOKUP($J1447,'Type Chart'!$C$2:$T$20,4,false)*HLOOKUP($K1447,'Type Chart'!$C$2:$U$20,4,false)</f>
        <v>1</v>
      </c>
      <c r="X1447" s="960">
        <f t="array" ref="X1447">HLOOKUP($J1447,'Type Chart'!$C$2:$T$20,5,false)*HLOOKUP($K1447,'Type Chart'!$C$2:$U$20,5,false)</f>
        <v>1</v>
      </c>
      <c r="Y1447" s="960">
        <f t="array" ref="Y1447">HLOOKUP($J1447,'Type Chart'!$C$2:$T$20,6,false)*HLOOKUP($K1447,'Type Chart'!$C$2:$U$20,6,false)</f>
        <v>1</v>
      </c>
      <c r="Z1447" s="960">
        <f t="array" ref="Z1447">HLOOKUP($J1447,'Type Chart'!$C$2:$T$20,7,false)*HLOOKUP($K1447,'Type Chart'!$C$2:$U$20,7,false)</f>
        <v>1</v>
      </c>
      <c r="AA1447" s="960">
        <f t="array" ref="AA1447">HLOOKUP($J1447,'Type Chart'!$C$2:$T$20,8,false)*HLOOKUP($K1447,'Type Chart'!$C$2:$U$20,8,false)</f>
        <v>1</v>
      </c>
      <c r="AB1447" s="960">
        <f t="array" ref="AB1447">HLOOKUP($J1447,'Type Chart'!$C$2:$T$20,9,false)*HLOOKUP($K1447,'Type Chart'!$C$2:$U$20,9,false)</f>
        <v>0</v>
      </c>
      <c r="AC1447" s="960">
        <f t="array" ref="AC1447">HLOOKUP($J1447,'Type Chart'!$C$2:$T$20,10,false)*HLOOKUP($K1447,'Type Chart'!$C$2:$U$20,10,false)</f>
        <v>1</v>
      </c>
      <c r="AD1447" s="960">
        <f t="array" ref="AD1447">HLOOKUP($J1447,'Type Chart'!$C$2:$T$20,11,false)*HLOOKUP($K1447,'Type Chart'!$C$2:$U$20,11,false)</f>
        <v>1</v>
      </c>
      <c r="AE1447" s="960">
        <f t="array" ref="AE1447">HLOOKUP($J1447,'Type Chart'!$C$2:$T$20,12,false)*HLOOKUP($K1447,'Type Chart'!$C$2:$U$20,12,false)</f>
        <v>1</v>
      </c>
      <c r="AF1447" s="960">
        <f t="array" ref="AF1447">HLOOKUP($J1447,'Type Chart'!$C$2:$T$20,13,false)*HLOOKUP($K1447,'Type Chart'!$C$2:$U$20,13,false)</f>
        <v>1</v>
      </c>
      <c r="AG1447" s="960">
        <f t="array" ref="AG1447">HLOOKUP($J1447,'Type Chart'!$C$2:$T$20,14,false)*HLOOKUP($K1447,'Type Chart'!$C$2:$U$20,14,false)</f>
        <v>1</v>
      </c>
      <c r="AH1447" s="960">
        <f t="array" ref="AH1447">HLOOKUP($J1447,'Type Chart'!$C$2:$T$20,15,false)*HLOOKUP($K1447,'Type Chart'!$C$2:$U$20,15,false)</f>
        <v>1</v>
      </c>
      <c r="AI1447" s="960">
        <f t="array" ref="AI1447">HLOOKUP($J1447,'Type Chart'!$C$2:$T$20,16,false)*HLOOKUP($K1447,'Type Chart'!$C$2:$U$20,16,false)</f>
        <v>1</v>
      </c>
      <c r="AJ1447" s="960">
        <f t="array" ref="AJ1447">HLOOKUP($J1447,'Type Chart'!$C$2:$T$20,17,false)*HLOOKUP($K1447,'Type Chart'!$C$2:$U$20,17,false)</f>
        <v>1</v>
      </c>
      <c r="AK1447" s="960">
        <f t="array" ref="AK1447">HLOOKUP($J1447,'Type Chart'!$C$2:$T$20,18,false)*HLOOKUP($K1447,'Type Chart'!$C$2:$U$20,18,false)</f>
        <v>1</v>
      </c>
      <c r="AL1447" s="960">
        <f t="array" ref="AL1447">HLOOKUP($J1447,'Type Chart'!$C$2:$T$20,19,false)*HLOOKUP($K1447,'Type Chart'!$C$2:$U$20,19,false)</f>
        <v>1</v>
      </c>
      <c r="AM1447" s="964" t="s">
        <v>1061</v>
      </c>
      <c r="AN1447" s="965" t="s">
        <v>1266</v>
      </c>
      <c r="AO1447" s="966" t="s">
        <v>1153</v>
      </c>
      <c r="AP1447" s="936"/>
      <c r="AQ1447" s="1245"/>
      <c r="AR1447" s="1245"/>
      <c r="AS1447" s="936"/>
    </row>
    <row r="1448" ht="15.75" customHeight="1">
      <c r="A1448" s="1099"/>
      <c r="B1448" s="948" t="s">
        <v>1584</v>
      </c>
      <c r="C1448" s="1197" t="s">
        <v>1585</v>
      </c>
      <c r="D1448" s="1197" t="s">
        <v>1585</v>
      </c>
      <c r="E1448" s="1147" t="s">
        <v>1585</v>
      </c>
      <c r="F1448" s="940"/>
      <c r="G1448" s="953"/>
      <c r="H1448" s="969"/>
      <c r="I1448" s="998" t="s">
        <v>4549</v>
      </c>
      <c r="J1448" s="1213" t="s">
        <v>341</v>
      </c>
      <c r="K1448" s="984" t="s">
        <v>216</v>
      </c>
      <c r="L1448" s="959">
        <v>75.0</v>
      </c>
      <c r="M1448" s="960">
        <v>110.0</v>
      </c>
      <c r="N1448" s="960">
        <v>105.0</v>
      </c>
      <c r="O1448" s="960">
        <v>30.0</v>
      </c>
      <c r="P1448" s="960">
        <v>70.0</v>
      </c>
      <c r="Q1448" s="960">
        <v>100.0</v>
      </c>
      <c r="R1448" s="960">
        <v>236.0</v>
      </c>
      <c r="S1448" s="960">
        <v>299.0</v>
      </c>
      <c r="T1448" s="960">
        <v>328.0</v>
      </c>
      <c r="U1448" s="960">
        <f t="array" ref="U1448">HLOOKUP($J1448,'Type Chart'!$C$2:$T$20,2,false)*HLOOKUP($K1448,'Type Chart'!$C$2:$U$20,2,false)</f>
        <v>1</v>
      </c>
      <c r="V1448" s="960">
        <f t="array" ref="V1448">HLOOKUP($J1448,'Type Chart'!$C$2:$T$20,3,false)*HLOOKUP($K1448,'Type Chart'!$C$2:$U$20,3,false)</f>
        <v>1</v>
      </c>
      <c r="W1448" s="960">
        <f t="array" ref="W1448">HLOOKUP($J1448,'Type Chart'!$C$2:$T$20,4,false)*HLOOKUP($K1448,'Type Chart'!$C$2:$U$20,4,false)</f>
        <v>2</v>
      </c>
      <c r="X1448" s="960">
        <f t="array" ref="X1448">HLOOKUP($J1448,'Type Chart'!$C$2:$T$20,5,false)*HLOOKUP($K1448,'Type Chart'!$C$2:$U$20,5,false)</f>
        <v>1</v>
      </c>
      <c r="Y1448" s="960">
        <f t="array" ref="Y1448">HLOOKUP($J1448,'Type Chart'!$C$2:$T$20,6,false)*HLOOKUP($K1448,'Type Chart'!$C$2:$U$20,6,false)</f>
        <v>1</v>
      </c>
      <c r="Z1448" s="960">
        <f t="array" ref="Z1448">HLOOKUP($J1448,'Type Chart'!$C$2:$T$20,7,false)*HLOOKUP($K1448,'Type Chart'!$C$2:$U$20,7,false)</f>
        <v>0.5</v>
      </c>
      <c r="AA1448" s="960">
        <f t="array" ref="AA1448">HLOOKUP($J1448,'Type Chart'!$C$2:$T$20,8,false)*HLOOKUP($K1448,'Type Chart'!$C$2:$U$20,8,false)</f>
        <v>0.5</v>
      </c>
      <c r="AB1448" s="960">
        <f t="array" ref="AB1448">HLOOKUP($J1448,'Type Chart'!$C$2:$T$20,9,false)*HLOOKUP($K1448,'Type Chart'!$C$2:$U$20,9,false)</f>
        <v>1</v>
      </c>
      <c r="AC1448" s="960">
        <f t="array" ref="AC1448">HLOOKUP($J1448,'Type Chart'!$C$2:$T$20,10,false)*HLOOKUP($K1448,'Type Chart'!$C$2:$U$20,10,false)</f>
        <v>1</v>
      </c>
      <c r="AD1448" s="960">
        <f t="array" ref="AD1448">HLOOKUP($J1448,'Type Chart'!$C$2:$T$20,11,false)*HLOOKUP($K1448,'Type Chart'!$C$2:$U$20,11,false)</f>
        <v>1</v>
      </c>
      <c r="AE1448" s="960">
        <f t="array" ref="AE1448">HLOOKUP($J1448,'Type Chart'!$C$2:$T$20,12,false)*HLOOKUP($K1448,'Type Chart'!$C$2:$U$20,12,false)</f>
        <v>1</v>
      </c>
      <c r="AF1448" s="960">
        <f t="array" ref="AF1448">HLOOKUP($J1448,'Type Chart'!$C$2:$T$20,13,false)*HLOOKUP($K1448,'Type Chart'!$C$2:$U$20,13,false)</f>
        <v>1</v>
      </c>
      <c r="AG1448" s="960">
        <f t="array" ref="AG1448">HLOOKUP($J1448,'Type Chart'!$C$2:$T$20,14,false)*HLOOKUP($K1448,'Type Chart'!$C$2:$U$20,14,false)</f>
        <v>1</v>
      </c>
      <c r="AH1448" s="960">
        <f t="array" ref="AH1448">HLOOKUP($J1448,'Type Chart'!$C$2:$T$20,15,false)*HLOOKUP($K1448,'Type Chart'!$C$2:$U$20,15,false)</f>
        <v>2</v>
      </c>
      <c r="AI1448" s="960">
        <f t="array" ref="AI1448">HLOOKUP($J1448,'Type Chart'!$C$2:$T$20,16,false)*HLOOKUP($K1448,'Type Chart'!$C$2:$U$20,16,false)</f>
        <v>1</v>
      </c>
      <c r="AJ1448" s="960">
        <f t="array" ref="AJ1448">HLOOKUP($J1448,'Type Chart'!$C$2:$T$20,17,false)*HLOOKUP($K1448,'Type Chart'!$C$2:$U$20,17,false)</f>
        <v>1</v>
      </c>
      <c r="AK1448" s="960">
        <f t="array" ref="AK1448">HLOOKUP($J1448,'Type Chart'!$C$2:$T$20,18,false)*HLOOKUP($K1448,'Type Chart'!$C$2:$U$20,18,false)</f>
        <v>0.5</v>
      </c>
      <c r="AL1448" s="960">
        <f t="array" ref="AL1448">HLOOKUP($J1448,'Type Chart'!$C$2:$T$20,19,false)*HLOOKUP($K1448,'Type Chart'!$C$2:$U$20,19,false)</f>
        <v>2</v>
      </c>
      <c r="AM1448" s="1145"/>
      <c r="AN1448" s="965"/>
      <c r="AO1448" s="1146"/>
      <c r="AP1448" s="936"/>
      <c r="AQ1448" s="1245"/>
      <c r="AR1448" s="1245"/>
      <c r="AS1448" s="936"/>
    </row>
    <row r="1449" ht="15.75" customHeight="1">
      <c r="A1449" s="1099"/>
      <c r="B1449" s="948" t="s">
        <v>1586</v>
      </c>
      <c r="C1449" s="1197" t="s">
        <v>1587</v>
      </c>
      <c r="D1449" s="1197" t="s">
        <v>1588</v>
      </c>
      <c r="E1449" s="1147" t="s">
        <v>1587</v>
      </c>
      <c r="F1449" s="940"/>
      <c r="G1449" s="953"/>
      <c r="H1449" s="969"/>
      <c r="I1449" s="998" t="s">
        <v>4550</v>
      </c>
      <c r="J1449" s="1213" t="s">
        <v>341</v>
      </c>
      <c r="K1449" s="982" t="s">
        <v>150</v>
      </c>
      <c r="L1449" s="959">
        <v>75.0</v>
      </c>
      <c r="M1449" s="960">
        <v>110.0</v>
      </c>
      <c r="N1449" s="960">
        <v>105.0</v>
      </c>
      <c r="O1449" s="960">
        <v>30.0</v>
      </c>
      <c r="P1449" s="960">
        <v>70.0</v>
      </c>
      <c r="Q1449" s="960">
        <v>100.0</v>
      </c>
      <c r="R1449" s="960">
        <v>236.0</v>
      </c>
      <c r="S1449" s="960">
        <v>299.0</v>
      </c>
      <c r="T1449" s="960">
        <v>328.0</v>
      </c>
      <c r="U1449" s="960">
        <f t="array" ref="U1449">HLOOKUP($J1449,'Type Chart'!$C$2:$T$20,2,false)*HLOOKUP($K1449,'Type Chart'!$C$2:$U$20,2,false)</f>
        <v>1</v>
      </c>
      <c r="V1449" s="960">
        <f t="array" ref="V1449">HLOOKUP($J1449,'Type Chart'!$C$2:$T$20,3,false)*HLOOKUP($K1449,'Type Chart'!$C$2:$U$20,3,false)</f>
        <v>1</v>
      </c>
      <c r="W1449" s="960">
        <f t="array" ref="W1449">HLOOKUP($J1449,'Type Chart'!$C$2:$T$20,4,false)*HLOOKUP($K1449,'Type Chart'!$C$2:$U$20,4,false)</f>
        <v>2</v>
      </c>
      <c r="X1449" s="960">
        <f t="array" ref="X1449">HLOOKUP($J1449,'Type Chart'!$C$2:$T$20,5,false)*HLOOKUP($K1449,'Type Chart'!$C$2:$U$20,5,false)</f>
        <v>1</v>
      </c>
      <c r="Y1449" s="960">
        <f t="array" ref="Y1449">HLOOKUP($J1449,'Type Chart'!$C$2:$T$20,6,false)*HLOOKUP($K1449,'Type Chart'!$C$2:$U$20,6,false)</f>
        <v>2</v>
      </c>
      <c r="Z1449" s="960">
        <f t="array" ref="Z1449">HLOOKUP($J1449,'Type Chart'!$C$2:$T$20,7,false)*HLOOKUP($K1449,'Type Chart'!$C$2:$U$20,7,false)</f>
        <v>1</v>
      </c>
      <c r="AA1449" s="960">
        <f t="array" ref="AA1449">HLOOKUP($J1449,'Type Chart'!$C$2:$T$20,8,false)*HLOOKUP($K1449,'Type Chart'!$C$2:$U$20,8,false)</f>
        <v>0.25</v>
      </c>
      <c r="AB1449" s="960">
        <f t="array" ref="AB1449">HLOOKUP($J1449,'Type Chart'!$C$2:$T$20,9,false)*HLOOKUP($K1449,'Type Chart'!$C$2:$U$20,9,false)</f>
        <v>1</v>
      </c>
      <c r="AC1449" s="960">
        <f t="array" ref="AC1449">HLOOKUP($J1449,'Type Chart'!$C$2:$T$20,10,false)*HLOOKUP($K1449,'Type Chart'!$C$2:$U$20,10,false)</f>
        <v>0.5</v>
      </c>
      <c r="AD1449" s="960">
        <f t="array" ref="AD1449">HLOOKUP($J1449,'Type Chart'!$C$2:$T$20,11,false)*HLOOKUP($K1449,'Type Chart'!$C$2:$U$20,11,false)</f>
        <v>0.5</v>
      </c>
      <c r="AE1449" s="960">
        <f t="array" ref="AE1449">HLOOKUP($J1449,'Type Chart'!$C$2:$T$20,12,false)*HLOOKUP($K1449,'Type Chart'!$C$2:$U$20,12,false)</f>
        <v>2</v>
      </c>
      <c r="AF1449" s="960">
        <f t="array" ref="AF1449">HLOOKUP($J1449,'Type Chart'!$C$2:$T$20,13,false)*HLOOKUP($K1449,'Type Chart'!$C$2:$U$20,13,false)</f>
        <v>0.5</v>
      </c>
      <c r="AG1449" s="960">
        <f t="array" ref="AG1449">HLOOKUP($J1449,'Type Chart'!$C$2:$T$20,14,false)*HLOOKUP($K1449,'Type Chart'!$C$2:$U$20,14,false)</f>
        <v>1</v>
      </c>
      <c r="AH1449" s="960">
        <f t="array" ref="AH1449">HLOOKUP($J1449,'Type Chart'!$C$2:$T$20,15,false)*HLOOKUP($K1449,'Type Chart'!$C$2:$U$20,15,false)</f>
        <v>2</v>
      </c>
      <c r="AI1449" s="960">
        <f t="array" ref="AI1449">HLOOKUP($J1449,'Type Chart'!$C$2:$T$20,16,false)*HLOOKUP($K1449,'Type Chart'!$C$2:$U$20,16,false)</f>
        <v>0.5</v>
      </c>
      <c r="AJ1449" s="960">
        <f t="array" ref="AJ1449">HLOOKUP($J1449,'Type Chart'!$C$2:$T$20,17,false)*HLOOKUP($K1449,'Type Chart'!$C$2:$U$20,17,false)</f>
        <v>1</v>
      </c>
      <c r="AK1449" s="960">
        <f t="array" ref="AK1449">HLOOKUP($J1449,'Type Chart'!$C$2:$T$20,18,false)*HLOOKUP($K1449,'Type Chart'!$C$2:$U$20,18,false)</f>
        <v>0.5</v>
      </c>
      <c r="AL1449" s="960">
        <f t="array" ref="AL1449">HLOOKUP($J1449,'Type Chart'!$C$2:$T$20,19,false)*HLOOKUP($K1449,'Type Chart'!$C$2:$U$20,19,false)</f>
        <v>1</v>
      </c>
      <c r="AM1449" s="964"/>
      <c r="AN1449" s="965"/>
      <c r="AO1449" s="966"/>
      <c r="AP1449" s="936"/>
      <c r="AQ1449" s="1245"/>
      <c r="AR1449" s="1245"/>
      <c r="AS1449" s="936"/>
    </row>
    <row r="1450" ht="15.75" customHeight="1">
      <c r="A1450" s="1099"/>
      <c r="B1450" s="948" t="s">
        <v>1589</v>
      </c>
      <c r="C1450" s="1197" t="s">
        <v>1590</v>
      </c>
      <c r="D1450" s="1197" t="s">
        <v>1591</v>
      </c>
      <c r="E1450" s="1147" t="s">
        <v>1590</v>
      </c>
      <c r="F1450" s="940"/>
      <c r="G1450" s="953"/>
      <c r="H1450" s="969"/>
      <c r="I1450" s="998" t="s">
        <v>4551</v>
      </c>
      <c r="J1450" s="1213" t="s">
        <v>341</v>
      </c>
      <c r="K1450" s="1056" t="s">
        <v>81</v>
      </c>
      <c r="L1450" s="959">
        <v>75.0</v>
      </c>
      <c r="M1450" s="960">
        <v>110.0</v>
      </c>
      <c r="N1450" s="960">
        <v>105.0</v>
      </c>
      <c r="O1450" s="960">
        <v>30.0</v>
      </c>
      <c r="P1450" s="960">
        <v>70.0</v>
      </c>
      <c r="Q1450" s="960">
        <v>100.0</v>
      </c>
      <c r="R1450" s="960">
        <v>236.0</v>
      </c>
      <c r="S1450" s="960">
        <v>299.0</v>
      </c>
      <c r="T1450" s="960">
        <v>328.0</v>
      </c>
      <c r="U1450" s="960">
        <f t="array" ref="U1450">HLOOKUP($J1450,'Type Chart'!$C$2:$T$20,2,false)*HLOOKUP($K1450,'Type Chart'!$C$2:$U$20,2,false)</f>
        <v>1</v>
      </c>
      <c r="V1450" s="960">
        <f t="array" ref="V1450">HLOOKUP($J1450,'Type Chart'!$C$2:$T$20,3,false)*HLOOKUP($K1450,'Type Chart'!$C$2:$U$20,3,false)</f>
        <v>1</v>
      </c>
      <c r="W1450" s="960">
        <f t="array" ref="W1450">HLOOKUP($J1450,'Type Chart'!$C$2:$T$20,4,false)*HLOOKUP($K1450,'Type Chart'!$C$2:$U$20,4,false)</f>
        <v>2</v>
      </c>
      <c r="X1450" s="960">
        <f t="array" ref="X1450">HLOOKUP($J1450,'Type Chart'!$C$2:$T$20,5,false)*HLOOKUP($K1450,'Type Chart'!$C$2:$U$20,5,false)</f>
        <v>1</v>
      </c>
      <c r="Y1450" s="960">
        <f t="array" ref="Y1450">HLOOKUP($J1450,'Type Chart'!$C$2:$T$20,6,false)*HLOOKUP($K1450,'Type Chart'!$C$2:$U$20,6,false)</f>
        <v>1</v>
      </c>
      <c r="Z1450" s="960">
        <f t="array" ref="Z1450">HLOOKUP($J1450,'Type Chart'!$C$2:$T$20,7,false)*HLOOKUP($K1450,'Type Chart'!$C$2:$U$20,7,false)</f>
        <v>0.5</v>
      </c>
      <c r="AA1450" s="960">
        <f t="array" ref="AA1450">HLOOKUP($J1450,'Type Chart'!$C$2:$T$20,8,false)*HLOOKUP($K1450,'Type Chart'!$C$2:$U$20,8,false)</f>
        <v>0.5</v>
      </c>
      <c r="AB1450" s="960">
        <f t="array" ref="AB1450">HLOOKUP($J1450,'Type Chart'!$C$2:$T$20,9,false)*HLOOKUP($K1450,'Type Chart'!$C$2:$U$20,9,false)</f>
        <v>1</v>
      </c>
      <c r="AC1450" s="960">
        <f t="array" ref="AC1450">HLOOKUP($J1450,'Type Chart'!$C$2:$T$20,10,false)*HLOOKUP($K1450,'Type Chart'!$C$2:$U$20,10,false)</f>
        <v>0.5</v>
      </c>
      <c r="AD1450" s="960">
        <f t="array" ref="AD1450">HLOOKUP($J1450,'Type Chart'!$C$2:$T$20,11,false)*HLOOKUP($K1450,'Type Chart'!$C$2:$U$20,11,false)</f>
        <v>0.5</v>
      </c>
      <c r="AE1450" s="960">
        <f t="array" ref="AE1450">HLOOKUP($J1450,'Type Chart'!$C$2:$T$20,12,false)*HLOOKUP($K1450,'Type Chart'!$C$2:$U$20,12,false)</f>
        <v>0.5</v>
      </c>
      <c r="AF1450" s="960">
        <f t="array" ref="AF1450">HLOOKUP($J1450,'Type Chart'!$C$2:$T$20,13,false)*HLOOKUP($K1450,'Type Chart'!$C$2:$U$20,13,false)</f>
        <v>2</v>
      </c>
      <c r="AG1450" s="960">
        <f t="array" ref="AG1450">HLOOKUP($J1450,'Type Chart'!$C$2:$T$20,14,false)*HLOOKUP($K1450,'Type Chart'!$C$2:$U$20,14,false)</f>
        <v>2</v>
      </c>
      <c r="AH1450" s="960">
        <f t="array" ref="AH1450">HLOOKUP($J1450,'Type Chart'!$C$2:$T$20,15,false)*HLOOKUP($K1450,'Type Chart'!$C$2:$U$20,15,false)</f>
        <v>2</v>
      </c>
      <c r="AI1450" s="960">
        <f t="array" ref="AI1450">HLOOKUP($J1450,'Type Chart'!$C$2:$T$20,16,false)*HLOOKUP($K1450,'Type Chart'!$C$2:$U$20,16,false)</f>
        <v>0.5</v>
      </c>
      <c r="AJ1450" s="960">
        <f t="array" ref="AJ1450">HLOOKUP($J1450,'Type Chart'!$C$2:$T$20,17,false)*HLOOKUP($K1450,'Type Chart'!$C$2:$U$20,17,false)</f>
        <v>1</v>
      </c>
      <c r="AK1450" s="960">
        <f t="array" ref="AK1450">HLOOKUP($J1450,'Type Chart'!$C$2:$T$20,18,false)*HLOOKUP($K1450,'Type Chart'!$C$2:$U$20,18,false)</f>
        <v>0.5</v>
      </c>
      <c r="AL1450" s="960">
        <f t="array" ref="AL1450">HLOOKUP($J1450,'Type Chart'!$C$2:$T$20,19,false)*HLOOKUP($K1450,'Type Chart'!$C$2:$U$20,19,false)</f>
        <v>2</v>
      </c>
      <c r="AM1450" s="964"/>
      <c r="AN1450" s="965"/>
      <c r="AO1450" s="966"/>
      <c r="AP1450" s="936"/>
      <c r="AQ1450" s="1245"/>
      <c r="AR1450" s="1245"/>
      <c r="AS1450" s="936"/>
    </row>
    <row r="1451" ht="15.75" customHeight="1">
      <c r="A1451" s="1099"/>
      <c r="B1451" s="948" t="s">
        <v>1592</v>
      </c>
      <c r="C1451" s="1197" t="s">
        <v>1593</v>
      </c>
      <c r="D1451" s="1197" t="s">
        <v>1593</v>
      </c>
      <c r="E1451" s="1147" t="s">
        <v>1593</v>
      </c>
      <c r="F1451" s="940"/>
      <c r="G1451" s="953"/>
      <c r="H1451" s="969"/>
      <c r="I1451" s="998" t="s">
        <v>218</v>
      </c>
      <c r="J1451" s="1056" t="s">
        <v>81</v>
      </c>
      <c r="K1451" s="984" t="s">
        <v>216</v>
      </c>
      <c r="L1451" s="959">
        <v>20.0</v>
      </c>
      <c r="M1451" s="960">
        <v>10.0</v>
      </c>
      <c r="N1451" s="960">
        <v>55.0</v>
      </c>
      <c r="O1451" s="960">
        <v>15.0</v>
      </c>
      <c r="P1451" s="960">
        <v>20.0</v>
      </c>
      <c r="Q1451" s="960">
        <v>80.0</v>
      </c>
      <c r="R1451" s="960">
        <v>196.0</v>
      </c>
      <c r="S1451" s="960">
        <v>259.0</v>
      </c>
      <c r="T1451" s="960">
        <v>284.0</v>
      </c>
      <c r="U1451" s="960">
        <f t="array" ref="U1451">HLOOKUP($J1451,'Type Chart'!$C$2:$T$20,2,false)*HLOOKUP($K1451,'Type Chart'!$C$2:$U$20,2,false)</f>
        <v>1</v>
      </c>
      <c r="V1451" s="960">
        <f t="array" ref="V1451">HLOOKUP($J1451,'Type Chart'!$C$2:$T$20,3,false)*HLOOKUP($K1451,'Type Chart'!$C$2:$U$20,3,false)</f>
        <v>1</v>
      </c>
      <c r="W1451" s="960">
        <f t="array" ref="W1451">HLOOKUP($J1451,'Type Chart'!$C$2:$T$20,4,false)*HLOOKUP($K1451,'Type Chart'!$C$2:$U$20,4,false)</f>
        <v>1</v>
      </c>
      <c r="X1451" s="960">
        <f t="array" ref="X1451">HLOOKUP($J1451,'Type Chart'!$C$2:$T$20,5,false)*HLOOKUP($K1451,'Type Chart'!$C$2:$U$20,5,false)</f>
        <v>1</v>
      </c>
      <c r="Y1451" s="960">
        <f t="array" ref="Y1451">HLOOKUP($J1451,'Type Chart'!$C$2:$T$20,6,false)*HLOOKUP($K1451,'Type Chart'!$C$2:$U$20,6,false)</f>
        <v>1</v>
      </c>
      <c r="Z1451" s="960">
        <f t="array" ref="Z1451">HLOOKUP($J1451,'Type Chart'!$C$2:$T$20,7,false)*HLOOKUP($K1451,'Type Chart'!$C$2:$U$20,7,false)</f>
        <v>1</v>
      </c>
      <c r="AA1451" s="960">
        <f t="array" ref="AA1451">HLOOKUP($J1451,'Type Chart'!$C$2:$T$20,8,false)*HLOOKUP($K1451,'Type Chart'!$C$2:$U$20,8,false)</f>
        <v>1</v>
      </c>
      <c r="AB1451" s="960">
        <f t="array" ref="AB1451">HLOOKUP($J1451,'Type Chart'!$C$2:$T$20,9,false)*HLOOKUP($K1451,'Type Chart'!$C$2:$U$20,9,false)</f>
        <v>1</v>
      </c>
      <c r="AC1451" s="960">
        <f t="array" ref="AC1451">HLOOKUP($J1451,'Type Chart'!$C$2:$T$20,10,false)*HLOOKUP($K1451,'Type Chart'!$C$2:$U$20,10,false)</f>
        <v>0.5</v>
      </c>
      <c r="AD1451" s="960">
        <f t="array" ref="AD1451">HLOOKUP($J1451,'Type Chart'!$C$2:$T$20,11,false)*HLOOKUP($K1451,'Type Chart'!$C$2:$U$20,11,false)</f>
        <v>0.5</v>
      </c>
      <c r="AE1451" s="960">
        <f t="array" ref="AE1451">HLOOKUP($J1451,'Type Chart'!$C$2:$T$20,12,false)*HLOOKUP($K1451,'Type Chart'!$C$2:$U$20,12,false)</f>
        <v>0.5</v>
      </c>
      <c r="AF1451" s="960">
        <f t="array" ref="AF1451">HLOOKUP($J1451,'Type Chart'!$C$2:$T$20,13,false)*HLOOKUP($K1451,'Type Chart'!$C$2:$U$20,13,false)</f>
        <v>2</v>
      </c>
      <c r="AG1451" s="960">
        <f t="array" ref="AG1451">HLOOKUP($J1451,'Type Chart'!$C$2:$T$20,14,false)*HLOOKUP($K1451,'Type Chart'!$C$2:$U$20,14,false)</f>
        <v>2</v>
      </c>
      <c r="AH1451" s="960">
        <f t="array" ref="AH1451">HLOOKUP($J1451,'Type Chart'!$C$2:$T$20,15,false)*HLOOKUP($K1451,'Type Chart'!$C$2:$U$20,15,false)</f>
        <v>1</v>
      </c>
      <c r="AI1451" s="960">
        <f t="array" ref="AI1451">HLOOKUP($J1451,'Type Chart'!$C$2:$T$20,16,false)*HLOOKUP($K1451,'Type Chart'!$C$2:$U$20,16,false)</f>
        <v>0.5</v>
      </c>
      <c r="AJ1451" s="960">
        <f t="array" ref="AJ1451">HLOOKUP($J1451,'Type Chart'!$C$2:$T$20,17,false)*HLOOKUP($K1451,'Type Chart'!$C$2:$U$20,17,false)</f>
        <v>1</v>
      </c>
      <c r="AK1451" s="960">
        <f t="array" ref="AK1451">HLOOKUP($J1451,'Type Chart'!$C$2:$T$20,18,false)*HLOOKUP($K1451,'Type Chart'!$C$2:$U$20,18,false)</f>
        <v>1</v>
      </c>
      <c r="AL1451" s="960">
        <f t="array" ref="AL1451">HLOOKUP($J1451,'Type Chart'!$C$2:$T$20,19,false)*HLOOKUP($K1451,'Type Chart'!$C$2:$U$20,19,false)</f>
        <v>1</v>
      </c>
      <c r="AM1451" s="964" t="s">
        <v>1259</v>
      </c>
      <c r="AN1451" s="965"/>
      <c r="AO1451" s="966" t="s">
        <v>1243</v>
      </c>
      <c r="AP1451" s="936"/>
      <c r="AQ1451" s="1245"/>
      <c r="AR1451" s="1245"/>
      <c r="AS1451" s="936"/>
    </row>
    <row r="1452" ht="15.75" customHeight="1">
      <c r="A1452" s="1099"/>
      <c r="B1452" s="948" t="s">
        <v>1594</v>
      </c>
      <c r="C1452" s="1197" t="s">
        <v>1595</v>
      </c>
      <c r="D1452" s="1197" t="s">
        <v>1595</v>
      </c>
      <c r="E1452" s="1147" t="s">
        <v>1595</v>
      </c>
      <c r="F1452" s="940"/>
      <c r="G1452" s="953"/>
      <c r="H1452" s="969"/>
      <c r="I1452" s="998" t="s">
        <v>4552</v>
      </c>
      <c r="J1452" s="1056" t="s">
        <v>81</v>
      </c>
      <c r="K1452" s="1001" t="s">
        <v>128</v>
      </c>
      <c r="L1452" s="959">
        <v>95.0</v>
      </c>
      <c r="M1452" s="960">
        <v>125.0</v>
      </c>
      <c r="N1452" s="960">
        <v>79.0</v>
      </c>
      <c r="O1452" s="960">
        <v>60.0</v>
      </c>
      <c r="P1452" s="960">
        <v>100.0</v>
      </c>
      <c r="Q1452" s="960">
        <v>81.0</v>
      </c>
      <c r="R1452" s="960">
        <v>198.0</v>
      </c>
      <c r="S1452" s="960">
        <v>261.0</v>
      </c>
      <c r="T1452" s="960">
        <v>287.0</v>
      </c>
      <c r="U1452" s="960">
        <f t="array" ref="U1452">HLOOKUP($J1452,'Type Chart'!$C$2:$T$20,2,false)*HLOOKUP($K1452,'Type Chart'!$C$2:$U$20,2,false)</f>
        <v>1</v>
      </c>
      <c r="V1452" s="960">
        <f t="array" ref="V1452">HLOOKUP($J1452,'Type Chart'!$C$2:$T$20,3,false)*HLOOKUP($K1452,'Type Chart'!$C$2:$U$20,3,false)</f>
        <v>0.5</v>
      </c>
      <c r="W1452" s="960">
        <f t="array" ref="W1452">HLOOKUP($J1452,'Type Chart'!$C$2:$T$20,4,false)*HLOOKUP($K1452,'Type Chart'!$C$2:$U$20,4,false)</f>
        <v>1</v>
      </c>
      <c r="X1452" s="960">
        <f t="array" ref="X1452">HLOOKUP($J1452,'Type Chart'!$C$2:$T$20,5,false)*HLOOKUP($K1452,'Type Chart'!$C$2:$U$20,5,false)</f>
        <v>1</v>
      </c>
      <c r="Y1452" s="960">
        <f t="array" ref="Y1452">HLOOKUP($J1452,'Type Chart'!$C$2:$T$20,6,false)*HLOOKUP($K1452,'Type Chart'!$C$2:$U$20,6,false)</f>
        <v>0</v>
      </c>
      <c r="Z1452" s="960">
        <f t="array" ref="Z1452">HLOOKUP($J1452,'Type Chart'!$C$2:$T$20,7,false)*HLOOKUP($K1452,'Type Chart'!$C$2:$U$20,7,false)</f>
        <v>2</v>
      </c>
      <c r="AA1452" s="960">
        <f t="array" ref="AA1452">HLOOKUP($J1452,'Type Chart'!$C$2:$T$20,8,false)*HLOOKUP($K1452,'Type Chart'!$C$2:$U$20,8,false)</f>
        <v>0.5</v>
      </c>
      <c r="AB1452" s="960">
        <f t="array" ref="AB1452">HLOOKUP($J1452,'Type Chart'!$C$2:$T$20,9,false)*HLOOKUP($K1452,'Type Chart'!$C$2:$U$20,9,false)</f>
        <v>1</v>
      </c>
      <c r="AC1452" s="960">
        <f t="array" ref="AC1452">HLOOKUP($J1452,'Type Chart'!$C$2:$T$20,10,false)*HLOOKUP($K1452,'Type Chart'!$C$2:$U$20,10,false)</f>
        <v>0.5</v>
      </c>
      <c r="AD1452" s="960">
        <f t="array" ref="AD1452">HLOOKUP($J1452,'Type Chart'!$C$2:$T$20,11,false)*HLOOKUP($K1452,'Type Chart'!$C$2:$U$20,11,false)</f>
        <v>0.5</v>
      </c>
      <c r="AE1452" s="960">
        <f t="array" ref="AE1452">HLOOKUP($J1452,'Type Chart'!$C$2:$T$20,12,false)*HLOOKUP($K1452,'Type Chart'!$C$2:$U$20,12,false)</f>
        <v>0.5</v>
      </c>
      <c r="AF1452" s="960">
        <f t="array" ref="AF1452">HLOOKUP($J1452,'Type Chart'!$C$2:$T$20,13,false)*HLOOKUP($K1452,'Type Chart'!$C$2:$U$20,13,false)</f>
        <v>1</v>
      </c>
      <c r="AG1452" s="960">
        <f t="array" ref="AG1452">HLOOKUP($J1452,'Type Chart'!$C$2:$T$20,14,false)*HLOOKUP($K1452,'Type Chart'!$C$2:$U$20,14,false)</f>
        <v>4</v>
      </c>
      <c r="AH1452" s="960">
        <f t="array" ref="AH1452">HLOOKUP($J1452,'Type Chart'!$C$2:$T$20,15,false)*HLOOKUP($K1452,'Type Chart'!$C$2:$U$20,15,false)</f>
        <v>1</v>
      </c>
      <c r="AI1452" s="960">
        <f t="array" ref="AI1452">HLOOKUP($J1452,'Type Chart'!$C$2:$T$20,16,false)*HLOOKUP($K1452,'Type Chart'!$C$2:$U$20,16,false)</f>
        <v>1</v>
      </c>
      <c r="AJ1452" s="960">
        <f t="array" ref="AJ1452">HLOOKUP($J1452,'Type Chart'!$C$2:$T$20,17,false)*HLOOKUP($K1452,'Type Chart'!$C$2:$U$20,17,false)</f>
        <v>1</v>
      </c>
      <c r="AK1452" s="960">
        <f t="array" ref="AK1452">HLOOKUP($J1452,'Type Chart'!$C$2:$T$20,18,false)*HLOOKUP($K1452,'Type Chart'!$C$2:$U$20,18,false)</f>
        <v>1</v>
      </c>
      <c r="AL1452" s="960">
        <f t="array" ref="AL1452">HLOOKUP($J1452,'Type Chart'!$C$2:$T$20,19,false)*HLOOKUP($K1452,'Type Chart'!$C$2:$U$20,19,false)</f>
        <v>1</v>
      </c>
      <c r="AM1452" s="964" t="s">
        <v>1061</v>
      </c>
      <c r="AN1452" s="965"/>
      <c r="AO1452" s="966" t="s">
        <v>1577</v>
      </c>
      <c r="AP1452" s="936"/>
      <c r="AQ1452" s="1245"/>
      <c r="AR1452" s="1245"/>
      <c r="AS1452" s="936"/>
    </row>
    <row r="1453" ht="15.75" customHeight="1">
      <c r="A1453" s="1099"/>
      <c r="B1453" s="948" t="s">
        <v>1596</v>
      </c>
      <c r="C1453" s="1197" t="s">
        <v>1597</v>
      </c>
      <c r="D1453" s="1197" t="s">
        <v>1597</v>
      </c>
      <c r="E1453" s="1147" t="s">
        <v>1597</v>
      </c>
      <c r="F1453" s="940"/>
      <c r="G1453" s="953"/>
      <c r="H1453" s="969"/>
      <c r="I1453" s="998" t="s">
        <v>4553</v>
      </c>
      <c r="J1453" s="1056" t="s">
        <v>81</v>
      </c>
      <c r="K1453" s="1195" t="s">
        <v>193</v>
      </c>
      <c r="L1453" s="959">
        <v>95.0</v>
      </c>
      <c r="M1453" s="960">
        <v>155.0</v>
      </c>
      <c r="N1453" s="960">
        <v>109.0</v>
      </c>
      <c r="O1453" s="960">
        <v>70.0</v>
      </c>
      <c r="P1453" s="960">
        <v>130.0</v>
      </c>
      <c r="Q1453" s="960">
        <v>81.0</v>
      </c>
      <c r="R1453" s="960">
        <v>198.0</v>
      </c>
      <c r="S1453" s="960">
        <v>261.0</v>
      </c>
      <c r="T1453" s="960">
        <v>287.0</v>
      </c>
      <c r="U1453" s="960">
        <f t="array" ref="U1453">HLOOKUP($J1453,'Type Chart'!$C$2:$T$20,2,false)*HLOOKUP($K1453,'Type Chart'!$C$2:$U$20,2,false)</f>
        <v>1</v>
      </c>
      <c r="V1453" s="960">
        <f t="array" ref="V1453">HLOOKUP($J1453,'Type Chart'!$C$2:$T$20,3,false)*HLOOKUP($K1453,'Type Chart'!$C$2:$U$20,3,false)</f>
        <v>2</v>
      </c>
      <c r="W1453" s="960">
        <f t="array" ref="W1453">HLOOKUP($J1453,'Type Chart'!$C$2:$T$20,4,false)*HLOOKUP($K1453,'Type Chart'!$C$2:$U$20,4,false)</f>
        <v>1</v>
      </c>
      <c r="X1453" s="960">
        <f t="array" ref="X1453">HLOOKUP($J1453,'Type Chart'!$C$2:$T$20,5,false)*HLOOKUP($K1453,'Type Chart'!$C$2:$U$20,5,false)</f>
        <v>1</v>
      </c>
      <c r="Y1453" s="960">
        <f t="array" ref="Y1453">HLOOKUP($J1453,'Type Chart'!$C$2:$T$20,6,false)*HLOOKUP($K1453,'Type Chart'!$C$2:$U$20,6,false)</f>
        <v>1</v>
      </c>
      <c r="Z1453" s="960">
        <f t="array" ref="Z1453">HLOOKUP($J1453,'Type Chart'!$C$2:$T$20,7,false)*HLOOKUP($K1453,'Type Chart'!$C$2:$U$20,7,false)</f>
        <v>1</v>
      </c>
      <c r="AA1453" s="960">
        <f t="array" ref="AA1453">HLOOKUP($J1453,'Type Chart'!$C$2:$T$20,8,false)*HLOOKUP($K1453,'Type Chart'!$C$2:$U$20,8,false)</f>
        <v>2</v>
      </c>
      <c r="AB1453" s="960">
        <f t="array" ref="AB1453">HLOOKUP($J1453,'Type Chart'!$C$2:$T$20,9,false)*HLOOKUP($K1453,'Type Chart'!$C$2:$U$20,9,false)</f>
        <v>0.5</v>
      </c>
      <c r="AC1453" s="960">
        <f t="array" ref="AC1453">HLOOKUP($J1453,'Type Chart'!$C$2:$T$20,10,false)*HLOOKUP($K1453,'Type Chart'!$C$2:$U$20,10,false)</f>
        <v>0.5</v>
      </c>
      <c r="AD1453" s="960">
        <f t="array" ref="AD1453">HLOOKUP($J1453,'Type Chart'!$C$2:$T$20,11,false)*HLOOKUP($K1453,'Type Chart'!$C$2:$U$20,11,false)</f>
        <v>0.5</v>
      </c>
      <c r="AE1453" s="960">
        <f t="array" ref="AE1453">HLOOKUP($J1453,'Type Chart'!$C$2:$T$20,12,false)*HLOOKUP($K1453,'Type Chart'!$C$2:$U$20,12,false)</f>
        <v>0.5</v>
      </c>
      <c r="AF1453" s="960">
        <f t="array" ref="AF1453">HLOOKUP($J1453,'Type Chart'!$C$2:$T$20,13,false)*HLOOKUP($K1453,'Type Chart'!$C$2:$U$20,13,false)</f>
        <v>2</v>
      </c>
      <c r="AG1453" s="960">
        <f t="array" ref="AG1453">HLOOKUP($J1453,'Type Chart'!$C$2:$T$20,14,false)*HLOOKUP($K1453,'Type Chart'!$C$2:$U$20,14,false)</f>
        <v>2</v>
      </c>
      <c r="AH1453" s="960">
        <f t="array" ref="AH1453">HLOOKUP($J1453,'Type Chart'!$C$2:$T$20,15,false)*HLOOKUP($K1453,'Type Chart'!$C$2:$U$20,15,false)</f>
        <v>0</v>
      </c>
      <c r="AI1453" s="960">
        <f t="array" ref="AI1453">HLOOKUP($J1453,'Type Chart'!$C$2:$T$20,16,false)*HLOOKUP($K1453,'Type Chart'!$C$2:$U$20,16,false)</f>
        <v>0.5</v>
      </c>
      <c r="AJ1453" s="960">
        <f t="array" ref="AJ1453">HLOOKUP($J1453,'Type Chart'!$C$2:$T$20,17,false)*HLOOKUP($K1453,'Type Chart'!$C$2:$U$20,17,false)</f>
        <v>1</v>
      </c>
      <c r="AK1453" s="960">
        <f t="array" ref="AK1453">HLOOKUP($J1453,'Type Chart'!$C$2:$T$20,18,false)*HLOOKUP($K1453,'Type Chart'!$C$2:$U$20,18,false)</f>
        <v>0.5</v>
      </c>
      <c r="AL1453" s="960">
        <f t="array" ref="AL1453">HLOOKUP($J1453,'Type Chart'!$C$2:$T$20,19,false)*HLOOKUP($K1453,'Type Chart'!$C$2:$U$20,19,false)</f>
        <v>2</v>
      </c>
      <c r="AM1453" s="964" t="s">
        <v>1576</v>
      </c>
      <c r="AN1453" s="965"/>
      <c r="AO1453" s="966"/>
      <c r="AP1453" s="936"/>
      <c r="AQ1453" s="1245"/>
      <c r="AR1453" s="1245"/>
      <c r="AS1453" s="936"/>
    </row>
    <row r="1454" ht="15.75" customHeight="1">
      <c r="A1454" s="1099"/>
      <c r="B1454" s="948" t="s">
        <v>1599</v>
      </c>
      <c r="C1454" s="1197" t="s">
        <v>1600</v>
      </c>
      <c r="D1454" s="1197" t="s">
        <v>1600</v>
      </c>
      <c r="E1454" s="1147" t="s">
        <v>1600</v>
      </c>
      <c r="F1454" s="940"/>
      <c r="G1454" s="953"/>
      <c r="H1454" s="969"/>
      <c r="I1454" s="998" t="s">
        <v>4554</v>
      </c>
      <c r="J1454" s="1056" t="s">
        <v>81</v>
      </c>
      <c r="K1454" s="1205" t="s">
        <v>345</v>
      </c>
      <c r="L1454" s="959">
        <v>130.0</v>
      </c>
      <c r="M1454" s="960">
        <v>85.0</v>
      </c>
      <c r="N1454" s="960">
        <v>80.0</v>
      </c>
      <c r="O1454" s="960">
        <v>85.0</v>
      </c>
      <c r="P1454" s="960">
        <v>95.0</v>
      </c>
      <c r="Q1454" s="960">
        <v>60.0</v>
      </c>
      <c r="R1454" s="960">
        <v>156.0</v>
      </c>
      <c r="S1454" s="960">
        <v>219.0</v>
      </c>
      <c r="T1454" s="960">
        <v>240.0</v>
      </c>
      <c r="U1454" s="960">
        <f t="array" ref="U1454">HLOOKUP($J1454,'Type Chart'!$C$2:$T$20,2,false)*HLOOKUP($K1454,'Type Chart'!$C$2:$U$20,2,false)</f>
        <v>1</v>
      </c>
      <c r="V1454" s="960">
        <f t="array" ref="V1454">HLOOKUP($J1454,'Type Chart'!$C$2:$T$20,3,false)*HLOOKUP($K1454,'Type Chart'!$C$2:$U$20,3,false)</f>
        <v>2</v>
      </c>
      <c r="W1454" s="960">
        <f t="array" ref="W1454">HLOOKUP($J1454,'Type Chart'!$C$2:$T$20,4,false)*HLOOKUP($K1454,'Type Chart'!$C$2:$U$20,4,false)</f>
        <v>1</v>
      </c>
      <c r="X1454" s="960">
        <f t="array" ref="X1454">HLOOKUP($J1454,'Type Chart'!$C$2:$T$20,5,false)*HLOOKUP($K1454,'Type Chart'!$C$2:$U$20,5,false)</f>
        <v>1</v>
      </c>
      <c r="Y1454" s="960">
        <f t="array" ref="Y1454">HLOOKUP($J1454,'Type Chart'!$C$2:$T$20,6,false)*HLOOKUP($K1454,'Type Chart'!$C$2:$U$20,6,false)</f>
        <v>1</v>
      </c>
      <c r="Z1454" s="960">
        <f t="array" ref="Z1454">HLOOKUP($J1454,'Type Chart'!$C$2:$T$20,7,false)*HLOOKUP($K1454,'Type Chart'!$C$2:$U$20,7,false)</f>
        <v>2</v>
      </c>
      <c r="AA1454" s="960">
        <f t="array" ref="AA1454">HLOOKUP($J1454,'Type Chart'!$C$2:$T$20,8,false)*HLOOKUP($K1454,'Type Chart'!$C$2:$U$20,8,false)</f>
        <v>1</v>
      </c>
      <c r="AB1454" s="960">
        <f t="array" ref="AB1454">HLOOKUP($J1454,'Type Chart'!$C$2:$T$20,9,false)*HLOOKUP($K1454,'Type Chart'!$C$2:$U$20,9,false)</f>
        <v>1</v>
      </c>
      <c r="AC1454" s="960">
        <f t="array" ref="AC1454">HLOOKUP($J1454,'Type Chart'!$C$2:$T$20,10,false)*HLOOKUP($K1454,'Type Chart'!$C$2:$U$20,10,false)</f>
        <v>1</v>
      </c>
      <c r="AD1454" s="960">
        <f t="array" ref="AD1454">HLOOKUP($J1454,'Type Chart'!$C$2:$T$20,11,false)*HLOOKUP($K1454,'Type Chart'!$C$2:$U$20,11,false)</f>
        <v>1</v>
      </c>
      <c r="AE1454" s="960">
        <f t="array" ref="AE1454">HLOOKUP($J1454,'Type Chart'!$C$2:$T$20,12,false)*HLOOKUP($K1454,'Type Chart'!$C$2:$U$20,12,false)</f>
        <v>0.5</v>
      </c>
      <c r="AF1454" s="960">
        <f t="array" ref="AF1454">HLOOKUP($J1454,'Type Chart'!$C$2:$T$20,13,false)*HLOOKUP($K1454,'Type Chart'!$C$2:$U$20,13,false)</f>
        <v>2</v>
      </c>
      <c r="AG1454" s="960">
        <f t="array" ref="AG1454">HLOOKUP($J1454,'Type Chart'!$C$2:$T$20,14,false)*HLOOKUP($K1454,'Type Chart'!$C$2:$U$20,14,false)</f>
        <v>2</v>
      </c>
      <c r="AH1454" s="960">
        <f t="array" ref="AH1454">HLOOKUP($J1454,'Type Chart'!$C$2:$T$20,15,false)*HLOOKUP($K1454,'Type Chart'!$C$2:$U$20,15,false)</f>
        <v>1</v>
      </c>
      <c r="AI1454" s="960">
        <f t="array" ref="AI1454">HLOOKUP($J1454,'Type Chart'!$C$2:$T$20,16,false)*HLOOKUP($K1454,'Type Chart'!$C$2:$U$20,16,false)</f>
        <v>0.25</v>
      </c>
      <c r="AJ1454" s="960">
        <f t="array" ref="AJ1454">HLOOKUP($J1454,'Type Chart'!$C$2:$T$20,17,false)*HLOOKUP($K1454,'Type Chart'!$C$2:$U$20,17,false)</f>
        <v>1</v>
      </c>
      <c r="AK1454" s="960">
        <f t="array" ref="AK1454">HLOOKUP($J1454,'Type Chart'!$C$2:$T$20,18,false)*HLOOKUP($K1454,'Type Chart'!$C$2:$U$20,18,false)</f>
        <v>1</v>
      </c>
      <c r="AL1454" s="960">
        <f t="array" ref="AL1454">HLOOKUP($J1454,'Type Chart'!$C$2:$T$20,19,false)*HLOOKUP($K1454,'Type Chart'!$C$2:$U$20,19,false)</f>
        <v>1</v>
      </c>
      <c r="AM1454" s="964" t="s">
        <v>1283</v>
      </c>
      <c r="AN1454" s="965" t="s">
        <v>1385</v>
      </c>
      <c r="AO1454" s="966" t="s">
        <v>1409</v>
      </c>
      <c r="AP1454" s="936"/>
      <c r="AQ1454" s="1245"/>
      <c r="AR1454" s="1245"/>
      <c r="AS1454" s="936"/>
    </row>
    <row r="1455" ht="15.75" customHeight="1">
      <c r="A1455" s="1099"/>
      <c r="B1455" s="948" t="s">
        <v>1601</v>
      </c>
      <c r="C1455" s="1197" t="s">
        <v>1602</v>
      </c>
      <c r="D1455" s="1197" t="s">
        <v>1602</v>
      </c>
      <c r="E1455" s="1147" t="s">
        <v>1602</v>
      </c>
      <c r="F1455" s="940"/>
      <c r="G1455" s="953"/>
      <c r="H1455" s="969"/>
      <c r="I1455" s="998" t="s">
        <v>4555</v>
      </c>
      <c r="J1455" s="1194" t="s">
        <v>136</v>
      </c>
      <c r="K1455" s="984" t="s">
        <v>216</v>
      </c>
      <c r="L1455" s="959">
        <v>48.0</v>
      </c>
      <c r="M1455" s="960">
        <v>48.0</v>
      </c>
      <c r="N1455" s="960">
        <v>48.0</v>
      </c>
      <c r="O1455" s="960">
        <v>48.0</v>
      </c>
      <c r="P1455" s="960">
        <v>48.0</v>
      </c>
      <c r="Q1455" s="960">
        <v>48.0</v>
      </c>
      <c r="R1455" s="960">
        <v>132.0</v>
      </c>
      <c r="S1455" s="960">
        <v>195.0</v>
      </c>
      <c r="T1455" s="960">
        <v>214.0</v>
      </c>
      <c r="U1455" s="960">
        <f t="array" ref="U1455">HLOOKUP($J1455,'Type Chart'!$C$2:$T$20,2,false)*HLOOKUP($K1455,'Type Chart'!$C$2:$U$20,2,false)</f>
        <v>1</v>
      </c>
      <c r="V1455" s="960">
        <f t="array" ref="V1455">HLOOKUP($J1455,'Type Chart'!$C$2:$T$20,3,false)*HLOOKUP($K1455,'Type Chart'!$C$2:$U$20,3,false)</f>
        <v>2</v>
      </c>
      <c r="W1455" s="960">
        <f t="array" ref="W1455">HLOOKUP($J1455,'Type Chart'!$C$2:$T$20,4,false)*HLOOKUP($K1455,'Type Chart'!$C$2:$U$20,4,false)</f>
        <v>1</v>
      </c>
      <c r="X1455" s="960">
        <f t="array" ref="X1455">HLOOKUP($J1455,'Type Chart'!$C$2:$T$20,5,false)*HLOOKUP($K1455,'Type Chart'!$C$2:$U$20,5,false)</f>
        <v>1</v>
      </c>
      <c r="Y1455" s="960">
        <f t="array" ref="Y1455">HLOOKUP($J1455,'Type Chart'!$C$2:$T$20,6,false)*HLOOKUP($K1455,'Type Chart'!$C$2:$U$20,6,false)</f>
        <v>1</v>
      </c>
      <c r="Z1455" s="960">
        <f t="array" ref="Z1455">HLOOKUP($J1455,'Type Chart'!$C$2:$T$20,7,false)*HLOOKUP($K1455,'Type Chart'!$C$2:$U$20,7,false)</f>
        <v>1</v>
      </c>
      <c r="AA1455" s="960">
        <f t="array" ref="AA1455">HLOOKUP($J1455,'Type Chart'!$C$2:$T$20,8,false)*HLOOKUP($K1455,'Type Chart'!$C$2:$U$20,8,false)</f>
        <v>1</v>
      </c>
      <c r="AB1455" s="960">
        <f t="array" ref="AB1455">HLOOKUP($J1455,'Type Chart'!$C$2:$T$20,9,false)*HLOOKUP($K1455,'Type Chart'!$C$2:$U$20,9,false)</f>
        <v>0</v>
      </c>
      <c r="AC1455" s="960">
        <f t="array" ref="AC1455">HLOOKUP($J1455,'Type Chart'!$C$2:$T$20,10,false)*HLOOKUP($K1455,'Type Chart'!$C$2:$U$20,10,false)</f>
        <v>1</v>
      </c>
      <c r="AD1455" s="960">
        <f t="array" ref="AD1455">HLOOKUP($J1455,'Type Chart'!$C$2:$T$20,11,false)*HLOOKUP($K1455,'Type Chart'!$C$2:$U$20,11,false)</f>
        <v>1</v>
      </c>
      <c r="AE1455" s="960">
        <f t="array" ref="AE1455">HLOOKUP($J1455,'Type Chart'!$C$2:$T$20,12,false)*HLOOKUP($K1455,'Type Chart'!$C$2:$U$20,12,false)</f>
        <v>1</v>
      </c>
      <c r="AF1455" s="960">
        <f t="array" ref="AF1455">HLOOKUP($J1455,'Type Chart'!$C$2:$T$20,13,false)*HLOOKUP($K1455,'Type Chart'!$C$2:$U$20,13,false)</f>
        <v>1</v>
      </c>
      <c r="AG1455" s="960">
        <f t="array" ref="AG1455">HLOOKUP($J1455,'Type Chart'!$C$2:$T$20,14,false)*HLOOKUP($K1455,'Type Chart'!$C$2:$U$20,14,false)</f>
        <v>1</v>
      </c>
      <c r="AH1455" s="960">
        <f t="array" ref="AH1455">HLOOKUP($J1455,'Type Chart'!$C$2:$T$20,15,false)*HLOOKUP($K1455,'Type Chart'!$C$2:$U$20,15,false)</f>
        <v>1</v>
      </c>
      <c r="AI1455" s="960">
        <f t="array" ref="AI1455">HLOOKUP($J1455,'Type Chart'!$C$2:$T$20,16,false)*HLOOKUP($K1455,'Type Chart'!$C$2:$U$20,16,false)</f>
        <v>1</v>
      </c>
      <c r="AJ1455" s="960">
        <f t="array" ref="AJ1455">HLOOKUP($J1455,'Type Chart'!$C$2:$T$20,17,false)*HLOOKUP($K1455,'Type Chart'!$C$2:$U$20,17,false)</f>
        <v>1</v>
      </c>
      <c r="AK1455" s="960">
        <f t="array" ref="AK1455">HLOOKUP($J1455,'Type Chart'!$C$2:$T$20,18,false)*HLOOKUP($K1455,'Type Chart'!$C$2:$U$20,18,false)</f>
        <v>1</v>
      </c>
      <c r="AL1455" s="960">
        <f t="array" ref="AL1455">HLOOKUP($J1455,'Type Chart'!$C$2:$T$20,19,false)*HLOOKUP($K1455,'Type Chart'!$C$2:$U$20,19,false)</f>
        <v>1</v>
      </c>
      <c r="AM1455" s="964" t="s">
        <v>1250</v>
      </c>
      <c r="AN1455" s="965"/>
      <c r="AO1455" s="966" t="s">
        <v>1603</v>
      </c>
      <c r="AP1455" s="936"/>
      <c r="AQ1455" s="1245"/>
      <c r="AR1455" s="1245"/>
      <c r="AS1455" s="936"/>
    </row>
    <row r="1456" ht="15.75" customHeight="1">
      <c r="A1456" s="1099"/>
      <c r="B1456" s="948" t="s">
        <v>1604</v>
      </c>
      <c r="C1456" s="1197" t="s">
        <v>1605</v>
      </c>
      <c r="D1456" s="1197" t="s">
        <v>1605</v>
      </c>
      <c r="E1456" s="1147" t="s">
        <v>1605</v>
      </c>
      <c r="F1456" s="940"/>
      <c r="G1456" s="953"/>
      <c r="H1456" s="969"/>
      <c r="I1456" s="998" t="s">
        <v>4556</v>
      </c>
      <c r="J1456" s="1194" t="s">
        <v>136</v>
      </c>
      <c r="K1456" s="984" t="s">
        <v>216</v>
      </c>
      <c r="L1456" s="959">
        <v>55.0</v>
      </c>
      <c r="M1456" s="960">
        <v>55.0</v>
      </c>
      <c r="N1456" s="960">
        <v>50.0</v>
      </c>
      <c r="O1456" s="960">
        <v>45.0</v>
      </c>
      <c r="P1456" s="960">
        <v>65.0</v>
      </c>
      <c r="Q1456" s="960">
        <v>55.0</v>
      </c>
      <c r="R1456" s="960">
        <v>146.0</v>
      </c>
      <c r="S1456" s="960">
        <v>209.0</v>
      </c>
      <c r="T1456" s="960">
        <v>229.0</v>
      </c>
      <c r="U1456" s="960">
        <f t="array" ref="U1456">HLOOKUP($J1456,'Type Chart'!$C$2:$T$20,2,false)*HLOOKUP($K1456,'Type Chart'!$C$2:$U$20,2,false)</f>
        <v>1</v>
      </c>
      <c r="V1456" s="960">
        <f t="array" ref="V1456">HLOOKUP($J1456,'Type Chart'!$C$2:$T$20,3,false)*HLOOKUP($K1456,'Type Chart'!$C$2:$U$20,3,false)</f>
        <v>2</v>
      </c>
      <c r="W1456" s="960">
        <f t="array" ref="W1456">HLOOKUP($J1456,'Type Chart'!$C$2:$T$20,4,false)*HLOOKUP($K1456,'Type Chart'!$C$2:$U$20,4,false)</f>
        <v>1</v>
      </c>
      <c r="X1456" s="960">
        <f t="array" ref="X1456">HLOOKUP($J1456,'Type Chart'!$C$2:$T$20,5,false)*HLOOKUP($K1456,'Type Chart'!$C$2:$U$20,5,false)</f>
        <v>1</v>
      </c>
      <c r="Y1456" s="960">
        <f t="array" ref="Y1456">HLOOKUP($J1456,'Type Chart'!$C$2:$T$20,6,false)*HLOOKUP($K1456,'Type Chart'!$C$2:$U$20,6,false)</f>
        <v>1</v>
      </c>
      <c r="Z1456" s="960">
        <f t="array" ref="Z1456">HLOOKUP($J1456,'Type Chart'!$C$2:$T$20,7,false)*HLOOKUP($K1456,'Type Chart'!$C$2:$U$20,7,false)</f>
        <v>1</v>
      </c>
      <c r="AA1456" s="960">
        <f t="array" ref="AA1456">HLOOKUP($J1456,'Type Chart'!$C$2:$T$20,8,false)*HLOOKUP($K1456,'Type Chart'!$C$2:$U$20,8,false)</f>
        <v>1</v>
      </c>
      <c r="AB1456" s="960">
        <f t="array" ref="AB1456">HLOOKUP($J1456,'Type Chart'!$C$2:$T$20,9,false)*HLOOKUP($K1456,'Type Chart'!$C$2:$U$20,9,false)</f>
        <v>0</v>
      </c>
      <c r="AC1456" s="960">
        <f t="array" ref="AC1456">HLOOKUP($J1456,'Type Chart'!$C$2:$T$20,10,false)*HLOOKUP($K1456,'Type Chart'!$C$2:$U$20,10,false)</f>
        <v>1</v>
      </c>
      <c r="AD1456" s="960">
        <f t="array" ref="AD1456">HLOOKUP($J1456,'Type Chart'!$C$2:$T$20,11,false)*HLOOKUP($K1456,'Type Chart'!$C$2:$U$20,11,false)</f>
        <v>1</v>
      </c>
      <c r="AE1456" s="960">
        <f t="array" ref="AE1456">HLOOKUP($J1456,'Type Chart'!$C$2:$T$20,12,false)*HLOOKUP($K1456,'Type Chart'!$C$2:$U$20,12,false)</f>
        <v>1</v>
      </c>
      <c r="AF1456" s="960">
        <f t="array" ref="AF1456">HLOOKUP($J1456,'Type Chart'!$C$2:$T$20,13,false)*HLOOKUP($K1456,'Type Chart'!$C$2:$U$20,13,false)</f>
        <v>1</v>
      </c>
      <c r="AG1456" s="960">
        <f t="array" ref="AG1456">HLOOKUP($J1456,'Type Chart'!$C$2:$T$20,14,false)*HLOOKUP($K1456,'Type Chart'!$C$2:$U$20,14,false)</f>
        <v>1</v>
      </c>
      <c r="AH1456" s="960">
        <f t="array" ref="AH1456">HLOOKUP($J1456,'Type Chart'!$C$2:$T$20,15,false)*HLOOKUP($K1456,'Type Chart'!$C$2:$U$20,15,false)</f>
        <v>1</v>
      </c>
      <c r="AI1456" s="960">
        <f t="array" ref="AI1456">HLOOKUP($J1456,'Type Chart'!$C$2:$T$20,16,false)*HLOOKUP($K1456,'Type Chart'!$C$2:$U$20,16,false)</f>
        <v>1</v>
      </c>
      <c r="AJ1456" s="960">
        <f t="array" ref="AJ1456">HLOOKUP($J1456,'Type Chart'!$C$2:$T$20,17,false)*HLOOKUP($K1456,'Type Chart'!$C$2:$U$20,17,false)</f>
        <v>1</v>
      </c>
      <c r="AK1456" s="960">
        <f t="array" ref="AK1456">HLOOKUP($J1456,'Type Chart'!$C$2:$T$20,18,false)*HLOOKUP($K1456,'Type Chart'!$C$2:$U$20,18,false)</f>
        <v>1</v>
      </c>
      <c r="AL1456" s="960">
        <f t="array" ref="AL1456">HLOOKUP($J1456,'Type Chart'!$C$2:$T$20,19,false)*HLOOKUP($K1456,'Type Chart'!$C$2:$U$20,19,false)</f>
        <v>1</v>
      </c>
      <c r="AM1456" s="1145" t="s">
        <v>988</v>
      </c>
      <c r="AN1456" s="964" t="s">
        <v>1018</v>
      </c>
      <c r="AO1456" s="1146" t="s">
        <v>1359</v>
      </c>
      <c r="AP1456" s="936"/>
      <c r="AQ1456" s="1245"/>
      <c r="AR1456" s="1245"/>
      <c r="AS1456" s="936"/>
    </row>
    <row r="1457" ht="15.75" customHeight="1">
      <c r="A1457" s="1099"/>
      <c r="B1457" s="948" t="s">
        <v>1607</v>
      </c>
      <c r="C1457" s="1197" t="s">
        <v>1608</v>
      </c>
      <c r="D1457" s="1197" t="s">
        <v>1608</v>
      </c>
      <c r="E1457" s="1147" t="s">
        <v>1608</v>
      </c>
      <c r="F1457" s="940"/>
      <c r="G1457" s="953"/>
      <c r="H1457" s="969"/>
      <c r="I1457" s="998" t="s">
        <v>4557</v>
      </c>
      <c r="J1457" s="1216" t="s">
        <v>136</v>
      </c>
      <c r="K1457" s="1199" t="s">
        <v>216</v>
      </c>
      <c r="L1457" s="1200">
        <v>65.0</v>
      </c>
      <c r="M1457" s="1201">
        <v>75.0</v>
      </c>
      <c r="N1457" s="1201">
        <v>70.0</v>
      </c>
      <c r="O1457" s="1201">
        <v>65.0</v>
      </c>
      <c r="P1457" s="1201">
        <v>85.0</v>
      </c>
      <c r="Q1457" s="1201">
        <v>75.0</v>
      </c>
      <c r="R1457" s="960">
        <v>186.0</v>
      </c>
      <c r="S1457" s="960">
        <v>249.0</v>
      </c>
      <c r="T1457" s="960">
        <v>273.0</v>
      </c>
      <c r="U1457" s="960">
        <f t="array" ref="U1457">HLOOKUP($J1457,'Type Chart'!$C$2:$T$20,2,false)*HLOOKUP($K1457,'Type Chart'!$C$2:$U$20,2,false)</f>
        <v>1</v>
      </c>
      <c r="V1457" s="960">
        <f t="array" ref="V1457">HLOOKUP($J1457,'Type Chart'!$C$2:$T$20,3,false)*HLOOKUP($K1457,'Type Chart'!$C$2:$U$20,3,false)</f>
        <v>2</v>
      </c>
      <c r="W1457" s="960">
        <f t="array" ref="W1457">HLOOKUP($J1457,'Type Chart'!$C$2:$T$20,4,false)*HLOOKUP($K1457,'Type Chart'!$C$2:$U$20,4,false)</f>
        <v>1</v>
      </c>
      <c r="X1457" s="960">
        <f t="array" ref="X1457">HLOOKUP($J1457,'Type Chart'!$C$2:$T$20,5,false)*HLOOKUP($K1457,'Type Chart'!$C$2:$U$20,5,false)</f>
        <v>1</v>
      </c>
      <c r="Y1457" s="960">
        <f t="array" ref="Y1457">HLOOKUP($J1457,'Type Chart'!$C$2:$T$20,6,false)*HLOOKUP($K1457,'Type Chart'!$C$2:$U$20,6,false)</f>
        <v>1</v>
      </c>
      <c r="Z1457" s="960">
        <f t="array" ref="Z1457">HLOOKUP($J1457,'Type Chart'!$C$2:$T$20,7,false)*HLOOKUP($K1457,'Type Chart'!$C$2:$U$20,7,false)</f>
        <v>1</v>
      </c>
      <c r="AA1457" s="960">
        <f t="array" ref="AA1457">HLOOKUP($J1457,'Type Chart'!$C$2:$T$20,8,false)*HLOOKUP($K1457,'Type Chart'!$C$2:$U$20,8,false)</f>
        <v>1</v>
      </c>
      <c r="AB1457" s="960">
        <f t="array" ref="AB1457">HLOOKUP($J1457,'Type Chart'!$C$2:$T$20,9,false)*HLOOKUP($K1457,'Type Chart'!$C$2:$U$20,9,false)</f>
        <v>0</v>
      </c>
      <c r="AC1457" s="960">
        <f t="array" ref="AC1457">HLOOKUP($J1457,'Type Chart'!$C$2:$T$20,10,false)*HLOOKUP($K1457,'Type Chart'!$C$2:$U$20,10,false)</f>
        <v>1</v>
      </c>
      <c r="AD1457" s="960">
        <f t="array" ref="AD1457">HLOOKUP($J1457,'Type Chart'!$C$2:$T$20,11,false)*HLOOKUP($K1457,'Type Chart'!$C$2:$U$20,11,false)</f>
        <v>1</v>
      </c>
      <c r="AE1457" s="960">
        <f t="array" ref="AE1457">HLOOKUP($J1457,'Type Chart'!$C$2:$T$20,12,false)*HLOOKUP($K1457,'Type Chart'!$C$2:$U$20,12,false)</f>
        <v>1</v>
      </c>
      <c r="AF1457" s="960">
        <f t="array" ref="AF1457">HLOOKUP($J1457,'Type Chart'!$C$2:$T$20,13,false)*HLOOKUP($K1457,'Type Chart'!$C$2:$U$20,13,false)</f>
        <v>1</v>
      </c>
      <c r="AG1457" s="960">
        <f t="array" ref="AG1457">HLOOKUP($J1457,'Type Chart'!$C$2:$T$20,14,false)*HLOOKUP($K1457,'Type Chart'!$C$2:$U$20,14,false)</f>
        <v>1</v>
      </c>
      <c r="AH1457" s="960">
        <f t="array" ref="AH1457">HLOOKUP($J1457,'Type Chart'!$C$2:$T$20,15,false)*HLOOKUP($K1457,'Type Chart'!$C$2:$U$20,15,false)</f>
        <v>1</v>
      </c>
      <c r="AI1457" s="960">
        <f t="array" ref="AI1457">HLOOKUP($J1457,'Type Chart'!$C$2:$T$20,16,false)*HLOOKUP($K1457,'Type Chart'!$C$2:$U$20,16,false)</f>
        <v>1</v>
      </c>
      <c r="AJ1457" s="960">
        <f t="array" ref="AJ1457">HLOOKUP($J1457,'Type Chart'!$C$2:$T$20,17,false)*HLOOKUP($K1457,'Type Chart'!$C$2:$U$20,17,false)</f>
        <v>1</v>
      </c>
      <c r="AK1457" s="960">
        <f t="array" ref="AK1457">HLOOKUP($J1457,'Type Chart'!$C$2:$T$20,18,false)*HLOOKUP($K1457,'Type Chart'!$C$2:$U$20,18,false)</f>
        <v>1</v>
      </c>
      <c r="AL1457" s="960">
        <f t="array" ref="AL1457">HLOOKUP($J1457,'Type Chart'!$C$2:$T$20,19,false)*HLOOKUP($K1457,'Type Chart'!$C$2:$U$20,19,false)</f>
        <v>1</v>
      </c>
      <c r="AM1457" s="1145" t="s">
        <v>988</v>
      </c>
      <c r="AN1457" s="1145" t="s">
        <v>1018</v>
      </c>
      <c r="AO1457" s="1146" t="s">
        <v>1359</v>
      </c>
      <c r="AP1457" s="936"/>
      <c r="AQ1457" s="1245"/>
      <c r="AR1457" s="1245"/>
      <c r="AS1457" s="936"/>
    </row>
    <row r="1458" ht="15.75" customHeight="1">
      <c r="A1458" s="1099"/>
      <c r="B1458" s="948" t="s">
        <v>1610</v>
      </c>
      <c r="C1458" s="1197" t="s">
        <v>1611</v>
      </c>
      <c r="D1458" s="1197" t="s">
        <v>1611</v>
      </c>
      <c r="E1458" s="1147" t="s">
        <v>1611</v>
      </c>
      <c r="F1458" s="940"/>
      <c r="G1458" s="953"/>
      <c r="H1458" s="969"/>
      <c r="I1458" s="998" t="s">
        <v>4558</v>
      </c>
      <c r="J1458" s="1056" t="s">
        <v>81</v>
      </c>
      <c r="K1458" s="984" t="s">
        <v>216</v>
      </c>
      <c r="L1458" s="959">
        <v>130.0</v>
      </c>
      <c r="M1458" s="960">
        <v>65.0</v>
      </c>
      <c r="N1458" s="960">
        <v>60.0</v>
      </c>
      <c r="O1458" s="960">
        <v>110.0</v>
      </c>
      <c r="P1458" s="960">
        <v>95.0</v>
      </c>
      <c r="Q1458" s="960">
        <v>65.0</v>
      </c>
      <c r="R1458" s="960">
        <v>166.0</v>
      </c>
      <c r="S1458" s="960">
        <v>229.0</v>
      </c>
      <c r="T1458" s="960">
        <v>251.0</v>
      </c>
      <c r="U1458" s="960">
        <f t="array" ref="U1458">HLOOKUP($J1458,'Type Chart'!$C$2:$T$20,2,false)*HLOOKUP($K1458,'Type Chart'!$C$2:$U$20,2,false)</f>
        <v>1</v>
      </c>
      <c r="V1458" s="960">
        <f t="array" ref="V1458">HLOOKUP($J1458,'Type Chart'!$C$2:$T$20,3,false)*HLOOKUP($K1458,'Type Chart'!$C$2:$U$20,3,false)</f>
        <v>1</v>
      </c>
      <c r="W1458" s="960">
        <f t="array" ref="W1458">HLOOKUP($J1458,'Type Chart'!$C$2:$T$20,4,false)*HLOOKUP($K1458,'Type Chart'!$C$2:$U$20,4,false)</f>
        <v>1</v>
      </c>
      <c r="X1458" s="960">
        <f t="array" ref="X1458">HLOOKUP($J1458,'Type Chart'!$C$2:$T$20,5,false)*HLOOKUP($K1458,'Type Chart'!$C$2:$U$20,5,false)</f>
        <v>1</v>
      </c>
      <c r="Y1458" s="960">
        <f t="array" ref="Y1458">HLOOKUP($J1458,'Type Chart'!$C$2:$T$20,6,false)*HLOOKUP($K1458,'Type Chart'!$C$2:$U$20,6,false)</f>
        <v>1</v>
      </c>
      <c r="Z1458" s="960">
        <f t="array" ref="Z1458">HLOOKUP($J1458,'Type Chart'!$C$2:$T$20,7,false)*HLOOKUP($K1458,'Type Chart'!$C$2:$U$20,7,false)</f>
        <v>1</v>
      </c>
      <c r="AA1458" s="960">
        <f t="array" ref="AA1458">HLOOKUP($J1458,'Type Chart'!$C$2:$T$20,8,false)*HLOOKUP($K1458,'Type Chart'!$C$2:$U$20,8,false)</f>
        <v>1</v>
      </c>
      <c r="AB1458" s="960">
        <f t="array" ref="AB1458">HLOOKUP($J1458,'Type Chart'!$C$2:$T$20,9,false)*HLOOKUP($K1458,'Type Chart'!$C$2:$U$20,9,false)</f>
        <v>1</v>
      </c>
      <c r="AC1458" s="960">
        <f t="array" ref="AC1458">HLOOKUP($J1458,'Type Chart'!$C$2:$T$20,10,false)*HLOOKUP($K1458,'Type Chart'!$C$2:$U$20,10,false)</f>
        <v>0.5</v>
      </c>
      <c r="AD1458" s="960">
        <f t="array" ref="AD1458">HLOOKUP($J1458,'Type Chart'!$C$2:$T$20,11,false)*HLOOKUP($K1458,'Type Chart'!$C$2:$U$20,11,false)</f>
        <v>0.5</v>
      </c>
      <c r="AE1458" s="960">
        <f t="array" ref="AE1458">HLOOKUP($J1458,'Type Chart'!$C$2:$T$20,12,false)*HLOOKUP($K1458,'Type Chart'!$C$2:$U$20,12,false)</f>
        <v>0.5</v>
      </c>
      <c r="AF1458" s="960">
        <f t="array" ref="AF1458">HLOOKUP($J1458,'Type Chart'!$C$2:$T$20,13,false)*HLOOKUP($K1458,'Type Chart'!$C$2:$U$20,13,false)</f>
        <v>2</v>
      </c>
      <c r="AG1458" s="960">
        <f t="array" ref="AG1458">HLOOKUP($J1458,'Type Chart'!$C$2:$T$20,14,false)*HLOOKUP($K1458,'Type Chart'!$C$2:$U$20,14,false)</f>
        <v>2</v>
      </c>
      <c r="AH1458" s="960">
        <f t="array" ref="AH1458">HLOOKUP($J1458,'Type Chart'!$C$2:$T$20,15,false)*HLOOKUP($K1458,'Type Chart'!$C$2:$U$20,15,false)</f>
        <v>1</v>
      </c>
      <c r="AI1458" s="960">
        <f t="array" ref="AI1458">HLOOKUP($J1458,'Type Chart'!$C$2:$T$20,16,false)*HLOOKUP($K1458,'Type Chart'!$C$2:$U$20,16,false)</f>
        <v>0.5</v>
      </c>
      <c r="AJ1458" s="960">
        <f t="array" ref="AJ1458">HLOOKUP($J1458,'Type Chart'!$C$2:$T$20,17,false)*HLOOKUP($K1458,'Type Chart'!$C$2:$U$20,17,false)</f>
        <v>1</v>
      </c>
      <c r="AK1458" s="960">
        <f t="array" ref="AK1458">HLOOKUP($J1458,'Type Chart'!$C$2:$T$20,18,false)*HLOOKUP($K1458,'Type Chart'!$C$2:$U$20,18,false)</f>
        <v>1</v>
      </c>
      <c r="AL1458" s="960">
        <f t="array" ref="AL1458">HLOOKUP($J1458,'Type Chart'!$C$2:$T$20,19,false)*HLOOKUP($K1458,'Type Chart'!$C$2:$U$20,19,false)</f>
        <v>1</v>
      </c>
      <c r="AM1458" s="964" t="s">
        <v>1283</v>
      </c>
      <c r="AN1458" s="965"/>
      <c r="AO1458" s="966" t="s">
        <v>1409</v>
      </c>
      <c r="AP1458" s="936"/>
      <c r="AQ1458" s="1245"/>
      <c r="AR1458" s="1245"/>
      <c r="AS1458" s="936"/>
    </row>
    <row r="1459" ht="15.75" customHeight="1">
      <c r="A1459" s="1099"/>
      <c r="B1459" s="948" t="s">
        <v>1612</v>
      </c>
      <c r="C1459" s="1197" t="s">
        <v>1613</v>
      </c>
      <c r="D1459" s="1197" t="s">
        <v>1613</v>
      </c>
      <c r="E1459" s="1147" t="s">
        <v>1613</v>
      </c>
      <c r="F1459" s="940"/>
      <c r="G1459" s="953"/>
      <c r="H1459" s="969"/>
      <c r="I1459" s="998" t="s">
        <v>4559</v>
      </c>
      <c r="J1459" s="1196" t="s">
        <v>203</v>
      </c>
      <c r="K1459" s="984" t="s">
        <v>216</v>
      </c>
      <c r="L1459" s="959">
        <v>65.0</v>
      </c>
      <c r="M1459" s="960">
        <v>65.0</v>
      </c>
      <c r="N1459" s="960">
        <v>60.0</v>
      </c>
      <c r="O1459" s="960">
        <v>110.0</v>
      </c>
      <c r="P1459" s="960">
        <v>95.0</v>
      </c>
      <c r="Q1459" s="960">
        <v>130.0</v>
      </c>
      <c r="R1459" s="960">
        <v>296.0</v>
      </c>
      <c r="S1459" s="960">
        <v>359.0</v>
      </c>
      <c r="T1459" s="960">
        <v>394.0</v>
      </c>
      <c r="U1459" s="960">
        <f t="array" ref="U1459">HLOOKUP($J1459,'Type Chart'!$C$2:$T$20,2,false)*HLOOKUP($K1459,'Type Chart'!$C$2:$U$20,2,false)</f>
        <v>1</v>
      </c>
      <c r="V1459" s="960">
        <f t="array" ref="V1459">HLOOKUP($J1459,'Type Chart'!$C$2:$T$20,3,false)*HLOOKUP($K1459,'Type Chart'!$C$2:$U$20,3,false)</f>
        <v>1</v>
      </c>
      <c r="W1459" s="960">
        <f t="array" ref="W1459">HLOOKUP($J1459,'Type Chart'!$C$2:$T$20,4,false)*HLOOKUP($K1459,'Type Chart'!$C$2:$U$20,4,false)</f>
        <v>0.5</v>
      </c>
      <c r="X1459" s="960">
        <f t="array" ref="X1459">HLOOKUP($J1459,'Type Chart'!$C$2:$T$20,5,false)*HLOOKUP($K1459,'Type Chart'!$C$2:$U$20,5,false)</f>
        <v>1</v>
      </c>
      <c r="Y1459" s="960">
        <f t="array" ref="Y1459">HLOOKUP($J1459,'Type Chart'!$C$2:$T$20,6,false)*HLOOKUP($K1459,'Type Chart'!$C$2:$U$20,6,false)</f>
        <v>2</v>
      </c>
      <c r="Z1459" s="960">
        <f t="array" ref="Z1459">HLOOKUP($J1459,'Type Chart'!$C$2:$T$20,7,false)*HLOOKUP($K1459,'Type Chart'!$C$2:$U$20,7,false)</f>
        <v>1</v>
      </c>
      <c r="AA1459" s="960">
        <f t="array" ref="AA1459">HLOOKUP($J1459,'Type Chart'!$C$2:$T$20,8,false)*HLOOKUP($K1459,'Type Chart'!$C$2:$U$20,8,false)</f>
        <v>1</v>
      </c>
      <c r="AB1459" s="960">
        <f t="array" ref="AB1459">HLOOKUP($J1459,'Type Chart'!$C$2:$T$20,9,false)*HLOOKUP($K1459,'Type Chart'!$C$2:$U$20,9,false)</f>
        <v>1</v>
      </c>
      <c r="AC1459" s="960">
        <f t="array" ref="AC1459">HLOOKUP($J1459,'Type Chart'!$C$2:$T$20,10,false)*HLOOKUP($K1459,'Type Chart'!$C$2:$U$20,10,false)</f>
        <v>0.5</v>
      </c>
      <c r="AD1459" s="960">
        <f t="array" ref="AD1459">HLOOKUP($J1459,'Type Chart'!$C$2:$T$20,11,false)*HLOOKUP($K1459,'Type Chart'!$C$2:$U$20,11,false)</f>
        <v>1</v>
      </c>
      <c r="AE1459" s="960">
        <f t="array" ref="AE1459">HLOOKUP($J1459,'Type Chart'!$C$2:$T$20,12,false)*HLOOKUP($K1459,'Type Chart'!$C$2:$U$20,12,false)</f>
        <v>1</v>
      </c>
      <c r="AF1459" s="960">
        <f t="array" ref="AF1459">HLOOKUP($J1459,'Type Chart'!$C$2:$T$20,13,false)*HLOOKUP($K1459,'Type Chart'!$C$2:$U$20,13,false)</f>
        <v>1</v>
      </c>
      <c r="AG1459" s="960">
        <f t="array" ref="AG1459">HLOOKUP($J1459,'Type Chart'!$C$2:$T$20,14,false)*HLOOKUP($K1459,'Type Chart'!$C$2:$U$20,14,false)</f>
        <v>0.5</v>
      </c>
      <c r="AH1459" s="960">
        <f t="array" ref="AH1459">HLOOKUP($J1459,'Type Chart'!$C$2:$T$20,15,false)*HLOOKUP($K1459,'Type Chart'!$C$2:$U$20,15,false)</f>
        <v>1</v>
      </c>
      <c r="AI1459" s="960">
        <f t="array" ref="AI1459">HLOOKUP($J1459,'Type Chart'!$C$2:$T$20,16,false)*HLOOKUP($K1459,'Type Chart'!$C$2:$U$20,16,false)</f>
        <v>1</v>
      </c>
      <c r="AJ1459" s="960">
        <f t="array" ref="AJ1459">HLOOKUP($J1459,'Type Chart'!$C$2:$T$20,17,false)*HLOOKUP($K1459,'Type Chart'!$C$2:$U$20,17,false)</f>
        <v>1</v>
      </c>
      <c r="AK1459" s="960">
        <f t="array" ref="AK1459">HLOOKUP($J1459,'Type Chart'!$C$2:$T$20,18,false)*HLOOKUP($K1459,'Type Chart'!$C$2:$U$20,18,false)</f>
        <v>1</v>
      </c>
      <c r="AL1459" s="960">
        <f t="array" ref="AL1459">HLOOKUP($J1459,'Type Chart'!$C$2:$T$20,19,false)*HLOOKUP($K1459,'Type Chart'!$C$2:$U$20,19,false)</f>
        <v>1</v>
      </c>
      <c r="AM1459" s="1145" t="s">
        <v>1614</v>
      </c>
      <c r="AN1459" s="1202"/>
      <c r="AO1459" s="1146" t="s">
        <v>1615</v>
      </c>
      <c r="AP1459" s="936"/>
      <c r="AQ1459" s="1245"/>
      <c r="AR1459" s="1245"/>
      <c r="AS1459" s="936"/>
    </row>
    <row r="1460" ht="15.75" customHeight="1">
      <c r="A1460" s="1099"/>
      <c r="B1460" s="948" t="s">
        <v>1616</v>
      </c>
      <c r="C1460" s="1197" t="s">
        <v>1617</v>
      </c>
      <c r="D1460" s="1197" t="s">
        <v>1617</v>
      </c>
      <c r="E1460" s="1147" t="s">
        <v>1617</v>
      </c>
      <c r="F1460" s="940"/>
      <c r="G1460" s="953"/>
      <c r="H1460" s="969"/>
      <c r="I1460" s="998" t="s">
        <v>4560</v>
      </c>
      <c r="J1460" s="982" t="s">
        <v>150</v>
      </c>
      <c r="K1460" s="984" t="s">
        <v>216</v>
      </c>
      <c r="L1460" s="959">
        <v>65.0</v>
      </c>
      <c r="M1460" s="960">
        <v>130.0</v>
      </c>
      <c r="N1460" s="960">
        <v>60.0</v>
      </c>
      <c r="O1460" s="960">
        <v>95.0</v>
      </c>
      <c r="P1460" s="960">
        <v>110.0</v>
      </c>
      <c r="Q1460" s="960">
        <v>65.0</v>
      </c>
      <c r="R1460" s="960">
        <v>166.0</v>
      </c>
      <c r="S1460" s="960">
        <v>229.0</v>
      </c>
      <c r="T1460" s="960">
        <v>251.0</v>
      </c>
      <c r="U1460" s="960">
        <f t="array" ref="U1460">HLOOKUP($J1460,'Type Chart'!$C$2:$T$20,2,false)*HLOOKUP($K1460,'Type Chart'!$C$2:$U$20,2,false)</f>
        <v>1</v>
      </c>
      <c r="V1460" s="960">
        <f t="array" ref="V1460">HLOOKUP($J1460,'Type Chart'!$C$2:$T$20,3,false)*HLOOKUP($K1460,'Type Chart'!$C$2:$U$20,3,false)</f>
        <v>1</v>
      </c>
      <c r="W1460" s="960">
        <f t="array" ref="W1460">HLOOKUP($J1460,'Type Chart'!$C$2:$T$20,4,false)*HLOOKUP($K1460,'Type Chart'!$C$2:$U$20,4,false)</f>
        <v>1</v>
      </c>
      <c r="X1460" s="960">
        <f t="array" ref="X1460">HLOOKUP($J1460,'Type Chart'!$C$2:$T$20,5,false)*HLOOKUP($K1460,'Type Chart'!$C$2:$U$20,5,false)</f>
        <v>1</v>
      </c>
      <c r="Y1460" s="960">
        <f t="array" ref="Y1460">HLOOKUP($J1460,'Type Chart'!$C$2:$T$20,6,false)*HLOOKUP($K1460,'Type Chart'!$C$2:$U$20,6,false)</f>
        <v>2</v>
      </c>
      <c r="Z1460" s="960">
        <f t="array" ref="Z1460">HLOOKUP($J1460,'Type Chart'!$C$2:$T$20,7,false)*HLOOKUP($K1460,'Type Chart'!$C$2:$U$20,7,false)</f>
        <v>2</v>
      </c>
      <c r="AA1460" s="960">
        <f t="array" ref="AA1460">HLOOKUP($J1460,'Type Chart'!$C$2:$T$20,8,false)*HLOOKUP($K1460,'Type Chart'!$C$2:$U$20,8,false)</f>
        <v>0.5</v>
      </c>
      <c r="AB1460" s="960">
        <f t="array" ref="AB1460">HLOOKUP($J1460,'Type Chart'!$C$2:$T$20,9,false)*HLOOKUP($K1460,'Type Chart'!$C$2:$U$20,9,false)</f>
        <v>1</v>
      </c>
      <c r="AC1460" s="960">
        <f t="array" ref="AC1460">HLOOKUP($J1460,'Type Chart'!$C$2:$T$20,10,false)*HLOOKUP($K1460,'Type Chart'!$C$2:$U$20,10,false)</f>
        <v>0.5</v>
      </c>
      <c r="AD1460" s="960">
        <f t="array" ref="AD1460">HLOOKUP($J1460,'Type Chart'!$C$2:$T$20,11,false)*HLOOKUP($K1460,'Type Chart'!$C$2:$U$20,11,false)</f>
        <v>0.5</v>
      </c>
      <c r="AE1460" s="960">
        <f t="array" ref="AE1460">HLOOKUP($J1460,'Type Chart'!$C$2:$T$20,12,false)*HLOOKUP($K1460,'Type Chart'!$C$2:$U$20,12,false)</f>
        <v>2</v>
      </c>
      <c r="AF1460" s="960">
        <f t="array" ref="AF1460">HLOOKUP($J1460,'Type Chart'!$C$2:$T$20,13,false)*HLOOKUP($K1460,'Type Chart'!$C$2:$U$20,13,false)</f>
        <v>0.5</v>
      </c>
      <c r="AG1460" s="960">
        <f t="array" ref="AG1460">HLOOKUP($J1460,'Type Chart'!$C$2:$T$20,14,false)*HLOOKUP($K1460,'Type Chart'!$C$2:$U$20,14,false)</f>
        <v>1</v>
      </c>
      <c r="AH1460" s="960">
        <f t="array" ref="AH1460">HLOOKUP($J1460,'Type Chart'!$C$2:$T$20,15,false)*HLOOKUP($K1460,'Type Chart'!$C$2:$U$20,15,false)</f>
        <v>1</v>
      </c>
      <c r="AI1460" s="960">
        <f t="array" ref="AI1460">HLOOKUP($J1460,'Type Chart'!$C$2:$T$20,16,false)*HLOOKUP($K1460,'Type Chart'!$C$2:$U$20,16,false)</f>
        <v>0.5</v>
      </c>
      <c r="AJ1460" s="960">
        <f t="array" ref="AJ1460">HLOOKUP($J1460,'Type Chart'!$C$2:$T$20,17,false)*HLOOKUP($K1460,'Type Chart'!$C$2:$U$20,17,false)</f>
        <v>1</v>
      </c>
      <c r="AK1460" s="960">
        <f t="array" ref="AK1460">HLOOKUP($J1460,'Type Chart'!$C$2:$T$20,18,false)*HLOOKUP($K1460,'Type Chart'!$C$2:$U$20,18,false)</f>
        <v>1</v>
      </c>
      <c r="AL1460" s="960">
        <f t="array" ref="AL1460">HLOOKUP($J1460,'Type Chart'!$C$2:$T$20,19,false)*HLOOKUP($K1460,'Type Chart'!$C$2:$U$20,19,false)</f>
        <v>0.5</v>
      </c>
      <c r="AM1460" s="964" t="s">
        <v>1172</v>
      </c>
      <c r="AN1460" s="965"/>
      <c r="AO1460" s="966" t="s">
        <v>1038</v>
      </c>
      <c r="AP1460" s="936"/>
      <c r="AQ1460" s="1245"/>
      <c r="AR1460" s="1245"/>
      <c r="AS1460" s="936"/>
    </row>
    <row r="1461" ht="15.75" customHeight="1">
      <c r="A1461" s="1099"/>
      <c r="B1461" s="948" t="s">
        <v>1618</v>
      </c>
      <c r="C1461" s="1197" t="s">
        <v>1619</v>
      </c>
      <c r="D1461" s="1197" t="s">
        <v>1619</v>
      </c>
      <c r="E1461" s="1147" t="s">
        <v>1619</v>
      </c>
      <c r="F1461" s="940"/>
      <c r="G1461" s="953"/>
      <c r="H1461" s="969"/>
      <c r="I1461" s="998" t="s">
        <v>4561</v>
      </c>
      <c r="J1461" s="1194" t="s">
        <v>136</v>
      </c>
      <c r="K1461" s="984" t="s">
        <v>216</v>
      </c>
      <c r="L1461" s="959">
        <v>65.0</v>
      </c>
      <c r="M1461" s="960">
        <v>60.0</v>
      </c>
      <c r="N1461" s="960">
        <v>70.0</v>
      </c>
      <c r="O1461" s="960">
        <v>85.0</v>
      </c>
      <c r="P1461" s="960">
        <v>75.0</v>
      </c>
      <c r="Q1461" s="960">
        <v>40.0</v>
      </c>
      <c r="R1461" s="960">
        <v>116.0</v>
      </c>
      <c r="S1461" s="960">
        <v>179.0</v>
      </c>
      <c r="T1461" s="960">
        <v>196.0</v>
      </c>
      <c r="U1461" s="960">
        <f t="array" ref="U1461">HLOOKUP($J1461,'Type Chart'!$C$2:$T$20,2,false)*HLOOKUP($K1461,'Type Chart'!$C$2:$U$20,2,false)</f>
        <v>1</v>
      </c>
      <c r="V1461" s="960">
        <f t="array" ref="V1461">HLOOKUP($J1461,'Type Chart'!$C$2:$T$20,3,false)*HLOOKUP($K1461,'Type Chart'!$C$2:$U$20,3,false)</f>
        <v>2</v>
      </c>
      <c r="W1461" s="960">
        <f t="array" ref="W1461">HLOOKUP($J1461,'Type Chart'!$C$2:$T$20,4,false)*HLOOKUP($K1461,'Type Chart'!$C$2:$U$20,4,false)</f>
        <v>1</v>
      </c>
      <c r="X1461" s="960">
        <f t="array" ref="X1461">HLOOKUP($J1461,'Type Chart'!$C$2:$T$20,5,false)*HLOOKUP($K1461,'Type Chart'!$C$2:$U$20,5,false)</f>
        <v>1</v>
      </c>
      <c r="Y1461" s="960">
        <f t="array" ref="Y1461">HLOOKUP($J1461,'Type Chart'!$C$2:$T$20,6,false)*HLOOKUP($K1461,'Type Chart'!$C$2:$U$20,6,false)</f>
        <v>1</v>
      </c>
      <c r="Z1461" s="960">
        <f t="array" ref="Z1461">HLOOKUP($J1461,'Type Chart'!$C$2:$T$20,7,false)*HLOOKUP($K1461,'Type Chart'!$C$2:$U$20,7,false)</f>
        <v>1</v>
      </c>
      <c r="AA1461" s="960">
        <f t="array" ref="AA1461">HLOOKUP($J1461,'Type Chart'!$C$2:$T$20,8,false)*HLOOKUP($K1461,'Type Chart'!$C$2:$U$20,8,false)</f>
        <v>1</v>
      </c>
      <c r="AB1461" s="960">
        <f t="array" ref="AB1461">HLOOKUP($J1461,'Type Chart'!$C$2:$T$20,9,false)*HLOOKUP($K1461,'Type Chart'!$C$2:$U$20,9,false)</f>
        <v>0</v>
      </c>
      <c r="AC1461" s="960">
        <f t="array" ref="AC1461">HLOOKUP($J1461,'Type Chart'!$C$2:$T$20,10,false)*HLOOKUP($K1461,'Type Chart'!$C$2:$U$20,10,false)</f>
        <v>1</v>
      </c>
      <c r="AD1461" s="960">
        <f t="array" ref="AD1461">HLOOKUP($J1461,'Type Chart'!$C$2:$T$20,11,false)*HLOOKUP($K1461,'Type Chart'!$C$2:$U$20,11,false)</f>
        <v>1</v>
      </c>
      <c r="AE1461" s="960">
        <f t="array" ref="AE1461">HLOOKUP($J1461,'Type Chart'!$C$2:$T$20,12,false)*HLOOKUP($K1461,'Type Chart'!$C$2:$U$20,12,false)</f>
        <v>1</v>
      </c>
      <c r="AF1461" s="960">
        <f t="array" ref="AF1461">HLOOKUP($J1461,'Type Chart'!$C$2:$T$20,13,false)*HLOOKUP($K1461,'Type Chart'!$C$2:$U$20,13,false)</f>
        <v>1</v>
      </c>
      <c r="AG1461" s="960">
        <f t="array" ref="AG1461">HLOOKUP($J1461,'Type Chart'!$C$2:$T$20,14,false)*HLOOKUP($K1461,'Type Chart'!$C$2:$U$20,14,false)</f>
        <v>1</v>
      </c>
      <c r="AH1461" s="960">
        <f t="array" ref="AH1461">HLOOKUP($J1461,'Type Chart'!$C$2:$T$20,15,false)*HLOOKUP($K1461,'Type Chart'!$C$2:$U$20,15,false)</f>
        <v>1</v>
      </c>
      <c r="AI1461" s="960">
        <f t="array" ref="AI1461">HLOOKUP($J1461,'Type Chart'!$C$2:$T$20,16,false)*HLOOKUP($K1461,'Type Chart'!$C$2:$U$20,16,false)</f>
        <v>1</v>
      </c>
      <c r="AJ1461" s="960">
        <f t="array" ref="AJ1461">HLOOKUP($J1461,'Type Chart'!$C$2:$T$20,17,false)*HLOOKUP($K1461,'Type Chart'!$C$2:$U$20,17,false)</f>
        <v>1</v>
      </c>
      <c r="AK1461" s="960">
        <f t="array" ref="AK1461">HLOOKUP($J1461,'Type Chart'!$C$2:$T$20,18,false)*HLOOKUP($K1461,'Type Chart'!$C$2:$U$20,18,false)</f>
        <v>1</v>
      </c>
      <c r="AL1461" s="960">
        <f t="array" ref="AL1461">HLOOKUP($J1461,'Type Chart'!$C$2:$T$20,19,false)*HLOOKUP($K1461,'Type Chart'!$C$2:$U$20,19,false)</f>
        <v>1</v>
      </c>
      <c r="AM1461" s="964" t="s">
        <v>1302</v>
      </c>
      <c r="AN1461" s="965" t="s">
        <v>1620</v>
      </c>
      <c r="AO1461" s="966" t="s">
        <v>1389</v>
      </c>
      <c r="AP1461" s="936"/>
      <c r="AQ1461" s="1245"/>
      <c r="AR1461" s="1245"/>
      <c r="AS1461" s="936"/>
    </row>
    <row r="1462" ht="15.75" customHeight="1">
      <c r="A1462" s="1099"/>
      <c r="B1462" s="948" t="s">
        <v>1621</v>
      </c>
      <c r="C1462" s="1197" t="s">
        <v>1622</v>
      </c>
      <c r="D1462" s="1197" t="s">
        <v>1622</v>
      </c>
      <c r="E1462" s="1147" t="s">
        <v>1622</v>
      </c>
      <c r="F1462" s="940"/>
      <c r="G1462" s="953"/>
      <c r="H1462" s="969"/>
      <c r="I1462" s="998" t="s">
        <v>4562</v>
      </c>
      <c r="J1462" s="1214" t="s">
        <v>342</v>
      </c>
      <c r="K1462" s="1056" t="s">
        <v>81</v>
      </c>
      <c r="L1462" s="959">
        <v>35.0</v>
      </c>
      <c r="M1462" s="960">
        <v>40.0</v>
      </c>
      <c r="N1462" s="960">
        <v>100.0</v>
      </c>
      <c r="O1462" s="960">
        <v>90.0</v>
      </c>
      <c r="P1462" s="960">
        <v>55.0</v>
      </c>
      <c r="Q1462" s="960">
        <v>35.0</v>
      </c>
      <c r="R1462" s="960">
        <v>106.0</v>
      </c>
      <c r="S1462" s="960">
        <v>169.0</v>
      </c>
      <c r="T1462" s="960">
        <v>185.0</v>
      </c>
      <c r="U1462" s="960">
        <f t="array" ref="U1462">HLOOKUP($J1462,'Type Chart'!$C$2:$T$20,2,false)*HLOOKUP($K1462,'Type Chart'!$C$2:$U$20,2,false)</f>
        <v>0.5</v>
      </c>
      <c r="V1462" s="960">
        <f t="array" ref="V1462">HLOOKUP($J1462,'Type Chart'!$C$2:$T$20,3,false)*HLOOKUP($K1462,'Type Chart'!$C$2:$U$20,3,false)</f>
        <v>2</v>
      </c>
      <c r="W1462" s="960">
        <f t="array" ref="W1462">HLOOKUP($J1462,'Type Chart'!$C$2:$T$20,4,false)*HLOOKUP($K1462,'Type Chart'!$C$2:$U$20,4,false)</f>
        <v>0.5</v>
      </c>
      <c r="X1462" s="960">
        <f t="array" ref="X1462">HLOOKUP($J1462,'Type Chart'!$C$2:$T$20,5,false)*HLOOKUP($K1462,'Type Chart'!$C$2:$U$20,5,false)</f>
        <v>0.5</v>
      </c>
      <c r="Y1462" s="960">
        <f t="array" ref="Y1462">HLOOKUP($J1462,'Type Chart'!$C$2:$T$20,6,false)*HLOOKUP($K1462,'Type Chart'!$C$2:$U$20,6,false)</f>
        <v>2</v>
      </c>
      <c r="Z1462" s="960">
        <f t="array" ref="Z1462">HLOOKUP($J1462,'Type Chart'!$C$2:$T$20,7,false)*HLOOKUP($K1462,'Type Chart'!$C$2:$U$20,7,false)</f>
        <v>1</v>
      </c>
      <c r="AA1462" s="960">
        <f t="array" ref="AA1462">HLOOKUP($J1462,'Type Chart'!$C$2:$T$20,8,false)*HLOOKUP($K1462,'Type Chart'!$C$2:$U$20,8,false)</f>
        <v>1</v>
      </c>
      <c r="AB1462" s="960">
        <f t="array" ref="AB1462">HLOOKUP($J1462,'Type Chart'!$C$2:$T$20,9,false)*HLOOKUP($K1462,'Type Chart'!$C$2:$U$20,9,false)</f>
        <v>1</v>
      </c>
      <c r="AC1462" s="960">
        <f t="array" ref="AC1462">HLOOKUP($J1462,'Type Chart'!$C$2:$T$20,10,false)*HLOOKUP($K1462,'Type Chart'!$C$2:$U$20,10,false)</f>
        <v>1</v>
      </c>
      <c r="AD1462" s="960">
        <f t="array" ref="AD1462">HLOOKUP($J1462,'Type Chart'!$C$2:$T$20,11,false)*HLOOKUP($K1462,'Type Chart'!$C$2:$U$20,11,false)</f>
        <v>0.25</v>
      </c>
      <c r="AE1462" s="960">
        <f t="array" ref="AE1462">HLOOKUP($J1462,'Type Chart'!$C$2:$T$20,12,false)*HLOOKUP($K1462,'Type Chart'!$C$2:$U$20,12,false)</f>
        <v>1</v>
      </c>
      <c r="AF1462" s="960">
        <f t="array" ref="AF1462">HLOOKUP($J1462,'Type Chart'!$C$2:$T$20,13,false)*HLOOKUP($K1462,'Type Chart'!$C$2:$U$20,13,false)</f>
        <v>4</v>
      </c>
      <c r="AG1462" s="960">
        <f t="array" ref="AG1462">HLOOKUP($J1462,'Type Chart'!$C$2:$T$20,14,false)*HLOOKUP($K1462,'Type Chart'!$C$2:$U$20,14,false)</f>
        <v>2</v>
      </c>
      <c r="AH1462" s="960">
        <f t="array" ref="AH1462">HLOOKUP($J1462,'Type Chart'!$C$2:$T$20,15,false)*HLOOKUP($K1462,'Type Chart'!$C$2:$U$20,15,false)</f>
        <v>1</v>
      </c>
      <c r="AI1462" s="960">
        <f t="array" ref="AI1462">HLOOKUP($J1462,'Type Chart'!$C$2:$T$20,16,false)*HLOOKUP($K1462,'Type Chart'!$C$2:$U$20,16,false)</f>
        <v>0.5</v>
      </c>
      <c r="AJ1462" s="960">
        <f t="array" ref="AJ1462">HLOOKUP($J1462,'Type Chart'!$C$2:$T$20,17,false)*HLOOKUP($K1462,'Type Chart'!$C$2:$U$20,17,false)</f>
        <v>1</v>
      </c>
      <c r="AK1462" s="960">
        <f t="array" ref="AK1462">HLOOKUP($J1462,'Type Chart'!$C$2:$T$20,18,false)*HLOOKUP($K1462,'Type Chart'!$C$2:$U$20,18,false)</f>
        <v>1</v>
      </c>
      <c r="AL1462" s="960">
        <f t="array" ref="AL1462">HLOOKUP($J1462,'Type Chart'!$C$2:$T$20,19,false)*HLOOKUP($K1462,'Type Chart'!$C$2:$U$20,19,false)</f>
        <v>1</v>
      </c>
      <c r="AM1462" s="964" t="s">
        <v>1259</v>
      </c>
      <c r="AN1462" s="965" t="s">
        <v>1385</v>
      </c>
      <c r="AO1462" s="966" t="s">
        <v>1450</v>
      </c>
      <c r="AP1462" s="936"/>
      <c r="AQ1462" s="1245"/>
      <c r="AR1462" s="1245"/>
      <c r="AS1462" s="936"/>
    </row>
    <row r="1463" ht="15.75" customHeight="1">
      <c r="A1463" s="1099"/>
      <c r="B1463" s="948" t="s">
        <v>1624</v>
      </c>
      <c r="C1463" s="1197" t="s">
        <v>1625</v>
      </c>
      <c r="D1463" s="1197" t="s">
        <v>1625</v>
      </c>
      <c r="E1463" s="1147" t="s">
        <v>1625</v>
      </c>
      <c r="F1463" s="940"/>
      <c r="G1463" s="953"/>
      <c r="H1463" s="969"/>
      <c r="I1463" s="998" t="s">
        <v>4563</v>
      </c>
      <c r="J1463" s="1214" t="s">
        <v>342</v>
      </c>
      <c r="K1463" s="1056" t="s">
        <v>81</v>
      </c>
      <c r="L1463" s="959">
        <v>70.0</v>
      </c>
      <c r="M1463" s="960">
        <v>60.0</v>
      </c>
      <c r="N1463" s="960">
        <v>125.0</v>
      </c>
      <c r="O1463" s="960">
        <v>115.0</v>
      </c>
      <c r="P1463" s="960">
        <v>70.0</v>
      </c>
      <c r="Q1463" s="960">
        <v>55.0</v>
      </c>
      <c r="R1463" s="960">
        <v>146.0</v>
      </c>
      <c r="S1463" s="960">
        <v>209.0</v>
      </c>
      <c r="T1463" s="960">
        <v>229.0</v>
      </c>
      <c r="U1463" s="960">
        <f t="array" ref="U1463">HLOOKUP($J1463,'Type Chart'!$C$2:$T$20,2,false)*HLOOKUP($K1463,'Type Chart'!$C$2:$U$20,2,false)</f>
        <v>0.5</v>
      </c>
      <c r="V1463" s="960">
        <f t="array" ref="V1463">HLOOKUP($J1463,'Type Chart'!$C$2:$T$20,3,false)*HLOOKUP($K1463,'Type Chart'!$C$2:$U$20,3,false)</f>
        <v>2</v>
      </c>
      <c r="W1463" s="960">
        <f t="array" ref="W1463">HLOOKUP($J1463,'Type Chart'!$C$2:$T$20,4,false)*HLOOKUP($K1463,'Type Chart'!$C$2:$U$20,4,false)</f>
        <v>0.5</v>
      </c>
      <c r="X1463" s="960">
        <f t="array" ref="X1463">HLOOKUP($J1463,'Type Chart'!$C$2:$T$20,5,false)*HLOOKUP($K1463,'Type Chart'!$C$2:$U$20,5,false)</f>
        <v>0.5</v>
      </c>
      <c r="Y1463" s="960">
        <f t="array" ref="Y1463">HLOOKUP($J1463,'Type Chart'!$C$2:$T$20,6,false)*HLOOKUP($K1463,'Type Chart'!$C$2:$U$20,6,false)</f>
        <v>2</v>
      </c>
      <c r="Z1463" s="960">
        <f t="array" ref="Z1463">HLOOKUP($J1463,'Type Chart'!$C$2:$T$20,7,false)*HLOOKUP($K1463,'Type Chart'!$C$2:$U$20,7,false)</f>
        <v>1</v>
      </c>
      <c r="AA1463" s="960">
        <f t="array" ref="AA1463">HLOOKUP($J1463,'Type Chart'!$C$2:$T$20,8,false)*HLOOKUP($K1463,'Type Chart'!$C$2:$U$20,8,false)</f>
        <v>1</v>
      </c>
      <c r="AB1463" s="960">
        <f t="array" ref="AB1463">HLOOKUP($J1463,'Type Chart'!$C$2:$T$20,9,false)*HLOOKUP($K1463,'Type Chart'!$C$2:$U$20,9,false)</f>
        <v>1</v>
      </c>
      <c r="AC1463" s="960">
        <f t="array" ref="AC1463">HLOOKUP($J1463,'Type Chart'!$C$2:$T$20,10,false)*HLOOKUP($K1463,'Type Chart'!$C$2:$U$20,10,false)</f>
        <v>1</v>
      </c>
      <c r="AD1463" s="960">
        <f t="array" ref="AD1463">HLOOKUP($J1463,'Type Chart'!$C$2:$T$20,11,false)*HLOOKUP($K1463,'Type Chart'!$C$2:$U$20,11,false)</f>
        <v>0.25</v>
      </c>
      <c r="AE1463" s="960">
        <f t="array" ref="AE1463">HLOOKUP($J1463,'Type Chart'!$C$2:$T$20,12,false)*HLOOKUP($K1463,'Type Chart'!$C$2:$U$20,12,false)</f>
        <v>1</v>
      </c>
      <c r="AF1463" s="960">
        <f t="array" ref="AF1463">HLOOKUP($J1463,'Type Chart'!$C$2:$T$20,13,false)*HLOOKUP($K1463,'Type Chart'!$C$2:$U$20,13,false)</f>
        <v>4</v>
      </c>
      <c r="AG1463" s="960">
        <f t="array" ref="AG1463">HLOOKUP($J1463,'Type Chart'!$C$2:$T$20,14,false)*HLOOKUP($K1463,'Type Chart'!$C$2:$U$20,14,false)</f>
        <v>2</v>
      </c>
      <c r="AH1463" s="960">
        <f t="array" ref="AH1463">HLOOKUP($J1463,'Type Chart'!$C$2:$T$20,15,false)*HLOOKUP($K1463,'Type Chart'!$C$2:$U$20,15,false)</f>
        <v>1</v>
      </c>
      <c r="AI1463" s="960">
        <f t="array" ref="AI1463">HLOOKUP($J1463,'Type Chart'!$C$2:$T$20,16,false)*HLOOKUP($K1463,'Type Chart'!$C$2:$U$20,16,false)</f>
        <v>0.5</v>
      </c>
      <c r="AJ1463" s="960">
        <f t="array" ref="AJ1463">HLOOKUP($J1463,'Type Chart'!$C$2:$T$20,17,false)*HLOOKUP($K1463,'Type Chart'!$C$2:$U$20,17,false)</f>
        <v>1</v>
      </c>
      <c r="AK1463" s="960">
        <f t="array" ref="AK1463">HLOOKUP($J1463,'Type Chart'!$C$2:$T$20,18,false)*HLOOKUP($K1463,'Type Chart'!$C$2:$U$20,18,false)</f>
        <v>1</v>
      </c>
      <c r="AL1463" s="960">
        <f t="array" ref="AL1463">HLOOKUP($J1463,'Type Chart'!$C$2:$T$20,19,false)*HLOOKUP($K1463,'Type Chart'!$C$2:$U$20,19,false)</f>
        <v>1</v>
      </c>
      <c r="AM1463" s="964" t="s">
        <v>1259</v>
      </c>
      <c r="AN1463" s="965" t="s">
        <v>1385</v>
      </c>
      <c r="AO1463" s="966" t="s">
        <v>1450</v>
      </c>
      <c r="AP1463" s="936"/>
      <c r="AQ1463" s="1245"/>
      <c r="AR1463" s="1245"/>
      <c r="AS1463" s="936"/>
    </row>
    <row r="1464" ht="15.75" customHeight="1">
      <c r="A1464" s="1099"/>
      <c r="B1464" s="948" t="s">
        <v>1627</v>
      </c>
      <c r="C1464" s="1197" t="s">
        <v>1628</v>
      </c>
      <c r="D1464" s="1197" t="s">
        <v>1628</v>
      </c>
      <c r="E1464" s="1147" t="s">
        <v>1628</v>
      </c>
      <c r="F1464" s="940"/>
      <c r="G1464" s="953"/>
      <c r="H1464" s="969"/>
      <c r="I1464" s="998" t="s">
        <v>4564</v>
      </c>
      <c r="J1464" s="1214" t="s">
        <v>342</v>
      </c>
      <c r="K1464" s="1056" t="s">
        <v>81</v>
      </c>
      <c r="L1464" s="959">
        <v>30.0</v>
      </c>
      <c r="M1464" s="960">
        <v>80.0</v>
      </c>
      <c r="N1464" s="960">
        <v>90.0</v>
      </c>
      <c r="O1464" s="960">
        <v>55.0</v>
      </c>
      <c r="P1464" s="960">
        <v>45.0</v>
      </c>
      <c r="Q1464" s="960">
        <v>55.0</v>
      </c>
      <c r="R1464" s="960">
        <v>146.0</v>
      </c>
      <c r="S1464" s="960">
        <v>209.0</v>
      </c>
      <c r="T1464" s="960">
        <v>229.0</v>
      </c>
      <c r="U1464" s="960">
        <f t="array" ref="U1464">HLOOKUP($J1464,'Type Chart'!$C$2:$T$20,2,false)*HLOOKUP($K1464,'Type Chart'!$C$2:$U$20,2,false)</f>
        <v>0.5</v>
      </c>
      <c r="V1464" s="960">
        <f t="array" ref="V1464">HLOOKUP($J1464,'Type Chart'!$C$2:$T$20,3,false)*HLOOKUP($K1464,'Type Chart'!$C$2:$U$20,3,false)</f>
        <v>2</v>
      </c>
      <c r="W1464" s="960">
        <f t="array" ref="W1464">HLOOKUP($J1464,'Type Chart'!$C$2:$T$20,4,false)*HLOOKUP($K1464,'Type Chart'!$C$2:$U$20,4,false)</f>
        <v>0.5</v>
      </c>
      <c r="X1464" s="960">
        <f t="array" ref="X1464">HLOOKUP($J1464,'Type Chart'!$C$2:$T$20,5,false)*HLOOKUP($K1464,'Type Chart'!$C$2:$U$20,5,false)</f>
        <v>0.5</v>
      </c>
      <c r="Y1464" s="960">
        <f t="array" ref="Y1464">HLOOKUP($J1464,'Type Chart'!$C$2:$T$20,6,false)*HLOOKUP($K1464,'Type Chart'!$C$2:$U$20,6,false)</f>
        <v>2</v>
      </c>
      <c r="Z1464" s="960">
        <f t="array" ref="Z1464">HLOOKUP($J1464,'Type Chart'!$C$2:$T$20,7,false)*HLOOKUP($K1464,'Type Chart'!$C$2:$U$20,7,false)</f>
        <v>1</v>
      </c>
      <c r="AA1464" s="960">
        <f t="array" ref="AA1464">HLOOKUP($J1464,'Type Chart'!$C$2:$T$20,8,false)*HLOOKUP($K1464,'Type Chart'!$C$2:$U$20,8,false)</f>
        <v>1</v>
      </c>
      <c r="AB1464" s="960">
        <f t="array" ref="AB1464">HLOOKUP($J1464,'Type Chart'!$C$2:$T$20,9,false)*HLOOKUP($K1464,'Type Chart'!$C$2:$U$20,9,false)</f>
        <v>1</v>
      </c>
      <c r="AC1464" s="960">
        <f t="array" ref="AC1464">HLOOKUP($J1464,'Type Chart'!$C$2:$T$20,10,false)*HLOOKUP($K1464,'Type Chart'!$C$2:$U$20,10,false)</f>
        <v>1</v>
      </c>
      <c r="AD1464" s="960">
        <f t="array" ref="AD1464">HLOOKUP($J1464,'Type Chart'!$C$2:$T$20,11,false)*HLOOKUP($K1464,'Type Chart'!$C$2:$U$20,11,false)</f>
        <v>0.25</v>
      </c>
      <c r="AE1464" s="960">
        <f t="array" ref="AE1464">HLOOKUP($J1464,'Type Chart'!$C$2:$T$20,12,false)*HLOOKUP($K1464,'Type Chart'!$C$2:$U$20,12,false)</f>
        <v>1</v>
      </c>
      <c r="AF1464" s="960">
        <f t="array" ref="AF1464">HLOOKUP($J1464,'Type Chart'!$C$2:$T$20,13,false)*HLOOKUP($K1464,'Type Chart'!$C$2:$U$20,13,false)</f>
        <v>4</v>
      </c>
      <c r="AG1464" s="960">
        <f t="array" ref="AG1464">HLOOKUP($J1464,'Type Chart'!$C$2:$T$20,14,false)*HLOOKUP($K1464,'Type Chart'!$C$2:$U$20,14,false)</f>
        <v>2</v>
      </c>
      <c r="AH1464" s="960">
        <f t="array" ref="AH1464">HLOOKUP($J1464,'Type Chart'!$C$2:$T$20,15,false)*HLOOKUP($K1464,'Type Chart'!$C$2:$U$20,15,false)</f>
        <v>1</v>
      </c>
      <c r="AI1464" s="960">
        <f t="array" ref="AI1464">HLOOKUP($J1464,'Type Chart'!$C$2:$T$20,16,false)*HLOOKUP($K1464,'Type Chart'!$C$2:$U$20,16,false)</f>
        <v>0.5</v>
      </c>
      <c r="AJ1464" s="960">
        <f t="array" ref="AJ1464">HLOOKUP($J1464,'Type Chart'!$C$2:$T$20,17,false)*HLOOKUP($K1464,'Type Chart'!$C$2:$U$20,17,false)</f>
        <v>1</v>
      </c>
      <c r="AK1464" s="960">
        <f t="array" ref="AK1464">HLOOKUP($J1464,'Type Chart'!$C$2:$T$20,18,false)*HLOOKUP($K1464,'Type Chart'!$C$2:$U$20,18,false)</f>
        <v>1</v>
      </c>
      <c r="AL1464" s="960">
        <f t="array" ref="AL1464">HLOOKUP($J1464,'Type Chart'!$C$2:$T$20,19,false)*HLOOKUP($K1464,'Type Chart'!$C$2:$U$20,19,false)</f>
        <v>1</v>
      </c>
      <c r="AM1464" s="964" t="s">
        <v>1259</v>
      </c>
      <c r="AN1464" s="965" t="s">
        <v>1487</v>
      </c>
      <c r="AO1464" s="966" t="s">
        <v>1450</v>
      </c>
      <c r="AP1464" s="936"/>
      <c r="AQ1464" s="1245"/>
      <c r="AR1464" s="1245"/>
      <c r="AS1464" s="936"/>
    </row>
    <row r="1465" ht="15.75" customHeight="1">
      <c r="A1465" s="1099"/>
      <c r="B1465" s="948" t="s">
        <v>1630</v>
      </c>
      <c r="C1465" s="1197" t="s">
        <v>1631</v>
      </c>
      <c r="D1465" s="1197" t="s">
        <v>1631</v>
      </c>
      <c r="E1465" s="1147" t="s">
        <v>1631</v>
      </c>
      <c r="F1465" s="940"/>
      <c r="G1465" s="953"/>
      <c r="H1465" s="969"/>
      <c r="I1465" s="998" t="s">
        <v>4565</v>
      </c>
      <c r="J1465" s="1214" t="s">
        <v>342</v>
      </c>
      <c r="K1465" s="1056" t="s">
        <v>81</v>
      </c>
      <c r="L1465" s="959">
        <v>60.0</v>
      </c>
      <c r="M1465" s="960">
        <v>115.0</v>
      </c>
      <c r="N1465" s="960">
        <v>105.0</v>
      </c>
      <c r="O1465" s="960">
        <v>65.0</v>
      </c>
      <c r="P1465" s="960">
        <v>70.0</v>
      </c>
      <c r="Q1465" s="960">
        <v>80.0</v>
      </c>
      <c r="R1465" s="960">
        <v>196.0</v>
      </c>
      <c r="S1465" s="960">
        <v>259.0</v>
      </c>
      <c r="T1465" s="960">
        <v>284.0</v>
      </c>
      <c r="U1465" s="960">
        <f t="array" ref="U1465">HLOOKUP($J1465,'Type Chart'!$C$2:$T$20,2,false)*HLOOKUP($K1465,'Type Chart'!$C$2:$U$20,2,false)</f>
        <v>0.5</v>
      </c>
      <c r="V1465" s="960">
        <f t="array" ref="V1465">HLOOKUP($J1465,'Type Chart'!$C$2:$T$20,3,false)*HLOOKUP($K1465,'Type Chart'!$C$2:$U$20,3,false)</f>
        <v>2</v>
      </c>
      <c r="W1465" s="960">
        <f t="array" ref="W1465">HLOOKUP($J1465,'Type Chart'!$C$2:$T$20,4,false)*HLOOKUP($K1465,'Type Chart'!$C$2:$U$20,4,false)</f>
        <v>0.5</v>
      </c>
      <c r="X1465" s="960">
        <f t="array" ref="X1465">HLOOKUP($J1465,'Type Chart'!$C$2:$T$20,5,false)*HLOOKUP($K1465,'Type Chart'!$C$2:$U$20,5,false)</f>
        <v>0.5</v>
      </c>
      <c r="Y1465" s="960">
        <f t="array" ref="Y1465">HLOOKUP($J1465,'Type Chart'!$C$2:$T$20,6,false)*HLOOKUP($K1465,'Type Chart'!$C$2:$U$20,6,false)</f>
        <v>2</v>
      </c>
      <c r="Z1465" s="960">
        <f t="array" ref="Z1465">HLOOKUP($J1465,'Type Chart'!$C$2:$T$20,7,false)*HLOOKUP($K1465,'Type Chart'!$C$2:$U$20,7,false)</f>
        <v>1</v>
      </c>
      <c r="AA1465" s="960">
        <f t="array" ref="AA1465">HLOOKUP($J1465,'Type Chart'!$C$2:$T$20,8,false)*HLOOKUP($K1465,'Type Chart'!$C$2:$U$20,8,false)</f>
        <v>1</v>
      </c>
      <c r="AB1465" s="960">
        <f t="array" ref="AB1465">HLOOKUP($J1465,'Type Chart'!$C$2:$T$20,9,false)*HLOOKUP($K1465,'Type Chart'!$C$2:$U$20,9,false)</f>
        <v>1</v>
      </c>
      <c r="AC1465" s="960">
        <f t="array" ref="AC1465">HLOOKUP($J1465,'Type Chart'!$C$2:$T$20,10,false)*HLOOKUP($K1465,'Type Chart'!$C$2:$U$20,10,false)</f>
        <v>1</v>
      </c>
      <c r="AD1465" s="960">
        <f t="array" ref="AD1465">HLOOKUP($J1465,'Type Chart'!$C$2:$T$20,11,false)*HLOOKUP($K1465,'Type Chart'!$C$2:$U$20,11,false)</f>
        <v>0.25</v>
      </c>
      <c r="AE1465" s="960">
        <f t="array" ref="AE1465">HLOOKUP($J1465,'Type Chart'!$C$2:$T$20,12,false)*HLOOKUP($K1465,'Type Chart'!$C$2:$U$20,12,false)</f>
        <v>1</v>
      </c>
      <c r="AF1465" s="960">
        <f t="array" ref="AF1465">HLOOKUP($J1465,'Type Chart'!$C$2:$T$20,13,false)*HLOOKUP($K1465,'Type Chart'!$C$2:$U$20,13,false)</f>
        <v>4</v>
      </c>
      <c r="AG1465" s="960">
        <f t="array" ref="AG1465">HLOOKUP($J1465,'Type Chart'!$C$2:$T$20,14,false)*HLOOKUP($K1465,'Type Chart'!$C$2:$U$20,14,false)</f>
        <v>2</v>
      </c>
      <c r="AH1465" s="960">
        <f t="array" ref="AH1465">HLOOKUP($J1465,'Type Chart'!$C$2:$T$20,15,false)*HLOOKUP($K1465,'Type Chart'!$C$2:$U$20,15,false)</f>
        <v>1</v>
      </c>
      <c r="AI1465" s="960">
        <f t="array" ref="AI1465">HLOOKUP($J1465,'Type Chart'!$C$2:$T$20,16,false)*HLOOKUP($K1465,'Type Chart'!$C$2:$U$20,16,false)</f>
        <v>0.5</v>
      </c>
      <c r="AJ1465" s="960">
        <f t="array" ref="AJ1465">HLOOKUP($J1465,'Type Chart'!$C$2:$T$20,17,false)*HLOOKUP($K1465,'Type Chart'!$C$2:$U$20,17,false)</f>
        <v>1</v>
      </c>
      <c r="AK1465" s="960">
        <f t="array" ref="AK1465">HLOOKUP($J1465,'Type Chart'!$C$2:$T$20,18,false)*HLOOKUP($K1465,'Type Chart'!$C$2:$U$20,18,false)</f>
        <v>1</v>
      </c>
      <c r="AL1465" s="960">
        <f t="array" ref="AL1465">HLOOKUP($J1465,'Type Chart'!$C$2:$T$20,19,false)*HLOOKUP($K1465,'Type Chart'!$C$2:$U$20,19,false)</f>
        <v>1</v>
      </c>
      <c r="AM1465" s="964" t="s">
        <v>1259</v>
      </c>
      <c r="AN1465" s="965" t="s">
        <v>1487</v>
      </c>
      <c r="AO1465" s="966" t="s">
        <v>1450</v>
      </c>
      <c r="AP1465" s="936"/>
      <c r="AQ1465" s="1245"/>
      <c r="AR1465" s="1245"/>
      <c r="AS1465" s="936"/>
    </row>
    <row r="1466" ht="15.75" customHeight="1">
      <c r="A1466" s="1099"/>
      <c r="B1466" s="948" t="s">
        <v>1633</v>
      </c>
      <c r="C1466" s="1197" t="s">
        <v>1634</v>
      </c>
      <c r="D1466" s="1197" t="s">
        <v>1634</v>
      </c>
      <c r="E1466" s="1147" t="s">
        <v>1634</v>
      </c>
      <c r="F1466" s="940"/>
      <c r="G1466" s="953"/>
      <c r="H1466" s="969"/>
      <c r="I1466" s="998" t="s">
        <v>4566</v>
      </c>
      <c r="J1466" s="1214" t="s">
        <v>342</v>
      </c>
      <c r="K1466" s="1001" t="s">
        <v>128</v>
      </c>
      <c r="L1466" s="959">
        <v>80.0</v>
      </c>
      <c r="M1466" s="960">
        <v>105.0</v>
      </c>
      <c r="N1466" s="960">
        <v>65.0</v>
      </c>
      <c r="O1466" s="960">
        <v>60.0</v>
      </c>
      <c r="P1466" s="960">
        <v>75.0</v>
      </c>
      <c r="Q1466" s="960">
        <v>130.0</v>
      </c>
      <c r="R1466" s="960">
        <v>296.0</v>
      </c>
      <c r="S1466" s="960">
        <v>359.0</v>
      </c>
      <c r="T1466" s="960">
        <v>394.0</v>
      </c>
      <c r="U1466" s="960">
        <f t="array" ref="U1466">HLOOKUP($J1466,'Type Chart'!$C$2:$T$20,2,false)*HLOOKUP($K1466,'Type Chart'!$C$2:$U$20,2,false)</f>
        <v>0.5</v>
      </c>
      <c r="V1466" s="960">
        <f t="array" ref="V1466">HLOOKUP($J1466,'Type Chart'!$C$2:$T$20,3,false)*HLOOKUP($K1466,'Type Chart'!$C$2:$U$20,3,false)</f>
        <v>1</v>
      </c>
      <c r="W1466" s="960">
        <f t="array" ref="W1466">HLOOKUP($J1466,'Type Chart'!$C$2:$T$20,4,false)*HLOOKUP($K1466,'Type Chart'!$C$2:$U$20,4,false)</f>
        <v>0.5</v>
      </c>
      <c r="X1466" s="960">
        <f t="array" ref="X1466">HLOOKUP($J1466,'Type Chart'!$C$2:$T$20,5,false)*HLOOKUP($K1466,'Type Chart'!$C$2:$U$20,5,false)</f>
        <v>0.5</v>
      </c>
      <c r="Y1466" s="960">
        <f t="array" ref="Y1466">HLOOKUP($J1466,'Type Chart'!$C$2:$T$20,6,false)*HLOOKUP($K1466,'Type Chart'!$C$2:$U$20,6,false)</f>
        <v>0</v>
      </c>
      <c r="Z1466" s="960">
        <f t="array" ref="Z1466">HLOOKUP($J1466,'Type Chart'!$C$2:$T$20,7,false)*HLOOKUP($K1466,'Type Chart'!$C$2:$U$20,7,false)</f>
        <v>2</v>
      </c>
      <c r="AA1466" s="960">
        <f t="array" ref="AA1466">HLOOKUP($J1466,'Type Chart'!$C$2:$T$20,8,false)*HLOOKUP($K1466,'Type Chart'!$C$2:$U$20,8,false)</f>
        <v>0.5</v>
      </c>
      <c r="AB1466" s="960">
        <f t="array" ref="AB1466">HLOOKUP($J1466,'Type Chart'!$C$2:$T$20,9,false)*HLOOKUP($K1466,'Type Chart'!$C$2:$U$20,9,false)</f>
        <v>1</v>
      </c>
      <c r="AC1466" s="960">
        <f t="array" ref="AC1466">HLOOKUP($J1466,'Type Chart'!$C$2:$T$20,10,false)*HLOOKUP($K1466,'Type Chart'!$C$2:$U$20,10,false)</f>
        <v>2</v>
      </c>
      <c r="AD1466" s="960">
        <f t="array" ref="AD1466">HLOOKUP($J1466,'Type Chart'!$C$2:$T$20,11,false)*HLOOKUP($K1466,'Type Chart'!$C$2:$U$20,11,false)</f>
        <v>0.5</v>
      </c>
      <c r="AE1466" s="960">
        <f t="array" ref="AE1466">HLOOKUP($J1466,'Type Chart'!$C$2:$T$20,12,false)*HLOOKUP($K1466,'Type Chart'!$C$2:$U$20,12,false)</f>
        <v>2</v>
      </c>
      <c r="AF1466" s="960">
        <f t="array" ref="AF1466">HLOOKUP($J1466,'Type Chart'!$C$2:$T$20,13,false)*HLOOKUP($K1466,'Type Chart'!$C$2:$U$20,13,false)</f>
        <v>1</v>
      </c>
      <c r="AG1466" s="960">
        <f t="array" ref="AG1466">HLOOKUP($J1466,'Type Chart'!$C$2:$T$20,14,false)*HLOOKUP($K1466,'Type Chart'!$C$2:$U$20,14,false)</f>
        <v>2</v>
      </c>
      <c r="AH1466" s="960">
        <f t="array" ref="AH1466">HLOOKUP($J1466,'Type Chart'!$C$2:$T$20,15,false)*HLOOKUP($K1466,'Type Chart'!$C$2:$U$20,15,false)</f>
        <v>1</v>
      </c>
      <c r="AI1466" s="960">
        <f t="array" ref="AI1466">HLOOKUP($J1466,'Type Chart'!$C$2:$T$20,16,false)*HLOOKUP($K1466,'Type Chart'!$C$2:$U$20,16,false)</f>
        <v>2</v>
      </c>
      <c r="AJ1466" s="960">
        <f t="array" ref="AJ1466">HLOOKUP($J1466,'Type Chart'!$C$2:$T$20,17,false)*HLOOKUP($K1466,'Type Chart'!$C$2:$U$20,17,false)</f>
        <v>1</v>
      </c>
      <c r="AK1466" s="960">
        <f t="array" ref="AK1466">HLOOKUP($J1466,'Type Chart'!$C$2:$T$20,18,false)*HLOOKUP($K1466,'Type Chart'!$C$2:$U$20,18,false)</f>
        <v>1</v>
      </c>
      <c r="AL1466" s="960">
        <f t="array" ref="AL1466">HLOOKUP($J1466,'Type Chart'!$C$2:$T$20,19,false)*HLOOKUP($K1466,'Type Chart'!$C$2:$U$20,19,false)</f>
        <v>1</v>
      </c>
      <c r="AM1466" s="1145" t="s">
        <v>1276</v>
      </c>
      <c r="AN1466" s="965" t="s">
        <v>1636</v>
      </c>
      <c r="AO1466" s="1146" t="s">
        <v>1062</v>
      </c>
      <c r="AP1466" s="936"/>
      <c r="AQ1466" s="1245"/>
      <c r="AR1466" s="1245"/>
      <c r="AS1466" s="936"/>
    </row>
    <row r="1467" ht="15.75" customHeight="1">
      <c r="A1467" s="1099"/>
      <c r="B1467" s="948" t="s">
        <v>1637</v>
      </c>
      <c r="C1467" s="1197" t="s">
        <v>1638</v>
      </c>
      <c r="D1467" s="1197" t="s">
        <v>1638</v>
      </c>
      <c r="E1467" s="1147" t="s">
        <v>1638</v>
      </c>
      <c r="F1467" s="940"/>
      <c r="G1467" s="953"/>
      <c r="H1467" s="969"/>
      <c r="I1467" s="998" t="s">
        <v>4567</v>
      </c>
      <c r="J1467" s="1214" t="s">
        <v>342</v>
      </c>
      <c r="K1467" s="1001" t="s">
        <v>128</v>
      </c>
      <c r="L1467" s="959">
        <v>80.0</v>
      </c>
      <c r="M1467" s="960">
        <v>135.0</v>
      </c>
      <c r="N1467" s="960">
        <v>85.0</v>
      </c>
      <c r="O1467" s="960">
        <v>70.0</v>
      </c>
      <c r="P1467" s="960">
        <v>95.0</v>
      </c>
      <c r="Q1467" s="960">
        <v>150.0</v>
      </c>
      <c r="R1467" s="960">
        <v>336.0</v>
      </c>
      <c r="S1467" s="960">
        <v>399.0</v>
      </c>
      <c r="T1467" s="960">
        <v>438.0</v>
      </c>
      <c r="U1467" s="960">
        <f t="array" ref="U1467">HLOOKUP($J1467,'Type Chart'!$C$2:$T$20,2,false)*HLOOKUP($K1467,'Type Chart'!$C$2:$U$20,2,false)</f>
        <v>0.5</v>
      </c>
      <c r="V1467" s="960">
        <f t="array" ref="V1467">HLOOKUP($J1467,'Type Chart'!$C$2:$T$20,3,false)*HLOOKUP($K1467,'Type Chart'!$C$2:$U$20,3,false)</f>
        <v>1</v>
      </c>
      <c r="W1467" s="960">
        <f t="array" ref="W1467">HLOOKUP($J1467,'Type Chart'!$C$2:$T$20,4,false)*HLOOKUP($K1467,'Type Chart'!$C$2:$U$20,4,false)</f>
        <v>0.5</v>
      </c>
      <c r="X1467" s="960">
        <f t="array" ref="X1467">HLOOKUP($J1467,'Type Chart'!$C$2:$T$20,5,false)*HLOOKUP($K1467,'Type Chart'!$C$2:$U$20,5,false)</f>
        <v>0.5</v>
      </c>
      <c r="Y1467" s="960">
        <f t="array" ref="Y1467">HLOOKUP($J1467,'Type Chart'!$C$2:$T$20,6,false)*HLOOKUP($K1467,'Type Chart'!$C$2:$U$20,6,false)</f>
        <v>0</v>
      </c>
      <c r="Z1467" s="960">
        <f t="array" ref="Z1467">HLOOKUP($J1467,'Type Chart'!$C$2:$T$20,7,false)*HLOOKUP($K1467,'Type Chart'!$C$2:$U$20,7,false)</f>
        <v>2</v>
      </c>
      <c r="AA1467" s="960">
        <f t="array" ref="AA1467">HLOOKUP($J1467,'Type Chart'!$C$2:$T$20,8,false)*HLOOKUP($K1467,'Type Chart'!$C$2:$U$20,8,false)</f>
        <v>0.5</v>
      </c>
      <c r="AB1467" s="960">
        <f t="array" ref="AB1467">HLOOKUP($J1467,'Type Chart'!$C$2:$T$20,9,false)*HLOOKUP($K1467,'Type Chart'!$C$2:$U$20,9,false)</f>
        <v>1</v>
      </c>
      <c r="AC1467" s="960">
        <f t="array" ref="AC1467">HLOOKUP($J1467,'Type Chart'!$C$2:$T$20,10,false)*HLOOKUP($K1467,'Type Chart'!$C$2:$U$20,10,false)</f>
        <v>2</v>
      </c>
      <c r="AD1467" s="960">
        <f t="array" ref="AD1467">HLOOKUP($J1467,'Type Chart'!$C$2:$T$20,11,false)*HLOOKUP($K1467,'Type Chart'!$C$2:$U$20,11,false)</f>
        <v>0.5</v>
      </c>
      <c r="AE1467" s="960">
        <f t="array" ref="AE1467">HLOOKUP($J1467,'Type Chart'!$C$2:$T$20,12,false)*HLOOKUP($K1467,'Type Chart'!$C$2:$U$20,12,false)</f>
        <v>2</v>
      </c>
      <c r="AF1467" s="960">
        <f t="array" ref="AF1467">HLOOKUP($J1467,'Type Chart'!$C$2:$T$20,13,false)*HLOOKUP($K1467,'Type Chart'!$C$2:$U$20,13,false)</f>
        <v>1</v>
      </c>
      <c r="AG1467" s="960">
        <f t="array" ref="AG1467">HLOOKUP($J1467,'Type Chart'!$C$2:$T$20,14,false)*HLOOKUP($K1467,'Type Chart'!$C$2:$U$20,14,false)</f>
        <v>2</v>
      </c>
      <c r="AH1467" s="960">
        <f t="array" ref="AH1467">HLOOKUP($J1467,'Type Chart'!$C$2:$T$20,15,false)*HLOOKUP($K1467,'Type Chart'!$C$2:$U$20,15,false)</f>
        <v>1</v>
      </c>
      <c r="AI1467" s="960">
        <f t="array" ref="AI1467">HLOOKUP($J1467,'Type Chart'!$C$2:$T$20,16,false)*HLOOKUP($K1467,'Type Chart'!$C$2:$U$20,16,false)</f>
        <v>2</v>
      </c>
      <c r="AJ1467" s="960">
        <f t="array" ref="AJ1467">HLOOKUP($J1467,'Type Chart'!$C$2:$T$20,17,false)*HLOOKUP($K1467,'Type Chart'!$C$2:$U$20,17,false)</f>
        <v>1</v>
      </c>
      <c r="AK1467" s="960">
        <f t="array" ref="AK1467">HLOOKUP($J1467,'Type Chart'!$C$2:$T$20,18,false)*HLOOKUP($K1467,'Type Chart'!$C$2:$U$20,18,false)</f>
        <v>1</v>
      </c>
      <c r="AL1467" s="960">
        <f t="array" ref="AL1467">HLOOKUP($J1467,'Type Chart'!$C$2:$T$20,19,false)*HLOOKUP($K1467,'Type Chart'!$C$2:$U$20,19,false)</f>
        <v>1</v>
      </c>
      <c r="AM1467" s="964" t="s">
        <v>932</v>
      </c>
      <c r="AN1467" s="965"/>
      <c r="AO1467" s="966"/>
      <c r="AP1467" s="936"/>
      <c r="AQ1467" s="1245"/>
      <c r="AR1467" s="1245"/>
      <c r="AS1467" s="936"/>
    </row>
    <row r="1468" ht="15.75" customHeight="1">
      <c r="A1468" s="1099"/>
      <c r="B1468" s="948" t="s">
        <v>1640</v>
      </c>
      <c r="C1468" s="1197" t="s">
        <v>1641</v>
      </c>
      <c r="D1468" s="1197" t="s">
        <v>1641</v>
      </c>
      <c r="E1468" s="1147" t="s">
        <v>1641</v>
      </c>
      <c r="F1468" s="940"/>
      <c r="G1468" s="953"/>
      <c r="H1468" s="969"/>
      <c r="I1468" s="998" t="s">
        <v>4568</v>
      </c>
      <c r="J1468" s="1194" t="s">
        <v>136</v>
      </c>
      <c r="K1468" s="984" t="s">
        <v>216</v>
      </c>
      <c r="L1468" s="959">
        <v>160.0</v>
      </c>
      <c r="M1468" s="960">
        <v>110.0</v>
      </c>
      <c r="N1468" s="960">
        <v>65.0</v>
      </c>
      <c r="O1468" s="960">
        <v>65.0</v>
      </c>
      <c r="P1468" s="960">
        <v>110.0</v>
      </c>
      <c r="Q1468" s="960">
        <v>30.0</v>
      </c>
      <c r="R1468" s="960">
        <v>96.0</v>
      </c>
      <c r="S1468" s="960">
        <v>159.0</v>
      </c>
      <c r="T1468" s="960">
        <v>174.0</v>
      </c>
      <c r="U1468" s="960">
        <f t="array" ref="U1468">HLOOKUP($J1468,'Type Chart'!$C$2:$T$20,2,false)*HLOOKUP($K1468,'Type Chart'!$C$2:$U$20,2,false)</f>
        <v>1</v>
      </c>
      <c r="V1468" s="960">
        <f t="array" ref="V1468">HLOOKUP($J1468,'Type Chart'!$C$2:$T$20,3,false)*HLOOKUP($K1468,'Type Chart'!$C$2:$U$20,3,false)</f>
        <v>2</v>
      </c>
      <c r="W1468" s="960">
        <f t="array" ref="W1468">HLOOKUP($J1468,'Type Chart'!$C$2:$T$20,4,false)*HLOOKUP($K1468,'Type Chart'!$C$2:$U$20,4,false)</f>
        <v>1</v>
      </c>
      <c r="X1468" s="960">
        <f t="array" ref="X1468">HLOOKUP($J1468,'Type Chart'!$C$2:$T$20,5,false)*HLOOKUP($K1468,'Type Chart'!$C$2:$U$20,5,false)</f>
        <v>1</v>
      </c>
      <c r="Y1468" s="960">
        <f t="array" ref="Y1468">HLOOKUP($J1468,'Type Chart'!$C$2:$T$20,6,false)*HLOOKUP($K1468,'Type Chart'!$C$2:$U$20,6,false)</f>
        <v>1</v>
      </c>
      <c r="Z1468" s="960">
        <f t="array" ref="Z1468">HLOOKUP($J1468,'Type Chart'!$C$2:$T$20,7,false)*HLOOKUP($K1468,'Type Chart'!$C$2:$U$20,7,false)</f>
        <v>1</v>
      </c>
      <c r="AA1468" s="960">
        <f t="array" ref="AA1468">HLOOKUP($J1468,'Type Chart'!$C$2:$T$20,8,false)*HLOOKUP($K1468,'Type Chart'!$C$2:$U$20,8,false)</f>
        <v>1</v>
      </c>
      <c r="AB1468" s="960">
        <f t="array" ref="AB1468">HLOOKUP($J1468,'Type Chart'!$C$2:$T$20,9,false)*HLOOKUP($K1468,'Type Chart'!$C$2:$U$20,9,false)</f>
        <v>0</v>
      </c>
      <c r="AC1468" s="960">
        <f t="array" ref="AC1468">HLOOKUP($J1468,'Type Chart'!$C$2:$T$20,10,false)*HLOOKUP($K1468,'Type Chart'!$C$2:$U$20,10,false)</f>
        <v>1</v>
      </c>
      <c r="AD1468" s="960">
        <f t="array" ref="AD1468">HLOOKUP($J1468,'Type Chart'!$C$2:$T$20,11,false)*HLOOKUP($K1468,'Type Chart'!$C$2:$U$20,11,false)</f>
        <v>1</v>
      </c>
      <c r="AE1468" s="960">
        <f t="array" ref="AE1468">HLOOKUP($J1468,'Type Chart'!$C$2:$T$20,12,false)*HLOOKUP($K1468,'Type Chart'!$C$2:$U$20,12,false)</f>
        <v>1</v>
      </c>
      <c r="AF1468" s="960">
        <f t="array" ref="AF1468">HLOOKUP($J1468,'Type Chart'!$C$2:$T$20,13,false)*HLOOKUP($K1468,'Type Chart'!$C$2:$U$20,13,false)</f>
        <v>1</v>
      </c>
      <c r="AG1468" s="960">
        <f t="array" ref="AG1468">HLOOKUP($J1468,'Type Chart'!$C$2:$T$20,14,false)*HLOOKUP($K1468,'Type Chart'!$C$2:$U$20,14,false)</f>
        <v>1</v>
      </c>
      <c r="AH1468" s="960">
        <f t="array" ref="AH1468">HLOOKUP($J1468,'Type Chart'!$C$2:$T$20,15,false)*HLOOKUP($K1468,'Type Chart'!$C$2:$U$20,15,false)</f>
        <v>1</v>
      </c>
      <c r="AI1468" s="960">
        <f t="array" ref="AI1468">HLOOKUP($J1468,'Type Chart'!$C$2:$T$20,16,false)*HLOOKUP($K1468,'Type Chart'!$C$2:$U$20,16,false)</f>
        <v>1</v>
      </c>
      <c r="AJ1468" s="960">
        <f t="array" ref="AJ1468">HLOOKUP($J1468,'Type Chart'!$C$2:$T$20,17,false)*HLOOKUP($K1468,'Type Chart'!$C$2:$U$20,17,false)</f>
        <v>1</v>
      </c>
      <c r="AK1468" s="960">
        <f t="array" ref="AK1468">HLOOKUP($J1468,'Type Chart'!$C$2:$T$20,18,false)*HLOOKUP($K1468,'Type Chart'!$C$2:$U$20,18,false)</f>
        <v>1</v>
      </c>
      <c r="AL1468" s="960">
        <f t="array" ref="AL1468">HLOOKUP($J1468,'Type Chart'!$C$2:$T$20,19,false)*HLOOKUP($K1468,'Type Chart'!$C$2:$U$20,19,false)</f>
        <v>1</v>
      </c>
      <c r="AM1468" s="964" t="s">
        <v>1642</v>
      </c>
      <c r="AN1468" s="965" t="s">
        <v>760</v>
      </c>
      <c r="AO1468" s="966" t="s">
        <v>1044</v>
      </c>
      <c r="AP1468" s="936"/>
      <c r="AQ1468" s="1245"/>
      <c r="AR1468" s="1245"/>
      <c r="AS1468" s="936"/>
    </row>
    <row r="1469" ht="15.75" customHeight="1">
      <c r="A1469" s="1099"/>
      <c r="B1469" s="948" t="s">
        <v>1643</v>
      </c>
      <c r="C1469" s="1197" t="s">
        <v>1644</v>
      </c>
      <c r="D1469" s="1197" t="s">
        <v>1644</v>
      </c>
      <c r="E1469" s="1147" t="s">
        <v>1644</v>
      </c>
      <c r="F1469" s="940"/>
      <c r="G1469" s="953"/>
      <c r="H1469" s="969"/>
      <c r="I1469" s="998" t="s">
        <v>4569</v>
      </c>
      <c r="J1469" s="1205" t="s">
        <v>345</v>
      </c>
      <c r="K1469" s="1001" t="s">
        <v>128</v>
      </c>
      <c r="L1469" s="959">
        <v>90.0</v>
      </c>
      <c r="M1469" s="960">
        <v>85.0</v>
      </c>
      <c r="N1469" s="960">
        <v>100.0</v>
      </c>
      <c r="O1469" s="960">
        <v>95.0</v>
      </c>
      <c r="P1469" s="960">
        <v>125.0</v>
      </c>
      <c r="Q1469" s="960">
        <v>85.0</v>
      </c>
      <c r="R1469" s="960">
        <v>206.0</v>
      </c>
      <c r="S1469" s="960">
        <v>269.0</v>
      </c>
      <c r="T1469" s="960">
        <v>295.0</v>
      </c>
      <c r="U1469" s="960">
        <f t="array" ref="U1469">HLOOKUP($J1469,'Type Chart'!$C$2:$T$20,2,false)*HLOOKUP($K1469,'Type Chart'!$C$2:$U$20,2,false)</f>
        <v>1</v>
      </c>
      <c r="V1469" s="960">
        <f t="array" ref="V1469">HLOOKUP($J1469,'Type Chart'!$C$2:$T$20,3,false)*HLOOKUP($K1469,'Type Chart'!$C$2:$U$20,3,false)</f>
        <v>1</v>
      </c>
      <c r="W1469" s="960">
        <f t="array" ref="W1469">HLOOKUP($J1469,'Type Chart'!$C$2:$T$20,4,false)*HLOOKUP($K1469,'Type Chart'!$C$2:$U$20,4,false)</f>
        <v>1</v>
      </c>
      <c r="X1469" s="960">
        <f t="array" ref="X1469">HLOOKUP($J1469,'Type Chart'!$C$2:$T$20,5,false)*HLOOKUP($K1469,'Type Chart'!$C$2:$U$20,5,false)</f>
        <v>1</v>
      </c>
      <c r="Y1469" s="960">
        <f t="array" ref="Y1469">HLOOKUP($J1469,'Type Chart'!$C$2:$T$20,6,false)*HLOOKUP($K1469,'Type Chart'!$C$2:$U$20,6,false)</f>
        <v>0</v>
      </c>
      <c r="Z1469" s="960">
        <f t="array" ref="Z1469">HLOOKUP($J1469,'Type Chart'!$C$2:$T$20,7,false)*HLOOKUP($K1469,'Type Chart'!$C$2:$U$20,7,false)</f>
        <v>4</v>
      </c>
      <c r="AA1469" s="960">
        <f t="array" ref="AA1469">HLOOKUP($J1469,'Type Chart'!$C$2:$T$20,8,false)*HLOOKUP($K1469,'Type Chart'!$C$2:$U$20,8,false)</f>
        <v>0.5</v>
      </c>
      <c r="AB1469" s="960">
        <f t="array" ref="AB1469">HLOOKUP($J1469,'Type Chart'!$C$2:$T$20,9,false)*HLOOKUP($K1469,'Type Chart'!$C$2:$U$20,9,false)</f>
        <v>1</v>
      </c>
      <c r="AC1469" s="960">
        <f t="array" ref="AC1469">HLOOKUP($J1469,'Type Chart'!$C$2:$T$20,10,false)*HLOOKUP($K1469,'Type Chart'!$C$2:$U$20,10,false)</f>
        <v>2</v>
      </c>
      <c r="AD1469" s="960">
        <f t="array" ref="AD1469">HLOOKUP($J1469,'Type Chart'!$C$2:$T$20,11,false)*HLOOKUP($K1469,'Type Chart'!$C$2:$U$20,11,false)</f>
        <v>2</v>
      </c>
      <c r="AE1469" s="960">
        <f t="array" ref="AE1469">HLOOKUP($J1469,'Type Chart'!$C$2:$T$20,12,false)*HLOOKUP($K1469,'Type Chart'!$C$2:$U$20,12,false)</f>
        <v>1</v>
      </c>
      <c r="AF1469" s="960">
        <f t="array" ref="AF1469">HLOOKUP($J1469,'Type Chart'!$C$2:$T$20,13,false)*HLOOKUP($K1469,'Type Chart'!$C$2:$U$20,13,false)</f>
        <v>0.5</v>
      </c>
      <c r="AG1469" s="960">
        <f t="array" ref="AG1469">HLOOKUP($J1469,'Type Chart'!$C$2:$T$20,14,false)*HLOOKUP($K1469,'Type Chart'!$C$2:$U$20,14,false)</f>
        <v>2</v>
      </c>
      <c r="AH1469" s="960">
        <f t="array" ref="AH1469">HLOOKUP($J1469,'Type Chart'!$C$2:$T$20,15,false)*HLOOKUP($K1469,'Type Chart'!$C$2:$U$20,15,false)</f>
        <v>1</v>
      </c>
      <c r="AI1469" s="960">
        <f t="array" ref="AI1469">HLOOKUP($J1469,'Type Chart'!$C$2:$T$20,16,false)*HLOOKUP($K1469,'Type Chart'!$C$2:$U$20,16,false)</f>
        <v>1</v>
      </c>
      <c r="AJ1469" s="960">
        <f t="array" ref="AJ1469">HLOOKUP($J1469,'Type Chart'!$C$2:$T$20,17,false)*HLOOKUP($K1469,'Type Chart'!$C$2:$U$20,17,false)</f>
        <v>1</v>
      </c>
      <c r="AK1469" s="960">
        <f t="array" ref="AK1469">HLOOKUP($J1469,'Type Chart'!$C$2:$T$20,18,false)*HLOOKUP($K1469,'Type Chart'!$C$2:$U$20,18,false)</f>
        <v>1</v>
      </c>
      <c r="AL1469" s="960">
        <f t="array" ref="AL1469">HLOOKUP($J1469,'Type Chart'!$C$2:$T$20,19,false)*HLOOKUP($K1469,'Type Chart'!$C$2:$U$20,19,false)</f>
        <v>1</v>
      </c>
      <c r="AM1469" s="1145" t="s">
        <v>1636</v>
      </c>
      <c r="AN1469" s="1202"/>
      <c r="AO1469" s="1146" t="s">
        <v>1135</v>
      </c>
      <c r="AP1469" s="936"/>
      <c r="AQ1469" s="1245"/>
      <c r="AR1469" s="1245"/>
      <c r="AS1469" s="936"/>
    </row>
    <row r="1470" ht="15.75" customHeight="1">
      <c r="A1470" s="1099"/>
      <c r="B1470" s="948" t="s">
        <v>1645</v>
      </c>
      <c r="C1470" s="1197" t="s">
        <v>1646</v>
      </c>
      <c r="D1470" s="1197" t="s">
        <v>1646</v>
      </c>
      <c r="E1470" s="1147" t="s">
        <v>1647</v>
      </c>
      <c r="F1470" s="940"/>
      <c r="G1470" s="953"/>
      <c r="H1470" s="969"/>
      <c r="I1470" s="998" t="s">
        <v>4570</v>
      </c>
      <c r="J1470" s="1203" t="s">
        <v>344</v>
      </c>
      <c r="K1470" s="1001" t="s">
        <v>128</v>
      </c>
      <c r="L1470" s="959">
        <v>90.0</v>
      </c>
      <c r="M1470" s="960">
        <v>85.0</v>
      </c>
      <c r="N1470" s="960">
        <v>85.0</v>
      </c>
      <c r="O1470" s="960">
        <v>125.0</v>
      </c>
      <c r="P1470" s="960">
        <v>100.0</v>
      </c>
      <c r="Q1470" s="960">
        <v>95.0</v>
      </c>
      <c r="R1470" s="960">
        <v>226.0</v>
      </c>
      <c r="S1470" s="960">
        <v>289.0</v>
      </c>
      <c r="T1470" s="960">
        <v>317.0</v>
      </c>
      <c r="U1470" s="960">
        <f t="array" ref="U1470">HLOOKUP($J1470,'Type Chart'!$C$2:$T$20,2,false)*HLOOKUP($K1470,'Type Chart'!$C$2:$U$20,2,false)</f>
        <v>1</v>
      </c>
      <c r="V1470" s="960">
        <f t="array" ref="V1470">HLOOKUP($J1470,'Type Chart'!$C$2:$T$20,3,false)*HLOOKUP($K1470,'Type Chart'!$C$2:$U$20,3,false)</f>
        <v>0.25</v>
      </c>
      <c r="W1470" s="960">
        <f t="array" ref="W1470">HLOOKUP($J1470,'Type Chart'!$C$2:$T$20,4,false)*HLOOKUP($K1470,'Type Chart'!$C$2:$U$20,4,false)</f>
        <v>1</v>
      </c>
      <c r="X1470" s="960">
        <f t="array" ref="X1470">HLOOKUP($J1470,'Type Chart'!$C$2:$T$20,5,false)*HLOOKUP($K1470,'Type Chart'!$C$2:$U$20,5,false)</f>
        <v>1</v>
      </c>
      <c r="Y1470" s="960">
        <f t="array" ref="Y1470">HLOOKUP($J1470,'Type Chart'!$C$2:$T$20,6,false)*HLOOKUP($K1470,'Type Chart'!$C$2:$U$20,6,false)</f>
        <v>0</v>
      </c>
      <c r="Z1470" s="960">
        <f t="array" ref="Z1470">HLOOKUP($J1470,'Type Chart'!$C$2:$T$20,7,false)*HLOOKUP($K1470,'Type Chart'!$C$2:$U$20,7,false)</f>
        <v>2</v>
      </c>
      <c r="AA1470" s="960">
        <f t="array" ref="AA1470">HLOOKUP($J1470,'Type Chart'!$C$2:$T$20,8,false)*HLOOKUP($K1470,'Type Chart'!$C$2:$U$20,8,false)</f>
        <v>1</v>
      </c>
      <c r="AB1470" s="960">
        <f t="array" ref="AB1470">HLOOKUP($J1470,'Type Chart'!$C$2:$T$20,9,false)*HLOOKUP($K1470,'Type Chart'!$C$2:$U$20,9,false)</f>
        <v>2</v>
      </c>
      <c r="AC1470" s="960">
        <f t="array" ref="AC1470">HLOOKUP($J1470,'Type Chart'!$C$2:$T$20,10,false)*HLOOKUP($K1470,'Type Chart'!$C$2:$U$20,10,false)</f>
        <v>1</v>
      </c>
      <c r="AD1470" s="960">
        <f t="array" ref="AD1470">HLOOKUP($J1470,'Type Chart'!$C$2:$T$20,11,false)*HLOOKUP($K1470,'Type Chart'!$C$2:$U$20,11,false)</f>
        <v>1</v>
      </c>
      <c r="AE1470" s="960">
        <f t="array" ref="AE1470">HLOOKUP($J1470,'Type Chart'!$C$2:$T$20,12,false)*HLOOKUP($K1470,'Type Chart'!$C$2:$U$20,12,false)</f>
        <v>1</v>
      </c>
      <c r="AF1470" s="960">
        <f t="array" ref="AF1470">HLOOKUP($J1470,'Type Chart'!$C$2:$T$20,13,false)*HLOOKUP($K1470,'Type Chart'!$C$2:$U$20,13,false)</f>
        <v>0.5</v>
      </c>
      <c r="AG1470" s="960">
        <f t="array" ref="AG1470">HLOOKUP($J1470,'Type Chart'!$C$2:$T$20,14,false)*HLOOKUP($K1470,'Type Chart'!$C$2:$U$20,14,false)</f>
        <v>2</v>
      </c>
      <c r="AH1470" s="960">
        <f t="array" ref="AH1470">HLOOKUP($J1470,'Type Chart'!$C$2:$T$20,15,false)*HLOOKUP($K1470,'Type Chart'!$C$2:$U$20,15,false)</f>
        <v>0.5</v>
      </c>
      <c r="AI1470" s="960">
        <f t="array" ref="AI1470">HLOOKUP($J1470,'Type Chart'!$C$2:$T$20,16,false)*HLOOKUP($K1470,'Type Chart'!$C$2:$U$20,16,false)</f>
        <v>2</v>
      </c>
      <c r="AJ1470" s="960">
        <f t="array" ref="AJ1470">HLOOKUP($J1470,'Type Chart'!$C$2:$T$20,17,false)*HLOOKUP($K1470,'Type Chart'!$C$2:$U$20,17,false)</f>
        <v>1</v>
      </c>
      <c r="AK1470" s="960">
        <f t="array" ref="AK1470">HLOOKUP($J1470,'Type Chart'!$C$2:$T$20,18,false)*HLOOKUP($K1470,'Type Chart'!$C$2:$U$20,18,false)</f>
        <v>2</v>
      </c>
      <c r="AL1470" s="960">
        <f t="array" ref="AL1470">HLOOKUP($J1470,'Type Chart'!$C$2:$T$20,19,false)*HLOOKUP($K1470,'Type Chart'!$C$2:$U$20,19,false)</f>
        <v>1</v>
      </c>
      <c r="AM1470" s="1145" t="s">
        <v>1185</v>
      </c>
      <c r="AN1470" s="1202"/>
      <c r="AO1470" s="1146"/>
      <c r="AP1470" s="936"/>
      <c r="AQ1470" s="1245"/>
      <c r="AR1470" s="1245"/>
      <c r="AS1470" s="936"/>
    </row>
    <row r="1471" ht="15.75" customHeight="1">
      <c r="A1471" s="1099"/>
      <c r="B1471" s="948" t="s">
        <v>1648</v>
      </c>
      <c r="C1471" s="1197" t="s">
        <v>167</v>
      </c>
      <c r="D1471" s="1197" t="s">
        <v>167</v>
      </c>
      <c r="E1471" s="1147" t="s">
        <v>167</v>
      </c>
      <c r="F1471" s="940"/>
      <c r="G1471" s="953"/>
      <c r="H1471" s="969"/>
      <c r="I1471" s="998" t="s">
        <v>4571</v>
      </c>
      <c r="J1471" s="1196" t="s">
        <v>203</v>
      </c>
      <c r="K1471" s="1001" t="s">
        <v>128</v>
      </c>
      <c r="L1471" s="959">
        <v>90.0</v>
      </c>
      <c r="M1471" s="960">
        <v>90.0</v>
      </c>
      <c r="N1471" s="960">
        <v>85.0</v>
      </c>
      <c r="O1471" s="960">
        <v>125.0</v>
      </c>
      <c r="P1471" s="960">
        <v>90.0</v>
      </c>
      <c r="Q1471" s="960">
        <v>100.0</v>
      </c>
      <c r="R1471" s="960">
        <v>236.0</v>
      </c>
      <c r="S1471" s="960">
        <v>299.0</v>
      </c>
      <c r="T1471" s="960">
        <v>328.0</v>
      </c>
      <c r="U1471" s="960">
        <f t="array" ref="U1471">HLOOKUP($J1471,'Type Chart'!$C$2:$T$20,2,false)*HLOOKUP($K1471,'Type Chart'!$C$2:$U$20,2,false)</f>
        <v>1</v>
      </c>
      <c r="V1471" s="960">
        <f t="array" ref="V1471">HLOOKUP($J1471,'Type Chart'!$C$2:$T$20,3,false)*HLOOKUP($K1471,'Type Chart'!$C$2:$U$20,3,false)</f>
        <v>0.5</v>
      </c>
      <c r="W1471" s="960">
        <f t="array" ref="W1471">HLOOKUP($J1471,'Type Chart'!$C$2:$T$20,4,false)*HLOOKUP($K1471,'Type Chart'!$C$2:$U$20,4,false)</f>
        <v>0.5</v>
      </c>
      <c r="X1471" s="960">
        <f t="array" ref="X1471">HLOOKUP($J1471,'Type Chart'!$C$2:$T$20,5,false)*HLOOKUP($K1471,'Type Chart'!$C$2:$U$20,5,false)</f>
        <v>1</v>
      </c>
      <c r="Y1471" s="960">
        <f t="array" ref="Y1471">HLOOKUP($J1471,'Type Chart'!$C$2:$T$20,6,false)*HLOOKUP($K1471,'Type Chart'!$C$2:$U$20,6,false)</f>
        <v>0</v>
      </c>
      <c r="Z1471" s="960">
        <f t="array" ref="Z1471">HLOOKUP($J1471,'Type Chart'!$C$2:$T$20,7,false)*HLOOKUP($K1471,'Type Chart'!$C$2:$U$20,7,false)</f>
        <v>2</v>
      </c>
      <c r="AA1471" s="960">
        <f t="array" ref="AA1471">HLOOKUP($J1471,'Type Chart'!$C$2:$T$20,8,false)*HLOOKUP($K1471,'Type Chart'!$C$2:$U$20,8,false)</f>
        <v>0.5</v>
      </c>
      <c r="AB1471" s="960">
        <f t="array" ref="AB1471">HLOOKUP($J1471,'Type Chart'!$C$2:$T$20,9,false)*HLOOKUP($K1471,'Type Chart'!$C$2:$U$20,9,false)</f>
        <v>1</v>
      </c>
      <c r="AC1471" s="960">
        <f t="array" ref="AC1471">HLOOKUP($J1471,'Type Chart'!$C$2:$T$20,10,false)*HLOOKUP($K1471,'Type Chart'!$C$2:$U$20,10,false)</f>
        <v>0.5</v>
      </c>
      <c r="AD1471" s="960">
        <f t="array" ref="AD1471">HLOOKUP($J1471,'Type Chart'!$C$2:$T$20,11,false)*HLOOKUP($K1471,'Type Chart'!$C$2:$U$20,11,false)</f>
        <v>1</v>
      </c>
      <c r="AE1471" s="960">
        <f t="array" ref="AE1471">HLOOKUP($J1471,'Type Chart'!$C$2:$T$20,12,false)*HLOOKUP($K1471,'Type Chart'!$C$2:$U$20,12,false)</f>
        <v>1</v>
      </c>
      <c r="AF1471" s="960">
        <f t="array" ref="AF1471">HLOOKUP($J1471,'Type Chart'!$C$2:$T$20,13,false)*HLOOKUP($K1471,'Type Chart'!$C$2:$U$20,13,false)</f>
        <v>0.5</v>
      </c>
      <c r="AG1471" s="960">
        <f t="array" ref="AG1471">HLOOKUP($J1471,'Type Chart'!$C$2:$T$20,14,false)*HLOOKUP($K1471,'Type Chart'!$C$2:$U$20,14,false)</f>
        <v>1</v>
      </c>
      <c r="AH1471" s="960">
        <f t="array" ref="AH1471">HLOOKUP($J1471,'Type Chart'!$C$2:$T$20,15,false)*HLOOKUP($K1471,'Type Chart'!$C$2:$U$20,15,false)</f>
        <v>1</v>
      </c>
      <c r="AI1471" s="960">
        <f t="array" ref="AI1471">HLOOKUP($J1471,'Type Chart'!$C$2:$T$20,16,false)*HLOOKUP($K1471,'Type Chart'!$C$2:$U$20,16,false)</f>
        <v>2</v>
      </c>
      <c r="AJ1471" s="960">
        <f t="array" ref="AJ1471">HLOOKUP($J1471,'Type Chart'!$C$2:$T$20,17,false)*HLOOKUP($K1471,'Type Chart'!$C$2:$U$20,17,false)</f>
        <v>1</v>
      </c>
      <c r="AK1471" s="960">
        <f t="array" ref="AK1471">HLOOKUP($J1471,'Type Chart'!$C$2:$T$20,18,false)*HLOOKUP($K1471,'Type Chart'!$C$2:$U$20,18,false)</f>
        <v>1</v>
      </c>
      <c r="AL1471" s="960">
        <f t="array" ref="AL1471">HLOOKUP($J1471,'Type Chart'!$C$2:$T$20,19,false)*HLOOKUP($K1471,'Type Chart'!$C$2:$U$20,19,false)</f>
        <v>1</v>
      </c>
      <c r="AM1471" s="964" t="s">
        <v>1636</v>
      </c>
      <c r="AN1471" s="965"/>
      <c r="AO1471" s="966" t="s">
        <v>1067</v>
      </c>
      <c r="AP1471" s="936"/>
      <c r="AQ1471" s="1245"/>
      <c r="AR1471" s="1245"/>
      <c r="AS1471" s="936"/>
    </row>
    <row r="1472" ht="15.75" customHeight="1">
      <c r="A1472" s="1099"/>
      <c r="B1472" s="948" t="s">
        <v>1649</v>
      </c>
      <c r="C1472" s="1197" t="s">
        <v>1650</v>
      </c>
      <c r="D1472" s="1197" t="s">
        <v>1650</v>
      </c>
      <c r="E1472" s="1147" t="s">
        <v>1651</v>
      </c>
      <c r="F1472" s="940"/>
      <c r="G1472" s="953"/>
      <c r="H1472" s="969"/>
      <c r="I1472" s="998" t="s">
        <v>4572</v>
      </c>
      <c r="J1472" s="1213" t="s">
        <v>341</v>
      </c>
      <c r="K1472" s="1001" t="s">
        <v>128</v>
      </c>
      <c r="L1472" s="959">
        <v>90.0</v>
      </c>
      <c r="M1472" s="960">
        <v>125.0</v>
      </c>
      <c r="N1472" s="960">
        <v>90.0</v>
      </c>
      <c r="O1472" s="960">
        <v>85.0</v>
      </c>
      <c r="P1472" s="960">
        <v>90.0</v>
      </c>
      <c r="Q1472" s="960">
        <v>100.0</v>
      </c>
      <c r="R1472" s="960">
        <v>236.0</v>
      </c>
      <c r="S1472" s="960">
        <v>299.0</v>
      </c>
      <c r="T1472" s="960">
        <v>328.0</v>
      </c>
      <c r="U1472" s="960">
        <f t="array" ref="U1472">HLOOKUP($J1472,'Type Chart'!$C$2:$T$20,2,false)*HLOOKUP($K1472,'Type Chart'!$C$2:$U$20,2,false)</f>
        <v>1</v>
      </c>
      <c r="V1472" s="960">
        <f t="array" ref="V1472">HLOOKUP($J1472,'Type Chart'!$C$2:$T$20,3,false)*HLOOKUP($K1472,'Type Chart'!$C$2:$U$20,3,false)</f>
        <v>0.5</v>
      </c>
      <c r="W1472" s="960">
        <f t="array" ref="W1472">HLOOKUP($J1472,'Type Chart'!$C$2:$T$20,4,false)*HLOOKUP($K1472,'Type Chart'!$C$2:$U$20,4,false)</f>
        <v>2</v>
      </c>
      <c r="X1472" s="960">
        <f t="array" ref="X1472">HLOOKUP($J1472,'Type Chart'!$C$2:$T$20,5,false)*HLOOKUP($K1472,'Type Chart'!$C$2:$U$20,5,false)</f>
        <v>1</v>
      </c>
      <c r="Y1472" s="960">
        <f t="array" ref="Y1472">HLOOKUP($J1472,'Type Chart'!$C$2:$T$20,6,false)*HLOOKUP($K1472,'Type Chart'!$C$2:$U$20,6,false)</f>
        <v>0</v>
      </c>
      <c r="Z1472" s="960">
        <f t="array" ref="Z1472">HLOOKUP($J1472,'Type Chart'!$C$2:$T$20,7,false)*HLOOKUP($K1472,'Type Chart'!$C$2:$U$20,7,false)</f>
        <v>1</v>
      </c>
      <c r="AA1472" s="960">
        <f t="array" ref="AA1472">HLOOKUP($J1472,'Type Chart'!$C$2:$T$20,8,false)*HLOOKUP($K1472,'Type Chart'!$C$2:$U$20,8,false)</f>
        <v>0.25</v>
      </c>
      <c r="AB1472" s="960">
        <f t="array" ref="AB1472">HLOOKUP($J1472,'Type Chart'!$C$2:$T$20,9,false)*HLOOKUP($K1472,'Type Chart'!$C$2:$U$20,9,false)</f>
        <v>1</v>
      </c>
      <c r="AC1472" s="960">
        <f t="array" ref="AC1472">HLOOKUP($J1472,'Type Chart'!$C$2:$T$20,10,false)*HLOOKUP($K1472,'Type Chart'!$C$2:$U$20,10,false)</f>
        <v>1</v>
      </c>
      <c r="AD1472" s="960">
        <f t="array" ref="AD1472">HLOOKUP($J1472,'Type Chart'!$C$2:$T$20,11,false)*HLOOKUP($K1472,'Type Chart'!$C$2:$U$20,11,false)</f>
        <v>1</v>
      </c>
      <c r="AE1472" s="960">
        <f t="array" ref="AE1472">HLOOKUP($J1472,'Type Chart'!$C$2:$T$20,12,false)*HLOOKUP($K1472,'Type Chart'!$C$2:$U$20,12,false)</f>
        <v>1</v>
      </c>
      <c r="AF1472" s="960">
        <f t="array" ref="AF1472">HLOOKUP($J1472,'Type Chart'!$C$2:$T$20,13,false)*HLOOKUP($K1472,'Type Chart'!$C$2:$U$20,13,false)</f>
        <v>0.5</v>
      </c>
      <c r="AG1472" s="960">
        <f t="array" ref="AG1472">HLOOKUP($J1472,'Type Chart'!$C$2:$T$20,14,false)*HLOOKUP($K1472,'Type Chart'!$C$2:$U$20,14,false)</f>
        <v>2</v>
      </c>
      <c r="AH1472" s="960">
        <f t="array" ref="AH1472">HLOOKUP($J1472,'Type Chart'!$C$2:$T$20,15,false)*HLOOKUP($K1472,'Type Chart'!$C$2:$U$20,15,false)</f>
        <v>2</v>
      </c>
      <c r="AI1472" s="960">
        <f t="array" ref="AI1472">HLOOKUP($J1472,'Type Chart'!$C$2:$T$20,16,false)*HLOOKUP($K1472,'Type Chart'!$C$2:$U$20,16,false)</f>
        <v>2</v>
      </c>
      <c r="AJ1472" s="960">
        <f t="array" ref="AJ1472">HLOOKUP($J1472,'Type Chart'!$C$2:$T$20,17,false)*HLOOKUP($K1472,'Type Chart'!$C$2:$U$20,17,false)</f>
        <v>1</v>
      </c>
      <c r="AK1472" s="960">
        <f t="array" ref="AK1472">HLOOKUP($J1472,'Type Chart'!$C$2:$T$20,18,false)*HLOOKUP($K1472,'Type Chart'!$C$2:$U$20,18,false)</f>
        <v>0.5</v>
      </c>
      <c r="AL1472" s="960">
        <f t="array" ref="AL1472">HLOOKUP($J1472,'Type Chart'!$C$2:$T$20,19,false)*HLOOKUP($K1472,'Type Chart'!$C$2:$U$20,19,false)</f>
        <v>2</v>
      </c>
      <c r="AM1472" s="964" t="s">
        <v>1267</v>
      </c>
      <c r="AN1472" s="965"/>
      <c r="AO1472" s="966"/>
      <c r="AP1472" s="936"/>
      <c r="AQ1472" s="1245"/>
      <c r="AR1472" s="1245"/>
      <c r="AS1472" s="936"/>
    </row>
    <row r="1473" ht="15.75" customHeight="1">
      <c r="A1473" s="1099"/>
      <c r="B1473" s="948" t="s">
        <v>1652</v>
      </c>
      <c r="C1473" s="1197" t="s">
        <v>1653</v>
      </c>
      <c r="D1473" s="1197" t="s">
        <v>1653</v>
      </c>
      <c r="E1473" s="1147" t="s">
        <v>1653</v>
      </c>
      <c r="F1473" s="940"/>
      <c r="G1473" s="953"/>
      <c r="H1473" s="969"/>
      <c r="I1473" s="998" t="s">
        <v>4573</v>
      </c>
      <c r="J1473" s="982" t="s">
        <v>150</v>
      </c>
      <c r="K1473" s="1001" t="s">
        <v>128</v>
      </c>
      <c r="L1473" s="959">
        <v>90.0</v>
      </c>
      <c r="M1473" s="960">
        <v>100.0</v>
      </c>
      <c r="N1473" s="960">
        <v>90.0</v>
      </c>
      <c r="O1473" s="960">
        <v>125.0</v>
      </c>
      <c r="P1473" s="960">
        <v>85.0</v>
      </c>
      <c r="Q1473" s="960">
        <v>90.0</v>
      </c>
      <c r="R1473" s="960">
        <v>216.0</v>
      </c>
      <c r="S1473" s="960">
        <v>279.0</v>
      </c>
      <c r="T1473" s="960">
        <v>306.0</v>
      </c>
      <c r="U1473" s="960">
        <f t="array" ref="U1473">HLOOKUP($J1473,'Type Chart'!$C$2:$T$20,2,false)*HLOOKUP($K1473,'Type Chart'!$C$2:$U$20,2,false)</f>
        <v>1</v>
      </c>
      <c r="V1473" s="960">
        <f t="array" ref="V1473">HLOOKUP($J1473,'Type Chart'!$C$2:$T$20,3,false)*HLOOKUP($K1473,'Type Chart'!$C$2:$U$20,3,false)</f>
        <v>0.5</v>
      </c>
      <c r="W1473" s="960">
        <f t="array" ref="W1473">HLOOKUP($J1473,'Type Chart'!$C$2:$T$20,4,false)*HLOOKUP($K1473,'Type Chart'!$C$2:$U$20,4,false)</f>
        <v>1</v>
      </c>
      <c r="X1473" s="960">
        <f t="array" ref="X1473">HLOOKUP($J1473,'Type Chart'!$C$2:$T$20,5,false)*HLOOKUP($K1473,'Type Chart'!$C$2:$U$20,5,false)</f>
        <v>1</v>
      </c>
      <c r="Y1473" s="960">
        <f t="array" ref="Y1473">HLOOKUP($J1473,'Type Chart'!$C$2:$T$20,6,false)*HLOOKUP($K1473,'Type Chart'!$C$2:$U$20,6,false)</f>
        <v>0</v>
      </c>
      <c r="Z1473" s="960">
        <f t="array" ref="Z1473">HLOOKUP($J1473,'Type Chart'!$C$2:$T$20,7,false)*HLOOKUP($K1473,'Type Chart'!$C$2:$U$20,7,false)</f>
        <v>4</v>
      </c>
      <c r="AA1473" s="960">
        <f t="array" ref="AA1473">HLOOKUP($J1473,'Type Chart'!$C$2:$T$20,8,false)*HLOOKUP($K1473,'Type Chart'!$C$2:$U$20,8,false)</f>
        <v>0.25</v>
      </c>
      <c r="AB1473" s="960">
        <f t="array" ref="AB1473">HLOOKUP($J1473,'Type Chart'!$C$2:$T$20,9,false)*HLOOKUP($K1473,'Type Chart'!$C$2:$U$20,9,false)</f>
        <v>1</v>
      </c>
      <c r="AC1473" s="960">
        <f t="array" ref="AC1473">HLOOKUP($J1473,'Type Chart'!$C$2:$T$20,10,false)*HLOOKUP($K1473,'Type Chart'!$C$2:$U$20,10,false)</f>
        <v>0.5</v>
      </c>
      <c r="AD1473" s="960">
        <f t="array" ref="AD1473">HLOOKUP($J1473,'Type Chart'!$C$2:$T$20,11,false)*HLOOKUP($K1473,'Type Chart'!$C$2:$U$20,11,false)</f>
        <v>0.5</v>
      </c>
      <c r="AE1473" s="960">
        <f t="array" ref="AE1473">HLOOKUP($J1473,'Type Chart'!$C$2:$T$20,12,false)*HLOOKUP($K1473,'Type Chart'!$C$2:$U$20,12,false)</f>
        <v>2</v>
      </c>
      <c r="AF1473" s="960">
        <f t="array" ref="AF1473">HLOOKUP($J1473,'Type Chart'!$C$2:$T$20,13,false)*HLOOKUP($K1473,'Type Chart'!$C$2:$U$20,13,false)</f>
        <v>0.25</v>
      </c>
      <c r="AG1473" s="960">
        <f t="array" ref="AG1473">HLOOKUP($J1473,'Type Chart'!$C$2:$T$20,14,false)*HLOOKUP($K1473,'Type Chart'!$C$2:$U$20,14,false)</f>
        <v>2</v>
      </c>
      <c r="AH1473" s="960">
        <f t="array" ref="AH1473">HLOOKUP($J1473,'Type Chart'!$C$2:$T$20,15,false)*HLOOKUP($K1473,'Type Chart'!$C$2:$U$20,15,false)</f>
        <v>1</v>
      </c>
      <c r="AI1473" s="960">
        <f t="array" ref="AI1473">HLOOKUP($J1473,'Type Chart'!$C$2:$T$20,16,false)*HLOOKUP($K1473,'Type Chart'!$C$2:$U$20,16,false)</f>
        <v>1</v>
      </c>
      <c r="AJ1473" s="960">
        <f t="array" ref="AJ1473">HLOOKUP($J1473,'Type Chart'!$C$2:$T$20,17,false)*HLOOKUP($K1473,'Type Chart'!$C$2:$U$20,17,false)</f>
        <v>1</v>
      </c>
      <c r="AK1473" s="960">
        <f t="array" ref="AK1473">HLOOKUP($J1473,'Type Chart'!$C$2:$T$20,18,false)*HLOOKUP($K1473,'Type Chart'!$C$2:$U$20,18,false)</f>
        <v>1</v>
      </c>
      <c r="AL1473" s="960">
        <f t="array" ref="AL1473">HLOOKUP($J1473,'Type Chart'!$C$2:$T$20,19,false)*HLOOKUP($K1473,'Type Chart'!$C$2:$U$20,19,false)</f>
        <v>0.5</v>
      </c>
      <c r="AM1473" s="964" t="s">
        <v>1636</v>
      </c>
      <c r="AN1473" s="965"/>
      <c r="AO1473" s="966" t="s">
        <v>1353</v>
      </c>
      <c r="AP1473" s="936"/>
      <c r="AQ1473" s="1245"/>
      <c r="AR1473" s="1245"/>
      <c r="AS1473" s="936"/>
    </row>
    <row r="1474" ht="15.75" customHeight="1">
      <c r="A1474" s="1099"/>
      <c r="B1474" s="948" t="s">
        <v>1654</v>
      </c>
      <c r="C1474" s="1197" t="s">
        <v>1655</v>
      </c>
      <c r="D1474" s="1197" t="s">
        <v>1655</v>
      </c>
      <c r="E1474" s="1147" t="s">
        <v>1656</v>
      </c>
      <c r="F1474" s="940"/>
      <c r="G1474" s="953"/>
      <c r="H1474" s="969"/>
      <c r="I1474" s="998" t="s">
        <v>4574</v>
      </c>
      <c r="J1474" s="1195" t="s">
        <v>193</v>
      </c>
      <c r="K1474" s="1001" t="s">
        <v>128</v>
      </c>
      <c r="L1474" s="959">
        <v>90.0</v>
      </c>
      <c r="M1474" s="960">
        <v>85.0</v>
      </c>
      <c r="N1474" s="960">
        <v>90.0</v>
      </c>
      <c r="O1474" s="960">
        <v>100.0</v>
      </c>
      <c r="P1474" s="960">
        <v>125.0</v>
      </c>
      <c r="Q1474" s="960">
        <v>90.0</v>
      </c>
      <c r="R1474" s="960">
        <v>216.0</v>
      </c>
      <c r="S1474" s="960">
        <v>279.0</v>
      </c>
      <c r="T1474" s="960">
        <v>306.0</v>
      </c>
      <c r="U1474" s="960">
        <f t="array" ref="U1474">HLOOKUP($J1474,'Type Chart'!$C$2:$T$20,2,false)*HLOOKUP($K1474,'Type Chart'!$C$2:$U$20,2,false)</f>
        <v>1</v>
      </c>
      <c r="V1474" s="960">
        <f t="array" ref="V1474">HLOOKUP($J1474,'Type Chart'!$C$2:$T$20,3,false)*HLOOKUP($K1474,'Type Chart'!$C$2:$U$20,3,false)</f>
        <v>1</v>
      </c>
      <c r="W1474" s="960">
        <f t="array" ref="W1474">HLOOKUP($J1474,'Type Chart'!$C$2:$T$20,4,false)*HLOOKUP($K1474,'Type Chart'!$C$2:$U$20,4,false)</f>
        <v>1</v>
      </c>
      <c r="X1474" s="960">
        <f t="array" ref="X1474">HLOOKUP($J1474,'Type Chart'!$C$2:$T$20,5,false)*HLOOKUP($K1474,'Type Chart'!$C$2:$U$20,5,false)</f>
        <v>1</v>
      </c>
      <c r="Y1474" s="960">
        <f t="array" ref="Y1474">HLOOKUP($J1474,'Type Chart'!$C$2:$T$20,6,false)*HLOOKUP($K1474,'Type Chart'!$C$2:$U$20,6,false)</f>
        <v>0</v>
      </c>
      <c r="Z1474" s="960">
        <f t="array" ref="Z1474">HLOOKUP($J1474,'Type Chart'!$C$2:$T$20,7,false)*HLOOKUP($K1474,'Type Chart'!$C$2:$U$20,7,false)</f>
        <v>2</v>
      </c>
      <c r="AA1474" s="960">
        <f t="array" ref="AA1474">HLOOKUP($J1474,'Type Chart'!$C$2:$T$20,8,false)*HLOOKUP($K1474,'Type Chart'!$C$2:$U$20,8,false)</f>
        <v>1</v>
      </c>
      <c r="AB1474" s="960">
        <f t="array" ref="AB1474">HLOOKUP($J1474,'Type Chart'!$C$2:$T$20,9,false)*HLOOKUP($K1474,'Type Chart'!$C$2:$U$20,9,false)</f>
        <v>0.5</v>
      </c>
      <c r="AC1474" s="960">
        <f t="array" ref="AC1474">HLOOKUP($J1474,'Type Chart'!$C$2:$T$20,10,false)*HLOOKUP($K1474,'Type Chart'!$C$2:$U$20,10,false)</f>
        <v>1</v>
      </c>
      <c r="AD1474" s="960">
        <f t="array" ref="AD1474">HLOOKUP($J1474,'Type Chart'!$C$2:$T$20,11,false)*HLOOKUP($K1474,'Type Chart'!$C$2:$U$20,11,false)</f>
        <v>1</v>
      </c>
      <c r="AE1474" s="960">
        <f t="array" ref="AE1474">HLOOKUP($J1474,'Type Chart'!$C$2:$T$20,12,false)*HLOOKUP($K1474,'Type Chart'!$C$2:$U$20,12,false)</f>
        <v>1</v>
      </c>
      <c r="AF1474" s="960">
        <f t="array" ref="AF1474">HLOOKUP($J1474,'Type Chart'!$C$2:$T$20,13,false)*HLOOKUP($K1474,'Type Chart'!$C$2:$U$20,13,false)</f>
        <v>0.5</v>
      </c>
      <c r="AG1474" s="960">
        <f t="array" ref="AG1474">HLOOKUP($J1474,'Type Chart'!$C$2:$T$20,14,false)*HLOOKUP($K1474,'Type Chart'!$C$2:$U$20,14,false)</f>
        <v>2</v>
      </c>
      <c r="AH1474" s="960">
        <f t="array" ref="AH1474">HLOOKUP($J1474,'Type Chart'!$C$2:$T$20,15,false)*HLOOKUP($K1474,'Type Chart'!$C$2:$U$20,15,false)</f>
        <v>0</v>
      </c>
      <c r="AI1474" s="960">
        <f t="array" ref="AI1474">HLOOKUP($J1474,'Type Chart'!$C$2:$T$20,16,false)*HLOOKUP($K1474,'Type Chart'!$C$2:$U$20,16,false)</f>
        <v>2</v>
      </c>
      <c r="AJ1474" s="960">
        <f t="array" ref="AJ1474">HLOOKUP($J1474,'Type Chart'!$C$2:$T$20,17,false)*HLOOKUP($K1474,'Type Chart'!$C$2:$U$20,17,false)</f>
        <v>1</v>
      </c>
      <c r="AK1474" s="960">
        <f t="array" ref="AK1474">HLOOKUP($J1474,'Type Chart'!$C$2:$T$20,18,false)*HLOOKUP($K1474,'Type Chart'!$C$2:$U$20,18,false)</f>
        <v>0.5</v>
      </c>
      <c r="AL1474" s="960">
        <f t="array" ref="AL1474">HLOOKUP($J1474,'Type Chart'!$C$2:$T$20,19,false)*HLOOKUP($K1474,'Type Chart'!$C$2:$U$20,19,false)</f>
        <v>2</v>
      </c>
      <c r="AM1474" s="964" t="s">
        <v>1657</v>
      </c>
      <c r="AN1474" s="965"/>
      <c r="AO1474" s="966"/>
      <c r="AP1474" s="936"/>
      <c r="AQ1474" s="1245"/>
      <c r="AR1474" s="1245"/>
      <c r="AS1474" s="936"/>
    </row>
    <row r="1475" ht="15.75" customHeight="1">
      <c r="A1475" s="1099"/>
      <c r="B1475" s="948" t="s">
        <v>1658</v>
      </c>
      <c r="C1475" s="1197" t="s">
        <v>1659</v>
      </c>
      <c r="D1475" s="1197" t="s">
        <v>1659</v>
      </c>
      <c r="E1475" s="1147" t="s">
        <v>1659</v>
      </c>
      <c r="F1475" s="940"/>
      <c r="G1475" s="953"/>
      <c r="H1475" s="969"/>
      <c r="I1475" s="998" t="s">
        <v>4575</v>
      </c>
      <c r="J1475" s="1006" t="s">
        <v>346</v>
      </c>
      <c r="K1475" s="984" t="s">
        <v>216</v>
      </c>
      <c r="L1475" s="959">
        <v>41.0</v>
      </c>
      <c r="M1475" s="960">
        <v>64.0</v>
      </c>
      <c r="N1475" s="960">
        <v>45.0</v>
      </c>
      <c r="O1475" s="960">
        <v>50.0</v>
      </c>
      <c r="P1475" s="960">
        <v>50.0</v>
      </c>
      <c r="Q1475" s="960">
        <v>50.0</v>
      </c>
      <c r="R1475" s="960">
        <v>136.0</v>
      </c>
      <c r="S1475" s="960">
        <v>199.0</v>
      </c>
      <c r="T1475" s="960">
        <v>218.0</v>
      </c>
      <c r="U1475" s="960">
        <f t="array" ref="U1475">HLOOKUP($J1475,'Type Chart'!$C$2:$T$20,2,false)*HLOOKUP($K1475,'Type Chart'!$C$2:$U$20,2,false)</f>
        <v>1</v>
      </c>
      <c r="V1475" s="960">
        <f t="array" ref="V1475">HLOOKUP($J1475,'Type Chart'!$C$2:$T$20,3,false)*HLOOKUP($K1475,'Type Chart'!$C$2:$U$20,3,false)</f>
        <v>1</v>
      </c>
      <c r="W1475" s="960">
        <f t="array" ref="W1475">HLOOKUP($J1475,'Type Chart'!$C$2:$T$20,4,false)*HLOOKUP($K1475,'Type Chart'!$C$2:$U$20,4,false)</f>
        <v>1</v>
      </c>
      <c r="X1475" s="960">
        <f t="array" ref="X1475">HLOOKUP($J1475,'Type Chart'!$C$2:$T$20,5,false)*HLOOKUP($K1475,'Type Chart'!$C$2:$U$20,5,false)</f>
        <v>1</v>
      </c>
      <c r="Y1475" s="960">
        <f t="array" ref="Y1475">HLOOKUP($J1475,'Type Chart'!$C$2:$T$20,6,false)*HLOOKUP($K1475,'Type Chart'!$C$2:$U$20,6,false)</f>
        <v>1</v>
      </c>
      <c r="Z1475" s="960">
        <f t="array" ref="Z1475">HLOOKUP($J1475,'Type Chart'!$C$2:$T$20,7,false)*HLOOKUP($K1475,'Type Chart'!$C$2:$U$20,7,false)</f>
        <v>1</v>
      </c>
      <c r="AA1475" s="960">
        <f t="array" ref="AA1475">HLOOKUP($J1475,'Type Chart'!$C$2:$T$20,8,false)*HLOOKUP($K1475,'Type Chart'!$C$2:$U$20,8,false)</f>
        <v>1</v>
      </c>
      <c r="AB1475" s="960">
        <f t="array" ref="AB1475">HLOOKUP($J1475,'Type Chart'!$C$2:$T$20,9,false)*HLOOKUP($K1475,'Type Chart'!$C$2:$U$20,9,false)</f>
        <v>1</v>
      </c>
      <c r="AC1475" s="960">
        <f t="array" ref="AC1475">HLOOKUP($J1475,'Type Chart'!$C$2:$T$20,10,false)*HLOOKUP($K1475,'Type Chart'!$C$2:$U$20,10,false)</f>
        <v>1</v>
      </c>
      <c r="AD1475" s="960">
        <f t="array" ref="AD1475">HLOOKUP($J1475,'Type Chart'!$C$2:$T$20,11,false)*HLOOKUP($K1475,'Type Chart'!$C$2:$U$20,11,false)</f>
        <v>0.5</v>
      </c>
      <c r="AE1475" s="960">
        <f t="array" ref="AE1475">HLOOKUP($J1475,'Type Chart'!$C$2:$T$20,12,false)*HLOOKUP($K1475,'Type Chart'!$C$2:$U$20,12,false)</f>
        <v>0.5</v>
      </c>
      <c r="AF1475" s="960">
        <f t="array" ref="AF1475">HLOOKUP($J1475,'Type Chart'!$C$2:$T$20,13,false)*HLOOKUP($K1475,'Type Chart'!$C$2:$U$20,13,false)</f>
        <v>0.5</v>
      </c>
      <c r="AG1475" s="960">
        <f t="array" ref="AG1475">HLOOKUP($J1475,'Type Chart'!$C$2:$T$20,14,false)*HLOOKUP($K1475,'Type Chart'!$C$2:$U$20,14,false)</f>
        <v>0.5</v>
      </c>
      <c r="AH1475" s="960">
        <f t="array" ref="AH1475">HLOOKUP($J1475,'Type Chart'!$C$2:$T$20,15,false)*HLOOKUP($K1475,'Type Chart'!$C$2:$U$20,15,false)</f>
        <v>1</v>
      </c>
      <c r="AI1475" s="960">
        <f t="array" ref="AI1475">HLOOKUP($J1475,'Type Chart'!$C$2:$T$20,16,false)*HLOOKUP($K1475,'Type Chart'!$C$2:$U$20,16,false)</f>
        <v>2</v>
      </c>
      <c r="AJ1475" s="960">
        <f t="array" ref="AJ1475">HLOOKUP($J1475,'Type Chart'!$C$2:$T$20,17,false)*HLOOKUP($K1475,'Type Chart'!$C$2:$U$20,17,false)</f>
        <v>2</v>
      </c>
      <c r="AK1475" s="960">
        <f t="array" ref="AK1475">HLOOKUP($J1475,'Type Chart'!$C$2:$T$20,18,false)*HLOOKUP($K1475,'Type Chart'!$C$2:$U$20,18,false)</f>
        <v>1</v>
      </c>
      <c r="AL1475" s="960">
        <f t="array" ref="AL1475">HLOOKUP($J1475,'Type Chart'!$C$2:$T$20,19,false)*HLOOKUP($K1475,'Type Chart'!$C$2:$U$20,19,false)</f>
        <v>2</v>
      </c>
      <c r="AM1475" s="964" t="s">
        <v>998</v>
      </c>
      <c r="AN1475" s="965"/>
      <c r="AO1475" s="966" t="s">
        <v>1661</v>
      </c>
      <c r="AP1475" s="936"/>
      <c r="AQ1475" s="1245"/>
      <c r="AR1475" s="1245"/>
      <c r="AS1475" s="936"/>
    </row>
    <row r="1476" ht="15.75" customHeight="1">
      <c r="A1476" s="1099"/>
      <c r="B1476" s="948" t="s">
        <v>1662</v>
      </c>
      <c r="C1476" s="1197" t="s">
        <v>1663</v>
      </c>
      <c r="D1476" s="1197" t="s">
        <v>1663</v>
      </c>
      <c r="E1476" s="1147" t="s">
        <v>1663</v>
      </c>
      <c r="F1476" s="940"/>
      <c r="G1476" s="953"/>
      <c r="H1476" s="969"/>
      <c r="I1476" s="998" t="s">
        <v>4576</v>
      </c>
      <c r="J1476" s="1006" t="s">
        <v>346</v>
      </c>
      <c r="K1476" s="984" t="s">
        <v>216</v>
      </c>
      <c r="L1476" s="959">
        <v>61.0</v>
      </c>
      <c r="M1476" s="960">
        <v>84.0</v>
      </c>
      <c r="N1476" s="960">
        <v>65.0</v>
      </c>
      <c r="O1476" s="960">
        <v>70.0</v>
      </c>
      <c r="P1476" s="960">
        <v>70.0</v>
      </c>
      <c r="Q1476" s="960">
        <v>70.0</v>
      </c>
      <c r="R1476" s="960">
        <v>176.0</v>
      </c>
      <c r="S1476" s="960">
        <v>239.0</v>
      </c>
      <c r="T1476" s="960">
        <v>262.0</v>
      </c>
      <c r="U1476" s="960">
        <f t="array" ref="U1476">HLOOKUP($J1476,'Type Chart'!$C$2:$T$20,2,false)*HLOOKUP($K1476,'Type Chart'!$C$2:$U$20,2,false)</f>
        <v>1</v>
      </c>
      <c r="V1476" s="960">
        <f t="array" ref="V1476">HLOOKUP($J1476,'Type Chart'!$C$2:$T$20,3,false)*HLOOKUP($K1476,'Type Chart'!$C$2:$U$20,3,false)</f>
        <v>1</v>
      </c>
      <c r="W1476" s="960">
        <f t="array" ref="W1476">HLOOKUP($J1476,'Type Chart'!$C$2:$T$20,4,false)*HLOOKUP($K1476,'Type Chart'!$C$2:$U$20,4,false)</f>
        <v>1</v>
      </c>
      <c r="X1476" s="960">
        <f t="array" ref="X1476">HLOOKUP($J1476,'Type Chart'!$C$2:$T$20,5,false)*HLOOKUP($K1476,'Type Chart'!$C$2:$U$20,5,false)</f>
        <v>1</v>
      </c>
      <c r="Y1476" s="960">
        <f t="array" ref="Y1476">HLOOKUP($J1476,'Type Chart'!$C$2:$T$20,6,false)*HLOOKUP($K1476,'Type Chart'!$C$2:$U$20,6,false)</f>
        <v>1</v>
      </c>
      <c r="Z1476" s="960">
        <f t="array" ref="Z1476">HLOOKUP($J1476,'Type Chart'!$C$2:$T$20,7,false)*HLOOKUP($K1476,'Type Chart'!$C$2:$U$20,7,false)</f>
        <v>1</v>
      </c>
      <c r="AA1476" s="960">
        <f t="array" ref="AA1476">HLOOKUP($J1476,'Type Chart'!$C$2:$T$20,8,false)*HLOOKUP($K1476,'Type Chart'!$C$2:$U$20,8,false)</f>
        <v>1</v>
      </c>
      <c r="AB1476" s="960">
        <f t="array" ref="AB1476">HLOOKUP($J1476,'Type Chart'!$C$2:$T$20,9,false)*HLOOKUP($K1476,'Type Chart'!$C$2:$U$20,9,false)</f>
        <v>1</v>
      </c>
      <c r="AC1476" s="960">
        <f t="array" ref="AC1476">HLOOKUP($J1476,'Type Chart'!$C$2:$T$20,10,false)*HLOOKUP($K1476,'Type Chart'!$C$2:$U$20,10,false)</f>
        <v>1</v>
      </c>
      <c r="AD1476" s="960">
        <f t="array" ref="AD1476">HLOOKUP($J1476,'Type Chart'!$C$2:$T$20,11,false)*HLOOKUP($K1476,'Type Chart'!$C$2:$U$20,11,false)</f>
        <v>0.5</v>
      </c>
      <c r="AE1476" s="960">
        <f t="array" ref="AE1476">HLOOKUP($J1476,'Type Chart'!$C$2:$T$20,12,false)*HLOOKUP($K1476,'Type Chart'!$C$2:$U$20,12,false)</f>
        <v>0.5</v>
      </c>
      <c r="AF1476" s="960">
        <f t="array" ref="AF1476">HLOOKUP($J1476,'Type Chart'!$C$2:$T$20,13,false)*HLOOKUP($K1476,'Type Chart'!$C$2:$U$20,13,false)</f>
        <v>0.5</v>
      </c>
      <c r="AG1476" s="960">
        <f t="array" ref="AG1476">HLOOKUP($J1476,'Type Chart'!$C$2:$T$20,14,false)*HLOOKUP($K1476,'Type Chart'!$C$2:$U$20,14,false)</f>
        <v>0.5</v>
      </c>
      <c r="AH1476" s="960">
        <f t="array" ref="AH1476">HLOOKUP($J1476,'Type Chart'!$C$2:$T$20,15,false)*HLOOKUP($K1476,'Type Chart'!$C$2:$U$20,15,false)</f>
        <v>1</v>
      </c>
      <c r="AI1476" s="960">
        <f t="array" ref="AI1476">HLOOKUP($J1476,'Type Chart'!$C$2:$T$20,16,false)*HLOOKUP($K1476,'Type Chart'!$C$2:$U$20,16,false)</f>
        <v>2</v>
      </c>
      <c r="AJ1476" s="960">
        <f t="array" ref="AJ1476">HLOOKUP($J1476,'Type Chart'!$C$2:$T$20,17,false)*HLOOKUP($K1476,'Type Chart'!$C$2:$U$20,17,false)</f>
        <v>2</v>
      </c>
      <c r="AK1476" s="960">
        <f t="array" ref="AK1476">HLOOKUP($J1476,'Type Chart'!$C$2:$T$20,18,false)*HLOOKUP($K1476,'Type Chart'!$C$2:$U$20,18,false)</f>
        <v>1</v>
      </c>
      <c r="AL1476" s="960">
        <f t="array" ref="AL1476">HLOOKUP($J1476,'Type Chart'!$C$2:$T$20,19,false)*HLOOKUP($K1476,'Type Chart'!$C$2:$U$20,19,false)</f>
        <v>2</v>
      </c>
      <c r="AM1476" s="964" t="s">
        <v>998</v>
      </c>
      <c r="AN1476" s="965"/>
      <c r="AO1476" s="966" t="s">
        <v>1661</v>
      </c>
      <c r="AP1476" s="936"/>
      <c r="AQ1476" s="1245"/>
      <c r="AR1476" s="1245"/>
      <c r="AS1476" s="936"/>
    </row>
    <row r="1477" ht="15.75" customHeight="1">
      <c r="A1477" s="1099"/>
      <c r="B1477" s="948" t="s">
        <v>1664</v>
      </c>
      <c r="C1477" s="1197" t="s">
        <v>157</v>
      </c>
      <c r="D1477" s="1197" t="s">
        <v>157</v>
      </c>
      <c r="E1477" s="1147" t="s">
        <v>157</v>
      </c>
      <c r="F1477" s="940"/>
      <c r="G1477" s="953"/>
      <c r="H1477" s="969"/>
      <c r="I1477" s="998" t="s">
        <v>4577</v>
      </c>
      <c r="J1477" s="1006" t="s">
        <v>346</v>
      </c>
      <c r="K1477" s="1001" t="s">
        <v>128</v>
      </c>
      <c r="L1477" s="959">
        <v>91.0</v>
      </c>
      <c r="M1477" s="960">
        <v>134.0</v>
      </c>
      <c r="N1477" s="960">
        <v>95.0</v>
      </c>
      <c r="O1477" s="960">
        <v>100.0</v>
      </c>
      <c r="P1477" s="960">
        <v>100.0</v>
      </c>
      <c r="Q1477" s="960">
        <v>80.0</v>
      </c>
      <c r="R1477" s="960">
        <v>196.0</v>
      </c>
      <c r="S1477" s="960">
        <v>259.0</v>
      </c>
      <c r="T1477" s="960">
        <v>284.0</v>
      </c>
      <c r="U1477" s="960">
        <f t="array" ref="U1477">HLOOKUP($J1477,'Type Chart'!$C$2:$T$20,2,false)*HLOOKUP($K1477,'Type Chart'!$C$2:$U$20,2,false)</f>
        <v>1</v>
      </c>
      <c r="V1477" s="960">
        <f t="array" ref="V1477">HLOOKUP($J1477,'Type Chart'!$C$2:$T$20,3,false)*HLOOKUP($K1477,'Type Chart'!$C$2:$U$20,3,false)</f>
        <v>0.5</v>
      </c>
      <c r="W1477" s="960">
        <f t="array" ref="W1477">HLOOKUP($J1477,'Type Chart'!$C$2:$T$20,4,false)*HLOOKUP($K1477,'Type Chart'!$C$2:$U$20,4,false)</f>
        <v>1</v>
      </c>
      <c r="X1477" s="960">
        <f t="array" ref="X1477">HLOOKUP($J1477,'Type Chart'!$C$2:$T$20,5,false)*HLOOKUP($K1477,'Type Chart'!$C$2:$U$20,5,false)</f>
        <v>1</v>
      </c>
      <c r="Y1477" s="960">
        <f t="array" ref="Y1477">HLOOKUP($J1477,'Type Chart'!$C$2:$T$20,6,false)*HLOOKUP($K1477,'Type Chart'!$C$2:$U$20,6,false)</f>
        <v>0</v>
      </c>
      <c r="Z1477" s="960">
        <f t="array" ref="Z1477">HLOOKUP($J1477,'Type Chart'!$C$2:$T$20,7,false)*HLOOKUP($K1477,'Type Chart'!$C$2:$U$20,7,false)</f>
        <v>2</v>
      </c>
      <c r="AA1477" s="960">
        <f t="array" ref="AA1477">HLOOKUP($J1477,'Type Chart'!$C$2:$T$20,8,false)*HLOOKUP($K1477,'Type Chart'!$C$2:$U$20,8,false)</f>
        <v>0.5</v>
      </c>
      <c r="AB1477" s="960">
        <f t="array" ref="AB1477">HLOOKUP($J1477,'Type Chart'!$C$2:$T$20,9,false)*HLOOKUP($K1477,'Type Chart'!$C$2:$U$20,9,false)</f>
        <v>1</v>
      </c>
      <c r="AC1477" s="960">
        <f t="array" ref="AC1477">HLOOKUP($J1477,'Type Chart'!$C$2:$T$20,10,false)*HLOOKUP($K1477,'Type Chart'!$C$2:$U$20,10,false)</f>
        <v>1</v>
      </c>
      <c r="AD1477" s="960">
        <f t="array" ref="AD1477">HLOOKUP($J1477,'Type Chart'!$C$2:$T$20,11,false)*HLOOKUP($K1477,'Type Chart'!$C$2:$U$20,11,false)</f>
        <v>0.5</v>
      </c>
      <c r="AE1477" s="960">
        <f t="array" ref="AE1477">HLOOKUP($J1477,'Type Chart'!$C$2:$T$20,12,false)*HLOOKUP($K1477,'Type Chart'!$C$2:$U$20,12,false)</f>
        <v>0.5</v>
      </c>
      <c r="AF1477" s="960">
        <f t="array" ref="AF1477">HLOOKUP($J1477,'Type Chart'!$C$2:$T$20,13,false)*HLOOKUP($K1477,'Type Chart'!$C$2:$U$20,13,false)</f>
        <v>0.25</v>
      </c>
      <c r="AG1477" s="960">
        <f t="array" ref="AG1477">HLOOKUP($J1477,'Type Chart'!$C$2:$T$20,14,false)*HLOOKUP($K1477,'Type Chart'!$C$2:$U$20,14,false)</f>
        <v>1</v>
      </c>
      <c r="AH1477" s="960">
        <f t="array" ref="AH1477">HLOOKUP($J1477,'Type Chart'!$C$2:$T$20,15,false)*HLOOKUP($K1477,'Type Chart'!$C$2:$U$20,15,false)</f>
        <v>1</v>
      </c>
      <c r="AI1477" s="960">
        <f t="array" ref="AI1477">HLOOKUP($J1477,'Type Chart'!$C$2:$T$20,16,false)*HLOOKUP($K1477,'Type Chart'!$C$2:$U$20,16,false)</f>
        <v>4</v>
      </c>
      <c r="AJ1477" s="960">
        <f t="array" ref="AJ1477">HLOOKUP($J1477,'Type Chart'!$C$2:$T$20,17,false)*HLOOKUP($K1477,'Type Chart'!$C$2:$U$20,17,false)</f>
        <v>2</v>
      </c>
      <c r="AK1477" s="960">
        <f t="array" ref="AK1477">HLOOKUP($J1477,'Type Chart'!$C$2:$T$20,18,false)*HLOOKUP($K1477,'Type Chart'!$C$2:$U$20,18,false)</f>
        <v>1</v>
      </c>
      <c r="AL1477" s="960">
        <f t="array" ref="AL1477">HLOOKUP($J1477,'Type Chart'!$C$2:$T$20,19,false)*HLOOKUP($K1477,'Type Chart'!$C$2:$U$20,19,false)</f>
        <v>2</v>
      </c>
      <c r="AM1477" s="1145" t="s">
        <v>1192</v>
      </c>
      <c r="AN1477" s="965"/>
      <c r="AO1477" s="966" t="s">
        <v>1665</v>
      </c>
      <c r="AP1477" s="936"/>
      <c r="AQ1477" s="1245"/>
      <c r="AR1477" s="1245"/>
      <c r="AS1477" s="936"/>
    </row>
    <row r="1478" ht="15.75" customHeight="1">
      <c r="A1478" s="1099"/>
      <c r="B1478" s="948" t="s">
        <v>1666</v>
      </c>
      <c r="C1478" s="1197" t="s">
        <v>1667</v>
      </c>
      <c r="D1478" s="1197" t="s">
        <v>1667</v>
      </c>
      <c r="E1478" s="1147" t="s">
        <v>1667</v>
      </c>
      <c r="F1478" s="940"/>
      <c r="G1478" s="953"/>
      <c r="H1478" s="969"/>
      <c r="I1478" s="998" t="s">
        <v>4578</v>
      </c>
      <c r="J1478" s="1203" t="s">
        <v>344</v>
      </c>
      <c r="K1478" s="984" t="s">
        <v>216</v>
      </c>
      <c r="L1478" s="959">
        <v>106.0</v>
      </c>
      <c r="M1478" s="960">
        <v>110.0</v>
      </c>
      <c r="N1478" s="960">
        <v>90.0</v>
      </c>
      <c r="O1478" s="960">
        <v>154.0</v>
      </c>
      <c r="P1478" s="960">
        <v>90.0</v>
      </c>
      <c r="Q1478" s="960">
        <v>130.0</v>
      </c>
      <c r="R1478" s="960">
        <v>296.0</v>
      </c>
      <c r="S1478" s="960">
        <v>359.0</v>
      </c>
      <c r="T1478" s="960">
        <v>394.0</v>
      </c>
      <c r="U1478" s="960">
        <f t="array" ref="U1478">HLOOKUP($J1478,'Type Chart'!$C$2:$T$20,2,false)*HLOOKUP($K1478,'Type Chart'!$C$2:$U$20,2,false)</f>
        <v>1</v>
      </c>
      <c r="V1478" s="960">
        <f t="array" ref="V1478">HLOOKUP($J1478,'Type Chart'!$C$2:$T$20,3,false)*HLOOKUP($K1478,'Type Chart'!$C$2:$U$20,3,false)</f>
        <v>0.5</v>
      </c>
      <c r="W1478" s="960">
        <f t="array" ref="W1478">HLOOKUP($J1478,'Type Chart'!$C$2:$T$20,4,false)*HLOOKUP($K1478,'Type Chart'!$C$2:$U$20,4,false)</f>
        <v>1</v>
      </c>
      <c r="X1478" s="960">
        <f t="array" ref="X1478">HLOOKUP($J1478,'Type Chart'!$C$2:$T$20,5,false)*HLOOKUP($K1478,'Type Chart'!$C$2:$U$20,5,false)</f>
        <v>1</v>
      </c>
      <c r="Y1478" s="960">
        <f t="array" ref="Y1478">HLOOKUP($J1478,'Type Chart'!$C$2:$T$20,6,false)*HLOOKUP($K1478,'Type Chart'!$C$2:$U$20,6,false)</f>
        <v>1</v>
      </c>
      <c r="Z1478" s="960">
        <f t="array" ref="Z1478">HLOOKUP($J1478,'Type Chart'!$C$2:$T$20,7,false)*HLOOKUP($K1478,'Type Chart'!$C$2:$U$20,7,false)</f>
        <v>1</v>
      </c>
      <c r="AA1478" s="960">
        <f t="array" ref="AA1478">HLOOKUP($J1478,'Type Chart'!$C$2:$T$20,8,false)*HLOOKUP($K1478,'Type Chart'!$C$2:$U$20,8,false)</f>
        <v>2</v>
      </c>
      <c r="AB1478" s="960">
        <f t="array" ref="AB1478">HLOOKUP($J1478,'Type Chart'!$C$2:$T$20,9,false)*HLOOKUP($K1478,'Type Chart'!$C$2:$U$20,9,false)</f>
        <v>2</v>
      </c>
      <c r="AC1478" s="960">
        <f t="array" ref="AC1478">HLOOKUP($J1478,'Type Chart'!$C$2:$T$20,10,false)*HLOOKUP($K1478,'Type Chart'!$C$2:$U$20,10,false)</f>
        <v>1</v>
      </c>
      <c r="AD1478" s="960">
        <f t="array" ref="AD1478">HLOOKUP($J1478,'Type Chart'!$C$2:$T$20,11,false)*HLOOKUP($K1478,'Type Chart'!$C$2:$U$20,11,false)</f>
        <v>1</v>
      </c>
      <c r="AE1478" s="960">
        <f t="array" ref="AE1478">HLOOKUP($J1478,'Type Chart'!$C$2:$T$20,12,false)*HLOOKUP($K1478,'Type Chart'!$C$2:$U$20,12,false)</f>
        <v>1</v>
      </c>
      <c r="AF1478" s="960">
        <f t="array" ref="AF1478">HLOOKUP($J1478,'Type Chart'!$C$2:$T$20,13,false)*HLOOKUP($K1478,'Type Chart'!$C$2:$U$20,13,false)</f>
        <v>1</v>
      </c>
      <c r="AG1478" s="960">
        <f t="array" ref="AG1478">HLOOKUP($J1478,'Type Chart'!$C$2:$T$20,14,false)*HLOOKUP($K1478,'Type Chart'!$C$2:$U$20,14,false)</f>
        <v>1</v>
      </c>
      <c r="AH1478" s="960">
        <f t="array" ref="AH1478">HLOOKUP($J1478,'Type Chart'!$C$2:$T$20,15,false)*HLOOKUP($K1478,'Type Chart'!$C$2:$U$20,15,false)</f>
        <v>0.5</v>
      </c>
      <c r="AI1478" s="960">
        <f t="array" ref="AI1478">HLOOKUP($J1478,'Type Chart'!$C$2:$T$20,16,false)*HLOOKUP($K1478,'Type Chart'!$C$2:$U$20,16,false)</f>
        <v>1</v>
      </c>
      <c r="AJ1478" s="960">
        <f t="array" ref="AJ1478">HLOOKUP($J1478,'Type Chart'!$C$2:$T$20,17,false)*HLOOKUP($K1478,'Type Chart'!$C$2:$U$20,17,false)</f>
        <v>1</v>
      </c>
      <c r="AK1478" s="960">
        <f t="array" ref="AK1478">HLOOKUP($J1478,'Type Chart'!$C$2:$T$20,18,false)*HLOOKUP($K1478,'Type Chart'!$C$2:$U$20,18,false)</f>
        <v>2</v>
      </c>
      <c r="AL1478" s="960">
        <f t="array" ref="AL1478">HLOOKUP($J1478,'Type Chart'!$C$2:$T$20,19,false)*HLOOKUP($K1478,'Type Chart'!$C$2:$U$20,19,false)</f>
        <v>1</v>
      </c>
      <c r="AM1478" s="964" t="s">
        <v>1636</v>
      </c>
      <c r="AN1478" s="965"/>
      <c r="AO1478" s="966" t="s">
        <v>1062</v>
      </c>
      <c r="AP1478" s="936"/>
      <c r="AQ1478" s="1245"/>
      <c r="AR1478" s="1245"/>
      <c r="AS1478" s="936"/>
    </row>
    <row r="1479" ht="15.75" customHeight="1">
      <c r="A1479" s="1099"/>
      <c r="B1479" s="948" t="s">
        <v>1668</v>
      </c>
      <c r="C1479" s="1197" t="s">
        <v>1669</v>
      </c>
      <c r="D1479" s="1197" t="s">
        <v>1670</v>
      </c>
      <c r="E1479" s="1147" t="s">
        <v>1669</v>
      </c>
      <c r="F1479" s="940"/>
      <c r="G1479" s="953"/>
      <c r="H1479" s="969"/>
      <c r="I1479" s="998" t="s">
        <v>4579</v>
      </c>
      <c r="J1479" s="1203" t="s">
        <v>344</v>
      </c>
      <c r="K1479" s="1213" t="s">
        <v>341</v>
      </c>
      <c r="L1479" s="959">
        <v>106.0</v>
      </c>
      <c r="M1479" s="960">
        <v>190.0</v>
      </c>
      <c r="N1479" s="960">
        <v>100.0</v>
      </c>
      <c r="O1479" s="960">
        <v>154.0</v>
      </c>
      <c r="P1479" s="960">
        <v>100.0</v>
      </c>
      <c r="Q1479" s="960">
        <v>130.0</v>
      </c>
      <c r="R1479" s="960">
        <v>296.0</v>
      </c>
      <c r="S1479" s="960">
        <v>359.0</v>
      </c>
      <c r="T1479" s="960">
        <v>394.0</v>
      </c>
      <c r="U1479" s="960">
        <f t="array" ref="U1479">HLOOKUP($J1479,'Type Chart'!$C$2:$T$20,2,false)*HLOOKUP($K1479,'Type Chart'!$C$2:$U$20,2,false)</f>
        <v>1</v>
      </c>
      <c r="V1479" s="960">
        <f t="array" ref="V1479">HLOOKUP($J1479,'Type Chart'!$C$2:$T$20,3,false)*HLOOKUP($K1479,'Type Chart'!$C$2:$U$20,3,false)</f>
        <v>0.5</v>
      </c>
      <c r="W1479" s="960">
        <f t="array" ref="W1479">HLOOKUP($J1479,'Type Chart'!$C$2:$T$20,4,false)*HLOOKUP($K1479,'Type Chart'!$C$2:$U$20,4,false)</f>
        <v>2</v>
      </c>
      <c r="X1479" s="960">
        <f t="array" ref="X1479">HLOOKUP($J1479,'Type Chart'!$C$2:$T$20,5,false)*HLOOKUP($K1479,'Type Chart'!$C$2:$U$20,5,false)</f>
        <v>1</v>
      </c>
      <c r="Y1479" s="960">
        <f t="array" ref="Y1479">HLOOKUP($J1479,'Type Chart'!$C$2:$T$20,6,false)*HLOOKUP($K1479,'Type Chart'!$C$2:$U$20,6,false)</f>
        <v>1</v>
      </c>
      <c r="Z1479" s="960">
        <f t="array" ref="Z1479">HLOOKUP($J1479,'Type Chart'!$C$2:$T$20,7,false)*HLOOKUP($K1479,'Type Chart'!$C$2:$U$20,7,false)</f>
        <v>0.5</v>
      </c>
      <c r="AA1479" s="960">
        <f t="array" ref="AA1479">HLOOKUP($J1479,'Type Chart'!$C$2:$T$20,8,false)*HLOOKUP($K1479,'Type Chart'!$C$2:$U$20,8,false)</f>
        <v>1</v>
      </c>
      <c r="AB1479" s="960">
        <f t="array" ref="AB1479">HLOOKUP($J1479,'Type Chart'!$C$2:$T$20,9,false)*HLOOKUP($K1479,'Type Chart'!$C$2:$U$20,9,false)</f>
        <v>2</v>
      </c>
      <c r="AC1479" s="960">
        <f t="array" ref="AC1479">HLOOKUP($J1479,'Type Chart'!$C$2:$T$20,10,false)*HLOOKUP($K1479,'Type Chart'!$C$2:$U$20,10,false)</f>
        <v>1</v>
      </c>
      <c r="AD1479" s="960">
        <f t="array" ref="AD1479">HLOOKUP($J1479,'Type Chart'!$C$2:$T$20,11,false)*HLOOKUP($K1479,'Type Chart'!$C$2:$U$20,11,false)</f>
        <v>1</v>
      </c>
      <c r="AE1479" s="960">
        <f t="array" ref="AE1479">HLOOKUP($J1479,'Type Chart'!$C$2:$T$20,12,false)*HLOOKUP($K1479,'Type Chart'!$C$2:$U$20,12,false)</f>
        <v>1</v>
      </c>
      <c r="AF1479" s="960">
        <f t="array" ref="AF1479">HLOOKUP($J1479,'Type Chart'!$C$2:$T$20,13,false)*HLOOKUP($K1479,'Type Chart'!$C$2:$U$20,13,false)</f>
        <v>1</v>
      </c>
      <c r="AG1479" s="960">
        <f t="array" ref="AG1479">HLOOKUP($J1479,'Type Chart'!$C$2:$T$20,14,false)*HLOOKUP($K1479,'Type Chart'!$C$2:$U$20,14,false)</f>
        <v>1</v>
      </c>
      <c r="AH1479" s="960">
        <f t="array" ref="AH1479">HLOOKUP($J1479,'Type Chart'!$C$2:$T$20,15,false)*HLOOKUP($K1479,'Type Chart'!$C$2:$U$20,15,false)</f>
        <v>1</v>
      </c>
      <c r="AI1479" s="960">
        <f t="array" ref="AI1479">HLOOKUP($J1479,'Type Chart'!$C$2:$T$20,16,false)*HLOOKUP($K1479,'Type Chart'!$C$2:$U$20,16,false)</f>
        <v>1</v>
      </c>
      <c r="AJ1479" s="960">
        <f t="array" ref="AJ1479">HLOOKUP($J1479,'Type Chart'!$C$2:$T$20,17,false)*HLOOKUP($K1479,'Type Chart'!$C$2:$U$20,17,false)</f>
        <v>1</v>
      </c>
      <c r="AK1479" s="960">
        <f t="array" ref="AK1479">HLOOKUP($J1479,'Type Chart'!$C$2:$T$20,18,false)*HLOOKUP($K1479,'Type Chart'!$C$2:$U$20,18,false)</f>
        <v>1</v>
      </c>
      <c r="AL1479" s="960">
        <f t="array" ref="AL1479">HLOOKUP($J1479,'Type Chart'!$C$2:$T$20,19,false)*HLOOKUP($K1479,'Type Chart'!$C$2:$U$20,19,false)</f>
        <v>2</v>
      </c>
      <c r="AM1479" s="964" t="s">
        <v>1306</v>
      </c>
      <c r="AN1479" s="965"/>
      <c r="AO1479" s="966"/>
      <c r="AP1479" s="936"/>
      <c r="AQ1479" s="1245"/>
      <c r="AR1479" s="1245"/>
      <c r="AS1479" s="936"/>
    </row>
    <row r="1480" ht="15.75" customHeight="1">
      <c r="A1480" s="1099"/>
      <c r="B1480" s="948" t="s">
        <v>1672</v>
      </c>
      <c r="C1480" s="1197" t="s">
        <v>1673</v>
      </c>
      <c r="D1480" s="1197" t="s">
        <v>1674</v>
      </c>
      <c r="E1480" s="1147" t="s">
        <v>1673</v>
      </c>
      <c r="F1480" s="940"/>
      <c r="G1480" s="953"/>
      <c r="H1480" s="969"/>
      <c r="I1480" s="998" t="s">
        <v>4580</v>
      </c>
      <c r="J1480" s="1203" t="s">
        <v>344</v>
      </c>
      <c r="K1480" s="984" t="s">
        <v>216</v>
      </c>
      <c r="L1480" s="959">
        <v>106.0</v>
      </c>
      <c r="M1480" s="960">
        <v>150.0</v>
      </c>
      <c r="N1480" s="960">
        <v>70.0</v>
      </c>
      <c r="O1480" s="960">
        <v>194.0</v>
      </c>
      <c r="P1480" s="960">
        <v>120.0</v>
      </c>
      <c r="Q1480" s="960">
        <v>140.0</v>
      </c>
      <c r="R1480" s="960">
        <v>316.0</v>
      </c>
      <c r="S1480" s="960">
        <v>379.0</v>
      </c>
      <c r="T1480" s="960">
        <v>416.0</v>
      </c>
      <c r="U1480" s="960">
        <f t="array" ref="U1480">HLOOKUP($J1480,'Type Chart'!$C$2:$T$20,2,false)*HLOOKUP($K1480,'Type Chart'!$C$2:$U$20,2,false)</f>
        <v>1</v>
      </c>
      <c r="V1480" s="960">
        <f t="array" ref="V1480">HLOOKUP($J1480,'Type Chart'!$C$2:$T$20,3,false)*HLOOKUP($K1480,'Type Chart'!$C$2:$U$20,3,false)</f>
        <v>0.5</v>
      </c>
      <c r="W1480" s="960">
        <f t="array" ref="W1480">HLOOKUP($J1480,'Type Chart'!$C$2:$T$20,4,false)*HLOOKUP($K1480,'Type Chart'!$C$2:$U$20,4,false)</f>
        <v>1</v>
      </c>
      <c r="X1480" s="960">
        <f t="array" ref="X1480">HLOOKUP($J1480,'Type Chart'!$C$2:$T$20,5,false)*HLOOKUP($K1480,'Type Chart'!$C$2:$U$20,5,false)</f>
        <v>1</v>
      </c>
      <c r="Y1480" s="960">
        <f t="array" ref="Y1480">HLOOKUP($J1480,'Type Chart'!$C$2:$T$20,6,false)*HLOOKUP($K1480,'Type Chart'!$C$2:$U$20,6,false)</f>
        <v>1</v>
      </c>
      <c r="Z1480" s="960">
        <f t="array" ref="Z1480">HLOOKUP($J1480,'Type Chart'!$C$2:$T$20,7,false)*HLOOKUP($K1480,'Type Chart'!$C$2:$U$20,7,false)</f>
        <v>1</v>
      </c>
      <c r="AA1480" s="960">
        <f t="array" ref="AA1480">HLOOKUP($J1480,'Type Chart'!$C$2:$T$20,8,false)*HLOOKUP($K1480,'Type Chart'!$C$2:$U$20,8,false)</f>
        <v>2</v>
      </c>
      <c r="AB1480" s="960">
        <f t="array" ref="AB1480">HLOOKUP($J1480,'Type Chart'!$C$2:$T$20,9,false)*HLOOKUP($K1480,'Type Chart'!$C$2:$U$20,9,false)</f>
        <v>2</v>
      </c>
      <c r="AC1480" s="960">
        <f t="array" ref="AC1480">HLOOKUP($J1480,'Type Chart'!$C$2:$T$20,10,false)*HLOOKUP($K1480,'Type Chart'!$C$2:$U$20,10,false)</f>
        <v>1</v>
      </c>
      <c r="AD1480" s="960">
        <f t="array" ref="AD1480">HLOOKUP($J1480,'Type Chart'!$C$2:$T$20,11,false)*HLOOKUP($K1480,'Type Chart'!$C$2:$U$20,11,false)</f>
        <v>1</v>
      </c>
      <c r="AE1480" s="960">
        <f t="array" ref="AE1480">HLOOKUP($J1480,'Type Chart'!$C$2:$T$20,12,false)*HLOOKUP($K1480,'Type Chart'!$C$2:$U$20,12,false)</f>
        <v>1</v>
      </c>
      <c r="AF1480" s="960">
        <f t="array" ref="AF1480">HLOOKUP($J1480,'Type Chart'!$C$2:$T$20,13,false)*HLOOKUP($K1480,'Type Chart'!$C$2:$U$20,13,false)</f>
        <v>1</v>
      </c>
      <c r="AG1480" s="960">
        <f t="array" ref="AG1480">HLOOKUP($J1480,'Type Chart'!$C$2:$T$20,14,false)*HLOOKUP($K1480,'Type Chart'!$C$2:$U$20,14,false)</f>
        <v>1</v>
      </c>
      <c r="AH1480" s="960">
        <f t="array" ref="AH1480">HLOOKUP($J1480,'Type Chart'!$C$2:$T$20,15,false)*HLOOKUP($K1480,'Type Chart'!$C$2:$U$20,15,false)</f>
        <v>0.5</v>
      </c>
      <c r="AI1480" s="960">
        <f t="array" ref="AI1480">HLOOKUP($J1480,'Type Chart'!$C$2:$T$20,16,false)*HLOOKUP($K1480,'Type Chart'!$C$2:$U$20,16,false)</f>
        <v>1</v>
      </c>
      <c r="AJ1480" s="960">
        <f t="array" ref="AJ1480">HLOOKUP($J1480,'Type Chart'!$C$2:$T$20,17,false)*HLOOKUP($K1480,'Type Chart'!$C$2:$U$20,17,false)</f>
        <v>1</v>
      </c>
      <c r="AK1480" s="960">
        <f t="array" ref="AK1480">HLOOKUP($J1480,'Type Chart'!$C$2:$T$20,18,false)*HLOOKUP($K1480,'Type Chart'!$C$2:$U$20,18,false)</f>
        <v>2</v>
      </c>
      <c r="AL1480" s="960">
        <f t="array" ref="AL1480">HLOOKUP($J1480,'Type Chart'!$C$2:$T$20,19,false)*HLOOKUP($K1480,'Type Chart'!$C$2:$U$20,19,false)</f>
        <v>1</v>
      </c>
      <c r="AM1480" s="964" t="s">
        <v>1454</v>
      </c>
      <c r="AN1480" s="965"/>
      <c r="AO1480" s="966"/>
      <c r="AP1480" s="936"/>
      <c r="AQ1480" s="1245"/>
      <c r="AR1480" s="1245"/>
      <c r="AS1480" s="936"/>
    </row>
    <row r="1481" ht="15.75" customHeight="1">
      <c r="A1481" s="1099"/>
      <c r="B1481" s="948" t="s">
        <v>1676</v>
      </c>
      <c r="C1481" s="1197" t="s">
        <v>1677</v>
      </c>
      <c r="D1481" s="1197" t="s">
        <v>1677</v>
      </c>
      <c r="E1481" s="1147" t="s">
        <v>1677</v>
      </c>
      <c r="F1481" s="940"/>
      <c r="G1481" s="953"/>
      <c r="H1481" s="969"/>
      <c r="I1481" s="998" t="s">
        <v>4581</v>
      </c>
      <c r="J1481" s="1203" t="s">
        <v>344</v>
      </c>
      <c r="K1481" s="984" t="s">
        <v>216</v>
      </c>
      <c r="L1481" s="959">
        <v>100.0</v>
      </c>
      <c r="M1481" s="960">
        <v>100.0</v>
      </c>
      <c r="N1481" s="960">
        <v>100.0</v>
      </c>
      <c r="O1481" s="960">
        <v>100.0</v>
      </c>
      <c r="P1481" s="960">
        <v>100.0</v>
      </c>
      <c r="Q1481" s="960">
        <v>100.0</v>
      </c>
      <c r="R1481" s="960">
        <v>236.0</v>
      </c>
      <c r="S1481" s="960">
        <v>299.0</v>
      </c>
      <c r="T1481" s="960">
        <v>328.0</v>
      </c>
      <c r="U1481" s="960">
        <f t="array" ref="U1481">HLOOKUP($J1481,'Type Chart'!$C$2:$T$20,2,false)*HLOOKUP($K1481,'Type Chart'!$C$2:$U$20,2,false)</f>
        <v>1</v>
      </c>
      <c r="V1481" s="960">
        <f t="array" ref="V1481">HLOOKUP($J1481,'Type Chart'!$C$2:$T$20,3,false)*HLOOKUP($K1481,'Type Chart'!$C$2:$U$20,3,false)</f>
        <v>0.5</v>
      </c>
      <c r="W1481" s="960">
        <f t="array" ref="W1481">HLOOKUP($J1481,'Type Chart'!$C$2:$T$20,4,false)*HLOOKUP($K1481,'Type Chart'!$C$2:$U$20,4,false)</f>
        <v>1</v>
      </c>
      <c r="X1481" s="960">
        <f t="array" ref="X1481">HLOOKUP($J1481,'Type Chart'!$C$2:$T$20,5,false)*HLOOKUP($K1481,'Type Chart'!$C$2:$U$20,5,false)</f>
        <v>1</v>
      </c>
      <c r="Y1481" s="960">
        <f t="array" ref="Y1481">HLOOKUP($J1481,'Type Chart'!$C$2:$T$20,6,false)*HLOOKUP($K1481,'Type Chart'!$C$2:$U$20,6,false)</f>
        <v>1</v>
      </c>
      <c r="Z1481" s="960">
        <f t="array" ref="Z1481">HLOOKUP($J1481,'Type Chart'!$C$2:$T$20,7,false)*HLOOKUP($K1481,'Type Chart'!$C$2:$U$20,7,false)</f>
        <v>1</v>
      </c>
      <c r="AA1481" s="960">
        <f t="array" ref="AA1481">HLOOKUP($J1481,'Type Chart'!$C$2:$T$20,8,false)*HLOOKUP($K1481,'Type Chart'!$C$2:$U$20,8,false)</f>
        <v>2</v>
      </c>
      <c r="AB1481" s="960">
        <f t="array" ref="AB1481">HLOOKUP($J1481,'Type Chart'!$C$2:$T$20,9,false)*HLOOKUP($K1481,'Type Chart'!$C$2:$U$20,9,false)</f>
        <v>2</v>
      </c>
      <c r="AC1481" s="960">
        <f t="array" ref="AC1481">HLOOKUP($J1481,'Type Chart'!$C$2:$T$20,10,false)*HLOOKUP($K1481,'Type Chart'!$C$2:$U$20,10,false)</f>
        <v>1</v>
      </c>
      <c r="AD1481" s="960">
        <f t="array" ref="AD1481">HLOOKUP($J1481,'Type Chart'!$C$2:$T$20,11,false)*HLOOKUP($K1481,'Type Chart'!$C$2:$U$20,11,false)</f>
        <v>1</v>
      </c>
      <c r="AE1481" s="960">
        <f t="array" ref="AE1481">HLOOKUP($J1481,'Type Chart'!$C$2:$T$20,12,false)*HLOOKUP($K1481,'Type Chart'!$C$2:$U$20,12,false)</f>
        <v>1</v>
      </c>
      <c r="AF1481" s="960">
        <f t="array" ref="AF1481">HLOOKUP($J1481,'Type Chart'!$C$2:$T$20,13,false)*HLOOKUP($K1481,'Type Chart'!$C$2:$U$20,13,false)</f>
        <v>1</v>
      </c>
      <c r="AG1481" s="960">
        <f t="array" ref="AG1481">HLOOKUP($J1481,'Type Chart'!$C$2:$T$20,14,false)*HLOOKUP($K1481,'Type Chart'!$C$2:$U$20,14,false)</f>
        <v>1</v>
      </c>
      <c r="AH1481" s="960">
        <f t="array" ref="AH1481">HLOOKUP($J1481,'Type Chart'!$C$2:$T$20,15,false)*HLOOKUP($K1481,'Type Chart'!$C$2:$U$20,15,false)</f>
        <v>0.5</v>
      </c>
      <c r="AI1481" s="960">
        <f t="array" ref="AI1481">HLOOKUP($J1481,'Type Chart'!$C$2:$T$20,16,false)*HLOOKUP($K1481,'Type Chart'!$C$2:$U$20,16,false)</f>
        <v>1</v>
      </c>
      <c r="AJ1481" s="960">
        <f t="array" ref="AJ1481">HLOOKUP($J1481,'Type Chart'!$C$2:$T$20,17,false)*HLOOKUP($K1481,'Type Chart'!$C$2:$U$20,17,false)</f>
        <v>1</v>
      </c>
      <c r="AK1481" s="960">
        <f t="array" ref="AK1481">HLOOKUP($J1481,'Type Chart'!$C$2:$T$20,18,false)*HLOOKUP($K1481,'Type Chart'!$C$2:$U$20,18,false)</f>
        <v>2</v>
      </c>
      <c r="AL1481" s="960">
        <f t="array" ref="AL1481">HLOOKUP($J1481,'Type Chart'!$C$2:$T$20,19,false)*HLOOKUP($K1481,'Type Chart'!$C$2:$U$20,19,false)</f>
        <v>1</v>
      </c>
      <c r="AM1481" s="964" t="s">
        <v>1292</v>
      </c>
      <c r="AN1481" s="965"/>
      <c r="AO1481" s="966"/>
      <c r="AP1481" s="936"/>
      <c r="AQ1481" s="1245"/>
      <c r="AR1481" s="1245"/>
      <c r="AS1481" s="936"/>
    </row>
    <row r="1482" ht="15.75" customHeight="1">
      <c r="A1482" s="1099"/>
      <c r="B1482" s="948" t="s">
        <v>1678</v>
      </c>
      <c r="C1482" s="1197" t="s">
        <v>1679</v>
      </c>
      <c r="D1482" s="1197" t="s">
        <v>1679</v>
      </c>
      <c r="E1482" s="1147" t="s">
        <v>1679</v>
      </c>
      <c r="F1482" s="940"/>
      <c r="G1482" s="953"/>
      <c r="H1482" s="969"/>
      <c r="I1482" s="998" t="s">
        <v>4582</v>
      </c>
      <c r="J1482" s="957" t="s">
        <v>209</v>
      </c>
      <c r="K1482" s="984" t="s">
        <v>216</v>
      </c>
      <c r="L1482" s="959">
        <v>45.0</v>
      </c>
      <c r="M1482" s="960">
        <v>49.0</v>
      </c>
      <c r="N1482" s="960">
        <v>65.0</v>
      </c>
      <c r="O1482" s="960">
        <v>49.0</v>
      </c>
      <c r="P1482" s="960">
        <v>65.0</v>
      </c>
      <c r="Q1482" s="960">
        <v>45.0</v>
      </c>
      <c r="R1482" s="960">
        <v>126.0</v>
      </c>
      <c r="S1482" s="960">
        <v>189.0</v>
      </c>
      <c r="T1482" s="960">
        <v>207.0</v>
      </c>
      <c r="U1482" s="960">
        <f t="array" ref="U1482">HLOOKUP($J1482,'Type Chart'!$C$2:$T$20,2,false)*HLOOKUP($K1482,'Type Chart'!$C$2:$U$20,2,false)</f>
        <v>1</v>
      </c>
      <c r="V1482" s="960">
        <f t="array" ref="V1482">HLOOKUP($J1482,'Type Chart'!$C$2:$T$20,3,false)*HLOOKUP($K1482,'Type Chart'!$C$2:$U$20,3,false)</f>
        <v>1</v>
      </c>
      <c r="W1482" s="960">
        <f t="array" ref="W1482">HLOOKUP($J1482,'Type Chart'!$C$2:$T$20,4,false)*HLOOKUP($K1482,'Type Chart'!$C$2:$U$20,4,false)</f>
        <v>2</v>
      </c>
      <c r="X1482" s="960">
        <f t="array" ref="X1482">HLOOKUP($J1482,'Type Chart'!$C$2:$T$20,5,false)*HLOOKUP($K1482,'Type Chart'!$C$2:$U$20,5,false)</f>
        <v>2</v>
      </c>
      <c r="Y1482" s="960">
        <f t="array" ref="Y1482">HLOOKUP($J1482,'Type Chart'!$C$2:$T$20,6,false)*HLOOKUP($K1482,'Type Chart'!$C$2:$U$20,6,false)</f>
        <v>0.5</v>
      </c>
      <c r="Z1482" s="960">
        <f t="array" ref="Z1482">HLOOKUP($J1482,'Type Chart'!$C$2:$T$20,7,false)*HLOOKUP($K1482,'Type Chart'!$C$2:$U$20,7,false)</f>
        <v>1</v>
      </c>
      <c r="AA1482" s="960">
        <f t="array" ref="AA1482">HLOOKUP($J1482,'Type Chart'!$C$2:$T$20,8,false)*HLOOKUP($K1482,'Type Chart'!$C$2:$U$20,8,false)</f>
        <v>2</v>
      </c>
      <c r="AB1482" s="960">
        <f t="array" ref="AB1482">HLOOKUP($J1482,'Type Chart'!$C$2:$T$20,9,false)*HLOOKUP($K1482,'Type Chart'!$C$2:$U$20,9,false)</f>
        <v>1</v>
      </c>
      <c r="AC1482" s="960">
        <f t="array" ref="AC1482">HLOOKUP($J1482,'Type Chart'!$C$2:$T$20,10,false)*HLOOKUP($K1482,'Type Chart'!$C$2:$U$20,10,false)</f>
        <v>1</v>
      </c>
      <c r="AD1482" s="960">
        <f t="array" ref="AD1482">HLOOKUP($J1482,'Type Chart'!$C$2:$T$20,11,false)*HLOOKUP($K1482,'Type Chart'!$C$2:$U$20,11,false)</f>
        <v>2</v>
      </c>
      <c r="AE1482" s="960">
        <f t="array" ref="AE1482">HLOOKUP($J1482,'Type Chart'!$C$2:$T$20,12,false)*HLOOKUP($K1482,'Type Chart'!$C$2:$U$20,12,false)</f>
        <v>0.5</v>
      </c>
      <c r="AF1482" s="960">
        <f t="array" ref="AF1482">HLOOKUP($J1482,'Type Chart'!$C$2:$T$20,13,false)*HLOOKUP($K1482,'Type Chart'!$C$2:$U$20,13,false)</f>
        <v>0.5</v>
      </c>
      <c r="AG1482" s="960">
        <f t="array" ref="AG1482">HLOOKUP($J1482,'Type Chart'!$C$2:$T$20,14,false)*HLOOKUP($K1482,'Type Chart'!$C$2:$U$20,14,false)</f>
        <v>0.5</v>
      </c>
      <c r="AH1482" s="960">
        <f t="array" ref="AH1482">HLOOKUP($J1482,'Type Chart'!$C$2:$T$20,15,false)*HLOOKUP($K1482,'Type Chart'!$C$2:$U$20,15,false)</f>
        <v>1</v>
      </c>
      <c r="AI1482" s="960">
        <f t="array" ref="AI1482">HLOOKUP($J1482,'Type Chart'!$C$2:$T$20,16,false)*HLOOKUP($K1482,'Type Chart'!$C$2:$U$20,16,false)</f>
        <v>2</v>
      </c>
      <c r="AJ1482" s="960">
        <f t="array" ref="AJ1482">HLOOKUP($J1482,'Type Chart'!$C$2:$T$20,17,false)*HLOOKUP($K1482,'Type Chart'!$C$2:$U$20,17,false)</f>
        <v>1</v>
      </c>
      <c r="AK1482" s="960">
        <f t="array" ref="AK1482">HLOOKUP($J1482,'Type Chart'!$C$2:$T$20,18,false)*HLOOKUP($K1482,'Type Chart'!$C$2:$U$20,18,false)</f>
        <v>1</v>
      </c>
      <c r="AL1482" s="960">
        <f t="array" ref="AL1482">HLOOKUP($J1482,'Type Chart'!$C$2:$T$20,19,false)*HLOOKUP($K1482,'Type Chart'!$C$2:$U$20,19,false)</f>
        <v>1</v>
      </c>
      <c r="AM1482" s="964" t="s">
        <v>522</v>
      </c>
      <c r="AN1482" s="965"/>
      <c r="AO1482" s="966" t="s">
        <v>1526</v>
      </c>
      <c r="AP1482" s="936"/>
      <c r="AQ1482" s="1245"/>
      <c r="AR1482" s="1245"/>
      <c r="AS1482" s="936"/>
    </row>
    <row r="1483" ht="15.75" customHeight="1">
      <c r="A1483" s="1099"/>
      <c r="B1483" s="948" t="s">
        <v>1681</v>
      </c>
      <c r="C1483" s="1197" t="s">
        <v>1682</v>
      </c>
      <c r="D1483" s="1197" t="s">
        <v>1682</v>
      </c>
      <c r="E1483" s="1147" t="s">
        <v>1682</v>
      </c>
      <c r="F1483" s="940"/>
      <c r="G1483" s="953"/>
      <c r="H1483" s="969"/>
      <c r="I1483" s="998" t="s">
        <v>4583</v>
      </c>
      <c r="J1483" s="1228" t="s">
        <v>209</v>
      </c>
      <c r="K1483" s="1199" t="s">
        <v>216</v>
      </c>
      <c r="L1483" s="1200">
        <v>60.0</v>
      </c>
      <c r="M1483" s="1201">
        <v>62.0</v>
      </c>
      <c r="N1483" s="1201">
        <v>80.0</v>
      </c>
      <c r="O1483" s="1201">
        <v>63.0</v>
      </c>
      <c r="P1483" s="1201">
        <v>80.0</v>
      </c>
      <c r="Q1483" s="1201">
        <v>60.0</v>
      </c>
      <c r="R1483" s="960">
        <v>156.0</v>
      </c>
      <c r="S1483" s="960">
        <v>219.0</v>
      </c>
      <c r="T1483" s="960">
        <v>240.0</v>
      </c>
      <c r="U1483" s="960">
        <f t="array" ref="U1483">HLOOKUP($J1483,'Type Chart'!$C$2:$T$20,2,false)*HLOOKUP($K1483,'Type Chart'!$C$2:$U$20,2,false)</f>
        <v>1</v>
      </c>
      <c r="V1483" s="960">
        <f t="array" ref="V1483">HLOOKUP($J1483,'Type Chart'!$C$2:$T$20,3,false)*HLOOKUP($K1483,'Type Chart'!$C$2:$U$20,3,false)</f>
        <v>1</v>
      </c>
      <c r="W1483" s="960">
        <f t="array" ref="W1483">HLOOKUP($J1483,'Type Chart'!$C$2:$T$20,4,false)*HLOOKUP($K1483,'Type Chart'!$C$2:$U$20,4,false)</f>
        <v>2</v>
      </c>
      <c r="X1483" s="960">
        <f t="array" ref="X1483">HLOOKUP($J1483,'Type Chart'!$C$2:$T$20,5,false)*HLOOKUP($K1483,'Type Chart'!$C$2:$U$20,5,false)</f>
        <v>2</v>
      </c>
      <c r="Y1483" s="960">
        <f t="array" ref="Y1483">HLOOKUP($J1483,'Type Chart'!$C$2:$T$20,6,false)*HLOOKUP($K1483,'Type Chart'!$C$2:$U$20,6,false)</f>
        <v>0.5</v>
      </c>
      <c r="Z1483" s="960">
        <f t="array" ref="Z1483">HLOOKUP($J1483,'Type Chart'!$C$2:$T$20,7,false)*HLOOKUP($K1483,'Type Chart'!$C$2:$U$20,7,false)</f>
        <v>1</v>
      </c>
      <c r="AA1483" s="960">
        <f t="array" ref="AA1483">HLOOKUP($J1483,'Type Chart'!$C$2:$T$20,8,false)*HLOOKUP($K1483,'Type Chart'!$C$2:$U$20,8,false)</f>
        <v>2</v>
      </c>
      <c r="AB1483" s="960">
        <f t="array" ref="AB1483">HLOOKUP($J1483,'Type Chart'!$C$2:$T$20,9,false)*HLOOKUP($K1483,'Type Chart'!$C$2:$U$20,9,false)</f>
        <v>1</v>
      </c>
      <c r="AC1483" s="960">
        <f t="array" ref="AC1483">HLOOKUP($J1483,'Type Chart'!$C$2:$T$20,10,false)*HLOOKUP($K1483,'Type Chart'!$C$2:$U$20,10,false)</f>
        <v>1</v>
      </c>
      <c r="AD1483" s="960">
        <f t="array" ref="AD1483">HLOOKUP($J1483,'Type Chart'!$C$2:$T$20,11,false)*HLOOKUP($K1483,'Type Chart'!$C$2:$U$20,11,false)</f>
        <v>2</v>
      </c>
      <c r="AE1483" s="960">
        <f t="array" ref="AE1483">HLOOKUP($J1483,'Type Chart'!$C$2:$T$20,12,false)*HLOOKUP($K1483,'Type Chart'!$C$2:$U$20,12,false)</f>
        <v>0.5</v>
      </c>
      <c r="AF1483" s="960">
        <f t="array" ref="AF1483">HLOOKUP($J1483,'Type Chart'!$C$2:$T$20,13,false)*HLOOKUP($K1483,'Type Chart'!$C$2:$U$20,13,false)</f>
        <v>0.5</v>
      </c>
      <c r="AG1483" s="960">
        <f t="array" ref="AG1483">HLOOKUP($J1483,'Type Chart'!$C$2:$T$20,14,false)*HLOOKUP($K1483,'Type Chart'!$C$2:$U$20,14,false)</f>
        <v>0.5</v>
      </c>
      <c r="AH1483" s="960">
        <f t="array" ref="AH1483">HLOOKUP($J1483,'Type Chart'!$C$2:$T$20,15,false)*HLOOKUP($K1483,'Type Chart'!$C$2:$U$20,15,false)</f>
        <v>1</v>
      </c>
      <c r="AI1483" s="960">
        <f t="array" ref="AI1483">HLOOKUP($J1483,'Type Chart'!$C$2:$T$20,16,false)*HLOOKUP($K1483,'Type Chart'!$C$2:$U$20,16,false)</f>
        <v>2</v>
      </c>
      <c r="AJ1483" s="960">
        <f t="array" ref="AJ1483">HLOOKUP($J1483,'Type Chart'!$C$2:$T$20,17,false)*HLOOKUP($K1483,'Type Chart'!$C$2:$U$20,17,false)</f>
        <v>1</v>
      </c>
      <c r="AK1483" s="960">
        <f t="array" ref="AK1483">HLOOKUP($J1483,'Type Chart'!$C$2:$T$20,18,false)*HLOOKUP($K1483,'Type Chart'!$C$2:$U$20,18,false)</f>
        <v>1</v>
      </c>
      <c r="AL1483" s="960">
        <f t="array" ref="AL1483">HLOOKUP($J1483,'Type Chart'!$C$2:$T$20,19,false)*HLOOKUP($K1483,'Type Chart'!$C$2:$U$20,19,false)</f>
        <v>1</v>
      </c>
      <c r="AM1483" s="1145" t="s">
        <v>522</v>
      </c>
      <c r="AN1483" s="965"/>
      <c r="AO1483" s="1146" t="s">
        <v>1526</v>
      </c>
      <c r="AP1483" s="936"/>
      <c r="AQ1483" s="1245"/>
      <c r="AR1483" s="1245"/>
      <c r="AS1483" s="936"/>
    </row>
    <row r="1484" ht="15.75" customHeight="1">
      <c r="A1484" s="1099"/>
      <c r="B1484" s="948" t="s">
        <v>1683</v>
      </c>
      <c r="C1484" s="1197" t="s">
        <v>1684</v>
      </c>
      <c r="D1484" s="1197" t="s">
        <v>1684</v>
      </c>
      <c r="E1484" s="1147" t="s">
        <v>1684</v>
      </c>
      <c r="F1484" s="940"/>
      <c r="G1484" s="953"/>
      <c r="H1484" s="969"/>
      <c r="I1484" s="998" t="s">
        <v>4584</v>
      </c>
      <c r="J1484" s="957" t="s">
        <v>209</v>
      </c>
      <c r="K1484" s="984" t="s">
        <v>216</v>
      </c>
      <c r="L1484" s="959">
        <v>80.0</v>
      </c>
      <c r="M1484" s="960">
        <v>82.0</v>
      </c>
      <c r="N1484" s="960">
        <v>100.0</v>
      </c>
      <c r="O1484" s="960">
        <v>83.0</v>
      </c>
      <c r="P1484" s="960">
        <v>100.0</v>
      </c>
      <c r="Q1484" s="960">
        <v>80.0</v>
      </c>
      <c r="R1484" s="960">
        <v>196.0</v>
      </c>
      <c r="S1484" s="960">
        <v>259.0</v>
      </c>
      <c r="T1484" s="960">
        <v>284.0</v>
      </c>
      <c r="U1484" s="960">
        <f t="array" ref="U1484">HLOOKUP($J1484,'Type Chart'!$C$2:$T$20,2,false)*HLOOKUP($K1484,'Type Chart'!$C$2:$U$20,2,false)</f>
        <v>1</v>
      </c>
      <c r="V1484" s="960">
        <f t="array" ref="V1484">HLOOKUP($J1484,'Type Chart'!$C$2:$T$20,3,false)*HLOOKUP($K1484,'Type Chart'!$C$2:$U$20,3,false)</f>
        <v>1</v>
      </c>
      <c r="W1484" s="960">
        <f t="array" ref="W1484">HLOOKUP($J1484,'Type Chart'!$C$2:$T$20,4,false)*HLOOKUP($K1484,'Type Chart'!$C$2:$U$20,4,false)</f>
        <v>2</v>
      </c>
      <c r="X1484" s="960">
        <f t="array" ref="X1484">HLOOKUP($J1484,'Type Chart'!$C$2:$T$20,5,false)*HLOOKUP($K1484,'Type Chart'!$C$2:$U$20,5,false)</f>
        <v>2</v>
      </c>
      <c r="Y1484" s="960">
        <f t="array" ref="Y1484">HLOOKUP($J1484,'Type Chart'!$C$2:$T$20,6,false)*HLOOKUP($K1484,'Type Chart'!$C$2:$U$20,6,false)</f>
        <v>0.5</v>
      </c>
      <c r="Z1484" s="960">
        <f t="array" ref="Z1484">HLOOKUP($J1484,'Type Chart'!$C$2:$T$20,7,false)*HLOOKUP($K1484,'Type Chart'!$C$2:$U$20,7,false)</f>
        <v>1</v>
      </c>
      <c r="AA1484" s="960">
        <f t="array" ref="AA1484">HLOOKUP($J1484,'Type Chart'!$C$2:$T$20,8,false)*HLOOKUP($K1484,'Type Chart'!$C$2:$U$20,8,false)</f>
        <v>2</v>
      </c>
      <c r="AB1484" s="960">
        <f t="array" ref="AB1484">HLOOKUP($J1484,'Type Chart'!$C$2:$T$20,9,false)*HLOOKUP($K1484,'Type Chart'!$C$2:$U$20,9,false)</f>
        <v>1</v>
      </c>
      <c r="AC1484" s="960">
        <f t="array" ref="AC1484">HLOOKUP($J1484,'Type Chart'!$C$2:$T$20,10,false)*HLOOKUP($K1484,'Type Chart'!$C$2:$U$20,10,false)</f>
        <v>1</v>
      </c>
      <c r="AD1484" s="960">
        <f t="array" ref="AD1484">HLOOKUP($J1484,'Type Chart'!$C$2:$T$20,11,false)*HLOOKUP($K1484,'Type Chart'!$C$2:$U$20,11,false)</f>
        <v>2</v>
      </c>
      <c r="AE1484" s="960">
        <f t="array" ref="AE1484">HLOOKUP($J1484,'Type Chart'!$C$2:$T$20,12,false)*HLOOKUP($K1484,'Type Chart'!$C$2:$U$20,12,false)</f>
        <v>0.5</v>
      </c>
      <c r="AF1484" s="960">
        <f t="array" ref="AF1484">HLOOKUP($J1484,'Type Chart'!$C$2:$T$20,13,false)*HLOOKUP($K1484,'Type Chart'!$C$2:$U$20,13,false)</f>
        <v>0.5</v>
      </c>
      <c r="AG1484" s="960">
        <f t="array" ref="AG1484">HLOOKUP($J1484,'Type Chart'!$C$2:$T$20,14,false)*HLOOKUP($K1484,'Type Chart'!$C$2:$U$20,14,false)</f>
        <v>0.5</v>
      </c>
      <c r="AH1484" s="960">
        <f t="array" ref="AH1484">HLOOKUP($J1484,'Type Chart'!$C$2:$T$20,15,false)*HLOOKUP($K1484,'Type Chart'!$C$2:$U$20,15,false)</f>
        <v>1</v>
      </c>
      <c r="AI1484" s="960">
        <f t="array" ref="AI1484">HLOOKUP($J1484,'Type Chart'!$C$2:$T$20,16,false)*HLOOKUP($K1484,'Type Chart'!$C$2:$U$20,16,false)</f>
        <v>2</v>
      </c>
      <c r="AJ1484" s="960">
        <f t="array" ref="AJ1484">HLOOKUP($J1484,'Type Chart'!$C$2:$T$20,17,false)*HLOOKUP($K1484,'Type Chart'!$C$2:$U$20,17,false)</f>
        <v>1</v>
      </c>
      <c r="AK1484" s="960">
        <f t="array" ref="AK1484">HLOOKUP($J1484,'Type Chart'!$C$2:$T$20,18,false)*HLOOKUP($K1484,'Type Chart'!$C$2:$U$20,18,false)</f>
        <v>1</v>
      </c>
      <c r="AL1484" s="960">
        <f t="array" ref="AL1484">HLOOKUP($J1484,'Type Chart'!$C$2:$T$20,19,false)*HLOOKUP($K1484,'Type Chart'!$C$2:$U$20,19,false)</f>
        <v>1</v>
      </c>
      <c r="AM1484" s="964" t="s">
        <v>522</v>
      </c>
      <c r="AN1484" s="965"/>
      <c r="AO1484" s="966" t="s">
        <v>1526</v>
      </c>
      <c r="AP1484" s="936"/>
      <c r="AQ1484" s="1245"/>
      <c r="AR1484" s="1245"/>
      <c r="AS1484" s="936"/>
    </row>
    <row r="1485" ht="15.75" customHeight="1">
      <c r="A1485" s="1099"/>
      <c r="B1485" s="948" t="s">
        <v>1685</v>
      </c>
      <c r="C1485" s="1197" t="s">
        <v>1686</v>
      </c>
      <c r="D1485" s="1197" t="s">
        <v>1686</v>
      </c>
      <c r="E1485" s="1147" t="s">
        <v>1686</v>
      </c>
      <c r="F1485" s="940"/>
      <c r="G1485" s="953"/>
      <c r="H1485" s="969"/>
      <c r="I1485" s="998" t="s">
        <v>4585</v>
      </c>
      <c r="J1485" s="982" t="s">
        <v>150</v>
      </c>
      <c r="K1485" s="984" t="s">
        <v>216</v>
      </c>
      <c r="L1485" s="959">
        <v>39.0</v>
      </c>
      <c r="M1485" s="960">
        <v>52.0</v>
      </c>
      <c r="N1485" s="960">
        <v>43.0</v>
      </c>
      <c r="O1485" s="960">
        <v>60.0</v>
      </c>
      <c r="P1485" s="960">
        <v>50.0</v>
      </c>
      <c r="Q1485" s="960">
        <v>65.0</v>
      </c>
      <c r="R1485" s="960">
        <v>166.0</v>
      </c>
      <c r="S1485" s="960">
        <v>229.0</v>
      </c>
      <c r="T1485" s="960">
        <v>251.0</v>
      </c>
      <c r="U1485" s="960">
        <f t="array" ref="U1485">HLOOKUP($J1485,'Type Chart'!$C$2:$T$20,2,false)*HLOOKUP($K1485,'Type Chart'!$C$2:$U$20,2,false)</f>
        <v>1</v>
      </c>
      <c r="V1485" s="960">
        <f t="array" ref="V1485">HLOOKUP($J1485,'Type Chart'!$C$2:$T$20,3,false)*HLOOKUP($K1485,'Type Chart'!$C$2:$U$20,3,false)</f>
        <v>1</v>
      </c>
      <c r="W1485" s="960">
        <f t="array" ref="W1485">HLOOKUP($J1485,'Type Chart'!$C$2:$T$20,4,false)*HLOOKUP($K1485,'Type Chart'!$C$2:$U$20,4,false)</f>
        <v>1</v>
      </c>
      <c r="X1485" s="960">
        <f t="array" ref="X1485">HLOOKUP($J1485,'Type Chart'!$C$2:$T$20,5,false)*HLOOKUP($K1485,'Type Chart'!$C$2:$U$20,5,false)</f>
        <v>1</v>
      </c>
      <c r="Y1485" s="960">
        <f t="array" ref="Y1485">HLOOKUP($J1485,'Type Chart'!$C$2:$T$20,6,false)*HLOOKUP($K1485,'Type Chart'!$C$2:$U$20,6,false)</f>
        <v>2</v>
      </c>
      <c r="Z1485" s="960">
        <f t="array" ref="Z1485">HLOOKUP($J1485,'Type Chart'!$C$2:$T$20,7,false)*HLOOKUP($K1485,'Type Chart'!$C$2:$U$20,7,false)</f>
        <v>2</v>
      </c>
      <c r="AA1485" s="960">
        <f t="array" ref="AA1485">HLOOKUP($J1485,'Type Chart'!$C$2:$T$20,8,false)*HLOOKUP($K1485,'Type Chart'!$C$2:$U$20,8,false)</f>
        <v>0.5</v>
      </c>
      <c r="AB1485" s="960">
        <f t="array" ref="AB1485">HLOOKUP($J1485,'Type Chart'!$C$2:$T$20,9,false)*HLOOKUP($K1485,'Type Chart'!$C$2:$U$20,9,false)</f>
        <v>1</v>
      </c>
      <c r="AC1485" s="960">
        <f t="array" ref="AC1485">HLOOKUP($J1485,'Type Chart'!$C$2:$T$20,10,false)*HLOOKUP($K1485,'Type Chart'!$C$2:$U$20,10,false)</f>
        <v>0.5</v>
      </c>
      <c r="AD1485" s="960">
        <f t="array" ref="AD1485">HLOOKUP($J1485,'Type Chart'!$C$2:$T$20,11,false)*HLOOKUP($K1485,'Type Chart'!$C$2:$U$20,11,false)</f>
        <v>0.5</v>
      </c>
      <c r="AE1485" s="960">
        <f t="array" ref="AE1485">HLOOKUP($J1485,'Type Chart'!$C$2:$T$20,12,false)*HLOOKUP($K1485,'Type Chart'!$C$2:$U$20,12,false)</f>
        <v>2</v>
      </c>
      <c r="AF1485" s="960">
        <f t="array" ref="AF1485">HLOOKUP($J1485,'Type Chart'!$C$2:$T$20,13,false)*HLOOKUP($K1485,'Type Chart'!$C$2:$U$20,13,false)</f>
        <v>0.5</v>
      </c>
      <c r="AG1485" s="960">
        <f t="array" ref="AG1485">HLOOKUP($J1485,'Type Chart'!$C$2:$T$20,14,false)*HLOOKUP($K1485,'Type Chart'!$C$2:$U$20,14,false)</f>
        <v>1</v>
      </c>
      <c r="AH1485" s="960">
        <f t="array" ref="AH1485">HLOOKUP($J1485,'Type Chart'!$C$2:$T$20,15,false)*HLOOKUP($K1485,'Type Chart'!$C$2:$U$20,15,false)</f>
        <v>1</v>
      </c>
      <c r="AI1485" s="960">
        <f t="array" ref="AI1485">HLOOKUP($J1485,'Type Chart'!$C$2:$T$20,16,false)*HLOOKUP($K1485,'Type Chart'!$C$2:$U$20,16,false)</f>
        <v>0.5</v>
      </c>
      <c r="AJ1485" s="960">
        <f t="array" ref="AJ1485">HLOOKUP($J1485,'Type Chart'!$C$2:$T$20,17,false)*HLOOKUP($K1485,'Type Chart'!$C$2:$U$20,17,false)</f>
        <v>1</v>
      </c>
      <c r="AK1485" s="960">
        <f t="array" ref="AK1485">HLOOKUP($J1485,'Type Chart'!$C$2:$T$20,18,false)*HLOOKUP($K1485,'Type Chart'!$C$2:$U$20,18,false)</f>
        <v>1</v>
      </c>
      <c r="AL1485" s="960">
        <f t="array" ref="AL1485">HLOOKUP($J1485,'Type Chart'!$C$2:$T$20,19,false)*HLOOKUP($K1485,'Type Chart'!$C$2:$U$20,19,false)</f>
        <v>0.5</v>
      </c>
      <c r="AM1485" s="964" t="s">
        <v>830</v>
      </c>
      <c r="AN1485" s="965"/>
      <c r="AO1485" s="966" t="s">
        <v>1172</v>
      </c>
      <c r="AP1485" s="936"/>
      <c r="AQ1485" s="1245"/>
      <c r="AR1485" s="1245"/>
      <c r="AS1485" s="936"/>
    </row>
    <row r="1486" ht="15.75" customHeight="1">
      <c r="A1486" s="1099"/>
      <c r="B1486" s="948" t="s">
        <v>1688</v>
      </c>
      <c r="C1486" s="1197" t="s">
        <v>1689</v>
      </c>
      <c r="D1486" s="1197" t="s">
        <v>1689</v>
      </c>
      <c r="E1486" s="1147" t="s">
        <v>1689</v>
      </c>
      <c r="F1486" s="940"/>
      <c r="G1486" s="953"/>
      <c r="H1486" s="969"/>
      <c r="I1486" s="998" t="s">
        <v>4586</v>
      </c>
      <c r="J1486" s="982" t="s">
        <v>150</v>
      </c>
      <c r="K1486" s="984" t="s">
        <v>216</v>
      </c>
      <c r="L1486" s="959">
        <v>58.0</v>
      </c>
      <c r="M1486" s="960">
        <v>64.0</v>
      </c>
      <c r="N1486" s="960">
        <v>58.0</v>
      </c>
      <c r="O1486" s="960">
        <v>80.0</v>
      </c>
      <c r="P1486" s="960">
        <v>65.0</v>
      </c>
      <c r="Q1486" s="960">
        <v>80.0</v>
      </c>
      <c r="R1486" s="960">
        <v>196.0</v>
      </c>
      <c r="S1486" s="960">
        <v>259.0</v>
      </c>
      <c r="T1486" s="960">
        <v>284.0</v>
      </c>
      <c r="U1486" s="960">
        <f t="array" ref="U1486">HLOOKUP($J1486,'Type Chart'!$C$2:$T$20,2,false)*HLOOKUP($K1486,'Type Chart'!$C$2:$U$20,2,false)</f>
        <v>1</v>
      </c>
      <c r="V1486" s="960">
        <f t="array" ref="V1486">HLOOKUP($J1486,'Type Chart'!$C$2:$T$20,3,false)*HLOOKUP($K1486,'Type Chart'!$C$2:$U$20,3,false)</f>
        <v>1</v>
      </c>
      <c r="W1486" s="960">
        <f t="array" ref="W1486">HLOOKUP($J1486,'Type Chart'!$C$2:$T$20,4,false)*HLOOKUP($K1486,'Type Chart'!$C$2:$U$20,4,false)</f>
        <v>1</v>
      </c>
      <c r="X1486" s="960">
        <f t="array" ref="X1486">HLOOKUP($J1486,'Type Chart'!$C$2:$T$20,5,false)*HLOOKUP($K1486,'Type Chart'!$C$2:$U$20,5,false)</f>
        <v>1</v>
      </c>
      <c r="Y1486" s="960">
        <f t="array" ref="Y1486">HLOOKUP($J1486,'Type Chart'!$C$2:$T$20,6,false)*HLOOKUP($K1486,'Type Chart'!$C$2:$U$20,6,false)</f>
        <v>2</v>
      </c>
      <c r="Z1486" s="960">
        <f t="array" ref="Z1486">HLOOKUP($J1486,'Type Chart'!$C$2:$T$20,7,false)*HLOOKUP($K1486,'Type Chart'!$C$2:$U$20,7,false)</f>
        <v>2</v>
      </c>
      <c r="AA1486" s="960">
        <f t="array" ref="AA1486">HLOOKUP($J1486,'Type Chart'!$C$2:$T$20,8,false)*HLOOKUP($K1486,'Type Chart'!$C$2:$U$20,8,false)</f>
        <v>0.5</v>
      </c>
      <c r="AB1486" s="960">
        <f t="array" ref="AB1486">HLOOKUP($J1486,'Type Chart'!$C$2:$T$20,9,false)*HLOOKUP($K1486,'Type Chart'!$C$2:$U$20,9,false)</f>
        <v>1</v>
      </c>
      <c r="AC1486" s="960">
        <f t="array" ref="AC1486">HLOOKUP($J1486,'Type Chart'!$C$2:$T$20,10,false)*HLOOKUP($K1486,'Type Chart'!$C$2:$U$20,10,false)</f>
        <v>0.5</v>
      </c>
      <c r="AD1486" s="960">
        <f t="array" ref="AD1486">HLOOKUP($J1486,'Type Chart'!$C$2:$T$20,11,false)*HLOOKUP($K1486,'Type Chart'!$C$2:$U$20,11,false)</f>
        <v>0.5</v>
      </c>
      <c r="AE1486" s="960">
        <f t="array" ref="AE1486">HLOOKUP($J1486,'Type Chart'!$C$2:$T$20,12,false)*HLOOKUP($K1486,'Type Chart'!$C$2:$U$20,12,false)</f>
        <v>2</v>
      </c>
      <c r="AF1486" s="960">
        <f t="array" ref="AF1486">HLOOKUP($J1486,'Type Chart'!$C$2:$T$20,13,false)*HLOOKUP($K1486,'Type Chart'!$C$2:$U$20,13,false)</f>
        <v>0.5</v>
      </c>
      <c r="AG1486" s="960">
        <f t="array" ref="AG1486">HLOOKUP($J1486,'Type Chart'!$C$2:$T$20,14,false)*HLOOKUP($K1486,'Type Chart'!$C$2:$U$20,14,false)</f>
        <v>1</v>
      </c>
      <c r="AH1486" s="960">
        <f t="array" ref="AH1486">HLOOKUP($J1486,'Type Chart'!$C$2:$T$20,15,false)*HLOOKUP($K1486,'Type Chart'!$C$2:$U$20,15,false)</f>
        <v>1</v>
      </c>
      <c r="AI1486" s="960">
        <f t="array" ref="AI1486">HLOOKUP($J1486,'Type Chart'!$C$2:$T$20,16,false)*HLOOKUP($K1486,'Type Chart'!$C$2:$U$20,16,false)</f>
        <v>0.5</v>
      </c>
      <c r="AJ1486" s="960">
        <f t="array" ref="AJ1486">HLOOKUP($J1486,'Type Chart'!$C$2:$T$20,17,false)*HLOOKUP($K1486,'Type Chart'!$C$2:$U$20,17,false)</f>
        <v>1</v>
      </c>
      <c r="AK1486" s="960">
        <f t="array" ref="AK1486">HLOOKUP($J1486,'Type Chart'!$C$2:$T$20,18,false)*HLOOKUP($K1486,'Type Chart'!$C$2:$U$20,18,false)</f>
        <v>1</v>
      </c>
      <c r="AL1486" s="960">
        <f t="array" ref="AL1486">HLOOKUP($J1486,'Type Chart'!$C$2:$T$20,19,false)*HLOOKUP($K1486,'Type Chart'!$C$2:$U$20,19,false)</f>
        <v>0.5</v>
      </c>
      <c r="AM1486" s="964" t="s">
        <v>830</v>
      </c>
      <c r="AN1486" s="965"/>
      <c r="AO1486" s="966" t="s">
        <v>1172</v>
      </c>
      <c r="AP1486" s="936"/>
      <c r="AQ1486" s="1245"/>
      <c r="AR1486" s="1245"/>
      <c r="AS1486" s="936"/>
    </row>
    <row r="1487" ht="15.75" customHeight="1">
      <c r="A1487" s="1099"/>
      <c r="B1487" s="948" t="s">
        <v>1690</v>
      </c>
      <c r="C1487" s="1197" t="s">
        <v>1691</v>
      </c>
      <c r="D1487" s="1197" t="s">
        <v>1691</v>
      </c>
      <c r="E1487" s="1147" t="s">
        <v>1691</v>
      </c>
      <c r="F1487" s="940"/>
      <c r="G1487" s="953"/>
      <c r="H1487" s="969"/>
      <c r="I1487" s="998" t="s">
        <v>4587</v>
      </c>
      <c r="J1487" s="982" t="s">
        <v>150</v>
      </c>
      <c r="K1487" s="984" t="s">
        <v>216</v>
      </c>
      <c r="L1487" s="959">
        <v>78.0</v>
      </c>
      <c r="M1487" s="960">
        <v>84.0</v>
      </c>
      <c r="N1487" s="960">
        <v>78.0</v>
      </c>
      <c r="O1487" s="960">
        <v>109.0</v>
      </c>
      <c r="P1487" s="960">
        <v>85.0</v>
      </c>
      <c r="Q1487" s="960">
        <v>100.0</v>
      </c>
      <c r="R1487" s="960">
        <v>236.0</v>
      </c>
      <c r="S1487" s="960">
        <v>299.0</v>
      </c>
      <c r="T1487" s="960">
        <v>328.0</v>
      </c>
      <c r="U1487" s="960">
        <f t="array" ref="U1487">HLOOKUP($J1487,'Type Chart'!$C$2:$T$20,2,false)*HLOOKUP($K1487,'Type Chart'!$C$2:$U$20,2,false)</f>
        <v>1</v>
      </c>
      <c r="V1487" s="960">
        <f t="array" ref="V1487">HLOOKUP($J1487,'Type Chart'!$C$2:$T$20,3,false)*HLOOKUP($K1487,'Type Chart'!$C$2:$U$20,3,false)</f>
        <v>1</v>
      </c>
      <c r="W1487" s="960">
        <f t="array" ref="W1487">HLOOKUP($J1487,'Type Chart'!$C$2:$T$20,4,false)*HLOOKUP($K1487,'Type Chart'!$C$2:$U$20,4,false)</f>
        <v>1</v>
      </c>
      <c r="X1487" s="960">
        <f t="array" ref="X1487">HLOOKUP($J1487,'Type Chart'!$C$2:$T$20,5,false)*HLOOKUP($K1487,'Type Chart'!$C$2:$U$20,5,false)</f>
        <v>1</v>
      </c>
      <c r="Y1487" s="960">
        <f t="array" ref="Y1487">HLOOKUP($J1487,'Type Chart'!$C$2:$T$20,6,false)*HLOOKUP($K1487,'Type Chart'!$C$2:$U$20,6,false)</f>
        <v>2</v>
      </c>
      <c r="Z1487" s="960">
        <f t="array" ref="Z1487">HLOOKUP($J1487,'Type Chart'!$C$2:$T$20,7,false)*HLOOKUP($K1487,'Type Chart'!$C$2:$U$20,7,false)</f>
        <v>2</v>
      </c>
      <c r="AA1487" s="960">
        <f t="array" ref="AA1487">HLOOKUP($J1487,'Type Chart'!$C$2:$T$20,8,false)*HLOOKUP($K1487,'Type Chart'!$C$2:$U$20,8,false)</f>
        <v>0.5</v>
      </c>
      <c r="AB1487" s="960">
        <f t="array" ref="AB1487">HLOOKUP($J1487,'Type Chart'!$C$2:$T$20,9,false)*HLOOKUP($K1487,'Type Chart'!$C$2:$U$20,9,false)</f>
        <v>1</v>
      </c>
      <c r="AC1487" s="960">
        <f t="array" ref="AC1487">HLOOKUP($J1487,'Type Chart'!$C$2:$T$20,10,false)*HLOOKUP($K1487,'Type Chart'!$C$2:$U$20,10,false)</f>
        <v>0.5</v>
      </c>
      <c r="AD1487" s="960">
        <f t="array" ref="AD1487">HLOOKUP($J1487,'Type Chart'!$C$2:$T$20,11,false)*HLOOKUP($K1487,'Type Chart'!$C$2:$U$20,11,false)</f>
        <v>0.5</v>
      </c>
      <c r="AE1487" s="960">
        <f t="array" ref="AE1487">HLOOKUP($J1487,'Type Chart'!$C$2:$T$20,12,false)*HLOOKUP($K1487,'Type Chart'!$C$2:$U$20,12,false)</f>
        <v>2</v>
      </c>
      <c r="AF1487" s="960">
        <f t="array" ref="AF1487">HLOOKUP($J1487,'Type Chart'!$C$2:$T$20,13,false)*HLOOKUP($K1487,'Type Chart'!$C$2:$U$20,13,false)</f>
        <v>0.5</v>
      </c>
      <c r="AG1487" s="960">
        <f t="array" ref="AG1487">HLOOKUP($J1487,'Type Chart'!$C$2:$T$20,14,false)*HLOOKUP($K1487,'Type Chart'!$C$2:$U$20,14,false)</f>
        <v>1</v>
      </c>
      <c r="AH1487" s="960">
        <f t="array" ref="AH1487">HLOOKUP($J1487,'Type Chart'!$C$2:$T$20,15,false)*HLOOKUP($K1487,'Type Chart'!$C$2:$U$20,15,false)</f>
        <v>1</v>
      </c>
      <c r="AI1487" s="960">
        <f t="array" ref="AI1487">HLOOKUP($J1487,'Type Chart'!$C$2:$T$20,16,false)*HLOOKUP($K1487,'Type Chart'!$C$2:$U$20,16,false)</f>
        <v>0.5</v>
      </c>
      <c r="AJ1487" s="960">
        <f t="array" ref="AJ1487">HLOOKUP($J1487,'Type Chart'!$C$2:$T$20,17,false)*HLOOKUP($K1487,'Type Chart'!$C$2:$U$20,17,false)</f>
        <v>1</v>
      </c>
      <c r="AK1487" s="960">
        <f t="array" ref="AK1487">HLOOKUP($J1487,'Type Chart'!$C$2:$T$20,18,false)*HLOOKUP($K1487,'Type Chart'!$C$2:$U$20,18,false)</f>
        <v>1</v>
      </c>
      <c r="AL1487" s="960">
        <f t="array" ref="AL1487">HLOOKUP($J1487,'Type Chart'!$C$2:$T$20,19,false)*HLOOKUP($K1487,'Type Chart'!$C$2:$U$20,19,false)</f>
        <v>0.5</v>
      </c>
      <c r="AM1487" s="964" t="s">
        <v>830</v>
      </c>
      <c r="AN1487" s="965"/>
      <c r="AO1487" s="966" t="s">
        <v>1172</v>
      </c>
      <c r="AP1487" s="936"/>
      <c r="AQ1487" s="1245"/>
      <c r="AR1487" s="1245"/>
      <c r="AS1487" s="936"/>
    </row>
    <row r="1488" ht="15.75" customHeight="1">
      <c r="A1488" s="1099"/>
      <c r="B1488" s="948" t="s">
        <v>1692</v>
      </c>
      <c r="C1488" s="1197" t="s">
        <v>4588</v>
      </c>
      <c r="D1488" s="1197" t="s">
        <v>4588</v>
      </c>
      <c r="E1488" s="1147" t="s">
        <v>4588</v>
      </c>
      <c r="F1488" s="940"/>
      <c r="G1488" s="953"/>
      <c r="H1488" s="969"/>
      <c r="I1488" s="998" t="s">
        <v>4589</v>
      </c>
      <c r="J1488" s="982" t="s">
        <v>150</v>
      </c>
      <c r="K1488" s="1220" t="s">
        <v>215</v>
      </c>
      <c r="L1488" s="959">
        <v>73.0</v>
      </c>
      <c r="M1488" s="960">
        <v>84.0</v>
      </c>
      <c r="N1488" s="960">
        <v>78.0</v>
      </c>
      <c r="O1488" s="960">
        <v>119.0</v>
      </c>
      <c r="P1488" s="960">
        <v>85.0</v>
      </c>
      <c r="Q1488" s="960">
        <v>95.0</v>
      </c>
      <c r="R1488" s="960">
        <v>226.0</v>
      </c>
      <c r="S1488" s="960">
        <v>289.0</v>
      </c>
      <c r="T1488" s="960">
        <v>317.0</v>
      </c>
      <c r="U1488" s="960">
        <f t="array" ref="U1488">HLOOKUP($J1488,'Type Chart'!$C$2:$T$20,2,false)*HLOOKUP($K1488,'Type Chart'!$C$2:$U$20,2,false)</f>
        <v>0</v>
      </c>
      <c r="V1488" s="960">
        <f t="array" ref="V1488">HLOOKUP($J1488,'Type Chart'!$C$2:$T$20,3,false)*HLOOKUP($K1488,'Type Chart'!$C$2:$U$20,3,false)</f>
        <v>0</v>
      </c>
      <c r="W1488" s="960">
        <f t="array" ref="W1488">HLOOKUP($J1488,'Type Chart'!$C$2:$T$20,4,false)*HLOOKUP($K1488,'Type Chart'!$C$2:$U$20,4,false)</f>
        <v>1</v>
      </c>
      <c r="X1488" s="960">
        <f t="array" ref="X1488">HLOOKUP($J1488,'Type Chart'!$C$2:$T$20,5,false)*HLOOKUP($K1488,'Type Chart'!$C$2:$U$20,5,false)</f>
        <v>0.5</v>
      </c>
      <c r="Y1488" s="960">
        <f t="array" ref="Y1488">HLOOKUP($J1488,'Type Chart'!$C$2:$T$20,6,false)*HLOOKUP($K1488,'Type Chart'!$C$2:$U$20,6,false)</f>
        <v>2</v>
      </c>
      <c r="Z1488" s="960">
        <f t="array" ref="Z1488">HLOOKUP($J1488,'Type Chart'!$C$2:$T$20,7,false)*HLOOKUP($K1488,'Type Chart'!$C$2:$U$20,7,false)</f>
        <v>2</v>
      </c>
      <c r="AA1488" s="960">
        <f t="array" ref="AA1488">HLOOKUP($J1488,'Type Chart'!$C$2:$T$20,8,false)*HLOOKUP($K1488,'Type Chart'!$C$2:$U$20,8,false)</f>
        <v>0.25</v>
      </c>
      <c r="AB1488" s="960">
        <f t="array" ref="AB1488">HLOOKUP($J1488,'Type Chart'!$C$2:$T$20,9,false)*HLOOKUP($K1488,'Type Chart'!$C$2:$U$20,9,false)</f>
        <v>2</v>
      </c>
      <c r="AC1488" s="960">
        <f t="array" ref="AC1488">HLOOKUP($J1488,'Type Chart'!$C$2:$T$20,10,false)*HLOOKUP($K1488,'Type Chart'!$C$2:$U$20,10,false)</f>
        <v>0.5</v>
      </c>
      <c r="AD1488" s="960">
        <f t="array" ref="AD1488">HLOOKUP($J1488,'Type Chart'!$C$2:$T$20,11,false)*HLOOKUP($K1488,'Type Chart'!$C$2:$U$20,11,false)</f>
        <v>0.5</v>
      </c>
      <c r="AE1488" s="960">
        <f t="array" ref="AE1488">HLOOKUP($J1488,'Type Chart'!$C$2:$T$20,12,false)*HLOOKUP($K1488,'Type Chart'!$C$2:$U$20,12,false)</f>
        <v>2</v>
      </c>
      <c r="AF1488" s="960">
        <f t="array" ref="AF1488">HLOOKUP($J1488,'Type Chart'!$C$2:$T$20,13,false)*HLOOKUP($K1488,'Type Chart'!$C$2:$U$20,13,false)</f>
        <v>0.5</v>
      </c>
      <c r="AG1488" s="960">
        <f t="array" ref="AG1488">HLOOKUP($J1488,'Type Chart'!$C$2:$T$20,14,false)*HLOOKUP($K1488,'Type Chart'!$C$2:$U$20,14,false)</f>
        <v>1</v>
      </c>
      <c r="AH1488" s="960">
        <f t="array" ref="AH1488">HLOOKUP($J1488,'Type Chart'!$C$2:$T$20,15,false)*HLOOKUP($K1488,'Type Chart'!$C$2:$U$20,15,false)</f>
        <v>1</v>
      </c>
      <c r="AI1488" s="960">
        <f t="array" ref="AI1488">HLOOKUP($J1488,'Type Chart'!$C$2:$T$20,16,false)*HLOOKUP($K1488,'Type Chart'!$C$2:$U$20,16,false)</f>
        <v>0.5</v>
      </c>
      <c r="AJ1488" s="960">
        <f t="array" ref="AJ1488">HLOOKUP($J1488,'Type Chart'!$C$2:$T$20,17,false)*HLOOKUP($K1488,'Type Chart'!$C$2:$U$20,17,false)</f>
        <v>1</v>
      </c>
      <c r="AK1488" s="960">
        <f t="array" ref="AK1488">HLOOKUP($J1488,'Type Chart'!$C$2:$T$20,18,false)*HLOOKUP($K1488,'Type Chart'!$C$2:$U$20,18,false)</f>
        <v>2</v>
      </c>
      <c r="AL1488" s="960">
        <f t="array" ref="AL1488">HLOOKUP($J1488,'Type Chart'!$C$2:$T$20,19,false)*HLOOKUP($K1488,'Type Chart'!$C$2:$U$20,19,false)</f>
        <v>0.5</v>
      </c>
      <c r="AM1488" s="964" t="s">
        <v>830</v>
      </c>
      <c r="AN1488" s="965"/>
      <c r="AO1488" s="966" t="s">
        <v>1188</v>
      </c>
      <c r="AP1488" s="936"/>
      <c r="AQ1488" s="1245"/>
      <c r="AR1488" s="1245"/>
      <c r="AS1488" s="936"/>
    </row>
    <row r="1489" ht="15.75" customHeight="1">
      <c r="A1489" s="1099"/>
      <c r="B1489" s="948" t="s">
        <v>1693</v>
      </c>
      <c r="C1489" s="1197" t="s">
        <v>1694</v>
      </c>
      <c r="D1489" s="1197" t="s">
        <v>1694</v>
      </c>
      <c r="E1489" s="1147" t="s">
        <v>1694</v>
      </c>
      <c r="F1489" s="940"/>
      <c r="G1489" s="953"/>
      <c r="H1489" s="969"/>
      <c r="I1489" s="998" t="s">
        <v>4590</v>
      </c>
      <c r="J1489" s="1056" t="s">
        <v>81</v>
      </c>
      <c r="K1489" s="984" t="s">
        <v>216</v>
      </c>
      <c r="L1489" s="959">
        <v>50.0</v>
      </c>
      <c r="M1489" s="960">
        <v>65.0</v>
      </c>
      <c r="N1489" s="960">
        <v>64.0</v>
      </c>
      <c r="O1489" s="960">
        <v>44.0</v>
      </c>
      <c r="P1489" s="960">
        <v>48.0</v>
      </c>
      <c r="Q1489" s="960">
        <v>43.0</v>
      </c>
      <c r="R1489" s="960">
        <v>122.0</v>
      </c>
      <c r="S1489" s="960">
        <v>185.0</v>
      </c>
      <c r="T1489" s="960">
        <v>203.0</v>
      </c>
      <c r="U1489" s="960">
        <f t="array" ref="U1489">HLOOKUP($J1489,'Type Chart'!$C$2:$T$20,2,false)*HLOOKUP($K1489,'Type Chart'!$C$2:$U$20,2,false)</f>
        <v>1</v>
      </c>
      <c r="V1489" s="960">
        <f t="array" ref="V1489">HLOOKUP($J1489,'Type Chart'!$C$2:$T$20,3,false)*HLOOKUP($K1489,'Type Chart'!$C$2:$U$20,3,false)</f>
        <v>1</v>
      </c>
      <c r="W1489" s="960">
        <f t="array" ref="W1489">HLOOKUP($J1489,'Type Chart'!$C$2:$T$20,4,false)*HLOOKUP($K1489,'Type Chart'!$C$2:$U$20,4,false)</f>
        <v>1</v>
      </c>
      <c r="X1489" s="960">
        <f t="array" ref="X1489">HLOOKUP($J1489,'Type Chart'!$C$2:$T$20,5,false)*HLOOKUP($K1489,'Type Chart'!$C$2:$U$20,5,false)</f>
        <v>1</v>
      </c>
      <c r="Y1489" s="960">
        <f t="array" ref="Y1489">HLOOKUP($J1489,'Type Chart'!$C$2:$T$20,6,false)*HLOOKUP($K1489,'Type Chart'!$C$2:$U$20,6,false)</f>
        <v>1</v>
      </c>
      <c r="Z1489" s="960">
        <f t="array" ref="Z1489">HLOOKUP($J1489,'Type Chart'!$C$2:$T$20,7,false)*HLOOKUP($K1489,'Type Chart'!$C$2:$U$20,7,false)</f>
        <v>1</v>
      </c>
      <c r="AA1489" s="960">
        <f t="array" ref="AA1489">HLOOKUP($J1489,'Type Chart'!$C$2:$T$20,8,false)*HLOOKUP($K1489,'Type Chart'!$C$2:$U$20,8,false)</f>
        <v>1</v>
      </c>
      <c r="AB1489" s="960">
        <f t="array" ref="AB1489">HLOOKUP($J1489,'Type Chart'!$C$2:$T$20,9,false)*HLOOKUP($K1489,'Type Chart'!$C$2:$U$20,9,false)</f>
        <v>1</v>
      </c>
      <c r="AC1489" s="960">
        <f t="array" ref="AC1489">HLOOKUP($J1489,'Type Chart'!$C$2:$T$20,10,false)*HLOOKUP($K1489,'Type Chart'!$C$2:$U$20,10,false)</f>
        <v>0.5</v>
      </c>
      <c r="AD1489" s="960">
        <f t="array" ref="AD1489">HLOOKUP($J1489,'Type Chart'!$C$2:$T$20,11,false)*HLOOKUP($K1489,'Type Chart'!$C$2:$U$20,11,false)</f>
        <v>0.5</v>
      </c>
      <c r="AE1489" s="960">
        <f t="array" ref="AE1489">HLOOKUP($J1489,'Type Chart'!$C$2:$T$20,12,false)*HLOOKUP($K1489,'Type Chart'!$C$2:$U$20,12,false)</f>
        <v>0.5</v>
      </c>
      <c r="AF1489" s="960">
        <f t="array" ref="AF1489">HLOOKUP($J1489,'Type Chart'!$C$2:$T$20,13,false)*HLOOKUP($K1489,'Type Chart'!$C$2:$U$20,13,false)</f>
        <v>2</v>
      </c>
      <c r="AG1489" s="960">
        <f t="array" ref="AG1489">HLOOKUP($J1489,'Type Chart'!$C$2:$T$20,14,false)*HLOOKUP($K1489,'Type Chart'!$C$2:$U$20,14,false)</f>
        <v>2</v>
      </c>
      <c r="AH1489" s="960">
        <f t="array" ref="AH1489">HLOOKUP($J1489,'Type Chart'!$C$2:$T$20,15,false)*HLOOKUP($K1489,'Type Chart'!$C$2:$U$20,15,false)</f>
        <v>1</v>
      </c>
      <c r="AI1489" s="960">
        <f t="array" ref="AI1489">HLOOKUP($J1489,'Type Chart'!$C$2:$T$20,16,false)*HLOOKUP($K1489,'Type Chart'!$C$2:$U$20,16,false)</f>
        <v>0.5</v>
      </c>
      <c r="AJ1489" s="960">
        <f t="array" ref="AJ1489">HLOOKUP($J1489,'Type Chart'!$C$2:$T$20,17,false)*HLOOKUP($K1489,'Type Chart'!$C$2:$U$20,17,false)</f>
        <v>1</v>
      </c>
      <c r="AK1489" s="960">
        <f t="array" ref="AK1489">HLOOKUP($J1489,'Type Chart'!$C$2:$T$20,18,false)*HLOOKUP($K1489,'Type Chart'!$C$2:$U$20,18,false)</f>
        <v>1</v>
      </c>
      <c r="AL1489" s="960">
        <f t="array" ref="AL1489">HLOOKUP($J1489,'Type Chart'!$C$2:$T$20,19,false)*HLOOKUP($K1489,'Type Chart'!$C$2:$U$20,19,false)</f>
        <v>1</v>
      </c>
      <c r="AM1489" s="1145" t="s">
        <v>959</v>
      </c>
      <c r="AN1489" s="965"/>
      <c r="AO1489" s="1146" t="s">
        <v>1153</v>
      </c>
      <c r="AP1489" s="936"/>
      <c r="AQ1489" s="1245"/>
      <c r="AR1489" s="1245"/>
      <c r="AS1489" s="936"/>
    </row>
    <row r="1490" ht="15.75" customHeight="1">
      <c r="A1490" s="1099"/>
      <c r="B1490" s="948" t="s">
        <v>1696</v>
      </c>
      <c r="C1490" s="1197" t="s">
        <v>1697</v>
      </c>
      <c r="D1490" s="1197" t="s">
        <v>1697</v>
      </c>
      <c r="E1490" s="1147" t="s">
        <v>1697</v>
      </c>
      <c r="F1490" s="940"/>
      <c r="G1490" s="953"/>
      <c r="H1490" s="969"/>
      <c r="I1490" s="998" t="s">
        <v>4591</v>
      </c>
      <c r="J1490" s="1056" t="s">
        <v>81</v>
      </c>
      <c r="K1490" s="984" t="s">
        <v>216</v>
      </c>
      <c r="L1490" s="959">
        <v>65.0</v>
      </c>
      <c r="M1490" s="960">
        <v>80.0</v>
      </c>
      <c r="N1490" s="960">
        <v>80.0</v>
      </c>
      <c r="O1490" s="960">
        <v>59.0</v>
      </c>
      <c r="P1490" s="960">
        <v>63.0</v>
      </c>
      <c r="Q1490" s="960">
        <v>58.0</v>
      </c>
      <c r="R1490" s="960">
        <v>152.0</v>
      </c>
      <c r="S1490" s="960">
        <v>215.0</v>
      </c>
      <c r="T1490" s="960">
        <v>236.0</v>
      </c>
      <c r="U1490" s="960">
        <f t="array" ref="U1490">HLOOKUP($J1490,'Type Chart'!$C$2:$T$20,2,false)*HLOOKUP($K1490,'Type Chart'!$C$2:$U$20,2,false)</f>
        <v>1</v>
      </c>
      <c r="V1490" s="960">
        <f t="array" ref="V1490">HLOOKUP($J1490,'Type Chart'!$C$2:$T$20,3,false)*HLOOKUP($K1490,'Type Chart'!$C$2:$U$20,3,false)</f>
        <v>1</v>
      </c>
      <c r="W1490" s="960">
        <f t="array" ref="W1490">HLOOKUP($J1490,'Type Chart'!$C$2:$T$20,4,false)*HLOOKUP($K1490,'Type Chart'!$C$2:$U$20,4,false)</f>
        <v>1</v>
      </c>
      <c r="X1490" s="960">
        <f t="array" ref="X1490">HLOOKUP($J1490,'Type Chart'!$C$2:$T$20,5,false)*HLOOKUP($K1490,'Type Chart'!$C$2:$U$20,5,false)</f>
        <v>1</v>
      </c>
      <c r="Y1490" s="960">
        <f t="array" ref="Y1490">HLOOKUP($J1490,'Type Chart'!$C$2:$T$20,6,false)*HLOOKUP($K1490,'Type Chart'!$C$2:$U$20,6,false)</f>
        <v>1</v>
      </c>
      <c r="Z1490" s="960">
        <f t="array" ref="Z1490">HLOOKUP($J1490,'Type Chart'!$C$2:$T$20,7,false)*HLOOKUP($K1490,'Type Chart'!$C$2:$U$20,7,false)</f>
        <v>1</v>
      </c>
      <c r="AA1490" s="960">
        <f t="array" ref="AA1490">HLOOKUP($J1490,'Type Chart'!$C$2:$T$20,8,false)*HLOOKUP($K1490,'Type Chart'!$C$2:$U$20,8,false)</f>
        <v>1</v>
      </c>
      <c r="AB1490" s="960">
        <f t="array" ref="AB1490">HLOOKUP($J1490,'Type Chart'!$C$2:$T$20,9,false)*HLOOKUP($K1490,'Type Chart'!$C$2:$U$20,9,false)</f>
        <v>1</v>
      </c>
      <c r="AC1490" s="960">
        <f t="array" ref="AC1490">HLOOKUP($J1490,'Type Chart'!$C$2:$T$20,10,false)*HLOOKUP($K1490,'Type Chart'!$C$2:$U$20,10,false)</f>
        <v>0.5</v>
      </c>
      <c r="AD1490" s="960">
        <f t="array" ref="AD1490">HLOOKUP($J1490,'Type Chart'!$C$2:$T$20,11,false)*HLOOKUP($K1490,'Type Chart'!$C$2:$U$20,11,false)</f>
        <v>0.5</v>
      </c>
      <c r="AE1490" s="960">
        <f t="array" ref="AE1490">HLOOKUP($J1490,'Type Chart'!$C$2:$T$20,12,false)*HLOOKUP($K1490,'Type Chart'!$C$2:$U$20,12,false)</f>
        <v>0.5</v>
      </c>
      <c r="AF1490" s="960">
        <f t="array" ref="AF1490">HLOOKUP($J1490,'Type Chart'!$C$2:$T$20,13,false)*HLOOKUP($K1490,'Type Chart'!$C$2:$U$20,13,false)</f>
        <v>2</v>
      </c>
      <c r="AG1490" s="960">
        <f t="array" ref="AG1490">HLOOKUP($J1490,'Type Chart'!$C$2:$T$20,14,false)*HLOOKUP($K1490,'Type Chart'!$C$2:$U$20,14,false)</f>
        <v>2</v>
      </c>
      <c r="AH1490" s="960">
        <f t="array" ref="AH1490">HLOOKUP($J1490,'Type Chart'!$C$2:$T$20,15,false)*HLOOKUP($K1490,'Type Chart'!$C$2:$U$20,15,false)</f>
        <v>1</v>
      </c>
      <c r="AI1490" s="960">
        <f t="array" ref="AI1490">HLOOKUP($J1490,'Type Chart'!$C$2:$T$20,16,false)*HLOOKUP($K1490,'Type Chart'!$C$2:$U$20,16,false)</f>
        <v>0.5</v>
      </c>
      <c r="AJ1490" s="960">
        <f t="array" ref="AJ1490">HLOOKUP($J1490,'Type Chart'!$C$2:$T$20,17,false)*HLOOKUP($K1490,'Type Chart'!$C$2:$U$20,17,false)</f>
        <v>1</v>
      </c>
      <c r="AK1490" s="960">
        <f t="array" ref="AK1490">HLOOKUP($J1490,'Type Chart'!$C$2:$T$20,18,false)*HLOOKUP($K1490,'Type Chart'!$C$2:$U$20,18,false)</f>
        <v>1</v>
      </c>
      <c r="AL1490" s="960">
        <f t="array" ref="AL1490">HLOOKUP($J1490,'Type Chart'!$C$2:$T$20,19,false)*HLOOKUP($K1490,'Type Chart'!$C$2:$U$20,19,false)</f>
        <v>1</v>
      </c>
      <c r="AM1490" s="1145" t="s">
        <v>959</v>
      </c>
      <c r="AN1490" s="965"/>
      <c r="AO1490" s="1146" t="s">
        <v>1153</v>
      </c>
      <c r="AP1490" s="936"/>
      <c r="AQ1490" s="1245"/>
      <c r="AR1490" s="1245"/>
      <c r="AS1490" s="936"/>
    </row>
    <row r="1491" ht="15.75" customHeight="1">
      <c r="A1491" s="1099"/>
      <c r="B1491" s="948" t="s">
        <v>1698</v>
      </c>
      <c r="C1491" s="1197" t="s">
        <v>1699</v>
      </c>
      <c r="D1491" s="1197" t="s">
        <v>1699</v>
      </c>
      <c r="E1491" s="1147" t="s">
        <v>1699</v>
      </c>
      <c r="F1491" s="940"/>
      <c r="G1491" s="953"/>
      <c r="H1491" s="969"/>
      <c r="I1491" s="998" t="s">
        <v>4592</v>
      </c>
      <c r="J1491" s="1056" t="s">
        <v>81</v>
      </c>
      <c r="K1491" s="984" t="s">
        <v>216</v>
      </c>
      <c r="L1491" s="959">
        <v>85.0</v>
      </c>
      <c r="M1491" s="960">
        <v>105.0</v>
      </c>
      <c r="N1491" s="960">
        <v>100.0</v>
      </c>
      <c r="O1491" s="960">
        <v>79.0</v>
      </c>
      <c r="P1491" s="960">
        <v>83.0</v>
      </c>
      <c r="Q1491" s="960">
        <v>78.0</v>
      </c>
      <c r="R1491" s="960">
        <v>192.0</v>
      </c>
      <c r="S1491" s="960">
        <v>255.0</v>
      </c>
      <c r="T1491" s="960">
        <v>280.0</v>
      </c>
      <c r="U1491" s="960">
        <f t="array" ref="U1491">HLOOKUP($J1491,'Type Chart'!$C$2:$T$20,2,false)*HLOOKUP($K1491,'Type Chart'!$C$2:$U$20,2,false)</f>
        <v>1</v>
      </c>
      <c r="V1491" s="960">
        <f t="array" ref="V1491">HLOOKUP($J1491,'Type Chart'!$C$2:$T$20,3,false)*HLOOKUP($K1491,'Type Chart'!$C$2:$U$20,3,false)</f>
        <v>1</v>
      </c>
      <c r="W1491" s="960">
        <f t="array" ref="W1491">HLOOKUP($J1491,'Type Chart'!$C$2:$T$20,4,false)*HLOOKUP($K1491,'Type Chart'!$C$2:$U$20,4,false)</f>
        <v>1</v>
      </c>
      <c r="X1491" s="960">
        <f t="array" ref="X1491">HLOOKUP($J1491,'Type Chart'!$C$2:$T$20,5,false)*HLOOKUP($K1491,'Type Chart'!$C$2:$U$20,5,false)</f>
        <v>1</v>
      </c>
      <c r="Y1491" s="960">
        <f t="array" ref="Y1491">HLOOKUP($J1491,'Type Chart'!$C$2:$T$20,6,false)*HLOOKUP($K1491,'Type Chart'!$C$2:$U$20,6,false)</f>
        <v>1</v>
      </c>
      <c r="Z1491" s="960">
        <f t="array" ref="Z1491">HLOOKUP($J1491,'Type Chart'!$C$2:$T$20,7,false)*HLOOKUP($K1491,'Type Chart'!$C$2:$U$20,7,false)</f>
        <v>1</v>
      </c>
      <c r="AA1491" s="960">
        <f t="array" ref="AA1491">HLOOKUP($J1491,'Type Chart'!$C$2:$T$20,8,false)*HLOOKUP($K1491,'Type Chart'!$C$2:$U$20,8,false)</f>
        <v>1</v>
      </c>
      <c r="AB1491" s="960">
        <f t="array" ref="AB1491">HLOOKUP($J1491,'Type Chart'!$C$2:$T$20,9,false)*HLOOKUP($K1491,'Type Chart'!$C$2:$U$20,9,false)</f>
        <v>1</v>
      </c>
      <c r="AC1491" s="960">
        <f t="array" ref="AC1491">HLOOKUP($J1491,'Type Chart'!$C$2:$T$20,10,false)*HLOOKUP($K1491,'Type Chart'!$C$2:$U$20,10,false)</f>
        <v>0.5</v>
      </c>
      <c r="AD1491" s="960">
        <f t="array" ref="AD1491">HLOOKUP($J1491,'Type Chart'!$C$2:$T$20,11,false)*HLOOKUP($K1491,'Type Chart'!$C$2:$U$20,11,false)</f>
        <v>0.5</v>
      </c>
      <c r="AE1491" s="960">
        <f t="array" ref="AE1491">HLOOKUP($J1491,'Type Chart'!$C$2:$T$20,12,false)*HLOOKUP($K1491,'Type Chart'!$C$2:$U$20,12,false)</f>
        <v>0.5</v>
      </c>
      <c r="AF1491" s="960">
        <f t="array" ref="AF1491">HLOOKUP($J1491,'Type Chart'!$C$2:$T$20,13,false)*HLOOKUP($K1491,'Type Chart'!$C$2:$U$20,13,false)</f>
        <v>2</v>
      </c>
      <c r="AG1491" s="960">
        <f t="array" ref="AG1491">HLOOKUP($J1491,'Type Chart'!$C$2:$T$20,14,false)*HLOOKUP($K1491,'Type Chart'!$C$2:$U$20,14,false)</f>
        <v>2</v>
      </c>
      <c r="AH1491" s="960">
        <f t="array" ref="AH1491">HLOOKUP($J1491,'Type Chart'!$C$2:$T$20,15,false)*HLOOKUP($K1491,'Type Chart'!$C$2:$U$20,15,false)</f>
        <v>1</v>
      </c>
      <c r="AI1491" s="960">
        <f t="array" ref="AI1491">HLOOKUP($J1491,'Type Chart'!$C$2:$T$20,16,false)*HLOOKUP($K1491,'Type Chart'!$C$2:$U$20,16,false)</f>
        <v>0.5</v>
      </c>
      <c r="AJ1491" s="960">
        <f t="array" ref="AJ1491">HLOOKUP($J1491,'Type Chart'!$C$2:$T$20,17,false)*HLOOKUP($K1491,'Type Chart'!$C$2:$U$20,17,false)</f>
        <v>1</v>
      </c>
      <c r="AK1491" s="960">
        <f t="array" ref="AK1491">HLOOKUP($J1491,'Type Chart'!$C$2:$T$20,18,false)*HLOOKUP($K1491,'Type Chart'!$C$2:$U$20,18,false)</f>
        <v>1</v>
      </c>
      <c r="AL1491" s="960">
        <f t="array" ref="AL1491">HLOOKUP($J1491,'Type Chart'!$C$2:$T$20,19,false)*HLOOKUP($K1491,'Type Chart'!$C$2:$U$20,19,false)</f>
        <v>1</v>
      </c>
      <c r="AM1491" s="964" t="s">
        <v>959</v>
      </c>
      <c r="AN1491" s="965"/>
      <c r="AO1491" s="966" t="s">
        <v>1153</v>
      </c>
      <c r="AP1491" s="936"/>
      <c r="AQ1491" s="1245"/>
      <c r="AR1491" s="1245"/>
      <c r="AS1491" s="936"/>
    </row>
    <row r="1492" ht="15.75" customHeight="1">
      <c r="A1492" s="1099"/>
      <c r="B1492" s="948" t="s">
        <v>1700</v>
      </c>
      <c r="C1492" s="1197" t="s">
        <v>1701</v>
      </c>
      <c r="D1492" s="1197" t="s">
        <v>1701</v>
      </c>
      <c r="E1492" s="1147" t="s">
        <v>1701</v>
      </c>
      <c r="F1492" s="940"/>
      <c r="G1492" s="953"/>
      <c r="H1492" s="969"/>
      <c r="I1492" s="998" t="s">
        <v>4593</v>
      </c>
      <c r="J1492" s="1216" t="s">
        <v>136</v>
      </c>
      <c r="K1492" s="1199" t="s">
        <v>216</v>
      </c>
      <c r="L1492" s="1200">
        <v>35.0</v>
      </c>
      <c r="M1492" s="1201">
        <v>46.0</v>
      </c>
      <c r="N1492" s="1201">
        <v>34.0</v>
      </c>
      <c r="O1492" s="1201">
        <v>35.0</v>
      </c>
      <c r="P1492" s="1201">
        <v>45.0</v>
      </c>
      <c r="Q1492" s="1201">
        <v>20.0</v>
      </c>
      <c r="R1492" s="960">
        <v>76.0</v>
      </c>
      <c r="S1492" s="960">
        <v>139.0</v>
      </c>
      <c r="T1492" s="960">
        <v>152.0</v>
      </c>
      <c r="U1492" s="960">
        <f t="array" ref="U1492">HLOOKUP($J1492,'Type Chart'!$C$2:$T$20,2,false)*HLOOKUP($K1492,'Type Chart'!$C$2:$U$20,2,false)</f>
        <v>1</v>
      </c>
      <c r="V1492" s="960">
        <f t="array" ref="V1492">HLOOKUP($J1492,'Type Chart'!$C$2:$T$20,3,false)*HLOOKUP($K1492,'Type Chart'!$C$2:$U$20,3,false)</f>
        <v>2</v>
      </c>
      <c r="W1492" s="960">
        <f t="array" ref="W1492">HLOOKUP($J1492,'Type Chart'!$C$2:$T$20,4,false)*HLOOKUP($K1492,'Type Chart'!$C$2:$U$20,4,false)</f>
        <v>1</v>
      </c>
      <c r="X1492" s="960">
        <f t="array" ref="X1492">HLOOKUP($J1492,'Type Chart'!$C$2:$T$20,5,false)*HLOOKUP($K1492,'Type Chart'!$C$2:$U$20,5,false)</f>
        <v>1</v>
      </c>
      <c r="Y1492" s="960">
        <f t="array" ref="Y1492">HLOOKUP($J1492,'Type Chart'!$C$2:$T$20,6,false)*HLOOKUP($K1492,'Type Chart'!$C$2:$U$20,6,false)</f>
        <v>1</v>
      </c>
      <c r="Z1492" s="960">
        <f t="array" ref="Z1492">HLOOKUP($J1492,'Type Chart'!$C$2:$T$20,7,false)*HLOOKUP($K1492,'Type Chart'!$C$2:$U$20,7,false)</f>
        <v>1</v>
      </c>
      <c r="AA1492" s="960">
        <f t="array" ref="AA1492">HLOOKUP($J1492,'Type Chart'!$C$2:$T$20,8,false)*HLOOKUP($K1492,'Type Chart'!$C$2:$U$20,8,false)</f>
        <v>1</v>
      </c>
      <c r="AB1492" s="960">
        <f t="array" ref="AB1492">HLOOKUP($J1492,'Type Chart'!$C$2:$T$20,9,false)*HLOOKUP($K1492,'Type Chart'!$C$2:$U$20,9,false)</f>
        <v>0</v>
      </c>
      <c r="AC1492" s="960">
        <f t="array" ref="AC1492">HLOOKUP($J1492,'Type Chart'!$C$2:$T$20,10,false)*HLOOKUP($K1492,'Type Chart'!$C$2:$U$20,10,false)</f>
        <v>1</v>
      </c>
      <c r="AD1492" s="960">
        <f t="array" ref="AD1492">HLOOKUP($J1492,'Type Chart'!$C$2:$T$20,11,false)*HLOOKUP($K1492,'Type Chart'!$C$2:$U$20,11,false)</f>
        <v>1</v>
      </c>
      <c r="AE1492" s="960">
        <f t="array" ref="AE1492">HLOOKUP($J1492,'Type Chart'!$C$2:$T$20,12,false)*HLOOKUP($K1492,'Type Chart'!$C$2:$U$20,12,false)</f>
        <v>1</v>
      </c>
      <c r="AF1492" s="960">
        <f t="array" ref="AF1492">HLOOKUP($J1492,'Type Chart'!$C$2:$T$20,13,false)*HLOOKUP($K1492,'Type Chart'!$C$2:$U$20,13,false)</f>
        <v>1</v>
      </c>
      <c r="AG1492" s="960">
        <f t="array" ref="AG1492">HLOOKUP($J1492,'Type Chart'!$C$2:$T$20,14,false)*HLOOKUP($K1492,'Type Chart'!$C$2:$U$20,14,false)</f>
        <v>1</v>
      </c>
      <c r="AH1492" s="960">
        <f t="array" ref="AH1492">HLOOKUP($J1492,'Type Chart'!$C$2:$T$20,15,false)*HLOOKUP($K1492,'Type Chart'!$C$2:$U$20,15,false)</f>
        <v>1</v>
      </c>
      <c r="AI1492" s="960">
        <f t="array" ref="AI1492">HLOOKUP($J1492,'Type Chart'!$C$2:$T$20,16,false)*HLOOKUP($K1492,'Type Chart'!$C$2:$U$20,16,false)</f>
        <v>1</v>
      </c>
      <c r="AJ1492" s="960">
        <f t="array" ref="AJ1492">HLOOKUP($J1492,'Type Chart'!$C$2:$T$20,17,false)*HLOOKUP($K1492,'Type Chart'!$C$2:$U$20,17,false)</f>
        <v>1</v>
      </c>
      <c r="AK1492" s="960">
        <f t="array" ref="AK1492">HLOOKUP($J1492,'Type Chart'!$C$2:$T$20,18,false)*HLOOKUP($K1492,'Type Chart'!$C$2:$U$20,18,false)</f>
        <v>1</v>
      </c>
      <c r="AL1492" s="960">
        <f t="array" ref="AL1492">HLOOKUP($J1492,'Type Chart'!$C$2:$T$20,19,false)*HLOOKUP($K1492,'Type Chart'!$C$2:$U$20,19,false)</f>
        <v>1</v>
      </c>
      <c r="AM1492" s="1145" t="s">
        <v>988</v>
      </c>
      <c r="AN1492" s="965" t="s">
        <v>1022</v>
      </c>
      <c r="AO1492" s="1146" t="s">
        <v>1188</v>
      </c>
      <c r="AP1492" s="936"/>
      <c r="AQ1492" s="1245"/>
      <c r="AR1492" s="1245"/>
      <c r="AS1492" s="936"/>
    </row>
    <row r="1493" ht="15.75" customHeight="1">
      <c r="A1493" s="1099"/>
      <c r="B1493" s="948" t="s">
        <v>1703</v>
      </c>
      <c r="C1493" s="1197" t="s">
        <v>1704</v>
      </c>
      <c r="D1493" s="1197" t="s">
        <v>1704</v>
      </c>
      <c r="E1493" s="1147" t="s">
        <v>1704</v>
      </c>
      <c r="F1493" s="940"/>
      <c r="G1493" s="953"/>
      <c r="H1493" s="969"/>
      <c r="I1493" s="998" t="s">
        <v>4594</v>
      </c>
      <c r="J1493" s="1194" t="s">
        <v>136</v>
      </c>
      <c r="K1493" s="984" t="s">
        <v>216</v>
      </c>
      <c r="L1493" s="959">
        <v>85.0</v>
      </c>
      <c r="M1493" s="960">
        <v>76.0</v>
      </c>
      <c r="N1493" s="960">
        <v>64.0</v>
      </c>
      <c r="O1493" s="960">
        <v>45.0</v>
      </c>
      <c r="P1493" s="960">
        <v>55.0</v>
      </c>
      <c r="Q1493" s="960">
        <v>90.0</v>
      </c>
      <c r="R1493" s="960">
        <v>216.0</v>
      </c>
      <c r="S1493" s="960">
        <v>279.0</v>
      </c>
      <c r="T1493" s="960">
        <v>306.0</v>
      </c>
      <c r="U1493" s="960">
        <f t="array" ref="U1493">HLOOKUP($J1493,'Type Chart'!$C$2:$T$20,2,false)*HLOOKUP($K1493,'Type Chart'!$C$2:$U$20,2,false)</f>
        <v>1</v>
      </c>
      <c r="V1493" s="960">
        <f t="array" ref="V1493">HLOOKUP($J1493,'Type Chart'!$C$2:$T$20,3,false)*HLOOKUP($K1493,'Type Chart'!$C$2:$U$20,3,false)</f>
        <v>2</v>
      </c>
      <c r="W1493" s="960">
        <f t="array" ref="W1493">HLOOKUP($J1493,'Type Chart'!$C$2:$T$20,4,false)*HLOOKUP($K1493,'Type Chart'!$C$2:$U$20,4,false)</f>
        <v>1</v>
      </c>
      <c r="X1493" s="960">
        <f t="array" ref="X1493">HLOOKUP($J1493,'Type Chart'!$C$2:$T$20,5,false)*HLOOKUP($K1493,'Type Chart'!$C$2:$U$20,5,false)</f>
        <v>1</v>
      </c>
      <c r="Y1493" s="960">
        <f t="array" ref="Y1493">HLOOKUP($J1493,'Type Chart'!$C$2:$T$20,6,false)*HLOOKUP($K1493,'Type Chart'!$C$2:$U$20,6,false)</f>
        <v>1</v>
      </c>
      <c r="Z1493" s="960">
        <f t="array" ref="Z1493">HLOOKUP($J1493,'Type Chart'!$C$2:$T$20,7,false)*HLOOKUP($K1493,'Type Chart'!$C$2:$U$20,7,false)</f>
        <v>1</v>
      </c>
      <c r="AA1493" s="960">
        <f t="array" ref="AA1493">HLOOKUP($J1493,'Type Chart'!$C$2:$T$20,8,false)*HLOOKUP($K1493,'Type Chart'!$C$2:$U$20,8,false)</f>
        <v>1</v>
      </c>
      <c r="AB1493" s="960">
        <f t="array" ref="AB1493">HLOOKUP($J1493,'Type Chart'!$C$2:$T$20,9,false)*HLOOKUP($K1493,'Type Chart'!$C$2:$U$20,9,false)</f>
        <v>0</v>
      </c>
      <c r="AC1493" s="960">
        <f t="array" ref="AC1493">HLOOKUP($J1493,'Type Chart'!$C$2:$T$20,10,false)*HLOOKUP($K1493,'Type Chart'!$C$2:$U$20,10,false)</f>
        <v>1</v>
      </c>
      <c r="AD1493" s="960">
        <f t="array" ref="AD1493">HLOOKUP($J1493,'Type Chart'!$C$2:$T$20,11,false)*HLOOKUP($K1493,'Type Chart'!$C$2:$U$20,11,false)</f>
        <v>1</v>
      </c>
      <c r="AE1493" s="960">
        <f t="array" ref="AE1493">HLOOKUP($J1493,'Type Chart'!$C$2:$T$20,12,false)*HLOOKUP($K1493,'Type Chart'!$C$2:$U$20,12,false)</f>
        <v>1</v>
      </c>
      <c r="AF1493" s="960">
        <f t="array" ref="AF1493">HLOOKUP($J1493,'Type Chart'!$C$2:$T$20,13,false)*HLOOKUP($K1493,'Type Chart'!$C$2:$U$20,13,false)</f>
        <v>1</v>
      </c>
      <c r="AG1493" s="960">
        <f t="array" ref="AG1493">HLOOKUP($J1493,'Type Chart'!$C$2:$T$20,14,false)*HLOOKUP($K1493,'Type Chart'!$C$2:$U$20,14,false)</f>
        <v>1</v>
      </c>
      <c r="AH1493" s="960">
        <f t="array" ref="AH1493">HLOOKUP($J1493,'Type Chart'!$C$2:$T$20,15,false)*HLOOKUP($K1493,'Type Chart'!$C$2:$U$20,15,false)</f>
        <v>1</v>
      </c>
      <c r="AI1493" s="960">
        <f t="array" ref="AI1493">HLOOKUP($J1493,'Type Chart'!$C$2:$T$20,16,false)*HLOOKUP($K1493,'Type Chart'!$C$2:$U$20,16,false)</f>
        <v>1</v>
      </c>
      <c r="AJ1493" s="960">
        <f t="array" ref="AJ1493">HLOOKUP($J1493,'Type Chart'!$C$2:$T$20,17,false)*HLOOKUP($K1493,'Type Chart'!$C$2:$U$20,17,false)</f>
        <v>1</v>
      </c>
      <c r="AK1493" s="960">
        <f t="array" ref="AK1493">HLOOKUP($J1493,'Type Chart'!$C$2:$T$20,18,false)*HLOOKUP($K1493,'Type Chart'!$C$2:$U$20,18,false)</f>
        <v>1</v>
      </c>
      <c r="AL1493" s="960">
        <f t="array" ref="AL1493">HLOOKUP($J1493,'Type Chart'!$C$2:$T$20,19,false)*HLOOKUP($K1493,'Type Chart'!$C$2:$U$20,19,false)</f>
        <v>1</v>
      </c>
      <c r="AM1493" s="964" t="s">
        <v>988</v>
      </c>
      <c r="AN1493" s="965" t="s">
        <v>1022</v>
      </c>
      <c r="AO1493" s="966" t="s">
        <v>1188</v>
      </c>
      <c r="AP1493" s="936"/>
      <c r="AQ1493" s="1245"/>
      <c r="AR1493" s="1245"/>
      <c r="AS1493" s="936"/>
    </row>
    <row r="1494" ht="15.75" customHeight="1">
      <c r="A1494" s="1099"/>
      <c r="B1494" s="948" t="s">
        <v>1705</v>
      </c>
      <c r="C1494" s="1197" t="s">
        <v>1706</v>
      </c>
      <c r="D1494" s="1197" t="s">
        <v>1706</v>
      </c>
      <c r="E1494" s="1147" t="s">
        <v>1706</v>
      </c>
      <c r="F1494" s="940"/>
      <c r="G1494" s="953"/>
      <c r="H1494" s="969"/>
      <c r="I1494" s="998" t="s">
        <v>4595</v>
      </c>
      <c r="J1494" s="1216" t="s">
        <v>136</v>
      </c>
      <c r="K1494" s="1210" t="s">
        <v>128</v>
      </c>
      <c r="L1494" s="1200">
        <v>60.0</v>
      </c>
      <c r="M1494" s="1201">
        <v>30.0</v>
      </c>
      <c r="N1494" s="1201">
        <v>30.0</v>
      </c>
      <c r="O1494" s="1201">
        <v>36.0</v>
      </c>
      <c r="P1494" s="1201">
        <v>56.0</v>
      </c>
      <c r="Q1494" s="1201">
        <v>50.0</v>
      </c>
      <c r="R1494" s="960">
        <v>136.0</v>
      </c>
      <c r="S1494" s="960">
        <v>199.0</v>
      </c>
      <c r="T1494" s="960">
        <v>218.0</v>
      </c>
      <c r="U1494" s="960">
        <f t="array" ref="U1494">HLOOKUP($J1494,'Type Chart'!$C$2:$T$20,2,false)*HLOOKUP($K1494,'Type Chart'!$C$2:$U$20,2,false)</f>
        <v>1</v>
      </c>
      <c r="V1494" s="960">
        <f t="array" ref="V1494">HLOOKUP($J1494,'Type Chart'!$C$2:$T$20,3,false)*HLOOKUP($K1494,'Type Chart'!$C$2:$U$20,3,false)</f>
        <v>1</v>
      </c>
      <c r="W1494" s="960">
        <f t="array" ref="W1494">HLOOKUP($J1494,'Type Chart'!$C$2:$T$20,4,false)*HLOOKUP($K1494,'Type Chart'!$C$2:$U$20,4,false)</f>
        <v>1</v>
      </c>
      <c r="X1494" s="960">
        <f t="array" ref="X1494">HLOOKUP($J1494,'Type Chart'!$C$2:$T$20,5,false)*HLOOKUP($K1494,'Type Chart'!$C$2:$U$20,5,false)</f>
        <v>1</v>
      </c>
      <c r="Y1494" s="960">
        <f t="array" ref="Y1494">HLOOKUP($J1494,'Type Chart'!$C$2:$T$20,6,false)*HLOOKUP($K1494,'Type Chart'!$C$2:$U$20,6,false)</f>
        <v>0</v>
      </c>
      <c r="Z1494" s="960">
        <f t="array" ref="Z1494">HLOOKUP($J1494,'Type Chart'!$C$2:$T$20,7,false)*HLOOKUP($K1494,'Type Chart'!$C$2:$U$20,7,false)</f>
        <v>2</v>
      </c>
      <c r="AA1494" s="960">
        <f t="array" ref="AA1494">HLOOKUP($J1494,'Type Chart'!$C$2:$T$20,8,false)*HLOOKUP($K1494,'Type Chart'!$C$2:$U$20,8,false)</f>
        <v>0.5</v>
      </c>
      <c r="AB1494" s="960">
        <f t="array" ref="AB1494">HLOOKUP($J1494,'Type Chart'!$C$2:$T$20,9,false)*HLOOKUP($K1494,'Type Chart'!$C$2:$U$20,9,false)</f>
        <v>0</v>
      </c>
      <c r="AC1494" s="960">
        <f t="array" ref="AC1494">HLOOKUP($J1494,'Type Chart'!$C$2:$T$20,10,false)*HLOOKUP($K1494,'Type Chart'!$C$2:$U$20,10,false)</f>
        <v>1</v>
      </c>
      <c r="AD1494" s="960">
        <f t="array" ref="AD1494">HLOOKUP($J1494,'Type Chart'!$C$2:$T$20,11,false)*HLOOKUP($K1494,'Type Chart'!$C$2:$U$20,11,false)</f>
        <v>1</v>
      </c>
      <c r="AE1494" s="960">
        <f t="array" ref="AE1494">HLOOKUP($J1494,'Type Chart'!$C$2:$T$20,12,false)*HLOOKUP($K1494,'Type Chart'!$C$2:$U$20,12,false)</f>
        <v>1</v>
      </c>
      <c r="AF1494" s="960">
        <f t="array" ref="AF1494">HLOOKUP($J1494,'Type Chart'!$C$2:$T$20,13,false)*HLOOKUP($K1494,'Type Chart'!$C$2:$U$20,13,false)</f>
        <v>0.5</v>
      </c>
      <c r="AG1494" s="960">
        <f t="array" ref="AG1494">HLOOKUP($J1494,'Type Chart'!$C$2:$T$20,14,false)*HLOOKUP($K1494,'Type Chart'!$C$2:$U$20,14,false)</f>
        <v>2</v>
      </c>
      <c r="AH1494" s="960">
        <f t="array" ref="AH1494">HLOOKUP($J1494,'Type Chart'!$C$2:$T$20,15,false)*HLOOKUP($K1494,'Type Chart'!$C$2:$U$20,15,false)</f>
        <v>1</v>
      </c>
      <c r="AI1494" s="960">
        <f t="array" ref="AI1494">HLOOKUP($J1494,'Type Chart'!$C$2:$T$20,16,false)*HLOOKUP($K1494,'Type Chart'!$C$2:$U$20,16,false)</f>
        <v>2</v>
      </c>
      <c r="AJ1494" s="960">
        <f t="array" ref="AJ1494">HLOOKUP($J1494,'Type Chart'!$C$2:$T$20,17,false)*HLOOKUP($K1494,'Type Chart'!$C$2:$U$20,17,false)</f>
        <v>1</v>
      </c>
      <c r="AK1494" s="960">
        <f t="array" ref="AK1494">HLOOKUP($J1494,'Type Chart'!$C$2:$T$20,18,false)*HLOOKUP($K1494,'Type Chart'!$C$2:$U$20,18,false)</f>
        <v>1</v>
      </c>
      <c r="AL1494" s="960">
        <f t="array" ref="AL1494">HLOOKUP($J1494,'Type Chart'!$C$2:$T$20,19,false)*HLOOKUP($K1494,'Type Chart'!$C$2:$U$20,19,false)</f>
        <v>1</v>
      </c>
      <c r="AM1494" s="1145" t="s">
        <v>1454</v>
      </c>
      <c r="AN1494" s="1202" t="s">
        <v>1022</v>
      </c>
      <c r="AO1494" s="1146" t="s">
        <v>1003</v>
      </c>
      <c r="AP1494" s="936"/>
      <c r="AQ1494" s="1245"/>
      <c r="AR1494" s="1245"/>
      <c r="AS1494" s="936"/>
    </row>
    <row r="1495" ht="15.75" customHeight="1">
      <c r="A1495" s="1099"/>
      <c r="B1495" s="948" t="s">
        <v>1708</v>
      </c>
      <c r="C1495" s="1197" t="s">
        <v>1709</v>
      </c>
      <c r="D1495" s="1197" t="s">
        <v>1709</v>
      </c>
      <c r="E1495" s="1147" t="s">
        <v>1709</v>
      </c>
      <c r="F1495" s="940"/>
      <c r="G1495" s="953"/>
      <c r="H1495" s="969"/>
      <c r="I1495" s="998" t="s">
        <v>4596</v>
      </c>
      <c r="J1495" s="1194" t="s">
        <v>136</v>
      </c>
      <c r="K1495" s="1001" t="s">
        <v>128</v>
      </c>
      <c r="L1495" s="959">
        <v>100.0</v>
      </c>
      <c r="M1495" s="960">
        <v>50.0</v>
      </c>
      <c r="N1495" s="960">
        <v>50.0</v>
      </c>
      <c r="O1495" s="960">
        <v>86.0</v>
      </c>
      <c r="P1495" s="960">
        <v>96.0</v>
      </c>
      <c r="Q1495" s="960">
        <v>70.0</v>
      </c>
      <c r="R1495" s="960">
        <v>176.0</v>
      </c>
      <c r="S1495" s="960">
        <v>239.0</v>
      </c>
      <c r="T1495" s="960">
        <v>262.0</v>
      </c>
      <c r="U1495" s="960">
        <f t="array" ref="U1495">HLOOKUP($J1495,'Type Chart'!$C$2:$T$20,2,false)*HLOOKUP($K1495,'Type Chart'!$C$2:$U$20,2,false)</f>
        <v>1</v>
      </c>
      <c r="V1495" s="960">
        <f t="array" ref="V1495">HLOOKUP($J1495,'Type Chart'!$C$2:$T$20,3,false)*HLOOKUP($K1495,'Type Chart'!$C$2:$U$20,3,false)</f>
        <v>1</v>
      </c>
      <c r="W1495" s="960">
        <f t="array" ref="W1495">HLOOKUP($J1495,'Type Chart'!$C$2:$T$20,4,false)*HLOOKUP($K1495,'Type Chart'!$C$2:$U$20,4,false)</f>
        <v>1</v>
      </c>
      <c r="X1495" s="960">
        <f t="array" ref="X1495">HLOOKUP($J1495,'Type Chart'!$C$2:$T$20,5,false)*HLOOKUP($K1495,'Type Chart'!$C$2:$U$20,5,false)</f>
        <v>1</v>
      </c>
      <c r="Y1495" s="960">
        <f t="array" ref="Y1495">HLOOKUP($J1495,'Type Chart'!$C$2:$T$20,6,false)*HLOOKUP($K1495,'Type Chart'!$C$2:$U$20,6,false)</f>
        <v>0</v>
      </c>
      <c r="Z1495" s="960">
        <f t="array" ref="Z1495">HLOOKUP($J1495,'Type Chart'!$C$2:$T$20,7,false)*HLOOKUP($K1495,'Type Chart'!$C$2:$U$20,7,false)</f>
        <v>2</v>
      </c>
      <c r="AA1495" s="960">
        <f t="array" ref="AA1495">HLOOKUP($J1495,'Type Chart'!$C$2:$T$20,8,false)*HLOOKUP($K1495,'Type Chart'!$C$2:$U$20,8,false)</f>
        <v>0.5</v>
      </c>
      <c r="AB1495" s="960">
        <f t="array" ref="AB1495">HLOOKUP($J1495,'Type Chart'!$C$2:$T$20,9,false)*HLOOKUP($K1495,'Type Chart'!$C$2:$U$20,9,false)</f>
        <v>0</v>
      </c>
      <c r="AC1495" s="960">
        <f t="array" ref="AC1495">HLOOKUP($J1495,'Type Chart'!$C$2:$T$20,10,false)*HLOOKUP($K1495,'Type Chart'!$C$2:$U$20,10,false)</f>
        <v>1</v>
      </c>
      <c r="AD1495" s="960">
        <f t="array" ref="AD1495">HLOOKUP($J1495,'Type Chart'!$C$2:$T$20,11,false)*HLOOKUP($K1495,'Type Chart'!$C$2:$U$20,11,false)</f>
        <v>1</v>
      </c>
      <c r="AE1495" s="960">
        <f t="array" ref="AE1495">HLOOKUP($J1495,'Type Chart'!$C$2:$T$20,12,false)*HLOOKUP($K1495,'Type Chart'!$C$2:$U$20,12,false)</f>
        <v>1</v>
      </c>
      <c r="AF1495" s="960">
        <f t="array" ref="AF1495">HLOOKUP($J1495,'Type Chart'!$C$2:$T$20,13,false)*HLOOKUP($K1495,'Type Chart'!$C$2:$U$20,13,false)</f>
        <v>0.5</v>
      </c>
      <c r="AG1495" s="960">
        <f t="array" ref="AG1495">HLOOKUP($J1495,'Type Chart'!$C$2:$T$20,14,false)*HLOOKUP($K1495,'Type Chart'!$C$2:$U$20,14,false)</f>
        <v>2</v>
      </c>
      <c r="AH1495" s="960">
        <f t="array" ref="AH1495">HLOOKUP($J1495,'Type Chart'!$C$2:$T$20,15,false)*HLOOKUP($K1495,'Type Chart'!$C$2:$U$20,15,false)</f>
        <v>1</v>
      </c>
      <c r="AI1495" s="960">
        <f t="array" ref="AI1495">HLOOKUP($J1495,'Type Chart'!$C$2:$T$20,16,false)*HLOOKUP($K1495,'Type Chart'!$C$2:$U$20,16,false)</f>
        <v>2</v>
      </c>
      <c r="AJ1495" s="960">
        <f t="array" ref="AJ1495">HLOOKUP($J1495,'Type Chart'!$C$2:$T$20,17,false)*HLOOKUP($K1495,'Type Chart'!$C$2:$U$20,17,false)</f>
        <v>1</v>
      </c>
      <c r="AK1495" s="960">
        <f t="array" ref="AK1495">HLOOKUP($J1495,'Type Chart'!$C$2:$T$20,18,false)*HLOOKUP($K1495,'Type Chart'!$C$2:$U$20,18,false)</f>
        <v>1</v>
      </c>
      <c r="AL1495" s="960">
        <f t="array" ref="AL1495">HLOOKUP($J1495,'Type Chart'!$C$2:$T$20,19,false)*HLOOKUP($K1495,'Type Chart'!$C$2:$U$20,19,false)</f>
        <v>1</v>
      </c>
      <c r="AM1495" s="964" t="s">
        <v>1454</v>
      </c>
      <c r="AN1495" s="965" t="s">
        <v>1022</v>
      </c>
      <c r="AO1495" s="966" t="s">
        <v>1003</v>
      </c>
      <c r="AP1495" s="936"/>
      <c r="AQ1495" s="1245"/>
      <c r="AR1495" s="1245"/>
      <c r="AS1495" s="936"/>
    </row>
    <row r="1496" ht="15.75" customHeight="1">
      <c r="A1496" s="1099"/>
      <c r="B1496" s="948" t="s">
        <v>1710</v>
      </c>
      <c r="C1496" s="1197" t="s">
        <v>1711</v>
      </c>
      <c r="D1496" s="1197" t="s">
        <v>1711</v>
      </c>
      <c r="E1496" s="1147" t="s">
        <v>1711</v>
      </c>
      <c r="F1496" s="940"/>
      <c r="G1496" s="953"/>
      <c r="H1496" s="969"/>
      <c r="I1496" s="998" t="s">
        <v>4597</v>
      </c>
      <c r="J1496" s="1180" t="s">
        <v>343</v>
      </c>
      <c r="K1496" s="1001" t="s">
        <v>128</v>
      </c>
      <c r="L1496" s="959">
        <v>40.0</v>
      </c>
      <c r="M1496" s="960">
        <v>20.0</v>
      </c>
      <c r="N1496" s="960">
        <v>30.0</v>
      </c>
      <c r="O1496" s="960">
        <v>40.0</v>
      </c>
      <c r="P1496" s="960">
        <v>80.0</v>
      </c>
      <c r="Q1496" s="960">
        <v>55.0</v>
      </c>
      <c r="R1496" s="960">
        <v>146.0</v>
      </c>
      <c r="S1496" s="960">
        <v>209.0</v>
      </c>
      <c r="T1496" s="960">
        <v>229.0</v>
      </c>
      <c r="U1496" s="960">
        <f t="array" ref="U1496">HLOOKUP($J1496,'Type Chart'!$C$2:$T$20,2,false)*HLOOKUP($K1496,'Type Chart'!$C$2:$U$20,2,false)</f>
        <v>1</v>
      </c>
      <c r="V1496" s="960">
        <f t="array" ref="V1496">HLOOKUP($J1496,'Type Chart'!$C$2:$T$20,3,false)*HLOOKUP($K1496,'Type Chart'!$C$2:$U$20,3,false)</f>
        <v>0.25</v>
      </c>
      <c r="W1496" s="960">
        <f t="array" ref="W1496">HLOOKUP($J1496,'Type Chart'!$C$2:$T$20,4,false)*HLOOKUP($K1496,'Type Chart'!$C$2:$U$20,4,false)</f>
        <v>2</v>
      </c>
      <c r="X1496" s="960">
        <f t="array" ref="X1496">HLOOKUP($J1496,'Type Chart'!$C$2:$T$20,5,false)*HLOOKUP($K1496,'Type Chart'!$C$2:$U$20,5,false)</f>
        <v>1</v>
      </c>
      <c r="Y1496" s="960">
        <f t="array" ref="Y1496">HLOOKUP($J1496,'Type Chart'!$C$2:$T$20,6,false)*HLOOKUP($K1496,'Type Chart'!$C$2:$U$20,6,false)</f>
        <v>0</v>
      </c>
      <c r="Z1496" s="960">
        <f t="array" ref="Z1496">HLOOKUP($J1496,'Type Chart'!$C$2:$T$20,7,false)*HLOOKUP($K1496,'Type Chart'!$C$2:$U$20,7,false)</f>
        <v>4</v>
      </c>
      <c r="AA1496" s="960">
        <f t="array" ref="AA1496">HLOOKUP($J1496,'Type Chart'!$C$2:$T$20,8,false)*HLOOKUP($K1496,'Type Chart'!$C$2:$U$20,8,false)</f>
        <v>0.5</v>
      </c>
      <c r="AB1496" s="960">
        <f t="array" ref="AB1496">HLOOKUP($J1496,'Type Chart'!$C$2:$T$20,9,false)*HLOOKUP($K1496,'Type Chart'!$C$2:$U$20,9,false)</f>
        <v>1</v>
      </c>
      <c r="AC1496" s="960">
        <f t="array" ref="AC1496">HLOOKUP($J1496,'Type Chart'!$C$2:$T$20,10,false)*HLOOKUP($K1496,'Type Chart'!$C$2:$U$20,10,false)</f>
        <v>1</v>
      </c>
      <c r="AD1496" s="960">
        <f t="array" ref="AD1496">HLOOKUP($J1496,'Type Chart'!$C$2:$T$20,11,false)*HLOOKUP($K1496,'Type Chart'!$C$2:$U$20,11,false)</f>
        <v>2</v>
      </c>
      <c r="AE1496" s="960">
        <f t="array" ref="AE1496">HLOOKUP($J1496,'Type Chart'!$C$2:$T$20,12,false)*HLOOKUP($K1496,'Type Chart'!$C$2:$U$20,12,false)</f>
        <v>1</v>
      </c>
      <c r="AF1496" s="960">
        <f t="array" ref="AF1496">HLOOKUP($J1496,'Type Chart'!$C$2:$T$20,13,false)*HLOOKUP($K1496,'Type Chart'!$C$2:$U$20,13,false)</f>
        <v>0.25</v>
      </c>
      <c r="AG1496" s="960">
        <f t="array" ref="AG1496">HLOOKUP($J1496,'Type Chart'!$C$2:$T$20,14,false)*HLOOKUP($K1496,'Type Chart'!$C$2:$U$20,14,false)</f>
        <v>2</v>
      </c>
      <c r="AH1496" s="960">
        <f t="array" ref="AH1496">HLOOKUP($J1496,'Type Chart'!$C$2:$T$20,15,false)*HLOOKUP($K1496,'Type Chart'!$C$2:$U$20,15,false)</f>
        <v>1</v>
      </c>
      <c r="AI1496" s="960">
        <f t="array" ref="AI1496">HLOOKUP($J1496,'Type Chart'!$C$2:$T$20,16,false)*HLOOKUP($K1496,'Type Chart'!$C$2:$U$20,16,false)</f>
        <v>2</v>
      </c>
      <c r="AJ1496" s="960">
        <f t="array" ref="AJ1496">HLOOKUP($J1496,'Type Chart'!$C$2:$T$20,17,false)*HLOOKUP($K1496,'Type Chart'!$C$2:$U$20,17,false)</f>
        <v>1</v>
      </c>
      <c r="AK1496" s="960">
        <f t="array" ref="AK1496">HLOOKUP($J1496,'Type Chart'!$C$2:$T$20,18,false)*HLOOKUP($K1496,'Type Chart'!$C$2:$U$20,18,false)</f>
        <v>1</v>
      </c>
      <c r="AL1496" s="960">
        <f t="array" ref="AL1496">HLOOKUP($J1496,'Type Chart'!$C$2:$T$20,19,false)*HLOOKUP($K1496,'Type Chart'!$C$2:$U$20,19,false)</f>
        <v>1</v>
      </c>
      <c r="AM1496" s="964" t="s">
        <v>1013</v>
      </c>
      <c r="AN1496" s="965" t="s">
        <v>1403</v>
      </c>
      <c r="AO1496" s="966" t="s">
        <v>1243</v>
      </c>
      <c r="AP1496" s="936"/>
      <c r="AQ1496" s="1245"/>
      <c r="AR1496" s="1245"/>
      <c r="AS1496" s="936"/>
    </row>
    <row r="1497" ht="15.75" customHeight="1">
      <c r="A1497" s="1099"/>
      <c r="B1497" s="948" t="s">
        <v>1713</v>
      </c>
      <c r="C1497" s="1197" t="s">
        <v>1714</v>
      </c>
      <c r="D1497" s="1197" t="s">
        <v>1714</v>
      </c>
      <c r="E1497" s="1147" t="s">
        <v>1714</v>
      </c>
      <c r="F1497" s="940"/>
      <c r="G1497" s="953"/>
      <c r="H1497" s="969"/>
      <c r="I1497" s="998" t="s">
        <v>4598</v>
      </c>
      <c r="J1497" s="1180" t="s">
        <v>343</v>
      </c>
      <c r="K1497" s="1001" t="s">
        <v>128</v>
      </c>
      <c r="L1497" s="959">
        <v>55.0</v>
      </c>
      <c r="M1497" s="960">
        <v>35.0</v>
      </c>
      <c r="N1497" s="960">
        <v>50.0</v>
      </c>
      <c r="O1497" s="960">
        <v>55.0</v>
      </c>
      <c r="P1497" s="960">
        <v>110.0</v>
      </c>
      <c r="Q1497" s="960">
        <v>85.0</v>
      </c>
      <c r="R1497" s="960">
        <v>206.0</v>
      </c>
      <c r="S1497" s="960">
        <v>269.0</v>
      </c>
      <c r="T1497" s="960">
        <v>295.0</v>
      </c>
      <c r="U1497" s="960">
        <f t="array" ref="U1497">HLOOKUP($J1497,'Type Chart'!$C$2:$T$20,2,false)*HLOOKUP($K1497,'Type Chart'!$C$2:$U$20,2,false)</f>
        <v>1</v>
      </c>
      <c r="V1497" s="960">
        <f t="array" ref="V1497">HLOOKUP($J1497,'Type Chart'!$C$2:$T$20,3,false)*HLOOKUP($K1497,'Type Chart'!$C$2:$U$20,3,false)</f>
        <v>0.25</v>
      </c>
      <c r="W1497" s="960">
        <f t="array" ref="W1497">HLOOKUP($J1497,'Type Chart'!$C$2:$T$20,4,false)*HLOOKUP($K1497,'Type Chart'!$C$2:$U$20,4,false)</f>
        <v>2</v>
      </c>
      <c r="X1497" s="960">
        <f t="array" ref="X1497">HLOOKUP($J1497,'Type Chart'!$C$2:$T$20,5,false)*HLOOKUP($K1497,'Type Chart'!$C$2:$U$20,5,false)</f>
        <v>1</v>
      </c>
      <c r="Y1497" s="960">
        <f t="array" ref="Y1497">HLOOKUP($J1497,'Type Chart'!$C$2:$T$20,6,false)*HLOOKUP($K1497,'Type Chart'!$C$2:$U$20,6,false)</f>
        <v>0</v>
      </c>
      <c r="Z1497" s="960">
        <f t="array" ref="Z1497">HLOOKUP($J1497,'Type Chart'!$C$2:$T$20,7,false)*HLOOKUP($K1497,'Type Chart'!$C$2:$U$20,7,false)</f>
        <v>4</v>
      </c>
      <c r="AA1497" s="960">
        <f t="array" ref="AA1497">HLOOKUP($J1497,'Type Chart'!$C$2:$T$20,8,false)*HLOOKUP($K1497,'Type Chart'!$C$2:$U$20,8,false)</f>
        <v>0.5</v>
      </c>
      <c r="AB1497" s="960">
        <f t="array" ref="AB1497">HLOOKUP($J1497,'Type Chart'!$C$2:$T$20,9,false)*HLOOKUP($K1497,'Type Chart'!$C$2:$U$20,9,false)</f>
        <v>1</v>
      </c>
      <c r="AC1497" s="960">
        <f t="array" ref="AC1497">HLOOKUP($J1497,'Type Chart'!$C$2:$T$20,10,false)*HLOOKUP($K1497,'Type Chart'!$C$2:$U$20,10,false)</f>
        <v>1</v>
      </c>
      <c r="AD1497" s="960">
        <f t="array" ref="AD1497">HLOOKUP($J1497,'Type Chart'!$C$2:$T$20,11,false)*HLOOKUP($K1497,'Type Chart'!$C$2:$U$20,11,false)</f>
        <v>2</v>
      </c>
      <c r="AE1497" s="960">
        <f t="array" ref="AE1497">HLOOKUP($J1497,'Type Chart'!$C$2:$T$20,12,false)*HLOOKUP($K1497,'Type Chart'!$C$2:$U$20,12,false)</f>
        <v>1</v>
      </c>
      <c r="AF1497" s="960">
        <f t="array" ref="AF1497">HLOOKUP($J1497,'Type Chart'!$C$2:$T$20,13,false)*HLOOKUP($K1497,'Type Chart'!$C$2:$U$20,13,false)</f>
        <v>0.25</v>
      </c>
      <c r="AG1497" s="960">
        <f t="array" ref="AG1497">HLOOKUP($J1497,'Type Chart'!$C$2:$T$20,14,false)*HLOOKUP($K1497,'Type Chart'!$C$2:$U$20,14,false)</f>
        <v>2</v>
      </c>
      <c r="AH1497" s="960">
        <f t="array" ref="AH1497">HLOOKUP($J1497,'Type Chart'!$C$2:$T$20,15,false)*HLOOKUP($K1497,'Type Chart'!$C$2:$U$20,15,false)</f>
        <v>1</v>
      </c>
      <c r="AI1497" s="960">
        <f t="array" ref="AI1497">HLOOKUP($J1497,'Type Chart'!$C$2:$T$20,16,false)*HLOOKUP($K1497,'Type Chart'!$C$2:$U$20,16,false)</f>
        <v>2</v>
      </c>
      <c r="AJ1497" s="960">
        <f t="array" ref="AJ1497">HLOOKUP($J1497,'Type Chart'!$C$2:$T$20,17,false)*HLOOKUP($K1497,'Type Chart'!$C$2:$U$20,17,false)</f>
        <v>1</v>
      </c>
      <c r="AK1497" s="960">
        <f t="array" ref="AK1497">HLOOKUP($J1497,'Type Chart'!$C$2:$T$20,18,false)*HLOOKUP($K1497,'Type Chart'!$C$2:$U$20,18,false)</f>
        <v>1</v>
      </c>
      <c r="AL1497" s="960">
        <f t="array" ref="AL1497">HLOOKUP($J1497,'Type Chart'!$C$2:$T$20,19,false)*HLOOKUP($K1497,'Type Chart'!$C$2:$U$20,19,false)</f>
        <v>1</v>
      </c>
      <c r="AM1497" s="964" t="s">
        <v>1013</v>
      </c>
      <c r="AN1497" s="965" t="s">
        <v>1403</v>
      </c>
      <c r="AO1497" s="1146" t="s">
        <v>1501</v>
      </c>
      <c r="AP1497" s="936"/>
      <c r="AQ1497" s="1245"/>
      <c r="AR1497" s="1245"/>
      <c r="AS1497" s="936"/>
    </row>
    <row r="1498" ht="15.75" customHeight="1">
      <c r="A1498" s="1099"/>
      <c r="B1498" s="948" t="s">
        <v>1716</v>
      </c>
      <c r="C1498" s="1197" t="s">
        <v>1717</v>
      </c>
      <c r="D1498" s="1197" t="s">
        <v>1717</v>
      </c>
      <c r="E1498" s="1147" t="s">
        <v>1717</v>
      </c>
      <c r="F1498" s="940"/>
      <c r="G1498" s="953"/>
      <c r="H1498" s="969"/>
      <c r="I1498" s="998" t="s">
        <v>4599</v>
      </c>
      <c r="J1498" s="1180" t="s">
        <v>343</v>
      </c>
      <c r="K1498" s="958" t="s">
        <v>178</v>
      </c>
      <c r="L1498" s="959">
        <v>40.0</v>
      </c>
      <c r="M1498" s="960">
        <v>60.0</v>
      </c>
      <c r="N1498" s="960">
        <v>40.0</v>
      </c>
      <c r="O1498" s="960">
        <v>40.0</v>
      </c>
      <c r="P1498" s="960">
        <v>40.0</v>
      </c>
      <c r="Q1498" s="960">
        <v>30.0</v>
      </c>
      <c r="R1498" s="960">
        <v>96.0</v>
      </c>
      <c r="S1498" s="960">
        <v>159.0</v>
      </c>
      <c r="T1498" s="960">
        <v>174.0</v>
      </c>
      <c r="U1498" s="960">
        <f t="array" ref="U1498">HLOOKUP($J1498,'Type Chart'!$C$2:$T$20,2,false)*HLOOKUP($K1498,'Type Chart'!$C$2:$U$20,2,false)</f>
        <v>1</v>
      </c>
      <c r="V1498" s="960">
        <f t="array" ref="V1498">HLOOKUP($J1498,'Type Chart'!$C$2:$T$20,3,false)*HLOOKUP($K1498,'Type Chart'!$C$2:$U$20,3,false)</f>
        <v>0.25</v>
      </c>
      <c r="W1498" s="960">
        <f t="array" ref="W1498">HLOOKUP($J1498,'Type Chart'!$C$2:$T$20,4,false)*HLOOKUP($K1498,'Type Chart'!$C$2:$U$20,4,false)</f>
        <v>2</v>
      </c>
      <c r="X1498" s="960">
        <f t="array" ref="X1498">HLOOKUP($J1498,'Type Chart'!$C$2:$T$20,5,false)*HLOOKUP($K1498,'Type Chart'!$C$2:$U$20,5,false)</f>
        <v>0.5</v>
      </c>
      <c r="Y1498" s="960">
        <f t="array" ref="Y1498">HLOOKUP($J1498,'Type Chart'!$C$2:$T$20,6,false)*HLOOKUP($K1498,'Type Chart'!$C$2:$U$20,6,false)</f>
        <v>1</v>
      </c>
      <c r="Z1498" s="960">
        <f t="array" ref="Z1498">HLOOKUP($J1498,'Type Chart'!$C$2:$T$20,7,false)*HLOOKUP($K1498,'Type Chart'!$C$2:$U$20,7,false)</f>
        <v>2</v>
      </c>
      <c r="AA1498" s="960">
        <f t="array" ref="AA1498">HLOOKUP($J1498,'Type Chart'!$C$2:$T$20,8,false)*HLOOKUP($K1498,'Type Chart'!$C$2:$U$20,8,false)</f>
        <v>0.5</v>
      </c>
      <c r="AB1498" s="960">
        <f t="array" ref="AB1498">HLOOKUP($J1498,'Type Chart'!$C$2:$T$20,9,false)*HLOOKUP($K1498,'Type Chart'!$C$2:$U$20,9,false)</f>
        <v>1</v>
      </c>
      <c r="AC1498" s="960">
        <f t="array" ref="AC1498">HLOOKUP($J1498,'Type Chart'!$C$2:$T$20,10,false)*HLOOKUP($K1498,'Type Chart'!$C$2:$U$20,10,false)</f>
        <v>1</v>
      </c>
      <c r="AD1498" s="960">
        <f t="array" ref="AD1498">HLOOKUP($J1498,'Type Chart'!$C$2:$T$20,11,false)*HLOOKUP($K1498,'Type Chart'!$C$2:$U$20,11,false)</f>
        <v>2</v>
      </c>
      <c r="AE1498" s="960">
        <f t="array" ref="AE1498">HLOOKUP($J1498,'Type Chart'!$C$2:$T$20,12,false)*HLOOKUP($K1498,'Type Chart'!$C$2:$U$20,12,false)</f>
        <v>1</v>
      </c>
      <c r="AF1498" s="960">
        <f t="array" ref="AF1498">HLOOKUP($J1498,'Type Chart'!$C$2:$T$20,13,false)*HLOOKUP($K1498,'Type Chart'!$C$2:$U$20,13,false)</f>
        <v>0.25</v>
      </c>
      <c r="AG1498" s="960">
        <f t="array" ref="AG1498">HLOOKUP($J1498,'Type Chart'!$C$2:$T$20,14,false)*HLOOKUP($K1498,'Type Chart'!$C$2:$U$20,14,false)</f>
        <v>1</v>
      </c>
      <c r="AH1498" s="960">
        <f t="array" ref="AH1498">HLOOKUP($J1498,'Type Chart'!$C$2:$T$20,15,false)*HLOOKUP($K1498,'Type Chart'!$C$2:$U$20,15,false)</f>
        <v>2</v>
      </c>
      <c r="AI1498" s="960">
        <f t="array" ref="AI1498">HLOOKUP($J1498,'Type Chart'!$C$2:$T$20,16,false)*HLOOKUP($K1498,'Type Chart'!$C$2:$U$20,16,false)</f>
        <v>1</v>
      </c>
      <c r="AJ1498" s="960">
        <f t="array" ref="AJ1498">HLOOKUP($J1498,'Type Chart'!$C$2:$T$20,17,false)*HLOOKUP($K1498,'Type Chart'!$C$2:$U$20,17,false)</f>
        <v>1</v>
      </c>
      <c r="AK1498" s="960">
        <f t="array" ref="AK1498">HLOOKUP($J1498,'Type Chart'!$C$2:$T$20,18,false)*HLOOKUP($K1498,'Type Chart'!$C$2:$U$20,18,false)</f>
        <v>1</v>
      </c>
      <c r="AL1498" s="960">
        <f t="array" ref="AL1498">HLOOKUP($J1498,'Type Chart'!$C$2:$T$20,19,false)*HLOOKUP($K1498,'Type Chart'!$C$2:$U$20,19,false)</f>
        <v>0.5</v>
      </c>
      <c r="AM1498" s="964" t="s">
        <v>1013</v>
      </c>
      <c r="AN1498" s="965" t="s">
        <v>1454</v>
      </c>
      <c r="AO1498" s="966" t="s">
        <v>1014</v>
      </c>
      <c r="AP1498" s="936"/>
      <c r="AQ1498" s="1245"/>
      <c r="AR1498" s="1245"/>
      <c r="AS1498" s="936"/>
    </row>
    <row r="1499" ht="15.75" customHeight="1">
      <c r="A1499" s="1099"/>
      <c r="B1499" s="948" t="s">
        <v>1719</v>
      </c>
      <c r="C1499" s="1197" t="s">
        <v>1720</v>
      </c>
      <c r="D1499" s="1197" t="s">
        <v>1720</v>
      </c>
      <c r="E1499" s="1147" t="s">
        <v>1720</v>
      </c>
      <c r="F1499" s="940"/>
      <c r="G1499" s="953"/>
      <c r="H1499" s="969"/>
      <c r="I1499" s="998" t="s">
        <v>4600</v>
      </c>
      <c r="J1499" s="1180" t="s">
        <v>343</v>
      </c>
      <c r="K1499" s="958" t="s">
        <v>178</v>
      </c>
      <c r="L1499" s="959">
        <v>70.0</v>
      </c>
      <c r="M1499" s="960">
        <v>90.0</v>
      </c>
      <c r="N1499" s="960">
        <v>70.0</v>
      </c>
      <c r="O1499" s="960">
        <v>60.0</v>
      </c>
      <c r="P1499" s="960">
        <v>70.0</v>
      </c>
      <c r="Q1499" s="960">
        <v>40.0</v>
      </c>
      <c r="R1499" s="960">
        <v>116.0</v>
      </c>
      <c r="S1499" s="960">
        <v>179.0</v>
      </c>
      <c r="T1499" s="960">
        <v>196.0</v>
      </c>
      <c r="U1499" s="960">
        <f t="array" ref="U1499">HLOOKUP($J1499,'Type Chart'!$C$2:$T$20,2,false)*HLOOKUP($K1499,'Type Chart'!$C$2:$U$20,2,false)</f>
        <v>1</v>
      </c>
      <c r="V1499" s="960">
        <f t="array" ref="V1499">HLOOKUP($J1499,'Type Chart'!$C$2:$T$20,3,false)*HLOOKUP($K1499,'Type Chart'!$C$2:$U$20,3,false)</f>
        <v>0.25</v>
      </c>
      <c r="W1499" s="960">
        <f t="array" ref="W1499">HLOOKUP($J1499,'Type Chart'!$C$2:$T$20,4,false)*HLOOKUP($K1499,'Type Chart'!$C$2:$U$20,4,false)</f>
        <v>2</v>
      </c>
      <c r="X1499" s="960">
        <f t="array" ref="X1499">HLOOKUP($J1499,'Type Chart'!$C$2:$T$20,5,false)*HLOOKUP($K1499,'Type Chart'!$C$2:$U$20,5,false)</f>
        <v>0.5</v>
      </c>
      <c r="Y1499" s="960">
        <f t="array" ref="Y1499">HLOOKUP($J1499,'Type Chart'!$C$2:$T$20,6,false)*HLOOKUP($K1499,'Type Chart'!$C$2:$U$20,6,false)</f>
        <v>1</v>
      </c>
      <c r="Z1499" s="960">
        <f t="array" ref="Z1499">HLOOKUP($J1499,'Type Chart'!$C$2:$T$20,7,false)*HLOOKUP($K1499,'Type Chart'!$C$2:$U$20,7,false)</f>
        <v>2</v>
      </c>
      <c r="AA1499" s="960">
        <f t="array" ref="AA1499">HLOOKUP($J1499,'Type Chart'!$C$2:$T$20,8,false)*HLOOKUP($K1499,'Type Chart'!$C$2:$U$20,8,false)</f>
        <v>0.5</v>
      </c>
      <c r="AB1499" s="960">
        <f t="array" ref="AB1499">HLOOKUP($J1499,'Type Chart'!$C$2:$T$20,9,false)*HLOOKUP($K1499,'Type Chart'!$C$2:$U$20,9,false)</f>
        <v>1</v>
      </c>
      <c r="AC1499" s="960">
        <f t="array" ref="AC1499">HLOOKUP($J1499,'Type Chart'!$C$2:$T$20,10,false)*HLOOKUP($K1499,'Type Chart'!$C$2:$U$20,10,false)</f>
        <v>1</v>
      </c>
      <c r="AD1499" s="960">
        <f t="array" ref="AD1499">HLOOKUP($J1499,'Type Chart'!$C$2:$T$20,11,false)*HLOOKUP($K1499,'Type Chart'!$C$2:$U$20,11,false)</f>
        <v>2</v>
      </c>
      <c r="AE1499" s="960">
        <f t="array" ref="AE1499">HLOOKUP($J1499,'Type Chart'!$C$2:$T$20,12,false)*HLOOKUP($K1499,'Type Chart'!$C$2:$U$20,12,false)</f>
        <v>1</v>
      </c>
      <c r="AF1499" s="960">
        <f t="array" ref="AF1499">HLOOKUP($J1499,'Type Chart'!$C$2:$T$20,13,false)*HLOOKUP($K1499,'Type Chart'!$C$2:$U$20,13,false)</f>
        <v>0.25</v>
      </c>
      <c r="AG1499" s="960">
        <f t="array" ref="AG1499">HLOOKUP($J1499,'Type Chart'!$C$2:$T$20,14,false)*HLOOKUP($K1499,'Type Chart'!$C$2:$U$20,14,false)</f>
        <v>1</v>
      </c>
      <c r="AH1499" s="960">
        <f t="array" ref="AH1499">HLOOKUP($J1499,'Type Chart'!$C$2:$T$20,15,false)*HLOOKUP($K1499,'Type Chart'!$C$2:$U$20,15,false)</f>
        <v>2</v>
      </c>
      <c r="AI1499" s="960">
        <f t="array" ref="AI1499">HLOOKUP($J1499,'Type Chart'!$C$2:$T$20,16,false)*HLOOKUP($K1499,'Type Chart'!$C$2:$U$20,16,false)</f>
        <v>1</v>
      </c>
      <c r="AJ1499" s="960">
        <f t="array" ref="AJ1499">HLOOKUP($J1499,'Type Chart'!$C$2:$T$20,17,false)*HLOOKUP($K1499,'Type Chart'!$C$2:$U$20,17,false)</f>
        <v>1</v>
      </c>
      <c r="AK1499" s="960">
        <f t="array" ref="AK1499">HLOOKUP($J1499,'Type Chart'!$C$2:$T$20,18,false)*HLOOKUP($K1499,'Type Chart'!$C$2:$U$20,18,false)</f>
        <v>1</v>
      </c>
      <c r="AL1499" s="960">
        <f t="array" ref="AL1499">HLOOKUP($J1499,'Type Chart'!$C$2:$T$20,19,false)*HLOOKUP($K1499,'Type Chart'!$C$2:$U$20,19,false)</f>
        <v>0.5</v>
      </c>
      <c r="AM1499" s="964" t="s">
        <v>1013</v>
      </c>
      <c r="AN1499" s="965" t="s">
        <v>1454</v>
      </c>
      <c r="AO1499" s="966" t="s">
        <v>1014</v>
      </c>
      <c r="AP1499" s="936"/>
      <c r="AQ1499" s="1245"/>
      <c r="AR1499" s="1245"/>
      <c r="AS1499" s="936"/>
    </row>
    <row r="1500" ht="15.75" customHeight="1">
      <c r="A1500" s="1099"/>
      <c r="B1500" s="948" t="s">
        <v>1721</v>
      </c>
      <c r="C1500" s="1197" t="s">
        <v>1722</v>
      </c>
      <c r="D1500" s="1197" t="s">
        <v>1722</v>
      </c>
      <c r="E1500" s="1147" t="s">
        <v>1722</v>
      </c>
      <c r="F1500" s="940"/>
      <c r="G1500" s="953"/>
      <c r="H1500" s="969"/>
      <c r="I1500" s="998" t="s">
        <v>4601</v>
      </c>
      <c r="J1500" s="958" t="s">
        <v>178</v>
      </c>
      <c r="K1500" s="1001" t="s">
        <v>128</v>
      </c>
      <c r="L1500" s="959">
        <v>85.0</v>
      </c>
      <c r="M1500" s="960">
        <v>90.0</v>
      </c>
      <c r="N1500" s="960">
        <v>80.0</v>
      </c>
      <c r="O1500" s="960">
        <v>70.0</v>
      </c>
      <c r="P1500" s="960">
        <v>80.0</v>
      </c>
      <c r="Q1500" s="960">
        <v>130.0</v>
      </c>
      <c r="R1500" s="960">
        <v>296.0</v>
      </c>
      <c r="S1500" s="960">
        <v>359.0</v>
      </c>
      <c r="T1500" s="960">
        <v>394.0</v>
      </c>
      <c r="U1500" s="960">
        <f t="array" ref="U1500">HLOOKUP($J1500,'Type Chart'!$C$2:$T$20,2,false)*HLOOKUP($K1500,'Type Chart'!$C$2:$U$20,2,false)</f>
        <v>1</v>
      </c>
      <c r="V1500" s="960">
        <f t="array" ref="V1500">HLOOKUP($J1500,'Type Chart'!$C$2:$T$20,3,false)*HLOOKUP($K1500,'Type Chart'!$C$2:$U$20,3,false)</f>
        <v>0.25</v>
      </c>
      <c r="W1500" s="960">
        <f t="array" ref="W1500">HLOOKUP($J1500,'Type Chart'!$C$2:$T$20,4,false)*HLOOKUP($K1500,'Type Chart'!$C$2:$U$20,4,false)</f>
        <v>1</v>
      </c>
      <c r="X1500" s="960">
        <f t="array" ref="X1500">HLOOKUP($J1500,'Type Chart'!$C$2:$T$20,5,false)*HLOOKUP($K1500,'Type Chart'!$C$2:$U$20,5,false)</f>
        <v>0.5</v>
      </c>
      <c r="Y1500" s="960">
        <f t="array" ref="Y1500">HLOOKUP($J1500,'Type Chart'!$C$2:$T$20,6,false)*HLOOKUP($K1500,'Type Chart'!$C$2:$U$20,6,false)</f>
        <v>0</v>
      </c>
      <c r="Z1500" s="960">
        <f t="array" ref="Z1500">HLOOKUP($J1500,'Type Chart'!$C$2:$T$20,7,false)*HLOOKUP($K1500,'Type Chart'!$C$2:$U$20,7,false)</f>
        <v>2</v>
      </c>
      <c r="AA1500" s="960">
        <f t="array" ref="AA1500">HLOOKUP($J1500,'Type Chart'!$C$2:$T$20,8,false)*HLOOKUP($K1500,'Type Chart'!$C$2:$U$20,8,false)</f>
        <v>0.25</v>
      </c>
      <c r="AB1500" s="960">
        <f t="array" ref="AB1500">HLOOKUP($J1500,'Type Chart'!$C$2:$T$20,9,false)*HLOOKUP($K1500,'Type Chart'!$C$2:$U$20,9,false)</f>
        <v>1</v>
      </c>
      <c r="AC1500" s="960">
        <f t="array" ref="AC1500">HLOOKUP($J1500,'Type Chart'!$C$2:$T$20,10,false)*HLOOKUP($K1500,'Type Chart'!$C$2:$U$20,10,false)</f>
        <v>1</v>
      </c>
      <c r="AD1500" s="960">
        <f t="array" ref="AD1500">HLOOKUP($J1500,'Type Chart'!$C$2:$T$20,11,false)*HLOOKUP($K1500,'Type Chart'!$C$2:$U$20,11,false)</f>
        <v>1</v>
      </c>
      <c r="AE1500" s="960">
        <f t="array" ref="AE1500">HLOOKUP($J1500,'Type Chart'!$C$2:$T$20,12,false)*HLOOKUP($K1500,'Type Chart'!$C$2:$U$20,12,false)</f>
        <v>1</v>
      </c>
      <c r="AF1500" s="960">
        <f t="array" ref="AF1500">HLOOKUP($J1500,'Type Chart'!$C$2:$T$20,13,false)*HLOOKUP($K1500,'Type Chart'!$C$2:$U$20,13,false)</f>
        <v>0.25</v>
      </c>
      <c r="AG1500" s="960">
        <f t="array" ref="AG1500">HLOOKUP($J1500,'Type Chart'!$C$2:$T$20,14,false)*HLOOKUP($K1500,'Type Chart'!$C$2:$U$20,14,false)</f>
        <v>2</v>
      </c>
      <c r="AH1500" s="960">
        <f t="array" ref="AH1500">HLOOKUP($J1500,'Type Chart'!$C$2:$T$20,15,false)*HLOOKUP($K1500,'Type Chart'!$C$2:$U$20,15,false)</f>
        <v>2</v>
      </c>
      <c r="AI1500" s="960">
        <f t="array" ref="AI1500">HLOOKUP($J1500,'Type Chart'!$C$2:$T$20,16,false)*HLOOKUP($K1500,'Type Chart'!$C$2:$U$20,16,false)</f>
        <v>2</v>
      </c>
      <c r="AJ1500" s="960">
        <f t="array" ref="AJ1500">HLOOKUP($J1500,'Type Chart'!$C$2:$T$20,17,false)*HLOOKUP($K1500,'Type Chart'!$C$2:$U$20,17,false)</f>
        <v>1</v>
      </c>
      <c r="AK1500" s="960">
        <f t="array" ref="AK1500">HLOOKUP($J1500,'Type Chart'!$C$2:$T$20,18,false)*HLOOKUP($K1500,'Type Chart'!$C$2:$U$20,18,false)</f>
        <v>1</v>
      </c>
      <c r="AL1500" s="960">
        <f t="array" ref="AL1500">HLOOKUP($J1500,'Type Chart'!$C$2:$T$20,19,false)*HLOOKUP($K1500,'Type Chart'!$C$2:$U$20,19,false)</f>
        <v>0.5</v>
      </c>
      <c r="AM1500" s="964" t="s">
        <v>1192</v>
      </c>
      <c r="AN1500" s="965"/>
      <c r="AO1500" s="966" t="s">
        <v>1193</v>
      </c>
      <c r="AP1500" s="936"/>
      <c r="AQ1500" s="1245"/>
      <c r="AR1500" s="1245"/>
      <c r="AS1500" s="936"/>
    </row>
    <row r="1501" ht="15.75" customHeight="1">
      <c r="A1501" s="1099"/>
      <c r="B1501" s="948" t="s">
        <v>1724</v>
      </c>
      <c r="C1501" s="1197" t="s">
        <v>1725</v>
      </c>
      <c r="D1501" s="1197" t="s">
        <v>1725</v>
      </c>
      <c r="E1501" s="1147" t="s">
        <v>1725</v>
      </c>
      <c r="F1501" s="940"/>
      <c r="G1501" s="953"/>
      <c r="H1501" s="969"/>
      <c r="I1501" s="998" t="s">
        <v>4602</v>
      </c>
      <c r="J1501" s="1056" t="s">
        <v>81</v>
      </c>
      <c r="K1501" s="1196" t="s">
        <v>203</v>
      </c>
      <c r="L1501" s="959">
        <v>75.0</v>
      </c>
      <c r="M1501" s="960">
        <v>38.0</v>
      </c>
      <c r="N1501" s="960">
        <v>38.0</v>
      </c>
      <c r="O1501" s="960">
        <v>56.0</v>
      </c>
      <c r="P1501" s="960">
        <v>56.0</v>
      </c>
      <c r="Q1501" s="960">
        <v>67.0</v>
      </c>
      <c r="R1501" s="960">
        <v>170.0</v>
      </c>
      <c r="S1501" s="960">
        <v>233.0</v>
      </c>
      <c r="T1501" s="960">
        <v>256.0</v>
      </c>
      <c r="U1501" s="960">
        <f t="array" ref="U1501">HLOOKUP($J1501,'Type Chart'!$C$2:$T$20,2,false)*HLOOKUP($K1501,'Type Chart'!$C$2:$U$20,2,false)</f>
        <v>1</v>
      </c>
      <c r="V1501" s="960">
        <f t="array" ref="V1501">HLOOKUP($J1501,'Type Chart'!$C$2:$T$20,3,false)*HLOOKUP($K1501,'Type Chart'!$C$2:$U$20,3,false)</f>
        <v>1</v>
      </c>
      <c r="W1501" s="960">
        <f t="array" ref="W1501">HLOOKUP($J1501,'Type Chart'!$C$2:$T$20,4,false)*HLOOKUP($K1501,'Type Chart'!$C$2:$U$20,4,false)</f>
        <v>0.5</v>
      </c>
      <c r="X1501" s="960">
        <f t="array" ref="X1501">HLOOKUP($J1501,'Type Chart'!$C$2:$T$20,5,false)*HLOOKUP($K1501,'Type Chart'!$C$2:$U$20,5,false)</f>
        <v>1</v>
      </c>
      <c r="Y1501" s="960">
        <f t="array" ref="Y1501">HLOOKUP($J1501,'Type Chart'!$C$2:$T$20,6,false)*HLOOKUP($K1501,'Type Chart'!$C$2:$U$20,6,false)</f>
        <v>2</v>
      </c>
      <c r="Z1501" s="960">
        <f t="array" ref="Z1501">HLOOKUP($J1501,'Type Chart'!$C$2:$T$20,7,false)*HLOOKUP($K1501,'Type Chart'!$C$2:$U$20,7,false)</f>
        <v>1</v>
      </c>
      <c r="AA1501" s="960">
        <f t="array" ref="AA1501">HLOOKUP($J1501,'Type Chart'!$C$2:$T$20,8,false)*HLOOKUP($K1501,'Type Chart'!$C$2:$U$20,8,false)</f>
        <v>1</v>
      </c>
      <c r="AB1501" s="960">
        <f t="array" ref="AB1501">HLOOKUP($J1501,'Type Chart'!$C$2:$T$20,9,false)*HLOOKUP($K1501,'Type Chart'!$C$2:$U$20,9,false)</f>
        <v>1</v>
      </c>
      <c r="AC1501" s="960">
        <f t="array" ref="AC1501">HLOOKUP($J1501,'Type Chart'!$C$2:$T$20,10,false)*HLOOKUP($K1501,'Type Chart'!$C$2:$U$20,10,false)</f>
        <v>0.25</v>
      </c>
      <c r="AD1501" s="960">
        <f t="array" ref="AD1501">HLOOKUP($J1501,'Type Chart'!$C$2:$T$20,11,false)*HLOOKUP($K1501,'Type Chart'!$C$2:$U$20,11,false)</f>
        <v>0.5</v>
      </c>
      <c r="AE1501" s="960">
        <f t="array" ref="AE1501">HLOOKUP($J1501,'Type Chart'!$C$2:$T$20,12,false)*HLOOKUP($K1501,'Type Chart'!$C$2:$U$20,12,false)</f>
        <v>0.5</v>
      </c>
      <c r="AF1501" s="960">
        <f t="array" ref="AF1501">HLOOKUP($J1501,'Type Chart'!$C$2:$T$20,13,false)*HLOOKUP($K1501,'Type Chart'!$C$2:$U$20,13,false)</f>
        <v>2</v>
      </c>
      <c r="AG1501" s="960">
        <f t="array" ref="AG1501">HLOOKUP($J1501,'Type Chart'!$C$2:$T$20,14,false)*HLOOKUP($K1501,'Type Chart'!$C$2:$U$20,14,false)</f>
        <v>1</v>
      </c>
      <c r="AH1501" s="960">
        <f t="array" ref="AH1501">HLOOKUP($J1501,'Type Chart'!$C$2:$T$20,15,false)*HLOOKUP($K1501,'Type Chart'!$C$2:$U$20,15,false)</f>
        <v>1</v>
      </c>
      <c r="AI1501" s="960">
        <f t="array" ref="AI1501">HLOOKUP($J1501,'Type Chart'!$C$2:$T$20,16,false)*HLOOKUP($K1501,'Type Chart'!$C$2:$U$20,16,false)</f>
        <v>0.5</v>
      </c>
      <c r="AJ1501" s="960">
        <f t="array" ref="AJ1501">HLOOKUP($J1501,'Type Chart'!$C$2:$T$20,17,false)*HLOOKUP($K1501,'Type Chart'!$C$2:$U$20,17,false)</f>
        <v>1</v>
      </c>
      <c r="AK1501" s="960">
        <f t="array" ref="AK1501">HLOOKUP($J1501,'Type Chart'!$C$2:$T$20,18,false)*HLOOKUP($K1501,'Type Chart'!$C$2:$U$20,18,false)</f>
        <v>1</v>
      </c>
      <c r="AL1501" s="960">
        <f t="array" ref="AL1501">HLOOKUP($J1501,'Type Chart'!$C$2:$T$20,19,false)*HLOOKUP($K1501,'Type Chart'!$C$2:$U$20,19,false)</f>
        <v>1</v>
      </c>
      <c r="AM1501" s="964" t="s">
        <v>1614</v>
      </c>
      <c r="AN1501" s="965" t="s">
        <v>1549</v>
      </c>
      <c r="AO1501" s="966" t="s">
        <v>1283</v>
      </c>
      <c r="AP1501" s="936"/>
      <c r="AQ1501" s="1245"/>
      <c r="AR1501" s="1245"/>
      <c r="AS1501" s="936"/>
    </row>
    <row r="1502" ht="15.75" customHeight="1">
      <c r="A1502" s="1099"/>
      <c r="B1502" s="948" t="s">
        <v>1727</v>
      </c>
      <c r="C1502" s="1197" t="s">
        <v>1728</v>
      </c>
      <c r="D1502" s="1197" t="s">
        <v>1728</v>
      </c>
      <c r="E1502" s="1147" t="s">
        <v>1728</v>
      </c>
      <c r="F1502" s="940"/>
      <c r="G1502" s="953"/>
      <c r="H1502" s="969"/>
      <c r="I1502" s="998" t="s">
        <v>4603</v>
      </c>
      <c r="J1502" s="1056" t="s">
        <v>81</v>
      </c>
      <c r="K1502" s="1196" t="s">
        <v>203</v>
      </c>
      <c r="L1502" s="959">
        <v>125.0</v>
      </c>
      <c r="M1502" s="960">
        <v>58.0</v>
      </c>
      <c r="N1502" s="960">
        <v>58.0</v>
      </c>
      <c r="O1502" s="960">
        <v>76.0</v>
      </c>
      <c r="P1502" s="960">
        <v>76.0</v>
      </c>
      <c r="Q1502" s="960">
        <v>67.0</v>
      </c>
      <c r="R1502" s="960">
        <v>170.0</v>
      </c>
      <c r="S1502" s="960">
        <v>233.0</v>
      </c>
      <c r="T1502" s="960">
        <v>256.0</v>
      </c>
      <c r="U1502" s="960">
        <f t="array" ref="U1502">HLOOKUP($J1502,'Type Chart'!$C$2:$T$20,2,false)*HLOOKUP($K1502,'Type Chart'!$C$2:$U$20,2,false)</f>
        <v>1</v>
      </c>
      <c r="V1502" s="960">
        <f t="array" ref="V1502">HLOOKUP($J1502,'Type Chart'!$C$2:$T$20,3,false)*HLOOKUP($K1502,'Type Chart'!$C$2:$U$20,3,false)</f>
        <v>1</v>
      </c>
      <c r="W1502" s="960">
        <f t="array" ref="W1502">HLOOKUP($J1502,'Type Chart'!$C$2:$T$20,4,false)*HLOOKUP($K1502,'Type Chart'!$C$2:$U$20,4,false)</f>
        <v>0.5</v>
      </c>
      <c r="X1502" s="960">
        <f t="array" ref="X1502">HLOOKUP($J1502,'Type Chart'!$C$2:$T$20,5,false)*HLOOKUP($K1502,'Type Chart'!$C$2:$U$20,5,false)</f>
        <v>1</v>
      </c>
      <c r="Y1502" s="960">
        <f t="array" ref="Y1502">HLOOKUP($J1502,'Type Chart'!$C$2:$T$20,6,false)*HLOOKUP($K1502,'Type Chart'!$C$2:$U$20,6,false)</f>
        <v>2</v>
      </c>
      <c r="Z1502" s="960">
        <f t="array" ref="Z1502">HLOOKUP($J1502,'Type Chart'!$C$2:$T$20,7,false)*HLOOKUP($K1502,'Type Chart'!$C$2:$U$20,7,false)</f>
        <v>1</v>
      </c>
      <c r="AA1502" s="960">
        <f t="array" ref="AA1502">HLOOKUP($J1502,'Type Chart'!$C$2:$T$20,8,false)*HLOOKUP($K1502,'Type Chart'!$C$2:$U$20,8,false)</f>
        <v>1</v>
      </c>
      <c r="AB1502" s="960">
        <f t="array" ref="AB1502">HLOOKUP($J1502,'Type Chart'!$C$2:$T$20,9,false)*HLOOKUP($K1502,'Type Chart'!$C$2:$U$20,9,false)</f>
        <v>1</v>
      </c>
      <c r="AC1502" s="960">
        <f t="array" ref="AC1502">HLOOKUP($J1502,'Type Chart'!$C$2:$T$20,10,false)*HLOOKUP($K1502,'Type Chart'!$C$2:$U$20,10,false)</f>
        <v>0.25</v>
      </c>
      <c r="AD1502" s="960">
        <f t="array" ref="AD1502">HLOOKUP($J1502,'Type Chart'!$C$2:$T$20,11,false)*HLOOKUP($K1502,'Type Chart'!$C$2:$U$20,11,false)</f>
        <v>0.5</v>
      </c>
      <c r="AE1502" s="960">
        <f t="array" ref="AE1502">HLOOKUP($J1502,'Type Chart'!$C$2:$T$20,12,false)*HLOOKUP($K1502,'Type Chart'!$C$2:$U$20,12,false)</f>
        <v>0.5</v>
      </c>
      <c r="AF1502" s="960">
        <f t="array" ref="AF1502">HLOOKUP($J1502,'Type Chart'!$C$2:$T$20,13,false)*HLOOKUP($K1502,'Type Chart'!$C$2:$U$20,13,false)</f>
        <v>2</v>
      </c>
      <c r="AG1502" s="960">
        <f t="array" ref="AG1502">HLOOKUP($J1502,'Type Chart'!$C$2:$T$20,14,false)*HLOOKUP($K1502,'Type Chart'!$C$2:$U$20,14,false)</f>
        <v>1</v>
      </c>
      <c r="AH1502" s="960">
        <f t="array" ref="AH1502">HLOOKUP($J1502,'Type Chart'!$C$2:$T$20,15,false)*HLOOKUP($K1502,'Type Chart'!$C$2:$U$20,15,false)</f>
        <v>1</v>
      </c>
      <c r="AI1502" s="960">
        <f t="array" ref="AI1502">HLOOKUP($J1502,'Type Chart'!$C$2:$T$20,16,false)*HLOOKUP($K1502,'Type Chart'!$C$2:$U$20,16,false)</f>
        <v>0.5</v>
      </c>
      <c r="AJ1502" s="960">
        <f t="array" ref="AJ1502">HLOOKUP($J1502,'Type Chart'!$C$2:$T$20,17,false)*HLOOKUP($K1502,'Type Chart'!$C$2:$U$20,17,false)</f>
        <v>1</v>
      </c>
      <c r="AK1502" s="960">
        <f t="array" ref="AK1502">HLOOKUP($J1502,'Type Chart'!$C$2:$T$20,18,false)*HLOOKUP($K1502,'Type Chart'!$C$2:$U$20,18,false)</f>
        <v>1</v>
      </c>
      <c r="AL1502" s="960">
        <f t="array" ref="AL1502">HLOOKUP($J1502,'Type Chart'!$C$2:$T$20,19,false)*HLOOKUP($K1502,'Type Chart'!$C$2:$U$20,19,false)</f>
        <v>1</v>
      </c>
      <c r="AM1502" s="964" t="s">
        <v>1614</v>
      </c>
      <c r="AN1502" s="965" t="s">
        <v>1549</v>
      </c>
      <c r="AO1502" s="966" t="s">
        <v>1283</v>
      </c>
      <c r="AP1502" s="936"/>
      <c r="AQ1502" s="1245"/>
      <c r="AR1502" s="1245"/>
      <c r="AS1502" s="936"/>
    </row>
    <row r="1503" ht="15.75" customHeight="1">
      <c r="A1503" s="1099"/>
      <c r="B1503" s="948" t="s">
        <v>1729</v>
      </c>
      <c r="C1503" s="1197" t="s">
        <v>1730</v>
      </c>
      <c r="D1503" s="1197" t="s">
        <v>1730</v>
      </c>
      <c r="E1503" s="1147" t="s">
        <v>1730</v>
      </c>
      <c r="F1503" s="940"/>
      <c r="G1503" s="953"/>
      <c r="H1503" s="969"/>
      <c r="I1503" s="998" t="s">
        <v>4604</v>
      </c>
      <c r="J1503" s="1196" t="s">
        <v>203</v>
      </c>
      <c r="K1503" s="984" t="s">
        <v>216</v>
      </c>
      <c r="L1503" s="959">
        <v>20.0</v>
      </c>
      <c r="M1503" s="960">
        <v>40.0</v>
      </c>
      <c r="N1503" s="960">
        <v>15.0</v>
      </c>
      <c r="O1503" s="960">
        <v>35.0</v>
      </c>
      <c r="P1503" s="960">
        <v>35.0</v>
      </c>
      <c r="Q1503" s="960">
        <v>60.0</v>
      </c>
      <c r="R1503" s="960">
        <v>156.0</v>
      </c>
      <c r="S1503" s="960">
        <v>219.0</v>
      </c>
      <c r="T1503" s="960">
        <v>240.0</v>
      </c>
      <c r="U1503" s="960">
        <f t="array" ref="U1503">HLOOKUP($J1503,'Type Chart'!$C$2:$T$20,2,false)*HLOOKUP($K1503,'Type Chart'!$C$2:$U$20,2,false)</f>
        <v>1</v>
      </c>
      <c r="V1503" s="960">
        <f t="array" ref="V1503">HLOOKUP($J1503,'Type Chart'!$C$2:$T$20,3,false)*HLOOKUP($K1503,'Type Chart'!$C$2:$U$20,3,false)</f>
        <v>1</v>
      </c>
      <c r="W1503" s="960">
        <f t="array" ref="W1503">HLOOKUP($J1503,'Type Chart'!$C$2:$T$20,4,false)*HLOOKUP($K1503,'Type Chart'!$C$2:$U$20,4,false)</f>
        <v>0.5</v>
      </c>
      <c r="X1503" s="960">
        <f t="array" ref="X1503">HLOOKUP($J1503,'Type Chart'!$C$2:$T$20,5,false)*HLOOKUP($K1503,'Type Chart'!$C$2:$U$20,5,false)</f>
        <v>1</v>
      </c>
      <c r="Y1503" s="960">
        <f t="array" ref="Y1503">HLOOKUP($J1503,'Type Chart'!$C$2:$T$20,6,false)*HLOOKUP($K1503,'Type Chart'!$C$2:$U$20,6,false)</f>
        <v>2</v>
      </c>
      <c r="Z1503" s="960">
        <f t="array" ref="Z1503">HLOOKUP($J1503,'Type Chart'!$C$2:$T$20,7,false)*HLOOKUP($K1503,'Type Chart'!$C$2:$U$20,7,false)</f>
        <v>1</v>
      </c>
      <c r="AA1503" s="960">
        <f t="array" ref="AA1503">HLOOKUP($J1503,'Type Chart'!$C$2:$T$20,8,false)*HLOOKUP($K1503,'Type Chart'!$C$2:$U$20,8,false)</f>
        <v>1</v>
      </c>
      <c r="AB1503" s="960">
        <f t="array" ref="AB1503">HLOOKUP($J1503,'Type Chart'!$C$2:$T$20,9,false)*HLOOKUP($K1503,'Type Chart'!$C$2:$U$20,9,false)</f>
        <v>1</v>
      </c>
      <c r="AC1503" s="960">
        <f t="array" ref="AC1503">HLOOKUP($J1503,'Type Chart'!$C$2:$T$20,10,false)*HLOOKUP($K1503,'Type Chart'!$C$2:$U$20,10,false)</f>
        <v>0.5</v>
      </c>
      <c r="AD1503" s="960">
        <f t="array" ref="AD1503">HLOOKUP($J1503,'Type Chart'!$C$2:$T$20,11,false)*HLOOKUP($K1503,'Type Chart'!$C$2:$U$20,11,false)</f>
        <v>1</v>
      </c>
      <c r="AE1503" s="960">
        <f t="array" ref="AE1503">HLOOKUP($J1503,'Type Chart'!$C$2:$T$20,12,false)*HLOOKUP($K1503,'Type Chart'!$C$2:$U$20,12,false)</f>
        <v>1</v>
      </c>
      <c r="AF1503" s="960">
        <f t="array" ref="AF1503">HLOOKUP($J1503,'Type Chart'!$C$2:$T$20,13,false)*HLOOKUP($K1503,'Type Chart'!$C$2:$U$20,13,false)</f>
        <v>1</v>
      </c>
      <c r="AG1503" s="960">
        <f t="array" ref="AG1503">HLOOKUP($J1503,'Type Chart'!$C$2:$T$20,14,false)*HLOOKUP($K1503,'Type Chart'!$C$2:$U$20,14,false)</f>
        <v>0.5</v>
      </c>
      <c r="AH1503" s="960">
        <f t="array" ref="AH1503">HLOOKUP($J1503,'Type Chart'!$C$2:$T$20,15,false)*HLOOKUP($K1503,'Type Chart'!$C$2:$U$20,15,false)</f>
        <v>1</v>
      </c>
      <c r="AI1503" s="960">
        <f t="array" ref="AI1503">HLOOKUP($J1503,'Type Chart'!$C$2:$T$20,16,false)*HLOOKUP($K1503,'Type Chart'!$C$2:$U$20,16,false)</f>
        <v>1</v>
      </c>
      <c r="AJ1503" s="960">
        <f t="array" ref="AJ1503">HLOOKUP($J1503,'Type Chart'!$C$2:$T$20,17,false)*HLOOKUP($K1503,'Type Chart'!$C$2:$U$20,17,false)</f>
        <v>1</v>
      </c>
      <c r="AK1503" s="960">
        <f t="array" ref="AK1503">HLOOKUP($J1503,'Type Chart'!$C$2:$T$20,18,false)*HLOOKUP($K1503,'Type Chart'!$C$2:$U$20,18,false)</f>
        <v>1</v>
      </c>
      <c r="AL1503" s="960">
        <f t="array" ref="AL1503">HLOOKUP($J1503,'Type Chart'!$C$2:$T$20,19,false)*HLOOKUP($K1503,'Type Chart'!$C$2:$U$20,19,false)</f>
        <v>1</v>
      </c>
      <c r="AM1503" s="964" t="s">
        <v>1067</v>
      </c>
      <c r="AN1503" s="965"/>
      <c r="AO1503" s="966" t="s">
        <v>1068</v>
      </c>
      <c r="AP1503" s="936"/>
      <c r="AQ1503" s="1245"/>
      <c r="AR1503" s="1245"/>
      <c r="AS1503" s="936"/>
    </row>
    <row r="1504" ht="15.75" customHeight="1">
      <c r="A1504" s="1099"/>
      <c r="B1504" s="948" t="s">
        <v>1732</v>
      </c>
      <c r="C1504" s="1197" t="s">
        <v>1733</v>
      </c>
      <c r="D1504" s="1197" t="s">
        <v>1734</v>
      </c>
      <c r="E1504" s="1147" t="s">
        <v>1733</v>
      </c>
      <c r="F1504" s="940"/>
      <c r="G1504" s="953"/>
      <c r="H1504" s="969"/>
      <c r="I1504" s="998" t="s">
        <v>4605</v>
      </c>
      <c r="J1504" s="1196" t="s">
        <v>203</v>
      </c>
      <c r="K1504" s="984" t="s">
        <v>216</v>
      </c>
      <c r="L1504" s="959">
        <v>20.0</v>
      </c>
      <c r="M1504" s="960">
        <v>40.0</v>
      </c>
      <c r="N1504" s="960">
        <v>15.0</v>
      </c>
      <c r="O1504" s="960">
        <v>35.0</v>
      </c>
      <c r="P1504" s="960">
        <v>35.0</v>
      </c>
      <c r="Q1504" s="960">
        <v>60.0</v>
      </c>
      <c r="R1504" s="960">
        <v>156.0</v>
      </c>
      <c r="S1504" s="960">
        <v>219.0</v>
      </c>
      <c r="T1504" s="960">
        <v>240.0</v>
      </c>
      <c r="U1504" s="960">
        <f t="array" ref="U1504">HLOOKUP($J1504,'Type Chart'!$C$2:$T$20,2,false)*HLOOKUP($K1504,'Type Chart'!$C$2:$U$20,2,false)</f>
        <v>1</v>
      </c>
      <c r="V1504" s="960">
        <f t="array" ref="V1504">HLOOKUP($J1504,'Type Chart'!$C$2:$T$20,3,false)*HLOOKUP($K1504,'Type Chart'!$C$2:$U$20,3,false)</f>
        <v>1</v>
      </c>
      <c r="W1504" s="960">
        <f t="array" ref="W1504">HLOOKUP($J1504,'Type Chart'!$C$2:$T$20,4,false)*HLOOKUP($K1504,'Type Chart'!$C$2:$U$20,4,false)</f>
        <v>0.5</v>
      </c>
      <c r="X1504" s="960">
        <f t="array" ref="X1504">HLOOKUP($J1504,'Type Chart'!$C$2:$T$20,5,false)*HLOOKUP($K1504,'Type Chart'!$C$2:$U$20,5,false)</f>
        <v>1</v>
      </c>
      <c r="Y1504" s="960">
        <f t="array" ref="Y1504">HLOOKUP($J1504,'Type Chart'!$C$2:$T$20,6,false)*HLOOKUP($K1504,'Type Chart'!$C$2:$U$20,6,false)</f>
        <v>2</v>
      </c>
      <c r="Z1504" s="960">
        <f t="array" ref="Z1504">HLOOKUP($J1504,'Type Chart'!$C$2:$T$20,7,false)*HLOOKUP($K1504,'Type Chart'!$C$2:$U$20,7,false)</f>
        <v>1</v>
      </c>
      <c r="AA1504" s="960">
        <f t="array" ref="AA1504">HLOOKUP($J1504,'Type Chart'!$C$2:$T$20,8,false)*HLOOKUP($K1504,'Type Chart'!$C$2:$U$20,8,false)</f>
        <v>1</v>
      </c>
      <c r="AB1504" s="960">
        <f t="array" ref="AB1504">HLOOKUP($J1504,'Type Chart'!$C$2:$T$20,9,false)*HLOOKUP($K1504,'Type Chart'!$C$2:$U$20,9,false)</f>
        <v>1</v>
      </c>
      <c r="AC1504" s="960">
        <f t="array" ref="AC1504">HLOOKUP($J1504,'Type Chart'!$C$2:$T$20,10,false)*HLOOKUP($K1504,'Type Chart'!$C$2:$U$20,10,false)</f>
        <v>0.5</v>
      </c>
      <c r="AD1504" s="960">
        <f t="array" ref="AD1504">HLOOKUP($J1504,'Type Chart'!$C$2:$T$20,11,false)*HLOOKUP($K1504,'Type Chart'!$C$2:$U$20,11,false)</f>
        <v>1</v>
      </c>
      <c r="AE1504" s="960">
        <f t="array" ref="AE1504">HLOOKUP($J1504,'Type Chart'!$C$2:$T$20,12,false)*HLOOKUP($K1504,'Type Chart'!$C$2:$U$20,12,false)</f>
        <v>1</v>
      </c>
      <c r="AF1504" s="960">
        <f t="array" ref="AF1504">HLOOKUP($J1504,'Type Chart'!$C$2:$T$20,13,false)*HLOOKUP($K1504,'Type Chart'!$C$2:$U$20,13,false)</f>
        <v>1</v>
      </c>
      <c r="AG1504" s="960">
        <f t="array" ref="AG1504">HLOOKUP($J1504,'Type Chart'!$C$2:$T$20,14,false)*HLOOKUP($K1504,'Type Chart'!$C$2:$U$20,14,false)</f>
        <v>0.5</v>
      </c>
      <c r="AH1504" s="960">
        <f t="array" ref="AH1504">HLOOKUP($J1504,'Type Chart'!$C$2:$T$20,15,false)*HLOOKUP($K1504,'Type Chart'!$C$2:$U$20,15,false)</f>
        <v>1</v>
      </c>
      <c r="AI1504" s="960">
        <f t="array" ref="AI1504">HLOOKUP($J1504,'Type Chart'!$C$2:$T$20,16,false)*HLOOKUP($K1504,'Type Chart'!$C$2:$U$20,16,false)</f>
        <v>1</v>
      </c>
      <c r="AJ1504" s="960">
        <f t="array" ref="AJ1504">HLOOKUP($J1504,'Type Chart'!$C$2:$T$20,17,false)*HLOOKUP($K1504,'Type Chart'!$C$2:$U$20,17,false)</f>
        <v>1</v>
      </c>
      <c r="AK1504" s="960">
        <f t="array" ref="AK1504">HLOOKUP($J1504,'Type Chart'!$C$2:$T$20,18,false)*HLOOKUP($K1504,'Type Chart'!$C$2:$U$20,18,false)</f>
        <v>1</v>
      </c>
      <c r="AL1504" s="960">
        <f t="array" ref="AL1504">HLOOKUP($J1504,'Type Chart'!$C$2:$T$20,19,false)*HLOOKUP($K1504,'Type Chart'!$C$2:$U$20,19,false)</f>
        <v>1</v>
      </c>
      <c r="AM1504" s="964" t="s">
        <v>1067</v>
      </c>
      <c r="AN1504" s="965"/>
      <c r="AO1504" s="966" t="s">
        <v>1068</v>
      </c>
      <c r="AP1504" s="936"/>
      <c r="AQ1504" s="1245"/>
      <c r="AR1504" s="1245"/>
      <c r="AS1504" s="936"/>
    </row>
    <row r="1505" ht="15.75" customHeight="1">
      <c r="A1505" s="1099"/>
      <c r="B1505" s="948" t="s">
        <v>1736</v>
      </c>
      <c r="C1505" s="1197" t="s">
        <v>1737</v>
      </c>
      <c r="D1505" s="1197" t="s">
        <v>1737</v>
      </c>
      <c r="E1505" s="1147" t="s">
        <v>1737</v>
      </c>
      <c r="F1505" s="940"/>
      <c r="G1505" s="953"/>
      <c r="H1505" s="969"/>
      <c r="I1505" s="998" t="s">
        <v>4606</v>
      </c>
      <c r="J1505" s="1207" t="s">
        <v>127</v>
      </c>
      <c r="K1505" s="984" t="s">
        <v>216</v>
      </c>
      <c r="L1505" s="959">
        <v>50.0</v>
      </c>
      <c r="M1505" s="960">
        <v>25.0</v>
      </c>
      <c r="N1505" s="960">
        <v>28.0</v>
      </c>
      <c r="O1505" s="960">
        <v>45.0</v>
      </c>
      <c r="P1505" s="960">
        <v>55.0</v>
      </c>
      <c r="Q1505" s="960">
        <v>15.0</v>
      </c>
      <c r="R1505" s="960">
        <v>66.0</v>
      </c>
      <c r="S1505" s="960">
        <v>129.0</v>
      </c>
      <c r="T1505" s="960">
        <v>141.0</v>
      </c>
      <c r="U1505" s="960">
        <f t="array" ref="U1505">HLOOKUP($J1505,'Type Chart'!$C$2:$T$20,2,false)*HLOOKUP($K1505,'Type Chart'!$C$2:$U$20,2,false)</f>
        <v>1</v>
      </c>
      <c r="V1505" s="960">
        <f t="array" ref="V1505">HLOOKUP($J1505,'Type Chart'!$C$2:$T$20,3,false)*HLOOKUP($K1505,'Type Chart'!$C$2:$U$20,3,false)</f>
        <v>0.5</v>
      </c>
      <c r="W1505" s="960">
        <f t="array" ref="W1505">HLOOKUP($J1505,'Type Chart'!$C$2:$T$20,4,false)*HLOOKUP($K1505,'Type Chart'!$C$2:$U$20,4,false)</f>
        <v>1</v>
      </c>
      <c r="X1505" s="960">
        <f t="array" ref="X1505">HLOOKUP($J1505,'Type Chart'!$C$2:$T$20,5,false)*HLOOKUP($K1505,'Type Chart'!$C$2:$U$20,5,false)</f>
        <v>2</v>
      </c>
      <c r="Y1505" s="960">
        <f t="array" ref="Y1505">HLOOKUP($J1505,'Type Chart'!$C$2:$T$20,6,false)*HLOOKUP($K1505,'Type Chart'!$C$2:$U$20,6,false)</f>
        <v>1</v>
      </c>
      <c r="Z1505" s="960">
        <f t="array" ref="Z1505">HLOOKUP($J1505,'Type Chart'!$C$2:$T$20,7,false)*HLOOKUP($K1505,'Type Chart'!$C$2:$U$20,7,false)</f>
        <v>1</v>
      </c>
      <c r="AA1505" s="960">
        <f t="array" ref="AA1505">HLOOKUP($J1505,'Type Chart'!$C$2:$T$20,8,false)*HLOOKUP($K1505,'Type Chart'!$C$2:$U$20,8,false)</f>
        <v>0.5</v>
      </c>
      <c r="AB1505" s="960">
        <f t="array" ref="AB1505">HLOOKUP($J1505,'Type Chart'!$C$2:$T$20,9,false)*HLOOKUP($K1505,'Type Chart'!$C$2:$U$20,9,false)</f>
        <v>1</v>
      </c>
      <c r="AC1505" s="960">
        <f t="array" ref="AC1505">HLOOKUP($J1505,'Type Chart'!$C$2:$T$20,10,false)*HLOOKUP($K1505,'Type Chart'!$C$2:$U$20,10,false)</f>
        <v>2</v>
      </c>
      <c r="AD1505" s="960">
        <f t="array" ref="AD1505">HLOOKUP($J1505,'Type Chart'!$C$2:$T$20,11,false)*HLOOKUP($K1505,'Type Chart'!$C$2:$U$20,11,false)</f>
        <v>1</v>
      </c>
      <c r="AE1505" s="960">
        <f t="array" ref="AE1505">HLOOKUP($J1505,'Type Chart'!$C$2:$T$20,12,false)*HLOOKUP($K1505,'Type Chart'!$C$2:$U$20,12,false)</f>
        <v>1</v>
      </c>
      <c r="AF1505" s="960">
        <f t="array" ref="AF1505">HLOOKUP($J1505,'Type Chart'!$C$2:$T$20,13,false)*HLOOKUP($K1505,'Type Chart'!$C$2:$U$20,13,false)</f>
        <v>1</v>
      </c>
      <c r="AG1505" s="960">
        <f t="array" ref="AG1505">HLOOKUP($J1505,'Type Chart'!$C$2:$T$20,14,false)*HLOOKUP($K1505,'Type Chart'!$C$2:$U$20,14,false)</f>
        <v>1</v>
      </c>
      <c r="AH1505" s="960">
        <f t="array" ref="AH1505">HLOOKUP($J1505,'Type Chart'!$C$2:$T$20,15,false)*HLOOKUP($K1505,'Type Chart'!$C$2:$U$20,15,false)</f>
        <v>1</v>
      </c>
      <c r="AI1505" s="960">
        <f t="array" ref="AI1505">HLOOKUP($J1505,'Type Chart'!$C$2:$T$20,16,false)*HLOOKUP($K1505,'Type Chart'!$C$2:$U$20,16,false)</f>
        <v>1</v>
      </c>
      <c r="AJ1505" s="960">
        <f t="array" ref="AJ1505">HLOOKUP($J1505,'Type Chart'!$C$2:$T$20,17,false)*HLOOKUP($K1505,'Type Chart'!$C$2:$U$20,17,false)</f>
        <v>0</v>
      </c>
      <c r="AK1505" s="960">
        <f t="array" ref="AK1505">HLOOKUP($J1505,'Type Chart'!$C$2:$T$20,18,false)*HLOOKUP($K1505,'Type Chart'!$C$2:$U$20,18,false)</f>
        <v>0.5</v>
      </c>
      <c r="AL1505" s="960">
        <f t="array" ref="AL1505">HLOOKUP($J1505,'Type Chart'!$C$2:$T$20,19,false)*HLOOKUP($K1505,'Type Chart'!$C$2:$U$20,19,false)</f>
        <v>1</v>
      </c>
      <c r="AM1505" s="964" t="s">
        <v>1165</v>
      </c>
      <c r="AN1505" s="965" t="s">
        <v>1166</v>
      </c>
      <c r="AO1505" s="966" t="s">
        <v>1167</v>
      </c>
      <c r="AP1505" s="936"/>
      <c r="AQ1505" s="1245"/>
      <c r="AR1505" s="1245"/>
      <c r="AS1505" s="936"/>
    </row>
    <row r="1506" ht="15.75" customHeight="1">
      <c r="A1506" s="1099"/>
      <c r="B1506" s="948" t="s">
        <v>1739</v>
      </c>
      <c r="C1506" s="1197" t="s">
        <v>1740</v>
      </c>
      <c r="D1506" s="1197" t="s">
        <v>1740</v>
      </c>
      <c r="E1506" s="1147" t="s">
        <v>1740</v>
      </c>
      <c r="F1506" s="940"/>
      <c r="G1506" s="953"/>
      <c r="H1506" s="969"/>
      <c r="I1506" s="998" t="s">
        <v>4607</v>
      </c>
      <c r="J1506" s="1194" t="s">
        <v>136</v>
      </c>
      <c r="K1506" s="1207" t="s">
        <v>127</v>
      </c>
      <c r="L1506" s="959">
        <v>90.0</v>
      </c>
      <c r="M1506" s="960">
        <v>30.0</v>
      </c>
      <c r="N1506" s="960">
        <v>15.0</v>
      </c>
      <c r="O1506" s="960">
        <v>40.0</v>
      </c>
      <c r="P1506" s="960">
        <v>20.0</v>
      </c>
      <c r="Q1506" s="960">
        <v>15.0</v>
      </c>
      <c r="R1506" s="960">
        <v>66.0</v>
      </c>
      <c r="S1506" s="960">
        <v>129.0</v>
      </c>
      <c r="T1506" s="960">
        <v>141.0</v>
      </c>
      <c r="U1506" s="960">
        <f t="array" ref="U1506">HLOOKUP($J1506,'Type Chart'!$C$2:$T$20,2,false)*HLOOKUP($K1506,'Type Chart'!$C$2:$U$20,2,false)</f>
        <v>1</v>
      </c>
      <c r="V1506" s="960">
        <f t="array" ref="V1506">HLOOKUP($J1506,'Type Chart'!$C$2:$T$20,3,false)*HLOOKUP($K1506,'Type Chart'!$C$2:$U$20,3,false)</f>
        <v>1</v>
      </c>
      <c r="W1506" s="960">
        <f t="array" ref="W1506">HLOOKUP($J1506,'Type Chart'!$C$2:$T$20,4,false)*HLOOKUP($K1506,'Type Chart'!$C$2:$U$20,4,false)</f>
        <v>1</v>
      </c>
      <c r="X1506" s="960">
        <f t="array" ref="X1506">HLOOKUP($J1506,'Type Chart'!$C$2:$T$20,5,false)*HLOOKUP($K1506,'Type Chart'!$C$2:$U$20,5,false)</f>
        <v>2</v>
      </c>
      <c r="Y1506" s="960">
        <f t="array" ref="Y1506">HLOOKUP($J1506,'Type Chart'!$C$2:$T$20,6,false)*HLOOKUP($K1506,'Type Chart'!$C$2:$U$20,6,false)</f>
        <v>1</v>
      </c>
      <c r="Z1506" s="960">
        <f t="array" ref="Z1506">HLOOKUP($J1506,'Type Chart'!$C$2:$T$20,7,false)*HLOOKUP($K1506,'Type Chart'!$C$2:$U$20,7,false)</f>
        <v>1</v>
      </c>
      <c r="AA1506" s="960">
        <f t="array" ref="AA1506">HLOOKUP($J1506,'Type Chart'!$C$2:$T$20,8,false)*HLOOKUP($K1506,'Type Chart'!$C$2:$U$20,8,false)</f>
        <v>0.5</v>
      </c>
      <c r="AB1506" s="960">
        <f t="array" ref="AB1506">HLOOKUP($J1506,'Type Chart'!$C$2:$T$20,9,false)*HLOOKUP($K1506,'Type Chart'!$C$2:$U$20,9,false)</f>
        <v>0</v>
      </c>
      <c r="AC1506" s="960">
        <f t="array" ref="AC1506">HLOOKUP($J1506,'Type Chart'!$C$2:$T$20,10,false)*HLOOKUP($K1506,'Type Chart'!$C$2:$U$20,10,false)</f>
        <v>2</v>
      </c>
      <c r="AD1506" s="960">
        <f t="array" ref="AD1506">HLOOKUP($J1506,'Type Chart'!$C$2:$T$20,11,false)*HLOOKUP($K1506,'Type Chart'!$C$2:$U$20,11,false)</f>
        <v>1</v>
      </c>
      <c r="AE1506" s="960">
        <f t="array" ref="AE1506">HLOOKUP($J1506,'Type Chart'!$C$2:$T$20,12,false)*HLOOKUP($K1506,'Type Chart'!$C$2:$U$20,12,false)</f>
        <v>1</v>
      </c>
      <c r="AF1506" s="960">
        <f t="array" ref="AF1506">HLOOKUP($J1506,'Type Chart'!$C$2:$T$20,13,false)*HLOOKUP($K1506,'Type Chart'!$C$2:$U$20,13,false)</f>
        <v>1</v>
      </c>
      <c r="AG1506" s="960">
        <f t="array" ref="AG1506">HLOOKUP($J1506,'Type Chart'!$C$2:$T$20,14,false)*HLOOKUP($K1506,'Type Chart'!$C$2:$U$20,14,false)</f>
        <v>1</v>
      </c>
      <c r="AH1506" s="960">
        <f t="array" ref="AH1506">HLOOKUP($J1506,'Type Chart'!$C$2:$T$20,15,false)*HLOOKUP($K1506,'Type Chart'!$C$2:$U$20,15,false)</f>
        <v>1</v>
      </c>
      <c r="AI1506" s="960">
        <f t="array" ref="AI1506">HLOOKUP($J1506,'Type Chart'!$C$2:$T$20,16,false)*HLOOKUP($K1506,'Type Chart'!$C$2:$U$20,16,false)</f>
        <v>1</v>
      </c>
      <c r="AJ1506" s="960">
        <f t="array" ref="AJ1506">HLOOKUP($J1506,'Type Chart'!$C$2:$T$20,17,false)*HLOOKUP($K1506,'Type Chart'!$C$2:$U$20,17,false)</f>
        <v>0</v>
      </c>
      <c r="AK1506" s="960">
        <f t="array" ref="AK1506">HLOOKUP($J1506,'Type Chart'!$C$2:$T$20,18,false)*HLOOKUP($K1506,'Type Chart'!$C$2:$U$20,18,false)</f>
        <v>0.5</v>
      </c>
      <c r="AL1506" s="960">
        <f t="array" ref="AL1506">HLOOKUP($J1506,'Type Chart'!$C$2:$T$20,19,false)*HLOOKUP($K1506,'Type Chart'!$C$2:$U$20,19,false)</f>
        <v>1</v>
      </c>
      <c r="AM1506" s="964" t="s">
        <v>1165</v>
      </c>
      <c r="AN1506" s="965" t="s">
        <v>1185</v>
      </c>
      <c r="AO1506" s="966" t="s">
        <v>1167</v>
      </c>
      <c r="AP1506" s="936"/>
      <c r="AQ1506" s="1245"/>
      <c r="AR1506" s="1245"/>
      <c r="AS1506" s="936"/>
    </row>
    <row r="1507" ht="15.75" customHeight="1">
      <c r="A1507" s="1099"/>
      <c r="B1507" s="948" t="s">
        <v>1742</v>
      </c>
      <c r="C1507" s="1197" t="s">
        <v>1743</v>
      </c>
      <c r="D1507" s="1197" t="s">
        <v>1743</v>
      </c>
      <c r="E1507" s="1147" t="s">
        <v>1743</v>
      </c>
      <c r="F1507" s="940"/>
      <c r="G1507" s="953"/>
      <c r="H1507" s="969"/>
      <c r="I1507" s="998" t="s">
        <v>4608</v>
      </c>
      <c r="J1507" s="1207" t="s">
        <v>127</v>
      </c>
      <c r="K1507" s="984" t="s">
        <v>216</v>
      </c>
      <c r="L1507" s="959">
        <v>35.0</v>
      </c>
      <c r="M1507" s="960">
        <v>20.0</v>
      </c>
      <c r="N1507" s="960">
        <v>65.0</v>
      </c>
      <c r="O1507" s="960">
        <v>40.0</v>
      </c>
      <c r="P1507" s="960">
        <v>65.0</v>
      </c>
      <c r="Q1507" s="960">
        <v>20.0</v>
      </c>
      <c r="R1507" s="960">
        <v>76.0</v>
      </c>
      <c r="S1507" s="960">
        <v>139.0</v>
      </c>
      <c r="T1507" s="960">
        <v>152.0</v>
      </c>
      <c r="U1507" s="960">
        <f t="array" ref="U1507">HLOOKUP($J1507,'Type Chart'!$C$2:$T$20,2,false)*HLOOKUP($K1507,'Type Chart'!$C$2:$U$20,2,false)</f>
        <v>1</v>
      </c>
      <c r="V1507" s="960">
        <f t="array" ref="V1507">HLOOKUP($J1507,'Type Chart'!$C$2:$T$20,3,false)*HLOOKUP($K1507,'Type Chart'!$C$2:$U$20,3,false)</f>
        <v>0.5</v>
      </c>
      <c r="W1507" s="960">
        <f t="array" ref="W1507">HLOOKUP($J1507,'Type Chart'!$C$2:$T$20,4,false)*HLOOKUP($K1507,'Type Chart'!$C$2:$U$20,4,false)</f>
        <v>1</v>
      </c>
      <c r="X1507" s="960">
        <f t="array" ref="X1507">HLOOKUP($J1507,'Type Chart'!$C$2:$T$20,5,false)*HLOOKUP($K1507,'Type Chart'!$C$2:$U$20,5,false)</f>
        <v>2</v>
      </c>
      <c r="Y1507" s="960">
        <f t="array" ref="Y1507">HLOOKUP($J1507,'Type Chart'!$C$2:$T$20,6,false)*HLOOKUP($K1507,'Type Chart'!$C$2:$U$20,6,false)</f>
        <v>1</v>
      </c>
      <c r="Z1507" s="960">
        <f t="array" ref="Z1507">HLOOKUP($J1507,'Type Chart'!$C$2:$T$20,7,false)*HLOOKUP($K1507,'Type Chart'!$C$2:$U$20,7,false)</f>
        <v>1</v>
      </c>
      <c r="AA1507" s="960">
        <f t="array" ref="AA1507">HLOOKUP($J1507,'Type Chart'!$C$2:$T$20,8,false)*HLOOKUP($K1507,'Type Chart'!$C$2:$U$20,8,false)</f>
        <v>0.5</v>
      </c>
      <c r="AB1507" s="960">
        <f t="array" ref="AB1507">HLOOKUP($J1507,'Type Chart'!$C$2:$T$20,9,false)*HLOOKUP($K1507,'Type Chart'!$C$2:$U$20,9,false)</f>
        <v>1</v>
      </c>
      <c r="AC1507" s="960">
        <f t="array" ref="AC1507">HLOOKUP($J1507,'Type Chart'!$C$2:$T$20,10,false)*HLOOKUP($K1507,'Type Chart'!$C$2:$U$20,10,false)</f>
        <v>2</v>
      </c>
      <c r="AD1507" s="960">
        <f t="array" ref="AD1507">HLOOKUP($J1507,'Type Chart'!$C$2:$T$20,11,false)*HLOOKUP($K1507,'Type Chart'!$C$2:$U$20,11,false)</f>
        <v>1</v>
      </c>
      <c r="AE1507" s="960">
        <f t="array" ref="AE1507">HLOOKUP($J1507,'Type Chart'!$C$2:$T$20,12,false)*HLOOKUP($K1507,'Type Chart'!$C$2:$U$20,12,false)</f>
        <v>1</v>
      </c>
      <c r="AF1507" s="960">
        <f t="array" ref="AF1507">HLOOKUP($J1507,'Type Chart'!$C$2:$T$20,13,false)*HLOOKUP($K1507,'Type Chart'!$C$2:$U$20,13,false)</f>
        <v>1</v>
      </c>
      <c r="AG1507" s="960">
        <f t="array" ref="AG1507">HLOOKUP($J1507,'Type Chart'!$C$2:$T$20,14,false)*HLOOKUP($K1507,'Type Chart'!$C$2:$U$20,14,false)</f>
        <v>1</v>
      </c>
      <c r="AH1507" s="960">
        <f t="array" ref="AH1507">HLOOKUP($J1507,'Type Chart'!$C$2:$T$20,15,false)*HLOOKUP($K1507,'Type Chart'!$C$2:$U$20,15,false)</f>
        <v>1</v>
      </c>
      <c r="AI1507" s="960">
        <f t="array" ref="AI1507">HLOOKUP($J1507,'Type Chart'!$C$2:$T$20,16,false)*HLOOKUP($K1507,'Type Chart'!$C$2:$U$20,16,false)</f>
        <v>1</v>
      </c>
      <c r="AJ1507" s="960">
        <f t="array" ref="AJ1507">HLOOKUP($J1507,'Type Chart'!$C$2:$T$20,17,false)*HLOOKUP($K1507,'Type Chart'!$C$2:$U$20,17,false)</f>
        <v>0</v>
      </c>
      <c r="AK1507" s="960">
        <f t="array" ref="AK1507">HLOOKUP($J1507,'Type Chart'!$C$2:$T$20,18,false)*HLOOKUP($K1507,'Type Chart'!$C$2:$U$20,18,false)</f>
        <v>0.5</v>
      </c>
      <c r="AL1507" s="960">
        <f t="array" ref="AL1507">HLOOKUP($J1507,'Type Chart'!$C$2:$T$20,19,false)*HLOOKUP($K1507,'Type Chart'!$C$2:$U$20,19,false)</f>
        <v>1</v>
      </c>
      <c r="AM1507" s="964" t="s">
        <v>1039</v>
      </c>
      <c r="AN1507" s="965" t="s">
        <v>1521</v>
      </c>
      <c r="AO1507" s="966" t="s">
        <v>1745</v>
      </c>
      <c r="AP1507" s="936"/>
      <c r="AQ1507" s="1245"/>
      <c r="AR1507" s="1245"/>
      <c r="AS1507" s="936"/>
    </row>
    <row r="1508" ht="15.75" customHeight="1">
      <c r="A1508" s="1099"/>
      <c r="B1508" s="948" t="s">
        <v>1746</v>
      </c>
      <c r="C1508" s="1197" t="s">
        <v>1747</v>
      </c>
      <c r="D1508" s="1197" t="s">
        <v>1747</v>
      </c>
      <c r="E1508" s="1147" t="s">
        <v>1747</v>
      </c>
      <c r="F1508" s="940"/>
      <c r="G1508" s="953"/>
      <c r="H1508" s="969"/>
      <c r="I1508" s="998" t="s">
        <v>4609</v>
      </c>
      <c r="J1508" s="1207" t="s">
        <v>127</v>
      </c>
      <c r="K1508" s="1001" t="s">
        <v>128</v>
      </c>
      <c r="L1508" s="959">
        <v>55.0</v>
      </c>
      <c r="M1508" s="960">
        <v>40.0</v>
      </c>
      <c r="N1508" s="960">
        <v>85.0</v>
      </c>
      <c r="O1508" s="960">
        <v>80.0</v>
      </c>
      <c r="P1508" s="960">
        <v>105.0</v>
      </c>
      <c r="Q1508" s="960">
        <v>40.0</v>
      </c>
      <c r="R1508" s="960">
        <v>116.0</v>
      </c>
      <c r="S1508" s="960">
        <v>179.0</v>
      </c>
      <c r="T1508" s="960">
        <v>196.0</v>
      </c>
      <c r="U1508" s="960">
        <f t="array" ref="U1508">HLOOKUP($J1508,'Type Chart'!$C$2:$T$20,2,false)*HLOOKUP($K1508,'Type Chart'!$C$2:$U$20,2,false)</f>
        <v>1</v>
      </c>
      <c r="V1508" s="960">
        <f t="array" ref="V1508">HLOOKUP($J1508,'Type Chart'!$C$2:$T$20,3,false)*HLOOKUP($K1508,'Type Chart'!$C$2:$U$20,3,false)</f>
        <v>0.25</v>
      </c>
      <c r="W1508" s="960">
        <f t="array" ref="W1508">HLOOKUP($J1508,'Type Chart'!$C$2:$T$20,4,false)*HLOOKUP($K1508,'Type Chart'!$C$2:$U$20,4,false)</f>
        <v>1</v>
      </c>
      <c r="X1508" s="960">
        <f t="array" ref="X1508">HLOOKUP($J1508,'Type Chart'!$C$2:$T$20,5,false)*HLOOKUP($K1508,'Type Chart'!$C$2:$U$20,5,false)</f>
        <v>2</v>
      </c>
      <c r="Y1508" s="960">
        <f t="array" ref="Y1508">HLOOKUP($J1508,'Type Chart'!$C$2:$T$20,6,false)*HLOOKUP($K1508,'Type Chart'!$C$2:$U$20,6,false)</f>
        <v>0</v>
      </c>
      <c r="Z1508" s="960">
        <f t="array" ref="Z1508">HLOOKUP($J1508,'Type Chart'!$C$2:$T$20,7,false)*HLOOKUP($K1508,'Type Chart'!$C$2:$U$20,7,false)</f>
        <v>2</v>
      </c>
      <c r="AA1508" s="960">
        <f t="array" ref="AA1508">HLOOKUP($J1508,'Type Chart'!$C$2:$T$20,8,false)*HLOOKUP($K1508,'Type Chart'!$C$2:$U$20,8,false)</f>
        <v>0.25</v>
      </c>
      <c r="AB1508" s="960">
        <f t="array" ref="AB1508">HLOOKUP($J1508,'Type Chart'!$C$2:$T$20,9,false)*HLOOKUP($K1508,'Type Chart'!$C$2:$U$20,9,false)</f>
        <v>1</v>
      </c>
      <c r="AC1508" s="960">
        <f t="array" ref="AC1508">HLOOKUP($J1508,'Type Chart'!$C$2:$T$20,10,false)*HLOOKUP($K1508,'Type Chart'!$C$2:$U$20,10,false)</f>
        <v>2</v>
      </c>
      <c r="AD1508" s="960">
        <f t="array" ref="AD1508">HLOOKUP($J1508,'Type Chart'!$C$2:$T$20,11,false)*HLOOKUP($K1508,'Type Chart'!$C$2:$U$20,11,false)</f>
        <v>1</v>
      </c>
      <c r="AE1508" s="960">
        <f t="array" ref="AE1508">HLOOKUP($J1508,'Type Chart'!$C$2:$T$20,12,false)*HLOOKUP($K1508,'Type Chart'!$C$2:$U$20,12,false)</f>
        <v>1</v>
      </c>
      <c r="AF1508" s="960">
        <f t="array" ref="AF1508">HLOOKUP($J1508,'Type Chart'!$C$2:$T$20,13,false)*HLOOKUP($K1508,'Type Chart'!$C$2:$U$20,13,false)</f>
        <v>0.5</v>
      </c>
      <c r="AG1508" s="960">
        <f t="array" ref="AG1508">HLOOKUP($J1508,'Type Chart'!$C$2:$T$20,14,false)*HLOOKUP($K1508,'Type Chart'!$C$2:$U$20,14,false)</f>
        <v>2</v>
      </c>
      <c r="AH1508" s="960">
        <f t="array" ref="AH1508">HLOOKUP($J1508,'Type Chart'!$C$2:$T$20,15,false)*HLOOKUP($K1508,'Type Chart'!$C$2:$U$20,15,false)</f>
        <v>1</v>
      </c>
      <c r="AI1508" s="960">
        <f t="array" ref="AI1508">HLOOKUP($J1508,'Type Chart'!$C$2:$T$20,16,false)*HLOOKUP($K1508,'Type Chart'!$C$2:$U$20,16,false)</f>
        <v>2</v>
      </c>
      <c r="AJ1508" s="960">
        <f t="array" ref="AJ1508">HLOOKUP($J1508,'Type Chart'!$C$2:$T$20,17,false)*HLOOKUP($K1508,'Type Chart'!$C$2:$U$20,17,false)</f>
        <v>0</v>
      </c>
      <c r="AK1508" s="960">
        <f t="array" ref="AK1508">HLOOKUP($J1508,'Type Chart'!$C$2:$T$20,18,false)*HLOOKUP($K1508,'Type Chart'!$C$2:$U$20,18,false)</f>
        <v>0.5</v>
      </c>
      <c r="AL1508" s="960">
        <f t="array" ref="AL1508">HLOOKUP($J1508,'Type Chart'!$C$2:$T$20,19,false)*HLOOKUP($K1508,'Type Chart'!$C$2:$U$20,19,false)</f>
        <v>1</v>
      </c>
      <c r="AM1508" s="964" t="s">
        <v>1039</v>
      </c>
      <c r="AN1508" s="965" t="s">
        <v>1521</v>
      </c>
      <c r="AO1508" s="966" t="s">
        <v>1745</v>
      </c>
      <c r="AP1508" s="936"/>
      <c r="AQ1508" s="1245"/>
      <c r="AR1508" s="1245"/>
      <c r="AS1508" s="936"/>
    </row>
    <row r="1509" ht="15.75" customHeight="1">
      <c r="A1509" s="1099"/>
      <c r="B1509" s="948" t="s">
        <v>1749</v>
      </c>
      <c r="C1509" s="1197" t="s">
        <v>1750</v>
      </c>
      <c r="D1509" s="1197" t="s">
        <v>1750</v>
      </c>
      <c r="E1509" s="1147" t="s">
        <v>1750</v>
      </c>
      <c r="F1509" s="940"/>
      <c r="G1509" s="953"/>
      <c r="H1509" s="969"/>
      <c r="I1509" s="998" t="s">
        <v>4610</v>
      </c>
      <c r="J1509" s="1203" t="s">
        <v>344</v>
      </c>
      <c r="K1509" s="1001" t="s">
        <v>128</v>
      </c>
      <c r="L1509" s="959">
        <v>40.0</v>
      </c>
      <c r="M1509" s="960">
        <v>50.0</v>
      </c>
      <c r="N1509" s="960">
        <v>45.0</v>
      </c>
      <c r="O1509" s="960">
        <v>70.0</v>
      </c>
      <c r="P1509" s="960">
        <v>45.0</v>
      </c>
      <c r="Q1509" s="960">
        <v>70.0</v>
      </c>
      <c r="R1509" s="960">
        <v>176.0</v>
      </c>
      <c r="S1509" s="960">
        <v>239.0</v>
      </c>
      <c r="T1509" s="960">
        <v>262.0</v>
      </c>
      <c r="U1509" s="960">
        <f t="array" ref="U1509">HLOOKUP($J1509,'Type Chart'!$C$2:$T$20,2,false)*HLOOKUP($K1509,'Type Chart'!$C$2:$U$20,2,false)</f>
        <v>1</v>
      </c>
      <c r="V1509" s="960">
        <f t="array" ref="V1509">HLOOKUP($J1509,'Type Chart'!$C$2:$T$20,3,false)*HLOOKUP($K1509,'Type Chart'!$C$2:$U$20,3,false)</f>
        <v>0.25</v>
      </c>
      <c r="W1509" s="960">
        <f t="array" ref="W1509">HLOOKUP($J1509,'Type Chart'!$C$2:$T$20,4,false)*HLOOKUP($K1509,'Type Chart'!$C$2:$U$20,4,false)</f>
        <v>1</v>
      </c>
      <c r="X1509" s="960">
        <f t="array" ref="X1509">HLOOKUP($J1509,'Type Chart'!$C$2:$T$20,5,false)*HLOOKUP($K1509,'Type Chart'!$C$2:$U$20,5,false)</f>
        <v>1</v>
      </c>
      <c r="Y1509" s="960">
        <f t="array" ref="Y1509">HLOOKUP($J1509,'Type Chart'!$C$2:$T$20,6,false)*HLOOKUP($K1509,'Type Chart'!$C$2:$U$20,6,false)</f>
        <v>0</v>
      </c>
      <c r="Z1509" s="960">
        <f t="array" ref="Z1509">HLOOKUP($J1509,'Type Chart'!$C$2:$T$20,7,false)*HLOOKUP($K1509,'Type Chart'!$C$2:$U$20,7,false)</f>
        <v>2</v>
      </c>
      <c r="AA1509" s="960">
        <f t="array" ref="AA1509">HLOOKUP($J1509,'Type Chart'!$C$2:$T$20,8,false)*HLOOKUP($K1509,'Type Chart'!$C$2:$U$20,8,false)</f>
        <v>1</v>
      </c>
      <c r="AB1509" s="960">
        <f t="array" ref="AB1509">HLOOKUP($J1509,'Type Chart'!$C$2:$T$20,9,false)*HLOOKUP($K1509,'Type Chart'!$C$2:$U$20,9,false)</f>
        <v>2</v>
      </c>
      <c r="AC1509" s="960">
        <f t="array" ref="AC1509">HLOOKUP($J1509,'Type Chart'!$C$2:$T$20,10,false)*HLOOKUP($K1509,'Type Chart'!$C$2:$U$20,10,false)</f>
        <v>1</v>
      </c>
      <c r="AD1509" s="960">
        <f t="array" ref="AD1509">HLOOKUP($J1509,'Type Chart'!$C$2:$T$20,11,false)*HLOOKUP($K1509,'Type Chart'!$C$2:$U$20,11,false)</f>
        <v>1</v>
      </c>
      <c r="AE1509" s="960">
        <f t="array" ref="AE1509">HLOOKUP($J1509,'Type Chart'!$C$2:$T$20,12,false)*HLOOKUP($K1509,'Type Chart'!$C$2:$U$20,12,false)</f>
        <v>1</v>
      </c>
      <c r="AF1509" s="960">
        <f t="array" ref="AF1509">HLOOKUP($J1509,'Type Chart'!$C$2:$T$20,13,false)*HLOOKUP($K1509,'Type Chart'!$C$2:$U$20,13,false)</f>
        <v>0.5</v>
      </c>
      <c r="AG1509" s="960">
        <f t="array" ref="AG1509">HLOOKUP($J1509,'Type Chart'!$C$2:$T$20,14,false)*HLOOKUP($K1509,'Type Chart'!$C$2:$U$20,14,false)</f>
        <v>2</v>
      </c>
      <c r="AH1509" s="960">
        <f t="array" ref="AH1509">HLOOKUP($J1509,'Type Chart'!$C$2:$T$20,15,false)*HLOOKUP($K1509,'Type Chart'!$C$2:$U$20,15,false)</f>
        <v>0.5</v>
      </c>
      <c r="AI1509" s="960">
        <f t="array" ref="AI1509">HLOOKUP($J1509,'Type Chart'!$C$2:$T$20,16,false)*HLOOKUP($K1509,'Type Chart'!$C$2:$U$20,16,false)</f>
        <v>2</v>
      </c>
      <c r="AJ1509" s="960">
        <f t="array" ref="AJ1509">HLOOKUP($J1509,'Type Chart'!$C$2:$T$20,17,false)*HLOOKUP($K1509,'Type Chart'!$C$2:$U$20,17,false)</f>
        <v>1</v>
      </c>
      <c r="AK1509" s="960">
        <f t="array" ref="AK1509">HLOOKUP($J1509,'Type Chart'!$C$2:$T$20,18,false)*HLOOKUP($K1509,'Type Chart'!$C$2:$U$20,18,false)</f>
        <v>2</v>
      </c>
      <c r="AL1509" s="960">
        <f t="array" ref="AL1509">HLOOKUP($J1509,'Type Chart'!$C$2:$T$20,19,false)*HLOOKUP($K1509,'Type Chart'!$C$2:$U$20,19,false)</f>
        <v>1</v>
      </c>
      <c r="AM1509" s="964" t="s">
        <v>1292</v>
      </c>
      <c r="AN1509" s="965" t="s">
        <v>1403</v>
      </c>
      <c r="AO1509" s="966" t="s">
        <v>1752</v>
      </c>
      <c r="AP1509" s="936"/>
      <c r="AQ1509" s="1245"/>
      <c r="AR1509" s="1245"/>
      <c r="AS1509" s="936"/>
    </row>
    <row r="1510" ht="15.75" customHeight="1">
      <c r="A1510" s="1099"/>
      <c r="B1510" s="948" t="s">
        <v>1753</v>
      </c>
      <c r="C1510" s="1197" t="s">
        <v>1754</v>
      </c>
      <c r="D1510" s="1197" t="s">
        <v>1754</v>
      </c>
      <c r="E1510" s="1147" t="s">
        <v>1754</v>
      </c>
      <c r="F1510" s="940"/>
      <c r="G1510" s="953"/>
      <c r="H1510" s="969"/>
      <c r="I1510" s="998" t="s">
        <v>4611</v>
      </c>
      <c r="J1510" s="1203" t="s">
        <v>344</v>
      </c>
      <c r="K1510" s="1001" t="s">
        <v>128</v>
      </c>
      <c r="L1510" s="959">
        <v>65.0</v>
      </c>
      <c r="M1510" s="960">
        <v>75.0</v>
      </c>
      <c r="N1510" s="960">
        <v>70.0</v>
      </c>
      <c r="O1510" s="960">
        <v>95.0</v>
      </c>
      <c r="P1510" s="960">
        <v>70.0</v>
      </c>
      <c r="Q1510" s="960">
        <v>95.0</v>
      </c>
      <c r="R1510" s="960">
        <v>226.0</v>
      </c>
      <c r="S1510" s="960">
        <v>289.0</v>
      </c>
      <c r="T1510" s="960">
        <v>317.0</v>
      </c>
      <c r="U1510" s="960">
        <f t="array" ref="U1510">HLOOKUP($J1510,'Type Chart'!$C$2:$T$20,2,false)*HLOOKUP($K1510,'Type Chart'!$C$2:$U$20,2,false)</f>
        <v>1</v>
      </c>
      <c r="V1510" s="960">
        <f t="array" ref="V1510">HLOOKUP($J1510,'Type Chart'!$C$2:$T$20,3,false)*HLOOKUP($K1510,'Type Chart'!$C$2:$U$20,3,false)</f>
        <v>0.25</v>
      </c>
      <c r="W1510" s="960">
        <f t="array" ref="W1510">HLOOKUP($J1510,'Type Chart'!$C$2:$T$20,4,false)*HLOOKUP($K1510,'Type Chart'!$C$2:$U$20,4,false)</f>
        <v>1</v>
      </c>
      <c r="X1510" s="960">
        <f t="array" ref="X1510">HLOOKUP($J1510,'Type Chart'!$C$2:$T$20,5,false)*HLOOKUP($K1510,'Type Chart'!$C$2:$U$20,5,false)</f>
        <v>1</v>
      </c>
      <c r="Y1510" s="960">
        <f t="array" ref="Y1510">HLOOKUP($J1510,'Type Chart'!$C$2:$T$20,6,false)*HLOOKUP($K1510,'Type Chart'!$C$2:$U$20,6,false)</f>
        <v>0</v>
      </c>
      <c r="Z1510" s="960">
        <f t="array" ref="Z1510">HLOOKUP($J1510,'Type Chart'!$C$2:$T$20,7,false)*HLOOKUP($K1510,'Type Chart'!$C$2:$U$20,7,false)</f>
        <v>2</v>
      </c>
      <c r="AA1510" s="960">
        <f t="array" ref="AA1510">HLOOKUP($J1510,'Type Chart'!$C$2:$T$20,8,false)*HLOOKUP($K1510,'Type Chart'!$C$2:$U$20,8,false)</f>
        <v>1</v>
      </c>
      <c r="AB1510" s="960">
        <f t="array" ref="AB1510">HLOOKUP($J1510,'Type Chart'!$C$2:$T$20,9,false)*HLOOKUP($K1510,'Type Chart'!$C$2:$U$20,9,false)</f>
        <v>2</v>
      </c>
      <c r="AC1510" s="960">
        <f t="array" ref="AC1510">HLOOKUP($J1510,'Type Chart'!$C$2:$T$20,10,false)*HLOOKUP($K1510,'Type Chart'!$C$2:$U$20,10,false)</f>
        <v>1</v>
      </c>
      <c r="AD1510" s="960">
        <f t="array" ref="AD1510">HLOOKUP($J1510,'Type Chart'!$C$2:$T$20,11,false)*HLOOKUP($K1510,'Type Chart'!$C$2:$U$20,11,false)</f>
        <v>1</v>
      </c>
      <c r="AE1510" s="960">
        <f t="array" ref="AE1510">HLOOKUP($J1510,'Type Chart'!$C$2:$T$20,12,false)*HLOOKUP($K1510,'Type Chart'!$C$2:$U$20,12,false)</f>
        <v>1</v>
      </c>
      <c r="AF1510" s="960">
        <f t="array" ref="AF1510">HLOOKUP($J1510,'Type Chart'!$C$2:$T$20,13,false)*HLOOKUP($K1510,'Type Chart'!$C$2:$U$20,13,false)</f>
        <v>0.5</v>
      </c>
      <c r="AG1510" s="960">
        <f t="array" ref="AG1510">HLOOKUP($J1510,'Type Chart'!$C$2:$T$20,14,false)*HLOOKUP($K1510,'Type Chart'!$C$2:$U$20,14,false)</f>
        <v>2</v>
      </c>
      <c r="AH1510" s="960">
        <f t="array" ref="AH1510">HLOOKUP($J1510,'Type Chart'!$C$2:$T$20,15,false)*HLOOKUP($K1510,'Type Chart'!$C$2:$U$20,15,false)</f>
        <v>0.5</v>
      </c>
      <c r="AI1510" s="960">
        <f t="array" ref="AI1510">HLOOKUP($J1510,'Type Chart'!$C$2:$T$20,16,false)*HLOOKUP($K1510,'Type Chart'!$C$2:$U$20,16,false)</f>
        <v>2</v>
      </c>
      <c r="AJ1510" s="960">
        <f t="array" ref="AJ1510">HLOOKUP($J1510,'Type Chart'!$C$2:$T$20,17,false)*HLOOKUP($K1510,'Type Chart'!$C$2:$U$20,17,false)</f>
        <v>1</v>
      </c>
      <c r="AK1510" s="960">
        <f t="array" ref="AK1510">HLOOKUP($J1510,'Type Chart'!$C$2:$T$20,18,false)*HLOOKUP($K1510,'Type Chart'!$C$2:$U$20,18,false)</f>
        <v>2</v>
      </c>
      <c r="AL1510" s="960">
        <f t="array" ref="AL1510">HLOOKUP($J1510,'Type Chart'!$C$2:$T$20,19,false)*HLOOKUP($K1510,'Type Chart'!$C$2:$U$20,19,false)</f>
        <v>1</v>
      </c>
      <c r="AM1510" s="964" t="s">
        <v>1292</v>
      </c>
      <c r="AN1510" s="965" t="s">
        <v>1403</v>
      </c>
      <c r="AO1510" s="966" t="s">
        <v>1752</v>
      </c>
      <c r="AP1510" s="936"/>
      <c r="AQ1510" s="1245"/>
      <c r="AR1510" s="1245"/>
      <c r="AS1510" s="936"/>
    </row>
    <row r="1511" ht="15.75" customHeight="1">
      <c r="A1511" s="1099"/>
      <c r="B1511" s="948" t="s">
        <v>1756</v>
      </c>
      <c r="C1511" s="1197" t="s">
        <v>1757</v>
      </c>
      <c r="D1511" s="1197" t="s">
        <v>1757</v>
      </c>
      <c r="E1511" s="1147" t="s">
        <v>1757</v>
      </c>
      <c r="F1511" s="940"/>
      <c r="G1511" s="953"/>
      <c r="H1511" s="969"/>
      <c r="I1511" s="998" t="s">
        <v>4612</v>
      </c>
      <c r="J1511" s="1196" t="s">
        <v>203</v>
      </c>
      <c r="K1511" s="984" t="s">
        <v>216</v>
      </c>
      <c r="L1511" s="959">
        <v>55.0</v>
      </c>
      <c r="M1511" s="960">
        <v>40.0</v>
      </c>
      <c r="N1511" s="960">
        <v>40.0</v>
      </c>
      <c r="O1511" s="960">
        <v>65.0</v>
      </c>
      <c r="P1511" s="960">
        <v>45.0</v>
      </c>
      <c r="Q1511" s="960">
        <v>35.0</v>
      </c>
      <c r="R1511" s="960">
        <v>106.0</v>
      </c>
      <c r="S1511" s="960">
        <v>169.0</v>
      </c>
      <c r="T1511" s="960">
        <v>185.0</v>
      </c>
      <c r="U1511" s="960">
        <f t="array" ref="U1511">HLOOKUP($J1511,'Type Chart'!$C$2:$T$20,2,false)*HLOOKUP($K1511,'Type Chart'!$C$2:$U$20,2,false)</f>
        <v>1</v>
      </c>
      <c r="V1511" s="960">
        <f t="array" ref="V1511">HLOOKUP($J1511,'Type Chart'!$C$2:$T$20,3,false)*HLOOKUP($K1511,'Type Chart'!$C$2:$U$20,3,false)</f>
        <v>1</v>
      </c>
      <c r="W1511" s="960">
        <f t="array" ref="W1511">HLOOKUP($J1511,'Type Chart'!$C$2:$T$20,4,false)*HLOOKUP($K1511,'Type Chart'!$C$2:$U$20,4,false)</f>
        <v>0.5</v>
      </c>
      <c r="X1511" s="960">
        <f t="array" ref="X1511">HLOOKUP($J1511,'Type Chart'!$C$2:$T$20,5,false)*HLOOKUP($K1511,'Type Chart'!$C$2:$U$20,5,false)</f>
        <v>1</v>
      </c>
      <c r="Y1511" s="960">
        <f t="array" ref="Y1511">HLOOKUP($J1511,'Type Chart'!$C$2:$T$20,6,false)*HLOOKUP($K1511,'Type Chart'!$C$2:$U$20,6,false)</f>
        <v>2</v>
      </c>
      <c r="Z1511" s="960">
        <f t="array" ref="Z1511">HLOOKUP($J1511,'Type Chart'!$C$2:$T$20,7,false)*HLOOKUP($K1511,'Type Chart'!$C$2:$U$20,7,false)</f>
        <v>1</v>
      </c>
      <c r="AA1511" s="960">
        <f t="array" ref="AA1511">HLOOKUP($J1511,'Type Chart'!$C$2:$T$20,8,false)*HLOOKUP($K1511,'Type Chart'!$C$2:$U$20,8,false)</f>
        <v>1</v>
      </c>
      <c r="AB1511" s="960">
        <f t="array" ref="AB1511">HLOOKUP($J1511,'Type Chart'!$C$2:$T$20,9,false)*HLOOKUP($K1511,'Type Chart'!$C$2:$U$20,9,false)</f>
        <v>1</v>
      </c>
      <c r="AC1511" s="960">
        <f t="array" ref="AC1511">HLOOKUP($J1511,'Type Chart'!$C$2:$T$20,10,false)*HLOOKUP($K1511,'Type Chart'!$C$2:$U$20,10,false)</f>
        <v>0.5</v>
      </c>
      <c r="AD1511" s="960">
        <f t="array" ref="AD1511">HLOOKUP($J1511,'Type Chart'!$C$2:$T$20,11,false)*HLOOKUP($K1511,'Type Chart'!$C$2:$U$20,11,false)</f>
        <v>1</v>
      </c>
      <c r="AE1511" s="960">
        <f t="array" ref="AE1511">HLOOKUP($J1511,'Type Chart'!$C$2:$T$20,12,false)*HLOOKUP($K1511,'Type Chart'!$C$2:$U$20,12,false)</f>
        <v>1</v>
      </c>
      <c r="AF1511" s="960">
        <f t="array" ref="AF1511">HLOOKUP($J1511,'Type Chart'!$C$2:$T$20,13,false)*HLOOKUP($K1511,'Type Chart'!$C$2:$U$20,13,false)</f>
        <v>1</v>
      </c>
      <c r="AG1511" s="960">
        <f t="array" ref="AG1511">HLOOKUP($J1511,'Type Chart'!$C$2:$T$20,14,false)*HLOOKUP($K1511,'Type Chart'!$C$2:$U$20,14,false)</f>
        <v>0.5</v>
      </c>
      <c r="AH1511" s="960">
        <f t="array" ref="AH1511">HLOOKUP($J1511,'Type Chart'!$C$2:$T$20,15,false)*HLOOKUP($K1511,'Type Chart'!$C$2:$U$20,15,false)</f>
        <v>1</v>
      </c>
      <c r="AI1511" s="960">
        <f t="array" ref="AI1511">HLOOKUP($J1511,'Type Chart'!$C$2:$T$20,16,false)*HLOOKUP($K1511,'Type Chart'!$C$2:$U$20,16,false)</f>
        <v>1</v>
      </c>
      <c r="AJ1511" s="960">
        <f t="array" ref="AJ1511">HLOOKUP($J1511,'Type Chart'!$C$2:$T$20,17,false)*HLOOKUP($K1511,'Type Chart'!$C$2:$U$20,17,false)</f>
        <v>1</v>
      </c>
      <c r="AK1511" s="960">
        <f t="array" ref="AK1511">HLOOKUP($J1511,'Type Chart'!$C$2:$T$20,18,false)*HLOOKUP($K1511,'Type Chart'!$C$2:$U$20,18,false)</f>
        <v>1</v>
      </c>
      <c r="AL1511" s="960">
        <f t="array" ref="AL1511">HLOOKUP($J1511,'Type Chart'!$C$2:$T$20,19,false)*HLOOKUP($K1511,'Type Chart'!$C$2:$U$20,19,false)</f>
        <v>1</v>
      </c>
      <c r="AM1511" s="964" t="s">
        <v>1067</v>
      </c>
      <c r="AN1511" s="965"/>
      <c r="AO1511" s="966" t="s">
        <v>1759</v>
      </c>
      <c r="AP1511" s="936"/>
      <c r="AQ1511" s="1245"/>
      <c r="AR1511" s="1245"/>
      <c r="AS1511" s="936"/>
    </row>
    <row r="1512" ht="15.75" customHeight="1">
      <c r="A1512" s="1099"/>
      <c r="B1512" s="948" t="s">
        <v>1760</v>
      </c>
      <c r="C1512" s="1197" t="s">
        <v>1761</v>
      </c>
      <c r="D1512" s="1197" t="s">
        <v>1761</v>
      </c>
      <c r="E1512" s="1147" t="s">
        <v>1761</v>
      </c>
      <c r="F1512" s="940"/>
      <c r="G1512" s="953"/>
      <c r="H1512" s="969"/>
      <c r="I1512" s="998" t="s">
        <v>4613</v>
      </c>
      <c r="J1512" s="1196" t="s">
        <v>203</v>
      </c>
      <c r="K1512" s="984" t="s">
        <v>216</v>
      </c>
      <c r="L1512" s="959">
        <v>70.0</v>
      </c>
      <c r="M1512" s="960">
        <v>55.0</v>
      </c>
      <c r="N1512" s="960">
        <v>55.0</v>
      </c>
      <c r="O1512" s="960">
        <v>80.0</v>
      </c>
      <c r="P1512" s="960">
        <v>60.0</v>
      </c>
      <c r="Q1512" s="960">
        <v>45.0</v>
      </c>
      <c r="R1512" s="960">
        <v>126.0</v>
      </c>
      <c r="S1512" s="960">
        <v>189.0</v>
      </c>
      <c r="T1512" s="960">
        <v>207.0</v>
      </c>
      <c r="U1512" s="960">
        <f t="array" ref="U1512">HLOOKUP($J1512,'Type Chart'!$C$2:$T$20,2,false)*HLOOKUP($K1512,'Type Chart'!$C$2:$U$20,2,false)</f>
        <v>1</v>
      </c>
      <c r="V1512" s="960">
        <f t="array" ref="V1512">HLOOKUP($J1512,'Type Chart'!$C$2:$T$20,3,false)*HLOOKUP($K1512,'Type Chart'!$C$2:$U$20,3,false)</f>
        <v>1</v>
      </c>
      <c r="W1512" s="960">
        <f t="array" ref="W1512">HLOOKUP($J1512,'Type Chart'!$C$2:$T$20,4,false)*HLOOKUP($K1512,'Type Chart'!$C$2:$U$20,4,false)</f>
        <v>0.5</v>
      </c>
      <c r="X1512" s="960">
        <f t="array" ref="X1512">HLOOKUP($J1512,'Type Chart'!$C$2:$T$20,5,false)*HLOOKUP($K1512,'Type Chart'!$C$2:$U$20,5,false)</f>
        <v>1</v>
      </c>
      <c r="Y1512" s="960">
        <f t="array" ref="Y1512">HLOOKUP($J1512,'Type Chart'!$C$2:$T$20,6,false)*HLOOKUP($K1512,'Type Chart'!$C$2:$U$20,6,false)</f>
        <v>2</v>
      </c>
      <c r="Z1512" s="960">
        <f t="array" ref="Z1512">HLOOKUP($J1512,'Type Chart'!$C$2:$T$20,7,false)*HLOOKUP($K1512,'Type Chart'!$C$2:$U$20,7,false)</f>
        <v>1</v>
      </c>
      <c r="AA1512" s="960">
        <f t="array" ref="AA1512">HLOOKUP($J1512,'Type Chart'!$C$2:$T$20,8,false)*HLOOKUP($K1512,'Type Chart'!$C$2:$U$20,8,false)</f>
        <v>1</v>
      </c>
      <c r="AB1512" s="960">
        <f t="array" ref="AB1512">HLOOKUP($J1512,'Type Chart'!$C$2:$T$20,9,false)*HLOOKUP($K1512,'Type Chart'!$C$2:$U$20,9,false)</f>
        <v>1</v>
      </c>
      <c r="AC1512" s="960">
        <f t="array" ref="AC1512">HLOOKUP($J1512,'Type Chart'!$C$2:$T$20,10,false)*HLOOKUP($K1512,'Type Chart'!$C$2:$U$20,10,false)</f>
        <v>0.5</v>
      </c>
      <c r="AD1512" s="960">
        <f t="array" ref="AD1512">HLOOKUP($J1512,'Type Chart'!$C$2:$T$20,11,false)*HLOOKUP($K1512,'Type Chart'!$C$2:$U$20,11,false)</f>
        <v>1</v>
      </c>
      <c r="AE1512" s="960">
        <f t="array" ref="AE1512">HLOOKUP($J1512,'Type Chart'!$C$2:$T$20,12,false)*HLOOKUP($K1512,'Type Chart'!$C$2:$U$20,12,false)</f>
        <v>1</v>
      </c>
      <c r="AF1512" s="960">
        <f t="array" ref="AF1512">HLOOKUP($J1512,'Type Chart'!$C$2:$T$20,13,false)*HLOOKUP($K1512,'Type Chart'!$C$2:$U$20,13,false)</f>
        <v>1</v>
      </c>
      <c r="AG1512" s="960">
        <f t="array" ref="AG1512">HLOOKUP($J1512,'Type Chart'!$C$2:$T$20,14,false)*HLOOKUP($K1512,'Type Chart'!$C$2:$U$20,14,false)</f>
        <v>0.5</v>
      </c>
      <c r="AH1512" s="960">
        <f t="array" ref="AH1512">HLOOKUP($J1512,'Type Chart'!$C$2:$T$20,15,false)*HLOOKUP($K1512,'Type Chart'!$C$2:$U$20,15,false)</f>
        <v>1</v>
      </c>
      <c r="AI1512" s="960">
        <f t="array" ref="AI1512">HLOOKUP($J1512,'Type Chart'!$C$2:$T$20,16,false)*HLOOKUP($K1512,'Type Chart'!$C$2:$U$20,16,false)</f>
        <v>1</v>
      </c>
      <c r="AJ1512" s="960">
        <f t="array" ref="AJ1512">HLOOKUP($J1512,'Type Chart'!$C$2:$T$20,17,false)*HLOOKUP($K1512,'Type Chart'!$C$2:$U$20,17,false)</f>
        <v>1</v>
      </c>
      <c r="AK1512" s="960">
        <f t="array" ref="AK1512">HLOOKUP($J1512,'Type Chart'!$C$2:$T$20,18,false)*HLOOKUP($K1512,'Type Chart'!$C$2:$U$20,18,false)</f>
        <v>1</v>
      </c>
      <c r="AL1512" s="960">
        <f t="array" ref="AL1512">HLOOKUP($J1512,'Type Chart'!$C$2:$T$20,19,false)*HLOOKUP($K1512,'Type Chart'!$C$2:$U$20,19,false)</f>
        <v>1</v>
      </c>
      <c r="AM1512" s="964" t="s">
        <v>1067</v>
      </c>
      <c r="AN1512" s="965"/>
      <c r="AO1512" s="966" t="s">
        <v>1759</v>
      </c>
      <c r="AP1512" s="936"/>
      <c r="AQ1512" s="1245"/>
      <c r="AR1512" s="1245"/>
      <c r="AS1512" s="936"/>
    </row>
    <row r="1513" ht="15.75" customHeight="1">
      <c r="A1513" s="1099"/>
      <c r="B1513" s="948" t="s">
        <v>1762</v>
      </c>
      <c r="C1513" s="1197" t="s">
        <v>1763</v>
      </c>
      <c r="D1513" s="1197" t="s">
        <v>1763</v>
      </c>
      <c r="E1513" s="1147" t="s">
        <v>1763</v>
      </c>
      <c r="F1513" s="940"/>
      <c r="G1513" s="953"/>
      <c r="H1513" s="969"/>
      <c r="I1513" s="998" t="s">
        <v>4614</v>
      </c>
      <c r="J1513" s="1196" t="s">
        <v>203</v>
      </c>
      <c r="K1513" s="984" t="s">
        <v>216</v>
      </c>
      <c r="L1513" s="959">
        <v>90.0</v>
      </c>
      <c r="M1513" s="960">
        <v>75.0</v>
      </c>
      <c r="N1513" s="960">
        <v>85.0</v>
      </c>
      <c r="O1513" s="960">
        <v>115.0</v>
      </c>
      <c r="P1513" s="960">
        <v>90.0</v>
      </c>
      <c r="Q1513" s="960">
        <v>55.0</v>
      </c>
      <c r="R1513" s="960">
        <v>146.0</v>
      </c>
      <c r="S1513" s="960">
        <v>209.0</v>
      </c>
      <c r="T1513" s="960">
        <v>229.0</v>
      </c>
      <c r="U1513" s="960">
        <f t="array" ref="U1513">HLOOKUP($J1513,'Type Chart'!$C$2:$T$20,2,false)*HLOOKUP($K1513,'Type Chart'!$C$2:$U$20,2,false)</f>
        <v>1</v>
      </c>
      <c r="V1513" s="960">
        <f t="array" ref="V1513">HLOOKUP($J1513,'Type Chart'!$C$2:$T$20,3,false)*HLOOKUP($K1513,'Type Chart'!$C$2:$U$20,3,false)</f>
        <v>1</v>
      </c>
      <c r="W1513" s="960">
        <f t="array" ref="W1513">HLOOKUP($J1513,'Type Chart'!$C$2:$T$20,4,false)*HLOOKUP($K1513,'Type Chart'!$C$2:$U$20,4,false)</f>
        <v>0.5</v>
      </c>
      <c r="X1513" s="960">
        <f t="array" ref="X1513">HLOOKUP($J1513,'Type Chart'!$C$2:$T$20,5,false)*HLOOKUP($K1513,'Type Chart'!$C$2:$U$20,5,false)</f>
        <v>1</v>
      </c>
      <c r="Y1513" s="960">
        <f t="array" ref="Y1513">HLOOKUP($J1513,'Type Chart'!$C$2:$T$20,6,false)*HLOOKUP($K1513,'Type Chart'!$C$2:$U$20,6,false)</f>
        <v>2</v>
      </c>
      <c r="Z1513" s="960">
        <f t="array" ref="Z1513">HLOOKUP($J1513,'Type Chart'!$C$2:$T$20,7,false)*HLOOKUP($K1513,'Type Chart'!$C$2:$U$20,7,false)</f>
        <v>1</v>
      </c>
      <c r="AA1513" s="960">
        <f t="array" ref="AA1513">HLOOKUP($J1513,'Type Chart'!$C$2:$T$20,8,false)*HLOOKUP($K1513,'Type Chart'!$C$2:$U$20,8,false)</f>
        <v>1</v>
      </c>
      <c r="AB1513" s="960">
        <f t="array" ref="AB1513">HLOOKUP($J1513,'Type Chart'!$C$2:$T$20,9,false)*HLOOKUP($K1513,'Type Chart'!$C$2:$U$20,9,false)</f>
        <v>1</v>
      </c>
      <c r="AC1513" s="960">
        <f t="array" ref="AC1513">HLOOKUP($J1513,'Type Chart'!$C$2:$T$20,10,false)*HLOOKUP($K1513,'Type Chart'!$C$2:$U$20,10,false)</f>
        <v>0.5</v>
      </c>
      <c r="AD1513" s="960">
        <f t="array" ref="AD1513">HLOOKUP($J1513,'Type Chart'!$C$2:$T$20,11,false)*HLOOKUP($K1513,'Type Chart'!$C$2:$U$20,11,false)</f>
        <v>1</v>
      </c>
      <c r="AE1513" s="960">
        <f t="array" ref="AE1513">HLOOKUP($J1513,'Type Chart'!$C$2:$T$20,12,false)*HLOOKUP($K1513,'Type Chart'!$C$2:$U$20,12,false)</f>
        <v>1</v>
      </c>
      <c r="AF1513" s="960">
        <f t="array" ref="AF1513">HLOOKUP($J1513,'Type Chart'!$C$2:$T$20,13,false)*HLOOKUP($K1513,'Type Chart'!$C$2:$U$20,13,false)</f>
        <v>1</v>
      </c>
      <c r="AG1513" s="960">
        <f t="array" ref="AG1513">HLOOKUP($J1513,'Type Chart'!$C$2:$T$20,14,false)*HLOOKUP($K1513,'Type Chart'!$C$2:$U$20,14,false)</f>
        <v>0.5</v>
      </c>
      <c r="AH1513" s="960">
        <f t="array" ref="AH1513">HLOOKUP($J1513,'Type Chart'!$C$2:$T$20,15,false)*HLOOKUP($K1513,'Type Chart'!$C$2:$U$20,15,false)</f>
        <v>1</v>
      </c>
      <c r="AI1513" s="960">
        <f t="array" ref="AI1513">HLOOKUP($J1513,'Type Chart'!$C$2:$T$20,16,false)*HLOOKUP($K1513,'Type Chart'!$C$2:$U$20,16,false)</f>
        <v>1</v>
      </c>
      <c r="AJ1513" s="960">
        <f t="array" ref="AJ1513">HLOOKUP($J1513,'Type Chart'!$C$2:$T$20,17,false)*HLOOKUP($K1513,'Type Chart'!$C$2:$U$20,17,false)</f>
        <v>1</v>
      </c>
      <c r="AK1513" s="960">
        <f t="array" ref="AK1513">HLOOKUP($J1513,'Type Chart'!$C$2:$T$20,18,false)*HLOOKUP($K1513,'Type Chart'!$C$2:$U$20,18,false)</f>
        <v>1</v>
      </c>
      <c r="AL1513" s="960">
        <f t="array" ref="AL1513">HLOOKUP($J1513,'Type Chart'!$C$2:$T$20,19,false)*HLOOKUP($K1513,'Type Chart'!$C$2:$U$20,19,false)</f>
        <v>1</v>
      </c>
      <c r="AM1513" s="964" t="s">
        <v>1067</v>
      </c>
      <c r="AN1513" s="965"/>
      <c r="AO1513" s="966" t="s">
        <v>1759</v>
      </c>
      <c r="AP1513" s="936"/>
      <c r="AQ1513" s="1245"/>
      <c r="AR1513" s="1245"/>
      <c r="AS1513" s="936"/>
    </row>
    <row r="1514" ht="15.75" customHeight="1">
      <c r="A1514" s="1099"/>
      <c r="B1514" s="948" t="s">
        <v>1764</v>
      </c>
      <c r="C1514" s="1197" t="s">
        <v>1765</v>
      </c>
      <c r="D1514" s="1197" t="s">
        <v>1765</v>
      </c>
      <c r="E1514" s="1147" t="s">
        <v>1765</v>
      </c>
      <c r="F1514" s="940"/>
      <c r="G1514" s="953"/>
      <c r="H1514" s="969"/>
      <c r="I1514" s="998" t="s">
        <v>4615</v>
      </c>
      <c r="J1514" s="1196" t="s">
        <v>203</v>
      </c>
      <c r="K1514" s="1006" t="s">
        <v>346</v>
      </c>
      <c r="L1514" s="959">
        <v>90.0</v>
      </c>
      <c r="M1514" s="960">
        <v>95.0</v>
      </c>
      <c r="N1514" s="960">
        <v>105.0</v>
      </c>
      <c r="O1514" s="960">
        <v>165.0</v>
      </c>
      <c r="P1514" s="960">
        <v>110.0</v>
      </c>
      <c r="Q1514" s="960">
        <v>45.0</v>
      </c>
      <c r="R1514" s="960">
        <v>126.0</v>
      </c>
      <c r="S1514" s="960">
        <v>189.0</v>
      </c>
      <c r="T1514" s="960">
        <v>207.0</v>
      </c>
      <c r="U1514" s="960">
        <f t="array" ref="U1514">HLOOKUP($J1514,'Type Chart'!$C$2:$T$20,2,false)*HLOOKUP($K1514,'Type Chart'!$C$2:$U$20,2,false)</f>
        <v>1</v>
      </c>
      <c r="V1514" s="960">
        <f t="array" ref="V1514">HLOOKUP($J1514,'Type Chart'!$C$2:$T$20,3,false)*HLOOKUP($K1514,'Type Chart'!$C$2:$U$20,3,false)</f>
        <v>1</v>
      </c>
      <c r="W1514" s="960">
        <f t="array" ref="W1514">HLOOKUP($J1514,'Type Chart'!$C$2:$T$20,4,false)*HLOOKUP($K1514,'Type Chart'!$C$2:$U$20,4,false)</f>
        <v>0.5</v>
      </c>
      <c r="X1514" s="960">
        <f t="array" ref="X1514">HLOOKUP($J1514,'Type Chart'!$C$2:$T$20,5,false)*HLOOKUP($K1514,'Type Chart'!$C$2:$U$20,5,false)</f>
        <v>1</v>
      </c>
      <c r="Y1514" s="960">
        <f t="array" ref="Y1514">HLOOKUP($J1514,'Type Chart'!$C$2:$T$20,6,false)*HLOOKUP($K1514,'Type Chart'!$C$2:$U$20,6,false)</f>
        <v>2</v>
      </c>
      <c r="Z1514" s="960">
        <f t="array" ref="Z1514">HLOOKUP($J1514,'Type Chart'!$C$2:$T$20,7,false)*HLOOKUP($K1514,'Type Chart'!$C$2:$U$20,7,false)</f>
        <v>1</v>
      </c>
      <c r="AA1514" s="960">
        <f t="array" ref="AA1514">HLOOKUP($J1514,'Type Chart'!$C$2:$T$20,8,false)*HLOOKUP($K1514,'Type Chart'!$C$2:$U$20,8,false)</f>
        <v>1</v>
      </c>
      <c r="AB1514" s="960">
        <f t="array" ref="AB1514">HLOOKUP($J1514,'Type Chart'!$C$2:$T$20,9,false)*HLOOKUP($K1514,'Type Chart'!$C$2:$U$20,9,false)</f>
        <v>1</v>
      </c>
      <c r="AC1514" s="960">
        <f t="array" ref="AC1514">HLOOKUP($J1514,'Type Chart'!$C$2:$T$20,10,false)*HLOOKUP($K1514,'Type Chart'!$C$2:$U$20,10,false)</f>
        <v>0.5</v>
      </c>
      <c r="AD1514" s="960">
        <f t="array" ref="AD1514">HLOOKUP($J1514,'Type Chart'!$C$2:$T$20,11,false)*HLOOKUP($K1514,'Type Chart'!$C$2:$U$20,11,false)</f>
        <v>0.5</v>
      </c>
      <c r="AE1514" s="960">
        <f t="array" ref="AE1514">HLOOKUP($J1514,'Type Chart'!$C$2:$T$20,12,false)*HLOOKUP($K1514,'Type Chart'!$C$2:$U$20,12,false)</f>
        <v>0.5</v>
      </c>
      <c r="AF1514" s="960">
        <f t="array" ref="AF1514">HLOOKUP($J1514,'Type Chart'!$C$2:$T$20,13,false)*HLOOKUP($K1514,'Type Chart'!$C$2:$U$20,13,false)</f>
        <v>0.5</v>
      </c>
      <c r="AG1514" s="960">
        <f t="array" ref="AG1514">HLOOKUP($J1514,'Type Chart'!$C$2:$T$20,14,false)*HLOOKUP($K1514,'Type Chart'!$C$2:$U$20,14,false)</f>
        <v>0.25</v>
      </c>
      <c r="AH1514" s="960">
        <f t="array" ref="AH1514">HLOOKUP($J1514,'Type Chart'!$C$2:$T$20,15,false)*HLOOKUP($K1514,'Type Chart'!$C$2:$U$20,15,false)</f>
        <v>1</v>
      </c>
      <c r="AI1514" s="960">
        <f t="array" ref="AI1514">HLOOKUP($J1514,'Type Chart'!$C$2:$T$20,16,false)*HLOOKUP($K1514,'Type Chart'!$C$2:$U$20,16,false)</f>
        <v>2</v>
      </c>
      <c r="AJ1514" s="960">
        <f t="array" ref="AJ1514">HLOOKUP($J1514,'Type Chart'!$C$2:$T$20,17,false)*HLOOKUP($K1514,'Type Chart'!$C$2:$U$20,17,false)</f>
        <v>2</v>
      </c>
      <c r="AK1514" s="960">
        <f t="array" ref="AK1514">HLOOKUP($J1514,'Type Chart'!$C$2:$T$20,18,false)*HLOOKUP($K1514,'Type Chart'!$C$2:$U$20,18,false)</f>
        <v>1</v>
      </c>
      <c r="AL1514" s="960">
        <f t="array" ref="AL1514">HLOOKUP($J1514,'Type Chart'!$C$2:$T$20,19,false)*HLOOKUP($K1514,'Type Chart'!$C$2:$U$20,19,false)</f>
        <v>2</v>
      </c>
      <c r="AM1514" s="964" t="s">
        <v>1576</v>
      </c>
      <c r="AN1514" s="965"/>
      <c r="AO1514" s="966"/>
      <c r="AP1514" s="936"/>
      <c r="AQ1514" s="1245"/>
      <c r="AR1514" s="1245"/>
      <c r="AS1514" s="936"/>
    </row>
    <row r="1515" ht="15.75" customHeight="1">
      <c r="A1515" s="1099"/>
      <c r="B1515" s="948" t="s">
        <v>1767</v>
      </c>
      <c r="C1515" s="1197" t="s">
        <v>1768</v>
      </c>
      <c r="D1515" s="1197" t="s">
        <v>1768</v>
      </c>
      <c r="E1515" s="1147" t="s">
        <v>1768</v>
      </c>
      <c r="F1515" s="940"/>
      <c r="G1515" s="953"/>
      <c r="H1515" s="969"/>
      <c r="I1515" s="998" t="s">
        <v>4616</v>
      </c>
      <c r="J1515" s="957" t="s">
        <v>209</v>
      </c>
      <c r="K1515" s="984" t="s">
        <v>216</v>
      </c>
      <c r="L1515" s="959">
        <v>75.0</v>
      </c>
      <c r="M1515" s="960">
        <v>80.0</v>
      </c>
      <c r="N1515" s="960">
        <v>95.0</v>
      </c>
      <c r="O1515" s="960">
        <v>90.0</v>
      </c>
      <c r="P1515" s="960">
        <v>100.0</v>
      </c>
      <c r="Q1515" s="960">
        <v>50.0</v>
      </c>
      <c r="R1515" s="960">
        <v>136.0</v>
      </c>
      <c r="S1515" s="960">
        <v>199.0</v>
      </c>
      <c r="T1515" s="960">
        <v>218.0</v>
      </c>
      <c r="U1515" s="960">
        <f t="array" ref="U1515">HLOOKUP($J1515,'Type Chart'!$C$2:$T$20,2,false)*HLOOKUP($K1515,'Type Chart'!$C$2:$U$20,2,false)</f>
        <v>1</v>
      </c>
      <c r="V1515" s="960">
        <f t="array" ref="V1515">HLOOKUP($J1515,'Type Chart'!$C$2:$T$20,3,false)*HLOOKUP($K1515,'Type Chart'!$C$2:$U$20,3,false)</f>
        <v>1</v>
      </c>
      <c r="W1515" s="960">
        <f t="array" ref="W1515">HLOOKUP($J1515,'Type Chart'!$C$2:$T$20,4,false)*HLOOKUP($K1515,'Type Chart'!$C$2:$U$20,4,false)</f>
        <v>2</v>
      </c>
      <c r="X1515" s="960">
        <f t="array" ref="X1515">HLOOKUP($J1515,'Type Chart'!$C$2:$T$20,5,false)*HLOOKUP($K1515,'Type Chart'!$C$2:$U$20,5,false)</f>
        <v>2</v>
      </c>
      <c r="Y1515" s="960">
        <f t="array" ref="Y1515">HLOOKUP($J1515,'Type Chart'!$C$2:$T$20,6,false)*HLOOKUP($K1515,'Type Chart'!$C$2:$U$20,6,false)</f>
        <v>0.5</v>
      </c>
      <c r="Z1515" s="960">
        <f t="array" ref="Z1515">HLOOKUP($J1515,'Type Chart'!$C$2:$T$20,7,false)*HLOOKUP($K1515,'Type Chart'!$C$2:$U$20,7,false)</f>
        <v>1</v>
      </c>
      <c r="AA1515" s="960">
        <f t="array" ref="AA1515">HLOOKUP($J1515,'Type Chart'!$C$2:$T$20,8,false)*HLOOKUP($K1515,'Type Chart'!$C$2:$U$20,8,false)</f>
        <v>2</v>
      </c>
      <c r="AB1515" s="960">
        <f t="array" ref="AB1515">HLOOKUP($J1515,'Type Chart'!$C$2:$T$20,9,false)*HLOOKUP($K1515,'Type Chart'!$C$2:$U$20,9,false)</f>
        <v>1</v>
      </c>
      <c r="AC1515" s="960">
        <f t="array" ref="AC1515">HLOOKUP($J1515,'Type Chart'!$C$2:$T$20,10,false)*HLOOKUP($K1515,'Type Chart'!$C$2:$U$20,10,false)</f>
        <v>1</v>
      </c>
      <c r="AD1515" s="960">
        <f t="array" ref="AD1515">HLOOKUP($J1515,'Type Chart'!$C$2:$T$20,11,false)*HLOOKUP($K1515,'Type Chart'!$C$2:$U$20,11,false)</f>
        <v>2</v>
      </c>
      <c r="AE1515" s="960">
        <f t="array" ref="AE1515">HLOOKUP($J1515,'Type Chart'!$C$2:$T$20,12,false)*HLOOKUP($K1515,'Type Chart'!$C$2:$U$20,12,false)</f>
        <v>0.5</v>
      </c>
      <c r="AF1515" s="960">
        <f t="array" ref="AF1515">HLOOKUP($J1515,'Type Chart'!$C$2:$T$20,13,false)*HLOOKUP($K1515,'Type Chart'!$C$2:$U$20,13,false)</f>
        <v>0.5</v>
      </c>
      <c r="AG1515" s="960">
        <f t="array" ref="AG1515">HLOOKUP($J1515,'Type Chart'!$C$2:$T$20,14,false)*HLOOKUP($K1515,'Type Chart'!$C$2:$U$20,14,false)</f>
        <v>0.5</v>
      </c>
      <c r="AH1515" s="960">
        <f t="array" ref="AH1515">HLOOKUP($J1515,'Type Chart'!$C$2:$T$20,15,false)*HLOOKUP($K1515,'Type Chart'!$C$2:$U$20,15,false)</f>
        <v>1</v>
      </c>
      <c r="AI1515" s="960">
        <f t="array" ref="AI1515">HLOOKUP($J1515,'Type Chart'!$C$2:$T$20,16,false)*HLOOKUP($K1515,'Type Chart'!$C$2:$U$20,16,false)</f>
        <v>2</v>
      </c>
      <c r="AJ1515" s="960">
        <f t="array" ref="AJ1515">HLOOKUP($J1515,'Type Chart'!$C$2:$T$20,17,false)*HLOOKUP($K1515,'Type Chart'!$C$2:$U$20,17,false)</f>
        <v>1</v>
      </c>
      <c r="AK1515" s="960">
        <f t="array" ref="AK1515">HLOOKUP($J1515,'Type Chart'!$C$2:$T$20,18,false)*HLOOKUP($K1515,'Type Chart'!$C$2:$U$20,18,false)</f>
        <v>1</v>
      </c>
      <c r="AL1515" s="960">
        <f t="array" ref="AL1515">HLOOKUP($J1515,'Type Chart'!$C$2:$T$20,19,false)*HLOOKUP($K1515,'Type Chart'!$C$2:$U$20,19,false)</f>
        <v>1</v>
      </c>
      <c r="AM1515" s="964" t="s">
        <v>524</v>
      </c>
      <c r="AN1515" s="965"/>
      <c r="AO1515" s="966" t="s">
        <v>1522</v>
      </c>
      <c r="AP1515" s="936"/>
      <c r="AQ1515" s="1245"/>
      <c r="AR1515" s="1245"/>
      <c r="AS1515" s="936"/>
    </row>
    <row r="1516" ht="15.75" customHeight="1">
      <c r="A1516" s="1099"/>
      <c r="B1516" s="948" t="s">
        <v>1769</v>
      </c>
      <c r="C1516" s="1197" t="s">
        <v>1770</v>
      </c>
      <c r="D1516" s="1197" t="s">
        <v>1770</v>
      </c>
      <c r="E1516" s="1147" t="s">
        <v>1770</v>
      </c>
      <c r="F1516" s="940"/>
      <c r="G1516" s="953"/>
      <c r="H1516" s="969"/>
      <c r="I1516" s="998" t="s">
        <v>4617</v>
      </c>
      <c r="J1516" s="1056" t="s">
        <v>81</v>
      </c>
      <c r="K1516" s="1207" t="s">
        <v>127</v>
      </c>
      <c r="L1516" s="1200">
        <v>70.0</v>
      </c>
      <c r="M1516" s="1201">
        <v>20.0</v>
      </c>
      <c r="N1516" s="1201">
        <v>50.0</v>
      </c>
      <c r="O1516" s="1201">
        <v>20.0</v>
      </c>
      <c r="P1516" s="1201">
        <v>50.0</v>
      </c>
      <c r="Q1516" s="1201">
        <v>40.0</v>
      </c>
      <c r="R1516" s="960">
        <v>116.0</v>
      </c>
      <c r="S1516" s="960">
        <v>179.0</v>
      </c>
      <c r="T1516" s="960">
        <v>196.0</v>
      </c>
      <c r="U1516" s="960">
        <f t="array" ref="U1516">HLOOKUP($J1516,'Type Chart'!$C$2:$T$20,2,false)*HLOOKUP($K1516,'Type Chart'!$C$2:$U$20,2,false)</f>
        <v>1</v>
      </c>
      <c r="V1516" s="960">
        <f t="array" ref="V1516">HLOOKUP($J1516,'Type Chart'!$C$2:$T$20,3,false)*HLOOKUP($K1516,'Type Chart'!$C$2:$U$20,3,false)</f>
        <v>0.5</v>
      </c>
      <c r="W1516" s="960">
        <f t="array" ref="W1516">HLOOKUP($J1516,'Type Chart'!$C$2:$T$20,4,false)*HLOOKUP($K1516,'Type Chart'!$C$2:$U$20,4,false)</f>
        <v>1</v>
      </c>
      <c r="X1516" s="960">
        <f t="array" ref="X1516">HLOOKUP($J1516,'Type Chart'!$C$2:$T$20,5,false)*HLOOKUP($K1516,'Type Chart'!$C$2:$U$20,5,false)</f>
        <v>2</v>
      </c>
      <c r="Y1516" s="960">
        <f t="array" ref="Y1516">HLOOKUP($J1516,'Type Chart'!$C$2:$T$20,6,false)*HLOOKUP($K1516,'Type Chart'!$C$2:$U$20,6,false)</f>
        <v>1</v>
      </c>
      <c r="Z1516" s="960">
        <f t="array" ref="Z1516">HLOOKUP($J1516,'Type Chart'!$C$2:$T$20,7,false)*HLOOKUP($K1516,'Type Chart'!$C$2:$U$20,7,false)</f>
        <v>1</v>
      </c>
      <c r="AA1516" s="960">
        <f t="array" ref="AA1516">HLOOKUP($J1516,'Type Chart'!$C$2:$T$20,8,false)*HLOOKUP($K1516,'Type Chart'!$C$2:$U$20,8,false)</f>
        <v>0.5</v>
      </c>
      <c r="AB1516" s="960">
        <f t="array" ref="AB1516">HLOOKUP($J1516,'Type Chart'!$C$2:$T$20,9,false)*HLOOKUP($K1516,'Type Chart'!$C$2:$U$20,9,false)</f>
        <v>1</v>
      </c>
      <c r="AC1516" s="960">
        <f t="array" ref="AC1516">HLOOKUP($J1516,'Type Chart'!$C$2:$T$20,10,false)*HLOOKUP($K1516,'Type Chart'!$C$2:$U$20,10,false)</f>
        <v>1</v>
      </c>
      <c r="AD1516" s="960">
        <f t="array" ref="AD1516">HLOOKUP($J1516,'Type Chart'!$C$2:$T$20,11,false)*HLOOKUP($K1516,'Type Chart'!$C$2:$U$20,11,false)</f>
        <v>0.5</v>
      </c>
      <c r="AE1516" s="960">
        <f t="array" ref="AE1516">HLOOKUP($J1516,'Type Chart'!$C$2:$T$20,12,false)*HLOOKUP($K1516,'Type Chart'!$C$2:$U$20,12,false)</f>
        <v>0.5</v>
      </c>
      <c r="AF1516" s="960">
        <f t="array" ref="AF1516">HLOOKUP($J1516,'Type Chart'!$C$2:$T$20,13,false)*HLOOKUP($K1516,'Type Chart'!$C$2:$U$20,13,false)</f>
        <v>2</v>
      </c>
      <c r="AG1516" s="960">
        <f t="array" ref="AG1516">HLOOKUP($J1516,'Type Chart'!$C$2:$T$20,14,false)*HLOOKUP($K1516,'Type Chart'!$C$2:$U$20,14,false)</f>
        <v>2</v>
      </c>
      <c r="AH1516" s="960">
        <f t="array" ref="AH1516">HLOOKUP($J1516,'Type Chart'!$C$2:$T$20,15,false)*HLOOKUP($K1516,'Type Chart'!$C$2:$U$20,15,false)</f>
        <v>1</v>
      </c>
      <c r="AI1516" s="960">
        <f t="array" ref="AI1516">HLOOKUP($J1516,'Type Chart'!$C$2:$T$20,16,false)*HLOOKUP($K1516,'Type Chart'!$C$2:$U$20,16,false)</f>
        <v>0.5</v>
      </c>
      <c r="AJ1516" s="960">
        <f t="array" ref="AJ1516">HLOOKUP($J1516,'Type Chart'!$C$2:$T$20,17,false)*HLOOKUP($K1516,'Type Chart'!$C$2:$U$20,17,false)</f>
        <v>0</v>
      </c>
      <c r="AK1516" s="960">
        <f t="array" ref="AK1516">HLOOKUP($J1516,'Type Chart'!$C$2:$T$20,18,false)*HLOOKUP($K1516,'Type Chart'!$C$2:$U$20,18,false)</f>
        <v>0.5</v>
      </c>
      <c r="AL1516" s="960">
        <f t="array" ref="AL1516">HLOOKUP($J1516,'Type Chart'!$C$2:$T$20,19,false)*HLOOKUP($K1516,'Type Chart'!$C$2:$U$20,19,false)</f>
        <v>1</v>
      </c>
      <c r="AM1516" s="964" t="s">
        <v>760</v>
      </c>
      <c r="AN1516" s="965" t="s">
        <v>1771</v>
      </c>
      <c r="AO1516" s="966" t="s">
        <v>1772</v>
      </c>
      <c r="AP1516" s="936"/>
      <c r="AQ1516" s="1245"/>
      <c r="AR1516" s="1245"/>
      <c r="AS1516" s="936"/>
    </row>
    <row r="1517" ht="15.75" customHeight="1">
      <c r="A1517" s="1099"/>
      <c r="B1517" s="948" t="s">
        <v>1773</v>
      </c>
      <c r="C1517" s="1197" t="s">
        <v>1774</v>
      </c>
      <c r="D1517" s="1197" t="s">
        <v>1774</v>
      </c>
      <c r="E1517" s="1147" t="s">
        <v>1774</v>
      </c>
      <c r="F1517" s="940"/>
      <c r="G1517" s="953"/>
      <c r="H1517" s="969"/>
      <c r="I1517" s="998" t="s">
        <v>4618</v>
      </c>
      <c r="J1517" s="1056" t="s">
        <v>81</v>
      </c>
      <c r="K1517" s="1207" t="s">
        <v>127</v>
      </c>
      <c r="L1517" s="959">
        <v>100.0</v>
      </c>
      <c r="M1517" s="960">
        <v>50.0</v>
      </c>
      <c r="N1517" s="960">
        <v>80.0</v>
      </c>
      <c r="O1517" s="960">
        <v>60.0</v>
      </c>
      <c r="P1517" s="960">
        <v>80.0</v>
      </c>
      <c r="Q1517" s="960">
        <v>50.0</v>
      </c>
      <c r="R1517" s="960">
        <v>136.0</v>
      </c>
      <c r="S1517" s="960">
        <v>199.0</v>
      </c>
      <c r="T1517" s="960">
        <v>218.0</v>
      </c>
      <c r="U1517" s="960">
        <f t="array" ref="U1517">HLOOKUP($J1517,'Type Chart'!$C$2:$T$20,2,false)*HLOOKUP($K1517,'Type Chart'!$C$2:$U$20,2,false)</f>
        <v>1</v>
      </c>
      <c r="V1517" s="960">
        <f t="array" ref="V1517">HLOOKUP($J1517,'Type Chart'!$C$2:$T$20,3,false)*HLOOKUP($K1517,'Type Chart'!$C$2:$U$20,3,false)</f>
        <v>0.5</v>
      </c>
      <c r="W1517" s="960">
        <f t="array" ref="W1517">HLOOKUP($J1517,'Type Chart'!$C$2:$T$20,4,false)*HLOOKUP($K1517,'Type Chart'!$C$2:$U$20,4,false)</f>
        <v>1</v>
      </c>
      <c r="X1517" s="960">
        <f t="array" ref="X1517">HLOOKUP($J1517,'Type Chart'!$C$2:$T$20,5,false)*HLOOKUP($K1517,'Type Chart'!$C$2:$U$20,5,false)</f>
        <v>2</v>
      </c>
      <c r="Y1517" s="960">
        <f t="array" ref="Y1517">HLOOKUP($J1517,'Type Chart'!$C$2:$T$20,6,false)*HLOOKUP($K1517,'Type Chart'!$C$2:$U$20,6,false)</f>
        <v>1</v>
      </c>
      <c r="Z1517" s="960">
        <f t="array" ref="Z1517">HLOOKUP($J1517,'Type Chart'!$C$2:$T$20,7,false)*HLOOKUP($K1517,'Type Chart'!$C$2:$U$20,7,false)</f>
        <v>1</v>
      </c>
      <c r="AA1517" s="960">
        <f t="array" ref="AA1517">HLOOKUP($J1517,'Type Chart'!$C$2:$T$20,8,false)*HLOOKUP($K1517,'Type Chart'!$C$2:$U$20,8,false)</f>
        <v>0.5</v>
      </c>
      <c r="AB1517" s="960">
        <f t="array" ref="AB1517">HLOOKUP($J1517,'Type Chart'!$C$2:$T$20,9,false)*HLOOKUP($K1517,'Type Chart'!$C$2:$U$20,9,false)</f>
        <v>1</v>
      </c>
      <c r="AC1517" s="960">
        <f t="array" ref="AC1517">HLOOKUP($J1517,'Type Chart'!$C$2:$T$20,10,false)*HLOOKUP($K1517,'Type Chart'!$C$2:$U$20,10,false)</f>
        <v>1</v>
      </c>
      <c r="AD1517" s="960">
        <f t="array" ref="AD1517">HLOOKUP($J1517,'Type Chart'!$C$2:$T$20,11,false)*HLOOKUP($K1517,'Type Chart'!$C$2:$U$20,11,false)</f>
        <v>0.5</v>
      </c>
      <c r="AE1517" s="960">
        <f t="array" ref="AE1517">HLOOKUP($J1517,'Type Chart'!$C$2:$T$20,12,false)*HLOOKUP($K1517,'Type Chart'!$C$2:$U$20,12,false)</f>
        <v>0.5</v>
      </c>
      <c r="AF1517" s="960">
        <f t="array" ref="AF1517">HLOOKUP($J1517,'Type Chart'!$C$2:$T$20,13,false)*HLOOKUP($K1517,'Type Chart'!$C$2:$U$20,13,false)</f>
        <v>2</v>
      </c>
      <c r="AG1517" s="960">
        <f t="array" ref="AG1517">HLOOKUP($J1517,'Type Chart'!$C$2:$T$20,14,false)*HLOOKUP($K1517,'Type Chart'!$C$2:$U$20,14,false)</f>
        <v>2</v>
      </c>
      <c r="AH1517" s="960">
        <f t="array" ref="AH1517">HLOOKUP($J1517,'Type Chart'!$C$2:$T$20,15,false)*HLOOKUP($K1517,'Type Chart'!$C$2:$U$20,15,false)</f>
        <v>1</v>
      </c>
      <c r="AI1517" s="960">
        <f t="array" ref="AI1517">HLOOKUP($J1517,'Type Chart'!$C$2:$T$20,16,false)*HLOOKUP($K1517,'Type Chart'!$C$2:$U$20,16,false)</f>
        <v>0.5</v>
      </c>
      <c r="AJ1517" s="960">
        <f t="array" ref="AJ1517">HLOOKUP($J1517,'Type Chart'!$C$2:$T$20,17,false)*HLOOKUP($K1517,'Type Chart'!$C$2:$U$20,17,false)</f>
        <v>0</v>
      </c>
      <c r="AK1517" s="960">
        <f t="array" ref="AK1517">HLOOKUP($J1517,'Type Chart'!$C$2:$T$20,18,false)*HLOOKUP($K1517,'Type Chart'!$C$2:$U$20,18,false)</f>
        <v>0.5</v>
      </c>
      <c r="AL1517" s="960">
        <f t="array" ref="AL1517">HLOOKUP($J1517,'Type Chart'!$C$2:$T$20,19,false)*HLOOKUP($K1517,'Type Chart'!$C$2:$U$20,19,false)</f>
        <v>1</v>
      </c>
      <c r="AM1517" s="964" t="s">
        <v>760</v>
      </c>
      <c r="AN1517" s="965" t="s">
        <v>1771</v>
      </c>
      <c r="AO1517" s="966" t="s">
        <v>1772</v>
      </c>
      <c r="AP1517" s="936"/>
      <c r="AQ1517" s="1245"/>
      <c r="AR1517" s="1245"/>
      <c r="AS1517" s="936"/>
    </row>
    <row r="1518" ht="15.75" customHeight="1">
      <c r="A1518" s="1099"/>
      <c r="B1518" s="948" t="s">
        <v>1775</v>
      </c>
      <c r="C1518" s="1197" t="s">
        <v>1776</v>
      </c>
      <c r="D1518" s="1197" t="s">
        <v>1776</v>
      </c>
      <c r="E1518" s="1147" t="s">
        <v>1776</v>
      </c>
      <c r="F1518" s="940"/>
      <c r="G1518" s="953"/>
      <c r="H1518" s="969"/>
      <c r="I1518" s="998" t="s">
        <v>4619</v>
      </c>
      <c r="J1518" s="1214" t="s">
        <v>342</v>
      </c>
      <c r="K1518" s="984" t="s">
        <v>216</v>
      </c>
      <c r="L1518" s="959">
        <v>70.0</v>
      </c>
      <c r="M1518" s="960">
        <v>100.0</v>
      </c>
      <c r="N1518" s="960">
        <v>115.0</v>
      </c>
      <c r="O1518" s="960">
        <v>30.0</v>
      </c>
      <c r="P1518" s="960">
        <v>65.0</v>
      </c>
      <c r="Q1518" s="960">
        <v>30.0</v>
      </c>
      <c r="R1518" s="960">
        <v>96.0</v>
      </c>
      <c r="S1518" s="960">
        <v>159.0</v>
      </c>
      <c r="T1518" s="960">
        <v>174.0</v>
      </c>
      <c r="U1518" s="960">
        <f t="array" ref="U1518">HLOOKUP($J1518,'Type Chart'!$C$2:$T$20,2,false)*HLOOKUP($K1518,'Type Chart'!$C$2:$U$20,2,false)</f>
        <v>0.5</v>
      </c>
      <c r="V1518" s="960">
        <f t="array" ref="V1518">HLOOKUP($J1518,'Type Chart'!$C$2:$T$20,3,false)*HLOOKUP($K1518,'Type Chart'!$C$2:$U$20,3,false)</f>
        <v>2</v>
      </c>
      <c r="W1518" s="960">
        <f t="array" ref="W1518">HLOOKUP($J1518,'Type Chart'!$C$2:$T$20,4,false)*HLOOKUP($K1518,'Type Chart'!$C$2:$U$20,4,false)</f>
        <v>0.5</v>
      </c>
      <c r="X1518" s="960">
        <f t="array" ref="X1518">HLOOKUP($J1518,'Type Chart'!$C$2:$T$20,5,false)*HLOOKUP($K1518,'Type Chart'!$C$2:$U$20,5,false)</f>
        <v>0.5</v>
      </c>
      <c r="Y1518" s="960">
        <f t="array" ref="Y1518">HLOOKUP($J1518,'Type Chart'!$C$2:$T$20,6,false)*HLOOKUP($K1518,'Type Chart'!$C$2:$U$20,6,false)</f>
        <v>2</v>
      </c>
      <c r="Z1518" s="960">
        <f t="array" ref="Z1518">HLOOKUP($J1518,'Type Chart'!$C$2:$T$20,7,false)*HLOOKUP($K1518,'Type Chart'!$C$2:$U$20,7,false)</f>
        <v>1</v>
      </c>
      <c r="AA1518" s="960">
        <f t="array" ref="AA1518">HLOOKUP($J1518,'Type Chart'!$C$2:$T$20,8,false)*HLOOKUP($K1518,'Type Chart'!$C$2:$U$20,8,false)</f>
        <v>1</v>
      </c>
      <c r="AB1518" s="960">
        <f t="array" ref="AB1518">HLOOKUP($J1518,'Type Chart'!$C$2:$T$20,9,false)*HLOOKUP($K1518,'Type Chart'!$C$2:$U$20,9,false)</f>
        <v>1</v>
      </c>
      <c r="AC1518" s="960">
        <f t="array" ref="AC1518">HLOOKUP($J1518,'Type Chart'!$C$2:$T$20,10,false)*HLOOKUP($K1518,'Type Chart'!$C$2:$U$20,10,false)</f>
        <v>2</v>
      </c>
      <c r="AD1518" s="960">
        <f t="array" ref="AD1518">HLOOKUP($J1518,'Type Chart'!$C$2:$T$20,11,false)*HLOOKUP($K1518,'Type Chart'!$C$2:$U$20,11,false)</f>
        <v>0.5</v>
      </c>
      <c r="AE1518" s="960">
        <f t="array" ref="AE1518">HLOOKUP($J1518,'Type Chart'!$C$2:$T$20,12,false)*HLOOKUP($K1518,'Type Chart'!$C$2:$U$20,12,false)</f>
        <v>2</v>
      </c>
      <c r="AF1518" s="960">
        <f t="array" ref="AF1518">HLOOKUP($J1518,'Type Chart'!$C$2:$T$20,13,false)*HLOOKUP($K1518,'Type Chart'!$C$2:$U$20,13,false)</f>
        <v>2</v>
      </c>
      <c r="AG1518" s="960">
        <f t="array" ref="AG1518">HLOOKUP($J1518,'Type Chart'!$C$2:$T$20,14,false)*HLOOKUP($K1518,'Type Chart'!$C$2:$U$20,14,false)</f>
        <v>1</v>
      </c>
      <c r="AH1518" s="960">
        <f t="array" ref="AH1518">HLOOKUP($J1518,'Type Chart'!$C$2:$T$20,15,false)*HLOOKUP($K1518,'Type Chart'!$C$2:$U$20,15,false)</f>
        <v>1</v>
      </c>
      <c r="AI1518" s="960">
        <f t="array" ref="AI1518">HLOOKUP($J1518,'Type Chart'!$C$2:$T$20,16,false)*HLOOKUP($K1518,'Type Chart'!$C$2:$U$20,16,false)</f>
        <v>1</v>
      </c>
      <c r="AJ1518" s="960">
        <f t="array" ref="AJ1518">HLOOKUP($J1518,'Type Chart'!$C$2:$T$20,17,false)*HLOOKUP($K1518,'Type Chart'!$C$2:$U$20,17,false)</f>
        <v>1</v>
      </c>
      <c r="AK1518" s="960">
        <f t="array" ref="AK1518">HLOOKUP($J1518,'Type Chart'!$C$2:$T$20,18,false)*HLOOKUP($K1518,'Type Chart'!$C$2:$U$20,18,false)</f>
        <v>1</v>
      </c>
      <c r="AL1518" s="960">
        <f t="array" ref="AL1518">HLOOKUP($J1518,'Type Chart'!$C$2:$T$20,19,false)*HLOOKUP($K1518,'Type Chart'!$C$2:$U$20,19,false)</f>
        <v>1</v>
      </c>
      <c r="AM1518" s="964" t="s">
        <v>1331</v>
      </c>
      <c r="AN1518" s="965" t="s">
        <v>1276</v>
      </c>
      <c r="AO1518" s="966" t="s">
        <v>1243</v>
      </c>
      <c r="AP1518" s="936"/>
      <c r="AQ1518" s="1245"/>
      <c r="AR1518" s="1245"/>
      <c r="AS1518" s="936"/>
    </row>
    <row r="1519" ht="15.75" customHeight="1">
      <c r="A1519" s="1099"/>
      <c r="B1519" s="948" t="s">
        <v>1777</v>
      </c>
      <c r="C1519" s="1197" t="s">
        <v>1778</v>
      </c>
      <c r="D1519" s="1197" t="s">
        <v>1778</v>
      </c>
      <c r="E1519" s="1147" t="s">
        <v>1778</v>
      </c>
      <c r="F1519" s="940"/>
      <c r="G1519" s="953"/>
      <c r="H1519" s="969"/>
      <c r="I1519" s="998" t="s">
        <v>4620</v>
      </c>
      <c r="J1519" s="1056" t="s">
        <v>81</v>
      </c>
      <c r="K1519" s="984" t="s">
        <v>216</v>
      </c>
      <c r="L1519" s="959">
        <v>90.0</v>
      </c>
      <c r="M1519" s="960">
        <v>75.0</v>
      </c>
      <c r="N1519" s="960">
        <v>75.0</v>
      </c>
      <c r="O1519" s="960">
        <v>90.0</v>
      </c>
      <c r="P1519" s="960">
        <v>100.0</v>
      </c>
      <c r="Q1519" s="960">
        <v>70.0</v>
      </c>
      <c r="R1519" s="960">
        <v>176.0</v>
      </c>
      <c r="S1519" s="960">
        <v>239.0</v>
      </c>
      <c r="T1519" s="960">
        <v>262.0</v>
      </c>
      <c r="U1519" s="960">
        <f t="array" ref="U1519">HLOOKUP($J1519,'Type Chart'!$C$2:$T$20,2,false)*HLOOKUP($K1519,'Type Chart'!$C$2:$U$20,2,false)</f>
        <v>1</v>
      </c>
      <c r="V1519" s="960">
        <f t="array" ref="V1519">HLOOKUP($J1519,'Type Chart'!$C$2:$T$20,3,false)*HLOOKUP($K1519,'Type Chart'!$C$2:$U$20,3,false)</f>
        <v>1</v>
      </c>
      <c r="W1519" s="960">
        <f t="array" ref="W1519">HLOOKUP($J1519,'Type Chart'!$C$2:$T$20,4,false)*HLOOKUP($K1519,'Type Chart'!$C$2:$U$20,4,false)</f>
        <v>1</v>
      </c>
      <c r="X1519" s="960">
        <f t="array" ref="X1519">HLOOKUP($J1519,'Type Chart'!$C$2:$T$20,5,false)*HLOOKUP($K1519,'Type Chart'!$C$2:$U$20,5,false)</f>
        <v>1</v>
      </c>
      <c r="Y1519" s="960">
        <f t="array" ref="Y1519">HLOOKUP($J1519,'Type Chart'!$C$2:$T$20,6,false)*HLOOKUP($K1519,'Type Chart'!$C$2:$U$20,6,false)</f>
        <v>1</v>
      </c>
      <c r="Z1519" s="960">
        <f t="array" ref="Z1519">HLOOKUP($J1519,'Type Chart'!$C$2:$T$20,7,false)*HLOOKUP($K1519,'Type Chart'!$C$2:$U$20,7,false)</f>
        <v>1</v>
      </c>
      <c r="AA1519" s="960">
        <f t="array" ref="AA1519">HLOOKUP($J1519,'Type Chart'!$C$2:$T$20,8,false)*HLOOKUP($K1519,'Type Chart'!$C$2:$U$20,8,false)</f>
        <v>1</v>
      </c>
      <c r="AB1519" s="960">
        <f t="array" ref="AB1519">HLOOKUP($J1519,'Type Chart'!$C$2:$T$20,9,false)*HLOOKUP($K1519,'Type Chart'!$C$2:$U$20,9,false)</f>
        <v>1</v>
      </c>
      <c r="AC1519" s="960">
        <f t="array" ref="AC1519">HLOOKUP($J1519,'Type Chart'!$C$2:$T$20,10,false)*HLOOKUP($K1519,'Type Chart'!$C$2:$U$20,10,false)</f>
        <v>0.5</v>
      </c>
      <c r="AD1519" s="960">
        <f t="array" ref="AD1519">HLOOKUP($J1519,'Type Chart'!$C$2:$T$20,11,false)*HLOOKUP($K1519,'Type Chart'!$C$2:$U$20,11,false)</f>
        <v>0.5</v>
      </c>
      <c r="AE1519" s="960">
        <f t="array" ref="AE1519">HLOOKUP($J1519,'Type Chart'!$C$2:$T$20,12,false)*HLOOKUP($K1519,'Type Chart'!$C$2:$U$20,12,false)</f>
        <v>0.5</v>
      </c>
      <c r="AF1519" s="960">
        <f t="array" ref="AF1519">HLOOKUP($J1519,'Type Chart'!$C$2:$T$20,13,false)*HLOOKUP($K1519,'Type Chart'!$C$2:$U$20,13,false)</f>
        <v>2</v>
      </c>
      <c r="AG1519" s="960">
        <f t="array" ref="AG1519">HLOOKUP($J1519,'Type Chart'!$C$2:$T$20,14,false)*HLOOKUP($K1519,'Type Chart'!$C$2:$U$20,14,false)</f>
        <v>2</v>
      </c>
      <c r="AH1519" s="960">
        <f t="array" ref="AH1519">HLOOKUP($J1519,'Type Chart'!$C$2:$T$20,15,false)*HLOOKUP($K1519,'Type Chart'!$C$2:$U$20,15,false)</f>
        <v>1</v>
      </c>
      <c r="AI1519" s="960">
        <f t="array" ref="AI1519">HLOOKUP($J1519,'Type Chart'!$C$2:$T$20,16,false)*HLOOKUP($K1519,'Type Chart'!$C$2:$U$20,16,false)</f>
        <v>0.5</v>
      </c>
      <c r="AJ1519" s="960">
        <f t="array" ref="AJ1519">HLOOKUP($J1519,'Type Chart'!$C$2:$T$20,17,false)*HLOOKUP($K1519,'Type Chart'!$C$2:$U$20,17,false)</f>
        <v>1</v>
      </c>
      <c r="AK1519" s="960">
        <f t="array" ref="AK1519">HLOOKUP($J1519,'Type Chart'!$C$2:$T$20,18,false)*HLOOKUP($K1519,'Type Chart'!$C$2:$U$20,18,false)</f>
        <v>1</v>
      </c>
      <c r="AL1519" s="960">
        <f t="array" ref="AL1519">HLOOKUP($J1519,'Type Chart'!$C$2:$T$20,19,false)*HLOOKUP($K1519,'Type Chart'!$C$2:$U$20,19,false)</f>
        <v>1</v>
      </c>
      <c r="AM1519" s="964" t="s">
        <v>1283</v>
      </c>
      <c r="AN1519" s="965" t="s">
        <v>1211</v>
      </c>
      <c r="AO1519" s="966" t="s">
        <v>349</v>
      </c>
      <c r="AP1519" s="936"/>
      <c r="AQ1519" s="1245"/>
      <c r="AR1519" s="1245"/>
      <c r="AS1519" s="936"/>
    </row>
    <row r="1520" ht="15.75" customHeight="1">
      <c r="A1520" s="1099"/>
      <c r="B1520" s="948" t="s">
        <v>1779</v>
      </c>
      <c r="C1520" s="1197" t="s">
        <v>1780</v>
      </c>
      <c r="D1520" s="1197" t="s">
        <v>1780</v>
      </c>
      <c r="E1520" s="1147" t="s">
        <v>1780</v>
      </c>
      <c r="F1520" s="940"/>
      <c r="G1520" s="953"/>
      <c r="H1520" s="969"/>
      <c r="I1520" s="998" t="s">
        <v>4621</v>
      </c>
      <c r="J1520" s="957" t="s">
        <v>209</v>
      </c>
      <c r="K1520" s="1001" t="s">
        <v>128</v>
      </c>
      <c r="L1520" s="959">
        <v>35.0</v>
      </c>
      <c r="M1520" s="960">
        <v>35.0</v>
      </c>
      <c r="N1520" s="960">
        <v>40.0</v>
      </c>
      <c r="O1520" s="960">
        <v>35.0</v>
      </c>
      <c r="P1520" s="960">
        <v>55.0</v>
      </c>
      <c r="Q1520" s="960">
        <v>50.0</v>
      </c>
      <c r="R1520" s="960">
        <v>136.0</v>
      </c>
      <c r="S1520" s="960">
        <v>199.0</v>
      </c>
      <c r="T1520" s="960">
        <v>218.0</v>
      </c>
      <c r="U1520" s="960">
        <f t="array" ref="U1520">HLOOKUP($J1520,'Type Chart'!$C$2:$T$20,2,false)*HLOOKUP($K1520,'Type Chart'!$C$2:$U$20,2,false)</f>
        <v>1</v>
      </c>
      <c r="V1520" s="960">
        <f t="array" ref="V1520">HLOOKUP($J1520,'Type Chart'!$C$2:$T$20,3,false)*HLOOKUP($K1520,'Type Chart'!$C$2:$U$20,3,false)</f>
        <v>0.5</v>
      </c>
      <c r="W1520" s="960">
        <f t="array" ref="W1520">HLOOKUP($J1520,'Type Chart'!$C$2:$T$20,4,false)*HLOOKUP($K1520,'Type Chart'!$C$2:$U$20,4,false)</f>
        <v>2</v>
      </c>
      <c r="X1520" s="960">
        <f t="array" ref="X1520">HLOOKUP($J1520,'Type Chart'!$C$2:$T$20,5,false)*HLOOKUP($K1520,'Type Chart'!$C$2:$U$20,5,false)</f>
        <v>2</v>
      </c>
      <c r="Y1520" s="960">
        <f t="array" ref="Y1520">HLOOKUP($J1520,'Type Chart'!$C$2:$T$20,6,false)*HLOOKUP($K1520,'Type Chart'!$C$2:$U$20,6,false)</f>
        <v>0</v>
      </c>
      <c r="Z1520" s="960">
        <f t="array" ref="Z1520">HLOOKUP($J1520,'Type Chart'!$C$2:$T$20,7,false)*HLOOKUP($K1520,'Type Chart'!$C$2:$U$20,7,false)</f>
        <v>2</v>
      </c>
      <c r="AA1520" s="960">
        <f t="array" ref="AA1520">HLOOKUP($J1520,'Type Chart'!$C$2:$T$20,8,false)*HLOOKUP($K1520,'Type Chart'!$C$2:$U$20,8,false)</f>
        <v>1</v>
      </c>
      <c r="AB1520" s="960">
        <f t="array" ref="AB1520">HLOOKUP($J1520,'Type Chart'!$C$2:$T$20,9,false)*HLOOKUP($K1520,'Type Chart'!$C$2:$U$20,9,false)</f>
        <v>1</v>
      </c>
      <c r="AC1520" s="960">
        <f t="array" ref="AC1520">HLOOKUP($J1520,'Type Chart'!$C$2:$T$20,10,false)*HLOOKUP($K1520,'Type Chart'!$C$2:$U$20,10,false)</f>
        <v>1</v>
      </c>
      <c r="AD1520" s="960">
        <f t="array" ref="AD1520">HLOOKUP($J1520,'Type Chart'!$C$2:$T$20,11,false)*HLOOKUP($K1520,'Type Chart'!$C$2:$U$20,11,false)</f>
        <v>2</v>
      </c>
      <c r="AE1520" s="960">
        <f t="array" ref="AE1520">HLOOKUP($J1520,'Type Chart'!$C$2:$T$20,12,false)*HLOOKUP($K1520,'Type Chart'!$C$2:$U$20,12,false)</f>
        <v>0.5</v>
      </c>
      <c r="AF1520" s="960">
        <f t="array" ref="AF1520">HLOOKUP($J1520,'Type Chart'!$C$2:$T$20,13,false)*HLOOKUP($K1520,'Type Chart'!$C$2:$U$20,13,false)</f>
        <v>0.25</v>
      </c>
      <c r="AG1520" s="960">
        <f t="array" ref="AG1520">HLOOKUP($J1520,'Type Chart'!$C$2:$T$20,14,false)*HLOOKUP($K1520,'Type Chart'!$C$2:$U$20,14,false)</f>
        <v>1</v>
      </c>
      <c r="AH1520" s="960">
        <f t="array" ref="AH1520">HLOOKUP($J1520,'Type Chart'!$C$2:$T$20,15,false)*HLOOKUP($K1520,'Type Chart'!$C$2:$U$20,15,false)</f>
        <v>1</v>
      </c>
      <c r="AI1520" s="960">
        <f t="array" ref="AI1520">HLOOKUP($J1520,'Type Chart'!$C$2:$T$20,16,false)*HLOOKUP($K1520,'Type Chart'!$C$2:$U$20,16,false)</f>
        <v>4</v>
      </c>
      <c r="AJ1520" s="960">
        <f t="array" ref="AJ1520">HLOOKUP($J1520,'Type Chart'!$C$2:$T$20,17,false)*HLOOKUP($K1520,'Type Chart'!$C$2:$U$20,17,false)</f>
        <v>1</v>
      </c>
      <c r="AK1520" s="960">
        <f t="array" ref="AK1520">HLOOKUP($J1520,'Type Chart'!$C$2:$T$20,18,false)*HLOOKUP($K1520,'Type Chart'!$C$2:$U$20,18,false)</f>
        <v>1</v>
      </c>
      <c r="AL1520" s="960">
        <f t="array" ref="AL1520">HLOOKUP($J1520,'Type Chart'!$C$2:$T$20,19,false)*HLOOKUP($K1520,'Type Chart'!$C$2:$U$20,19,false)</f>
        <v>1</v>
      </c>
      <c r="AM1520" s="964" t="s">
        <v>524</v>
      </c>
      <c r="AN1520" s="965" t="s">
        <v>1526</v>
      </c>
      <c r="AO1520" s="966" t="s">
        <v>1193</v>
      </c>
      <c r="AP1520" s="936"/>
      <c r="AQ1520" s="1245"/>
      <c r="AR1520" s="1245"/>
      <c r="AS1520" s="936"/>
    </row>
    <row r="1521" ht="15.75" customHeight="1">
      <c r="A1521" s="1099"/>
      <c r="B1521" s="948" t="s">
        <v>1782</v>
      </c>
      <c r="C1521" s="1197" t="s">
        <v>1783</v>
      </c>
      <c r="D1521" s="1197" t="s">
        <v>1783</v>
      </c>
      <c r="E1521" s="1147" t="s">
        <v>1783</v>
      </c>
      <c r="F1521" s="940"/>
      <c r="G1521" s="953"/>
      <c r="H1521" s="969"/>
      <c r="I1521" s="998" t="s">
        <v>4622</v>
      </c>
      <c r="J1521" s="957" t="s">
        <v>209</v>
      </c>
      <c r="K1521" s="1001" t="s">
        <v>128</v>
      </c>
      <c r="L1521" s="959">
        <v>55.0</v>
      </c>
      <c r="M1521" s="960">
        <v>45.0</v>
      </c>
      <c r="N1521" s="960">
        <v>50.0</v>
      </c>
      <c r="O1521" s="960">
        <v>45.0</v>
      </c>
      <c r="P1521" s="960">
        <v>65.0</v>
      </c>
      <c r="Q1521" s="960">
        <v>80.0</v>
      </c>
      <c r="R1521" s="960">
        <v>196.0</v>
      </c>
      <c r="S1521" s="960">
        <v>259.0</v>
      </c>
      <c r="T1521" s="960">
        <v>284.0</v>
      </c>
      <c r="U1521" s="960">
        <f t="array" ref="U1521">HLOOKUP($J1521,'Type Chart'!$C$2:$T$20,2,false)*HLOOKUP($K1521,'Type Chart'!$C$2:$U$20,2,false)</f>
        <v>1</v>
      </c>
      <c r="V1521" s="960">
        <f t="array" ref="V1521">HLOOKUP($J1521,'Type Chart'!$C$2:$T$20,3,false)*HLOOKUP($K1521,'Type Chart'!$C$2:$U$20,3,false)</f>
        <v>0.5</v>
      </c>
      <c r="W1521" s="960">
        <f t="array" ref="W1521">HLOOKUP($J1521,'Type Chart'!$C$2:$T$20,4,false)*HLOOKUP($K1521,'Type Chart'!$C$2:$U$20,4,false)</f>
        <v>2</v>
      </c>
      <c r="X1521" s="960">
        <f t="array" ref="X1521">HLOOKUP($J1521,'Type Chart'!$C$2:$T$20,5,false)*HLOOKUP($K1521,'Type Chart'!$C$2:$U$20,5,false)</f>
        <v>2</v>
      </c>
      <c r="Y1521" s="960">
        <f t="array" ref="Y1521">HLOOKUP($J1521,'Type Chart'!$C$2:$T$20,6,false)*HLOOKUP($K1521,'Type Chart'!$C$2:$U$20,6,false)</f>
        <v>0</v>
      </c>
      <c r="Z1521" s="960">
        <f t="array" ref="Z1521">HLOOKUP($J1521,'Type Chart'!$C$2:$T$20,7,false)*HLOOKUP($K1521,'Type Chart'!$C$2:$U$20,7,false)</f>
        <v>2</v>
      </c>
      <c r="AA1521" s="960">
        <f t="array" ref="AA1521">HLOOKUP($J1521,'Type Chart'!$C$2:$T$20,8,false)*HLOOKUP($K1521,'Type Chart'!$C$2:$U$20,8,false)</f>
        <v>1</v>
      </c>
      <c r="AB1521" s="960">
        <f t="array" ref="AB1521">HLOOKUP($J1521,'Type Chart'!$C$2:$T$20,9,false)*HLOOKUP($K1521,'Type Chart'!$C$2:$U$20,9,false)</f>
        <v>1</v>
      </c>
      <c r="AC1521" s="960">
        <f t="array" ref="AC1521">HLOOKUP($J1521,'Type Chart'!$C$2:$T$20,10,false)*HLOOKUP($K1521,'Type Chart'!$C$2:$U$20,10,false)</f>
        <v>1</v>
      </c>
      <c r="AD1521" s="960">
        <f t="array" ref="AD1521">HLOOKUP($J1521,'Type Chart'!$C$2:$T$20,11,false)*HLOOKUP($K1521,'Type Chart'!$C$2:$U$20,11,false)</f>
        <v>2</v>
      </c>
      <c r="AE1521" s="960">
        <f t="array" ref="AE1521">HLOOKUP($J1521,'Type Chart'!$C$2:$T$20,12,false)*HLOOKUP($K1521,'Type Chart'!$C$2:$U$20,12,false)</f>
        <v>0.5</v>
      </c>
      <c r="AF1521" s="960">
        <f t="array" ref="AF1521">HLOOKUP($J1521,'Type Chart'!$C$2:$T$20,13,false)*HLOOKUP($K1521,'Type Chart'!$C$2:$U$20,13,false)</f>
        <v>0.25</v>
      </c>
      <c r="AG1521" s="960">
        <f t="array" ref="AG1521">HLOOKUP($J1521,'Type Chart'!$C$2:$T$20,14,false)*HLOOKUP($K1521,'Type Chart'!$C$2:$U$20,14,false)</f>
        <v>1</v>
      </c>
      <c r="AH1521" s="960">
        <f t="array" ref="AH1521">HLOOKUP($J1521,'Type Chart'!$C$2:$T$20,15,false)*HLOOKUP($K1521,'Type Chart'!$C$2:$U$20,15,false)</f>
        <v>1</v>
      </c>
      <c r="AI1521" s="960">
        <f t="array" ref="AI1521">HLOOKUP($J1521,'Type Chart'!$C$2:$T$20,16,false)*HLOOKUP($K1521,'Type Chart'!$C$2:$U$20,16,false)</f>
        <v>4</v>
      </c>
      <c r="AJ1521" s="960">
        <f t="array" ref="AJ1521">HLOOKUP($J1521,'Type Chart'!$C$2:$T$20,17,false)*HLOOKUP($K1521,'Type Chart'!$C$2:$U$20,17,false)</f>
        <v>1</v>
      </c>
      <c r="AK1521" s="960">
        <f t="array" ref="AK1521">HLOOKUP($J1521,'Type Chart'!$C$2:$T$20,18,false)*HLOOKUP($K1521,'Type Chart'!$C$2:$U$20,18,false)</f>
        <v>1</v>
      </c>
      <c r="AL1521" s="960">
        <f t="array" ref="AL1521">HLOOKUP($J1521,'Type Chart'!$C$2:$T$20,19,false)*HLOOKUP($K1521,'Type Chart'!$C$2:$U$20,19,false)</f>
        <v>1</v>
      </c>
      <c r="AM1521" s="964" t="s">
        <v>524</v>
      </c>
      <c r="AN1521" s="965" t="s">
        <v>1526</v>
      </c>
      <c r="AO1521" s="966" t="s">
        <v>1193</v>
      </c>
      <c r="AP1521" s="936"/>
      <c r="AQ1521" s="1245"/>
      <c r="AR1521" s="1245"/>
      <c r="AS1521" s="936"/>
    </row>
    <row r="1522" ht="15.75" customHeight="1">
      <c r="A1522" s="1099"/>
      <c r="B1522" s="948" t="s">
        <v>1785</v>
      </c>
      <c r="C1522" s="1197" t="s">
        <v>1786</v>
      </c>
      <c r="D1522" s="1197" t="s">
        <v>1786</v>
      </c>
      <c r="E1522" s="1147" t="s">
        <v>1786</v>
      </c>
      <c r="F1522" s="940"/>
      <c r="G1522" s="953"/>
      <c r="H1522" s="969"/>
      <c r="I1522" s="998" t="s">
        <v>4623</v>
      </c>
      <c r="J1522" s="957" t="s">
        <v>209</v>
      </c>
      <c r="K1522" s="1001" t="s">
        <v>128</v>
      </c>
      <c r="L1522" s="959">
        <v>75.0</v>
      </c>
      <c r="M1522" s="960">
        <v>55.0</v>
      </c>
      <c r="N1522" s="960">
        <v>70.0</v>
      </c>
      <c r="O1522" s="960">
        <v>55.0</v>
      </c>
      <c r="P1522" s="960">
        <v>95.0</v>
      </c>
      <c r="Q1522" s="960">
        <v>110.0</v>
      </c>
      <c r="R1522" s="960">
        <v>256.0</v>
      </c>
      <c r="S1522" s="960">
        <v>319.0</v>
      </c>
      <c r="T1522" s="960">
        <v>350.0</v>
      </c>
      <c r="U1522" s="960">
        <f t="array" ref="U1522">HLOOKUP($J1522,'Type Chart'!$C$2:$T$20,2,false)*HLOOKUP($K1522,'Type Chart'!$C$2:$U$20,2,false)</f>
        <v>1</v>
      </c>
      <c r="V1522" s="960">
        <f t="array" ref="V1522">HLOOKUP($J1522,'Type Chart'!$C$2:$T$20,3,false)*HLOOKUP($K1522,'Type Chart'!$C$2:$U$20,3,false)</f>
        <v>0.5</v>
      </c>
      <c r="W1522" s="960">
        <f t="array" ref="W1522">HLOOKUP($J1522,'Type Chart'!$C$2:$T$20,4,false)*HLOOKUP($K1522,'Type Chart'!$C$2:$U$20,4,false)</f>
        <v>2</v>
      </c>
      <c r="X1522" s="960">
        <f t="array" ref="X1522">HLOOKUP($J1522,'Type Chart'!$C$2:$T$20,5,false)*HLOOKUP($K1522,'Type Chart'!$C$2:$U$20,5,false)</f>
        <v>2</v>
      </c>
      <c r="Y1522" s="960">
        <f t="array" ref="Y1522">HLOOKUP($J1522,'Type Chart'!$C$2:$T$20,6,false)*HLOOKUP($K1522,'Type Chart'!$C$2:$U$20,6,false)</f>
        <v>0</v>
      </c>
      <c r="Z1522" s="960">
        <f t="array" ref="Z1522">HLOOKUP($J1522,'Type Chart'!$C$2:$T$20,7,false)*HLOOKUP($K1522,'Type Chart'!$C$2:$U$20,7,false)</f>
        <v>2</v>
      </c>
      <c r="AA1522" s="960">
        <f t="array" ref="AA1522">HLOOKUP($J1522,'Type Chart'!$C$2:$T$20,8,false)*HLOOKUP($K1522,'Type Chart'!$C$2:$U$20,8,false)</f>
        <v>1</v>
      </c>
      <c r="AB1522" s="960">
        <f t="array" ref="AB1522">HLOOKUP($J1522,'Type Chart'!$C$2:$T$20,9,false)*HLOOKUP($K1522,'Type Chart'!$C$2:$U$20,9,false)</f>
        <v>1</v>
      </c>
      <c r="AC1522" s="960">
        <f t="array" ref="AC1522">HLOOKUP($J1522,'Type Chart'!$C$2:$T$20,10,false)*HLOOKUP($K1522,'Type Chart'!$C$2:$U$20,10,false)</f>
        <v>1</v>
      </c>
      <c r="AD1522" s="960">
        <f t="array" ref="AD1522">HLOOKUP($J1522,'Type Chart'!$C$2:$T$20,11,false)*HLOOKUP($K1522,'Type Chart'!$C$2:$U$20,11,false)</f>
        <v>2</v>
      </c>
      <c r="AE1522" s="960">
        <f t="array" ref="AE1522">HLOOKUP($J1522,'Type Chart'!$C$2:$T$20,12,false)*HLOOKUP($K1522,'Type Chart'!$C$2:$U$20,12,false)</f>
        <v>0.5</v>
      </c>
      <c r="AF1522" s="960">
        <f t="array" ref="AF1522">HLOOKUP($J1522,'Type Chart'!$C$2:$T$20,13,false)*HLOOKUP($K1522,'Type Chart'!$C$2:$U$20,13,false)</f>
        <v>0.25</v>
      </c>
      <c r="AG1522" s="960">
        <f t="array" ref="AG1522">HLOOKUP($J1522,'Type Chart'!$C$2:$T$20,14,false)*HLOOKUP($K1522,'Type Chart'!$C$2:$U$20,14,false)</f>
        <v>1</v>
      </c>
      <c r="AH1522" s="960">
        <f t="array" ref="AH1522">HLOOKUP($J1522,'Type Chart'!$C$2:$T$20,15,false)*HLOOKUP($K1522,'Type Chart'!$C$2:$U$20,15,false)</f>
        <v>1</v>
      </c>
      <c r="AI1522" s="960">
        <f t="array" ref="AI1522">HLOOKUP($J1522,'Type Chart'!$C$2:$T$20,16,false)*HLOOKUP($K1522,'Type Chart'!$C$2:$U$20,16,false)</f>
        <v>4</v>
      </c>
      <c r="AJ1522" s="960">
        <f t="array" ref="AJ1522">HLOOKUP($J1522,'Type Chart'!$C$2:$T$20,17,false)*HLOOKUP($K1522,'Type Chart'!$C$2:$U$20,17,false)</f>
        <v>1</v>
      </c>
      <c r="AK1522" s="960">
        <f t="array" ref="AK1522">HLOOKUP($J1522,'Type Chart'!$C$2:$T$20,18,false)*HLOOKUP($K1522,'Type Chart'!$C$2:$U$20,18,false)</f>
        <v>1</v>
      </c>
      <c r="AL1522" s="960">
        <f t="array" ref="AL1522">HLOOKUP($J1522,'Type Chart'!$C$2:$T$20,19,false)*HLOOKUP($K1522,'Type Chart'!$C$2:$U$20,19,false)</f>
        <v>1</v>
      </c>
      <c r="AM1522" s="964" t="s">
        <v>524</v>
      </c>
      <c r="AN1522" s="965" t="s">
        <v>1526</v>
      </c>
      <c r="AO1522" s="966" t="s">
        <v>1193</v>
      </c>
      <c r="AP1522" s="936"/>
      <c r="AQ1522" s="1245"/>
      <c r="AR1522" s="1245"/>
      <c r="AS1522" s="936"/>
    </row>
    <row r="1523" ht="15.75" customHeight="1">
      <c r="A1523" s="1099"/>
      <c r="B1523" s="948" t="s">
        <v>1787</v>
      </c>
      <c r="C1523" s="1197" t="s">
        <v>1788</v>
      </c>
      <c r="D1523" s="1197" t="s">
        <v>1788</v>
      </c>
      <c r="E1523" s="1147" t="s">
        <v>1788</v>
      </c>
      <c r="F1523" s="940"/>
      <c r="G1523" s="953"/>
      <c r="H1523" s="969"/>
      <c r="I1523" s="998" t="s">
        <v>4624</v>
      </c>
      <c r="J1523" s="1216" t="s">
        <v>136</v>
      </c>
      <c r="K1523" s="1199" t="s">
        <v>216</v>
      </c>
      <c r="L1523" s="1200">
        <v>55.0</v>
      </c>
      <c r="M1523" s="1201">
        <v>70.0</v>
      </c>
      <c r="N1523" s="1201">
        <v>55.0</v>
      </c>
      <c r="O1523" s="1201">
        <v>40.0</v>
      </c>
      <c r="P1523" s="1201">
        <v>55.0</v>
      </c>
      <c r="Q1523" s="1201">
        <v>85.0</v>
      </c>
      <c r="R1523" s="960">
        <v>206.0</v>
      </c>
      <c r="S1523" s="960">
        <v>269.0</v>
      </c>
      <c r="T1523" s="960">
        <v>295.0</v>
      </c>
      <c r="U1523" s="960">
        <f t="array" ref="U1523">HLOOKUP($J1523,'Type Chart'!$C$2:$T$20,2,false)*HLOOKUP($K1523,'Type Chart'!$C$2:$U$20,2,false)</f>
        <v>1</v>
      </c>
      <c r="V1523" s="960">
        <f t="array" ref="V1523">HLOOKUP($J1523,'Type Chart'!$C$2:$T$20,3,false)*HLOOKUP($K1523,'Type Chart'!$C$2:$U$20,3,false)</f>
        <v>2</v>
      </c>
      <c r="W1523" s="960">
        <f t="array" ref="W1523">HLOOKUP($J1523,'Type Chart'!$C$2:$T$20,4,false)*HLOOKUP($K1523,'Type Chart'!$C$2:$U$20,4,false)</f>
        <v>1</v>
      </c>
      <c r="X1523" s="960">
        <f t="array" ref="X1523">HLOOKUP($J1523,'Type Chart'!$C$2:$T$20,5,false)*HLOOKUP($K1523,'Type Chart'!$C$2:$U$20,5,false)</f>
        <v>1</v>
      </c>
      <c r="Y1523" s="960">
        <f t="array" ref="Y1523">HLOOKUP($J1523,'Type Chart'!$C$2:$T$20,6,false)*HLOOKUP($K1523,'Type Chart'!$C$2:$U$20,6,false)</f>
        <v>1</v>
      </c>
      <c r="Z1523" s="960">
        <f t="array" ref="Z1523">HLOOKUP($J1523,'Type Chart'!$C$2:$T$20,7,false)*HLOOKUP($K1523,'Type Chart'!$C$2:$U$20,7,false)</f>
        <v>1</v>
      </c>
      <c r="AA1523" s="960">
        <f t="array" ref="AA1523">HLOOKUP($J1523,'Type Chart'!$C$2:$T$20,8,false)*HLOOKUP($K1523,'Type Chart'!$C$2:$U$20,8,false)</f>
        <v>1</v>
      </c>
      <c r="AB1523" s="960">
        <f t="array" ref="AB1523">HLOOKUP($J1523,'Type Chart'!$C$2:$T$20,9,false)*HLOOKUP($K1523,'Type Chart'!$C$2:$U$20,9,false)</f>
        <v>0</v>
      </c>
      <c r="AC1523" s="960">
        <f t="array" ref="AC1523">HLOOKUP($J1523,'Type Chart'!$C$2:$T$20,10,false)*HLOOKUP($K1523,'Type Chart'!$C$2:$U$20,10,false)</f>
        <v>1</v>
      </c>
      <c r="AD1523" s="960">
        <f t="array" ref="AD1523">HLOOKUP($J1523,'Type Chart'!$C$2:$T$20,11,false)*HLOOKUP($K1523,'Type Chart'!$C$2:$U$20,11,false)</f>
        <v>1</v>
      </c>
      <c r="AE1523" s="960">
        <f t="array" ref="AE1523">HLOOKUP($J1523,'Type Chart'!$C$2:$T$20,12,false)*HLOOKUP($K1523,'Type Chart'!$C$2:$U$20,12,false)</f>
        <v>1</v>
      </c>
      <c r="AF1523" s="960">
        <f t="array" ref="AF1523">HLOOKUP($J1523,'Type Chart'!$C$2:$T$20,13,false)*HLOOKUP($K1523,'Type Chart'!$C$2:$U$20,13,false)</f>
        <v>1</v>
      </c>
      <c r="AG1523" s="960">
        <f t="array" ref="AG1523">HLOOKUP($J1523,'Type Chart'!$C$2:$T$20,14,false)*HLOOKUP($K1523,'Type Chart'!$C$2:$U$20,14,false)</f>
        <v>1</v>
      </c>
      <c r="AH1523" s="960">
        <f t="array" ref="AH1523">HLOOKUP($J1523,'Type Chart'!$C$2:$T$20,15,false)*HLOOKUP($K1523,'Type Chart'!$C$2:$U$20,15,false)</f>
        <v>1</v>
      </c>
      <c r="AI1523" s="960">
        <f t="array" ref="AI1523">HLOOKUP($J1523,'Type Chart'!$C$2:$T$20,16,false)*HLOOKUP($K1523,'Type Chart'!$C$2:$U$20,16,false)</f>
        <v>1</v>
      </c>
      <c r="AJ1523" s="960">
        <f t="array" ref="AJ1523">HLOOKUP($J1523,'Type Chart'!$C$2:$T$20,17,false)*HLOOKUP($K1523,'Type Chart'!$C$2:$U$20,17,false)</f>
        <v>1</v>
      </c>
      <c r="AK1523" s="960">
        <f t="array" ref="AK1523">HLOOKUP($J1523,'Type Chart'!$C$2:$T$20,18,false)*HLOOKUP($K1523,'Type Chart'!$C$2:$U$20,18,false)</f>
        <v>1</v>
      </c>
      <c r="AL1523" s="960">
        <f t="array" ref="AL1523">HLOOKUP($J1523,'Type Chart'!$C$2:$T$20,19,false)*HLOOKUP($K1523,'Type Chart'!$C$2:$U$20,19,false)</f>
        <v>1</v>
      </c>
      <c r="AM1523" s="1145" t="s">
        <v>988</v>
      </c>
      <c r="AN1523" s="965" t="s">
        <v>1238</v>
      </c>
      <c r="AO1523" s="1146" t="s">
        <v>1430</v>
      </c>
      <c r="AP1523" s="936"/>
      <c r="AQ1523" s="1245"/>
      <c r="AR1523" s="1245"/>
      <c r="AS1523" s="936"/>
    </row>
    <row r="1524" ht="15.75" customHeight="1">
      <c r="A1524" s="1099"/>
      <c r="B1524" s="948" t="s">
        <v>1790</v>
      </c>
      <c r="C1524" s="1197" t="s">
        <v>1791</v>
      </c>
      <c r="D1524" s="1197" t="s">
        <v>1791</v>
      </c>
      <c r="E1524" s="1147" t="s">
        <v>1791</v>
      </c>
      <c r="F1524" s="940"/>
      <c r="G1524" s="953"/>
      <c r="H1524" s="969"/>
      <c r="I1524" s="998" t="s">
        <v>4625</v>
      </c>
      <c r="J1524" s="1228" t="s">
        <v>209</v>
      </c>
      <c r="K1524" s="1199" t="s">
        <v>216</v>
      </c>
      <c r="L1524" s="1200">
        <v>30.0</v>
      </c>
      <c r="M1524" s="1201">
        <v>30.0</v>
      </c>
      <c r="N1524" s="1201">
        <v>30.0</v>
      </c>
      <c r="O1524" s="1201">
        <v>30.0</v>
      </c>
      <c r="P1524" s="1201">
        <v>30.0</v>
      </c>
      <c r="Q1524" s="1201">
        <v>30.0</v>
      </c>
      <c r="R1524" s="960">
        <v>96.0</v>
      </c>
      <c r="S1524" s="960">
        <v>159.0</v>
      </c>
      <c r="T1524" s="960">
        <v>174.0</v>
      </c>
      <c r="U1524" s="960">
        <f t="array" ref="U1524">HLOOKUP($J1524,'Type Chart'!$C$2:$T$20,2,false)*HLOOKUP($K1524,'Type Chart'!$C$2:$U$20,2,false)</f>
        <v>1</v>
      </c>
      <c r="V1524" s="960">
        <f t="array" ref="V1524">HLOOKUP($J1524,'Type Chart'!$C$2:$T$20,3,false)*HLOOKUP($K1524,'Type Chart'!$C$2:$U$20,3,false)</f>
        <v>1</v>
      </c>
      <c r="W1524" s="960">
        <f t="array" ref="W1524">HLOOKUP($J1524,'Type Chart'!$C$2:$T$20,4,false)*HLOOKUP($K1524,'Type Chart'!$C$2:$U$20,4,false)</f>
        <v>2</v>
      </c>
      <c r="X1524" s="960">
        <f t="array" ref="X1524">HLOOKUP($J1524,'Type Chart'!$C$2:$T$20,5,false)*HLOOKUP($K1524,'Type Chart'!$C$2:$U$20,5,false)</f>
        <v>2</v>
      </c>
      <c r="Y1524" s="960">
        <f t="array" ref="Y1524">HLOOKUP($J1524,'Type Chart'!$C$2:$T$20,6,false)*HLOOKUP($K1524,'Type Chart'!$C$2:$U$20,6,false)</f>
        <v>0.5</v>
      </c>
      <c r="Z1524" s="960">
        <f t="array" ref="Z1524">HLOOKUP($J1524,'Type Chart'!$C$2:$T$20,7,false)*HLOOKUP($K1524,'Type Chart'!$C$2:$U$20,7,false)</f>
        <v>1</v>
      </c>
      <c r="AA1524" s="960">
        <f t="array" ref="AA1524">HLOOKUP($J1524,'Type Chart'!$C$2:$T$20,8,false)*HLOOKUP($K1524,'Type Chart'!$C$2:$U$20,8,false)</f>
        <v>2</v>
      </c>
      <c r="AB1524" s="960">
        <f t="array" ref="AB1524">HLOOKUP($J1524,'Type Chart'!$C$2:$T$20,9,false)*HLOOKUP($K1524,'Type Chart'!$C$2:$U$20,9,false)</f>
        <v>1</v>
      </c>
      <c r="AC1524" s="960">
        <f t="array" ref="AC1524">HLOOKUP($J1524,'Type Chart'!$C$2:$T$20,10,false)*HLOOKUP($K1524,'Type Chart'!$C$2:$U$20,10,false)</f>
        <v>1</v>
      </c>
      <c r="AD1524" s="960">
        <f t="array" ref="AD1524">HLOOKUP($J1524,'Type Chart'!$C$2:$T$20,11,false)*HLOOKUP($K1524,'Type Chart'!$C$2:$U$20,11,false)</f>
        <v>2</v>
      </c>
      <c r="AE1524" s="960">
        <f t="array" ref="AE1524">HLOOKUP($J1524,'Type Chart'!$C$2:$T$20,12,false)*HLOOKUP($K1524,'Type Chart'!$C$2:$U$20,12,false)</f>
        <v>0.5</v>
      </c>
      <c r="AF1524" s="960">
        <f t="array" ref="AF1524">HLOOKUP($J1524,'Type Chart'!$C$2:$T$20,13,false)*HLOOKUP($K1524,'Type Chart'!$C$2:$U$20,13,false)</f>
        <v>0.5</v>
      </c>
      <c r="AG1524" s="960">
        <f t="array" ref="AG1524">HLOOKUP($J1524,'Type Chart'!$C$2:$T$20,14,false)*HLOOKUP($K1524,'Type Chart'!$C$2:$U$20,14,false)</f>
        <v>0.5</v>
      </c>
      <c r="AH1524" s="960">
        <f t="array" ref="AH1524">HLOOKUP($J1524,'Type Chart'!$C$2:$T$20,15,false)*HLOOKUP($K1524,'Type Chart'!$C$2:$U$20,15,false)</f>
        <v>1</v>
      </c>
      <c r="AI1524" s="960">
        <f t="array" ref="AI1524">HLOOKUP($J1524,'Type Chart'!$C$2:$T$20,16,false)*HLOOKUP($K1524,'Type Chart'!$C$2:$U$20,16,false)</f>
        <v>2</v>
      </c>
      <c r="AJ1524" s="960">
        <f t="array" ref="AJ1524">HLOOKUP($J1524,'Type Chart'!$C$2:$T$20,17,false)*HLOOKUP($K1524,'Type Chart'!$C$2:$U$20,17,false)</f>
        <v>1</v>
      </c>
      <c r="AK1524" s="960">
        <f t="array" ref="AK1524">HLOOKUP($J1524,'Type Chart'!$C$2:$T$20,18,false)*HLOOKUP($K1524,'Type Chart'!$C$2:$U$20,18,false)</f>
        <v>1</v>
      </c>
      <c r="AL1524" s="960">
        <f t="array" ref="AL1524">HLOOKUP($J1524,'Type Chart'!$C$2:$T$20,19,false)*HLOOKUP($K1524,'Type Chart'!$C$2:$U$20,19,false)</f>
        <v>1</v>
      </c>
      <c r="AM1524" s="1145" t="s">
        <v>524</v>
      </c>
      <c r="AN1524" s="1202" t="s">
        <v>831</v>
      </c>
      <c r="AO1524" s="1146" t="s">
        <v>1403</v>
      </c>
      <c r="AP1524" s="936"/>
      <c r="AQ1524" s="1245"/>
      <c r="AR1524" s="1245"/>
      <c r="AS1524" s="936"/>
    </row>
    <row r="1525" ht="15.75" customHeight="1">
      <c r="A1525" s="1099"/>
      <c r="B1525" s="948" t="s">
        <v>1793</v>
      </c>
      <c r="C1525" s="1197" t="s">
        <v>1794</v>
      </c>
      <c r="D1525" s="1197" t="s">
        <v>1794</v>
      </c>
      <c r="E1525" s="1147" t="s">
        <v>1794</v>
      </c>
      <c r="F1525" s="940"/>
      <c r="G1525" s="953"/>
      <c r="H1525" s="969"/>
      <c r="I1525" s="998" t="s">
        <v>4626</v>
      </c>
      <c r="J1525" s="957" t="s">
        <v>209</v>
      </c>
      <c r="K1525" s="984" t="s">
        <v>216</v>
      </c>
      <c r="L1525" s="959">
        <v>75.0</v>
      </c>
      <c r="M1525" s="960">
        <v>75.0</v>
      </c>
      <c r="N1525" s="960">
        <v>55.0</v>
      </c>
      <c r="O1525" s="960">
        <v>105.0</v>
      </c>
      <c r="P1525" s="960">
        <v>85.0</v>
      </c>
      <c r="Q1525" s="960">
        <v>30.0</v>
      </c>
      <c r="R1525" s="960">
        <v>96.0</v>
      </c>
      <c r="S1525" s="960">
        <v>159.0</v>
      </c>
      <c r="T1525" s="960">
        <v>174.0</v>
      </c>
      <c r="U1525" s="960">
        <f t="array" ref="U1525">HLOOKUP($J1525,'Type Chart'!$C$2:$T$20,2,false)*HLOOKUP($K1525,'Type Chart'!$C$2:$U$20,2,false)</f>
        <v>1</v>
      </c>
      <c r="V1525" s="960">
        <f t="array" ref="V1525">HLOOKUP($J1525,'Type Chart'!$C$2:$T$20,3,false)*HLOOKUP($K1525,'Type Chart'!$C$2:$U$20,3,false)</f>
        <v>1</v>
      </c>
      <c r="W1525" s="960">
        <f t="array" ref="W1525">HLOOKUP($J1525,'Type Chart'!$C$2:$T$20,4,false)*HLOOKUP($K1525,'Type Chart'!$C$2:$U$20,4,false)</f>
        <v>2</v>
      </c>
      <c r="X1525" s="960">
        <f t="array" ref="X1525">HLOOKUP($J1525,'Type Chart'!$C$2:$T$20,5,false)*HLOOKUP($K1525,'Type Chart'!$C$2:$U$20,5,false)</f>
        <v>2</v>
      </c>
      <c r="Y1525" s="960">
        <f t="array" ref="Y1525">HLOOKUP($J1525,'Type Chart'!$C$2:$T$20,6,false)*HLOOKUP($K1525,'Type Chart'!$C$2:$U$20,6,false)</f>
        <v>0.5</v>
      </c>
      <c r="Z1525" s="960">
        <f t="array" ref="Z1525">HLOOKUP($J1525,'Type Chart'!$C$2:$T$20,7,false)*HLOOKUP($K1525,'Type Chart'!$C$2:$U$20,7,false)</f>
        <v>1</v>
      </c>
      <c r="AA1525" s="960">
        <f t="array" ref="AA1525">HLOOKUP($J1525,'Type Chart'!$C$2:$T$20,8,false)*HLOOKUP($K1525,'Type Chart'!$C$2:$U$20,8,false)</f>
        <v>2</v>
      </c>
      <c r="AB1525" s="960">
        <f t="array" ref="AB1525">HLOOKUP($J1525,'Type Chart'!$C$2:$T$20,9,false)*HLOOKUP($K1525,'Type Chart'!$C$2:$U$20,9,false)</f>
        <v>1</v>
      </c>
      <c r="AC1525" s="960">
        <f t="array" ref="AC1525">HLOOKUP($J1525,'Type Chart'!$C$2:$T$20,10,false)*HLOOKUP($K1525,'Type Chart'!$C$2:$U$20,10,false)</f>
        <v>1</v>
      </c>
      <c r="AD1525" s="960">
        <f t="array" ref="AD1525">HLOOKUP($J1525,'Type Chart'!$C$2:$T$20,11,false)*HLOOKUP($K1525,'Type Chart'!$C$2:$U$20,11,false)</f>
        <v>2</v>
      </c>
      <c r="AE1525" s="960">
        <f t="array" ref="AE1525">HLOOKUP($J1525,'Type Chart'!$C$2:$T$20,12,false)*HLOOKUP($K1525,'Type Chart'!$C$2:$U$20,12,false)</f>
        <v>0.5</v>
      </c>
      <c r="AF1525" s="960">
        <f t="array" ref="AF1525">HLOOKUP($J1525,'Type Chart'!$C$2:$T$20,13,false)*HLOOKUP($K1525,'Type Chart'!$C$2:$U$20,13,false)</f>
        <v>0.5</v>
      </c>
      <c r="AG1525" s="960">
        <f t="array" ref="AG1525">HLOOKUP($J1525,'Type Chart'!$C$2:$T$20,14,false)*HLOOKUP($K1525,'Type Chart'!$C$2:$U$20,14,false)</f>
        <v>0.5</v>
      </c>
      <c r="AH1525" s="960">
        <f t="array" ref="AH1525">HLOOKUP($J1525,'Type Chart'!$C$2:$T$20,15,false)*HLOOKUP($K1525,'Type Chart'!$C$2:$U$20,15,false)</f>
        <v>1</v>
      </c>
      <c r="AI1525" s="960">
        <f t="array" ref="AI1525">HLOOKUP($J1525,'Type Chart'!$C$2:$T$20,16,false)*HLOOKUP($K1525,'Type Chart'!$C$2:$U$20,16,false)</f>
        <v>2</v>
      </c>
      <c r="AJ1525" s="960">
        <f t="array" ref="AJ1525">HLOOKUP($J1525,'Type Chart'!$C$2:$T$20,17,false)*HLOOKUP($K1525,'Type Chart'!$C$2:$U$20,17,false)</f>
        <v>1</v>
      </c>
      <c r="AK1525" s="960">
        <f t="array" ref="AK1525">HLOOKUP($J1525,'Type Chart'!$C$2:$T$20,18,false)*HLOOKUP($K1525,'Type Chart'!$C$2:$U$20,18,false)</f>
        <v>1</v>
      </c>
      <c r="AL1525" s="960">
        <f t="array" ref="AL1525">HLOOKUP($J1525,'Type Chart'!$C$2:$T$20,19,false)*HLOOKUP($K1525,'Type Chart'!$C$2:$U$20,19,false)</f>
        <v>1</v>
      </c>
      <c r="AM1525" s="964" t="s">
        <v>524</v>
      </c>
      <c r="AN1525" s="965" t="s">
        <v>831</v>
      </c>
      <c r="AO1525" s="966" t="s">
        <v>1403</v>
      </c>
      <c r="AP1525" s="936"/>
      <c r="AQ1525" s="1245"/>
      <c r="AR1525" s="1245"/>
      <c r="AS1525" s="936"/>
    </row>
    <row r="1526" ht="15.75" customHeight="1">
      <c r="A1526" s="1099"/>
      <c r="B1526" s="948" t="s">
        <v>1795</v>
      </c>
      <c r="C1526" s="1197" t="s">
        <v>1796</v>
      </c>
      <c r="D1526" s="1197" t="s">
        <v>1796</v>
      </c>
      <c r="E1526" s="1147" t="s">
        <v>1796</v>
      </c>
      <c r="F1526" s="940"/>
      <c r="G1526" s="953"/>
      <c r="H1526" s="969"/>
      <c r="I1526" s="998" t="s">
        <v>4627</v>
      </c>
      <c r="J1526" s="1180" t="s">
        <v>343</v>
      </c>
      <c r="K1526" s="1001" t="s">
        <v>128</v>
      </c>
      <c r="L1526" s="959">
        <v>65.0</v>
      </c>
      <c r="M1526" s="960">
        <v>65.0</v>
      </c>
      <c r="N1526" s="960">
        <v>45.0</v>
      </c>
      <c r="O1526" s="960">
        <v>75.0</v>
      </c>
      <c r="P1526" s="960">
        <v>45.0</v>
      </c>
      <c r="Q1526" s="960">
        <v>95.0</v>
      </c>
      <c r="R1526" s="960">
        <v>226.0</v>
      </c>
      <c r="S1526" s="960">
        <v>289.0</v>
      </c>
      <c r="T1526" s="960">
        <v>317.0</v>
      </c>
      <c r="U1526" s="960">
        <f t="array" ref="U1526">HLOOKUP($J1526,'Type Chart'!$C$2:$T$20,2,false)*HLOOKUP($K1526,'Type Chart'!$C$2:$U$20,2,false)</f>
        <v>1</v>
      </c>
      <c r="V1526" s="960">
        <f t="array" ref="V1526">HLOOKUP($J1526,'Type Chart'!$C$2:$T$20,3,false)*HLOOKUP($K1526,'Type Chart'!$C$2:$U$20,3,false)</f>
        <v>0.25</v>
      </c>
      <c r="W1526" s="960">
        <f t="array" ref="W1526">HLOOKUP($J1526,'Type Chart'!$C$2:$T$20,4,false)*HLOOKUP($K1526,'Type Chart'!$C$2:$U$20,4,false)</f>
        <v>2</v>
      </c>
      <c r="X1526" s="960">
        <f t="array" ref="X1526">HLOOKUP($J1526,'Type Chart'!$C$2:$T$20,5,false)*HLOOKUP($K1526,'Type Chart'!$C$2:$U$20,5,false)</f>
        <v>1</v>
      </c>
      <c r="Y1526" s="960">
        <f t="array" ref="Y1526">HLOOKUP($J1526,'Type Chart'!$C$2:$T$20,6,false)*HLOOKUP($K1526,'Type Chart'!$C$2:$U$20,6,false)</f>
        <v>0</v>
      </c>
      <c r="Z1526" s="960">
        <f t="array" ref="Z1526">HLOOKUP($J1526,'Type Chart'!$C$2:$T$20,7,false)*HLOOKUP($K1526,'Type Chart'!$C$2:$U$20,7,false)</f>
        <v>4</v>
      </c>
      <c r="AA1526" s="960">
        <f t="array" ref="AA1526">HLOOKUP($J1526,'Type Chart'!$C$2:$T$20,8,false)*HLOOKUP($K1526,'Type Chart'!$C$2:$U$20,8,false)</f>
        <v>0.5</v>
      </c>
      <c r="AB1526" s="960">
        <f t="array" ref="AB1526">HLOOKUP($J1526,'Type Chart'!$C$2:$T$20,9,false)*HLOOKUP($K1526,'Type Chart'!$C$2:$U$20,9,false)</f>
        <v>1</v>
      </c>
      <c r="AC1526" s="960">
        <f t="array" ref="AC1526">HLOOKUP($J1526,'Type Chart'!$C$2:$T$20,10,false)*HLOOKUP($K1526,'Type Chart'!$C$2:$U$20,10,false)</f>
        <v>1</v>
      </c>
      <c r="AD1526" s="960">
        <f t="array" ref="AD1526">HLOOKUP($J1526,'Type Chart'!$C$2:$T$20,11,false)*HLOOKUP($K1526,'Type Chart'!$C$2:$U$20,11,false)</f>
        <v>2</v>
      </c>
      <c r="AE1526" s="960">
        <f t="array" ref="AE1526">HLOOKUP($J1526,'Type Chart'!$C$2:$T$20,12,false)*HLOOKUP($K1526,'Type Chart'!$C$2:$U$20,12,false)</f>
        <v>1</v>
      </c>
      <c r="AF1526" s="960">
        <f t="array" ref="AF1526">HLOOKUP($J1526,'Type Chart'!$C$2:$T$20,13,false)*HLOOKUP($K1526,'Type Chart'!$C$2:$U$20,13,false)</f>
        <v>0.25</v>
      </c>
      <c r="AG1526" s="960">
        <f t="array" ref="AG1526">HLOOKUP($J1526,'Type Chart'!$C$2:$T$20,14,false)*HLOOKUP($K1526,'Type Chart'!$C$2:$U$20,14,false)</f>
        <v>2</v>
      </c>
      <c r="AH1526" s="960">
        <f t="array" ref="AH1526">HLOOKUP($J1526,'Type Chart'!$C$2:$T$20,15,false)*HLOOKUP($K1526,'Type Chart'!$C$2:$U$20,15,false)</f>
        <v>1</v>
      </c>
      <c r="AI1526" s="960">
        <f t="array" ref="AI1526">HLOOKUP($J1526,'Type Chart'!$C$2:$T$20,16,false)*HLOOKUP($K1526,'Type Chart'!$C$2:$U$20,16,false)</f>
        <v>2</v>
      </c>
      <c r="AJ1526" s="960">
        <f t="array" ref="AJ1526">HLOOKUP($J1526,'Type Chart'!$C$2:$T$20,17,false)*HLOOKUP($K1526,'Type Chart'!$C$2:$U$20,17,false)</f>
        <v>1</v>
      </c>
      <c r="AK1526" s="960">
        <f t="array" ref="AK1526">HLOOKUP($J1526,'Type Chart'!$C$2:$T$20,18,false)*HLOOKUP($K1526,'Type Chart'!$C$2:$U$20,18,false)</f>
        <v>1</v>
      </c>
      <c r="AL1526" s="960">
        <f t="array" ref="AL1526">HLOOKUP($J1526,'Type Chart'!$C$2:$T$20,19,false)*HLOOKUP($K1526,'Type Chart'!$C$2:$U$20,19,false)</f>
        <v>1</v>
      </c>
      <c r="AM1526" s="1145" t="s">
        <v>1798</v>
      </c>
      <c r="AN1526" s="1202" t="s">
        <v>1002</v>
      </c>
      <c r="AO1526" s="1146" t="s">
        <v>1188</v>
      </c>
      <c r="AP1526" s="936"/>
      <c r="AQ1526" s="1245"/>
      <c r="AR1526" s="1245"/>
      <c r="AS1526" s="936"/>
    </row>
    <row r="1527" ht="15.75" customHeight="1">
      <c r="A1527" s="1099"/>
      <c r="B1527" s="948" t="s">
        <v>1799</v>
      </c>
      <c r="C1527" s="1197" t="s">
        <v>1800</v>
      </c>
      <c r="D1527" s="1197" t="s">
        <v>1800</v>
      </c>
      <c r="E1527" s="1147" t="s">
        <v>1800</v>
      </c>
      <c r="F1527" s="940"/>
      <c r="G1527" s="953"/>
      <c r="H1527" s="969"/>
      <c r="I1527" s="998" t="s">
        <v>4628</v>
      </c>
      <c r="J1527" s="1056" t="s">
        <v>81</v>
      </c>
      <c r="K1527" s="1204" t="s">
        <v>80</v>
      </c>
      <c r="L1527" s="959">
        <v>55.0</v>
      </c>
      <c r="M1527" s="960">
        <v>45.0</v>
      </c>
      <c r="N1527" s="960">
        <v>45.0</v>
      </c>
      <c r="O1527" s="960">
        <v>25.0</v>
      </c>
      <c r="P1527" s="960">
        <v>25.0</v>
      </c>
      <c r="Q1527" s="960">
        <v>15.0</v>
      </c>
      <c r="R1527" s="960">
        <v>66.0</v>
      </c>
      <c r="S1527" s="960">
        <v>129.0</v>
      </c>
      <c r="T1527" s="960">
        <v>141.0</v>
      </c>
      <c r="U1527" s="960">
        <f t="array" ref="U1527">HLOOKUP($J1527,'Type Chart'!$C$2:$T$20,2,false)*HLOOKUP($K1527,'Type Chart'!$C$2:$U$20,2,false)</f>
        <v>1</v>
      </c>
      <c r="V1527" s="960">
        <f t="array" ref="V1527">HLOOKUP($J1527,'Type Chart'!$C$2:$T$20,3,false)*HLOOKUP($K1527,'Type Chart'!$C$2:$U$20,3,false)</f>
        <v>1</v>
      </c>
      <c r="W1527" s="960">
        <f t="array" ref="W1527">HLOOKUP($J1527,'Type Chart'!$C$2:$T$20,4,false)*HLOOKUP($K1527,'Type Chart'!$C$2:$U$20,4,false)</f>
        <v>1</v>
      </c>
      <c r="X1527" s="960">
        <f t="array" ref="X1527">HLOOKUP($J1527,'Type Chart'!$C$2:$T$20,5,false)*HLOOKUP($K1527,'Type Chart'!$C$2:$U$20,5,false)</f>
        <v>0.5</v>
      </c>
      <c r="Y1527" s="960">
        <f t="array" ref="Y1527">HLOOKUP($J1527,'Type Chart'!$C$2:$T$20,6,false)*HLOOKUP($K1527,'Type Chart'!$C$2:$U$20,6,false)</f>
        <v>1</v>
      </c>
      <c r="Z1527" s="960">
        <f t="array" ref="Z1527">HLOOKUP($J1527,'Type Chart'!$C$2:$T$20,7,false)*HLOOKUP($K1527,'Type Chart'!$C$2:$U$20,7,false)</f>
        <v>0.5</v>
      </c>
      <c r="AA1527" s="960">
        <f t="array" ref="AA1527">HLOOKUP($J1527,'Type Chart'!$C$2:$T$20,8,false)*HLOOKUP($K1527,'Type Chart'!$C$2:$U$20,8,false)</f>
        <v>1</v>
      </c>
      <c r="AB1527" s="960">
        <f t="array" ref="AB1527">HLOOKUP($J1527,'Type Chart'!$C$2:$T$20,9,false)*HLOOKUP($K1527,'Type Chart'!$C$2:$U$20,9,false)</f>
        <v>1</v>
      </c>
      <c r="AC1527" s="960">
        <f t="array" ref="AC1527">HLOOKUP($J1527,'Type Chart'!$C$2:$T$20,10,false)*HLOOKUP($K1527,'Type Chart'!$C$2:$U$20,10,false)</f>
        <v>0.5</v>
      </c>
      <c r="AD1527" s="960">
        <f t="array" ref="AD1527">HLOOKUP($J1527,'Type Chart'!$C$2:$T$20,11,false)*HLOOKUP($K1527,'Type Chart'!$C$2:$U$20,11,false)</f>
        <v>0.5</v>
      </c>
      <c r="AE1527" s="960">
        <f t="array" ref="AE1527">HLOOKUP($J1527,'Type Chart'!$C$2:$T$20,12,false)*HLOOKUP($K1527,'Type Chart'!$C$2:$U$20,12,false)</f>
        <v>1</v>
      </c>
      <c r="AF1527" s="960">
        <f t="array" ref="AF1527">HLOOKUP($J1527,'Type Chart'!$C$2:$T$20,13,false)*HLOOKUP($K1527,'Type Chart'!$C$2:$U$20,13,false)</f>
        <v>4</v>
      </c>
      <c r="AG1527" s="960">
        <f t="array" ref="AG1527">HLOOKUP($J1527,'Type Chart'!$C$2:$T$20,14,false)*HLOOKUP($K1527,'Type Chart'!$C$2:$U$20,14,false)</f>
        <v>0</v>
      </c>
      <c r="AH1527" s="960">
        <f t="array" ref="AH1527">HLOOKUP($J1527,'Type Chart'!$C$2:$T$20,15,false)*HLOOKUP($K1527,'Type Chart'!$C$2:$U$20,15,false)</f>
        <v>1</v>
      </c>
      <c r="AI1527" s="960">
        <f t="array" ref="AI1527">HLOOKUP($J1527,'Type Chart'!$C$2:$T$20,16,false)*HLOOKUP($K1527,'Type Chart'!$C$2:$U$20,16,false)</f>
        <v>1</v>
      </c>
      <c r="AJ1527" s="960">
        <f t="array" ref="AJ1527">HLOOKUP($J1527,'Type Chart'!$C$2:$T$20,17,false)*HLOOKUP($K1527,'Type Chart'!$C$2:$U$20,17,false)</f>
        <v>1</v>
      </c>
      <c r="AK1527" s="960">
        <f t="array" ref="AK1527">HLOOKUP($J1527,'Type Chart'!$C$2:$T$20,18,false)*HLOOKUP($K1527,'Type Chart'!$C$2:$U$20,18,false)</f>
        <v>1</v>
      </c>
      <c r="AL1527" s="960">
        <f t="array" ref="AL1527">HLOOKUP($J1527,'Type Chart'!$C$2:$T$20,19,false)*HLOOKUP($K1527,'Type Chart'!$C$2:$U$20,19,false)</f>
        <v>1</v>
      </c>
      <c r="AM1527" s="964" t="s">
        <v>1211</v>
      </c>
      <c r="AN1527" s="965" t="s">
        <v>1283</v>
      </c>
      <c r="AO1527" s="966" t="s">
        <v>1169</v>
      </c>
      <c r="AP1527" s="936"/>
      <c r="AQ1527" s="1245"/>
      <c r="AR1527" s="1245"/>
      <c r="AS1527" s="936"/>
    </row>
    <row r="1528" ht="15.75" customHeight="1">
      <c r="A1528" s="1099"/>
      <c r="B1528" s="948" t="s">
        <v>1802</v>
      </c>
      <c r="C1528" s="1197" t="s">
        <v>1803</v>
      </c>
      <c r="D1528" s="1197" t="s">
        <v>1803</v>
      </c>
      <c r="E1528" s="1147" t="s">
        <v>1803</v>
      </c>
      <c r="F1528" s="940"/>
      <c r="G1528" s="953"/>
      <c r="H1528" s="969"/>
      <c r="I1528" s="998" t="s">
        <v>4629</v>
      </c>
      <c r="J1528" s="958" t="s">
        <v>178</v>
      </c>
      <c r="K1528" s="1204" t="s">
        <v>80</v>
      </c>
      <c r="L1528" s="959">
        <v>55.0</v>
      </c>
      <c r="M1528" s="960">
        <v>45.0</v>
      </c>
      <c r="N1528" s="960">
        <v>45.0</v>
      </c>
      <c r="O1528" s="960">
        <v>25.0</v>
      </c>
      <c r="P1528" s="960">
        <v>25.0</v>
      </c>
      <c r="Q1528" s="960">
        <v>15.0</v>
      </c>
      <c r="R1528" s="960">
        <v>66.0</v>
      </c>
      <c r="S1528" s="960">
        <v>129.0</v>
      </c>
      <c r="T1528" s="960">
        <v>141.0</v>
      </c>
      <c r="U1528" s="960">
        <f t="array" ref="U1528">HLOOKUP($J1528,'Type Chart'!$C$2:$T$20,2,false)*HLOOKUP($K1528,'Type Chart'!$C$2:$U$20,2,false)</f>
        <v>1</v>
      </c>
      <c r="V1528" s="960">
        <f t="array" ref="V1528">HLOOKUP($J1528,'Type Chart'!$C$2:$T$20,3,false)*HLOOKUP($K1528,'Type Chart'!$C$2:$U$20,3,false)</f>
        <v>0.5</v>
      </c>
      <c r="W1528" s="960">
        <f t="array" ref="W1528">HLOOKUP($J1528,'Type Chart'!$C$2:$T$20,4,false)*HLOOKUP($K1528,'Type Chart'!$C$2:$U$20,4,false)</f>
        <v>1</v>
      </c>
      <c r="X1528" s="960">
        <f t="array" ref="X1528">HLOOKUP($J1528,'Type Chart'!$C$2:$T$20,5,false)*HLOOKUP($K1528,'Type Chart'!$C$2:$U$20,5,false)</f>
        <v>0.25</v>
      </c>
      <c r="Y1528" s="960">
        <f t="array" ref="Y1528">HLOOKUP($J1528,'Type Chart'!$C$2:$T$20,6,false)*HLOOKUP($K1528,'Type Chart'!$C$2:$U$20,6,false)</f>
        <v>2</v>
      </c>
      <c r="Z1528" s="960">
        <f t="array" ref="Z1528">HLOOKUP($J1528,'Type Chart'!$C$2:$T$20,7,false)*HLOOKUP($K1528,'Type Chart'!$C$2:$U$20,7,false)</f>
        <v>0.5</v>
      </c>
      <c r="AA1528" s="960">
        <f t="array" ref="AA1528">HLOOKUP($J1528,'Type Chart'!$C$2:$T$20,8,false)*HLOOKUP($K1528,'Type Chart'!$C$2:$U$20,8,false)</f>
        <v>0.5</v>
      </c>
      <c r="AB1528" s="960">
        <f t="array" ref="AB1528">HLOOKUP($J1528,'Type Chart'!$C$2:$T$20,9,false)*HLOOKUP($K1528,'Type Chart'!$C$2:$U$20,9,false)</f>
        <v>1</v>
      </c>
      <c r="AC1528" s="960">
        <f t="array" ref="AC1528">HLOOKUP($J1528,'Type Chart'!$C$2:$T$20,10,false)*HLOOKUP($K1528,'Type Chart'!$C$2:$U$20,10,false)</f>
        <v>1</v>
      </c>
      <c r="AD1528" s="960">
        <f t="array" ref="AD1528">HLOOKUP($J1528,'Type Chart'!$C$2:$T$20,11,false)*HLOOKUP($K1528,'Type Chart'!$C$2:$U$20,11,false)</f>
        <v>1</v>
      </c>
      <c r="AE1528" s="960">
        <f t="array" ref="AE1528">HLOOKUP($J1528,'Type Chart'!$C$2:$T$20,12,false)*HLOOKUP($K1528,'Type Chart'!$C$2:$U$20,12,false)</f>
        <v>2</v>
      </c>
      <c r="AF1528" s="960">
        <f t="array" ref="AF1528">HLOOKUP($J1528,'Type Chart'!$C$2:$T$20,13,false)*HLOOKUP($K1528,'Type Chart'!$C$2:$U$20,13,false)</f>
        <v>1</v>
      </c>
      <c r="AG1528" s="960">
        <f t="array" ref="AG1528">HLOOKUP($J1528,'Type Chart'!$C$2:$T$20,14,false)*HLOOKUP($K1528,'Type Chart'!$C$2:$U$20,14,false)</f>
        <v>0</v>
      </c>
      <c r="AH1528" s="960">
        <f t="array" ref="AH1528">HLOOKUP($J1528,'Type Chart'!$C$2:$T$20,15,false)*HLOOKUP($K1528,'Type Chart'!$C$2:$U$20,15,false)</f>
        <v>2</v>
      </c>
      <c r="AI1528" s="960">
        <f t="array" ref="AI1528">HLOOKUP($J1528,'Type Chart'!$C$2:$T$20,16,false)*HLOOKUP($K1528,'Type Chart'!$C$2:$U$20,16,false)</f>
        <v>2</v>
      </c>
      <c r="AJ1528" s="960">
        <f t="array" ref="AJ1528">HLOOKUP($J1528,'Type Chart'!$C$2:$T$20,17,false)*HLOOKUP($K1528,'Type Chart'!$C$2:$U$20,17,false)</f>
        <v>1</v>
      </c>
      <c r="AK1528" s="960">
        <f t="array" ref="AK1528">HLOOKUP($J1528,'Type Chart'!$C$2:$T$20,18,false)*HLOOKUP($K1528,'Type Chart'!$C$2:$U$20,18,false)</f>
        <v>1</v>
      </c>
      <c r="AL1528" s="960">
        <f t="array" ref="AL1528">HLOOKUP($J1528,'Type Chart'!$C$2:$T$20,19,false)*HLOOKUP($K1528,'Type Chart'!$C$2:$U$20,19,false)</f>
        <v>0.5</v>
      </c>
      <c r="AM1528" s="1145" t="s">
        <v>1146</v>
      </c>
      <c r="AN1528" s="1202" t="s">
        <v>1283</v>
      </c>
      <c r="AO1528" s="1146" t="s">
        <v>1169</v>
      </c>
      <c r="AP1528" s="936"/>
      <c r="AQ1528" s="1245"/>
      <c r="AR1528" s="1245"/>
      <c r="AS1528" s="936"/>
    </row>
    <row r="1529" ht="15.75" customHeight="1">
      <c r="A1529" s="1099"/>
      <c r="B1529" s="948" t="s">
        <v>1805</v>
      </c>
      <c r="C1529" s="1197" t="s">
        <v>1806</v>
      </c>
      <c r="D1529" s="1197" t="s">
        <v>1806</v>
      </c>
      <c r="E1529" s="1147" t="s">
        <v>1806</v>
      </c>
      <c r="F1529" s="940"/>
      <c r="G1529" s="953"/>
      <c r="H1529" s="969"/>
      <c r="I1529" s="998" t="s">
        <v>4630</v>
      </c>
      <c r="J1529" s="1056" t="s">
        <v>81</v>
      </c>
      <c r="K1529" s="1204" t="s">
        <v>80</v>
      </c>
      <c r="L1529" s="959">
        <v>95.0</v>
      </c>
      <c r="M1529" s="960">
        <v>85.0</v>
      </c>
      <c r="N1529" s="960">
        <v>85.0</v>
      </c>
      <c r="O1529" s="960">
        <v>65.0</v>
      </c>
      <c r="P1529" s="960">
        <v>65.0</v>
      </c>
      <c r="Q1529" s="960">
        <v>35.0</v>
      </c>
      <c r="R1529" s="960">
        <v>106.0</v>
      </c>
      <c r="S1529" s="960">
        <v>169.0</v>
      </c>
      <c r="T1529" s="960">
        <v>185.0</v>
      </c>
      <c r="U1529" s="960">
        <f t="array" ref="U1529">HLOOKUP($J1529,'Type Chart'!$C$2:$T$20,2,false)*HLOOKUP($K1529,'Type Chart'!$C$2:$U$20,2,false)</f>
        <v>1</v>
      </c>
      <c r="V1529" s="960">
        <f t="array" ref="V1529">HLOOKUP($J1529,'Type Chart'!$C$2:$T$20,3,false)*HLOOKUP($K1529,'Type Chart'!$C$2:$U$20,3,false)</f>
        <v>1</v>
      </c>
      <c r="W1529" s="960">
        <f t="array" ref="W1529">HLOOKUP($J1529,'Type Chart'!$C$2:$T$20,4,false)*HLOOKUP($K1529,'Type Chart'!$C$2:$U$20,4,false)</f>
        <v>1</v>
      </c>
      <c r="X1529" s="960">
        <f t="array" ref="X1529">HLOOKUP($J1529,'Type Chart'!$C$2:$T$20,5,false)*HLOOKUP($K1529,'Type Chart'!$C$2:$U$20,5,false)</f>
        <v>0.5</v>
      </c>
      <c r="Y1529" s="960">
        <f t="array" ref="Y1529">HLOOKUP($J1529,'Type Chart'!$C$2:$T$20,6,false)*HLOOKUP($K1529,'Type Chart'!$C$2:$U$20,6,false)</f>
        <v>1</v>
      </c>
      <c r="Z1529" s="960">
        <f t="array" ref="Z1529">HLOOKUP($J1529,'Type Chart'!$C$2:$T$20,7,false)*HLOOKUP($K1529,'Type Chart'!$C$2:$U$20,7,false)</f>
        <v>0.5</v>
      </c>
      <c r="AA1529" s="960">
        <f t="array" ref="AA1529">HLOOKUP($J1529,'Type Chart'!$C$2:$T$20,8,false)*HLOOKUP($K1529,'Type Chart'!$C$2:$U$20,8,false)</f>
        <v>1</v>
      </c>
      <c r="AB1529" s="960">
        <f t="array" ref="AB1529">HLOOKUP($J1529,'Type Chart'!$C$2:$T$20,9,false)*HLOOKUP($K1529,'Type Chart'!$C$2:$U$20,9,false)</f>
        <v>1</v>
      </c>
      <c r="AC1529" s="960">
        <f t="array" ref="AC1529">HLOOKUP($J1529,'Type Chart'!$C$2:$T$20,10,false)*HLOOKUP($K1529,'Type Chart'!$C$2:$U$20,10,false)</f>
        <v>0.5</v>
      </c>
      <c r="AD1529" s="960">
        <f t="array" ref="AD1529">HLOOKUP($J1529,'Type Chart'!$C$2:$T$20,11,false)*HLOOKUP($K1529,'Type Chart'!$C$2:$U$20,11,false)</f>
        <v>0.5</v>
      </c>
      <c r="AE1529" s="960">
        <f t="array" ref="AE1529">HLOOKUP($J1529,'Type Chart'!$C$2:$T$20,12,false)*HLOOKUP($K1529,'Type Chart'!$C$2:$U$20,12,false)</f>
        <v>1</v>
      </c>
      <c r="AF1529" s="960">
        <f t="array" ref="AF1529">HLOOKUP($J1529,'Type Chart'!$C$2:$T$20,13,false)*HLOOKUP($K1529,'Type Chart'!$C$2:$U$20,13,false)</f>
        <v>4</v>
      </c>
      <c r="AG1529" s="960">
        <f t="array" ref="AG1529">HLOOKUP($J1529,'Type Chart'!$C$2:$T$20,14,false)*HLOOKUP($K1529,'Type Chart'!$C$2:$U$20,14,false)</f>
        <v>0</v>
      </c>
      <c r="AH1529" s="960">
        <f t="array" ref="AH1529">HLOOKUP($J1529,'Type Chart'!$C$2:$T$20,15,false)*HLOOKUP($K1529,'Type Chart'!$C$2:$U$20,15,false)</f>
        <v>1</v>
      </c>
      <c r="AI1529" s="960">
        <f t="array" ref="AI1529">HLOOKUP($J1529,'Type Chart'!$C$2:$T$20,16,false)*HLOOKUP($K1529,'Type Chart'!$C$2:$U$20,16,false)</f>
        <v>1</v>
      </c>
      <c r="AJ1529" s="960">
        <f t="array" ref="AJ1529">HLOOKUP($J1529,'Type Chart'!$C$2:$T$20,17,false)*HLOOKUP($K1529,'Type Chart'!$C$2:$U$20,17,false)</f>
        <v>1</v>
      </c>
      <c r="AK1529" s="960">
        <f t="array" ref="AK1529">HLOOKUP($J1529,'Type Chart'!$C$2:$T$20,18,false)*HLOOKUP($K1529,'Type Chart'!$C$2:$U$20,18,false)</f>
        <v>1</v>
      </c>
      <c r="AL1529" s="960">
        <f t="array" ref="AL1529">HLOOKUP($J1529,'Type Chart'!$C$2:$T$20,19,false)*HLOOKUP($K1529,'Type Chart'!$C$2:$U$20,19,false)</f>
        <v>1</v>
      </c>
      <c r="AM1529" s="1145" t="s">
        <v>1211</v>
      </c>
      <c r="AN1529" s="1202" t="s">
        <v>1283</v>
      </c>
      <c r="AO1529" s="1146" t="s">
        <v>1169</v>
      </c>
      <c r="AP1529" s="936"/>
      <c r="AQ1529" s="1245"/>
      <c r="AR1529" s="1245"/>
      <c r="AS1529" s="936"/>
    </row>
    <row r="1530" ht="15.75" customHeight="1">
      <c r="A1530" s="1099"/>
      <c r="B1530" s="948" t="s">
        <v>1807</v>
      </c>
      <c r="C1530" s="1197" t="s">
        <v>1808</v>
      </c>
      <c r="D1530" s="1197" t="s">
        <v>1808</v>
      </c>
      <c r="E1530" s="1147" t="s">
        <v>1808</v>
      </c>
      <c r="F1530" s="940"/>
      <c r="G1530" s="953"/>
      <c r="H1530" s="969"/>
      <c r="I1530" s="998" t="s">
        <v>4631</v>
      </c>
      <c r="J1530" s="1203" t="s">
        <v>344</v>
      </c>
      <c r="K1530" s="984" t="s">
        <v>216</v>
      </c>
      <c r="L1530" s="959">
        <v>65.0</v>
      </c>
      <c r="M1530" s="960">
        <v>65.0</v>
      </c>
      <c r="N1530" s="960">
        <v>60.0</v>
      </c>
      <c r="O1530" s="960">
        <v>130.0</v>
      </c>
      <c r="P1530" s="960">
        <v>95.0</v>
      </c>
      <c r="Q1530" s="960">
        <v>110.0</v>
      </c>
      <c r="R1530" s="960">
        <v>256.0</v>
      </c>
      <c r="S1530" s="960">
        <v>319.0</v>
      </c>
      <c r="T1530" s="960">
        <v>350.0</v>
      </c>
      <c r="U1530" s="960">
        <f t="array" ref="U1530">HLOOKUP($J1530,'Type Chart'!$C$2:$T$20,2,false)*HLOOKUP($K1530,'Type Chart'!$C$2:$U$20,2,false)</f>
        <v>1</v>
      </c>
      <c r="V1530" s="960">
        <f t="array" ref="V1530">HLOOKUP($J1530,'Type Chart'!$C$2:$T$20,3,false)*HLOOKUP($K1530,'Type Chart'!$C$2:$U$20,3,false)</f>
        <v>0.5</v>
      </c>
      <c r="W1530" s="960">
        <f t="array" ref="W1530">HLOOKUP($J1530,'Type Chart'!$C$2:$T$20,4,false)*HLOOKUP($K1530,'Type Chart'!$C$2:$U$20,4,false)</f>
        <v>1</v>
      </c>
      <c r="X1530" s="960">
        <f t="array" ref="X1530">HLOOKUP($J1530,'Type Chart'!$C$2:$T$20,5,false)*HLOOKUP($K1530,'Type Chart'!$C$2:$U$20,5,false)</f>
        <v>1</v>
      </c>
      <c r="Y1530" s="960">
        <f t="array" ref="Y1530">HLOOKUP($J1530,'Type Chart'!$C$2:$T$20,6,false)*HLOOKUP($K1530,'Type Chart'!$C$2:$U$20,6,false)</f>
        <v>1</v>
      </c>
      <c r="Z1530" s="960">
        <f t="array" ref="Z1530">HLOOKUP($J1530,'Type Chart'!$C$2:$T$20,7,false)*HLOOKUP($K1530,'Type Chart'!$C$2:$U$20,7,false)</f>
        <v>1</v>
      </c>
      <c r="AA1530" s="960">
        <f t="array" ref="AA1530">HLOOKUP($J1530,'Type Chart'!$C$2:$T$20,8,false)*HLOOKUP($K1530,'Type Chart'!$C$2:$U$20,8,false)</f>
        <v>2</v>
      </c>
      <c r="AB1530" s="960">
        <f t="array" ref="AB1530">HLOOKUP($J1530,'Type Chart'!$C$2:$T$20,9,false)*HLOOKUP($K1530,'Type Chart'!$C$2:$U$20,9,false)</f>
        <v>2</v>
      </c>
      <c r="AC1530" s="960">
        <f t="array" ref="AC1530">HLOOKUP($J1530,'Type Chart'!$C$2:$T$20,10,false)*HLOOKUP($K1530,'Type Chart'!$C$2:$U$20,10,false)</f>
        <v>1</v>
      </c>
      <c r="AD1530" s="960">
        <f t="array" ref="AD1530">HLOOKUP($J1530,'Type Chart'!$C$2:$T$20,11,false)*HLOOKUP($K1530,'Type Chart'!$C$2:$U$20,11,false)</f>
        <v>1</v>
      </c>
      <c r="AE1530" s="960">
        <f t="array" ref="AE1530">HLOOKUP($J1530,'Type Chart'!$C$2:$T$20,12,false)*HLOOKUP($K1530,'Type Chart'!$C$2:$U$20,12,false)</f>
        <v>1</v>
      </c>
      <c r="AF1530" s="960">
        <f t="array" ref="AF1530">HLOOKUP($J1530,'Type Chart'!$C$2:$T$20,13,false)*HLOOKUP($K1530,'Type Chart'!$C$2:$U$20,13,false)</f>
        <v>1</v>
      </c>
      <c r="AG1530" s="960">
        <f t="array" ref="AG1530">HLOOKUP($J1530,'Type Chart'!$C$2:$T$20,14,false)*HLOOKUP($K1530,'Type Chart'!$C$2:$U$20,14,false)</f>
        <v>1</v>
      </c>
      <c r="AH1530" s="960">
        <f t="array" ref="AH1530">HLOOKUP($J1530,'Type Chart'!$C$2:$T$20,15,false)*HLOOKUP($K1530,'Type Chart'!$C$2:$U$20,15,false)</f>
        <v>0.5</v>
      </c>
      <c r="AI1530" s="960">
        <f t="array" ref="AI1530">HLOOKUP($J1530,'Type Chart'!$C$2:$T$20,16,false)*HLOOKUP($K1530,'Type Chart'!$C$2:$U$20,16,false)</f>
        <v>1</v>
      </c>
      <c r="AJ1530" s="960">
        <f t="array" ref="AJ1530">HLOOKUP($J1530,'Type Chart'!$C$2:$T$20,17,false)*HLOOKUP($K1530,'Type Chart'!$C$2:$U$20,17,false)</f>
        <v>1</v>
      </c>
      <c r="AK1530" s="960">
        <f t="array" ref="AK1530">HLOOKUP($J1530,'Type Chart'!$C$2:$T$20,18,false)*HLOOKUP($K1530,'Type Chart'!$C$2:$U$20,18,false)</f>
        <v>2</v>
      </c>
      <c r="AL1530" s="960">
        <f t="array" ref="AL1530">HLOOKUP($J1530,'Type Chart'!$C$2:$T$20,19,false)*HLOOKUP($K1530,'Type Chart'!$C$2:$U$20,19,false)</f>
        <v>1</v>
      </c>
      <c r="AM1530" s="964" t="s">
        <v>1292</v>
      </c>
      <c r="AN1530" s="965"/>
      <c r="AO1530" s="966" t="s">
        <v>1752</v>
      </c>
      <c r="AP1530" s="936"/>
      <c r="AQ1530" s="1245"/>
      <c r="AR1530" s="1245"/>
      <c r="AS1530" s="936"/>
    </row>
    <row r="1531" ht="15.75" customHeight="1">
      <c r="A1531" s="1099"/>
      <c r="B1531" s="948" t="s">
        <v>1809</v>
      </c>
      <c r="C1531" s="1197" t="s">
        <v>1810</v>
      </c>
      <c r="D1531" s="1197" t="s">
        <v>1810</v>
      </c>
      <c r="E1531" s="1147" t="s">
        <v>1810</v>
      </c>
      <c r="F1531" s="940"/>
      <c r="G1531" s="953"/>
      <c r="H1531" s="969"/>
      <c r="I1531" s="998" t="s">
        <v>4632</v>
      </c>
      <c r="J1531" s="1195" t="s">
        <v>193</v>
      </c>
      <c r="K1531" s="984" t="s">
        <v>216</v>
      </c>
      <c r="L1531" s="959">
        <v>95.0</v>
      </c>
      <c r="M1531" s="960">
        <v>65.0</v>
      </c>
      <c r="N1531" s="960">
        <v>110.0</v>
      </c>
      <c r="O1531" s="960">
        <v>60.0</v>
      </c>
      <c r="P1531" s="960">
        <v>130.0</v>
      </c>
      <c r="Q1531" s="960">
        <v>65.0</v>
      </c>
      <c r="R1531" s="960">
        <v>166.0</v>
      </c>
      <c r="S1531" s="960">
        <v>229.0</v>
      </c>
      <c r="T1531" s="960">
        <v>251.0</v>
      </c>
      <c r="U1531" s="960">
        <f t="array" ref="U1531">HLOOKUP($J1531,'Type Chart'!$C$2:$T$20,2,false)*HLOOKUP($K1531,'Type Chart'!$C$2:$U$20,2,false)</f>
        <v>1</v>
      </c>
      <c r="V1531" s="960">
        <f t="array" ref="V1531">HLOOKUP($J1531,'Type Chart'!$C$2:$T$20,3,false)*HLOOKUP($K1531,'Type Chart'!$C$2:$U$20,3,false)</f>
        <v>2</v>
      </c>
      <c r="W1531" s="960">
        <f t="array" ref="W1531">HLOOKUP($J1531,'Type Chart'!$C$2:$T$20,4,false)*HLOOKUP($K1531,'Type Chart'!$C$2:$U$20,4,false)</f>
        <v>1</v>
      </c>
      <c r="X1531" s="960">
        <f t="array" ref="X1531">HLOOKUP($J1531,'Type Chart'!$C$2:$T$20,5,false)*HLOOKUP($K1531,'Type Chart'!$C$2:$U$20,5,false)</f>
        <v>1</v>
      </c>
      <c r="Y1531" s="960">
        <f t="array" ref="Y1531">HLOOKUP($J1531,'Type Chart'!$C$2:$T$20,6,false)*HLOOKUP($K1531,'Type Chart'!$C$2:$U$20,6,false)</f>
        <v>1</v>
      </c>
      <c r="Z1531" s="960">
        <f t="array" ref="Z1531">HLOOKUP($J1531,'Type Chart'!$C$2:$T$20,7,false)*HLOOKUP($K1531,'Type Chart'!$C$2:$U$20,7,false)</f>
        <v>1</v>
      </c>
      <c r="AA1531" s="960">
        <f t="array" ref="AA1531">HLOOKUP($J1531,'Type Chart'!$C$2:$T$20,8,false)*HLOOKUP($K1531,'Type Chart'!$C$2:$U$20,8,false)</f>
        <v>2</v>
      </c>
      <c r="AB1531" s="960">
        <f t="array" ref="AB1531">HLOOKUP($J1531,'Type Chart'!$C$2:$T$20,9,false)*HLOOKUP($K1531,'Type Chart'!$C$2:$U$20,9,false)</f>
        <v>0.5</v>
      </c>
      <c r="AC1531" s="960">
        <f t="array" ref="AC1531">HLOOKUP($J1531,'Type Chart'!$C$2:$T$20,10,false)*HLOOKUP($K1531,'Type Chart'!$C$2:$U$20,10,false)</f>
        <v>1</v>
      </c>
      <c r="AD1531" s="960">
        <f t="array" ref="AD1531">HLOOKUP($J1531,'Type Chart'!$C$2:$T$20,11,false)*HLOOKUP($K1531,'Type Chart'!$C$2:$U$20,11,false)</f>
        <v>1</v>
      </c>
      <c r="AE1531" s="960">
        <f t="array" ref="AE1531">HLOOKUP($J1531,'Type Chart'!$C$2:$T$20,12,false)*HLOOKUP($K1531,'Type Chart'!$C$2:$U$20,12,false)</f>
        <v>1</v>
      </c>
      <c r="AF1531" s="960">
        <f t="array" ref="AF1531">HLOOKUP($J1531,'Type Chart'!$C$2:$T$20,13,false)*HLOOKUP($K1531,'Type Chart'!$C$2:$U$20,13,false)</f>
        <v>1</v>
      </c>
      <c r="AG1531" s="960">
        <f t="array" ref="AG1531">HLOOKUP($J1531,'Type Chart'!$C$2:$T$20,14,false)*HLOOKUP($K1531,'Type Chart'!$C$2:$U$20,14,false)</f>
        <v>1</v>
      </c>
      <c r="AH1531" s="960">
        <f t="array" ref="AH1531">HLOOKUP($J1531,'Type Chart'!$C$2:$T$20,15,false)*HLOOKUP($K1531,'Type Chart'!$C$2:$U$20,15,false)</f>
        <v>0</v>
      </c>
      <c r="AI1531" s="960">
        <f t="array" ref="AI1531">HLOOKUP($J1531,'Type Chart'!$C$2:$T$20,16,false)*HLOOKUP($K1531,'Type Chart'!$C$2:$U$20,16,false)</f>
        <v>1</v>
      </c>
      <c r="AJ1531" s="960">
        <f t="array" ref="AJ1531">HLOOKUP($J1531,'Type Chart'!$C$2:$T$20,17,false)*HLOOKUP($K1531,'Type Chart'!$C$2:$U$20,17,false)</f>
        <v>1</v>
      </c>
      <c r="AK1531" s="960">
        <f t="array" ref="AK1531">HLOOKUP($J1531,'Type Chart'!$C$2:$T$20,18,false)*HLOOKUP($K1531,'Type Chart'!$C$2:$U$20,18,false)</f>
        <v>0.5</v>
      </c>
      <c r="AL1531" s="960">
        <f t="array" ref="AL1531">HLOOKUP($J1531,'Type Chart'!$C$2:$T$20,19,false)*HLOOKUP($K1531,'Type Chart'!$C$2:$U$20,19,false)</f>
        <v>2</v>
      </c>
      <c r="AM1531" s="1145" t="s">
        <v>1292</v>
      </c>
      <c r="AN1531" s="1202"/>
      <c r="AO1531" s="1146" t="s">
        <v>1192</v>
      </c>
      <c r="AP1531" s="936"/>
      <c r="AQ1531" s="1245"/>
      <c r="AR1531" s="1245"/>
      <c r="AS1531" s="936"/>
    </row>
    <row r="1532" ht="15.75" customHeight="1">
      <c r="A1532" s="1099"/>
      <c r="B1532" s="948" t="s">
        <v>1811</v>
      </c>
      <c r="C1532" s="1197" t="s">
        <v>1812</v>
      </c>
      <c r="D1532" s="1197" t="s">
        <v>1812</v>
      </c>
      <c r="E1532" s="1147" t="s">
        <v>1812</v>
      </c>
      <c r="F1532" s="940"/>
      <c r="G1532" s="953"/>
      <c r="H1532" s="969"/>
      <c r="I1532" s="998" t="s">
        <v>4633</v>
      </c>
      <c r="J1532" s="1195" t="s">
        <v>193</v>
      </c>
      <c r="K1532" s="1001" t="s">
        <v>128</v>
      </c>
      <c r="L1532" s="959">
        <v>60.0</v>
      </c>
      <c r="M1532" s="960">
        <v>85.0</v>
      </c>
      <c r="N1532" s="960">
        <v>42.0</v>
      </c>
      <c r="O1532" s="960">
        <v>85.0</v>
      </c>
      <c r="P1532" s="960">
        <v>42.0</v>
      </c>
      <c r="Q1532" s="960">
        <v>91.0</v>
      </c>
      <c r="R1532" s="960">
        <v>218.0</v>
      </c>
      <c r="S1532" s="960">
        <v>281.0</v>
      </c>
      <c r="T1532" s="960">
        <v>309.0</v>
      </c>
      <c r="U1532" s="960">
        <f t="array" ref="U1532">HLOOKUP($J1532,'Type Chart'!$C$2:$T$20,2,false)*HLOOKUP($K1532,'Type Chart'!$C$2:$U$20,2,false)</f>
        <v>1</v>
      </c>
      <c r="V1532" s="960">
        <f t="array" ref="V1532">HLOOKUP($J1532,'Type Chart'!$C$2:$T$20,3,false)*HLOOKUP($K1532,'Type Chart'!$C$2:$U$20,3,false)</f>
        <v>1</v>
      </c>
      <c r="W1532" s="960">
        <f t="array" ref="W1532">HLOOKUP($J1532,'Type Chart'!$C$2:$T$20,4,false)*HLOOKUP($K1532,'Type Chart'!$C$2:$U$20,4,false)</f>
        <v>1</v>
      </c>
      <c r="X1532" s="960">
        <f t="array" ref="X1532">HLOOKUP($J1532,'Type Chart'!$C$2:$T$20,5,false)*HLOOKUP($K1532,'Type Chart'!$C$2:$U$20,5,false)</f>
        <v>1</v>
      </c>
      <c r="Y1532" s="960">
        <f t="array" ref="Y1532">HLOOKUP($J1532,'Type Chart'!$C$2:$T$20,6,false)*HLOOKUP($K1532,'Type Chart'!$C$2:$U$20,6,false)</f>
        <v>0</v>
      </c>
      <c r="Z1532" s="960">
        <f t="array" ref="Z1532">HLOOKUP($J1532,'Type Chart'!$C$2:$T$20,7,false)*HLOOKUP($K1532,'Type Chart'!$C$2:$U$20,7,false)</f>
        <v>2</v>
      </c>
      <c r="AA1532" s="960">
        <f t="array" ref="AA1532">HLOOKUP($J1532,'Type Chart'!$C$2:$T$20,8,false)*HLOOKUP($K1532,'Type Chart'!$C$2:$U$20,8,false)</f>
        <v>1</v>
      </c>
      <c r="AB1532" s="960">
        <f t="array" ref="AB1532">HLOOKUP($J1532,'Type Chart'!$C$2:$T$20,9,false)*HLOOKUP($K1532,'Type Chart'!$C$2:$U$20,9,false)</f>
        <v>0.5</v>
      </c>
      <c r="AC1532" s="960">
        <f t="array" ref="AC1532">HLOOKUP($J1532,'Type Chart'!$C$2:$T$20,10,false)*HLOOKUP($K1532,'Type Chart'!$C$2:$U$20,10,false)</f>
        <v>1</v>
      </c>
      <c r="AD1532" s="960">
        <f t="array" ref="AD1532">HLOOKUP($J1532,'Type Chart'!$C$2:$T$20,11,false)*HLOOKUP($K1532,'Type Chart'!$C$2:$U$20,11,false)</f>
        <v>1</v>
      </c>
      <c r="AE1532" s="960">
        <f t="array" ref="AE1532">HLOOKUP($J1532,'Type Chart'!$C$2:$T$20,12,false)*HLOOKUP($K1532,'Type Chart'!$C$2:$U$20,12,false)</f>
        <v>1</v>
      </c>
      <c r="AF1532" s="960">
        <f t="array" ref="AF1532">HLOOKUP($J1532,'Type Chart'!$C$2:$T$20,13,false)*HLOOKUP($K1532,'Type Chart'!$C$2:$U$20,13,false)</f>
        <v>0.5</v>
      </c>
      <c r="AG1532" s="960">
        <f t="array" ref="AG1532">HLOOKUP($J1532,'Type Chart'!$C$2:$T$20,14,false)*HLOOKUP($K1532,'Type Chart'!$C$2:$U$20,14,false)</f>
        <v>2</v>
      </c>
      <c r="AH1532" s="960">
        <f t="array" ref="AH1532">HLOOKUP($J1532,'Type Chart'!$C$2:$T$20,15,false)*HLOOKUP($K1532,'Type Chart'!$C$2:$U$20,15,false)</f>
        <v>0</v>
      </c>
      <c r="AI1532" s="960">
        <f t="array" ref="AI1532">HLOOKUP($J1532,'Type Chart'!$C$2:$T$20,16,false)*HLOOKUP($K1532,'Type Chart'!$C$2:$U$20,16,false)</f>
        <v>2</v>
      </c>
      <c r="AJ1532" s="960">
        <f t="array" ref="AJ1532">HLOOKUP($J1532,'Type Chart'!$C$2:$T$20,17,false)*HLOOKUP($K1532,'Type Chart'!$C$2:$U$20,17,false)</f>
        <v>1</v>
      </c>
      <c r="AK1532" s="960">
        <f t="array" ref="AK1532">HLOOKUP($J1532,'Type Chart'!$C$2:$T$20,18,false)*HLOOKUP($K1532,'Type Chart'!$C$2:$U$20,18,false)</f>
        <v>0.5</v>
      </c>
      <c r="AL1532" s="960">
        <f t="array" ref="AL1532">HLOOKUP($J1532,'Type Chart'!$C$2:$T$20,19,false)*HLOOKUP($K1532,'Type Chart'!$C$2:$U$20,19,false)</f>
        <v>2</v>
      </c>
      <c r="AM1532" s="964" t="s">
        <v>1454</v>
      </c>
      <c r="AN1532" s="965" t="s">
        <v>1745</v>
      </c>
      <c r="AO1532" s="966" t="s">
        <v>1813</v>
      </c>
      <c r="AP1532" s="936"/>
      <c r="AQ1532" s="1245"/>
      <c r="AR1532" s="1245"/>
      <c r="AS1532" s="936"/>
    </row>
    <row r="1533" ht="15.75" customHeight="1">
      <c r="A1533" s="1099"/>
      <c r="B1533" s="948" t="s">
        <v>1814</v>
      </c>
      <c r="C1533" s="1197" t="s">
        <v>1815</v>
      </c>
      <c r="D1533" s="1197" t="s">
        <v>1815</v>
      </c>
      <c r="E1533" s="1147" t="s">
        <v>1815</v>
      </c>
      <c r="F1533" s="940"/>
      <c r="G1533" s="953"/>
      <c r="H1533" s="969"/>
      <c r="I1533" s="998" t="s">
        <v>4634</v>
      </c>
      <c r="J1533" s="1056" t="s">
        <v>81</v>
      </c>
      <c r="K1533" s="1203" t="s">
        <v>344</v>
      </c>
      <c r="L1533" s="959">
        <v>95.0</v>
      </c>
      <c r="M1533" s="960">
        <v>75.0</v>
      </c>
      <c r="N1533" s="960">
        <v>80.0</v>
      </c>
      <c r="O1533" s="960">
        <v>100.0</v>
      </c>
      <c r="P1533" s="960">
        <v>110.0</v>
      </c>
      <c r="Q1533" s="960">
        <v>30.0</v>
      </c>
      <c r="R1533" s="960">
        <v>96.0</v>
      </c>
      <c r="S1533" s="960">
        <v>159.0</v>
      </c>
      <c r="T1533" s="960">
        <v>174.0</v>
      </c>
      <c r="U1533" s="960">
        <f t="array" ref="U1533">HLOOKUP($J1533,'Type Chart'!$C$2:$T$20,2,false)*HLOOKUP($K1533,'Type Chart'!$C$2:$U$20,2,false)</f>
        <v>1</v>
      </c>
      <c r="V1533" s="960">
        <f t="array" ref="V1533">HLOOKUP($J1533,'Type Chart'!$C$2:$T$20,3,false)*HLOOKUP($K1533,'Type Chart'!$C$2:$U$20,3,false)</f>
        <v>0.5</v>
      </c>
      <c r="W1533" s="960">
        <f t="array" ref="W1533">HLOOKUP($J1533,'Type Chart'!$C$2:$T$20,4,false)*HLOOKUP($K1533,'Type Chart'!$C$2:$U$20,4,false)</f>
        <v>1</v>
      </c>
      <c r="X1533" s="960">
        <f t="array" ref="X1533">HLOOKUP($J1533,'Type Chart'!$C$2:$T$20,5,false)*HLOOKUP($K1533,'Type Chart'!$C$2:$U$20,5,false)</f>
        <v>1</v>
      </c>
      <c r="Y1533" s="960">
        <f t="array" ref="Y1533">HLOOKUP($J1533,'Type Chart'!$C$2:$T$20,6,false)*HLOOKUP($K1533,'Type Chart'!$C$2:$U$20,6,false)</f>
        <v>1</v>
      </c>
      <c r="Z1533" s="960">
        <f t="array" ref="Z1533">HLOOKUP($J1533,'Type Chart'!$C$2:$T$20,7,false)*HLOOKUP($K1533,'Type Chart'!$C$2:$U$20,7,false)</f>
        <v>1</v>
      </c>
      <c r="AA1533" s="960">
        <f t="array" ref="AA1533">HLOOKUP($J1533,'Type Chart'!$C$2:$T$20,8,false)*HLOOKUP($K1533,'Type Chart'!$C$2:$U$20,8,false)</f>
        <v>2</v>
      </c>
      <c r="AB1533" s="960">
        <f t="array" ref="AB1533">HLOOKUP($J1533,'Type Chart'!$C$2:$T$20,9,false)*HLOOKUP($K1533,'Type Chart'!$C$2:$U$20,9,false)</f>
        <v>2</v>
      </c>
      <c r="AC1533" s="960">
        <f t="array" ref="AC1533">HLOOKUP($J1533,'Type Chart'!$C$2:$T$20,10,false)*HLOOKUP($K1533,'Type Chart'!$C$2:$U$20,10,false)</f>
        <v>0.5</v>
      </c>
      <c r="AD1533" s="960">
        <f t="array" ref="AD1533">HLOOKUP($J1533,'Type Chart'!$C$2:$T$20,11,false)*HLOOKUP($K1533,'Type Chart'!$C$2:$U$20,11,false)</f>
        <v>0.5</v>
      </c>
      <c r="AE1533" s="960">
        <f t="array" ref="AE1533">HLOOKUP($J1533,'Type Chart'!$C$2:$T$20,12,false)*HLOOKUP($K1533,'Type Chart'!$C$2:$U$20,12,false)</f>
        <v>0.5</v>
      </c>
      <c r="AF1533" s="960">
        <f t="array" ref="AF1533">HLOOKUP($J1533,'Type Chart'!$C$2:$T$20,13,false)*HLOOKUP($K1533,'Type Chart'!$C$2:$U$20,13,false)</f>
        <v>2</v>
      </c>
      <c r="AG1533" s="960">
        <f t="array" ref="AG1533">HLOOKUP($J1533,'Type Chart'!$C$2:$T$20,14,false)*HLOOKUP($K1533,'Type Chart'!$C$2:$U$20,14,false)</f>
        <v>2</v>
      </c>
      <c r="AH1533" s="960">
        <f t="array" ref="AH1533">HLOOKUP($J1533,'Type Chart'!$C$2:$T$20,15,false)*HLOOKUP($K1533,'Type Chart'!$C$2:$U$20,15,false)</f>
        <v>0.5</v>
      </c>
      <c r="AI1533" s="960">
        <f t="array" ref="AI1533">HLOOKUP($J1533,'Type Chart'!$C$2:$T$20,16,false)*HLOOKUP($K1533,'Type Chart'!$C$2:$U$20,16,false)</f>
        <v>0.5</v>
      </c>
      <c r="AJ1533" s="960">
        <f t="array" ref="AJ1533">HLOOKUP($J1533,'Type Chart'!$C$2:$T$20,17,false)*HLOOKUP($K1533,'Type Chart'!$C$2:$U$20,17,false)</f>
        <v>1</v>
      </c>
      <c r="AK1533" s="960">
        <f t="array" ref="AK1533">HLOOKUP($J1533,'Type Chart'!$C$2:$T$20,18,false)*HLOOKUP($K1533,'Type Chart'!$C$2:$U$20,18,false)</f>
        <v>2</v>
      </c>
      <c r="AL1533" s="960">
        <f t="array" ref="AL1533">HLOOKUP($J1533,'Type Chart'!$C$2:$T$20,19,false)*HLOOKUP($K1533,'Type Chart'!$C$2:$U$20,19,false)</f>
        <v>1</v>
      </c>
      <c r="AM1533" s="964" t="s">
        <v>1369</v>
      </c>
      <c r="AN1533" s="965" t="s">
        <v>1370</v>
      </c>
      <c r="AO1533" s="966" t="s">
        <v>1371</v>
      </c>
      <c r="AP1533" s="936"/>
      <c r="AQ1533" s="1245"/>
      <c r="AR1533" s="1245"/>
      <c r="AS1533" s="936"/>
    </row>
    <row r="1534" ht="15.75" customHeight="1">
      <c r="A1534" s="1099"/>
      <c r="B1534" s="948" t="s">
        <v>1816</v>
      </c>
      <c r="C1534" s="1197" t="s">
        <v>1817</v>
      </c>
      <c r="D1534" s="1197" t="s">
        <v>1817</v>
      </c>
      <c r="E1534" s="1147" t="s">
        <v>1818</v>
      </c>
      <c r="F1534" s="940"/>
      <c r="G1534" s="953"/>
      <c r="H1534" s="969"/>
      <c r="I1534" s="998" t="s">
        <v>4635</v>
      </c>
      <c r="J1534" s="958" t="s">
        <v>178</v>
      </c>
      <c r="K1534" s="1203" t="s">
        <v>344</v>
      </c>
      <c r="L1534" s="959">
        <v>95.0</v>
      </c>
      <c r="M1534" s="960">
        <v>65.0</v>
      </c>
      <c r="N1534" s="960">
        <v>80.0</v>
      </c>
      <c r="O1534" s="960">
        <v>110.0</v>
      </c>
      <c r="P1534" s="960">
        <v>110.0</v>
      </c>
      <c r="Q1534" s="960">
        <v>30.0</v>
      </c>
      <c r="R1534" s="960">
        <v>96.0</v>
      </c>
      <c r="S1534" s="960">
        <v>159.0</v>
      </c>
      <c r="T1534" s="960">
        <v>174.0</v>
      </c>
      <c r="U1534" s="960">
        <f t="array" ref="U1534">HLOOKUP($J1534,'Type Chart'!$C$2:$T$20,2,false)*HLOOKUP($K1534,'Type Chart'!$C$2:$U$20,2,false)</f>
        <v>1</v>
      </c>
      <c r="V1534" s="960">
        <f t="array" ref="V1534">HLOOKUP($J1534,'Type Chart'!$C$2:$T$20,3,false)*HLOOKUP($K1534,'Type Chart'!$C$2:$U$20,3,false)</f>
        <v>0.25</v>
      </c>
      <c r="W1534" s="960">
        <f t="array" ref="W1534">HLOOKUP($J1534,'Type Chart'!$C$2:$T$20,4,false)*HLOOKUP($K1534,'Type Chart'!$C$2:$U$20,4,false)</f>
        <v>1</v>
      </c>
      <c r="X1534" s="960">
        <f t="array" ref="X1534">HLOOKUP($J1534,'Type Chart'!$C$2:$T$20,5,false)*HLOOKUP($K1534,'Type Chart'!$C$2:$U$20,5,false)</f>
        <v>0.5</v>
      </c>
      <c r="Y1534" s="960">
        <f t="array" ref="Y1534">HLOOKUP($J1534,'Type Chart'!$C$2:$T$20,6,false)*HLOOKUP($K1534,'Type Chart'!$C$2:$U$20,6,false)</f>
        <v>2</v>
      </c>
      <c r="Z1534" s="960">
        <f t="array" ref="Z1534">HLOOKUP($J1534,'Type Chart'!$C$2:$T$20,7,false)*HLOOKUP($K1534,'Type Chart'!$C$2:$U$20,7,false)</f>
        <v>1</v>
      </c>
      <c r="AA1534" s="960">
        <f t="array" ref="AA1534">HLOOKUP($J1534,'Type Chart'!$C$2:$T$20,8,false)*HLOOKUP($K1534,'Type Chart'!$C$2:$U$20,8,false)</f>
        <v>1</v>
      </c>
      <c r="AB1534" s="960">
        <f t="array" ref="AB1534">HLOOKUP($J1534,'Type Chart'!$C$2:$T$20,9,false)*HLOOKUP($K1534,'Type Chart'!$C$2:$U$20,9,false)</f>
        <v>2</v>
      </c>
      <c r="AC1534" s="960">
        <f t="array" ref="AC1534">HLOOKUP($J1534,'Type Chart'!$C$2:$T$20,10,false)*HLOOKUP($K1534,'Type Chart'!$C$2:$U$20,10,false)</f>
        <v>1</v>
      </c>
      <c r="AD1534" s="960">
        <f t="array" ref="AD1534">HLOOKUP($J1534,'Type Chart'!$C$2:$T$20,11,false)*HLOOKUP($K1534,'Type Chart'!$C$2:$U$20,11,false)</f>
        <v>1</v>
      </c>
      <c r="AE1534" s="960">
        <f t="array" ref="AE1534">HLOOKUP($J1534,'Type Chart'!$C$2:$T$20,12,false)*HLOOKUP($K1534,'Type Chart'!$C$2:$U$20,12,false)</f>
        <v>1</v>
      </c>
      <c r="AF1534" s="960">
        <f t="array" ref="AF1534">HLOOKUP($J1534,'Type Chart'!$C$2:$T$20,13,false)*HLOOKUP($K1534,'Type Chart'!$C$2:$U$20,13,false)</f>
        <v>0.5</v>
      </c>
      <c r="AG1534" s="960">
        <f t="array" ref="AG1534">HLOOKUP($J1534,'Type Chart'!$C$2:$T$20,14,false)*HLOOKUP($K1534,'Type Chart'!$C$2:$U$20,14,false)</f>
        <v>1</v>
      </c>
      <c r="AH1534" s="960">
        <f t="array" ref="AH1534">HLOOKUP($J1534,'Type Chart'!$C$2:$T$20,15,false)*HLOOKUP($K1534,'Type Chart'!$C$2:$U$20,15,false)</f>
        <v>1</v>
      </c>
      <c r="AI1534" s="960">
        <f t="array" ref="AI1534">HLOOKUP($J1534,'Type Chart'!$C$2:$T$20,16,false)*HLOOKUP($K1534,'Type Chart'!$C$2:$U$20,16,false)</f>
        <v>1</v>
      </c>
      <c r="AJ1534" s="960">
        <f t="array" ref="AJ1534">HLOOKUP($J1534,'Type Chart'!$C$2:$T$20,17,false)*HLOOKUP($K1534,'Type Chart'!$C$2:$U$20,17,false)</f>
        <v>1</v>
      </c>
      <c r="AK1534" s="960">
        <f t="array" ref="AK1534">HLOOKUP($J1534,'Type Chart'!$C$2:$T$20,18,false)*HLOOKUP($K1534,'Type Chart'!$C$2:$U$20,18,false)</f>
        <v>2</v>
      </c>
      <c r="AL1534" s="960">
        <f t="array" ref="AL1534">HLOOKUP($J1534,'Type Chart'!$C$2:$T$20,19,false)*HLOOKUP($K1534,'Type Chart'!$C$2:$U$20,19,false)</f>
        <v>0.5</v>
      </c>
      <c r="AM1534" s="1145" t="s">
        <v>1819</v>
      </c>
      <c r="AN1534" s="1202" t="s">
        <v>1370</v>
      </c>
      <c r="AO1534" s="1146" t="s">
        <v>1371</v>
      </c>
      <c r="AP1534" s="936"/>
      <c r="AQ1534" s="1245"/>
      <c r="AR1534" s="1245"/>
      <c r="AS1534" s="936"/>
    </row>
    <row r="1535" ht="15.75" customHeight="1">
      <c r="A1535" s="1099"/>
      <c r="B1535" s="948" t="s">
        <v>1820</v>
      </c>
      <c r="C1535" s="1197" t="s">
        <v>1821</v>
      </c>
      <c r="D1535" s="1197" t="s">
        <v>1821</v>
      </c>
      <c r="E1535" s="1147" t="s">
        <v>1821</v>
      </c>
      <c r="F1535" s="940"/>
      <c r="G1535" s="953"/>
      <c r="H1535" s="969"/>
      <c r="I1535" s="998" t="s">
        <v>4636</v>
      </c>
      <c r="J1535" s="1220" t="s">
        <v>215</v>
      </c>
      <c r="K1535" s="984" t="s">
        <v>216</v>
      </c>
      <c r="L1535" s="959">
        <v>60.0</v>
      </c>
      <c r="M1535" s="960">
        <v>60.0</v>
      </c>
      <c r="N1535" s="960">
        <v>60.0</v>
      </c>
      <c r="O1535" s="960">
        <v>85.0</v>
      </c>
      <c r="P1535" s="960">
        <v>85.0</v>
      </c>
      <c r="Q1535" s="960">
        <v>85.0</v>
      </c>
      <c r="R1535" s="960">
        <v>206.0</v>
      </c>
      <c r="S1535" s="960">
        <v>269.0</v>
      </c>
      <c r="T1535" s="960">
        <v>295.0</v>
      </c>
      <c r="U1535" s="960">
        <f t="array" ref="U1535">HLOOKUP($J1535,'Type Chart'!$C$2:$T$20,2,false)*HLOOKUP($K1535,'Type Chart'!$C$2:$U$20,2,false)</f>
        <v>0</v>
      </c>
      <c r="V1535" s="960">
        <f t="array" ref="V1535">HLOOKUP($J1535,'Type Chart'!$C$2:$T$20,3,false)*HLOOKUP($K1535,'Type Chart'!$C$2:$U$20,3,false)</f>
        <v>0</v>
      </c>
      <c r="W1535" s="960">
        <f t="array" ref="W1535">HLOOKUP($J1535,'Type Chart'!$C$2:$T$20,4,false)*HLOOKUP($K1535,'Type Chart'!$C$2:$U$20,4,false)</f>
        <v>1</v>
      </c>
      <c r="X1535" s="960">
        <f t="array" ref="X1535">HLOOKUP($J1535,'Type Chart'!$C$2:$T$20,5,false)*HLOOKUP($K1535,'Type Chart'!$C$2:$U$20,5,false)</f>
        <v>0.5</v>
      </c>
      <c r="Y1535" s="960">
        <f t="array" ref="Y1535">HLOOKUP($J1535,'Type Chart'!$C$2:$T$20,6,false)*HLOOKUP($K1535,'Type Chart'!$C$2:$U$20,6,false)</f>
        <v>1</v>
      </c>
      <c r="Z1535" s="960">
        <f t="array" ref="Z1535">HLOOKUP($J1535,'Type Chart'!$C$2:$T$20,7,false)*HLOOKUP($K1535,'Type Chart'!$C$2:$U$20,7,false)</f>
        <v>1</v>
      </c>
      <c r="AA1535" s="960">
        <f t="array" ref="AA1535">HLOOKUP($J1535,'Type Chart'!$C$2:$T$20,8,false)*HLOOKUP($K1535,'Type Chart'!$C$2:$U$20,8,false)</f>
        <v>0.5</v>
      </c>
      <c r="AB1535" s="960">
        <f t="array" ref="AB1535">HLOOKUP($J1535,'Type Chart'!$C$2:$T$20,9,false)*HLOOKUP($K1535,'Type Chart'!$C$2:$U$20,9,false)</f>
        <v>2</v>
      </c>
      <c r="AC1535" s="960">
        <f t="array" ref="AC1535">HLOOKUP($J1535,'Type Chart'!$C$2:$T$20,10,false)*HLOOKUP($K1535,'Type Chart'!$C$2:$U$20,10,false)</f>
        <v>1</v>
      </c>
      <c r="AD1535" s="960">
        <f t="array" ref="AD1535">HLOOKUP($J1535,'Type Chart'!$C$2:$T$20,11,false)*HLOOKUP($K1535,'Type Chart'!$C$2:$U$20,11,false)</f>
        <v>1</v>
      </c>
      <c r="AE1535" s="960">
        <f t="array" ref="AE1535">HLOOKUP($J1535,'Type Chart'!$C$2:$T$20,12,false)*HLOOKUP($K1535,'Type Chart'!$C$2:$U$20,12,false)</f>
        <v>1</v>
      </c>
      <c r="AF1535" s="960">
        <f t="array" ref="AF1535">HLOOKUP($J1535,'Type Chart'!$C$2:$T$20,13,false)*HLOOKUP($K1535,'Type Chart'!$C$2:$U$20,13,false)</f>
        <v>1</v>
      </c>
      <c r="AG1535" s="960">
        <f t="array" ref="AG1535">HLOOKUP($J1535,'Type Chart'!$C$2:$T$20,14,false)*HLOOKUP($K1535,'Type Chart'!$C$2:$U$20,14,false)</f>
        <v>1</v>
      </c>
      <c r="AH1535" s="960">
        <f t="array" ref="AH1535">HLOOKUP($J1535,'Type Chart'!$C$2:$T$20,15,false)*HLOOKUP($K1535,'Type Chart'!$C$2:$U$20,15,false)</f>
        <v>1</v>
      </c>
      <c r="AI1535" s="960">
        <f t="array" ref="AI1535">HLOOKUP($J1535,'Type Chart'!$C$2:$T$20,16,false)*HLOOKUP($K1535,'Type Chart'!$C$2:$U$20,16,false)</f>
        <v>1</v>
      </c>
      <c r="AJ1535" s="960">
        <f t="array" ref="AJ1535">HLOOKUP($J1535,'Type Chart'!$C$2:$T$20,17,false)*HLOOKUP($K1535,'Type Chart'!$C$2:$U$20,17,false)</f>
        <v>1</v>
      </c>
      <c r="AK1535" s="960">
        <f t="array" ref="AK1535">HLOOKUP($J1535,'Type Chart'!$C$2:$T$20,18,false)*HLOOKUP($K1535,'Type Chart'!$C$2:$U$20,18,false)</f>
        <v>2</v>
      </c>
      <c r="AL1535" s="960">
        <f t="array" ref="AL1535">HLOOKUP($J1535,'Type Chart'!$C$2:$T$20,19,false)*HLOOKUP($K1535,'Type Chart'!$C$2:$U$20,19,false)</f>
        <v>1</v>
      </c>
      <c r="AM1535" s="964" t="s">
        <v>1437</v>
      </c>
      <c r="AN1535" s="965"/>
      <c r="AO1535" s="966"/>
      <c r="AP1535" s="936"/>
      <c r="AQ1535" s="1245"/>
      <c r="AR1535" s="1245"/>
      <c r="AS1535" s="936"/>
    </row>
    <row r="1536" ht="15.75" customHeight="1">
      <c r="A1536" s="1099"/>
      <c r="B1536" s="948" t="s">
        <v>1822</v>
      </c>
      <c r="C1536" s="1197" t="s">
        <v>1823</v>
      </c>
      <c r="D1536" s="1197" t="s">
        <v>1823</v>
      </c>
      <c r="E1536" s="1147" t="s">
        <v>1823</v>
      </c>
      <c r="F1536" s="940"/>
      <c r="G1536" s="953"/>
      <c r="H1536" s="969"/>
      <c r="I1536" s="998" t="s">
        <v>4637</v>
      </c>
      <c r="J1536" s="1203" t="s">
        <v>344</v>
      </c>
      <c r="K1536" s="984" t="s">
        <v>216</v>
      </c>
      <c r="L1536" s="959">
        <v>48.0</v>
      </c>
      <c r="M1536" s="960">
        <v>72.0</v>
      </c>
      <c r="N1536" s="960">
        <v>48.0</v>
      </c>
      <c r="O1536" s="960">
        <v>72.0</v>
      </c>
      <c r="P1536" s="960">
        <v>48.0</v>
      </c>
      <c r="Q1536" s="960">
        <v>48.0</v>
      </c>
      <c r="R1536" s="960">
        <v>132.0</v>
      </c>
      <c r="S1536" s="960">
        <v>195.0</v>
      </c>
      <c r="T1536" s="960">
        <v>214.0</v>
      </c>
      <c r="U1536" s="960">
        <f t="array" ref="U1536">HLOOKUP($J1536,'Type Chart'!$C$2:$T$20,2,false)*HLOOKUP($K1536,'Type Chart'!$C$2:$U$20,2,false)</f>
        <v>1</v>
      </c>
      <c r="V1536" s="960">
        <f t="array" ref="V1536">HLOOKUP($J1536,'Type Chart'!$C$2:$T$20,3,false)*HLOOKUP($K1536,'Type Chart'!$C$2:$U$20,3,false)</f>
        <v>0.5</v>
      </c>
      <c r="W1536" s="960">
        <f t="array" ref="W1536">HLOOKUP($J1536,'Type Chart'!$C$2:$T$20,4,false)*HLOOKUP($K1536,'Type Chart'!$C$2:$U$20,4,false)</f>
        <v>1</v>
      </c>
      <c r="X1536" s="960">
        <f t="array" ref="X1536">HLOOKUP($J1536,'Type Chart'!$C$2:$T$20,5,false)*HLOOKUP($K1536,'Type Chart'!$C$2:$U$20,5,false)</f>
        <v>1</v>
      </c>
      <c r="Y1536" s="960">
        <f t="array" ref="Y1536">HLOOKUP($J1536,'Type Chart'!$C$2:$T$20,6,false)*HLOOKUP($K1536,'Type Chart'!$C$2:$U$20,6,false)</f>
        <v>1</v>
      </c>
      <c r="Z1536" s="960">
        <f t="array" ref="Z1536">HLOOKUP($J1536,'Type Chart'!$C$2:$T$20,7,false)*HLOOKUP($K1536,'Type Chart'!$C$2:$U$20,7,false)</f>
        <v>1</v>
      </c>
      <c r="AA1536" s="960">
        <f t="array" ref="AA1536">HLOOKUP($J1536,'Type Chart'!$C$2:$T$20,8,false)*HLOOKUP($K1536,'Type Chart'!$C$2:$U$20,8,false)</f>
        <v>2</v>
      </c>
      <c r="AB1536" s="960">
        <f t="array" ref="AB1536">HLOOKUP($J1536,'Type Chart'!$C$2:$T$20,9,false)*HLOOKUP($K1536,'Type Chart'!$C$2:$U$20,9,false)</f>
        <v>2</v>
      </c>
      <c r="AC1536" s="960">
        <f t="array" ref="AC1536">HLOOKUP($J1536,'Type Chart'!$C$2:$T$20,10,false)*HLOOKUP($K1536,'Type Chart'!$C$2:$U$20,10,false)</f>
        <v>1</v>
      </c>
      <c r="AD1536" s="960">
        <f t="array" ref="AD1536">HLOOKUP($J1536,'Type Chart'!$C$2:$T$20,11,false)*HLOOKUP($K1536,'Type Chart'!$C$2:$U$20,11,false)</f>
        <v>1</v>
      </c>
      <c r="AE1536" s="960">
        <f t="array" ref="AE1536">HLOOKUP($J1536,'Type Chart'!$C$2:$T$20,12,false)*HLOOKUP($K1536,'Type Chart'!$C$2:$U$20,12,false)</f>
        <v>1</v>
      </c>
      <c r="AF1536" s="960">
        <f t="array" ref="AF1536">HLOOKUP($J1536,'Type Chart'!$C$2:$T$20,13,false)*HLOOKUP($K1536,'Type Chart'!$C$2:$U$20,13,false)</f>
        <v>1</v>
      </c>
      <c r="AG1536" s="960">
        <f t="array" ref="AG1536">HLOOKUP($J1536,'Type Chart'!$C$2:$T$20,14,false)*HLOOKUP($K1536,'Type Chart'!$C$2:$U$20,14,false)</f>
        <v>1</v>
      </c>
      <c r="AH1536" s="960">
        <f t="array" ref="AH1536">HLOOKUP($J1536,'Type Chart'!$C$2:$T$20,15,false)*HLOOKUP($K1536,'Type Chart'!$C$2:$U$20,15,false)</f>
        <v>0.5</v>
      </c>
      <c r="AI1536" s="960">
        <f t="array" ref="AI1536">HLOOKUP($J1536,'Type Chart'!$C$2:$T$20,16,false)*HLOOKUP($K1536,'Type Chart'!$C$2:$U$20,16,false)</f>
        <v>1</v>
      </c>
      <c r="AJ1536" s="960">
        <f t="array" ref="AJ1536">HLOOKUP($J1536,'Type Chart'!$C$2:$T$20,17,false)*HLOOKUP($K1536,'Type Chart'!$C$2:$U$20,17,false)</f>
        <v>1</v>
      </c>
      <c r="AK1536" s="960">
        <f t="array" ref="AK1536">HLOOKUP($J1536,'Type Chart'!$C$2:$T$20,18,false)*HLOOKUP($K1536,'Type Chart'!$C$2:$U$20,18,false)</f>
        <v>2</v>
      </c>
      <c r="AL1536" s="960">
        <f t="array" ref="AL1536">HLOOKUP($J1536,'Type Chart'!$C$2:$T$20,19,false)*HLOOKUP($K1536,'Type Chart'!$C$2:$U$20,19,false)</f>
        <v>1</v>
      </c>
      <c r="AM1536" s="964" t="s">
        <v>1437</v>
      </c>
      <c r="AN1536" s="965"/>
      <c r="AO1536" s="966"/>
      <c r="AP1536" s="936"/>
      <c r="AQ1536" s="1245"/>
      <c r="AR1536" s="1245"/>
      <c r="AS1536" s="936"/>
    </row>
    <row r="1537" ht="15.75" customHeight="1">
      <c r="A1537" s="1099"/>
      <c r="B1537" s="948" t="s">
        <v>1825</v>
      </c>
      <c r="C1537" s="1197" t="s">
        <v>1826</v>
      </c>
      <c r="D1537" s="1197" t="s">
        <v>1826</v>
      </c>
      <c r="E1537" s="1147" t="s">
        <v>1826</v>
      </c>
      <c r="F1537" s="940"/>
      <c r="G1537" s="953"/>
      <c r="H1537" s="969"/>
      <c r="I1537" s="998" t="s">
        <v>4638</v>
      </c>
      <c r="J1537" s="1203" t="s">
        <v>344</v>
      </c>
      <c r="K1537" s="984" t="s">
        <v>216</v>
      </c>
      <c r="L1537" s="959">
        <v>190.0</v>
      </c>
      <c r="M1537" s="960">
        <v>33.0</v>
      </c>
      <c r="N1537" s="960">
        <v>58.0</v>
      </c>
      <c r="O1537" s="960">
        <v>33.0</v>
      </c>
      <c r="P1537" s="960">
        <v>58.0</v>
      </c>
      <c r="Q1537" s="960">
        <v>33.0</v>
      </c>
      <c r="R1537" s="960">
        <v>102.0</v>
      </c>
      <c r="S1537" s="960">
        <v>165.0</v>
      </c>
      <c r="T1537" s="960">
        <v>181.0</v>
      </c>
      <c r="U1537" s="960">
        <f t="array" ref="U1537">HLOOKUP($J1537,'Type Chart'!$C$2:$T$20,2,false)*HLOOKUP($K1537,'Type Chart'!$C$2:$U$20,2,false)</f>
        <v>1</v>
      </c>
      <c r="V1537" s="960">
        <f t="array" ref="V1537">HLOOKUP($J1537,'Type Chart'!$C$2:$T$20,3,false)*HLOOKUP($K1537,'Type Chart'!$C$2:$U$20,3,false)</f>
        <v>0.5</v>
      </c>
      <c r="W1537" s="960">
        <f t="array" ref="W1537">HLOOKUP($J1537,'Type Chart'!$C$2:$T$20,4,false)*HLOOKUP($K1537,'Type Chart'!$C$2:$U$20,4,false)</f>
        <v>1</v>
      </c>
      <c r="X1537" s="960">
        <f t="array" ref="X1537">HLOOKUP($J1537,'Type Chart'!$C$2:$T$20,5,false)*HLOOKUP($K1537,'Type Chart'!$C$2:$U$20,5,false)</f>
        <v>1</v>
      </c>
      <c r="Y1537" s="960">
        <f t="array" ref="Y1537">HLOOKUP($J1537,'Type Chart'!$C$2:$T$20,6,false)*HLOOKUP($K1537,'Type Chart'!$C$2:$U$20,6,false)</f>
        <v>1</v>
      </c>
      <c r="Z1537" s="960">
        <f t="array" ref="Z1537">HLOOKUP($J1537,'Type Chart'!$C$2:$T$20,7,false)*HLOOKUP($K1537,'Type Chart'!$C$2:$U$20,7,false)</f>
        <v>1</v>
      </c>
      <c r="AA1537" s="960">
        <f t="array" ref="AA1537">HLOOKUP($J1537,'Type Chart'!$C$2:$T$20,8,false)*HLOOKUP($K1537,'Type Chart'!$C$2:$U$20,8,false)</f>
        <v>2</v>
      </c>
      <c r="AB1537" s="960">
        <f t="array" ref="AB1537">HLOOKUP($J1537,'Type Chart'!$C$2:$T$20,9,false)*HLOOKUP($K1537,'Type Chart'!$C$2:$U$20,9,false)</f>
        <v>2</v>
      </c>
      <c r="AC1537" s="960">
        <f t="array" ref="AC1537">HLOOKUP($J1537,'Type Chart'!$C$2:$T$20,10,false)*HLOOKUP($K1537,'Type Chart'!$C$2:$U$20,10,false)</f>
        <v>1</v>
      </c>
      <c r="AD1537" s="960">
        <f t="array" ref="AD1537">HLOOKUP($J1537,'Type Chart'!$C$2:$T$20,11,false)*HLOOKUP($K1537,'Type Chart'!$C$2:$U$20,11,false)</f>
        <v>1</v>
      </c>
      <c r="AE1537" s="960">
        <f t="array" ref="AE1537">HLOOKUP($J1537,'Type Chart'!$C$2:$T$20,12,false)*HLOOKUP($K1537,'Type Chart'!$C$2:$U$20,12,false)</f>
        <v>1</v>
      </c>
      <c r="AF1537" s="960">
        <f t="array" ref="AF1537">HLOOKUP($J1537,'Type Chart'!$C$2:$T$20,13,false)*HLOOKUP($K1537,'Type Chart'!$C$2:$U$20,13,false)</f>
        <v>1</v>
      </c>
      <c r="AG1537" s="960">
        <f t="array" ref="AG1537">HLOOKUP($J1537,'Type Chart'!$C$2:$T$20,14,false)*HLOOKUP($K1537,'Type Chart'!$C$2:$U$20,14,false)</f>
        <v>1</v>
      </c>
      <c r="AH1537" s="960">
        <f t="array" ref="AH1537">HLOOKUP($J1537,'Type Chart'!$C$2:$T$20,15,false)*HLOOKUP($K1537,'Type Chart'!$C$2:$U$20,15,false)</f>
        <v>0.5</v>
      </c>
      <c r="AI1537" s="960">
        <f t="array" ref="AI1537">HLOOKUP($J1537,'Type Chart'!$C$2:$T$20,16,false)*HLOOKUP($K1537,'Type Chart'!$C$2:$U$20,16,false)</f>
        <v>1</v>
      </c>
      <c r="AJ1537" s="960">
        <f t="array" ref="AJ1537">HLOOKUP($J1537,'Type Chart'!$C$2:$T$20,17,false)*HLOOKUP($K1537,'Type Chart'!$C$2:$U$20,17,false)</f>
        <v>1</v>
      </c>
      <c r="AK1537" s="960">
        <f t="array" ref="AK1537">HLOOKUP($J1537,'Type Chart'!$C$2:$T$20,18,false)*HLOOKUP($K1537,'Type Chart'!$C$2:$U$20,18,false)</f>
        <v>2</v>
      </c>
      <c r="AL1537" s="960">
        <f t="array" ref="AL1537">HLOOKUP($J1537,'Type Chart'!$C$2:$T$20,19,false)*HLOOKUP($K1537,'Type Chart'!$C$2:$U$20,19,false)</f>
        <v>1</v>
      </c>
      <c r="AM1537" s="964" t="s">
        <v>1446</v>
      </c>
      <c r="AN1537" s="965"/>
      <c r="AO1537" s="966" t="s">
        <v>1828</v>
      </c>
      <c r="AP1537" s="936"/>
      <c r="AQ1537" s="1245"/>
      <c r="AR1537" s="1245"/>
      <c r="AS1537" s="936"/>
    </row>
    <row r="1538" ht="15.75" customHeight="1">
      <c r="A1538" s="1099"/>
      <c r="B1538" s="948" t="s">
        <v>1829</v>
      </c>
      <c r="C1538" s="1197" t="s">
        <v>1830</v>
      </c>
      <c r="D1538" s="1197" t="s">
        <v>1830</v>
      </c>
      <c r="E1538" s="1147" t="s">
        <v>1830</v>
      </c>
      <c r="F1538" s="940"/>
      <c r="G1538" s="953"/>
      <c r="H1538" s="969"/>
      <c r="I1538" s="998" t="s">
        <v>4639</v>
      </c>
      <c r="J1538" s="1194" t="s">
        <v>136</v>
      </c>
      <c r="K1538" s="1203" t="s">
        <v>344</v>
      </c>
      <c r="L1538" s="959">
        <v>70.0</v>
      </c>
      <c r="M1538" s="960">
        <v>80.0</v>
      </c>
      <c r="N1538" s="960">
        <v>65.0</v>
      </c>
      <c r="O1538" s="960">
        <v>90.0</v>
      </c>
      <c r="P1538" s="960">
        <v>65.0</v>
      </c>
      <c r="Q1538" s="960">
        <v>85.0</v>
      </c>
      <c r="R1538" s="960">
        <v>206.0</v>
      </c>
      <c r="S1538" s="960">
        <v>269.0</v>
      </c>
      <c r="T1538" s="960">
        <v>295.0</v>
      </c>
      <c r="U1538" s="960">
        <f t="array" ref="U1538">HLOOKUP($J1538,'Type Chart'!$C$2:$T$20,2,false)*HLOOKUP($K1538,'Type Chart'!$C$2:$U$20,2,false)</f>
        <v>1</v>
      </c>
      <c r="V1538" s="960">
        <f t="array" ref="V1538">HLOOKUP($J1538,'Type Chart'!$C$2:$T$20,3,false)*HLOOKUP($K1538,'Type Chart'!$C$2:$U$20,3,false)</f>
        <v>1</v>
      </c>
      <c r="W1538" s="960">
        <f t="array" ref="W1538">HLOOKUP($J1538,'Type Chart'!$C$2:$T$20,4,false)*HLOOKUP($K1538,'Type Chart'!$C$2:$U$20,4,false)</f>
        <v>1</v>
      </c>
      <c r="X1538" s="960">
        <f t="array" ref="X1538">HLOOKUP($J1538,'Type Chart'!$C$2:$T$20,5,false)*HLOOKUP($K1538,'Type Chart'!$C$2:$U$20,5,false)</f>
        <v>1</v>
      </c>
      <c r="Y1538" s="960">
        <f t="array" ref="Y1538">HLOOKUP($J1538,'Type Chart'!$C$2:$T$20,6,false)*HLOOKUP($K1538,'Type Chart'!$C$2:$U$20,6,false)</f>
        <v>1</v>
      </c>
      <c r="Z1538" s="960">
        <f t="array" ref="Z1538">HLOOKUP($J1538,'Type Chart'!$C$2:$T$20,7,false)*HLOOKUP($K1538,'Type Chart'!$C$2:$U$20,7,false)</f>
        <v>1</v>
      </c>
      <c r="AA1538" s="960">
        <f t="array" ref="AA1538">HLOOKUP($J1538,'Type Chart'!$C$2:$T$20,8,false)*HLOOKUP($K1538,'Type Chart'!$C$2:$U$20,8,false)</f>
        <v>2</v>
      </c>
      <c r="AB1538" s="960">
        <f t="array" ref="AB1538">HLOOKUP($J1538,'Type Chart'!$C$2:$T$20,9,false)*HLOOKUP($K1538,'Type Chart'!$C$2:$U$20,9,false)</f>
        <v>0</v>
      </c>
      <c r="AC1538" s="960">
        <f t="array" ref="AC1538">HLOOKUP($J1538,'Type Chart'!$C$2:$T$20,10,false)*HLOOKUP($K1538,'Type Chart'!$C$2:$U$20,10,false)</f>
        <v>1</v>
      </c>
      <c r="AD1538" s="960">
        <f t="array" ref="AD1538">HLOOKUP($J1538,'Type Chart'!$C$2:$T$20,11,false)*HLOOKUP($K1538,'Type Chart'!$C$2:$U$20,11,false)</f>
        <v>1</v>
      </c>
      <c r="AE1538" s="960">
        <f t="array" ref="AE1538">HLOOKUP($J1538,'Type Chart'!$C$2:$T$20,12,false)*HLOOKUP($K1538,'Type Chart'!$C$2:$U$20,12,false)</f>
        <v>1</v>
      </c>
      <c r="AF1538" s="960">
        <f t="array" ref="AF1538">HLOOKUP($J1538,'Type Chart'!$C$2:$T$20,13,false)*HLOOKUP($K1538,'Type Chart'!$C$2:$U$20,13,false)</f>
        <v>1</v>
      </c>
      <c r="AG1538" s="960">
        <f t="array" ref="AG1538">HLOOKUP($J1538,'Type Chart'!$C$2:$T$20,14,false)*HLOOKUP($K1538,'Type Chart'!$C$2:$U$20,14,false)</f>
        <v>1</v>
      </c>
      <c r="AH1538" s="960">
        <f t="array" ref="AH1538">HLOOKUP($J1538,'Type Chart'!$C$2:$T$20,15,false)*HLOOKUP($K1538,'Type Chart'!$C$2:$U$20,15,false)</f>
        <v>0.5</v>
      </c>
      <c r="AI1538" s="960">
        <f t="array" ref="AI1538">HLOOKUP($J1538,'Type Chart'!$C$2:$T$20,16,false)*HLOOKUP($K1538,'Type Chart'!$C$2:$U$20,16,false)</f>
        <v>1</v>
      </c>
      <c r="AJ1538" s="960">
        <f t="array" ref="AJ1538">HLOOKUP($J1538,'Type Chart'!$C$2:$T$20,17,false)*HLOOKUP($K1538,'Type Chart'!$C$2:$U$20,17,false)</f>
        <v>1</v>
      </c>
      <c r="AK1538" s="960">
        <f t="array" ref="AK1538">HLOOKUP($J1538,'Type Chart'!$C$2:$T$20,18,false)*HLOOKUP($K1538,'Type Chart'!$C$2:$U$20,18,false)</f>
        <v>2</v>
      </c>
      <c r="AL1538" s="960">
        <f t="array" ref="AL1538">HLOOKUP($J1538,'Type Chart'!$C$2:$T$20,19,false)*HLOOKUP($K1538,'Type Chart'!$C$2:$U$20,19,false)</f>
        <v>1</v>
      </c>
      <c r="AM1538" s="1145" t="s">
        <v>1192</v>
      </c>
      <c r="AN1538" s="1202" t="s">
        <v>1403</v>
      </c>
      <c r="AO1538" s="1146" t="s">
        <v>1772</v>
      </c>
      <c r="AP1538" s="936"/>
      <c r="AQ1538" s="1245"/>
      <c r="AR1538" s="1245"/>
      <c r="AS1538" s="936"/>
    </row>
    <row r="1539" ht="15.75" customHeight="1">
      <c r="A1539" s="1099"/>
      <c r="B1539" s="948" t="s">
        <v>1831</v>
      </c>
      <c r="C1539" s="1197" t="s">
        <v>1832</v>
      </c>
      <c r="D1539" s="1197" t="s">
        <v>1832</v>
      </c>
      <c r="E1539" s="1147" t="s">
        <v>1832</v>
      </c>
      <c r="F1539" s="940"/>
      <c r="G1539" s="953"/>
      <c r="H1539" s="969"/>
      <c r="I1539" s="998" t="s">
        <v>4640</v>
      </c>
      <c r="J1539" s="1180" t="s">
        <v>343</v>
      </c>
      <c r="K1539" s="984" t="s">
        <v>216</v>
      </c>
      <c r="L1539" s="959">
        <v>50.0</v>
      </c>
      <c r="M1539" s="960">
        <v>65.0</v>
      </c>
      <c r="N1539" s="960">
        <v>90.0</v>
      </c>
      <c r="O1539" s="960">
        <v>35.0</v>
      </c>
      <c r="P1539" s="960">
        <v>35.0</v>
      </c>
      <c r="Q1539" s="960">
        <v>15.0</v>
      </c>
      <c r="R1539" s="960">
        <v>66.0</v>
      </c>
      <c r="S1539" s="960">
        <v>129.0</v>
      </c>
      <c r="T1539" s="960">
        <v>141.0</v>
      </c>
      <c r="U1539" s="960">
        <f t="array" ref="U1539">HLOOKUP($J1539,'Type Chart'!$C$2:$T$20,2,false)*HLOOKUP($K1539,'Type Chart'!$C$2:$U$20,2,false)</f>
        <v>1</v>
      </c>
      <c r="V1539" s="960">
        <f t="array" ref="V1539">HLOOKUP($J1539,'Type Chart'!$C$2:$T$20,3,false)*HLOOKUP($K1539,'Type Chart'!$C$2:$U$20,3,false)</f>
        <v>0.5</v>
      </c>
      <c r="W1539" s="960">
        <f t="array" ref="W1539">HLOOKUP($J1539,'Type Chart'!$C$2:$T$20,4,false)*HLOOKUP($K1539,'Type Chart'!$C$2:$U$20,4,false)</f>
        <v>2</v>
      </c>
      <c r="X1539" s="960">
        <f t="array" ref="X1539">HLOOKUP($J1539,'Type Chart'!$C$2:$T$20,5,false)*HLOOKUP($K1539,'Type Chart'!$C$2:$U$20,5,false)</f>
        <v>1</v>
      </c>
      <c r="Y1539" s="960">
        <f t="array" ref="Y1539">HLOOKUP($J1539,'Type Chart'!$C$2:$T$20,6,false)*HLOOKUP($K1539,'Type Chart'!$C$2:$U$20,6,false)</f>
        <v>0.5</v>
      </c>
      <c r="Z1539" s="960">
        <f t="array" ref="Z1539">HLOOKUP($J1539,'Type Chart'!$C$2:$T$20,7,false)*HLOOKUP($K1539,'Type Chart'!$C$2:$U$20,7,false)</f>
        <v>2</v>
      </c>
      <c r="AA1539" s="960">
        <f t="array" ref="AA1539">HLOOKUP($J1539,'Type Chart'!$C$2:$T$20,8,false)*HLOOKUP($K1539,'Type Chart'!$C$2:$U$20,8,false)</f>
        <v>1</v>
      </c>
      <c r="AB1539" s="960">
        <f t="array" ref="AB1539">HLOOKUP($J1539,'Type Chart'!$C$2:$T$20,9,false)*HLOOKUP($K1539,'Type Chart'!$C$2:$U$20,9,false)</f>
        <v>1</v>
      </c>
      <c r="AC1539" s="960">
        <f t="array" ref="AC1539">HLOOKUP($J1539,'Type Chart'!$C$2:$T$20,10,false)*HLOOKUP($K1539,'Type Chart'!$C$2:$U$20,10,false)</f>
        <v>1</v>
      </c>
      <c r="AD1539" s="960">
        <f t="array" ref="AD1539">HLOOKUP($J1539,'Type Chart'!$C$2:$T$20,11,false)*HLOOKUP($K1539,'Type Chart'!$C$2:$U$20,11,false)</f>
        <v>2</v>
      </c>
      <c r="AE1539" s="960">
        <f t="array" ref="AE1539">HLOOKUP($J1539,'Type Chart'!$C$2:$T$20,12,false)*HLOOKUP($K1539,'Type Chart'!$C$2:$U$20,12,false)</f>
        <v>1</v>
      </c>
      <c r="AF1539" s="960">
        <f t="array" ref="AF1539">HLOOKUP($J1539,'Type Chart'!$C$2:$T$20,13,false)*HLOOKUP($K1539,'Type Chart'!$C$2:$U$20,13,false)</f>
        <v>0.5</v>
      </c>
      <c r="AG1539" s="960">
        <f t="array" ref="AG1539">HLOOKUP($J1539,'Type Chart'!$C$2:$T$20,14,false)*HLOOKUP($K1539,'Type Chart'!$C$2:$U$20,14,false)</f>
        <v>1</v>
      </c>
      <c r="AH1539" s="960">
        <f t="array" ref="AH1539">HLOOKUP($J1539,'Type Chart'!$C$2:$T$20,15,false)*HLOOKUP($K1539,'Type Chart'!$C$2:$U$20,15,false)</f>
        <v>1</v>
      </c>
      <c r="AI1539" s="960">
        <f t="array" ref="AI1539">HLOOKUP($J1539,'Type Chart'!$C$2:$T$20,16,false)*HLOOKUP($K1539,'Type Chart'!$C$2:$U$20,16,false)</f>
        <v>1</v>
      </c>
      <c r="AJ1539" s="960">
        <f t="array" ref="AJ1539">HLOOKUP($J1539,'Type Chart'!$C$2:$T$20,17,false)*HLOOKUP($K1539,'Type Chart'!$C$2:$U$20,17,false)</f>
        <v>1</v>
      </c>
      <c r="AK1539" s="960">
        <f t="array" ref="AK1539">HLOOKUP($J1539,'Type Chart'!$C$2:$T$20,18,false)*HLOOKUP($K1539,'Type Chart'!$C$2:$U$20,18,false)</f>
        <v>1</v>
      </c>
      <c r="AL1539" s="960">
        <f t="array" ref="AL1539">HLOOKUP($J1539,'Type Chart'!$C$2:$T$20,19,false)*HLOOKUP($K1539,'Type Chart'!$C$2:$U$20,19,false)</f>
        <v>1</v>
      </c>
      <c r="AM1539" s="1145" t="s">
        <v>1331</v>
      </c>
      <c r="AN1539" s="1202"/>
      <c r="AO1539" s="1146" t="s">
        <v>1431</v>
      </c>
      <c r="AP1539" s="936"/>
      <c r="AQ1539" s="1245"/>
      <c r="AR1539" s="1245"/>
      <c r="AS1539" s="936"/>
    </row>
    <row r="1540" ht="15.75" customHeight="1">
      <c r="A1540" s="1099"/>
      <c r="B1540" s="948" t="s">
        <v>1833</v>
      </c>
      <c r="C1540" s="1197" t="s">
        <v>1834</v>
      </c>
      <c r="D1540" s="1197" t="s">
        <v>1834</v>
      </c>
      <c r="E1540" s="1147" t="s">
        <v>1834</v>
      </c>
      <c r="F1540" s="940"/>
      <c r="G1540" s="953"/>
      <c r="H1540" s="969"/>
      <c r="I1540" s="998" t="s">
        <v>4641</v>
      </c>
      <c r="J1540" s="1180" t="s">
        <v>343</v>
      </c>
      <c r="K1540" s="1206" t="s">
        <v>82</v>
      </c>
      <c r="L1540" s="959">
        <v>75.0</v>
      </c>
      <c r="M1540" s="960">
        <v>90.0</v>
      </c>
      <c r="N1540" s="960">
        <v>140.0</v>
      </c>
      <c r="O1540" s="960">
        <v>60.0</v>
      </c>
      <c r="P1540" s="960">
        <v>60.0</v>
      </c>
      <c r="Q1540" s="960">
        <v>40.0</v>
      </c>
      <c r="R1540" s="960">
        <v>116.0</v>
      </c>
      <c r="S1540" s="960">
        <v>179.0</v>
      </c>
      <c r="T1540" s="960">
        <v>196.0</v>
      </c>
      <c r="U1540" s="960">
        <f t="array" ref="U1540">HLOOKUP($J1540,'Type Chart'!$C$2:$T$20,2,false)*HLOOKUP($K1540,'Type Chart'!$C$2:$U$20,2,false)</f>
        <v>0.5</v>
      </c>
      <c r="V1540" s="960">
        <f t="array" ref="V1540">HLOOKUP($J1540,'Type Chart'!$C$2:$T$20,3,false)*HLOOKUP($K1540,'Type Chart'!$C$2:$U$20,3,false)</f>
        <v>1</v>
      </c>
      <c r="W1540" s="960">
        <f t="array" ref="W1540">HLOOKUP($J1540,'Type Chart'!$C$2:$T$20,4,false)*HLOOKUP($K1540,'Type Chart'!$C$2:$U$20,4,false)</f>
        <v>1</v>
      </c>
      <c r="X1540" s="960">
        <f t="array" ref="X1540">HLOOKUP($J1540,'Type Chart'!$C$2:$T$20,5,false)*HLOOKUP($K1540,'Type Chart'!$C$2:$U$20,5,false)</f>
        <v>0</v>
      </c>
      <c r="Y1540" s="960">
        <f t="array" ref="Y1540">HLOOKUP($J1540,'Type Chart'!$C$2:$T$20,6,false)*HLOOKUP($K1540,'Type Chart'!$C$2:$U$20,6,false)</f>
        <v>1</v>
      </c>
      <c r="Z1540" s="960">
        <f t="array" ref="Z1540">HLOOKUP($J1540,'Type Chart'!$C$2:$T$20,7,false)*HLOOKUP($K1540,'Type Chart'!$C$2:$U$20,7,false)</f>
        <v>1</v>
      </c>
      <c r="AA1540" s="960">
        <f t="array" ref="AA1540">HLOOKUP($J1540,'Type Chart'!$C$2:$T$20,8,false)*HLOOKUP($K1540,'Type Chart'!$C$2:$U$20,8,false)</f>
        <v>0.5</v>
      </c>
      <c r="AB1540" s="960">
        <f t="array" ref="AB1540">HLOOKUP($J1540,'Type Chart'!$C$2:$T$20,9,false)*HLOOKUP($K1540,'Type Chart'!$C$2:$U$20,9,false)</f>
        <v>1</v>
      </c>
      <c r="AC1540" s="960">
        <f t="array" ref="AC1540">HLOOKUP($J1540,'Type Chart'!$C$2:$T$20,10,false)*HLOOKUP($K1540,'Type Chart'!$C$2:$U$20,10,false)</f>
        <v>0.5</v>
      </c>
      <c r="AD1540" s="960">
        <f t="array" ref="AD1540">HLOOKUP($J1540,'Type Chart'!$C$2:$T$20,11,false)*HLOOKUP($K1540,'Type Chart'!$C$2:$U$20,11,false)</f>
        <v>4</v>
      </c>
      <c r="AE1540" s="960">
        <f t="array" ref="AE1540">HLOOKUP($J1540,'Type Chart'!$C$2:$T$20,12,false)*HLOOKUP($K1540,'Type Chart'!$C$2:$U$20,12,false)</f>
        <v>1</v>
      </c>
      <c r="AF1540" s="960">
        <f t="array" ref="AF1540">HLOOKUP($J1540,'Type Chart'!$C$2:$T$20,13,false)*HLOOKUP($K1540,'Type Chart'!$C$2:$U$20,13,false)</f>
        <v>0.25</v>
      </c>
      <c r="AG1540" s="960">
        <f t="array" ref="AG1540">HLOOKUP($J1540,'Type Chart'!$C$2:$T$20,14,false)*HLOOKUP($K1540,'Type Chart'!$C$2:$U$20,14,false)</f>
        <v>1</v>
      </c>
      <c r="AH1540" s="960">
        <f t="array" ref="AH1540">HLOOKUP($J1540,'Type Chart'!$C$2:$T$20,15,false)*HLOOKUP($K1540,'Type Chart'!$C$2:$U$20,15,false)</f>
        <v>0.5</v>
      </c>
      <c r="AI1540" s="960">
        <f t="array" ref="AI1540">HLOOKUP($J1540,'Type Chart'!$C$2:$T$20,16,false)*HLOOKUP($K1540,'Type Chart'!$C$2:$U$20,16,false)</f>
        <v>0.5</v>
      </c>
      <c r="AJ1540" s="960">
        <f t="array" ref="AJ1540">HLOOKUP($J1540,'Type Chart'!$C$2:$T$20,17,false)*HLOOKUP($K1540,'Type Chart'!$C$2:$U$20,17,false)</f>
        <v>0.5</v>
      </c>
      <c r="AK1540" s="960">
        <f t="array" ref="AK1540">HLOOKUP($J1540,'Type Chart'!$C$2:$T$20,18,false)*HLOOKUP($K1540,'Type Chart'!$C$2:$U$20,18,false)</f>
        <v>1</v>
      </c>
      <c r="AL1540" s="960">
        <f t="array" ref="AL1540">HLOOKUP($J1540,'Type Chart'!$C$2:$T$20,19,false)*HLOOKUP($K1540,'Type Chart'!$C$2:$U$20,19,false)</f>
        <v>0.5</v>
      </c>
      <c r="AM1540" s="964" t="s">
        <v>1331</v>
      </c>
      <c r="AN1540" s="965"/>
      <c r="AO1540" s="966" t="s">
        <v>1431</v>
      </c>
      <c r="AP1540" s="936"/>
      <c r="AQ1540" s="1245"/>
      <c r="AR1540" s="1245"/>
      <c r="AS1540" s="936"/>
    </row>
    <row r="1541" ht="15.75" customHeight="1">
      <c r="A1541" s="1099"/>
      <c r="B1541" s="948" t="s">
        <v>1835</v>
      </c>
      <c r="C1541" s="1197" t="s">
        <v>1836</v>
      </c>
      <c r="D1541" s="1197" t="s">
        <v>1836</v>
      </c>
      <c r="E1541" s="1147" t="s">
        <v>1836</v>
      </c>
      <c r="F1541" s="940"/>
      <c r="G1541" s="953"/>
      <c r="H1541" s="969"/>
      <c r="I1541" s="998" t="s">
        <v>4642</v>
      </c>
      <c r="J1541" s="1194" t="s">
        <v>136</v>
      </c>
      <c r="K1541" s="984" t="s">
        <v>216</v>
      </c>
      <c r="L1541" s="959">
        <v>100.0</v>
      </c>
      <c r="M1541" s="960">
        <v>70.0</v>
      </c>
      <c r="N1541" s="960">
        <v>70.0</v>
      </c>
      <c r="O1541" s="960">
        <v>65.0</v>
      </c>
      <c r="P1541" s="960">
        <v>65.0</v>
      </c>
      <c r="Q1541" s="960">
        <v>45.0</v>
      </c>
      <c r="R1541" s="960">
        <v>126.0</v>
      </c>
      <c r="S1541" s="960">
        <v>189.0</v>
      </c>
      <c r="T1541" s="960">
        <v>207.0</v>
      </c>
      <c r="U1541" s="960">
        <f t="array" ref="U1541">HLOOKUP($J1541,'Type Chart'!$C$2:$T$20,2,false)*HLOOKUP($K1541,'Type Chart'!$C$2:$U$20,2,false)</f>
        <v>1</v>
      </c>
      <c r="V1541" s="960">
        <f t="array" ref="V1541">HLOOKUP($J1541,'Type Chart'!$C$2:$T$20,3,false)*HLOOKUP($K1541,'Type Chart'!$C$2:$U$20,3,false)</f>
        <v>2</v>
      </c>
      <c r="W1541" s="960">
        <f t="array" ref="W1541">HLOOKUP($J1541,'Type Chart'!$C$2:$T$20,4,false)*HLOOKUP($K1541,'Type Chart'!$C$2:$U$20,4,false)</f>
        <v>1</v>
      </c>
      <c r="X1541" s="960">
        <f t="array" ref="X1541">HLOOKUP($J1541,'Type Chart'!$C$2:$T$20,5,false)*HLOOKUP($K1541,'Type Chart'!$C$2:$U$20,5,false)</f>
        <v>1</v>
      </c>
      <c r="Y1541" s="960">
        <f t="array" ref="Y1541">HLOOKUP($J1541,'Type Chart'!$C$2:$T$20,6,false)*HLOOKUP($K1541,'Type Chart'!$C$2:$U$20,6,false)</f>
        <v>1</v>
      </c>
      <c r="Z1541" s="960">
        <f t="array" ref="Z1541">HLOOKUP($J1541,'Type Chart'!$C$2:$T$20,7,false)*HLOOKUP($K1541,'Type Chart'!$C$2:$U$20,7,false)</f>
        <v>1</v>
      </c>
      <c r="AA1541" s="960">
        <f t="array" ref="AA1541">HLOOKUP($J1541,'Type Chart'!$C$2:$T$20,8,false)*HLOOKUP($K1541,'Type Chart'!$C$2:$U$20,8,false)</f>
        <v>1</v>
      </c>
      <c r="AB1541" s="960">
        <f t="array" ref="AB1541">HLOOKUP($J1541,'Type Chart'!$C$2:$T$20,9,false)*HLOOKUP($K1541,'Type Chart'!$C$2:$U$20,9,false)</f>
        <v>0</v>
      </c>
      <c r="AC1541" s="960">
        <f t="array" ref="AC1541">HLOOKUP($J1541,'Type Chart'!$C$2:$T$20,10,false)*HLOOKUP($K1541,'Type Chart'!$C$2:$U$20,10,false)</f>
        <v>1</v>
      </c>
      <c r="AD1541" s="960">
        <f t="array" ref="AD1541">HLOOKUP($J1541,'Type Chart'!$C$2:$T$20,11,false)*HLOOKUP($K1541,'Type Chart'!$C$2:$U$20,11,false)</f>
        <v>1</v>
      </c>
      <c r="AE1541" s="960">
        <f t="array" ref="AE1541">HLOOKUP($J1541,'Type Chart'!$C$2:$T$20,12,false)*HLOOKUP($K1541,'Type Chart'!$C$2:$U$20,12,false)</f>
        <v>1</v>
      </c>
      <c r="AF1541" s="960">
        <f t="array" ref="AF1541">HLOOKUP($J1541,'Type Chart'!$C$2:$T$20,13,false)*HLOOKUP($K1541,'Type Chart'!$C$2:$U$20,13,false)</f>
        <v>1</v>
      </c>
      <c r="AG1541" s="960">
        <f t="array" ref="AG1541">HLOOKUP($J1541,'Type Chart'!$C$2:$T$20,14,false)*HLOOKUP($K1541,'Type Chart'!$C$2:$U$20,14,false)</f>
        <v>1</v>
      </c>
      <c r="AH1541" s="960">
        <f t="array" ref="AH1541">HLOOKUP($J1541,'Type Chart'!$C$2:$T$20,15,false)*HLOOKUP($K1541,'Type Chart'!$C$2:$U$20,15,false)</f>
        <v>1</v>
      </c>
      <c r="AI1541" s="960">
        <f t="array" ref="AI1541">HLOOKUP($J1541,'Type Chart'!$C$2:$T$20,16,false)*HLOOKUP($K1541,'Type Chart'!$C$2:$U$20,16,false)</f>
        <v>1</v>
      </c>
      <c r="AJ1541" s="960">
        <f t="array" ref="AJ1541">HLOOKUP($J1541,'Type Chart'!$C$2:$T$20,17,false)*HLOOKUP($K1541,'Type Chart'!$C$2:$U$20,17,false)</f>
        <v>1</v>
      </c>
      <c r="AK1541" s="960">
        <f t="array" ref="AK1541">HLOOKUP($J1541,'Type Chart'!$C$2:$T$20,18,false)*HLOOKUP($K1541,'Type Chart'!$C$2:$U$20,18,false)</f>
        <v>1</v>
      </c>
      <c r="AL1541" s="960">
        <f t="array" ref="AL1541">HLOOKUP($J1541,'Type Chart'!$C$2:$T$20,19,false)*HLOOKUP($K1541,'Type Chart'!$C$2:$U$20,19,false)</f>
        <v>1</v>
      </c>
      <c r="AM1541" s="964" t="s">
        <v>1521</v>
      </c>
      <c r="AN1541" s="965" t="s">
        <v>988</v>
      </c>
      <c r="AO1541" s="966" t="s">
        <v>1243</v>
      </c>
      <c r="AP1541" s="936"/>
      <c r="AQ1541" s="1245"/>
      <c r="AR1541" s="1245"/>
      <c r="AS1541" s="936"/>
    </row>
    <row r="1542" ht="15.75" customHeight="1">
      <c r="A1542" s="1099"/>
      <c r="B1542" s="948" t="s">
        <v>1837</v>
      </c>
      <c r="C1542" s="1197" t="s">
        <v>1838</v>
      </c>
      <c r="D1542" s="1197" t="s">
        <v>1838</v>
      </c>
      <c r="E1542" s="1147" t="s">
        <v>1838</v>
      </c>
      <c r="F1542" s="940"/>
      <c r="G1542" s="953"/>
      <c r="H1542" s="969"/>
      <c r="I1542" s="998" t="s">
        <v>4643</v>
      </c>
      <c r="J1542" s="1204" t="s">
        <v>80</v>
      </c>
      <c r="K1542" s="1001" t="s">
        <v>128</v>
      </c>
      <c r="L1542" s="959">
        <v>65.0</v>
      </c>
      <c r="M1542" s="960">
        <v>75.0</v>
      </c>
      <c r="N1542" s="960">
        <v>105.0</v>
      </c>
      <c r="O1542" s="960">
        <v>35.0</v>
      </c>
      <c r="P1542" s="960">
        <v>65.0</v>
      </c>
      <c r="Q1542" s="960">
        <v>85.0</v>
      </c>
      <c r="R1542" s="960">
        <v>206.0</v>
      </c>
      <c r="S1542" s="960">
        <v>269.0</v>
      </c>
      <c r="T1542" s="960">
        <v>295.0</v>
      </c>
      <c r="U1542" s="960">
        <f t="array" ref="U1542">HLOOKUP($J1542,'Type Chart'!$C$2:$T$20,2,false)*HLOOKUP($K1542,'Type Chart'!$C$2:$U$20,2,false)</f>
        <v>1</v>
      </c>
      <c r="V1542" s="960">
        <f t="array" ref="V1542">HLOOKUP($J1542,'Type Chart'!$C$2:$T$20,3,false)*HLOOKUP($K1542,'Type Chart'!$C$2:$U$20,3,false)</f>
        <v>0.5</v>
      </c>
      <c r="W1542" s="960">
        <f t="array" ref="W1542">HLOOKUP($J1542,'Type Chart'!$C$2:$T$20,4,false)*HLOOKUP($K1542,'Type Chart'!$C$2:$U$20,4,false)</f>
        <v>1</v>
      </c>
      <c r="X1542" s="960">
        <f t="array" ref="X1542">HLOOKUP($J1542,'Type Chart'!$C$2:$T$20,5,false)*HLOOKUP($K1542,'Type Chart'!$C$2:$U$20,5,false)</f>
        <v>0.5</v>
      </c>
      <c r="Y1542" s="960">
        <f t="array" ref="Y1542">HLOOKUP($J1542,'Type Chart'!$C$2:$T$20,6,false)*HLOOKUP($K1542,'Type Chart'!$C$2:$U$20,6,false)</f>
        <v>0</v>
      </c>
      <c r="Z1542" s="960">
        <f t="array" ref="Z1542">HLOOKUP($J1542,'Type Chart'!$C$2:$T$20,7,false)*HLOOKUP($K1542,'Type Chart'!$C$2:$U$20,7,false)</f>
        <v>1</v>
      </c>
      <c r="AA1542" s="960">
        <f t="array" ref="AA1542">HLOOKUP($J1542,'Type Chart'!$C$2:$T$20,8,false)*HLOOKUP($K1542,'Type Chart'!$C$2:$U$20,8,false)</f>
        <v>0.5</v>
      </c>
      <c r="AB1542" s="960">
        <f t="array" ref="AB1542">HLOOKUP($J1542,'Type Chart'!$C$2:$T$20,9,false)*HLOOKUP($K1542,'Type Chart'!$C$2:$U$20,9,false)</f>
        <v>1</v>
      </c>
      <c r="AC1542" s="960">
        <f t="array" ref="AC1542">HLOOKUP($J1542,'Type Chart'!$C$2:$T$20,10,false)*HLOOKUP($K1542,'Type Chart'!$C$2:$U$20,10,false)</f>
        <v>1</v>
      </c>
      <c r="AD1542" s="960">
        <f t="array" ref="AD1542">HLOOKUP($J1542,'Type Chart'!$C$2:$T$20,11,false)*HLOOKUP($K1542,'Type Chart'!$C$2:$U$20,11,false)</f>
        <v>1</v>
      </c>
      <c r="AE1542" s="960">
        <f t="array" ref="AE1542">HLOOKUP($J1542,'Type Chart'!$C$2:$T$20,12,false)*HLOOKUP($K1542,'Type Chart'!$C$2:$U$20,12,false)</f>
        <v>2</v>
      </c>
      <c r="AF1542" s="960">
        <f t="array" ref="AF1542">HLOOKUP($J1542,'Type Chart'!$C$2:$T$20,13,false)*HLOOKUP($K1542,'Type Chart'!$C$2:$U$20,13,false)</f>
        <v>1</v>
      </c>
      <c r="AG1542" s="960">
        <f t="array" ref="AG1542">HLOOKUP($J1542,'Type Chart'!$C$2:$T$20,14,false)*HLOOKUP($K1542,'Type Chart'!$C$2:$U$20,14,false)</f>
        <v>0</v>
      </c>
      <c r="AH1542" s="960">
        <f t="array" ref="AH1542">HLOOKUP($J1542,'Type Chart'!$C$2:$T$20,15,false)*HLOOKUP($K1542,'Type Chart'!$C$2:$U$20,15,false)</f>
        <v>1</v>
      </c>
      <c r="AI1542" s="960">
        <f t="array" ref="AI1542">HLOOKUP($J1542,'Type Chart'!$C$2:$T$20,16,false)*HLOOKUP($K1542,'Type Chart'!$C$2:$U$20,16,false)</f>
        <v>4</v>
      </c>
      <c r="AJ1542" s="960">
        <f t="array" ref="AJ1542">HLOOKUP($J1542,'Type Chart'!$C$2:$T$20,17,false)*HLOOKUP($K1542,'Type Chart'!$C$2:$U$20,17,false)</f>
        <v>1</v>
      </c>
      <c r="AK1542" s="960">
        <f t="array" ref="AK1542">HLOOKUP($J1542,'Type Chart'!$C$2:$T$20,18,false)*HLOOKUP($K1542,'Type Chart'!$C$2:$U$20,18,false)</f>
        <v>1</v>
      </c>
      <c r="AL1542" s="960">
        <f t="array" ref="AL1542">HLOOKUP($J1542,'Type Chart'!$C$2:$T$20,19,false)*HLOOKUP($K1542,'Type Chart'!$C$2:$U$20,19,false)</f>
        <v>1</v>
      </c>
      <c r="AM1542" s="964" t="s">
        <v>1461</v>
      </c>
      <c r="AN1542" s="965" t="s">
        <v>1129</v>
      </c>
      <c r="AO1542" s="966" t="s">
        <v>1642</v>
      </c>
      <c r="AP1542" s="936"/>
      <c r="AQ1542" s="1245"/>
      <c r="AR1542" s="1245"/>
      <c r="AS1542" s="936"/>
    </row>
    <row r="1543" ht="15.75" customHeight="1">
      <c r="A1543" s="1099"/>
      <c r="B1543" s="948" t="s">
        <v>1839</v>
      </c>
      <c r="C1543" s="1197" t="s">
        <v>1840</v>
      </c>
      <c r="D1543" s="1197" t="s">
        <v>1840</v>
      </c>
      <c r="E1543" s="1147" t="s">
        <v>1840</v>
      </c>
      <c r="F1543" s="940"/>
      <c r="G1543" s="953"/>
      <c r="H1543" s="969"/>
      <c r="I1543" s="998" t="s">
        <v>4644</v>
      </c>
      <c r="J1543" s="1206" t="s">
        <v>82</v>
      </c>
      <c r="K1543" s="1204" t="s">
        <v>80</v>
      </c>
      <c r="L1543" s="959">
        <v>75.0</v>
      </c>
      <c r="M1543" s="960">
        <v>85.0</v>
      </c>
      <c r="N1543" s="960">
        <v>200.0</v>
      </c>
      <c r="O1543" s="960">
        <v>55.0</v>
      </c>
      <c r="P1543" s="960">
        <v>65.0</v>
      </c>
      <c r="Q1543" s="960">
        <v>30.0</v>
      </c>
      <c r="R1543" s="960">
        <v>96.0</v>
      </c>
      <c r="S1543" s="960">
        <v>159.0</v>
      </c>
      <c r="T1543" s="960">
        <v>174.0</v>
      </c>
      <c r="U1543" s="960">
        <f t="array" ref="U1543">HLOOKUP($J1543,'Type Chart'!$C$2:$T$20,2,false)*HLOOKUP($K1543,'Type Chart'!$C$2:$U$20,2,false)</f>
        <v>0.5</v>
      </c>
      <c r="V1543" s="960">
        <f t="array" ref="V1543">HLOOKUP($J1543,'Type Chart'!$C$2:$T$20,3,false)*HLOOKUP($K1543,'Type Chart'!$C$2:$U$20,3,false)</f>
        <v>2</v>
      </c>
      <c r="W1543" s="960">
        <f t="array" ref="W1543">HLOOKUP($J1543,'Type Chart'!$C$2:$T$20,4,false)*HLOOKUP($K1543,'Type Chart'!$C$2:$U$20,4,false)</f>
        <v>0.5</v>
      </c>
      <c r="X1543" s="960">
        <f t="array" ref="X1543">HLOOKUP($J1543,'Type Chart'!$C$2:$T$20,5,false)*HLOOKUP($K1543,'Type Chart'!$C$2:$U$20,5,false)</f>
        <v>0</v>
      </c>
      <c r="Y1543" s="960">
        <f t="array" ref="Y1543">HLOOKUP($J1543,'Type Chart'!$C$2:$T$20,6,false)*HLOOKUP($K1543,'Type Chart'!$C$2:$U$20,6,false)</f>
        <v>2</v>
      </c>
      <c r="Z1543" s="960">
        <f t="array" ref="Z1543">HLOOKUP($J1543,'Type Chart'!$C$2:$T$20,7,false)*HLOOKUP($K1543,'Type Chart'!$C$2:$U$20,7,false)</f>
        <v>0.25</v>
      </c>
      <c r="AA1543" s="960">
        <f t="array" ref="AA1543">HLOOKUP($J1543,'Type Chart'!$C$2:$T$20,8,false)*HLOOKUP($K1543,'Type Chart'!$C$2:$U$20,8,false)</f>
        <v>0.5</v>
      </c>
      <c r="AB1543" s="960">
        <f t="array" ref="AB1543">HLOOKUP($J1543,'Type Chart'!$C$2:$T$20,9,false)*HLOOKUP($K1543,'Type Chart'!$C$2:$U$20,9,false)</f>
        <v>1</v>
      </c>
      <c r="AC1543" s="960">
        <f t="array" ref="AC1543">HLOOKUP($J1543,'Type Chart'!$C$2:$T$20,10,false)*HLOOKUP($K1543,'Type Chart'!$C$2:$U$20,10,false)</f>
        <v>0.5</v>
      </c>
      <c r="AD1543" s="960">
        <f t="array" ref="AD1543">HLOOKUP($J1543,'Type Chart'!$C$2:$T$20,11,false)*HLOOKUP($K1543,'Type Chart'!$C$2:$U$20,11,false)</f>
        <v>2</v>
      </c>
      <c r="AE1543" s="960">
        <f t="array" ref="AE1543">HLOOKUP($J1543,'Type Chart'!$C$2:$T$20,12,false)*HLOOKUP($K1543,'Type Chart'!$C$2:$U$20,12,false)</f>
        <v>2</v>
      </c>
      <c r="AF1543" s="960">
        <f t="array" ref="AF1543">HLOOKUP($J1543,'Type Chart'!$C$2:$T$20,13,false)*HLOOKUP($K1543,'Type Chart'!$C$2:$U$20,13,false)</f>
        <v>1</v>
      </c>
      <c r="AG1543" s="960">
        <f t="array" ref="AG1543">HLOOKUP($J1543,'Type Chart'!$C$2:$T$20,14,false)*HLOOKUP($K1543,'Type Chart'!$C$2:$U$20,14,false)</f>
        <v>0</v>
      </c>
      <c r="AH1543" s="960">
        <f t="array" ref="AH1543">HLOOKUP($J1543,'Type Chart'!$C$2:$T$20,15,false)*HLOOKUP($K1543,'Type Chart'!$C$2:$U$20,15,false)</f>
        <v>0.5</v>
      </c>
      <c r="AI1543" s="960">
        <f t="array" ref="AI1543">HLOOKUP($J1543,'Type Chart'!$C$2:$T$20,16,false)*HLOOKUP($K1543,'Type Chart'!$C$2:$U$20,16,false)</f>
        <v>1</v>
      </c>
      <c r="AJ1543" s="960">
        <f t="array" ref="AJ1543">HLOOKUP($J1543,'Type Chart'!$C$2:$T$20,17,false)*HLOOKUP($K1543,'Type Chart'!$C$2:$U$20,17,false)</f>
        <v>0.5</v>
      </c>
      <c r="AK1543" s="960">
        <f t="array" ref="AK1543">HLOOKUP($J1543,'Type Chart'!$C$2:$T$20,18,false)*HLOOKUP($K1543,'Type Chart'!$C$2:$U$20,18,false)</f>
        <v>1</v>
      </c>
      <c r="AL1543" s="960">
        <f t="array" ref="AL1543">HLOOKUP($J1543,'Type Chart'!$C$2:$T$20,19,false)*HLOOKUP($K1543,'Type Chart'!$C$2:$U$20,19,false)</f>
        <v>0.5</v>
      </c>
      <c r="AM1543" s="1145" t="s">
        <v>1276</v>
      </c>
      <c r="AN1543" s="965" t="s">
        <v>1331</v>
      </c>
      <c r="AO1543" s="1146" t="s">
        <v>1153</v>
      </c>
      <c r="AP1543" s="936"/>
      <c r="AQ1543" s="1245"/>
      <c r="AR1543" s="1245"/>
      <c r="AS1543" s="936"/>
    </row>
    <row r="1544" ht="15.75" customHeight="1">
      <c r="A1544" s="1099"/>
      <c r="B1544" s="948" t="s">
        <v>1842</v>
      </c>
      <c r="C1544" s="1197" t="s">
        <v>1843</v>
      </c>
      <c r="D1544" s="1197" t="s">
        <v>1843</v>
      </c>
      <c r="E1544" s="1147" t="s">
        <v>1843</v>
      </c>
      <c r="F1544" s="940"/>
      <c r="G1544" s="953"/>
      <c r="H1544" s="969"/>
      <c r="I1544" s="998" t="s">
        <v>4645</v>
      </c>
      <c r="J1544" s="1206" t="s">
        <v>82</v>
      </c>
      <c r="K1544" s="1204" t="s">
        <v>80</v>
      </c>
      <c r="L1544" s="959">
        <v>75.0</v>
      </c>
      <c r="M1544" s="960">
        <v>125.0</v>
      </c>
      <c r="N1544" s="960">
        <v>230.0</v>
      </c>
      <c r="O1544" s="960">
        <v>55.0</v>
      </c>
      <c r="P1544" s="960">
        <v>95.0</v>
      </c>
      <c r="Q1544" s="960">
        <v>30.0</v>
      </c>
      <c r="R1544" s="960">
        <v>96.0</v>
      </c>
      <c r="S1544" s="960">
        <v>159.0</v>
      </c>
      <c r="T1544" s="960">
        <v>174.0</v>
      </c>
      <c r="U1544" s="960">
        <f t="array" ref="U1544">HLOOKUP($J1544,'Type Chart'!$C$2:$T$20,2,false)*HLOOKUP($K1544,'Type Chart'!$C$2:$U$20,2,false)</f>
        <v>0.5</v>
      </c>
      <c r="V1544" s="960">
        <f t="array" ref="V1544">HLOOKUP($J1544,'Type Chart'!$C$2:$T$20,3,false)*HLOOKUP($K1544,'Type Chart'!$C$2:$U$20,3,false)</f>
        <v>2</v>
      </c>
      <c r="W1544" s="960">
        <f t="array" ref="W1544">HLOOKUP($J1544,'Type Chart'!$C$2:$T$20,4,false)*HLOOKUP($K1544,'Type Chart'!$C$2:$U$20,4,false)</f>
        <v>0.5</v>
      </c>
      <c r="X1544" s="960">
        <f t="array" ref="X1544">HLOOKUP($J1544,'Type Chart'!$C$2:$T$20,5,false)*HLOOKUP($K1544,'Type Chart'!$C$2:$U$20,5,false)</f>
        <v>0</v>
      </c>
      <c r="Y1544" s="960">
        <f t="array" ref="Y1544">HLOOKUP($J1544,'Type Chart'!$C$2:$T$20,6,false)*HLOOKUP($K1544,'Type Chart'!$C$2:$U$20,6,false)</f>
        <v>2</v>
      </c>
      <c r="Z1544" s="960">
        <f t="array" ref="Z1544">HLOOKUP($J1544,'Type Chart'!$C$2:$T$20,7,false)*HLOOKUP($K1544,'Type Chart'!$C$2:$U$20,7,false)</f>
        <v>0.25</v>
      </c>
      <c r="AA1544" s="960">
        <f t="array" ref="AA1544">HLOOKUP($J1544,'Type Chart'!$C$2:$T$20,8,false)*HLOOKUP($K1544,'Type Chart'!$C$2:$U$20,8,false)</f>
        <v>0.5</v>
      </c>
      <c r="AB1544" s="960">
        <f t="array" ref="AB1544">HLOOKUP($J1544,'Type Chart'!$C$2:$T$20,9,false)*HLOOKUP($K1544,'Type Chart'!$C$2:$U$20,9,false)</f>
        <v>1</v>
      </c>
      <c r="AC1544" s="960">
        <f t="array" ref="AC1544">HLOOKUP($J1544,'Type Chart'!$C$2:$T$20,10,false)*HLOOKUP($K1544,'Type Chart'!$C$2:$U$20,10,false)</f>
        <v>0.5</v>
      </c>
      <c r="AD1544" s="960">
        <f t="array" ref="AD1544">HLOOKUP($J1544,'Type Chart'!$C$2:$T$20,11,false)*HLOOKUP($K1544,'Type Chart'!$C$2:$U$20,11,false)</f>
        <v>2</v>
      </c>
      <c r="AE1544" s="960">
        <f t="array" ref="AE1544">HLOOKUP($J1544,'Type Chart'!$C$2:$T$20,12,false)*HLOOKUP($K1544,'Type Chart'!$C$2:$U$20,12,false)</f>
        <v>2</v>
      </c>
      <c r="AF1544" s="960">
        <f t="array" ref="AF1544">HLOOKUP($J1544,'Type Chart'!$C$2:$T$20,13,false)*HLOOKUP($K1544,'Type Chart'!$C$2:$U$20,13,false)</f>
        <v>1</v>
      </c>
      <c r="AG1544" s="960">
        <f t="array" ref="AG1544">HLOOKUP($J1544,'Type Chart'!$C$2:$T$20,14,false)*HLOOKUP($K1544,'Type Chart'!$C$2:$U$20,14,false)</f>
        <v>0</v>
      </c>
      <c r="AH1544" s="960">
        <f t="array" ref="AH1544">HLOOKUP($J1544,'Type Chart'!$C$2:$T$20,15,false)*HLOOKUP($K1544,'Type Chart'!$C$2:$U$20,15,false)</f>
        <v>0.5</v>
      </c>
      <c r="AI1544" s="960">
        <f t="array" ref="AI1544">HLOOKUP($J1544,'Type Chart'!$C$2:$T$20,16,false)*HLOOKUP($K1544,'Type Chart'!$C$2:$U$20,16,false)</f>
        <v>1</v>
      </c>
      <c r="AJ1544" s="960">
        <f t="array" ref="AJ1544">HLOOKUP($J1544,'Type Chart'!$C$2:$T$20,17,false)*HLOOKUP($K1544,'Type Chart'!$C$2:$U$20,17,false)</f>
        <v>0.5</v>
      </c>
      <c r="AK1544" s="960">
        <f t="array" ref="AK1544">HLOOKUP($J1544,'Type Chart'!$C$2:$T$20,18,false)*HLOOKUP($K1544,'Type Chart'!$C$2:$U$20,18,false)</f>
        <v>1</v>
      </c>
      <c r="AL1544" s="960">
        <f t="array" ref="AL1544">HLOOKUP($J1544,'Type Chart'!$C$2:$T$20,19,false)*HLOOKUP($K1544,'Type Chart'!$C$2:$U$20,19,false)</f>
        <v>0.5</v>
      </c>
      <c r="AM1544" s="964" t="s">
        <v>1224</v>
      </c>
      <c r="AN1544" s="965"/>
      <c r="AO1544" s="966"/>
      <c r="AP1544" s="936"/>
      <c r="AQ1544" s="1245"/>
      <c r="AR1544" s="1245"/>
      <c r="AS1544" s="936"/>
    </row>
    <row r="1545" ht="15.75" customHeight="1">
      <c r="A1545" s="1099"/>
      <c r="B1545" s="948" t="s">
        <v>1845</v>
      </c>
      <c r="C1545" s="1197" t="s">
        <v>1846</v>
      </c>
      <c r="D1545" s="1197" t="s">
        <v>1846</v>
      </c>
      <c r="E1545" s="1147" t="s">
        <v>1846</v>
      </c>
      <c r="F1545" s="940"/>
      <c r="G1545" s="953"/>
      <c r="H1545" s="969"/>
      <c r="I1545" s="998" t="s">
        <v>4646</v>
      </c>
      <c r="J1545" s="1207" t="s">
        <v>127</v>
      </c>
      <c r="K1545" s="984" t="s">
        <v>216</v>
      </c>
      <c r="L1545" s="959">
        <v>60.0</v>
      </c>
      <c r="M1545" s="960">
        <v>80.0</v>
      </c>
      <c r="N1545" s="960">
        <v>50.0</v>
      </c>
      <c r="O1545" s="960">
        <v>40.0</v>
      </c>
      <c r="P1545" s="960">
        <v>40.0</v>
      </c>
      <c r="Q1545" s="960">
        <v>30.0</v>
      </c>
      <c r="R1545" s="960">
        <v>96.0</v>
      </c>
      <c r="S1545" s="960">
        <v>159.0</v>
      </c>
      <c r="T1545" s="960">
        <v>174.0</v>
      </c>
      <c r="U1545" s="960">
        <f t="array" ref="U1545">HLOOKUP($J1545,'Type Chart'!$C$2:$T$20,2,false)*HLOOKUP($K1545,'Type Chart'!$C$2:$U$20,2,false)</f>
        <v>1</v>
      </c>
      <c r="V1545" s="960">
        <f t="array" ref="V1545">HLOOKUP($J1545,'Type Chart'!$C$2:$T$20,3,false)*HLOOKUP($K1545,'Type Chart'!$C$2:$U$20,3,false)</f>
        <v>0.5</v>
      </c>
      <c r="W1545" s="960">
        <f t="array" ref="W1545">HLOOKUP($J1545,'Type Chart'!$C$2:$T$20,4,false)*HLOOKUP($K1545,'Type Chart'!$C$2:$U$20,4,false)</f>
        <v>1</v>
      </c>
      <c r="X1545" s="960">
        <f t="array" ref="X1545">HLOOKUP($J1545,'Type Chart'!$C$2:$T$20,5,false)*HLOOKUP($K1545,'Type Chart'!$C$2:$U$20,5,false)</f>
        <v>2</v>
      </c>
      <c r="Y1545" s="960">
        <f t="array" ref="Y1545">HLOOKUP($J1545,'Type Chart'!$C$2:$T$20,6,false)*HLOOKUP($K1545,'Type Chart'!$C$2:$U$20,6,false)</f>
        <v>1</v>
      </c>
      <c r="Z1545" s="960">
        <f t="array" ref="Z1545">HLOOKUP($J1545,'Type Chart'!$C$2:$T$20,7,false)*HLOOKUP($K1545,'Type Chart'!$C$2:$U$20,7,false)</f>
        <v>1</v>
      </c>
      <c r="AA1545" s="960">
        <f t="array" ref="AA1545">HLOOKUP($J1545,'Type Chart'!$C$2:$T$20,8,false)*HLOOKUP($K1545,'Type Chart'!$C$2:$U$20,8,false)</f>
        <v>0.5</v>
      </c>
      <c r="AB1545" s="960">
        <f t="array" ref="AB1545">HLOOKUP($J1545,'Type Chart'!$C$2:$T$20,9,false)*HLOOKUP($K1545,'Type Chart'!$C$2:$U$20,9,false)</f>
        <v>1</v>
      </c>
      <c r="AC1545" s="960">
        <f t="array" ref="AC1545">HLOOKUP($J1545,'Type Chart'!$C$2:$T$20,10,false)*HLOOKUP($K1545,'Type Chart'!$C$2:$U$20,10,false)</f>
        <v>2</v>
      </c>
      <c r="AD1545" s="960">
        <f t="array" ref="AD1545">HLOOKUP($J1545,'Type Chart'!$C$2:$T$20,11,false)*HLOOKUP($K1545,'Type Chart'!$C$2:$U$20,11,false)</f>
        <v>1</v>
      </c>
      <c r="AE1545" s="960">
        <f t="array" ref="AE1545">HLOOKUP($J1545,'Type Chart'!$C$2:$T$20,12,false)*HLOOKUP($K1545,'Type Chart'!$C$2:$U$20,12,false)</f>
        <v>1</v>
      </c>
      <c r="AF1545" s="960">
        <f t="array" ref="AF1545">HLOOKUP($J1545,'Type Chart'!$C$2:$T$20,13,false)*HLOOKUP($K1545,'Type Chart'!$C$2:$U$20,13,false)</f>
        <v>1</v>
      </c>
      <c r="AG1545" s="960">
        <f t="array" ref="AG1545">HLOOKUP($J1545,'Type Chart'!$C$2:$T$20,14,false)*HLOOKUP($K1545,'Type Chart'!$C$2:$U$20,14,false)</f>
        <v>1</v>
      </c>
      <c r="AH1545" s="960">
        <f t="array" ref="AH1545">HLOOKUP($J1545,'Type Chart'!$C$2:$T$20,15,false)*HLOOKUP($K1545,'Type Chart'!$C$2:$U$20,15,false)</f>
        <v>1</v>
      </c>
      <c r="AI1545" s="960">
        <f t="array" ref="AI1545">HLOOKUP($J1545,'Type Chart'!$C$2:$T$20,16,false)*HLOOKUP($K1545,'Type Chart'!$C$2:$U$20,16,false)</f>
        <v>1</v>
      </c>
      <c r="AJ1545" s="960">
        <f t="array" ref="AJ1545">HLOOKUP($J1545,'Type Chart'!$C$2:$T$20,17,false)*HLOOKUP($K1545,'Type Chart'!$C$2:$U$20,17,false)</f>
        <v>0</v>
      </c>
      <c r="AK1545" s="960">
        <f t="array" ref="AK1545">HLOOKUP($J1545,'Type Chart'!$C$2:$T$20,18,false)*HLOOKUP($K1545,'Type Chart'!$C$2:$U$20,18,false)</f>
        <v>0.5</v>
      </c>
      <c r="AL1545" s="960">
        <f t="array" ref="AL1545">HLOOKUP($J1545,'Type Chart'!$C$2:$T$20,19,false)*HLOOKUP($K1545,'Type Chart'!$C$2:$U$20,19,false)</f>
        <v>1</v>
      </c>
      <c r="AM1545" s="964" t="s">
        <v>1061</v>
      </c>
      <c r="AN1545" s="965" t="s">
        <v>988</v>
      </c>
      <c r="AO1545" s="966" t="s">
        <v>1243</v>
      </c>
      <c r="AP1545" s="936"/>
      <c r="AQ1545" s="1245"/>
      <c r="AR1545" s="1245"/>
      <c r="AS1545" s="936"/>
    </row>
    <row r="1546" ht="15.75" customHeight="1">
      <c r="A1546" s="1099"/>
      <c r="B1546" s="948" t="s">
        <v>1848</v>
      </c>
      <c r="C1546" s="1197" t="s">
        <v>1849</v>
      </c>
      <c r="D1546" s="1197" t="s">
        <v>1849</v>
      </c>
      <c r="E1546" s="1147" t="s">
        <v>1849</v>
      </c>
      <c r="F1546" s="940"/>
      <c r="G1546" s="953"/>
      <c r="H1546" s="969"/>
      <c r="I1546" s="998" t="s">
        <v>4647</v>
      </c>
      <c r="J1546" s="1207" t="s">
        <v>127</v>
      </c>
      <c r="K1546" s="984" t="s">
        <v>216</v>
      </c>
      <c r="L1546" s="959">
        <v>90.0</v>
      </c>
      <c r="M1546" s="960">
        <v>120.0</v>
      </c>
      <c r="N1546" s="960">
        <v>75.0</v>
      </c>
      <c r="O1546" s="960">
        <v>60.0</v>
      </c>
      <c r="P1546" s="960">
        <v>60.0</v>
      </c>
      <c r="Q1546" s="960">
        <v>45.0</v>
      </c>
      <c r="R1546" s="960">
        <v>126.0</v>
      </c>
      <c r="S1546" s="960">
        <v>189.0</v>
      </c>
      <c r="T1546" s="960">
        <v>207.0</v>
      </c>
      <c r="U1546" s="960">
        <f t="array" ref="U1546">HLOOKUP($J1546,'Type Chart'!$C$2:$T$20,2,false)*HLOOKUP($K1546,'Type Chart'!$C$2:$U$20,2,false)</f>
        <v>1</v>
      </c>
      <c r="V1546" s="960">
        <f t="array" ref="V1546">HLOOKUP($J1546,'Type Chart'!$C$2:$T$20,3,false)*HLOOKUP($K1546,'Type Chart'!$C$2:$U$20,3,false)</f>
        <v>0.5</v>
      </c>
      <c r="W1546" s="960">
        <f t="array" ref="W1546">HLOOKUP($J1546,'Type Chart'!$C$2:$T$20,4,false)*HLOOKUP($K1546,'Type Chart'!$C$2:$U$20,4,false)</f>
        <v>1</v>
      </c>
      <c r="X1546" s="960">
        <f t="array" ref="X1546">HLOOKUP($J1546,'Type Chart'!$C$2:$T$20,5,false)*HLOOKUP($K1546,'Type Chart'!$C$2:$U$20,5,false)</f>
        <v>2</v>
      </c>
      <c r="Y1546" s="960">
        <f t="array" ref="Y1546">HLOOKUP($J1546,'Type Chart'!$C$2:$T$20,6,false)*HLOOKUP($K1546,'Type Chart'!$C$2:$U$20,6,false)</f>
        <v>1</v>
      </c>
      <c r="Z1546" s="960">
        <f t="array" ref="Z1546">HLOOKUP($J1546,'Type Chart'!$C$2:$T$20,7,false)*HLOOKUP($K1546,'Type Chart'!$C$2:$U$20,7,false)</f>
        <v>1</v>
      </c>
      <c r="AA1546" s="960">
        <f t="array" ref="AA1546">HLOOKUP($J1546,'Type Chart'!$C$2:$T$20,8,false)*HLOOKUP($K1546,'Type Chart'!$C$2:$U$20,8,false)</f>
        <v>0.5</v>
      </c>
      <c r="AB1546" s="960">
        <f t="array" ref="AB1546">HLOOKUP($J1546,'Type Chart'!$C$2:$T$20,9,false)*HLOOKUP($K1546,'Type Chart'!$C$2:$U$20,9,false)</f>
        <v>1</v>
      </c>
      <c r="AC1546" s="960">
        <f t="array" ref="AC1546">HLOOKUP($J1546,'Type Chart'!$C$2:$T$20,10,false)*HLOOKUP($K1546,'Type Chart'!$C$2:$U$20,10,false)</f>
        <v>2</v>
      </c>
      <c r="AD1546" s="960">
        <f t="array" ref="AD1546">HLOOKUP($J1546,'Type Chart'!$C$2:$T$20,11,false)*HLOOKUP($K1546,'Type Chart'!$C$2:$U$20,11,false)</f>
        <v>1</v>
      </c>
      <c r="AE1546" s="960">
        <f t="array" ref="AE1546">HLOOKUP($J1546,'Type Chart'!$C$2:$T$20,12,false)*HLOOKUP($K1546,'Type Chart'!$C$2:$U$20,12,false)</f>
        <v>1</v>
      </c>
      <c r="AF1546" s="960">
        <f t="array" ref="AF1546">HLOOKUP($J1546,'Type Chart'!$C$2:$T$20,13,false)*HLOOKUP($K1546,'Type Chart'!$C$2:$U$20,13,false)</f>
        <v>1</v>
      </c>
      <c r="AG1546" s="960">
        <f t="array" ref="AG1546">HLOOKUP($J1546,'Type Chart'!$C$2:$T$20,14,false)*HLOOKUP($K1546,'Type Chart'!$C$2:$U$20,14,false)</f>
        <v>1</v>
      </c>
      <c r="AH1546" s="960">
        <f t="array" ref="AH1546">HLOOKUP($J1546,'Type Chart'!$C$2:$T$20,15,false)*HLOOKUP($K1546,'Type Chart'!$C$2:$U$20,15,false)</f>
        <v>1</v>
      </c>
      <c r="AI1546" s="960">
        <f t="array" ref="AI1546">HLOOKUP($J1546,'Type Chart'!$C$2:$T$20,16,false)*HLOOKUP($K1546,'Type Chart'!$C$2:$U$20,16,false)</f>
        <v>1</v>
      </c>
      <c r="AJ1546" s="960">
        <f t="array" ref="AJ1546">HLOOKUP($J1546,'Type Chart'!$C$2:$T$20,17,false)*HLOOKUP($K1546,'Type Chart'!$C$2:$U$20,17,false)</f>
        <v>0</v>
      </c>
      <c r="AK1546" s="960">
        <f t="array" ref="AK1546">HLOOKUP($J1546,'Type Chart'!$C$2:$T$20,18,false)*HLOOKUP($K1546,'Type Chart'!$C$2:$U$20,18,false)</f>
        <v>0.5</v>
      </c>
      <c r="AL1546" s="960">
        <f t="array" ref="AL1546">HLOOKUP($J1546,'Type Chart'!$C$2:$T$20,19,false)*HLOOKUP($K1546,'Type Chart'!$C$2:$U$20,19,false)</f>
        <v>1</v>
      </c>
      <c r="AM1546" s="1145" t="s">
        <v>1061</v>
      </c>
      <c r="AN1546" s="1202" t="s">
        <v>1615</v>
      </c>
      <c r="AO1546" s="1146" t="s">
        <v>1243</v>
      </c>
      <c r="AP1546" s="936"/>
      <c r="AQ1546" s="1245"/>
      <c r="AR1546" s="1245"/>
      <c r="AS1546" s="936"/>
    </row>
    <row r="1547" ht="15.75" customHeight="1">
      <c r="A1547" s="1099"/>
      <c r="B1547" s="948" t="s">
        <v>1850</v>
      </c>
      <c r="C1547" s="1197" t="s">
        <v>1851</v>
      </c>
      <c r="D1547" s="1197" t="s">
        <v>1851</v>
      </c>
      <c r="E1547" s="1147" t="s">
        <v>1851</v>
      </c>
      <c r="F1547" s="940"/>
      <c r="G1547" s="953"/>
      <c r="H1547" s="969"/>
      <c r="I1547" s="998" t="s">
        <v>4648</v>
      </c>
      <c r="J1547" s="1056" t="s">
        <v>81</v>
      </c>
      <c r="K1547" s="958" t="s">
        <v>178</v>
      </c>
      <c r="L1547" s="959">
        <v>65.0</v>
      </c>
      <c r="M1547" s="960">
        <v>95.0</v>
      </c>
      <c r="N1547" s="960">
        <v>85.0</v>
      </c>
      <c r="O1547" s="960">
        <v>55.0</v>
      </c>
      <c r="P1547" s="960">
        <v>55.0</v>
      </c>
      <c r="Q1547" s="960">
        <v>85.0</v>
      </c>
      <c r="R1547" s="960">
        <v>206.0</v>
      </c>
      <c r="S1547" s="960">
        <v>269.0</v>
      </c>
      <c r="T1547" s="960">
        <v>295.0</v>
      </c>
      <c r="U1547" s="960">
        <f t="array" ref="U1547">HLOOKUP($J1547,'Type Chart'!$C$2:$T$20,2,false)*HLOOKUP($K1547,'Type Chart'!$C$2:$U$20,2,false)</f>
        <v>1</v>
      </c>
      <c r="V1547" s="960">
        <f t="array" ref="V1547">HLOOKUP($J1547,'Type Chart'!$C$2:$T$20,3,false)*HLOOKUP($K1547,'Type Chart'!$C$2:$U$20,3,false)</f>
        <v>0.5</v>
      </c>
      <c r="W1547" s="960">
        <f t="array" ref="W1547">HLOOKUP($J1547,'Type Chart'!$C$2:$T$20,4,false)*HLOOKUP($K1547,'Type Chart'!$C$2:$U$20,4,false)</f>
        <v>1</v>
      </c>
      <c r="X1547" s="960">
        <f t="array" ref="X1547">HLOOKUP($J1547,'Type Chart'!$C$2:$T$20,5,false)*HLOOKUP($K1547,'Type Chart'!$C$2:$U$20,5,false)</f>
        <v>0.5</v>
      </c>
      <c r="Y1547" s="960">
        <f t="array" ref="Y1547">HLOOKUP($J1547,'Type Chart'!$C$2:$T$20,6,false)*HLOOKUP($K1547,'Type Chart'!$C$2:$U$20,6,false)</f>
        <v>2</v>
      </c>
      <c r="Z1547" s="960">
        <f t="array" ref="Z1547">HLOOKUP($J1547,'Type Chart'!$C$2:$T$20,7,false)*HLOOKUP($K1547,'Type Chart'!$C$2:$U$20,7,false)</f>
        <v>1</v>
      </c>
      <c r="AA1547" s="960">
        <f t="array" ref="AA1547">HLOOKUP($J1547,'Type Chart'!$C$2:$T$20,8,false)*HLOOKUP($K1547,'Type Chart'!$C$2:$U$20,8,false)</f>
        <v>0.5</v>
      </c>
      <c r="AB1547" s="960">
        <f t="array" ref="AB1547">HLOOKUP($J1547,'Type Chart'!$C$2:$T$20,9,false)*HLOOKUP($K1547,'Type Chart'!$C$2:$U$20,9,false)</f>
        <v>1</v>
      </c>
      <c r="AC1547" s="960">
        <f t="array" ref="AC1547">HLOOKUP($J1547,'Type Chart'!$C$2:$T$20,10,false)*HLOOKUP($K1547,'Type Chart'!$C$2:$U$20,10,false)</f>
        <v>0.5</v>
      </c>
      <c r="AD1547" s="960">
        <f t="array" ref="AD1547">HLOOKUP($J1547,'Type Chart'!$C$2:$T$20,11,false)*HLOOKUP($K1547,'Type Chart'!$C$2:$U$20,11,false)</f>
        <v>0.5</v>
      </c>
      <c r="AE1547" s="960">
        <f t="array" ref="AE1547">HLOOKUP($J1547,'Type Chart'!$C$2:$T$20,12,false)*HLOOKUP($K1547,'Type Chart'!$C$2:$U$20,12,false)</f>
        <v>0.5</v>
      </c>
      <c r="AF1547" s="960">
        <f t="array" ref="AF1547">HLOOKUP($J1547,'Type Chart'!$C$2:$T$20,13,false)*HLOOKUP($K1547,'Type Chart'!$C$2:$U$20,13,false)</f>
        <v>1</v>
      </c>
      <c r="AG1547" s="960">
        <f t="array" ref="AG1547">HLOOKUP($J1547,'Type Chart'!$C$2:$T$20,14,false)*HLOOKUP($K1547,'Type Chart'!$C$2:$U$20,14,false)</f>
        <v>2</v>
      </c>
      <c r="AH1547" s="960">
        <f t="array" ref="AH1547">HLOOKUP($J1547,'Type Chart'!$C$2:$T$20,15,false)*HLOOKUP($K1547,'Type Chart'!$C$2:$U$20,15,false)</f>
        <v>2</v>
      </c>
      <c r="AI1547" s="960">
        <f t="array" ref="AI1547">HLOOKUP($J1547,'Type Chart'!$C$2:$T$20,16,false)*HLOOKUP($K1547,'Type Chart'!$C$2:$U$20,16,false)</f>
        <v>0.5</v>
      </c>
      <c r="AJ1547" s="960">
        <f t="array" ref="AJ1547">HLOOKUP($J1547,'Type Chart'!$C$2:$T$20,17,false)*HLOOKUP($K1547,'Type Chart'!$C$2:$U$20,17,false)</f>
        <v>1</v>
      </c>
      <c r="AK1547" s="960">
        <f t="array" ref="AK1547">HLOOKUP($J1547,'Type Chart'!$C$2:$T$20,18,false)*HLOOKUP($K1547,'Type Chart'!$C$2:$U$20,18,false)</f>
        <v>1</v>
      </c>
      <c r="AL1547" s="960">
        <f t="array" ref="AL1547">HLOOKUP($J1547,'Type Chart'!$C$2:$T$20,19,false)*HLOOKUP($K1547,'Type Chart'!$C$2:$U$20,19,false)</f>
        <v>0.5</v>
      </c>
      <c r="AM1547" s="964" t="s">
        <v>1146</v>
      </c>
      <c r="AN1547" s="965" t="s">
        <v>1259</v>
      </c>
      <c r="AO1547" s="966" t="s">
        <v>1061</v>
      </c>
      <c r="AP1547" s="936"/>
      <c r="AQ1547" s="1245"/>
      <c r="AR1547" s="1245"/>
      <c r="AS1547" s="936"/>
    </row>
    <row r="1548" ht="15.75" customHeight="1">
      <c r="A1548" s="1099"/>
      <c r="B1548" s="948" t="s">
        <v>1852</v>
      </c>
      <c r="C1548" s="1197" t="s">
        <v>4649</v>
      </c>
      <c r="D1548" s="1197" t="s">
        <v>4649</v>
      </c>
      <c r="E1548" s="1147" t="s">
        <v>4649</v>
      </c>
      <c r="F1548" s="940"/>
      <c r="G1548" s="953"/>
      <c r="H1548" s="969"/>
      <c r="I1548" s="998" t="s">
        <v>4650</v>
      </c>
      <c r="J1548" s="1229" t="s">
        <v>193</v>
      </c>
      <c r="K1548" s="1209" t="s">
        <v>178</v>
      </c>
      <c r="L1548" s="1200">
        <v>65.0</v>
      </c>
      <c r="M1548" s="1201">
        <v>95.0</v>
      </c>
      <c r="N1548" s="1201">
        <v>85.0</v>
      </c>
      <c r="O1548" s="1201">
        <v>55.0</v>
      </c>
      <c r="P1548" s="1201">
        <v>55.0</v>
      </c>
      <c r="Q1548" s="1201">
        <v>85.0</v>
      </c>
      <c r="R1548" s="960">
        <v>206.0</v>
      </c>
      <c r="S1548" s="960">
        <v>269.0</v>
      </c>
      <c r="T1548" s="960">
        <v>295.0</v>
      </c>
      <c r="U1548" s="960">
        <f t="array" ref="U1548">HLOOKUP($J1548,'Type Chart'!$C$2:$T$20,2,false)*HLOOKUP($K1548,'Type Chart'!$C$2:$U$20,2,false)</f>
        <v>1</v>
      </c>
      <c r="V1548" s="960">
        <f t="array" ref="V1548">HLOOKUP($J1548,'Type Chart'!$C$2:$T$20,3,false)*HLOOKUP($K1548,'Type Chart'!$C$2:$U$20,3,false)</f>
        <v>1</v>
      </c>
      <c r="W1548" s="960">
        <f t="array" ref="W1548">HLOOKUP($J1548,'Type Chart'!$C$2:$T$20,4,false)*HLOOKUP($K1548,'Type Chart'!$C$2:$U$20,4,false)</f>
        <v>1</v>
      </c>
      <c r="X1548" s="960">
        <f t="array" ref="X1548">HLOOKUP($J1548,'Type Chart'!$C$2:$T$20,5,false)*HLOOKUP($K1548,'Type Chart'!$C$2:$U$20,5,false)</f>
        <v>0.5</v>
      </c>
      <c r="Y1548" s="960">
        <f t="array" ref="Y1548">HLOOKUP($J1548,'Type Chart'!$C$2:$T$20,6,false)*HLOOKUP($K1548,'Type Chart'!$C$2:$U$20,6,false)</f>
        <v>2</v>
      </c>
      <c r="Z1548" s="960">
        <f t="array" ref="Z1548">HLOOKUP($J1548,'Type Chart'!$C$2:$T$20,7,false)*HLOOKUP($K1548,'Type Chart'!$C$2:$U$20,7,false)</f>
        <v>1</v>
      </c>
      <c r="AA1548" s="960">
        <f t="array" ref="AA1548">HLOOKUP($J1548,'Type Chart'!$C$2:$T$20,8,false)*HLOOKUP($K1548,'Type Chart'!$C$2:$U$20,8,false)</f>
        <v>1</v>
      </c>
      <c r="AB1548" s="960">
        <f t="array" ref="AB1548">HLOOKUP($J1548,'Type Chart'!$C$2:$T$20,9,false)*HLOOKUP($K1548,'Type Chart'!$C$2:$U$20,9,false)</f>
        <v>0.5</v>
      </c>
      <c r="AC1548" s="960">
        <f t="array" ref="AC1548">HLOOKUP($J1548,'Type Chart'!$C$2:$T$20,10,false)*HLOOKUP($K1548,'Type Chart'!$C$2:$U$20,10,false)</f>
        <v>1</v>
      </c>
      <c r="AD1548" s="960">
        <f t="array" ref="AD1548">HLOOKUP($J1548,'Type Chart'!$C$2:$T$20,11,false)*HLOOKUP($K1548,'Type Chart'!$C$2:$U$20,11,false)</f>
        <v>1</v>
      </c>
      <c r="AE1548" s="960">
        <f t="array" ref="AE1548">HLOOKUP($J1548,'Type Chart'!$C$2:$T$20,12,false)*HLOOKUP($K1548,'Type Chart'!$C$2:$U$20,12,false)</f>
        <v>1</v>
      </c>
      <c r="AF1548" s="960">
        <f t="array" ref="AF1548">HLOOKUP($J1548,'Type Chart'!$C$2:$T$20,13,false)*HLOOKUP($K1548,'Type Chart'!$C$2:$U$20,13,false)</f>
        <v>0.5</v>
      </c>
      <c r="AG1548" s="960">
        <f t="array" ref="AG1548">HLOOKUP($J1548,'Type Chart'!$C$2:$T$20,14,false)*HLOOKUP($K1548,'Type Chart'!$C$2:$U$20,14,false)</f>
        <v>1</v>
      </c>
      <c r="AH1548" s="960">
        <f t="array" ref="AH1548">HLOOKUP($J1548,'Type Chart'!$C$2:$T$20,15,false)*HLOOKUP($K1548,'Type Chart'!$C$2:$U$20,15,false)</f>
        <v>0</v>
      </c>
      <c r="AI1548" s="960">
        <f t="array" ref="AI1548">HLOOKUP($J1548,'Type Chart'!$C$2:$T$20,16,false)*HLOOKUP($K1548,'Type Chart'!$C$2:$U$20,16,false)</f>
        <v>1</v>
      </c>
      <c r="AJ1548" s="960">
        <f t="array" ref="AJ1548">HLOOKUP($J1548,'Type Chart'!$C$2:$T$20,17,false)*HLOOKUP($K1548,'Type Chart'!$C$2:$U$20,17,false)</f>
        <v>1</v>
      </c>
      <c r="AK1548" s="960">
        <f t="array" ref="AK1548">HLOOKUP($J1548,'Type Chart'!$C$2:$T$20,18,false)*HLOOKUP($K1548,'Type Chart'!$C$2:$U$20,18,false)</f>
        <v>0.5</v>
      </c>
      <c r="AL1548" s="960">
        <f t="array" ref="AL1548">HLOOKUP($J1548,'Type Chart'!$C$2:$T$20,19,false)*HLOOKUP($K1548,'Type Chart'!$C$2:$U$20,19,false)</f>
        <v>1</v>
      </c>
      <c r="AM1548" s="1145" t="s">
        <v>1146</v>
      </c>
      <c r="AN1548" s="1202" t="s">
        <v>1259</v>
      </c>
      <c r="AO1548" s="1146" t="s">
        <v>1061</v>
      </c>
      <c r="AP1548" s="936"/>
      <c r="AQ1548" s="1245"/>
      <c r="AR1548" s="1245"/>
      <c r="AS1548" s="936"/>
    </row>
    <row r="1549" ht="15.75" customHeight="1">
      <c r="A1549" s="1099"/>
      <c r="B1549" s="948" t="s">
        <v>1853</v>
      </c>
      <c r="C1549" s="1197" t="s">
        <v>134</v>
      </c>
      <c r="D1549" s="1197" t="s">
        <v>134</v>
      </c>
      <c r="E1549" s="1147" t="s">
        <v>134</v>
      </c>
      <c r="F1549" s="940"/>
      <c r="G1549" s="953"/>
      <c r="H1549" s="969"/>
      <c r="I1549" s="998" t="s">
        <v>4651</v>
      </c>
      <c r="J1549" s="1180" t="s">
        <v>343</v>
      </c>
      <c r="K1549" s="1206" t="s">
        <v>82</v>
      </c>
      <c r="L1549" s="959">
        <v>70.0</v>
      </c>
      <c r="M1549" s="960">
        <v>130.0</v>
      </c>
      <c r="N1549" s="960">
        <v>100.0</v>
      </c>
      <c r="O1549" s="960">
        <v>55.0</v>
      </c>
      <c r="P1549" s="960">
        <v>80.0</v>
      </c>
      <c r="Q1549" s="960">
        <v>65.0</v>
      </c>
      <c r="R1549" s="960">
        <v>166.0</v>
      </c>
      <c r="S1549" s="960">
        <v>229.0</v>
      </c>
      <c r="T1549" s="960">
        <v>251.0</v>
      </c>
      <c r="U1549" s="960">
        <f t="array" ref="U1549">HLOOKUP($J1549,'Type Chart'!$C$2:$T$20,2,false)*HLOOKUP($K1549,'Type Chart'!$C$2:$U$20,2,false)</f>
        <v>0.5</v>
      </c>
      <c r="V1549" s="960">
        <f t="array" ref="V1549">HLOOKUP($J1549,'Type Chart'!$C$2:$T$20,3,false)*HLOOKUP($K1549,'Type Chart'!$C$2:$U$20,3,false)</f>
        <v>1</v>
      </c>
      <c r="W1549" s="960">
        <f t="array" ref="W1549">HLOOKUP($J1549,'Type Chart'!$C$2:$T$20,4,false)*HLOOKUP($K1549,'Type Chart'!$C$2:$U$20,4,false)</f>
        <v>1</v>
      </c>
      <c r="X1549" s="960">
        <f t="array" ref="X1549">HLOOKUP($J1549,'Type Chart'!$C$2:$T$20,5,false)*HLOOKUP($K1549,'Type Chart'!$C$2:$U$20,5,false)</f>
        <v>0</v>
      </c>
      <c r="Y1549" s="960">
        <f t="array" ref="Y1549">HLOOKUP($J1549,'Type Chart'!$C$2:$T$20,6,false)*HLOOKUP($K1549,'Type Chart'!$C$2:$U$20,6,false)</f>
        <v>1</v>
      </c>
      <c r="Z1549" s="960">
        <f t="array" ref="Z1549">HLOOKUP($J1549,'Type Chart'!$C$2:$T$20,7,false)*HLOOKUP($K1549,'Type Chart'!$C$2:$U$20,7,false)</f>
        <v>1</v>
      </c>
      <c r="AA1549" s="960">
        <f t="array" ref="AA1549">HLOOKUP($J1549,'Type Chart'!$C$2:$T$20,8,false)*HLOOKUP($K1549,'Type Chart'!$C$2:$U$20,8,false)</f>
        <v>0.5</v>
      </c>
      <c r="AB1549" s="960">
        <f t="array" ref="AB1549">HLOOKUP($J1549,'Type Chart'!$C$2:$T$20,9,false)*HLOOKUP($K1549,'Type Chart'!$C$2:$U$20,9,false)</f>
        <v>1</v>
      </c>
      <c r="AC1549" s="960">
        <f t="array" ref="AC1549">HLOOKUP($J1549,'Type Chart'!$C$2:$T$20,10,false)*HLOOKUP($K1549,'Type Chart'!$C$2:$U$20,10,false)</f>
        <v>0.5</v>
      </c>
      <c r="AD1549" s="960">
        <f t="array" ref="AD1549">HLOOKUP($J1549,'Type Chart'!$C$2:$T$20,11,false)*HLOOKUP($K1549,'Type Chart'!$C$2:$U$20,11,false)</f>
        <v>4</v>
      </c>
      <c r="AE1549" s="960">
        <f t="array" ref="AE1549">HLOOKUP($J1549,'Type Chart'!$C$2:$T$20,12,false)*HLOOKUP($K1549,'Type Chart'!$C$2:$U$20,12,false)</f>
        <v>1</v>
      </c>
      <c r="AF1549" s="960">
        <f t="array" ref="AF1549">HLOOKUP($J1549,'Type Chart'!$C$2:$T$20,13,false)*HLOOKUP($K1549,'Type Chart'!$C$2:$U$20,13,false)</f>
        <v>0.25</v>
      </c>
      <c r="AG1549" s="960">
        <f t="array" ref="AG1549">HLOOKUP($J1549,'Type Chart'!$C$2:$T$20,14,false)*HLOOKUP($K1549,'Type Chart'!$C$2:$U$20,14,false)</f>
        <v>1</v>
      </c>
      <c r="AH1549" s="960">
        <f t="array" ref="AH1549">HLOOKUP($J1549,'Type Chart'!$C$2:$T$20,15,false)*HLOOKUP($K1549,'Type Chart'!$C$2:$U$20,15,false)</f>
        <v>0.5</v>
      </c>
      <c r="AI1549" s="960">
        <f t="array" ref="AI1549">HLOOKUP($J1549,'Type Chart'!$C$2:$T$20,16,false)*HLOOKUP($K1549,'Type Chart'!$C$2:$U$20,16,false)</f>
        <v>0.5</v>
      </c>
      <c r="AJ1549" s="960">
        <f t="array" ref="AJ1549">HLOOKUP($J1549,'Type Chart'!$C$2:$T$20,17,false)*HLOOKUP($K1549,'Type Chart'!$C$2:$U$20,17,false)</f>
        <v>0.5</v>
      </c>
      <c r="AK1549" s="960">
        <f t="array" ref="AK1549">HLOOKUP($J1549,'Type Chart'!$C$2:$T$20,18,false)*HLOOKUP($K1549,'Type Chart'!$C$2:$U$20,18,false)</f>
        <v>1</v>
      </c>
      <c r="AL1549" s="960">
        <f t="array" ref="AL1549">HLOOKUP($J1549,'Type Chart'!$C$2:$T$20,19,false)*HLOOKUP($K1549,'Type Chart'!$C$2:$U$20,19,false)</f>
        <v>0.5</v>
      </c>
      <c r="AM1549" s="964" t="s">
        <v>1013</v>
      </c>
      <c r="AN1549" s="965" t="s">
        <v>1239</v>
      </c>
      <c r="AO1549" s="966" t="s">
        <v>1854</v>
      </c>
      <c r="AP1549" s="936"/>
      <c r="AQ1549" s="1245"/>
      <c r="AR1549" s="1245"/>
      <c r="AS1549" s="936"/>
    </row>
    <row r="1550" ht="15.75" customHeight="1">
      <c r="A1550" s="1099"/>
      <c r="B1550" s="948" t="s">
        <v>1855</v>
      </c>
      <c r="C1550" s="1197" t="s">
        <v>1856</v>
      </c>
      <c r="D1550" s="1197" t="s">
        <v>1856</v>
      </c>
      <c r="E1550" s="1147" t="s">
        <v>1856</v>
      </c>
      <c r="F1550" s="940"/>
      <c r="G1550" s="953"/>
      <c r="H1550" s="969"/>
      <c r="I1550" s="998" t="s">
        <v>4652</v>
      </c>
      <c r="J1550" s="1180" t="s">
        <v>343</v>
      </c>
      <c r="K1550" s="1206" t="s">
        <v>82</v>
      </c>
      <c r="L1550" s="959">
        <v>70.0</v>
      </c>
      <c r="M1550" s="960">
        <v>150.0</v>
      </c>
      <c r="N1550" s="960">
        <v>140.0</v>
      </c>
      <c r="O1550" s="960">
        <v>65.0</v>
      </c>
      <c r="P1550" s="960">
        <v>100.0</v>
      </c>
      <c r="Q1550" s="960">
        <v>75.0</v>
      </c>
      <c r="R1550" s="960">
        <v>186.0</v>
      </c>
      <c r="S1550" s="960">
        <v>249.0</v>
      </c>
      <c r="T1550" s="960">
        <v>273.0</v>
      </c>
      <c r="U1550" s="960">
        <f t="array" ref="U1550">HLOOKUP($J1550,'Type Chart'!$C$2:$T$20,2,false)*HLOOKUP($K1550,'Type Chart'!$C$2:$U$20,2,false)</f>
        <v>0.5</v>
      </c>
      <c r="V1550" s="960">
        <f t="array" ref="V1550">HLOOKUP($J1550,'Type Chart'!$C$2:$T$20,3,false)*HLOOKUP($K1550,'Type Chart'!$C$2:$U$20,3,false)</f>
        <v>1</v>
      </c>
      <c r="W1550" s="960">
        <f t="array" ref="W1550">HLOOKUP($J1550,'Type Chart'!$C$2:$T$20,4,false)*HLOOKUP($K1550,'Type Chart'!$C$2:$U$20,4,false)</f>
        <v>1</v>
      </c>
      <c r="X1550" s="960">
        <f t="array" ref="X1550">HLOOKUP($J1550,'Type Chart'!$C$2:$T$20,5,false)*HLOOKUP($K1550,'Type Chart'!$C$2:$U$20,5,false)</f>
        <v>0</v>
      </c>
      <c r="Y1550" s="960">
        <f t="array" ref="Y1550">HLOOKUP($J1550,'Type Chart'!$C$2:$T$20,6,false)*HLOOKUP($K1550,'Type Chart'!$C$2:$U$20,6,false)</f>
        <v>1</v>
      </c>
      <c r="Z1550" s="960">
        <f t="array" ref="Z1550">HLOOKUP($J1550,'Type Chart'!$C$2:$T$20,7,false)*HLOOKUP($K1550,'Type Chart'!$C$2:$U$20,7,false)</f>
        <v>1</v>
      </c>
      <c r="AA1550" s="960">
        <f t="array" ref="AA1550">HLOOKUP($J1550,'Type Chart'!$C$2:$T$20,8,false)*HLOOKUP($K1550,'Type Chart'!$C$2:$U$20,8,false)</f>
        <v>0.5</v>
      </c>
      <c r="AB1550" s="960">
        <f t="array" ref="AB1550">HLOOKUP($J1550,'Type Chart'!$C$2:$T$20,9,false)*HLOOKUP($K1550,'Type Chart'!$C$2:$U$20,9,false)</f>
        <v>1</v>
      </c>
      <c r="AC1550" s="960">
        <f t="array" ref="AC1550">HLOOKUP($J1550,'Type Chart'!$C$2:$T$20,10,false)*HLOOKUP($K1550,'Type Chart'!$C$2:$U$20,10,false)</f>
        <v>0.5</v>
      </c>
      <c r="AD1550" s="960">
        <f t="array" ref="AD1550">HLOOKUP($J1550,'Type Chart'!$C$2:$T$20,11,false)*HLOOKUP($K1550,'Type Chart'!$C$2:$U$20,11,false)</f>
        <v>4</v>
      </c>
      <c r="AE1550" s="960">
        <f t="array" ref="AE1550">HLOOKUP($J1550,'Type Chart'!$C$2:$T$20,12,false)*HLOOKUP($K1550,'Type Chart'!$C$2:$U$20,12,false)</f>
        <v>1</v>
      </c>
      <c r="AF1550" s="960">
        <f t="array" ref="AF1550">HLOOKUP($J1550,'Type Chart'!$C$2:$T$20,13,false)*HLOOKUP($K1550,'Type Chart'!$C$2:$U$20,13,false)</f>
        <v>0.25</v>
      </c>
      <c r="AG1550" s="960">
        <f t="array" ref="AG1550">HLOOKUP($J1550,'Type Chart'!$C$2:$T$20,14,false)*HLOOKUP($K1550,'Type Chart'!$C$2:$U$20,14,false)</f>
        <v>1</v>
      </c>
      <c r="AH1550" s="960">
        <f t="array" ref="AH1550">HLOOKUP($J1550,'Type Chart'!$C$2:$T$20,15,false)*HLOOKUP($K1550,'Type Chart'!$C$2:$U$20,15,false)</f>
        <v>0.5</v>
      </c>
      <c r="AI1550" s="960">
        <f t="array" ref="AI1550">HLOOKUP($J1550,'Type Chart'!$C$2:$T$20,16,false)*HLOOKUP($K1550,'Type Chart'!$C$2:$U$20,16,false)</f>
        <v>0.5</v>
      </c>
      <c r="AJ1550" s="960">
        <f t="array" ref="AJ1550">HLOOKUP($J1550,'Type Chart'!$C$2:$T$20,17,false)*HLOOKUP($K1550,'Type Chart'!$C$2:$U$20,17,false)</f>
        <v>0.5</v>
      </c>
      <c r="AK1550" s="960">
        <f t="array" ref="AK1550">HLOOKUP($J1550,'Type Chart'!$C$2:$T$20,18,false)*HLOOKUP($K1550,'Type Chart'!$C$2:$U$20,18,false)</f>
        <v>1</v>
      </c>
      <c r="AL1550" s="960">
        <f t="array" ref="AL1550">HLOOKUP($J1550,'Type Chart'!$C$2:$T$20,19,false)*HLOOKUP($K1550,'Type Chart'!$C$2:$U$20,19,false)</f>
        <v>0.5</v>
      </c>
      <c r="AM1550" s="964" t="s">
        <v>1239</v>
      </c>
      <c r="AN1550" s="965"/>
      <c r="AO1550" s="966"/>
      <c r="AP1550" s="936"/>
      <c r="AQ1550" s="1245"/>
      <c r="AR1550" s="1245"/>
      <c r="AS1550" s="936"/>
    </row>
    <row r="1551" ht="15.75" customHeight="1">
      <c r="A1551" s="1099"/>
      <c r="B1551" s="948" t="s">
        <v>1858</v>
      </c>
      <c r="C1551" s="1197" t="s">
        <v>1859</v>
      </c>
      <c r="D1551" s="1197" t="s">
        <v>1859</v>
      </c>
      <c r="E1551" s="1147" t="s">
        <v>1859</v>
      </c>
      <c r="F1551" s="940"/>
      <c r="G1551" s="953"/>
      <c r="H1551" s="969"/>
      <c r="I1551" s="998" t="s">
        <v>4653</v>
      </c>
      <c r="J1551" s="1180" t="s">
        <v>343</v>
      </c>
      <c r="K1551" s="1214" t="s">
        <v>342</v>
      </c>
      <c r="L1551" s="959">
        <v>20.0</v>
      </c>
      <c r="M1551" s="960">
        <v>10.0</v>
      </c>
      <c r="N1551" s="960">
        <v>230.0</v>
      </c>
      <c r="O1551" s="960">
        <v>10.0</v>
      </c>
      <c r="P1551" s="960">
        <v>230.0</v>
      </c>
      <c r="Q1551" s="960">
        <v>5.0</v>
      </c>
      <c r="R1551" s="960">
        <v>46.0</v>
      </c>
      <c r="S1551" s="960">
        <v>109.0</v>
      </c>
      <c r="T1551" s="960">
        <v>119.0</v>
      </c>
      <c r="U1551" s="960">
        <f t="array" ref="U1551">HLOOKUP($J1551,'Type Chart'!$C$2:$T$20,2,false)*HLOOKUP($K1551,'Type Chart'!$C$2:$U$20,2,false)</f>
        <v>0.5</v>
      </c>
      <c r="V1551" s="960">
        <f t="array" ref="V1551">HLOOKUP($J1551,'Type Chart'!$C$2:$T$20,3,false)*HLOOKUP($K1551,'Type Chart'!$C$2:$U$20,3,false)</f>
        <v>1</v>
      </c>
      <c r="W1551" s="960">
        <f t="array" ref="W1551">HLOOKUP($J1551,'Type Chart'!$C$2:$T$20,4,false)*HLOOKUP($K1551,'Type Chart'!$C$2:$U$20,4,false)</f>
        <v>1</v>
      </c>
      <c r="X1551" s="960">
        <f t="array" ref="X1551">HLOOKUP($J1551,'Type Chart'!$C$2:$T$20,5,false)*HLOOKUP($K1551,'Type Chart'!$C$2:$U$20,5,false)</f>
        <v>0.5</v>
      </c>
      <c r="Y1551" s="960">
        <f t="array" ref="Y1551">HLOOKUP($J1551,'Type Chart'!$C$2:$T$20,6,false)*HLOOKUP($K1551,'Type Chart'!$C$2:$U$20,6,false)</f>
        <v>1</v>
      </c>
      <c r="Z1551" s="960">
        <f t="array" ref="Z1551">HLOOKUP($J1551,'Type Chart'!$C$2:$T$20,7,false)*HLOOKUP($K1551,'Type Chart'!$C$2:$U$20,7,false)</f>
        <v>2</v>
      </c>
      <c r="AA1551" s="960">
        <f t="array" ref="AA1551">HLOOKUP($J1551,'Type Chart'!$C$2:$T$20,8,false)*HLOOKUP($K1551,'Type Chart'!$C$2:$U$20,8,false)</f>
        <v>1</v>
      </c>
      <c r="AB1551" s="960">
        <f t="array" ref="AB1551">HLOOKUP($J1551,'Type Chart'!$C$2:$T$20,9,false)*HLOOKUP($K1551,'Type Chart'!$C$2:$U$20,9,false)</f>
        <v>1</v>
      </c>
      <c r="AC1551" s="960">
        <f t="array" ref="AC1551">HLOOKUP($J1551,'Type Chart'!$C$2:$T$20,10,false)*HLOOKUP($K1551,'Type Chart'!$C$2:$U$20,10,false)</f>
        <v>2</v>
      </c>
      <c r="AD1551" s="960">
        <f t="array" ref="AD1551">HLOOKUP($J1551,'Type Chart'!$C$2:$T$20,11,false)*HLOOKUP($K1551,'Type Chart'!$C$2:$U$20,11,false)</f>
        <v>1</v>
      </c>
      <c r="AE1551" s="960">
        <f t="array" ref="AE1551">HLOOKUP($J1551,'Type Chart'!$C$2:$T$20,12,false)*HLOOKUP($K1551,'Type Chart'!$C$2:$U$20,12,false)</f>
        <v>2</v>
      </c>
      <c r="AF1551" s="960">
        <f t="array" ref="AF1551">HLOOKUP($J1551,'Type Chart'!$C$2:$T$20,13,false)*HLOOKUP($K1551,'Type Chart'!$C$2:$U$20,13,false)</f>
        <v>1</v>
      </c>
      <c r="AG1551" s="960">
        <f t="array" ref="AG1551">HLOOKUP($J1551,'Type Chart'!$C$2:$T$20,14,false)*HLOOKUP($K1551,'Type Chart'!$C$2:$U$20,14,false)</f>
        <v>1</v>
      </c>
      <c r="AH1551" s="960">
        <f t="array" ref="AH1551">HLOOKUP($J1551,'Type Chart'!$C$2:$T$20,15,false)*HLOOKUP($K1551,'Type Chart'!$C$2:$U$20,15,false)</f>
        <v>1</v>
      </c>
      <c r="AI1551" s="960">
        <f t="array" ref="AI1551">HLOOKUP($J1551,'Type Chart'!$C$2:$T$20,16,false)*HLOOKUP($K1551,'Type Chart'!$C$2:$U$20,16,false)</f>
        <v>1</v>
      </c>
      <c r="AJ1551" s="960">
        <f t="array" ref="AJ1551">HLOOKUP($J1551,'Type Chart'!$C$2:$T$20,17,false)*HLOOKUP($K1551,'Type Chart'!$C$2:$U$20,17,false)</f>
        <v>1</v>
      </c>
      <c r="AK1551" s="960">
        <f t="array" ref="AK1551">HLOOKUP($J1551,'Type Chart'!$C$2:$T$20,18,false)*HLOOKUP($K1551,'Type Chart'!$C$2:$U$20,18,false)</f>
        <v>1</v>
      </c>
      <c r="AL1551" s="960">
        <f t="array" ref="AL1551">HLOOKUP($J1551,'Type Chart'!$C$2:$T$20,19,false)*HLOOKUP($K1551,'Type Chart'!$C$2:$U$20,19,false)</f>
        <v>1</v>
      </c>
      <c r="AM1551" s="964" t="s">
        <v>1331</v>
      </c>
      <c r="AN1551" s="965" t="s">
        <v>1044</v>
      </c>
      <c r="AO1551" s="966" t="s">
        <v>1861</v>
      </c>
      <c r="AP1551" s="936"/>
      <c r="AQ1551" s="1245"/>
      <c r="AR1551" s="1245"/>
      <c r="AS1551" s="936"/>
    </row>
    <row r="1552" ht="15.75" customHeight="1">
      <c r="A1552" s="1099"/>
      <c r="B1552" s="948" t="s">
        <v>1862</v>
      </c>
      <c r="C1552" s="1197" t="s">
        <v>1863</v>
      </c>
      <c r="D1552" s="1197" t="s">
        <v>1863</v>
      </c>
      <c r="E1552" s="1147" t="s">
        <v>1863</v>
      </c>
      <c r="F1552" s="940"/>
      <c r="G1552" s="953"/>
      <c r="H1552" s="969"/>
      <c r="I1552" s="998" t="s">
        <v>4654</v>
      </c>
      <c r="J1552" s="1180" t="s">
        <v>343</v>
      </c>
      <c r="K1552" s="1213" t="s">
        <v>341</v>
      </c>
      <c r="L1552" s="959">
        <v>80.0</v>
      </c>
      <c r="M1552" s="960">
        <v>125.0</v>
      </c>
      <c r="N1552" s="960">
        <v>75.0</v>
      </c>
      <c r="O1552" s="960">
        <v>40.0</v>
      </c>
      <c r="P1552" s="960">
        <v>95.0</v>
      </c>
      <c r="Q1552" s="960">
        <v>85.0</v>
      </c>
      <c r="R1552" s="960">
        <v>206.0</v>
      </c>
      <c r="S1552" s="960">
        <v>269.0</v>
      </c>
      <c r="T1552" s="960">
        <v>295.0</v>
      </c>
      <c r="U1552" s="960">
        <f t="array" ref="U1552">HLOOKUP($J1552,'Type Chart'!$C$2:$T$20,2,false)*HLOOKUP($K1552,'Type Chart'!$C$2:$U$20,2,false)</f>
        <v>1</v>
      </c>
      <c r="V1552" s="960">
        <f t="array" ref="V1552">HLOOKUP($J1552,'Type Chart'!$C$2:$T$20,3,false)*HLOOKUP($K1552,'Type Chart'!$C$2:$U$20,3,false)</f>
        <v>0.5</v>
      </c>
      <c r="W1552" s="960">
        <f t="array" ref="W1552">HLOOKUP($J1552,'Type Chart'!$C$2:$T$20,4,false)*HLOOKUP($K1552,'Type Chart'!$C$2:$U$20,4,false)</f>
        <v>4</v>
      </c>
      <c r="X1552" s="960">
        <f t="array" ref="X1552">HLOOKUP($J1552,'Type Chart'!$C$2:$T$20,5,false)*HLOOKUP($K1552,'Type Chart'!$C$2:$U$20,5,false)</f>
        <v>1</v>
      </c>
      <c r="Y1552" s="960">
        <f t="array" ref="Y1552">HLOOKUP($J1552,'Type Chart'!$C$2:$T$20,6,false)*HLOOKUP($K1552,'Type Chart'!$C$2:$U$20,6,false)</f>
        <v>0.5</v>
      </c>
      <c r="Z1552" s="960">
        <f t="array" ref="Z1552">HLOOKUP($J1552,'Type Chart'!$C$2:$T$20,7,false)*HLOOKUP($K1552,'Type Chart'!$C$2:$U$20,7,false)</f>
        <v>1</v>
      </c>
      <c r="AA1552" s="960">
        <f t="array" ref="AA1552">HLOOKUP($J1552,'Type Chart'!$C$2:$T$20,8,false)*HLOOKUP($K1552,'Type Chart'!$C$2:$U$20,8,false)</f>
        <v>0.5</v>
      </c>
      <c r="AB1552" s="960">
        <f t="array" ref="AB1552">HLOOKUP($J1552,'Type Chart'!$C$2:$T$20,9,false)*HLOOKUP($K1552,'Type Chart'!$C$2:$U$20,9,false)</f>
        <v>1</v>
      </c>
      <c r="AC1552" s="960">
        <f t="array" ref="AC1552">HLOOKUP($J1552,'Type Chart'!$C$2:$T$20,10,false)*HLOOKUP($K1552,'Type Chart'!$C$2:$U$20,10,false)</f>
        <v>1</v>
      </c>
      <c r="AD1552" s="960">
        <f t="array" ref="AD1552">HLOOKUP($J1552,'Type Chart'!$C$2:$T$20,11,false)*HLOOKUP($K1552,'Type Chart'!$C$2:$U$20,11,false)</f>
        <v>2</v>
      </c>
      <c r="AE1552" s="960">
        <f t="array" ref="AE1552">HLOOKUP($J1552,'Type Chart'!$C$2:$T$20,12,false)*HLOOKUP($K1552,'Type Chart'!$C$2:$U$20,12,false)</f>
        <v>1</v>
      </c>
      <c r="AF1552" s="960">
        <f t="array" ref="AF1552">HLOOKUP($J1552,'Type Chart'!$C$2:$T$20,13,false)*HLOOKUP($K1552,'Type Chart'!$C$2:$U$20,13,false)</f>
        <v>0.5</v>
      </c>
      <c r="AG1552" s="960">
        <f t="array" ref="AG1552">HLOOKUP($J1552,'Type Chart'!$C$2:$T$20,14,false)*HLOOKUP($K1552,'Type Chart'!$C$2:$U$20,14,false)</f>
        <v>1</v>
      </c>
      <c r="AH1552" s="960">
        <f t="array" ref="AH1552">HLOOKUP($J1552,'Type Chart'!$C$2:$T$20,15,false)*HLOOKUP($K1552,'Type Chart'!$C$2:$U$20,15,false)</f>
        <v>2</v>
      </c>
      <c r="AI1552" s="960">
        <f t="array" ref="AI1552">HLOOKUP($J1552,'Type Chart'!$C$2:$T$20,16,false)*HLOOKUP($K1552,'Type Chart'!$C$2:$U$20,16,false)</f>
        <v>1</v>
      </c>
      <c r="AJ1552" s="960">
        <f t="array" ref="AJ1552">HLOOKUP($J1552,'Type Chart'!$C$2:$T$20,17,false)*HLOOKUP($K1552,'Type Chart'!$C$2:$U$20,17,false)</f>
        <v>1</v>
      </c>
      <c r="AK1552" s="960">
        <f t="array" ref="AK1552">HLOOKUP($J1552,'Type Chart'!$C$2:$T$20,18,false)*HLOOKUP($K1552,'Type Chart'!$C$2:$U$20,18,false)</f>
        <v>0.5</v>
      </c>
      <c r="AL1552" s="960">
        <f t="array" ref="AL1552">HLOOKUP($J1552,'Type Chart'!$C$2:$T$20,19,false)*HLOOKUP($K1552,'Type Chart'!$C$2:$U$20,19,false)</f>
        <v>2</v>
      </c>
      <c r="AM1552" s="1145" t="s">
        <v>1013</v>
      </c>
      <c r="AN1552" s="1202" t="s">
        <v>1038</v>
      </c>
      <c r="AO1552" s="1146" t="s">
        <v>1577</v>
      </c>
      <c r="AP1552" s="936"/>
      <c r="AQ1552" s="1245"/>
      <c r="AR1552" s="1245"/>
      <c r="AS1552" s="936"/>
    </row>
    <row r="1553" ht="15.75" customHeight="1">
      <c r="A1553" s="1099"/>
      <c r="B1553" s="948" t="s">
        <v>1864</v>
      </c>
      <c r="C1553" s="1197" t="s">
        <v>1865</v>
      </c>
      <c r="D1553" s="1197" t="s">
        <v>1865</v>
      </c>
      <c r="E1553" s="1147" t="s">
        <v>1865</v>
      </c>
      <c r="F1553" s="940"/>
      <c r="G1553" s="953"/>
      <c r="H1553" s="969"/>
      <c r="I1553" s="998" t="s">
        <v>4655</v>
      </c>
      <c r="J1553" s="1180" t="s">
        <v>343</v>
      </c>
      <c r="K1553" s="1213" t="s">
        <v>341</v>
      </c>
      <c r="L1553" s="959">
        <v>80.0</v>
      </c>
      <c r="M1553" s="960">
        <v>185.0</v>
      </c>
      <c r="N1553" s="960">
        <v>115.0</v>
      </c>
      <c r="O1553" s="960">
        <v>40.0</v>
      </c>
      <c r="P1553" s="960">
        <v>105.0</v>
      </c>
      <c r="Q1553" s="960">
        <v>75.0</v>
      </c>
      <c r="R1553" s="960">
        <v>186.0</v>
      </c>
      <c r="S1553" s="960">
        <v>249.0</v>
      </c>
      <c r="T1553" s="960">
        <v>273.0</v>
      </c>
      <c r="U1553" s="960">
        <f t="array" ref="U1553">HLOOKUP($J1553,'Type Chart'!$C$2:$T$20,2,false)*HLOOKUP($K1553,'Type Chart'!$C$2:$U$20,2,false)</f>
        <v>1</v>
      </c>
      <c r="V1553" s="960">
        <f t="array" ref="V1553">HLOOKUP($J1553,'Type Chart'!$C$2:$T$20,3,false)*HLOOKUP($K1553,'Type Chart'!$C$2:$U$20,3,false)</f>
        <v>0.5</v>
      </c>
      <c r="W1553" s="960">
        <f t="array" ref="W1553">HLOOKUP($J1553,'Type Chart'!$C$2:$T$20,4,false)*HLOOKUP($K1553,'Type Chart'!$C$2:$U$20,4,false)</f>
        <v>4</v>
      </c>
      <c r="X1553" s="960">
        <f t="array" ref="X1553">HLOOKUP($J1553,'Type Chart'!$C$2:$T$20,5,false)*HLOOKUP($K1553,'Type Chart'!$C$2:$U$20,5,false)</f>
        <v>1</v>
      </c>
      <c r="Y1553" s="960">
        <f t="array" ref="Y1553">HLOOKUP($J1553,'Type Chart'!$C$2:$T$20,6,false)*HLOOKUP($K1553,'Type Chart'!$C$2:$U$20,6,false)</f>
        <v>0.5</v>
      </c>
      <c r="Z1553" s="960">
        <f t="array" ref="Z1553">HLOOKUP($J1553,'Type Chart'!$C$2:$T$20,7,false)*HLOOKUP($K1553,'Type Chart'!$C$2:$U$20,7,false)</f>
        <v>1</v>
      </c>
      <c r="AA1553" s="960">
        <f t="array" ref="AA1553">HLOOKUP($J1553,'Type Chart'!$C$2:$T$20,8,false)*HLOOKUP($K1553,'Type Chart'!$C$2:$U$20,8,false)</f>
        <v>0.5</v>
      </c>
      <c r="AB1553" s="960">
        <f t="array" ref="AB1553">HLOOKUP($J1553,'Type Chart'!$C$2:$T$20,9,false)*HLOOKUP($K1553,'Type Chart'!$C$2:$U$20,9,false)</f>
        <v>1</v>
      </c>
      <c r="AC1553" s="960">
        <f t="array" ref="AC1553">HLOOKUP($J1553,'Type Chart'!$C$2:$T$20,10,false)*HLOOKUP($K1553,'Type Chart'!$C$2:$U$20,10,false)</f>
        <v>1</v>
      </c>
      <c r="AD1553" s="960">
        <f t="array" ref="AD1553">HLOOKUP($J1553,'Type Chart'!$C$2:$T$20,11,false)*HLOOKUP($K1553,'Type Chart'!$C$2:$U$20,11,false)</f>
        <v>2</v>
      </c>
      <c r="AE1553" s="960">
        <f t="array" ref="AE1553">HLOOKUP($J1553,'Type Chart'!$C$2:$T$20,12,false)*HLOOKUP($K1553,'Type Chart'!$C$2:$U$20,12,false)</f>
        <v>1</v>
      </c>
      <c r="AF1553" s="960">
        <f t="array" ref="AF1553">HLOOKUP($J1553,'Type Chart'!$C$2:$T$20,13,false)*HLOOKUP($K1553,'Type Chart'!$C$2:$U$20,13,false)</f>
        <v>0.5</v>
      </c>
      <c r="AG1553" s="960">
        <f t="array" ref="AG1553">HLOOKUP($J1553,'Type Chart'!$C$2:$T$20,14,false)*HLOOKUP($K1553,'Type Chart'!$C$2:$U$20,14,false)</f>
        <v>1</v>
      </c>
      <c r="AH1553" s="960">
        <f t="array" ref="AH1553">HLOOKUP($J1553,'Type Chart'!$C$2:$T$20,15,false)*HLOOKUP($K1553,'Type Chart'!$C$2:$U$20,15,false)</f>
        <v>2</v>
      </c>
      <c r="AI1553" s="960">
        <f t="array" ref="AI1553">HLOOKUP($J1553,'Type Chart'!$C$2:$T$20,16,false)*HLOOKUP($K1553,'Type Chart'!$C$2:$U$20,16,false)</f>
        <v>1</v>
      </c>
      <c r="AJ1553" s="960">
        <f t="array" ref="AJ1553">HLOOKUP($J1553,'Type Chart'!$C$2:$T$20,17,false)*HLOOKUP($K1553,'Type Chart'!$C$2:$U$20,17,false)</f>
        <v>1</v>
      </c>
      <c r="AK1553" s="960">
        <f t="array" ref="AK1553">HLOOKUP($J1553,'Type Chart'!$C$2:$T$20,18,false)*HLOOKUP($K1553,'Type Chart'!$C$2:$U$20,18,false)</f>
        <v>0.5</v>
      </c>
      <c r="AL1553" s="960">
        <f t="array" ref="AL1553">HLOOKUP($J1553,'Type Chart'!$C$2:$T$20,19,false)*HLOOKUP($K1553,'Type Chart'!$C$2:$U$20,19,false)</f>
        <v>2</v>
      </c>
      <c r="AM1553" s="964" t="s">
        <v>1430</v>
      </c>
      <c r="AN1553" s="965"/>
      <c r="AO1553" s="966"/>
      <c r="AP1553" s="936"/>
      <c r="AQ1553" s="1245"/>
      <c r="AR1553" s="1245"/>
      <c r="AS1553" s="936"/>
    </row>
    <row r="1554" ht="15.75" customHeight="1">
      <c r="A1554" s="1099"/>
      <c r="B1554" s="948" t="s">
        <v>1867</v>
      </c>
      <c r="C1554" s="1197" t="s">
        <v>1868</v>
      </c>
      <c r="D1554" s="1197" t="s">
        <v>1868</v>
      </c>
      <c r="E1554" s="1147" t="s">
        <v>1868</v>
      </c>
      <c r="F1554" s="940"/>
      <c r="G1554" s="953"/>
      <c r="H1554" s="969"/>
      <c r="I1554" s="998" t="s">
        <v>4656</v>
      </c>
      <c r="J1554" s="1195" t="s">
        <v>193</v>
      </c>
      <c r="K1554" s="1205" t="s">
        <v>345</v>
      </c>
      <c r="L1554" s="959">
        <v>55.0</v>
      </c>
      <c r="M1554" s="960">
        <v>95.0</v>
      </c>
      <c r="N1554" s="960">
        <v>55.0</v>
      </c>
      <c r="O1554" s="960">
        <v>35.0</v>
      </c>
      <c r="P1554" s="960">
        <v>75.0</v>
      </c>
      <c r="Q1554" s="960">
        <v>115.0</v>
      </c>
      <c r="R1554" s="960">
        <v>266.0</v>
      </c>
      <c r="S1554" s="960">
        <v>329.0</v>
      </c>
      <c r="T1554" s="960">
        <v>361.0</v>
      </c>
      <c r="U1554" s="960">
        <f t="array" ref="U1554">HLOOKUP($J1554,'Type Chart'!$C$2:$T$20,2,false)*HLOOKUP($K1554,'Type Chart'!$C$2:$U$20,2,false)</f>
        <v>1</v>
      </c>
      <c r="V1554" s="960">
        <f t="array" ref="V1554">HLOOKUP($J1554,'Type Chart'!$C$2:$T$20,3,false)*HLOOKUP($K1554,'Type Chart'!$C$2:$U$20,3,false)</f>
        <v>4</v>
      </c>
      <c r="W1554" s="960">
        <f t="array" ref="W1554">HLOOKUP($J1554,'Type Chart'!$C$2:$T$20,4,false)*HLOOKUP($K1554,'Type Chart'!$C$2:$U$20,4,false)</f>
        <v>1</v>
      </c>
      <c r="X1554" s="960">
        <f t="array" ref="X1554">HLOOKUP($J1554,'Type Chart'!$C$2:$T$20,5,false)*HLOOKUP($K1554,'Type Chart'!$C$2:$U$20,5,false)</f>
        <v>1</v>
      </c>
      <c r="Y1554" s="960">
        <f t="array" ref="Y1554">HLOOKUP($J1554,'Type Chart'!$C$2:$T$20,6,false)*HLOOKUP($K1554,'Type Chart'!$C$2:$U$20,6,false)</f>
        <v>1</v>
      </c>
      <c r="Z1554" s="960">
        <f t="array" ref="Z1554">HLOOKUP($J1554,'Type Chart'!$C$2:$T$20,7,false)*HLOOKUP($K1554,'Type Chart'!$C$2:$U$20,7,false)</f>
        <v>2</v>
      </c>
      <c r="AA1554" s="960">
        <f t="array" ref="AA1554">HLOOKUP($J1554,'Type Chart'!$C$2:$T$20,8,false)*HLOOKUP($K1554,'Type Chart'!$C$2:$U$20,8,false)</f>
        <v>2</v>
      </c>
      <c r="AB1554" s="960">
        <f t="array" ref="AB1554">HLOOKUP($J1554,'Type Chart'!$C$2:$T$20,9,false)*HLOOKUP($K1554,'Type Chart'!$C$2:$U$20,9,false)</f>
        <v>0.5</v>
      </c>
      <c r="AC1554" s="960">
        <f t="array" ref="AC1554">HLOOKUP($J1554,'Type Chart'!$C$2:$T$20,10,false)*HLOOKUP($K1554,'Type Chart'!$C$2:$U$20,10,false)</f>
        <v>2</v>
      </c>
      <c r="AD1554" s="960">
        <f t="array" ref="AD1554">HLOOKUP($J1554,'Type Chart'!$C$2:$T$20,11,false)*HLOOKUP($K1554,'Type Chart'!$C$2:$U$20,11,false)</f>
        <v>2</v>
      </c>
      <c r="AE1554" s="960">
        <f t="array" ref="AE1554">HLOOKUP($J1554,'Type Chart'!$C$2:$T$20,12,false)*HLOOKUP($K1554,'Type Chart'!$C$2:$U$20,12,false)</f>
        <v>1</v>
      </c>
      <c r="AF1554" s="960">
        <f t="array" ref="AF1554">HLOOKUP($J1554,'Type Chart'!$C$2:$T$20,13,false)*HLOOKUP($K1554,'Type Chart'!$C$2:$U$20,13,false)</f>
        <v>1</v>
      </c>
      <c r="AG1554" s="960">
        <f t="array" ref="AG1554">HLOOKUP($J1554,'Type Chart'!$C$2:$T$20,14,false)*HLOOKUP($K1554,'Type Chart'!$C$2:$U$20,14,false)</f>
        <v>1</v>
      </c>
      <c r="AH1554" s="960">
        <f t="array" ref="AH1554">HLOOKUP($J1554,'Type Chart'!$C$2:$T$20,15,false)*HLOOKUP($K1554,'Type Chart'!$C$2:$U$20,15,false)</f>
        <v>0</v>
      </c>
      <c r="AI1554" s="960">
        <f t="array" ref="AI1554">HLOOKUP($J1554,'Type Chart'!$C$2:$T$20,16,false)*HLOOKUP($K1554,'Type Chart'!$C$2:$U$20,16,false)</f>
        <v>0.5</v>
      </c>
      <c r="AJ1554" s="960">
        <f t="array" ref="AJ1554">HLOOKUP($J1554,'Type Chart'!$C$2:$T$20,17,false)*HLOOKUP($K1554,'Type Chart'!$C$2:$U$20,17,false)</f>
        <v>1</v>
      </c>
      <c r="AK1554" s="960">
        <f t="array" ref="AK1554">HLOOKUP($J1554,'Type Chart'!$C$2:$T$20,18,false)*HLOOKUP($K1554,'Type Chart'!$C$2:$U$20,18,false)</f>
        <v>0.5</v>
      </c>
      <c r="AL1554" s="960">
        <f t="array" ref="AL1554">HLOOKUP($J1554,'Type Chart'!$C$2:$T$20,19,false)*HLOOKUP($K1554,'Type Chart'!$C$2:$U$20,19,false)</f>
        <v>2</v>
      </c>
      <c r="AM1554" s="964" t="s">
        <v>1192</v>
      </c>
      <c r="AN1554" s="965" t="s">
        <v>1022</v>
      </c>
      <c r="AO1554" s="966" t="s">
        <v>1869</v>
      </c>
      <c r="AP1554" s="936"/>
      <c r="AQ1554" s="1245"/>
      <c r="AR1554" s="1245"/>
      <c r="AS1554" s="936"/>
    </row>
    <row r="1555" ht="15.75" customHeight="1">
      <c r="A1555" s="1099"/>
      <c r="B1555" s="948" t="s">
        <v>1870</v>
      </c>
      <c r="C1555" s="1197" t="s">
        <v>4657</v>
      </c>
      <c r="D1555" s="1197" t="s">
        <v>4657</v>
      </c>
      <c r="E1555" s="1147" t="s">
        <v>4657</v>
      </c>
      <c r="F1555" s="940"/>
      <c r="G1555" s="953"/>
      <c r="H1555" s="969"/>
      <c r="I1555" s="998" t="s">
        <v>4658</v>
      </c>
      <c r="J1555" s="1213" t="s">
        <v>341</v>
      </c>
      <c r="K1555" s="958" t="s">
        <v>178</v>
      </c>
      <c r="L1555" s="959">
        <v>55.0</v>
      </c>
      <c r="M1555" s="960">
        <v>95.0</v>
      </c>
      <c r="N1555" s="960">
        <v>55.0</v>
      </c>
      <c r="O1555" s="960">
        <v>35.0</v>
      </c>
      <c r="P1555" s="960">
        <v>75.0</v>
      </c>
      <c r="Q1555" s="960">
        <v>115.0</v>
      </c>
      <c r="R1555" s="960">
        <v>266.0</v>
      </c>
      <c r="S1555" s="960">
        <v>329.0</v>
      </c>
      <c r="T1555" s="960">
        <v>361.0</v>
      </c>
      <c r="U1555" s="960">
        <f t="array" ref="U1555">HLOOKUP($J1555,'Type Chart'!$C$2:$T$20,2,false)*HLOOKUP($K1555,'Type Chart'!$C$2:$U$20,2,false)</f>
        <v>1</v>
      </c>
      <c r="V1555" s="960">
        <f t="array" ref="V1555">HLOOKUP($J1555,'Type Chart'!$C$2:$T$20,3,false)*HLOOKUP($K1555,'Type Chart'!$C$2:$U$20,3,false)</f>
        <v>0.5</v>
      </c>
      <c r="W1555" s="960">
        <f t="array" ref="W1555">HLOOKUP($J1555,'Type Chart'!$C$2:$T$20,4,false)*HLOOKUP($K1555,'Type Chart'!$C$2:$U$20,4,false)</f>
        <v>2</v>
      </c>
      <c r="X1555" s="960">
        <f t="array" ref="X1555">HLOOKUP($J1555,'Type Chart'!$C$2:$T$20,5,false)*HLOOKUP($K1555,'Type Chart'!$C$2:$U$20,5,false)</f>
        <v>0.5</v>
      </c>
      <c r="Y1555" s="960">
        <f t="array" ref="Y1555">HLOOKUP($J1555,'Type Chart'!$C$2:$T$20,6,false)*HLOOKUP($K1555,'Type Chart'!$C$2:$U$20,6,false)</f>
        <v>2</v>
      </c>
      <c r="Z1555" s="960">
        <f t="array" ref="Z1555">HLOOKUP($J1555,'Type Chart'!$C$2:$T$20,7,false)*HLOOKUP($K1555,'Type Chart'!$C$2:$U$20,7,false)</f>
        <v>0.5</v>
      </c>
      <c r="AA1555" s="960">
        <f t="array" ref="AA1555">HLOOKUP($J1555,'Type Chart'!$C$2:$T$20,8,false)*HLOOKUP($K1555,'Type Chart'!$C$2:$U$20,8,false)</f>
        <v>0.25</v>
      </c>
      <c r="AB1555" s="960">
        <f t="array" ref="AB1555">HLOOKUP($J1555,'Type Chart'!$C$2:$T$20,9,false)*HLOOKUP($K1555,'Type Chart'!$C$2:$U$20,9,false)</f>
        <v>1</v>
      </c>
      <c r="AC1555" s="960">
        <f t="array" ref="AC1555">HLOOKUP($J1555,'Type Chart'!$C$2:$T$20,10,false)*HLOOKUP($K1555,'Type Chart'!$C$2:$U$20,10,false)</f>
        <v>1</v>
      </c>
      <c r="AD1555" s="960">
        <f t="array" ref="AD1555">HLOOKUP($J1555,'Type Chart'!$C$2:$T$20,11,false)*HLOOKUP($K1555,'Type Chart'!$C$2:$U$20,11,false)</f>
        <v>1</v>
      </c>
      <c r="AE1555" s="960">
        <f t="array" ref="AE1555">HLOOKUP($J1555,'Type Chart'!$C$2:$T$20,12,false)*HLOOKUP($K1555,'Type Chart'!$C$2:$U$20,12,false)</f>
        <v>1</v>
      </c>
      <c r="AF1555" s="960">
        <f t="array" ref="AF1555">HLOOKUP($J1555,'Type Chart'!$C$2:$T$20,13,false)*HLOOKUP($K1555,'Type Chart'!$C$2:$U$20,13,false)</f>
        <v>0.5</v>
      </c>
      <c r="AG1555" s="960">
        <f t="array" ref="AG1555">HLOOKUP($J1555,'Type Chart'!$C$2:$T$20,14,false)*HLOOKUP($K1555,'Type Chart'!$C$2:$U$20,14,false)</f>
        <v>1</v>
      </c>
      <c r="AH1555" s="960">
        <f t="array" ref="AH1555">HLOOKUP($J1555,'Type Chart'!$C$2:$T$20,15,false)*HLOOKUP($K1555,'Type Chart'!$C$2:$U$20,15,false)</f>
        <v>4</v>
      </c>
      <c r="AI1555" s="960">
        <f t="array" ref="AI1555">HLOOKUP($J1555,'Type Chart'!$C$2:$T$20,16,false)*HLOOKUP($K1555,'Type Chart'!$C$2:$U$20,16,false)</f>
        <v>1</v>
      </c>
      <c r="AJ1555" s="960">
        <f t="array" ref="AJ1555">HLOOKUP($J1555,'Type Chart'!$C$2:$T$20,17,false)*HLOOKUP($K1555,'Type Chart'!$C$2:$U$20,17,false)</f>
        <v>1</v>
      </c>
      <c r="AK1555" s="960">
        <f t="array" ref="AK1555">HLOOKUP($J1555,'Type Chart'!$C$2:$T$20,18,false)*HLOOKUP($K1555,'Type Chart'!$C$2:$U$20,18,false)</f>
        <v>0.5</v>
      </c>
      <c r="AL1555" s="960">
        <f t="array" ref="AL1555">HLOOKUP($J1555,'Type Chart'!$C$2:$T$20,19,false)*HLOOKUP($K1555,'Type Chart'!$C$2:$U$20,19,false)</f>
        <v>1</v>
      </c>
      <c r="AM1555" s="964" t="s">
        <v>1192</v>
      </c>
      <c r="AN1555" s="965" t="s">
        <v>1022</v>
      </c>
      <c r="AO1555" s="966" t="s">
        <v>1869</v>
      </c>
      <c r="AP1555" s="936"/>
      <c r="AQ1555" s="1245"/>
      <c r="AR1555" s="1245"/>
      <c r="AS1555" s="936"/>
    </row>
    <row r="1556" ht="15.75" customHeight="1">
      <c r="A1556" s="1099"/>
      <c r="B1556" s="948" t="s">
        <v>1871</v>
      </c>
      <c r="C1556" s="1197" t="s">
        <v>1872</v>
      </c>
      <c r="D1556" s="1197" t="s">
        <v>1872</v>
      </c>
      <c r="E1556" s="1147" t="s">
        <v>1872</v>
      </c>
      <c r="F1556" s="940"/>
      <c r="G1556" s="953"/>
      <c r="H1556" s="969"/>
      <c r="I1556" s="998" t="s">
        <v>4659</v>
      </c>
      <c r="J1556" s="1194" t="s">
        <v>136</v>
      </c>
      <c r="K1556" s="984" t="s">
        <v>216</v>
      </c>
      <c r="L1556" s="959">
        <v>60.0</v>
      </c>
      <c r="M1556" s="960">
        <v>80.0</v>
      </c>
      <c r="N1556" s="960">
        <v>50.0</v>
      </c>
      <c r="O1556" s="960">
        <v>50.0</v>
      </c>
      <c r="P1556" s="960">
        <v>50.0</v>
      </c>
      <c r="Q1556" s="960">
        <v>40.0</v>
      </c>
      <c r="R1556" s="960">
        <v>116.0</v>
      </c>
      <c r="S1556" s="960">
        <v>179.0</v>
      </c>
      <c r="T1556" s="960">
        <v>196.0</v>
      </c>
      <c r="U1556" s="960">
        <f t="array" ref="U1556">HLOOKUP($J1556,'Type Chart'!$C$2:$T$20,2,false)*HLOOKUP($K1556,'Type Chart'!$C$2:$U$20,2,false)</f>
        <v>1</v>
      </c>
      <c r="V1556" s="960">
        <f t="array" ref="V1556">HLOOKUP($J1556,'Type Chart'!$C$2:$T$20,3,false)*HLOOKUP($K1556,'Type Chart'!$C$2:$U$20,3,false)</f>
        <v>2</v>
      </c>
      <c r="W1556" s="960">
        <f t="array" ref="W1556">HLOOKUP($J1556,'Type Chart'!$C$2:$T$20,4,false)*HLOOKUP($K1556,'Type Chart'!$C$2:$U$20,4,false)</f>
        <v>1</v>
      </c>
      <c r="X1556" s="960">
        <f t="array" ref="X1556">HLOOKUP($J1556,'Type Chart'!$C$2:$T$20,5,false)*HLOOKUP($K1556,'Type Chart'!$C$2:$U$20,5,false)</f>
        <v>1</v>
      </c>
      <c r="Y1556" s="960">
        <f t="array" ref="Y1556">HLOOKUP($J1556,'Type Chart'!$C$2:$T$20,6,false)*HLOOKUP($K1556,'Type Chart'!$C$2:$U$20,6,false)</f>
        <v>1</v>
      </c>
      <c r="Z1556" s="960">
        <f t="array" ref="Z1556">HLOOKUP($J1556,'Type Chart'!$C$2:$T$20,7,false)*HLOOKUP($K1556,'Type Chart'!$C$2:$U$20,7,false)</f>
        <v>1</v>
      </c>
      <c r="AA1556" s="960">
        <f t="array" ref="AA1556">HLOOKUP($J1556,'Type Chart'!$C$2:$T$20,8,false)*HLOOKUP($K1556,'Type Chart'!$C$2:$U$20,8,false)</f>
        <v>1</v>
      </c>
      <c r="AB1556" s="960">
        <f t="array" ref="AB1556">HLOOKUP($J1556,'Type Chart'!$C$2:$T$20,9,false)*HLOOKUP($K1556,'Type Chart'!$C$2:$U$20,9,false)</f>
        <v>0</v>
      </c>
      <c r="AC1556" s="960">
        <f t="array" ref="AC1556">HLOOKUP($J1556,'Type Chart'!$C$2:$T$20,10,false)*HLOOKUP($K1556,'Type Chart'!$C$2:$U$20,10,false)</f>
        <v>1</v>
      </c>
      <c r="AD1556" s="960">
        <f t="array" ref="AD1556">HLOOKUP($J1556,'Type Chart'!$C$2:$T$20,11,false)*HLOOKUP($K1556,'Type Chart'!$C$2:$U$20,11,false)</f>
        <v>1</v>
      </c>
      <c r="AE1556" s="960">
        <f t="array" ref="AE1556">HLOOKUP($J1556,'Type Chart'!$C$2:$T$20,12,false)*HLOOKUP($K1556,'Type Chart'!$C$2:$U$20,12,false)</f>
        <v>1</v>
      </c>
      <c r="AF1556" s="960">
        <f t="array" ref="AF1556">HLOOKUP($J1556,'Type Chart'!$C$2:$T$20,13,false)*HLOOKUP($K1556,'Type Chart'!$C$2:$U$20,13,false)</f>
        <v>1</v>
      </c>
      <c r="AG1556" s="960">
        <f t="array" ref="AG1556">HLOOKUP($J1556,'Type Chart'!$C$2:$T$20,14,false)*HLOOKUP($K1556,'Type Chart'!$C$2:$U$20,14,false)</f>
        <v>1</v>
      </c>
      <c r="AH1556" s="960">
        <f t="array" ref="AH1556">HLOOKUP($J1556,'Type Chart'!$C$2:$T$20,15,false)*HLOOKUP($K1556,'Type Chart'!$C$2:$U$20,15,false)</f>
        <v>1</v>
      </c>
      <c r="AI1556" s="960">
        <f t="array" ref="AI1556">HLOOKUP($J1556,'Type Chart'!$C$2:$T$20,16,false)*HLOOKUP($K1556,'Type Chart'!$C$2:$U$20,16,false)</f>
        <v>1</v>
      </c>
      <c r="AJ1556" s="960">
        <f t="array" ref="AJ1556">HLOOKUP($J1556,'Type Chart'!$C$2:$T$20,17,false)*HLOOKUP($K1556,'Type Chart'!$C$2:$U$20,17,false)</f>
        <v>1</v>
      </c>
      <c r="AK1556" s="960">
        <f t="array" ref="AK1556">HLOOKUP($J1556,'Type Chart'!$C$2:$T$20,18,false)*HLOOKUP($K1556,'Type Chart'!$C$2:$U$20,18,false)</f>
        <v>1</v>
      </c>
      <c r="AL1556" s="960">
        <f t="array" ref="AL1556">HLOOKUP($J1556,'Type Chart'!$C$2:$T$20,19,false)*HLOOKUP($K1556,'Type Chart'!$C$2:$U$20,19,false)</f>
        <v>1</v>
      </c>
      <c r="AM1556" s="964" t="s">
        <v>1238</v>
      </c>
      <c r="AN1556" s="965" t="s">
        <v>1615</v>
      </c>
      <c r="AO1556" s="966" t="s">
        <v>1874</v>
      </c>
      <c r="AP1556" s="936"/>
      <c r="AQ1556" s="1245"/>
      <c r="AR1556" s="1245"/>
      <c r="AS1556" s="936"/>
    </row>
    <row r="1557" ht="15.75" customHeight="1">
      <c r="A1557" s="1099"/>
      <c r="B1557" s="948" t="s">
        <v>1875</v>
      </c>
      <c r="C1557" s="1197" t="s">
        <v>1876</v>
      </c>
      <c r="D1557" s="1197" t="s">
        <v>1876</v>
      </c>
      <c r="E1557" s="1147" t="s">
        <v>1876</v>
      </c>
      <c r="F1557" s="940"/>
      <c r="G1557" s="953"/>
      <c r="H1557" s="969"/>
      <c r="I1557" s="998" t="s">
        <v>4660</v>
      </c>
      <c r="J1557" s="1194" t="s">
        <v>136</v>
      </c>
      <c r="K1557" s="984" t="s">
        <v>216</v>
      </c>
      <c r="L1557" s="959">
        <v>90.0</v>
      </c>
      <c r="M1557" s="960">
        <v>130.0</v>
      </c>
      <c r="N1557" s="960">
        <v>75.0</v>
      </c>
      <c r="O1557" s="960">
        <v>75.0</v>
      </c>
      <c r="P1557" s="960">
        <v>75.0</v>
      </c>
      <c r="Q1557" s="960">
        <v>55.0</v>
      </c>
      <c r="R1557" s="960">
        <v>146.0</v>
      </c>
      <c r="S1557" s="960">
        <v>209.0</v>
      </c>
      <c r="T1557" s="960">
        <v>229.0</v>
      </c>
      <c r="U1557" s="960">
        <f t="array" ref="U1557">HLOOKUP($J1557,'Type Chart'!$C$2:$T$20,2,false)*HLOOKUP($K1557,'Type Chart'!$C$2:$U$20,2,false)</f>
        <v>1</v>
      </c>
      <c r="V1557" s="960">
        <f t="array" ref="V1557">HLOOKUP($J1557,'Type Chart'!$C$2:$T$20,3,false)*HLOOKUP($K1557,'Type Chart'!$C$2:$U$20,3,false)</f>
        <v>2</v>
      </c>
      <c r="W1557" s="960">
        <f t="array" ref="W1557">HLOOKUP($J1557,'Type Chart'!$C$2:$T$20,4,false)*HLOOKUP($K1557,'Type Chart'!$C$2:$U$20,4,false)</f>
        <v>1</v>
      </c>
      <c r="X1557" s="960">
        <f t="array" ref="X1557">HLOOKUP($J1557,'Type Chart'!$C$2:$T$20,5,false)*HLOOKUP($K1557,'Type Chart'!$C$2:$U$20,5,false)</f>
        <v>1</v>
      </c>
      <c r="Y1557" s="960">
        <f t="array" ref="Y1557">HLOOKUP($J1557,'Type Chart'!$C$2:$T$20,6,false)*HLOOKUP($K1557,'Type Chart'!$C$2:$U$20,6,false)</f>
        <v>1</v>
      </c>
      <c r="Z1557" s="960">
        <f t="array" ref="Z1557">HLOOKUP($J1557,'Type Chart'!$C$2:$T$20,7,false)*HLOOKUP($K1557,'Type Chart'!$C$2:$U$20,7,false)</f>
        <v>1</v>
      </c>
      <c r="AA1557" s="960">
        <f t="array" ref="AA1557">HLOOKUP($J1557,'Type Chart'!$C$2:$T$20,8,false)*HLOOKUP($K1557,'Type Chart'!$C$2:$U$20,8,false)</f>
        <v>1</v>
      </c>
      <c r="AB1557" s="960">
        <f t="array" ref="AB1557">HLOOKUP($J1557,'Type Chart'!$C$2:$T$20,9,false)*HLOOKUP($K1557,'Type Chart'!$C$2:$U$20,9,false)</f>
        <v>0</v>
      </c>
      <c r="AC1557" s="960">
        <f t="array" ref="AC1557">HLOOKUP($J1557,'Type Chart'!$C$2:$T$20,10,false)*HLOOKUP($K1557,'Type Chart'!$C$2:$U$20,10,false)</f>
        <v>1</v>
      </c>
      <c r="AD1557" s="960">
        <f t="array" ref="AD1557">HLOOKUP($J1557,'Type Chart'!$C$2:$T$20,11,false)*HLOOKUP($K1557,'Type Chart'!$C$2:$U$20,11,false)</f>
        <v>1</v>
      </c>
      <c r="AE1557" s="960">
        <f t="array" ref="AE1557">HLOOKUP($J1557,'Type Chart'!$C$2:$T$20,12,false)*HLOOKUP($K1557,'Type Chart'!$C$2:$U$20,12,false)</f>
        <v>1</v>
      </c>
      <c r="AF1557" s="960">
        <f t="array" ref="AF1557">HLOOKUP($J1557,'Type Chart'!$C$2:$T$20,13,false)*HLOOKUP($K1557,'Type Chart'!$C$2:$U$20,13,false)</f>
        <v>1</v>
      </c>
      <c r="AG1557" s="960">
        <f t="array" ref="AG1557">HLOOKUP($J1557,'Type Chart'!$C$2:$T$20,14,false)*HLOOKUP($K1557,'Type Chart'!$C$2:$U$20,14,false)</f>
        <v>1</v>
      </c>
      <c r="AH1557" s="960">
        <f t="array" ref="AH1557">HLOOKUP($J1557,'Type Chart'!$C$2:$T$20,15,false)*HLOOKUP($K1557,'Type Chart'!$C$2:$U$20,15,false)</f>
        <v>1</v>
      </c>
      <c r="AI1557" s="960">
        <f t="array" ref="AI1557">HLOOKUP($J1557,'Type Chart'!$C$2:$T$20,16,false)*HLOOKUP($K1557,'Type Chart'!$C$2:$U$20,16,false)</f>
        <v>1</v>
      </c>
      <c r="AJ1557" s="960">
        <f t="array" ref="AJ1557">HLOOKUP($J1557,'Type Chart'!$C$2:$T$20,17,false)*HLOOKUP($K1557,'Type Chart'!$C$2:$U$20,17,false)</f>
        <v>1</v>
      </c>
      <c r="AK1557" s="960">
        <f t="array" ref="AK1557">HLOOKUP($J1557,'Type Chart'!$C$2:$T$20,18,false)*HLOOKUP($K1557,'Type Chart'!$C$2:$U$20,18,false)</f>
        <v>1</v>
      </c>
      <c r="AL1557" s="960">
        <f t="array" ref="AL1557">HLOOKUP($J1557,'Type Chart'!$C$2:$T$20,19,false)*HLOOKUP($K1557,'Type Chart'!$C$2:$U$20,19,false)</f>
        <v>1</v>
      </c>
      <c r="AM1557" s="964" t="s">
        <v>1038</v>
      </c>
      <c r="AN1557" s="965" t="s">
        <v>1615</v>
      </c>
      <c r="AO1557" s="966" t="s">
        <v>1062</v>
      </c>
      <c r="AP1557" s="936"/>
      <c r="AQ1557" s="1245"/>
      <c r="AR1557" s="1245"/>
      <c r="AS1557" s="936"/>
    </row>
    <row r="1558" ht="15.75" customHeight="1">
      <c r="A1558" s="1099"/>
      <c r="B1558" s="948" t="s">
        <v>1877</v>
      </c>
      <c r="C1558" s="1197" t="s">
        <v>1878</v>
      </c>
      <c r="D1558" s="1197" t="s">
        <v>1878</v>
      </c>
      <c r="E1558" s="1147" t="s">
        <v>1878</v>
      </c>
      <c r="F1558" s="940"/>
      <c r="G1558" s="953"/>
      <c r="H1558" s="969"/>
      <c r="I1558" s="998" t="s">
        <v>4661</v>
      </c>
      <c r="J1558" s="982" t="s">
        <v>150</v>
      </c>
      <c r="K1558" s="984" t="s">
        <v>216</v>
      </c>
      <c r="L1558" s="959">
        <v>40.0</v>
      </c>
      <c r="M1558" s="960">
        <v>40.0</v>
      </c>
      <c r="N1558" s="960">
        <v>40.0</v>
      </c>
      <c r="O1558" s="960">
        <v>70.0</v>
      </c>
      <c r="P1558" s="960">
        <v>40.0</v>
      </c>
      <c r="Q1558" s="960">
        <v>20.0</v>
      </c>
      <c r="R1558" s="960">
        <v>76.0</v>
      </c>
      <c r="S1558" s="960">
        <v>139.0</v>
      </c>
      <c r="T1558" s="960">
        <v>152.0</v>
      </c>
      <c r="U1558" s="960">
        <f t="array" ref="U1558">HLOOKUP($J1558,'Type Chart'!$C$2:$T$20,2,false)*HLOOKUP($K1558,'Type Chart'!$C$2:$U$20,2,false)</f>
        <v>1</v>
      </c>
      <c r="V1558" s="960">
        <f t="array" ref="V1558">HLOOKUP($J1558,'Type Chart'!$C$2:$T$20,3,false)*HLOOKUP($K1558,'Type Chart'!$C$2:$U$20,3,false)</f>
        <v>1</v>
      </c>
      <c r="W1558" s="960">
        <f t="array" ref="W1558">HLOOKUP($J1558,'Type Chart'!$C$2:$T$20,4,false)*HLOOKUP($K1558,'Type Chart'!$C$2:$U$20,4,false)</f>
        <v>1</v>
      </c>
      <c r="X1558" s="960">
        <f t="array" ref="X1558">HLOOKUP($J1558,'Type Chart'!$C$2:$T$20,5,false)*HLOOKUP($K1558,'Type Chart'!$C$2:$U$20,5,false)</f>
        <v>1</v>
      </c>
      <c r="Y1558" s="960">
        <f t="array" ref="Y1558">HLOOKUP($J1558,'Type Chart'!$C$2:$T$20,6,false)*HLOOKUP($K1558,'Type Chart'!$C$2:$U$20,6,false)</f>
        <v>2</v>
      </c>
      <c r="Z1558" s="960">
        <f t="array" ref="Z1558">HLOOKUP($J1558,'Type Chart'!$C$2:$T$20,7,false)*HLOOKUP($K1558,'Type Chart'!$C$2:$U$20,7,false)</f>
        <v>2</v>
      </c>
      <c r="AA1558" s="960">
        <f t="array" ref="AA1558">HLOOKUP($J1558,'Type Chart'!$C$2:$T$20,8,false)*HLOOKUP($K1558,'Type Chart'!$C$2:$U$20,8,false)</f>
        <v>0.5</v>
      </c>
      <c r="AB1558" s="960">
        <f t="array" ref="AB1558">HLOOKUP($J1558,'Type Chart'!$C$2:$T$20,9,false)*HLOOKUP($K1558,'Type Chart'!$C$2:$U$20,9,false)</f>
        <v>1</v>
      </c>
      <c r="AC1558" s="960">
        <f t="array" ref="AC1558">HLOOKUP($J1558,'Type Chart'!$C$2:$T$20,10,false)*HLOOKUP($K1558,'Type Chart'!$C$2:$U$20,10,false)</f>
        <v>0.5</v>
      </c>
      <c r="AD1558" s="960">
        <f t="array" ref="AD1558">HLOOKUP($J1558,'Type Chart'!$C$2:$T$20,11,false)*HLOOKUP($K1558,'Type Chart'!$C$2:$U$20,11,false)</f>
        <v>0.5</v>
      </c>
      <c r="AE1558" s="960">
        <f t="array" ref="AE1558">HLOOKUP($J1558,'Type Chart'!$C$2:$T$20,12,false)*HLOOKUP($K1558,'Type Chart'!$C$2:$U$20,12,false)</f>
        <v>2</v>
      </c>
      <c r="AF1558" s="960">
        <f t="array" ref="AF1558">HLOOKUP($J1558,'Type Chart'!$C$2:$T$20,13,false)*HLOOKUP($K1558,'Type Chart'!$C$2:$U$20,13,false)</f>
        <v>0.5</v>
      </c>
      <c r="AG1558" s="960">
        <f t="array" ref="AG1558">HLOOKUP($J1558,'Type Chart'!$C$2:$T$20,14,false)*HLOOKUP($K1558,'Type Chart'!$C$2:$U$20,14,false)</f>
        <v>1</v>
      </c>
      <c r="AH1558" s="960">
        <f t="array" ref="AH1558">HLOOKUP($J1558,'Type Chart'!$C$2:$T$20,15,false)*HLOOKUP($K1558,'Type Chart'!$C$2:$U$20,15,false)</f>
        <v>1</v>
      </c>
      <c r="AI1558" s="960">
        <f t="array" ref="AI1558">HLOOKUP($J1558,'Type Chart'!$C$2:$T$20,16,false)*HLOOKUP($K1558,'Type Chart'!$C$2:$U$20,16,false)</f>
        <v>0.5</v>
      </c>
      <c r="AJ1558" s="960">
        <f t="array" ref="AJ1558">HLOOKUP($J1558,'Type Chart'!$C$2:$T$20,17,false)*HLOOKUP($K1558,'Type Chart'!$C$2:$U$20,17,false)</f>
        <v>1</v>
      </c>
      <c r="AK1558" s="960">
        <f t="array" ref="AK1558">HLOOKUP($J1558,'Type Chart'!$C$2:$T$20,18,false)*HLOOKUP($K1558,'Type Chart'!$C$2:$U$20,18,false)</f>
        <v>1</v>
      </c>
      <c r="AL1558" s="960">
        <f t="array" ref="AL1558">HLOOKUP($J1558,'Type Chart'!$C$2:$T$20,19,false)*HLOOKUP($K1558,'Type Chart'!$C$2:$U$20,19,false)</f>
        <v>0.5</v>
      </c>
      <c r="AM1558" s="964" t="s">
        <v>1880</v>
      </c>
      <c r="AN1558" s="965" t="s">
        <v>1353</v>
      </c>
      <c r="AO1558" s="966" t="s">
        <v>1450</v>
      </c>
      <c r="AP1558" s="936"/>
      <c r="AQ1558" s="1245"/>
      <c r="AR1558" s="1245"/>
      <c r="AS1558" s="936"/>
    </row>
    <row r="1559" ht="15.75" customHeight="1">
      <c r="A1559" s="1099"/>
      <c r="B1559" s="948" t="s">
        <v>1881</v>
      </c>
      <c r="C1559" s="1197" t="s">
        <v>1882</v>
      </c>
      <c r="D1559" s="1197" t="s">
        <v>1882</v>
      </c>
      <c r="E1559" s="1147" t="s">
        <v>1882</v>
      </c>
      <c r="F1559" s="940"/>
      <c r="G1559" s="953"/>
      <c r="H1559" s="969"/>
      <c r="I1559" s="998" t="s">
        <v>4662</v>
      </c>
      <c r="J1559" s="982" t="s">
        <v>150</v>
      </c>
      <c r="K1559" s="1214" t="s">
        <v>342</v>
      </c>
      <c r="L1559" s="959">
        <v>60.0</v>
      </c>
      <c r="M1559" s="960">
        <v>50.0</v>
      </c>
      <c r="N1559" s="960">
        <v>120.0</v>
      </c>
      <c r="O1559" s="960">
        <v>90.0</v>
      </c>
      <c r="P1559" s="960">
        <v>80.0</v>
      </c>
      <c r="Q1559" s="960">
        <v>30.0</v>
      </c>
      <c r="R1559" s="960">
        <v>96.0</v>
      </c>
      <c r="S1559" s="960">
        <v>159.0</v>
      </c>
      <c r="T1559" s="960">
        <v>174.0</v>
      </c>
      <c r="U1559" s="960">
        <f t="array" ref="U1559">HLOOKUP($J1559,'Type Chart'!$C$2:$T$20,2,false)*HLOOKUP($K1559,'Type Chart'!$C$2:$U$20,2,false)</f>
        <v>0.5</v>
      </c>
      <c r="V1559" s="960">
        <f t="array" ref="V1559">HLOOKUP($J1559,'Type Chart'!$C$2:$T$20,3,false)*HLOOKUP($K1559,'Type Chart'!$C$2:$U$20,3,false)</f>
        <v>2</v>
      </c>
      <c r="W1559" s="960">
        <f t="array" ref="W1559">HLOOKUP($J1559,'Type Chart'!$C$2:$T$20,4,false)*HLOOKUP($K1559,'Type Chart'!$C$2:$U$20,4,false)</f>
        <v>0.5</v>
      </c>
      <c r="X1559" s="960">
        <f t="array" ref="X1559">HLOOKUP($J1559,'Type Chart'!$C$2:$T$20,5,false)*HLOOKUP($K1559,'Type Chart'!$C$2:$U$20,5,false)</f>
        <v>0.5</v>
      </c>
      <c r="Y1559" s="960">
        <f t="array" ref="Y1559">HLOOKUP($J1559,'Type Chart'!$C$2:$T$20,6,false)*HLOOKUP($K1559,'Type Chart'!$C$2:$U$20,6,false)</f>
        <v>4</v>
      </c>
      <c r="Z1559" s="960">
        <f t="array" ref="Z1559">HLOOKUP($J1559,'Type Chart'!$C$2:$T$20,7,false)*HLOOKUP($K1559,'Type Chart'!$C$2:$U$20,7,false)</f>
        <v>2</v>
      </c>
      <c r="AA1559" s="960">
        <f t="array" ref="AA1559">HLOOKUP($J1559,'Type Chart'!$C$2:$T$20,8,false)*HLOOKUP($K1559,'Type Chart'!$C$2:$U$20,8,false)</f>
        <v>0.5</v>
      </c>
      <c r="AB1559" s="960">
        <f t="array" ref="AB1559">HLOOKUP($J1559,'Type Chart'!$C$2:$T$20,9,false)*HLOOKUP($K1559,'Type Chart'!$C$2:$U$20,9,false)</f>
        <v>1</v>
      </c>
      <c r="AC1559" s="960">
        <f t="array" ref="AC1559">HLOOKUP($J1559,'Type Chart'!$C$2:$T$20,10,false)*HLOOKUP($K1559,'Type Chart'!$C$2:$U$20,10,false)</f>
        <v>1</v>
      </c>
      <c r="AD1559" s="960">
        <f t="array" ref="AD1559">HLOOKUP($J1559,'Type Chart'!$C$2:$T$20,11,false)*HLOOKUP($K1559,'Type Chart'!$C$2:$U$20,11,false)</f>
        <v>0.25</v>
      </c>
      <c r="AE1559" s="960">
        <f t="array" ref="AE1559">HLOOKUP($J1559,'Type Chart'!$C$2:$T$20,12,false)*HLOOKUP($K1559,'Type Chart'!$C$2:$U$20,12,false)</f>
        <v>4</v>
      </c>
      <c r="AF1559" s="960">
        <f t="array" ref="AF1559">HLOOKUP($J1559,'Type Chart'!$C$2:$T$20,13,false)*HLOOKUP($K1559,'Type Chart'!$C$2:$U$20,13,false)</f>
        <v>1</v>
      </c>
      <c r="AG1559" s="960">
        <f t="array" ref="AG1559">HLOOKUP($J1559,'Type Chart'!$C$2:$T$20,14,false)*HLOOKUP($K1559,'Type Chart'!$C$2:$U$20,14,false)</f>
        <v>1</v>
      </c>
      <c r="AH1559" s="960">
        <f t="array" ref="AH1559">HLOOKUP($J1559,'Type Chart'!$C$2:$T$20,15,false)*HLOOKUP($K1559,'Type Chart'!$C$2:$U$20,15,false)</f>
        <v>1</v>
      </c>
      <c r="AI1559" s="960">
        <f t="array" ref="AI1559">HLOOKUP($J1559,'Type Chart'!$C$2:$T$20,16,false)*HLOOKUP($K1559,'Type Chart'!$C$2:$U$20,16,false)</f>
        <v>0.5</v>
      </c>
      <c r="AJ1559" s="960">
        <f t="array" ref="AJ1559">HLOOKUP($J1559,'Type Chart'!$C$2:$T$20,17,false)*HLOOKUP($K1559,'Type Chart'!$C$2:$U$20,17,false)</f>
        <v>1</v>
      </c>
      <c r="AK1559" s="960">
        <f t="array" ref="AK1559">HLOOKUP($J1559,'Type Chart'!$C$2:$T$20,18,false)*HLOOKUP($K1559,'Type Chart'!$C$2:$U$20,18,false)</f>
        <v>1</v>
      </c>
      <c r="AL1559" s="960">
        <f t="array" ref="AL1559">HLOOKUP($J1559,'Type Chart'!$C$2:$T$20,19,false)*HLOOKUP($K1559,'Type Chart'!$C$2:$U$20,19,false)</f>
        <v>0.5</v>
      </c>
      <c r="AM1559" s="964" t="s">
        <v>1880</v>
      </c>
      <c r="AN1559" s="965" t="s">
        <v>1353</v>
      </c>
      <c r="AO1559" s="966" t="s">
        <v>1450</v>
      </c>
      <c r="AP1559" s="936"/>
      <c r="AQ1559" s="1245"/>
      <c r="AR1559" s="1245"/>
      <c r="AS1559" s="936"/>
    </row>
    <row r="1560" ht="15.75" customHeight="1">
      <c r="A1560" s="1099"/>
      <c r="B1560" s="948" t="s">
        <v>1883</v>
      </c>
      <c r="C1560" s="1197" t="s">
        <v>1884</v>
      </c>
      <c r="D1560" s="1197" t="s">
        <v>1884</v>
      </c>
      <c r="E1560" s="1147" t="s">
        <v>1884</v>
      </c>
      <c r="F1560" s="940"/>
      <c r="G1560" s="953"/>
      <c r="H1560" s="969"/>
      <c r="I1560" s="998" t="s">
        <v>4663</v>
      </c>
      <c r="J1560" s="1205" t="s">
        <v>345</v>
      </c>
      <c r="K1560" s="1204" t="s">
        <v>80</v>
      </c>
      <c r="L1560" s="959">
        <v>50.0</v>
      </c>
      <c r="M1560" s="960">
        <v>50.0</v>
      </c>
      <c r="N1560" s="960">
        <v>40.0</v>
      </c>
      <c r="O1560" s="960">
        <v>30.0</v>
      </c>
      <c r="P1560" s="960">
        <v>30.0</v>
      </c>
      <c r="Q1560" s="960">
        <v>50.0</v>
      </c>
      <c r="R1560" s="960">
        <v>136.0</v>
      </c>
      <c r="S1560" s="960">
        <v>199.0</v>
      </c>
      <c r="T1560" s="960">
        <v>218.0</v>
      </c>
      <c r="U1560" s="960">
        <f t="array" ref="U1560">HLOOKUP($J1560,'Type Chart'!$C$2:$T$20,2,false)*HLOOKUP($K1560,'Type Chart'!$C$2:$U$20,2,false)</f>
        <v>1</v>
      </c>
      <c r="V1560" s="960">
        <f t="array" ref="V1560">HLOOKUP($J1560,'Type Chart'!$C$2:$T$20,3,false)*HLOOKUP($K1560,'Type Chart'!$C$2:$U$20,3,false)</f>
        <v>2</v>
      </c>
      <c r="W1560" s="960">
        <f t="array" ref="W1560">HLOOKUP($J1560,'Type Chart'!$C$2:$T$20,4,false)*HLOOKUP($K1560,'Type Chart'!$C$2:$U$20,4,false)</f>
        <v>1</v>
      </c>
      <c r="X1560" s="960">
        <f t="array" ref="X1560">HLOOKUP($J1560,'Type Chart'!$C$2:$T$20,5,false)*HLOOKUP($K1560,'Type Chart'!$C$2:$U$20,5,false)</f>
        <v>0.5</v>
      </c>
      <c r="Y1560" s="960">
        <f t="array" ref="Y1560">HLOOKUP($J1560,'Type Chart'!$C$2:$T$20,6,false)*HLOOKUP($K1560,'Type Chart'!$C$2:$U$20,6,false)</f>
        <v>1</v>
      </c>
      <c r="Z1560" s="960">
        <f t="array" ref="Z1560">HLOOKUP($J1560,'Type Chart'!$C$2:$T$20,7,false)*HLOOKUP($K1560,'Type Chart'!$C$2:$U$20,7,false)</f>
        <v>1</v>
      </c>
      <c r="AA1560" s="960">
        <f t="array" ref="AA1560">HLOOKUP($J1560,'Type Chart'!$C$2:$T$20,8,false)*HLOOKUP($K1560,'Type Chart'!$C$2:$U$20,8,false)</f>
        <v>1</v>
      </c>
      <c r="AB1560" s="960">
        <f t="array" ref="AB1560">HLOOKUP($J1560,'Type Chart'!$C$2:$T$20,9,false)*HLOOKUP($K1560,'Type Chart'!$C$2:$U$20,9,false)</f>
        <v>1</v>
      </c>
      <c r="AC1560" s="960">
        <f t="array" ref="AC1560">HLOOKUP($J1560,'Type Chart'!$C$2:$T$20,10,false)*HLOOKUP($K1560,'Type Chart'!$C$2:$U$20,10,false)</f>
        <v>2</v>
      </c>
      <c r="AD1560" s="960">
        <f t="array" ref="AD1560">HLOOKUP($J1560,'Type Chart'!$C$2:$T$20,11,false)*HLOOKUP($K1560,'Type Chart'!$C$2:$U$20,11,false)</f>
        <v>2</v>
      </c>
      <c r="AE1560" s="960">
        <f t="array" ref="AE1560">HLOOKUP($J1560,'Type Chart'!$C$2:$T$20,12,false)*HLOOKUP($K1560,'Type Chart'!$C$2:$U$20,12,false)</f>
        <v>2</v>
      </c>
      <c r="AF1560" s="960">
        <f t="array" ref="AF1560">HLOOKUP($J1560,'Type Chart'!$C$2:$T$20,13,false)*HLOOKUP($K1560,'Type Chart'!$C$2:$U$20,13,false)</f>
        <v>2</v>
      </c>
      <c r="AG1560" s="960">
        <f t="array" ref="AG1560">HLOOKUP($J1560,'Type Chart'!$C$2:$T$20,14,false)*HLOOKUP($K1560,'Type Chart'!$C$2:$U$20,14,false)</f>
        <v>0</v>
      </c>
      <c r="AH1560" s="960">
        <f t="array" ref="AH1560">HLOOKUP($J1560,'Type Chart'!$C$2:$T$20,15,false)*HLOOKUP($K1560,'Type Chart'!$C$2:$U$20,15,false)</f>
        <v>1</v>
      </c>
      <c r="AI1560" s="960">
        <f t="array" ref="AI1560">HLOOKUP($J1560,'Type Chart'!$C$2:$T$20,16,false)*HLOOKUP($K1560,'Type Chart'!$C$2:$U$20,16,false)</f>
        <v>1</v>
      </c>
      <c r="AJ1560" s="960">
        <f t="array" ref="AJ1560">HLOOKUP($J1560,'Type Chart'!$C$2:$T$20,17,false)*HLOOKUP($K1560,'Type Chart'!$C$2:$U$20,17,false)</f>
        <v>1</v>
      </c>
      <c r="AK1560" s="960">
        <f t="array" ref="AK1560">HLOOKUP($J1560,'Type Chart'!$C$2:$T$20,18,false)*HLOOKUP($K1560,'Type Chart'!$C$2:$U$20,18,false)</f>
        <v>1</v>
      </c>
      <c r="AL1560" s="960">
        <f t="array" ref="AL1560">HLOOKUP($J1560,'Type Chart'!$C$2:$T$20,19,false)*HLOOKUP($K1560,'Type Chart'!$C$2:$U$20,19,false)</f>
        <v>1</v>
      </c>
      <c r="AM1560" s="964" t="s">
        <v>1369</v>
      </c>
      <c r="AN1560" s="965" t="s">
        <v>1135</v>
      </c>
      <c r="AO1560" s="966" t="s">
        <v>760</v>
      </c>
      <c r="AP1560" s="936"/>
      <c r="AQ1560" s="1245"/>
      <c r="AR1560" s="1245"/>
      <c r="AS1560" s="936"/>
    </row>
    <row r="1561" ht="15.75" customHeight="1">
      <c r="A1561" s="1099"/>
      <c r="B1561" s="948" t="s">
        <v>1886</v>
      </c>
      <c r="C1561" s="1197" t="s">
        <v>1887</v>
      </c>
      <c r="D1561" s="1197" t="s">
        <v>1887</v>
      </c>
      <c r="E1561" s="1147" t="s">
        <v>1887</v>
      </c>
      <c r="F1561" s="940"/>
      <c r="G1561" s="953"/>
      <c r="H1561" s="969"/>
      <c r="I1561" s="998" t="s">
        <v>4664</v>
      </c>
      <c r="J1561" s="1205" t="s">
        <v>345</v>
      </c>
      <c r="K1561" s="1204" t="s">
        <v>80</v>
      </c>
      <c r="L1561" s="959">
        <v>100.0</v>
      </c>
      <c r="M1561" s="960">
        <v>100.0</v>
      </c>
      <c r="N1561" s="960">
        <v>80.0</v>
      </c>
      <c r="O1561" s="960">
        <v>60.0</v>
      </c>
      <c r="P1561" s="960">
        <v>60.0</v>
      </c>
      <c r="Q1561" s="960">
        <v>50.0</v>
      </c>
      <c r="R1561" s="960">
        <v>136.0</v>
      </c>
      <c r="S1561" s="960">
        <v>199.0</v>
      </c>
      <c r="T1561" s="960">
        <v>218.0</v>
      </c>
      <c r="U1561" s="960">
        <f t="array" ref="U1561">HLOOKUP($J1561,'Type Chart'!$C$2:$T$20,2,false)*HLOOKUP($K1561,'Type Chart'!$C$2:$U$20,2,false)</f>
        <v>1</v>
      </c>
      <c r="V1561" s="960">
        <f t="array" ref="V1561">HLOOKUP($J1561,'Type Chart'!$C$2:$T$20,3,false)*HLOOKUP($K1561,'Type Chart'!$C$2:$U$20,3,false)</f>
        <v>2</v>
      </c>
      <c r="W1561" s="960">
        <f t="array" ref="W1561">HLOOKUP($J1561,'Type Chart'!$C$2:$T$20,4,false)*HLOOKUP($K1561,'Type Chart'!$C$2:$U$20,4,false)</f>
        <v>1</v>
      </c>
      <c r="X1561" s="960">
        <f t="array" ref="X1561">HLOOKUP($J1561,'Type Chart'!$C$2:$T$20,5,false)*HLOOKUP($K1561,'Type Chart'!$C$2:$U$20,5,false)</f>
        <v>0.5</v>
      </c>
      <c r="Y1561" s="960">
        <f t="array" ref="Y1561">HLOOKUP($J1561,'Type Chart'!$C$2:$T$20,6,false)*HLOOKUP($K1561,'Type Chart'!$C$2:$U$20,6,false)</f>
        <v>1</v>
      </c>
      <c r="Z1561" s="960">
        <f t="array" ref="Z1561">HLOOKUP($J1561,'Type Chart'!$C$2:$T$20,7,false)*HLOOKUP($K1561,'Type Chart'!$C$2:$U$20,7,false)</f>
        <v>1</v>
      </c>
      <c r="AA1561" s="960">
        <f t="array" ref="AA1561">HLOOKUP($J1561,'Type Chart'!$C$2:$T$20,8,false)*HLOOKUP($K1561,'Type Chart'!$C$2:$U$20,8,false)</f>
        <v>1</v>
      </c>
      <c r="AB1561" s="960">
        <f t="array" ref="AB1561">HLOOKUP($J1561,'Type Chart'!$C$2:$T$20,9,false)*HLOOKUP($K1561,'Type Chart'!$C$2:$U$20,9,false)</f>
        <v>1</v>
      </c>
      <c r="AC1561" s="960">
        <f t="array" ref="AC1561">HLOOKUP($J1561,'Type Chart'!$C$2:$T$20,10,false)*HLOOKUP($K1561,'Type Chart'!$C$2:$U$20,10,false)</f>
        <v>2</v>
      </c>
      <c r="AD1561" s="960">
        <f t="array" ref="AD1561">HLOOKUP($J1561,'Type Chart'!$C$2:$T$20,11,false)*HLOOKUP($K1561,'Type Chart'!$C$2:$U$20,11,false)</f>
        <v>2</v>
      </c>
      <c r="AE1561" s="960">
        <f t="array" ref="AE1561">HLOOKUP($J1561,'Type Chart'!$C$2:$T$20,12,false)*HLOOKUP($K1561,'Type Chart'!$C$2:$U$20,12,false)</f>
        <v>2</v>
      </c>
      <c r="AF1561" s="960">
        <f t="array" ref="AF1561">HLOOKUP($J1561,'Type Chart'!$C$2:$T$20,13,false)*HLOOKUP($K1561,'Type Chart'!$C$2:$U$20,13,false)</f>
        <v>2</v>
      </c>
      <c r="AG1561" s="960">
        <f t="array" ref="AG1561">HLOOKUP($J1561,'Type Chart'!$C$2:$T$20,14,false)*HLOOKUP($K1561,'Type Chart'!$C$2:$U$20,14,false)</f>
        <v>0</v>
      </c>
      <c r="AH1561" s="960">
        <f t="array" ref="AH1561">HLOOKUP($J1561,'Type Chart'!$C$2:$T$20,15,false)*HLOOKUP($K1561,'Type Chart'!$C$2:$U$20,15,false)</f>
        <v>1</v>
      </c>
      <c r="AI1561" s="960">
        <f t="array" ref="AI1561">HLOOKUP($J1561,'Type Chart'!$C$2:$T$20,16,false)*HLOOKUP($K1561,'Type Chart'!$C$2:$U$20,16,false)</f>
        <v>1</v>
      </c>
      <c r="AJ1561" s="960">
        <f t="array" ref="AJ1561">HLOOKUP($J1561,'Type Chart'!$C$2:$T$20,17,false)*HLOOKUP($K1561,'Type Chart'!$C$2:$U$20,17,false)</f>
        <v>1</v>
      </c>
      <c r="AK1561" s="960">
        <f t="array" ref="AK1561">HLOOKUP($J1561,'Type Chart'!$C$2:$T$20,18,false)*HLOOKUP($K1561,'Type Chart'!$C$2:$U$20,18,false)</f>
        <v>1</v>
      </c>
      <c r="AL1561" s="960">
        <f t="array" ref="AL1561">HLOOKUP($J1561,'Type Chart'!$C$2:$T$20,19,false)*HLOOKUP($K1561,'Type Chart'!$C$2:$U$20,19,false)</f>
        <v>1</v>
      </c>
      <c r="AM1561" s="1145" t="s">
        <v>1369</v>
      </c>
      <c r="AN1561" s="1202" t="s">
        <v>1135</v>
      </c>
      <c r="AO1561" s="1146" t="s">
        <v>760</v>
      </c>
      <c r="AP1561" s="936"/>
      <c r="AQ1561" s="1245"/>
      <c r="AR1561" s="1245"/>
      <c r="AS1561" s="936"/>
    </row>
    <row r="1562" ht="15.75" customHeight="1">
      <c r="A1562" s="1099"/>
      <c r="B1562" s="948" t="s">
        <v>1888</v>
      </c>
      <c r="C1562" s="1197" t="s">
        <v>1889</v>
      </c>
      <c r="D1562" s="1197" t="s">
        <v>1889</v>
      </c>
      <c r="E1562" s="1147" t="s">
        <v>1889</v>
      </c>
      <c r="F1562" s="940"/>
      <c r="G1562" s="953"/>
      <c r="H1562" s="969"/>
      <c r="I1562" s="998" t="s">
        <v>4665</v>
      </c>
      <c r="J1562" s="1056" t="s">
        <v>81</v>
      </c>
      <c r="K1562" s="1214" t="s">
        <v>342</v>
      </c>
      <c r="L1562" s="959">
        <v>65.0</v>
      </c>
      <c r="M1562" s="960">
        <v>55.0</v>
      </c>
      <c r="N1562" s="960">
        <v>95.0</v>
      </c>
      <c r="O1562" s="960">
        <v>65.0</v>
      </c>
      <c r="P1562" s="960">
        <v>95.0</v>
      </c>
      <c r="Q1562" s="960">
        <v>35.0</v>
      </c>
      <c r="R1562" s="960">
        <v>106.0</v>
      </c>
      <c r="S1562" s="960">
        <v>169.0</v>
      </c>
      <c r="T1562" s="960">
        <v>185.0</v>
      </c>
      <c r="U1562" s="960">
        <f t="array" ref="U1562">HLOOKUP($J1562,'Type Chart'!$C$2:$T$20,2,false)*HLOOKUP($K1562,'Type Chart'!$C$2:$U$20,2,false)</f>
        <v>0.5</v>
      </c>
      <c r="V1562" s="960">
        <f t="array" ref="V1562">HLOOKUP($J1562,'Type Chart'!$C$2:$T$20,3,false)*HLOOKUP($K1562,'Type Chart'!$C$2:$U$20,3,false)</f>
        <v>2</v>
      </c>
      <c r="W1562" s="960">
        <f t="array" ref="W1562">HLOOKUP($J1562,'Type Chart'!$C$2:$T$20,4,false)*HLOOKUP($K1562,'Type Chart'!$C$2:$U$20,4,false)</f>
        <v>0.5</v>
      </c>
      <c r="X1562" s="960">
        <f t="array" ref="X1562">HLOOKUP($J1562,'Type Chart'!$C$2:$T$20,5,false)*HLOOKUP($K1562,'Type Chart'!$C$2:$U$20,5,false)</f>
        <v>0.5</v>
      </c>
      <c r="Y1562" s="960">
        <f t="array" ref="Y1562">HLOOKUP($J1562,'Type Chart'!$C$2:$T$20,6,false)*HLOOKUP($K1562,'Type Chart'!$C$2:$U$20,6,false)</f>
        <v>2</v>
      </c>
      <c r="Z1562" s="960">
        <f t="array" ref="Z1562">HLOOKUP($J1562,'Type Chart'!$C$2:$T$20,7,false)*HLOOKUP($K1562,'Type Chart'!$C$2:$U$20,7,false)</f>
        <v>1</v>
      </c>
      <c r="AA1562" s="960">
        <f t="array" ref="AA1562">HLOOKUP($J1562,'Type Chart'!$C$2:$T$20,8,false)*HLOOKUP($K1562,'Type Chart'!$C$2:$U$20,8,false)</f>
        <v>1</v>
      </c>
      <c r="AB1562" s="960">
        <f t="array" ref="AB1562">HLOOKUP($J1562,'Type Chart'!$C$2:$T$20,9,false)*HLOOKUP($K1562,'Type Chart'!$C$2:$U$20,9,false)</f>
        <v>1</v>
      </c>
      <c r="AC1562" s="960">
        <f t="array" ref="AC1562">HLOOKUP($J1562,'Type Chart'!$C$2:$T$20,10,false)*HLOOKUP($K1562,'Type Chart'!$C$2:$U$20,10,false)</f>
        <v>1</v>
      </c>
      <c r="AD1562" s="960">
        <f t="array" ref="AD1562">HLOOKUP($J1562,'Type Chart'!$C$2:$T$20,11,false)*HLOOKUP($K1562,'Type Chart'!$C$2:$U$20,11,false)</f>
        <v>0.25</v>
      </c>
      <c r="AE1562" s="960">
        <f t="array" ref="AE1562">HLOOKUP($J1562,'Type Chart'!$C$2:$T$20,12,false)*HLOOKUP($K1562,'Type Chart'!$C$2:$U$20,12,false)</f>
        <v>1</v>
      </c>
      <c r="AF1562" s="960">
        <f t="array" ref="AF1562">HLOOKUP($J1562,'Type Chart'!$C$2:$T$20,13,false)*HLOOKUP($K1562,'Type Chart'!$C$2:$U$20,13,false)</f>
        <v>4</v>
      </c>
      <c r="AG1562" s="960">
        <f t="array" ref="AG1562">HLOOKUP($J1562,'Type Chart'!$C$2:$T$20,14,false)*HLOOKUP($K1562,'Type Chart'!$C$2:$U$20,14,false)</f>
        <v>2</v>
      </c>
      <c r="AH1562" s="960">
        <f t="array" ref="AH1562">HLOOKUP($J1562,'Type Chart'!$C$2:$T$20,15,false)*HLOOKUP($K1562,'Type Chart'!$C$2:$U$20,15,false)</f>
        <v>1</v>
      </c>
      <c r="AI1562" s="960">
        <f t="array" ref="AI1562">HLOOKUP($J1562,'Type Chart'!$C$2:$T$20,16,false)*HLOOKUP($K1562,'Type Chart'!$C$2:$U$20,16,false)</f>
        <v>0.5</v>
      </c>
      <c r="AJ1562" s="960">
        <f t="array" ref="AJ1562">HLOOKUP($J1562,'Type Chart'!$C$2:$T$20,17,false)*HLOOKUP($K1562,'Type Chart'!$C$2:$U$20,17,false)</f>
        <v>1</v>
      </c>
      <c r="AK1562" s="960">
        <f t="array" ref="AK1562">HLOOKUP($J1562,'Type Chart'!$C$2:$T$20,18,false)*HLOOKUP($K1562,'Type Chart'!$C$2:$U$20,18,false)</f>
        <v>1</v>
      </c>
      <c r="AL1562" s="960">
        <f t="array" ref="AL1562">HLOOKUP($J1562,'Type Chart'!$C$2:$T$20,19,false)*HLOOKUP($K1562,'Type Chart'!$C$2:$U$20,19,false)</f>
        <v>1</v>
      </c>
      <c r="AM1562" s="1145" t="s">
        <v>1039</v>
      </c>
      <c r="AN1562" s="1202" t="s">
        <v>1520</v>
      </c>
      <c r="AO1562" s="1146" t="s">
        <v>1371</v>
      </c>
      <c r="AP1562" s="936"/>
      <c r="AQ1562" s="1245"/>
      <c r="AR1562" s="1245"/>
      <c r="AS1562" s="936"/>
    </row>
    <row r="1563" ht="15.75" customHeight="1">
      <c r="A1563" s="1099"/>
      <c r="B1563" s="948" t="s">
        <v>1891</v>
      </c>
      <c r="C1563" s="1197" t="s">
        <v>1892</v>
      </c>
      <c r="D1563" s="1197" t="s">
        <v>1892</v>
      </c>
      <c r="E1563" s="1147" t="s">
        <v>1893</v>
      </c>
      <c r="F1563" s="940"/>
      <c r="G1563" s="953"/>
      <c r="H1563" s="969"/>
      <c r="I1563" s="998" t="s">
        <v>4666</v>
      </c>
      <c r="J1563" s="1220" t="s">
        <v>215</v>
      </c>
      <c r="K1563" s="984" t="s">
        <v>216</v>
      </c>
      <c r="L1563" s="959">
        <v>60.0</v>
      </c>
      <c r="M1563" s="960">
        <v>55.0</v>
      </c>
      <c r="N1563" s="960">
        <v>100.0</v>
      </c>
      <c r="O1563" s="960">
        <v>65.0</v>
      </c>
      <c r="P1563" s="960">
        <v>100.0</v>
      </c>
      <c r="Q1563" s="960">
        <v>30.0</v>
      </c>
      <c r="R1563" s="960">
        <v>96.0</v>
      </c>
      <c r="S1563" s="960">
        <v>159.0</v>
      </c>
      <c r="T1563" s="960">
        <v>174.0</v>
      </c>
      <c r="U1563" s="960">
        <f t="array" ref="U1563">HLOOKUP($J1563,'Type Chart'!$C$2:$T$20,2,false)*HLOOKUP($K1563,'Type Chart'!$C$2:$U$20,2,false)</f>
        <v>0</v>
      </c>
      <c r="V1563" s="960">
        <f t="array" ref="V1563">HLOOKUP($J1563,'Type Chart'!$C$2:$T$20,3,false)*HLOOKUP($K1563,'Type Chart'!$C$2:$U$20,3,false)</f>
        <v>0</v>
      </c>
      <c r="W1563" s="960">
        <f t="array" ref="W1563">HLOOKUP($J1563,'Type Chart'!$C$2:$T$20,4,false)*HLOOKUP($K1563,'Type Chart'!$C$2:$U$20,4,false)</f>
        <v>1</v>
      </c>
      <c r="X1563" s="960">
        <f t="array" ref="X1563">HLOOKUP($J1563,'Type Chart'!$C$2:$T$20,5,false)*HLOOKUP($K1563,'Type Chart'!$C$2:$U$20,5,false)</f>
        <v>0.5</v>
      </c>
      <c r="Y1563" s="960">
        <f t="array" ref="Y1563">HLOOKUP($J1563,'Type Chart'!$C$2:$T$20,6,false)*HLOOKUP($K1563,'Type Chart'!$C$2:$U$20,6,false)</f>
        <v>1</v>
      </c>
      <c r="Z1563" s="960">
        <f t="array" ref="Z1563">HLOOKUP($J1563,'Type Chart'!$C$2:$T$20,7,false)*HLOOKUP($K1563,'Type Chart'!$C$2:$U$20,7,false)</f>
        <v>1</v>
      </c>
      <c r="AA1563" s="960">
        <f t="array" ref="AA1563">HLOOKUP($J1563,'Type Chart'!$C$2:$T$20,8,false)*HLOOKUP($K1563,'Type Chart'!$C$2:$U$20,8,false)</f>
        <v>0.5</v>
      </c>
      <c r="AB1563" s="960">
        <f t="array" ref="AB1563">HLOOKUP($J1563,'Type Chart'!$C$2:$T$20,9,false)*HLOOKUP($K1563,'Type Chart'!$C$2:$U$20,9,false)</f>
        <v>2</v>
      </c>
      <c r="AC1563" s="960">
        <f t="array" ref="AC1563">HLOOKUP($J1563,'Type Chart'!$C$2:$T$20,10,false)*HLOOKUP($K1563,'Type Chart'!$C$2:$U$20,10,false)</f>
        <v>1</v>
      </c>
      <c r="AD1563" s="960">
        <f t="array" ref="AD1563">HLOOKUP($J1563,'Type Chart'!$C$2:$T$20,11,false)*HLOOKUP($K1563,'Type Chart'!$C$2:$U$20,11,false)</f>
        <v>1</v>
      </c>
      <c r="AE1563" s="960">
        <f t="array" ref="AE1563">HLOOKUP($J1563,'Type Chart'!$C$2:$T$20,12,false)*HLOOKUP($K1563,'Type Chart'!$C$2:$U$20,12,false)</f>
        <v>1</v>
      </c>
      <c r="AF1563" s="960">
        <f t="array" ref="AF1563">HLOOKUP($J1563,'Type Chart'!$C$2:$T$20,13,false)*HLOOKUP($K1563,'Type Chart'!$C$2:$U$20,13,false)</f>
        <v>1</v>
      </c>
      <c r="AG1563" s="960">
        <f t="array" ref="AG1563">HLOOKUP($J1563,'Type Chart'!$C$2:$T$20,14,false)*HLOOKUP($K1563,'Type Chart'!$C$2:$U$20,14,false)</f>
        <v>1</v>
      </c>
      <c r="AH1563" s="960">
        <f t="array" ref="AH1563">HLOOKUP($J1563,'Type Chart'!$C$2:$T$20,15,false)*HLOOKUP($K1563,'Type Chart'!$C$2:$U$20,15,false)</f>
        <v>1</v>
      </c>
      <c r="AI1563" s="960">
        <f t="array" ref="AI1563">HLOOKUP($J1563,'Type Chart'!$C$2:$T$20,16,false)*HLOOKUP($K1563,'Type Chart'!$C$2:$U$20,16,false)</f>
        <v>1</v>
      </c>
      <c r="AJ1563" s="960">
        <f t="array" ref="AJ1563">HLOOKUP($J1563,'Type Chart'!$C$2:$T$20,17,false)*HLOOKUP($K1563,'Type Chart'!$C$2:$U$20,17,false)</f>
        <v>1</v>
      </c>
      <c r="AK1563" s="960">
        <f t="array" ref="AK1563">HLOOKUP($J1563,'Type Chart'!$C$2:$T$20,18,false)*HLOOKUP($K1563,'Type Chart'!$C$2:$U$20,18,false)</f>
        <v>2</v>
      </c>
      <c r="AL1563" s="960">
        <f t="array" ref="AL1563">HLOOKUP($J1563,'Type Chart'!$C$2:$T$20,19,false)*HLOOKUP($K1563,'Type Chart'!$C$2:$U$20,19,false)</f>
        <v>1</v>
      </c>
      <c r="AM1563" s="1145" t="s">
        <v>1450</v>
      </c>
      <c r="AN1563" s="965"/>
      <c r="AO1563" s="966" t="s">
        <v>1442</v>
      </c>
      <c r="AP1563" s="936"/>
      <c r="AQ1563" s="1245"/>
      <c r="AR1563" s="1245"/>
      <c r="AS1563" s="936"/>
    </row>
    <row r="1564" ht="15.75" customHeight="1">
      <c r="A1564" s="1099"/>
      <c r="B1564" s="948" t="s">
        <v>1895</v>
      </c>
      <c r="C1564" s="1197" t="s">
        <v>1896</v>
      </c>
      <c r="D1564" s="1197" t="s">
        <v>1896</v>
      </c>
      <c r="E1564" s="1147" t="s">
        <v>1896</v>
      </c>
      <c r="F1564" s="940"/>
      <c r="G1564" s="953"/>
      <c r="H1564" s="969"/>
      <c r="I1564" s="998" t="s">
        <v>4667</v>
      </c>
      <c r="J1564" s="1056" t="s">
        <v>81</v>
      </c>
      <c r="K1564" s="984" t="s">
        <v>216</v>
      </c>
      <c r="L1564" s="959">
        <v>35.0</v>
      </c>
      <c r="M1564" s="960">
        <v>65.0</v>
      </c>
      <c r="N1564" s="960">
        <v>35.0</v>
      </c>
      <c r="O1564" s="960">
        <v>65.0</v>
      </c>
      <c r="P1564" s="960">
        <v>35.0</v>
      </c>
      <c r="Q1564" s="960">
        <v>65.0</v>
      </c>
      <c r="R1564" s="960">
        <v>166.0</v>
      </c>
      <c r="S1564" s="960">
        <v>229.0</v>
      </c>
      <c r="T1564" s="960">
        <v>251.0</v>
      </c>
      <c r="U1564" s="960">
        <f t="array" ref="U1564">HLOOKUP($J1564,'Type Chart'!$C$2:$T$20,2,false)*HLOOKUP($K1564,'Type Chart'!$C$2:$U$20,2,false)</f>
        <v>1</v>
      </c>
      <c r="V1564" s="960">
        <f t="array" ref="V1564">HLOOKUP($J1564,'Type Chart'!$C$2:$T$20,3,false)*HLOOKUP($K1564,'Type Chart'!$C$2:$U$20,3,false)</f>
        <v>1</v>
      </c>
      <c r="W1564" s="960">
        <f t="array" ref="W1564">HLOOKUP($J1564,'Type Chart'!$C$2:$T$20,4,false)*HLOOKUP($K1564,'Type Chart'!$C$2:$U$20,4,false)</f>
        <v>1</v>
      </c>
      <c r="X1564" s="960">
        <f t="array" ref="X1564">HLOOKUP($J1564,'Type Chart'!$C$2:$T$20,5,false)*HLOOKUP($K1564,'Type Chart'!$C$2:$U$20,5,false)</f>
        <v>1</v>
      </c>
      <c r="Y1564" s="960">
        <f t="array" ref="Y1564">HLOOKUP($J1564,'Type Chart'!$C$2:$T$20,6,false)*HLOOKUP($K1564,'Type Chart'!$C$2:$U$20,6,false)</f>
        <v>1</v>
      </c>
      <c r="Z1564" s="960">
        <f t="array" ref="Z1564">HLOOKUP($J1564,'Type Chart'!$C$2:$T$20,7,false)*HLOOKUP($K1564,'Type Chart'!$C$2:$U$20,7,false)</f>
        <v>1</v>
      </c>
      <c r="AA1564" s="960">
        <f t="array" ref="AA1564">HLOOKUP($J1564,'Type Chart'!$C$2:$T$20,8,false)*HLOOKUP($K1564,'Type Chart'!$C$2:$U$20,8,false)</f>
        <v>1</v>
      </c>
      <c r="AB1564" s="960">
        <f t="array" ref="AB1564">HLOOKUP($J1564,'Type Chart'!$C$2:$T$20,9,false)*HLOOKUP($K1564,'Type Chart'!$C$2:$U$20,9,false)</f>
        <v>1</v>
      </c>
      <c r="AC1564" s="960">
        <f t="array" ref="AC1564">HLOOKUP($J1564,'Type Chart'!$C$2:$T$20,10,false)*HLOOKUP($K1564,'Type Chart'!$C$2:$U$20,10,false)</f>
        <v>0.5</v>
      </c>
      <c r="AD1564" s="960">
        <f t="array" ref="AD1564">HLOOKUP($J1564,'Type Chart'!$C$2:$T$20,11,false)*HLOOKUP($K1564,'Type Chart'!$C$2:$U$20,11,false)</f>
        <v>0.5</v>
      </c>
      <c r="AE1564" s="960">
        <f t="array" ref="AE1564">HLOOKUP($J1564,'Type Chart'!$C$2:$T$20,12,false)*HLOOKUP($K1564,'Type Chart'!$C$2:$U$20,12,false)</f>
        <v>0.5</v>
      </c>
      <c r="AF1564" s="960">
        <f t="array" ref="AF1564">HLOOKUP($J1564,'Type Chart'!$C$2:$T$20,13,false)*HLOOKUP($K1564,'Type Chart'!$C$2:$U$20,13,false)</f>
        <v>2</v>
      </c>
      <c r="AG1564" s="960">
        <f t="array" ref="AG1564">HLOOKUP($J1564,'Type Chart'!$C$2:$T$20,14,false)*HLOOKUP($K1564,'Type Chart'!$C$2:$U$20,14,false)</f>
        <v>2</v>
      </c>
      <c r="AH1564" s="960">
        <f t="array" ref="AH1564">HLOOKUP($J1564,'Type Chart'!$C$2:$T$20,15,false)*HLOOKUP($K1564,'Type Chart'!$C$2:$U$20,15,false)</f>
        <v>1</v>
      </c>
      <c r="AI1564" s="960">
        <f t="array" ref="AI1564">HLOOKUP($J1564,'Type Chart'!$C$2:$T$20,16,false)*HLOOKUP($K1564,'Type Chart'!$C$2:$U$20,16,false)</f>
        <v>0.5</v>
      </c>
      <c r="AJ1564" s="960">
        <f t="array" ref="AJ1564">HLOOKUP($J1564,'Type Chart'!$C$2:$T$20,17,false)*HLOOKUP($K1564,'Type Chart'!$C$2:$U$20,17,false)</f>
        <v>1</v>
      </c>
      <c r="AK1564" s="960">
        <f t="array" ref="AK1564">HLOOKUP($J1564,'Type Chart'!$C$2:$T$20,18,false)*HLOOKUP($K1564,'Type Chart'!$C$2:$U$20,18,false)</f>
        <v>1</v>
      </c>
      <c r="AL1564" s="960">
        <f t="array" ref="AL1564">HLOOKUP($J1564,'Type Chart'!$C$2:$T$20,19,false)*HLOOKUP($K1564,'Type Chart'!$C$2:$U$20,19,false)</f>
        <v>1</v>
      </c>
      <c r="AM1564" s="1145" t="s">
        <v>1039</v>
      </c>
      <c r="AN1564" s="965" t="s">
        <v>1014</v>
      </c>
      <c r="AO1564" s="966" t="s">
        <v>1898</v>
      </c>
      <c r="AP1564" s="936"/>
      <c r="AQ1564" s="1245"/>
      <c r="AR1564" s="1245"/>
      <c r="AS1564" s="936"/>
    </row>
    <row r="1565" ht="15.75" customHeight="1">
      <c r="A1565" s="1099"/>
      <c r="B1565" s="948" t="s">
        <v>1899</v>
      </c>
      <c r="C1565" s="1197" t="s">
        <v>1900</v>
      </c>
      <c r="D1565" s="1197" t="s">
        <v>1900</v>
      </c>
      <c r="E1565" s="1147" t="s">
        <v>1900</v>
      </c>
      <c r="F1565" s="940"/>
      <c r="G1565" s="953"/>
      <c r="H1565" s="969"/>
      <c r="I1565" s="998" t="s">
        <v>4668</v>
      </c>
      <c r="J1565" s="1056" t="s">
        <v>81</v>
      </c>
      <c r="K1565" s="984" t="s">
        <v>216</v>
      </c>
      <c r="L1565" s="959">
        <v>75.0</v>
      </c>
      <c r="M1565" s="960">
        <v>105.0</v>
      </c>
      <c r="N1565" s="960">
        <v>75.0</v>
      </c>
      <c r="O1565" s="960">
        <v>105.0</v>
      </c>
      <c r="P1565" s="960">
        <v>75.0</v>
      </c>
      <c r="Q1565" s="960">
        <v>45.0</v>
      </c>
      <c r="R1565" s="960">
        <v>126.0</v>
      </c>
      <c r="S1565" s="960">
        <v>189.0</v>
      </c>
      <c r="T1565" s="960">
        <v>207.0</v>
      </c>
      <c r="U1565" s="960">
        <f t="array" ref="U1565">HLOOKUP($J1565,'Type Chart'!$C$2:$T$20,2,false)*HLOOKUP($K1565,'Type Chart'!$C$2:$U$20,2,false)</f>
        <v>1</v>
      </c>
      <c r="V1565" s="960">
        <f t="array" ref="V1565">HLOOKUP($J1565,'Type Chart'!$C$2:$T$20,3,false)*HLOOKUP($K1565,'Type Chart'!$C$2:$U$20,3,false)</f>
        <v>1</v>
      </c>
      <c r="W1565" s="960">
        <f t="array" ref="W1565">HLOOKUP($J1565,'Type Chart'!$C$2:$T$20,4,false)*HLOOKUP($K1565,'Type Chart'!$C$2:$U$20,4,false)</f>
        <v>1</v>
      </c>
      <c r="X1565" s="960">
        <f t="array" ref="X1565">HLOOKUP($J1565,'Type Chart'!$C$2:$T$20,5,false)*HLOOKUP($K1565,'Type Chart'!$C$2:$U$20,5,false)</f>
        <v>1</v>
      </c>
      <c r="Y1565" s="960">
        <f t="array" ref="Y1565">HLOOKUP($J1565,'Type Chart'!$C$2:$T$20,6,false)*HLOOKUP($K1565,'Type Chart'!$C$2:$U$20,6,false)</f>
        <v>1</v>
      </c>
      <c r="Z1565" s="960">
        <f t="array" ref="Z1565">HLOOKUP($J1565,'Type Chart'!$C$2:$T$20,7,false)*HLOOKUP($K1565,'Type Chart'!$C$2:$U$20,7,false)</f>
        <v>1</v>
      </c>
      <c r="AA1565" s="960">
        <f t="array" ref="AA1565">HLOOKUP($J1565,'Type Chart'!$C$2:$T$20,8,false)*HLOOKUP($K1565,'Type Chart'!$C$2:$U$20,8,false)</f>
        <v>1</v>
      </c>
      <c r="AB1565" s="960">
        <f t="array" ref="AB1565">HLOOKUP($J1565,'Type Chart'!$C$2:$T$20,9,false)*HLOOKUP($K1565,'Type Chart'!$C$2:$U$20,9,false)</f>
        <v>1</v>
      </c>
      <c r="AC1565" s="960">
        <f t="array" ref="AC1565">HLOOKUP($J1565,'Type Chart'!$C$2:$T$20,10,false)*HLOOKUP($K1565,'Type Chart'!$C$2:$U$20,10,false)</f>
        <v>0.5</v>
      </c>
      <c r="AD1565" s="960">
        <f t="array" ref="AD1565">HLOOKUP($J1565,'Type Chart'!$C$2:$T$20,11,false)*HLOOKUP($K1565,'Type Chart'!$C$2:$U$20,11,false)</f>
        <v>0.5</v>
      </c>
      <c r="AE1565" s="960">
        <f t="array" ref="AE1565">HLOOKUP($J1565,'Type Chart'!$C$2:$T$20,12,false)*HLOOKUP($K1565,'Type Chart'!$C$2:$U$20,12,false)</f>
        <v>0.5</v>
      </c>
      <c r="AF1565" s="960">
        <f t="array" ref="AF1565">HLOOKUP($J1565,'Type Chart'!$C$2:$T$20,13,false)*HLOOKUP($K1565,'Type Chart'!$C$2:$U$20,13,false)</f>
        <v>2</v>
      </c>
      <c r="AG1565" s="960">
        <f t="array" ref="AG1565">HLOOKUP($J1565,'Type Chart'!$C$2:$T$20,14,false)*HLOOKUP($K1565,'Type Chart'!$C$2:$U$20,14,false)</f>
        <v>2</v>
      </c>
      <c r="AH1565" s="960">
        <f t="array" ref="AH1565">HLOOKUP($J1565,'Type Chart'!$C$2:$T$20,15,false)*HLOOKUP($K1565,'Type Chart'!$C$2:$U$20,15,false)</f>
        <v>1</v>
      </c>
      <c r="AI1565" s="960">
        <f t="array" ref="AI1565">HLOOKUP($J1565,'Type Chart'!$C$2:$T$20,16,false)*HLOOKUP($K1565,'Type Chart'!$C$2:$U$20,16,false)</f>
        <v>0.5</v>
      </c>
      <c r="AJ1565" s="960">
        <f t="array" ref="AJ1565">HLOOKUP($J1565,'Type Chart'!$C$2:$T$20,17,false)*HLOOKUP($K1565,'Type Chart'!$C$2:$U$20,17,false)</f>
        <v>1</v>
      </c>
      <c r="AK1565" s="960">
        <f t="array" ref="AK1565">HLOOKUP($J1565,'Type Chart'!$C$2:$T$20,18,false)*HLOOKUP($K1565,'Type Chart'!$C$2:$U$20,18,false)</f>
        <v>1</v>
      </c>
      <c r="AL1565" s="960">
        <f t="array" ref="AL1565">HLOOKUP($J1565,'Type Chart'!$C$2:$T$20,19,false)*HLOOKUP($K1565,'Type Chart'!$C$2:$U$20,19,false)</f>
        <v>1</v>
      </c>
      <c r="AM1565" s="964" t="s">
        <v>1902</v>
      </c>
      <c r="AN1565" s="965" t="s">
        <v>1014</v>
      </c>
      <c r="AO1565" s="966" t="s">
        <v>1898</v>
      </c>
      <c r="AP1565" s="936"/>
      <c r="AQ1565" s="1245"/>
      <c r="AR1565" s="1245"/>
      <c r="AS1565" s="936"/>
    </row>
    <row r="1566" ht="15.75" customHeight="1">
      <c r="A1566" s="1099"/>
      <c r="B1566" s="948" t="s">
        <v>1903</v>
      </c>
      <c r="C1566" s="1197" t="s">
        <v>1904</v>
      </c>
      <c r="D1566" s="1197" t="s">
        <v>1904</v>
      </c>
      <c r="E1566" s="1147" t="s">
        <v>1904</v>
      </c>
      <c r="F1566" s="940"/>
      <c r="G1566" s="953"/>
      <c r="H1566" s="969"/>
      <c r="I1566" s="998" t="s">
        <v>4669</v>
      </c>
      <c r="J1566" s="1205" t="s">
        <v>345</v>
      </c>
      <c r="K1566" s="1001" t="s">
        <v>128</v>
      </c>
      <c r="L1566" s="959">
        <v>45.0</v>
      </c>
      <c r="M1566" s="960">
        <v>55.0</v>
      </c>
      <c r="N1566" s="960">
        <v>45.0</v>
      </c>
      <c r="O1566" s="960">
        <v>65.0</v>
      </c>
      <c r="P1566" s="960">
        <v>45.0</v>
      </c>
      <c r="Q1566" s="960">
        <v>75.0</v>
      </c>
      <c r="R1566" s="960">
        <v>186.0</v>
      </c>
      <c r="S1566" s="960">
        <v>249.0</v>
      </c>
      <c r="T1566" s="960">
        <v>273.0</v>
      </c>
      <c r="U1566" s="960">
        <f t="array" ref="U1566">HLOOKUP($J1566,'Type Chart'!$C$2:$T$20,2,false)*HLOOKUP($K1566,'Type Chart'!$C$2:$U$20,2,false)</f>
        <v>1</v>
      </c>
      <c r="V1566" s="960">
        <f t="array" ref="V1566">HLOOKUP($J1566,'Type Chart'!$C$2:$T$20,3,false)*HLOOKUP($K1566,'Type Chart'!$C$2:$U$20,3,false)</f>
        <v>1</v>
      </c>
      <c r="W1566" s="960">
        <f t="array" ref="W1566">HLOOKUP($J1566,'Type Chart'!$C$2:$T$20,4,false)*HLOOKUP($K1566,'Type Chart'!$C$2:$U$20,4,false)</f>
        <v>1</v>
      </c>
      <c r="X1566" s="960">
        <f t="array" ref="X1566">HLOOKUP($J1566,'Type Chart'!$C$2:$T$20,5,false)*HLOOKUP($K1566,'Type Chart'!$C$2:$U$20,5,false)</f>
        <v>1</v>
      </c>
      <c r="Y1566" s="960">
        <f t="array" ref="Y1566">HLOOKUP($J1566,'Type Chart'!$C$2:$T$20,6,false)*HLOOKUP($K1566,'Type Chart'!$C$2:$U$20,6,false)</f>
        <v>0</v>
      </c>
      <c r="Z1566" s="960">
        <f t="array" ref="Z1566">HLOOKUP($J1566,'Type Chart'!$C$2:$T$20,7,false)*HLOOKUP($K1566,'Type Chart'!$C$2:$U$20,7,false)</f>
        <v>4</v>
      </c>
      <c r="AA1566" s="960">
        <f t="array" ref="AA1566">HLOOKUP($J1566,'Type Chart'!$C$2:$T$20,8,false)*HLOOKUP($K1566,'Type Chart'!$C$2:$U$20,8,false)</f>
        <v>0.5</v>
      </c>
      <c r="AB1566" s="960">
        <f t="array" ref="AB1566">HLOOKUP($J1566,'Type Chart'!$C$2:$T$20,9,false)*HLOOKUP($K1566,'Type Chart'!$C$2:$U$20,9,false)</f>
        <v>1</v>
      </c>
      <c r="AC1566" s="960">
        <f t="array" ref="AC1566">HLOOKUP($J1566,'Type Chart'!$C$2:$T$20,10,false)*HLOOKUP($K1566,'Type Chart'!$C$2:$U$20,10,false)</f>
        <v>2</v>
      </c>
      <c r="AD1566" s="960">
        <f t="array" ref="AD1566">HLOOKUP($J1566,'Type Chart'!$C$2:$T$20,11,false)*HLOOKUP($K1566,'Type Chart'!$C$2:$U$20,11,false)</f>
        <v>2</v>
      </c>
      <c r="AE1566" s="960">
        <f t="array" ref="AE1566">HLOOKUP($J1566,'Type Chart'!$C$2:$T$20,12,false)*HLOOKUP($K1566,'Type Chart'!$C$2:$U$20,12,false)</f>
        <v>1</v>
      </c>
      <c r="AF1566" s="960">
        <f t="array" ref="AF1566">HLOOKUP($J1566,'Type Chart'!$C$2:$T$20,13,false)*HLOOKUP($K1566,'Type Chart'!$C$2:$U$20,13,false)</f>
        <v>0.5</v>
      </c>
      <c r="AG1566" s="960">
        <f t="array" ref="AG1566">HLOOKUP($J1566,'Type Chart'!$C$2:$T$20,14,false)*HLOOKUP($K1566,'Type Chart'!$C$2:$U$20,14,false)</f>
        <v>2</v>
      </c>
      <c r="AH1566" s="960">
        <f t="array" ref="AH1566">HLOOKUP($J1566,'Type Chart'!$C$2:$T$20,15,false)*HLOOKUP($K1566,'Type Chart'!$C$2:$U$20,15,false)</f>
        <v>1</v>
      </c>
      <c r="AI1566" s="960">
        <f t="array" ref="AI1566">HLOOKUP($J1566,'Type Chart'!$C$2:$T$20,16,false)*HLOOKUP($K1566,'Type Chart'!$C$2:$U$20,16,false)</f>
        <v>1</v>
      </c>
      <c r="AJ1566" s="960">
        <f t="array" ref="AJ1566">HLOOKUP($J1566,'Type Chart'!$C$2:$T$20,17,false)*HLOOKUP($K1566,'Type Chart'!$C$2:$U$20,17,false)</f>
        <v>1</v>
      </c>
      <c r="AK1566" s="960">
        <f t="array" ref="AK1566">HLOOKUP($J1566,'Type Chart'!$C$2:$T$20,18,false)*HLOOKUP($K1566,'Type Chart'!$C$2:$U$20,18,false)</f>
        <v>1</v>
      </c>
      <c r="AL1566" s="960">
        <f t="array" ref="AL1566">HLOOKUP($J1566,'Type Chart'!$C$2:$T$20,19,false)*HLOOKUP($K1566,'Type Chart'!$C$2:$U$20,19,false)</f>
        <v>1</v>
      </c>
      <c r="AM1566" s="1145" t="s">
        <v>1265</v>
      </c>
      <c r="AN1566" s="1202" t="s">
        <v>1039</v>
      </c>
      <c r="AO1566" s="1146" t="s">
        <v>1454</v>
      </c>
      <c r="AP1566" s="936"/>
      <c r="AQ1566" s="1245"/>
      <c r="AR1566" s="1245"/>
      <c r="AS1566" s="936"/>
    </row>
    <row r="1567" ht="15.75" customHeight="1">
      <c r="A1567" s="1099"/>
      <c r="B1567" s="948" t="s">
        <v>1905</v>
      </c>
      <c r="C1567" s="1197" t="s">
        <v>1906</v>
      </c>
      <c r="D1567" s="1197" t="s">
        <v>1906</v>
      </c>
      <c r="E1567" s="1147" t="s">
        <v>1906</v>
      </c>
      <c r="F1567" s="940"/>
      <c r="G1567" s="953"/>
      <c r="H1567" s="969"/>
      <c r="I1567" s="998" t="s">
        <v>4670</v>
      </c>
      <c r="J1567" s="1056" t="s">
        <v>81</v>
      </c>
      <c r="K1567" s="1001" t="s">
        <v>128</v>
      </c>
      <c r="L1567" s="959">
        <v>85.0</v>
      </c>
      <c r="M1567" s="960">
        <v>40.0</v>
      </c>
      <c r="N1567" s="960">
        <v>70.0</v>
      </c>
      <c r="O1567" s="960">
        <v>80.0</v>
      </c>
      <c r="P1567" s="960">
        <v>140.0</v>
      </c>
      <c r="Q1567" s="960">
        <v>70.0</v>
      </c>
      <c r="R1567" s="960">
        <v>176.0</v>
      </c>
      <c r="S1567" s="960">
        <v>239.0</v>
      </c>
      <c r="T1567" s="960">
        <v>262.0</v>
      </c>
      <c r="U1567" s="960">
        <f t="array" ref="U1567">HLOOKUP($J1567,'Type Chart'!$C$2:$T$20,2,false)*HLOOKUP($K1567,'Type Chart'!$C$2:$U$20,2,false)</f>
        <v>1</v>
      </c>
      <c r="V1567" s="960">
        <f t="array" ref="V1567">HLOOKUP($J1567,'Type Chart'!$C$2:$T$20,3,false)*HLOOKUP($K1567,'Type Chart'!$C$2:$U$20,3,false)</f>
        <v>0.5</v>
      </c>
      <c r="W1567" s="960">
        <f t="array" ref="W1567">HLOOKUP($J1567,'Type Chart'!$C$2:$T$20,4,false)*HLOOKUP($K1567,'Type Chart'!$C$2:$U$20,4,false)</f>
        <v>1</v>
      </c>
      <c r="X1567" s="960">
        <f t="array" ref="X1567">HLOOKUP($J1567,'Type Chart'!$C$2:$T$20,5,false)*HLOOKUP($K1567,'Type Chart'!$C$2:$U$20,5,false)</f>
        <v>1</v>
      </c>
      <c r="Y1567" s="960">
        <f t="array" ref="Y1567">HLOOKUP($J1567,'Type Chart'!$C$2:$T$20,6,false)*HLOOKUP($K1567,'Type Chart'!$C$2:$U$20,6,false)</f>
        <v>0</v>
      </c>
      <c r="Z1567" s="960">
        <f t="array" ref="Z1567">HLOOKUP($J1567,'Type Chart'!$C$2:$T$20,7,false)*HLOOKUP($K1567,'Type Chart'!$C$2:$U$20,7,false)</f>
        <v>2</v>
      </c>
      <c r="AA1567" s="960">
        <f t="array" ref="AA1567">HLOOKUP($J1567,'Type Chart'!$C$2:$T$20,8,false)*HLOOKUP($K1567,'Type Chart'!$C$2:$U$20,8,false)</f>
        <v>0.5</v>
      </c>
      <c r="AB1567" s="960">
        <f t="array" ref="AB1567">HLOOKUP($J1567,'Type Chart'!$C$2:$T$20,9,false)*HLOOKUP($K1567,'Type Chart'!$C$2:$U$20,9,false)</f>
        <v>1</v>
      </c>
      <c r="AC1567" s="960">
        <f t="array" ref="AC1567">HLOOKUP($J1567,'Type Chart'!$C$2:$T$20,10,false)*HLOOKUP($K1567,'Type Chart'!$C$2:$U$20,10,false)</f>
        <v>0.5</v>
      </c>
      <c r="AD1567" s="960">
        <f t="array" ref="AD1567">HLOOKUP($J1567,'Type Chart'!$C$2:$T$20,11,false)*HLOOKUP($K1567,'Type Chart'!$C$2:$U$20,11,false)</f>
        <v>0.5</v>
      </c>
      <c r="AE1567" s="960">
        <f t="array" ref="AE1567">HLOOKUP($J1567,'Type Chart'!$C$2:$T$20,12,false)*HLOOKUP($K1567,'Type Chart'!$C$2:$U$20,12,false)</f>
        <v>0.5</v>
      </c>
      <c r="AF1567" s="960">
        <f t="array" ref="AF1567">HLOOKUP($J1567,'Type Chart'!$C$2:$T$20,13,false)*HLOOKUP($K1567,'Type Chart'!$C$2:$U$20,13,false)</f>
        <v>1</v>
      </c>
      <c r="AG1567" s="960">
        <f t="array" ref="AG1567">HLOOKUP($J1567,'Type Chart'!$C$2:$T$20,14,false)*HLOOKUP($K1567,'Type Chart'!$C$2:$U$20,14,false)</f>
        <v>4</v>
      </c>
      <c r="AH1567" s="960">
        <f t="array" ref="AH1567">HLOOKUP($J1567,'Type Chart'!$C$2:$T$20,15,false)*HLOOKUP($K1567,'Type Chart'!$C$2:$U$20,15,false)</f>
        <v>1</v>
      </c>
      <c r="AI1567" s="960">
        <f t="array" ref="AI1567">HLOOKUP($J1567,'Type Chart'!$C$2:$T$20,16,false)*HLOOKUP($K1567,'Type Chart'!$C$2:$U$20,16,false)</f>
        <v>1</v>
      </c>
      <c r="AJ1567" s="960">
        <f t="array" ref="AJ1567">HLOOKUP($J1567,'Type Chart'!$C$2:$T$20,17,false)*HLOOKUP($K1567,'Type Chart'!$C$2:$U$20,17,false)</f>
        <v>1</v>
      </c>
      <c r="AK1567" s="960">
        <f t="array" ref="AK1567">HLOOKUP($J1567,'Type Chart'!$C$2:$T$20,18,false)*HLOOKUP($K1567,'Type Chart'!$C$2:$U$20,18,false)</f>
        <v>1</v>
      </c>
      <c r="AL1567" s="960">
        <f t="array" ref="AL1567">HLOOKUP($J1567,'Type Chart'!$C$2:$T$20,19,false)*HLOOKUP($K1567,'Type Chart'!$C$2:$U$20,19,false)</f>
        <v>1</v>
      </c>
      <c r="AM1567" s="964" t="s">
        <v>1259</v>
      </c>
      <c r="AN1567" s="965" t="s">
        <v>1283</v>
      </c>
      <c r="AO1567" s="966" t="s">
        <v>1542</v>
      </c>
      <c r="AP1567" s="936"/>
      <c r="AQ1567" s="1245"/>
      <c r="AR1567" s="1245"/>
      <c r="AS1567" s="936"/>
    </row>
    <row r="1568" ht="15.75" customHeight="1">
      <c r="A1568" s="1099"/>
      <c r="B1568" s="948" t="s">
        <v>1908</v>
      </c>
      <c r="C1568" s="1197" t="s">
        <v>1909</v>
      </c>
      <c r="D1568" s="1197" t="s">
        <v>1909</v>
      </c>
      <c r="E1568" s="1147" t="s">
        <v>1909</v>
      </c>
      <c r="F1568" s="940"/>
      <c r="G1568" s="953"/>
      <c r="H1568" s="969"/>
      <c r="I1568" s="998" t="s">
        <v>4671</v>
      </c>
      <c r="J1568" s="1206" t="s">
        <v>82</v>
      </c>
      <c r="K1568" s="1001" t="s">
        <v>128</v>
      </c>
      <c r="L1568" s="959">
        <v>65.0</v>
      </c>
      <c r="M1568" s="960">
        <v>80.0</v>
      </c>
      <c r="N1568" s="960">
        <v>140.0</v>
      </c>
      <c r="O1568" s="960">
        <v>40.0</v>
      </c>
      <c r="P1568" s="960">
        <v>70.0</v>
      </c>
      <c r="Q1568" s="960">
        <v>70.0</v>
      </c>
      <c r="R1568" s="960">
        <v>176.0</v>
      </c>
      <c r="S1568" s="960">
        <v>239.0</v>
      </c>
      <c r="T1568" s="960">
        <v>262.0</v>
      </c>
      <c r="U1568" s="960">
        <f t="array" ref="U1568">HLOOKUP($J1568,'Type Chart'!$C$2:$T$20,2,false)*HLOOKUP($K1568,'Type Chart'!$C$2:$U$20,2,false)</f>
        <v>0.5</v>
      </c>
      <c r="V1568" s="960">
        <f t="array" ref="V1568">HLOOKUP($J1568,'Type Chart'!$C$2:$T$20,3,false)*HLOOKUP($K1568,'Type Chart'!$C$2:$U$20,3,false)</f>
        <v>1</v>
      </c>
      <c r="W1568" s="960">
        <f t="array" ref="W1568">HLOOKUP($J1568,'Type Chart'!$C$2:$T$20,4,false)*HLOOKUP($K1568,'Type Chart'!$C$2:$U$20,4,false)</f>
        <v>0.5</v>
      </c>
      <c r="X1568" s="960">
        <f t="array" ref="X1568">HLOOKUP($J1568,'Type Chart'!$C$2:$T$20,5,false)*HLOOKUP($K1568,'Type Chart'!$C$2:$U$20,5,false)</f>
        <v>0</v>
      </c>
      <c r="Y1568" s="960">
        <f t="array" ref="Y1568">HLOOKUP($J1568,'Type Chart'!$C$2:$T$20,6,false)*HLOOKUP($K1568,'Type Chart'!$C$2:$U$20,6,false)</f>
        <v>0</v>
      </c>
      <c r="Z1568" s="960">
        <f t="array" ref="Z1568">HLOOKUP($J1568,'Type Chart'!$C$2:$T$20,7,false)*HLOOKUP($K1568,'Type Chart'!$C$2:$U$20,7,false)</f>
        <v>1</v>
      </c>
      <c r="AA1568" s="960">
        <f t="array" ref="AA1568">HLOOKUP($J1568,'Type Chart'!$C$2:$T$20,8,false)*HLOOKUP($K1568,'Type Chart'!$C$2:$U$20,8,false)</f>
        <v>0.25</v>
      </c>
      <c r="AB1568" s="960">
        <f t="array" ref="AB1568">HLOOKUP($J1568,'Type Chart'!$C$2:$T$20,9,false)*HLOOKUP($K1568,'Type Chart'!$C$2:$U$20,9,false)</f>
        <v>1</v>
      </c>
      <c r="AC1568" s="960">
        <f t="array" ref="AC1568">HLOOKUP($J1568,'Type Chart'!$C$2:$T$20,10,false)*HLOOKUP($K1568,'Type Chart'!$C$2:$U$20,10,false)</f>
        <v>0.5</v>
      </c>
      <c r="AD1568" s="960">
        <f t="array" ref="AD1568">HLOOKUP($J1568,'Type Chart'!$C$2:$T$20,11,false)*HLOOKUP($K1568,'Type Chart'!$C$2:$U$20,11,false)</f>
        <v>2</v>
      </c>
      <c r="AE1568" s="960">
        <f t="array" ref="AE1568">HLOOKUP($J1568,'Type Chart'!$C$2:$T$20,12,false)*HLOOKUP($K1568,'Type Chart'!$C$2:$U$20,12,false)</f>
        <v>1</v>
      </c>
      <c r="AF1568" s="960">
        <f t="array" ref="AF1568">HLOOKUP($J1568,'Type Chart'!$C$2:$T$20,13,false)*HLOOKUP($K1568,'Type Chart'!$C$2:$U$20,13,false)</f>
        <v>0.25</v>
      </c>
      <c r="AG1568" s="960">
        <f t="array" ref="AG1568">HLOOKUP($J1568,'Type Chart'!$C$2:$T$20,14,false)*HLOOKUP($K1568,'Type Chart'!$C$2:$U$20,14,false)</f>
        <v>2</v>
      </c>
      <c r="AH1568" s="960">
        <f t="array" ref="AH1568">HLOOKUP($J1568,'Type Chart'!$C$2:$T$20,15,false)*HLOOKUP($K1568,'Type Chart'!$C$2:$U$20,15,false)</f>
        <v>0.5</v>
      </c>
      <c r="AI1568" s="960">
        <f t="array" ref="AI1568">HLOOKUP($J1568,'Type Chart'!$C$2:$T$20,16,false)*HLOOKUP($K1568,'Type Chart'!$C$2:$U$20,16,false)</f>
        <v>1</v>
      </c>
      <c r="AJ1568" s="960">
        <f t="array" ref="AJ1568">HLOOKUP($J1568,'Type Chart'!$C$2:$T$20,17,false)*HLOOKUP($K1568,'Type Chart'!$C$2:$U$20,17,false)</f>
        <v>0.5</v>
      </c>
      <c r="AK1568" s="960">
        <f t="array" ref="AK1568">HLOOKUP($J1568,'Type Chart'!$C$2:$T$20,18,false)*HLOOKUP($K1568,'Type Chart'!$C$2:$U$20,18,false)</f>
        <v>1</v>
      </c>
      <c r="AL1568" s="960">
        <f t="array" ref="AL1568">HLOOKUP($J1568,'Type Chart'!$C$2:$T$20,19,false)*HLOOKUP($K1568,'Type Chart'!$C$2:$U$20,19,false)</f>
        <v>0.5</v>
      </c>
      <c r="AM1568" s="964" t="s">
        <v>1022</v>
      </c>
      <c r="AN1568" s="965" t="s">
        <v>1331</v>
      </c>
      <c r="AO1568" s="966" t="s">
        <v>1450</v>
      </c>
      <c r="AP1568" s="936"/>
      <c r="AQ1568" s="1245"/>
      <c r="AR1568" s="1245"/>
      <c r="AS1568" s="936"/>
    </row>
    <row r="1569" ht="15.75" customHeight="1">
      <c r="A1569" s="1099"/>
      <c r="B1569" s="948" t="s">
        <v>1910</v>
      </c>
      <c r="C1569" s="1197" t="s">
        <v>1911</v>
      </c>
      <c r="D1569" s="1197" t="s">
        <v>1911</v>
      </c>
      <c r="E1569" s="1147" t="s">
        <v>1911</v>
      </c>
      <c r="F1569" s="940"/>
      <c r="G1569" s="953"/>
      <c r="H1569" s="969"/>
      <c r="I1569" s="998" t="s">
        <v>4672</v>
      </c>
      <c r="J1569" s="1195" t="s">
        <v>193</v>
      </c>
      <c r="K1569" s="982" t="s">
        <v>150</v>
      </c>
      <c r="L1569" s="959">
        <v>45.0</v>
      </c>
      <c r="M1569" s="960">
        <v>60.0</v>
      </c>
      <c r="N1569" s="960">
        <v>30.0</v>
      </c>
      <c r="O1569" s="960">
        <v>80.0</v>
      </c>
      <c r="P1569" s="960">
        <v>50.0</v>
      </c>
      <c r="Q1569" s="960">
        <v>65.0</v>
      </c>
      <c r="R1569" s="960">
        <v>166.0</v>
      </c>
      <c r="S1569" s="960">
        <v>229.0</v>
      </c>
      <c r="T1569" s="960">
        <v>251.0</v>
      </c>
      <c r="U1569" s="960">
        <f t="array" ref="U1569">HLOOKUP($J1569,'Type Chart'!$C$2:$T$20,2,false)*HLOOKUP($K1569,'Type Chart'!$C$2:$U$20,2,false)</f>
        <v>1</v>
      </c>
      <c r="V1569" s="960">
        <f t="array" ref="V1569">HLOOKUP($J1569,'Type Chart'!$C$2:$T$20,3,false)*HLOOKUP($K1569,'Type Chart'!$C$2:$U$20,3,false)</f>
        <v>2</v>
      </c>
      <c r="W1569" s="960">
        <f t="array" ref="W1569">HLOOKUP($J1569,'Type Chart'!$C$2:$T$20,4,false)*HLOOKUP($K1569,'Type Chart'!$C$2:$U$20,4,false)</f>
        <v>1</v>
      </c>
      <c r="X1569" s="960">
        <f t="array" ref="X1569">HLOOKUP($J1569,'Type Chart'!$C$2:$T$20,5,false)*HLOOKUP($K1569,'Type Chart'!$C$2:$U$20,5,false)</f>
        <v>1</v>
      </c>
      <c r="Y1569" s="960">
        <f t="array" ref="Y1569">HLOOKUP($J1569,'Type Chart'!$C$2:$T$20,6,false)*HLOOKUP($K1569,'Type Chart'!$C$2:$U$20,6,false)</f>
        <v>2</v>
      </c>
      <c r="Z1569" s="960">
        <f t="array" ref="Z1569">HLOOKUP($J1569,'Type Chart'!$C$2:$T$20,7,false)*HLOOKUP($K1569,'Type Chart'!$C$2:$U$20,7,false)</f>
        <v>2</v>
      </c>
      <c r="AA1569" s="960">
        <f t="array" ref="AA1569">HLOOKUP($J1569,'Type Chart'!$C$2:$T$20,8,false)*HLOOKUP($K1569,'Type Chart'!$C$2:$U$20,8,false)</f>
        <v>1</v>
      </c>
      <c r="AB1569" s="960">
        <f t="array" ref="AB1569">HLOOKUP($J1569,'Type Chart'!$C$2:$T$20,9,false)*HLOOKUP($K1569,'Type Chart'!$C$2:$U$20,9,false)</f>
        <v>0.5</v>
      </c>
      <c r="AC1569" s="960">
        <f t="array" ref="AC1569">HLOOKUP($J1569,'Type Chart'!$C$2:$T$20,10,false)*HLOOKUP($K1569,'Type Chart'!$C$2:$U$20,10,false)</f>
        <v>0.5</v>
      </c>
      <c r="AD1569" s="960">
        <f t="array" ref="AD1569">HLOOKUP($J1569,'Type Chart'!$C$2:$T$20,11,false)*HLOOKUP($K1569,'Type Chart'!$C$2:$U$20,11,false)</f>
        <v>0.5</v>
      </c>
      <c r="AE1569" s="960">
        <f t="array" ref="AE1569">HLOOKUP($J1569,'Type Chart'!$C$2:$T$20,12,false)*HLOOKUP($K1569,'Type Chart'!$C$2:$U$20,12,false)</f>
        <v>2</v>
      </c>
      <c r="AF1569" s="960">
        <f t="array" ref="AF1569">HLOOKUP($J1569,'Type Chart'!$C$2:$T$20,13,false)*HLOOKUP($K1569,'Type Chart'!$C$2:$U$20,13,false)</f>
        <v>0.5</v>
      </c>
      <c r="AG1569" s="960">
        <f t="array" ref="AG1569">HLOOKUP($J1569,'Type Chart'!$C$2:$T$20,14,false)*HLOOKUP($K1569,'Type Chart'!$C$2:$U$20,14,false)</f>
        <v>1</v>
      </c>
      <c r="AH1569" s="960">
        <f t="array" ref="AH1569">HLOOKUP($J1569,'Type Chart'!$C$2:$T$20,15,false)*HLOOKUP($K1569,'Type Chart'!$C$2:$U$20,15,false)</f>
        <v>0</v>
      </c>
      <c r="AI1569" s="960">
        <f t="array" ref="AI1569">HLOOKUP($J1569,'Type Chart'!$C$2:$T$20,16,false)*HLOOKUP($K1569,'Type Chart'!$C$2:$U$20,16,false)</f>
        <v>0.5</v>
      </c>
      <c r="AJ1569" s="960">
        <f t="array" ref="AJ1569">HLOOKUP($J1569,'Type Chart'!$C$2:$T$20,17,false)*HLOOKUP($K1569,'Type Chart'!$C$2:$U$20,17,false)</f>
        <v>1</v>
      </c>
      <c r="AK1569" s="960">
        <f t="array" ref="AK1569">HLOOKUP($J1569,'Type Chart'!$C$2:$T$20,18,false)*HLOOKUP($K1569,'Type Chart'!$C$2:$U$20,18,false)</f>
        <v>0.5</v>
      </c>
      <c r="AL1569" s="960">
        <f t="array" ref="AL1569">HLOOKUP($J1569,'Type Chart'!$C$2:$T$20,19,false)*HLOOKUP($K1569,'Type Chart'!$C$2:$U$20,19,false)</f>
        <v>1</v>
      </c>
      <c r="AM1569" s="964" t="s">
        <v>1403</v>
      </c>
      <c r="AN1569" s="965" t="s">
        <v>1172</v>
      </c>
      <c r="AO1569" s="966" t="s">
        <v>1062</v>
      </c>
      <c r="AP1569" s="936"/>
      <c r="AQ1569" s="1245"/>
      <c r="AR1569" s="1245"/>
      <c r="AS1569" s="936"/>
    </row>
    <row r="1570" ht="15.75" customHeight="1">
      <c r="A1570" s="1099"/>
      <c r="B1570" s="948" t="s">
        <v>1913</v>
      </c>
      <c r="C1570" s="1197" t="s">
        <v>1914</v>
      </c>
      <c r="D1570" s="1197" t="s">
        <v>1914</v>
      </c>
      <c r="E1570" s="1147" t="s">
        <v>1914</v>
      </c>
      <c r="F1570" s="940"/>
      <c r="G1570" s="953"/>
      <c r="H1570" s="969"/>
      <c r="I1570" s="998" t="s">
        <v>4673</v>
      </c>
      <c r="J1570" s="1195" t="s">
        <v>193</v>
      </c>
      <c r="K1570" s="1208" t="s">
        <v>150</v>
      </c>
      <c r="L1570" s="959">
        <v>75.0</v>
      </c>
      <c r="M1570" s="960">
        <v>90.0</v>
      </c>
      <c r="N1570" s="960">
        <v>50.0</v>
      </c>
      <c r="O1570" s="960">
        <v>110.0</v>
      </c>
      <c r="P1570" s="960">
        <v>80.0</v>
      </c>
      <c r="Q1570" s="960">
        <v>95.0</v>
      </c>
      <c r="R1570" s="960">
        <v>226.0</v>
      </c>
      <c r="S1570" s="960">
        <v>289.0</v>
      </c>
      <c r="T1570" s="960">
        <v>317.0</v>
      </c>
      <c r="U1570" s="960">
        <f t="array" ref="U1570">HLOOKUP($J1570,'Type Chart'!$C$2:$T$20,2,false)*HLOOKUP($K1570,'Type Chart'!$C$2:$U$20,2,false)</f>
        <v>1</v>
      </c>
      <c r="V1570" s="960">
        <f t="array" ref="V1570">HLOOKUP($J1570,'Type Chart'!$C$2:$T$20,3,false)*HLOOKUP($K1570,'Type Chart'!$C$2:$U$20,3,false)</f>
        <v>2</v>
      </c>
      <c r="W1570" s="960">
        <f t="array" ref="W1570">HLOOKUP($J1570,'Type Chart'!$C$2:$T$20,4,false)*HLOOKUP($K1570,'Type Chart'!$C$2:$U$20,4,false)</f>
        <v>1</v>
      </c>
      <c r="X1570" s="960">
        <f t="array" ref="X1570">HLOOKUP($J1570,'Type Chart'!$C$2:$T$20,5,false)*HLOOKUP($K1570,'Type Chart'!$C$2:$U$20,5,false)</f>
        <v>1</v>
      </c>
      <c r="Y1570" s="960">
        <f t="array" ref="Y1570">HLOOKUP($J1570,'Type Chart'!$C$2:$T$20,6,false)*HLOOKUP($K1570,'Type Chart'!$C$2:$U$20,6,false)</f>
        <v>2</v>
      </c>
      <c r="Z1570" s="960">
        <f t="array" ref="Z1570">HLOOKUP($J1570,'Type Chart'!$C$2:$T$20,7,false)*HLOOKUP($K1570,'Type Chart'!$C$2:$U$20,7,false)</f>
        <v>2</v>
      </c>
      <c r="AA1570" s="960">
        <f t="array" ref="AA1570">HLOOKUP($J1570,'Type Chart'!$C$2:$T$20,8,false)*HLOOKUP($K1570,'Type Chart'!$C$2:$U$20,8,false)</f>
        <v>1</v>
      </c>
      <c r="AB1570" s="960">
        <f t="array" ref="AB1570">HLOOKUP($J1570,'Type Chart'!$C$2:$T$20,9,false)*HLOOKUP($K1570,'Type Chart'!$C$2:$U$20,9,false)</f>
        <v>0.5</v>
      </c>
      <c r="AC1570" s="960">
        <f t="array" ref="AC1570">HLOOKUP($J1570,'Type Chart'!$C$2:$T$20,10,false)*HLOOKUP($K1570,'Type Chart'!$C$2:$U$20,10,false)</f>
        <v>0.5</v>
      </c>
      <c r="AD1570" s="960">
        <f t="array" ref="AD1570">HLOOKUP($J1570,'Type Chart'!$C$2:$T$20,11,false)*HLOOKUP($K1570,'Type Chart'!$C$2:$U$20,11,false)</f>
        <v>0.5</v>
      </c>
      <c r="AE1570" s="960">
        <f t="array" ref="AE1570">HLOOKUP($J1570,'Type Chart'!$C$2:$T$20,12,false)*HLOOKUP($K1570,'Type Chart'!$C$2:$U$20,12,false)</f>
        <v>2</v>
      </c>
      <c r="AF1570" s="960">
        <f t="array" ref="AF1570">HLOOKUP($J1570,'Type Chart'!$C$2:$T$20,13,false)*HLOOKUP($K1570,'Type Chart'!$C$2:$U$20,13,false)</f>
        <v>0.5</v>
      </c>
      <c r="AG1570" s="960">
        <f t="array" ref="AG1570">HLOOKUP($J1570,'Type Chart'!$C$2:$T$20,14,false)*HLOOKUP($K1570,'Type Chart'!$C$2:$U$20,14,false)</f>
        <v>1</v>
      </c>
      <c r="AH1570" s="960">
        <f t="array" ref="AH1570">HLOOKUP($J1570,'Type Chart'!$C$2:$T$20,15,false)*HLOOKUP($K1570,'Type Chart'!$C$2:$U$20,15,false)</f>
        <v>0</v>
      </c>
      <c r="AI1570" s="960">
        <f t="array" ref="AI1570">HLOOKUP($J1570,'Type Chart'!$C$2:$T$20,16,false)*HLOOKUP($K1570,'Type Chart'!$C$2:$U$20,16,false)</f>
        <v>0.5</v>
      </c>
      <c r="AJ1570" s="960">
        <f t="array" ref="AJ1570">HLOOKUP($J1570,'Type Chart'!$C$2:$T$20,17,false)*HLOOKUP($K1570,'Type Chart'!$C$2:$U$20,17,false)</f>
        <v>1</v>
      </c>
      <c r="AK1570" s="960">
        <f t="array" ref="AK1570">HLOOKUP($J1570,'Type Chart'!$C$2:$T$20,18,false)*HLOOKUP($K1570,'Type Chart'!$C$2:$U$20,18,false)</f>
        <v>0.5</v>
      </c>
      <c r="AL1570" s="960">
        <f t="array" ref="AL1570">HLOOKUP($J1570,'Type Chart'!$C$2:$T$20,19,false)*HLOOKUP($K1570,'Type Chart'!$C$2:$U$20,19,false)</f>
        <v>1</v>
      </c>
      <c r="AM1570" s="964" t="s">
        <v>1403</v>
      </c>
      <c r="AN1570" s="965" t="s">
        <v>1172</v>
      </c>
      <c r="AO1570" s="966" t="s">
        <v>1062</v>
      </c>
      <c r="AP1570" s="936"/>
      <c r="AQ1570" s="1245"/>
      <c r="AR1570" s="1245"/>
      <c r="AS1570" s="936"/>
    </row>
    <row r="1571" ht="15.75" customHeight="1">
      <c r="A1571" s="1099"/>
      <c r="B1571" s="948" t="s">
        <v>1915</v>
      </c>
      <c r="C1571" s="1197" t="s">
        <v>1916</v>
      </c>
      <c r="D1571" s="1197" t="s">
        <v>1916</v>
      </c>
      <c r="E1571" s="1147" t="s">
        <v>1916</v>
      </c>
      <c r="F1571" s="940"/>
      <c r="G1571" s="953"/>
      <c r="H1571" s="969"/>
      <c r="I1571" s="998" t="s">
        <v>4674</v>
      </c>
      <c r="J1571" s="1195" t="s">
        <v>193</v>
      </c>
      <c r="K1571" s="982" t="s">
        <v>150</v>
      </c>
      <c r="L1571" s="959">
        <v>75.0</v>
      </c>
      <c r="M1571" s="960">
        <v>90.0</v>
      </c>
      <c r="N1571" s="960">
        <v>90.0</v>
      </c>
      <c r="O1571" s="960">
        <v>140.0</v>
      </c>
      <c r="P1571" s="960">
        <v>90.0</v>
      </c>
      <c r="Q1571" s="960">
        <v>115.0</v>
      </c>
      <c r="R1571" s="960">
        <v>266.0</v>
      </c>
      <c r="S1571" s="960">
        <v>329.0</v>
      </c>
      <c r="T1571" s="960">
        <v>361.0</v>
      </c>
      <c r="U1571" s="960">
        <f t="array" ref="U1571">HLOOKUP($J1571,'Type Chart'!$C$2:$T$20,2,false)*HLOOKUP($K1571,'Type Chart'!$C$2:$U$20,2,false)</f>
        <v>1</v>
      </c>
      <c r="V1571" s="960">
        <f t="array" ref="V1571">HLOOKUP($J1571,'Type Chart'!$C$2:$T$20,3,false)*HLOOKUP($K1571,'Type Chart'!$C$2:$U$20,3,false)</f>
        <v>2</v>
      </c>
      <c r="W1571" s="960">
        <f t="array" ref="W1571">HLOOKUP($J1571,'Type Chart'!$C$2:$T$20,4,false)*HLOOKUP($K1571,'Type Chart'!$C$2:$U$20,4,false)</f>
        <v>1</v>
      </c>
      <c r="X1571" s="960">
        <f t="array" ref="X1571">HLOOKUP($J1571,'Type Chart'!$C$2:$T$20,5,false)*HLOOKUP($K1571,'Type Chart'!$C$2:$U$20,5,false)</f>
        <v>1</v>
      </c>
      <c r="Y1571" s="960">
        <f t="array" ref="Y1571">HLOOKUP($J1571,'Type Chart'!$C$2:$T$20,6,false)*HLOOKUP($K1571,'Type Chart'!$C$2:$U$20,6,false)</f>
        <v>2</v>
      </c>
      <c r="Z1571" s="960">
        <f t="array" ref="Z1571">HLOOKUP($J1571,'Type Chart'!$C$2:$T$20,7,false)*HLOOKUP($K1571,'Type Chart'!$C$2:$U$20,7,false)</f>
        <v>2</v>
      </c>
      <c r="AA1571" s="960">
        <f t="array" ref="AA1571">HLOOKUP($J1571,'Type Chart'!$C$2:$T$20,8,false)*HLOOKUP($K1571,'Type Chart'!$C$2:$U$20,8,false)</f>
        <v>1</v>
      </c>
      <c r="AB1571" s="960">
        <f t="array" ref="AB1571">HLOOKUP($J1571,'Type Chart'!$C$2:$T$20,9,false)*HLOOKUP($K1571,'Type Chart'!$C$2:$U$20,9,false)</f>
        <v>0.5</v>
      </c>
      <c r="AC1571" s="960">
        <f t="array" ref="AC1571">HLOOKUP($J1571,'Type Chart'!$C$2:$T$20,10,false)*HLOOKUP($K1571,'Type Chart'!$C$2:$U$20,10,false)</f>
        <v>0.5</v>
      </c>
      <c r="AD1571" s="960">
        <f t="array" ref="AD1571">HLOOKUP($J1571,'Type Chart'!$C$2:$T$20,11,false)*HLOOKUP($K1571,'Type Chart'!$C$2:$U$20,11,false)</f>
        <v>0.5</v>
      </c>
      <c r="AE1571" s="960">
        <f t="array" ref="AE1571">HLOOKUP($J1571,'Type Chart'!$C$2:$T$20,12,false)*HLOOKUP($K1571,'Type Chart'!$C$2:$U$20,12,false)</f>
        <v>2</v>
      </c>
      <c r="AF1571" s="960">
        <f t="array" ref="AF1571">HLOOKUP($J1571,'Type Chart'!$C$2:$T$20,13,false)*HLOOKUP($K1571,'Type Chart'!$C$2:$U$20,13,false)</f>
        <v>0.5</v>
      </c>
      <c r="AG1571" s="960">
        <f t="array" ref="AG1571">HLOOKUP($J1571,'Type Chart'!$C$2:$T$20,14,false)*HLOOKUP($K1571,'Type Chart'!$C$2:$U$20,14,false)</f>
        <v>1</v>
      </c>
      <c r="AH1571" s="960">
        <f t="array" ref="AH1571">HLOOKUP($J1571,'Type Chart'!$C$2:$T$20,15,false)*HLOOKUP($K1571,'Type Chart'!$C$2:$U$20,15,false)</f>
        <v>0</v>
      </c>
      <c r="AI1571" s="960">
        <f t="array" ref="AI1571">HLOOKUP($J1571,'Type Chart'!$C$2:$T$20,16,false)*HLOOKUP($K1571,'Type Chart'!$C$2:$U$20,16,false)</f>
        <v>0.5</v>
      </c>
      <c r="AJ1571" s="960">
        <f t="array" ref="AJ1571">HLOOKUP($J1571,'Type Chart'!$C$2:$T$20,17,false)*HLOOKUP($K1571,'Type Chart'!$C$2:$U$20,17,false)</f>
        <v>1</v>
      </c>
      <c r="AK1571" s="960">
        <f t="array" ref="AK1571">HLOOKUP($J1571,'Type Chart'!$C$2:$T$20,18,false)*HLOOKUP($K1571,'Type Chart'!$C$2:$U$20,18,false)</f>
        <v>0.5</v>
      </c>
      <c r="AL1571" s="960">
        <f t="array" ref="AL1571">HLOOKUP($J1571,'Type Chart'!$C$2:$T$20,19,false)*HLOOKUP($K1571,'Type Chart'!$C$2:$U$20,19,false)</f>
        <v>1</v>
      </c>
      <c r="AM1571" s="964" t="s">
        <v>831</v>
      </c>
      <c r="AN1571" s="965"/>
      <c r="AO1571" s="966"/>
      <c r="AP1571" s="936"/>
      <c r="AQ1571" s="1245"/>
      <c r="AR1571" s="1245"/>
      <c r="AS1571" s="936"/>
    </row>
    <row r="1572" ht="15.75" customHeight="1">
      <c r="A1572" s="1099"/>
      <c r="B1572" s="948" t="s">
        <v>1918</v>
      </c>
      <c r="C1572" s="1197" t="s">
        <v>1919</v>
      </c>
      <c r="D1572" s="1197" t="s">
        <v>1919</v>
      </c>
      <c r="E1572" s="1147" t="s">
        <v>1919</v>
      </c>
      <c r="F1572" s="940"/>
      <c r="G1572" s="953"/>
      <c r="H1572" s="969"/>
      <c r="I1572" s="998" t="s">
        <v>126</v>
      </c>
      <c r="J1572" s="1056" t="s">
        <v>81</v>
      </c>
      <c r="K1572" s="1006" t="s">
        <v>346</v>
      </c>
      <c r="L1572" s="959">
        <v>75.0</v>
      </c>
      <c r="M1572" s="960">
        <v>95.0</v>
      </c>
      <c r="N1572" s="960">
        <v>95.0</v>
      </c>
      <c r="O1572" s="960">
        <v>95.0</v>
      </c>
      <c r="P1572" s="960">
        <v>95.0</v>
      </c>
      <c r="Q1572" s="960">
        <v>85.0</v>
      </c>
      <c r="R1572" s="960">
        <v>206.0</v>
      </c>
      <c r="S1572" s="960">
        <v>269.0</v>
      </c>
      <c r="T1572" s="960">
        <v>295.0</v>
      </c>
      <c r="U1572" s="960">
        <f t="array" ref="U1572">HLOOKUP($J1572,'Type Chart'!$C$2:$T$20,2,false)*HLOOKUP($K1572,'Type Chart'!$C$2:$U$20,2,false)</f>
        <v>1</v>
      </c>
      <c r="V1572" s="960">
        <f t="array" ref="V1572">HLOOKUP($J1572,'Type Chart'!$C$2:$T$20,3,false)*HLOOKUP($K1572,'Type Chart'!$C$2:$U$20,3,false)</f>
        <v>1</v>
      </c>
      <c r="W1572" s="960">
        <f t="array" ref="W1572">HLOOKUP($J1572,'Type Chart'!$C$2:$T$20,4,false)*HLOOKUP($K1572,'Type Chart'!$C$2:$U$20,4,false)</f>
        <v>1</v>
      </c>
      <c r="X1572" s="960">
        <f t="array" ref="X1572">HLOOKUP($J1572,'Type Chart'!$C$2:$T$20,5,false)*HLOOKUP($K1572,'Type Chart'!$C$2:$U$20,5,false)</f>
        <v>1</v>
      </c>
      <c r="Y1572" s="960">
        <f t="array" ref="Y1572">HLOOKUP($J1572,'Type Chart'!$C$2:$T$20,6,false)*HLOOKUP($K1572,'Type Chart'!$C$2:$U$20,6,false)</f>
        <v>1</v>
      </c>
      <c r="Z1572" s="960">
        <f t="array" ref="Z1572">HLOOKUP($J1572,'Type Chart'!$C$2:$T$20,7,false)*HLOOKUP($K1572,'Type Chart'!$C$2:$U$20,7,false)</f>
        <v>1</v>
      </c>
      <c r="AA1572" s="960">
        <f t="array" ref="AA1572">HLOOKUP($J1572,'Type Chart'!$C$2:$T$20,8,false)*HLOOKUP($K1572,'Type Chart'!$C$2:$U$20,8,false)</f>
        <v>1</v>
      </c>
      <c r="AB1572" s="960">
        <f t="array" ref="AB1572">HLOOKUP($J1572,'Type Chart'!$C$2:$T$20,9,false)*HLOOKUP($K1572,'Type Chart'!$C$2:$U$20,9,false)</f>
        <v>1</v>
      </c>
      <c r="AC1572" s="960">
        <f t="array" ref="AC1572">HLOOKUP($J1572,'Type Chart'!$C$2:$T$20,10,false)*HLOOKUP($K1572,'Type Chart'!$C$2:$U$20,10,false)</f>
        <v>0.5</v>
      </c>
      <c r="AD1572" s="960">
        <f t="array" ref="AD1572">HLOOKUP($J1572,'Type Chart'!$C$2:$T$20,11,false)*HLOOKUP($K1572,'Type Chart'!$C$2:$U$20,11,false)</f>
        <v>0.25</v>
      </c>
      <c r="AE1572" s="960">
        <f t="array" ref="AE1572">HLOOKUP($J1572,'Type Chart'!$C$2:$T$20,12,false)*HLOOKUP($K1572,'Type Chart'!$C$2:$U$20,12,false)</f>
        <v>0.25</v>
      </c>
      <c r="AF1572" s="960">
        <f t="array" ref="AF1572">HLOOKUP($J1572,'Type Chart'!$C$2:$T$20,13,false)*HLOOKUP($K1572,'Type Chart'!$C$2:$U$20,13,false)</f>
        <v>1</v>
      </c>
      <c r="AG1572" s="960">
        <f t="array" ref="AG1572">HLOOKUP($J1572,'Type Chart'!$C$2:$T$20,14,false)*HLOOKUP($K1572,'Type Chart'!$C$2:$U$20,14,false)</f>
        <v>1</v>
      </c>
      <c r="AH1572" s="960">
        <f t="array" ref="AH1572">HLOOKUP($J1572,'Type Chart'!$C$2:$T$20,15,false)*HLOOKUP($K1572,'Type Chart'!$C$2:$U$20,15,false)</f>
        <v>1</v>
      </c>
      <c r="AI1572" s="960">
        <f t="array" ref="AI1572">HLOOKUP($J1572,'Type Chart'!$C$2:$T$20,16,false)*HLOOKUP($K1572,'Type Chart'!$C$2:$U$20,16,false)</f>
        <v>1</v>
      </c>
      <c r="AJ1572" s="960">
        <f t="array" ref="AJ1572">HLOOKUP($J1572,'Type Chart'!$C$2:$T$20,17,false)*HLOOKUP($K1572,'Type Chart'!$C$2:$U$20,17,false)</f>
        <v>2</v>
      </c>
      <c r="AK1572" s="960">
        <f t="array" ref="AK1572">HLOOKUP($J1572,'Type Chart'!$C$2:$T$20,18,false)*HLOOKUP($K1572,'Type Chart'!$C$2:$U$20,18,false)</f>
        <v>1</v>
      </c>
      <c r="AL1572" s="960">
        <f t="array" ref="AL1572">HLOOKUP($J1572,'Type Chart'!$C$2:$T$20,19,false)*HLOOKUP($K1572,'Type Chart'!$C$2:$U$20,19,false)</f>
        <v>2</v>
      </c>
      <c r="AM1572" s="964" t="s">
        <v>1259</v>
      </c>
      <c r="AN1572" s="965" t="s">
        <v>1014</v>
      </c>
      <c r="AO1572" s="966" t="s">
        <v>1211</v>
      </c>
      <c r="AP1572" s="936"/>
      <c r="AQ1572" s="1245"/>
      <c r="AR1572" s="1245"/>
      <c r="AS1572" s="936"/>
    </row>
    <row r="1573" ht="15.75" customHeight="1">
      <c r="A1573" s="1099"/>
      <c r="B1573" s="948" t="s">
        <v>1920</v>
      </c>
      <c r="C1573" s="1197" t="s">
        <v>1921</v>
      </c>
      <c r="D1573" s="1197" t="s">
        <v>1921</v>
      </c>
      <c r="E1573" s="1147" t="s">
        <v>1921</v>
      </c>
      <c r="F1573" s="940"/>
      <c r="G1573" s="953"/>
      <c r="H1573" s="969"/>
      <c r="I1573" s="998" t="s">
        <v>4675</v>
      </c>
      <c r="J1573" s="1204" t="s">
        <v>80</v>
      </c>
      <c r="K1573" s="984" t="s">
        <v>216</v>
      </c>
      <c r="L1573" s="959">
        <v>90.0</v>
      </c>
      <c r="M1573" s="960">
        <v>60.0</v>
      </c>
      <c r="N1573" s="960">
        <v>60.0</v>
      </c>
      <c r="O1573" s="960">
        <v>40.0</v>
      </c>
      <c r="P1573" s="960">
        <v>40.0</v>
      </c>
      <c r="Q1573" s="960">
        <v>40.0</v>
      </c>
      <c r="R1573" s="960">
        <v>116.0</v>
      </c>
      <c r="S1573" s="960">
        <v>179.0</v>
      </c>
      <c r="T1573" s="960">
        <v>196.0</v>
      </c>
      <c r="U1573" s="960">
        <f t="array" ref="U1573">HLOOKUP($J1573,'Type Chart'!$C$2:$T$20,2,false)*HLOOKUP($K1573,'Type Chart'!$C$2:$U$20,2,false)</f>
        <v>1</v>
      </c>
      <c r="V1573" s="960">
        <f t="array" ref="V1573">HLOOKUP($J1573,'Type Chart'!$C$2:$T$20,3,false)*HLOOKUP($K1573,'Type Chart'!$C$2:$U$20,3,false)</f>
        <v>1</v>
      </c>
      <c r="W1573" s="960">
        <f t="array" ref="W1573">HLOOKUP($J1573,'Type Chart'!$C$2:$T$20,4,false)*HLOOKUP($K1573,'Type Chart'!$C$2:$U$20,4,false)</f>
        <v>1</v>
      </c>
      <c r="X1573" s="960">
        <f t="array" ref="X1573">HLOOKUP($J1573,'Type Chart'!$C$2:$T$20,5,false)*HLOOKUP($K1573,'Type Chart'!$C$2:$U$20,5,false)</f>
        <v>0.5</v>
      </c>
      <c r="Y1573" s="960">
        <f t="array" ref="Y1573">HLOOKUP($J1573,'Type Chart'!$C$2:$T$20,6,false)*HLOOKUP($K1573,'Type Chart'!$C$2:$U$20,6,false)</f>
        <v>1</v>
      </c>
      <c r="Z1573" s="960">
        <f t="array" ref="Z1573">HLOOKUP($J1573,'Type Chart'!$C$2:$T$20,7,false)*HLOOKUP($K1573,'Type Chart'!$C$2:$U$20,7,false)</f>
        <v>0.5</v>
      </c>
      <c r="AA1573" s="960">
        <f t="array" ref="AA1573">HLOOKUP($J1573,'Type Chart'!$C$2:$T$20,8,false)*HLOOKUP($K1573,'Type Chart'!$C$2:$U$20,8,false)</f>
        <v>1</v>
      </c>
      <c r="AB1573" s="960">
        <f t="array" ref="AB1573">HLOOKUP($J1573,'Type Chart'!$C$2:$T$20,9,false)*HLOOKUP($K1573,'Type Chart'!$C$2:$U$20,9,false)</f>
        <v>1</v>
      </c>
      <c r="AC1573" s="960">
        <f t="array" ref="AC1573">HLOOKUP($J1573,'Type Chart'!$C$2:$T$20,10,false)*HLOOKUP($K1573,'Type Chart'!$C$2:$U$20,10,false)</f>
        <v>1</v>
      </c>
      <c r="AD1573" s="960">
        <f t="array" ref="AD1573">HLOOKUP($J1573,'Type Chart'!$C$2:$T$20,11,false)*HLOOKUP($K1573,'Type Chart'!$C$2:$U$20,11,false)</f>
        <v>1</v>
      </c>
      <c r="AE1573" s="960">
        <f t="array" ref="AE1573">HLOOKUP($J1573,'Type Chart'!$C$2:$T$20,12,false)*HLOOKUP($K1573,'Type Chart'!$C$2:$U$20,12,false)</f>
        <v>2</v>
      </c>
      <c r="AF1573" s="960">
        <f t="array" ref="AF1573">HLOOKUP($J1573,'Type Chart'!$C$2:$T$20,13,false)*HLOOKUP($K1573,'Type Chart'!$C$2:$U$20,13,false)</f>
        <v>2</v>
      </c>
      <c r="AG1573" s="960">
        <f t="array" ref="AG1573">HLOOKUP($J1573,'Type Chart'!$C$2:$T$20,14,false)*HLOOKUP($K1573,'Type Chart'!$C$2:$U$20,14,false)</f>
        <v>0</v>
      </c>
      <c r="AH1573" s="960">
        <f t="array" ref="AH1573">HLOOKUP($J1573,'Type Chart'!$C$2:$T$20,15,false)*HLOOKUP($K1573,'Type Chart'!$C$2:$U$20,15,false)</f>
        <v>1</v>
      </c>
      <c r="AI1573" s="960">
        <f t="array" ref="AI1573">HLOOKUP($J1573,'Type Chart'!$C$2:$T$20,16,false)*HLOOKUP($K1573,'Type Chart'!$C$2:$U$20,16,false)</f>
        <v>2</v>
      </c>
      <c r="AJ1573" s="960">
        <f t="array" ref="AJ1573">HLOOKUP($J1573,'Type Chart'!$C$2:$T$20,17,false)*HLOOKUP($K1573,'Type Chart'!$C$2:$U$20,17,false)</f>
        <v>1</v>
      </c>
      <c r="AK1573" s="960">
        <f t="array" ref="AK1573">HLOOKUP($J1573,'Type Chart'!$C$2:$T$20,18,false)*HLOOKUP($K1573,'Type Chart'!$C$2:$U$20,18,false)</f>
        <v>1</v>
      </c>
      <c r="AL1573" s="960">
        <f t="array" ref="AL1573">HLOOKUP($J1573,'Type Chart'!$C$2:$T$20,19,false)*HLOOKUP($K1573,'Type Chart'!$C$2:$U$20,19,false)</f>
        <v>1</v>
      </c>
      <c r="AM1573" s="964" t="s">
        <v>1238</v>
      </c>
      <c r="AN1573" s="965"/>
      <c r="AO1573" s="966" t="s">
        <v>1129</v>
      </c>
      <c r="AP1573" s="936"/>
      <c r="AQ1573" s="1245"/>
      <c r="AR1573" s="1245"/>
      <c r="AS1573" s="936"/>
    </row>
    <row r="1574" ht="15.75" customHeight="1">
      <c r="A1574" s="1099"/>
      <c r="B1574" s="948" t="s">
        <v>1923</v>
      </c>
      <c r="C1574" s="1197" t="s">
        <v>1924</v>
      </c>
      <c r="D1574" s="1197" t="s">
        <v>1924</v>
      </c>
      <c r="E1574" s="1147" t="s">
        <v>1924</v>
      </c>
      <c r="F1574" s="940"/>
      <c r="G1574" s="953"/>
      <c r="H1574" s="969"/>
      <c r="I1574" s="998" t="s">
        <v>4676</v>
      </c>
      <c r="J1574" s="1204" t="s">
        <v>80</v>
      </c>
      <c r="K1574" s="984" t="s">
        <v>216</v>
      </c>
      <c r="L1574" s="959">
        <v>90.0</v>
      </c>
      <c r="M1574" s="960">
        <v>120.0</v>
      </c>
      <c r="N1574" s="960">
        <v>120.0</v>
      </c>
      <c r="O1574" s="960">
        <v>60.0</v>
      </c>
      <c r="P1574" s="960">
        <v>60.0</v>
      </c>
      <c r="Q1574" s="960">
        <v>50.0</v>
      </c>
      <c r="R1574" s="960">
        <v>136.0</v>
      </c>
      <c r="S1574" s="960">
        <v>199.0</v>
      </c>
      <c r="T1574" s="960">
        <v>218.0</v>
      </c>
      <c r="U1574" s="960">
        <f t="array" ref="U1574">HLOOKUP($J1574,'Type Chart'!$C$2:$T$20,2,false)*HLOOKUP($K1574,'Type Chart'!$C$2:$U$20,2,false)</f>
        <v>1</v>
      </c>
      <c r="V1574" s="960">
        <f t="array" ref="V1574">HLOOKUP($J1574,'Type Chart'!$C$2:$T$20,3,false)*HLOOKUP($K1574,'Type Chart'!$C$2:$U$20,3,false)</f>
        <v>1</v>
      </c>
      <c r="W1574" s="960">
        <f t="array" ref="W1574">HLOOKUP($J1574,'Type Chart'!$C$2:$T$20,4,false)*HLOOKUP($K1574,'Type Chart'!$C$2:$U$20,4,false)</f>
        <v>1</v>
      </c>
      <c r="X1574" s="960">
        <f t="array" ref="X1574">HLOOKUP($J1574,'Type Chart'!$C$2:$T$20,5,false)*HLOOKUP($K1574,'Type Chart'!$C$2:$U$20,5,false)</f>
        <v>0.5</v>
      </c>
      <c r="Y1574" s="960">
        <f t="array" ref="Y1574">HLOOKUP($J1574,'Type Chart'!$C$2:$T$20,6,false)*HLOOKUP($K1574,'Type Chart'!$C$2:$U$20,6,false)</f>
        <v>1</v>
      </c>
      <c r="Z1574" s="960">
        <f t="array" ref="Z1574">HLOOKUP($J1574,'Type Chart'!$C$2:$T$20,7,false)*HLOOKUP($K1574,'Type Chart'!$C$2:$U$20,7,false)</f>
        <v>0.5</v>
      </c>
      <c r="AA1574" s="960">
        <f t="array" ref="AA1574">HLOOKUP($J1574,'Type Chart'!$C$2:$T$20,8,false)*HLOOKUP($K1574,'Type Chart'!$C$2:$U$20,8,false)</f>
        <v>1</v>
      </c>
      <c r="AB1574" s="960">
        <f t="array" ref="AB1574">HLOOKUP($J1574,'Type Chart'!$C$2:$T$20,9,false)*HLOOKUP($K1574,'Type Chart'!$C$2:$U$20,9,false)</f>
        <v>1</v>
      </c>
      <c r="AC1574" s="960">
        <f t="array" ref="AC1574">HLOOKUP($J1574,'Type Chart'!$C$2:$T$20,10,false)*HLOOKUP($K1574,'Type Chart'!$C$2:$U$20,10,false)</f>
        <v>1</v>
      </c>
      <c r="AD1574" s="960">
        <f t="array" ref="AD1574">HLOOKUP($J1574,'Type Chart'!$C$2:$T$20,11,false)*HLOOKUP($K1574,'Type Chart'!$C$2:$U$20,11,false)</f>
        <v>1</v>
      </c>
      <c r="AE1574" s="960">
        <f t="array" ref="AE1574">HLOOKUP($J1574,'Type Chart'!$C$2:$T$20,12,false)*HLOOKUP($K1574,'Type Chart'!$C$2:$U$20,12,false)</f>
        <v>2</v>
      </c>
      <c r="AF1574" s="960">
        <f t="array" ref="AF1574">HLOOKUP($J1574,'Type Chart'!$C$2:$T$20,13,false)*HLOOKUP($K1574,'Type Chart'!$C$2:$U$20,13,false)</f>
        <v>2</v>
      </c>
      <c r="AG1574" s="960">
        <f t="array" ref="AG1574">HLOOKUP($J1574,'Type Chart'!$C$2:$T$20,14,false)*HLOOKUP($K1574,'Type Chart'!$C$2:$U$20,14,false)</f>
        <v>0</v>
      </c>
      <c r="AH1574" s="960">
        <f t="array" ref="AH1574">HLOOKUP($J1574,'Type Chart'!$C$2:$T$20,15,false)*HLOOKUP($K1574,'Type Chart'!$C$2:$U$20,15,false)</f>
        <v>1</v>
      </c>
      <c r="AI1574" s="960">
        <f t="array" ref="AI1574">HLOOKUP($J1574,'Type Chart'!$C$2:$T$20,16,false)*HLOOKUP($K1574,'Type Chart'!$C$2:$U$20,16,false)</f>
        <v>2</v>
      </c>
      <c r="AJ1574" s="960">
        <f t="array" ref="AJ1574">HLOOKUP($J1574,'Type Chart'!$C$2:$T$20,17,false)*HLOOKUP($K1574,'Type Chart'!$C$2:$U$20,17,false)</f>
        <v>1</v>
      </c>
      <c r="AK1574" s="960">
        <f t="array" ref="AK1574">HLOOKUP($J1574,'Type Chart'!$C$2:$T$20,18,false)*HLOOKUP($K1574,'Type Chart'!$C$2:$U$20,18,false)</f>
        <v>1</v>
      </c>
      <c r="AL1574" s="960">
        <f t="array" ref="AL1574">HLOOKUP($J1574,'Type Chart'!$C$2:$T$20,19,false)*HLOOKUP($K1574,'Type Chart'!$C$2:$U$20,19,false)</f>
        <v>1</v>
      </c>
      <c r="AM1574" s="964" t="s">
        <v>1331</v>
      </c>
      <c r="AN1574" s="965"/>
      <c r="AO1574" s="966" t="s">
        <v>1129</v>
      </c>
      <c r="AP1574" s="936"/>
      <c r="AQ1574" s="1245"/>
      <c r="AR1574" s="1245"/>
      <c r="AS1574" s="936"/>
    </row>
    <row r="1575" ht="15.75" customHeight="1">
      <c r="A1575" s="1099"/>
      <c r="B1575" s="948" t="s">
        <v>1925</v>
      </c>
      <c r="C1575" s="1197" t="s">
        <v>1926</v>
      </c>
      <c r="D1575" s="1197" t="s">
        <v>1926</v>
      </c>
      <c r="E1575" s="1147" t="s">
        <v>1926</v>
      </c>
      <c r="F1575" s="940"/>
      <c r="G1575" s="953"/>
      <c r="H1575" s="969"/>
      <c r="I1575" s="998" t="s">
        <v>4677</v>
      </c>
      <c r="J1575" s="1194" t="s">
        <v>136</v>
      </c>
      <c r="K1575" s="984" t="s">
        <v>216</v>
      </c>
      <c r="L1575" s="959">
        <v>85.0</v>
      </c>
      <c r="M1575" s="960">
        <v>80.0</v>
      </c>
      <c r="N1575" s="960">
        <v>90.0</v>
      </c>
      <c r="O1575" s="960">
        <v>105.0</v>
      </c>
      <c r="P1575" s="960">
        <v>95.0</v>
      </c>
      <c r="Q1575" s="960">
        <v>60.0</v>
      </c>
      <c r="R1575" s="960">
        <v>156.0</v>
      </c>
      <c r="S1575" s="960">
        <v>219.0</v>
      </c>
      <c r="T1575" s="960">
        <v>240.0</v>
      </c>
      <c r="U1575" s="960">
        <f t="array" ref="U1575">HLOOKUP($J1575,'Type Chart'!$C$2:$T$20,2,false)*HLOOKUP($K1575,'Type Chart'!$C$2:$U$20,2,false)</f>
        <v>1</v>
      </c>
      <c r="V1575" s="960">
        <f t="array" ref="V1575">HLOOKUP($J1575,'Type Chart'!$C$2:$T$20,3,false)*HLOOKUP($K1575,'Type Chart'!$C$2:$U$20,3,false)</f>
        <v>2</v>
      </c>
      <c r="W1575" s="960">
        <f t="array" ref="W1575">HLOOKUP($J1575,'Type Chart'!$C$2:$T$20,4,false)*HLOOKUP($K1575,'Type Chart'!$C$2:$U$20,4,false)</f>
        <v>1</v>
      </c>
      <c r="X1575" s="960">
        <f t="array" ref="X1575">HLOOKUP($J1575,'Type Chart'!$C$2:$T$20,5,false)*HLOOKUP($K1575,'Type Chart'!$C$2:$U$20,5,false)</f>
        <v>1</v>
      </c>
      <c r="Y1575" s="960">
        <f t="array" ref="Y1575">HLOOKUP($J1575,'Type Chart'!$C$2:$T$20,6,false)*HLOOKUP($K1575,'Type Chart'!$C$2:$U$20,6,false)</f>
        <v>1</v>
      </c>
      <c r="Z1575" s="960">
        <f t="array" ref="Z1575">HLOOKUP($J1575,'Type Chart'!$C$2:$T$20,7,false)*HLOOKUP($K1575,'Type Chart'!$C$2:$U$20,7,false)</f>
        <v>1</v>
      </c>
      <c r="AA1575" s="960">
        <f t="array" ref="AA1575">HLOOKUP($J1575,'Type Chart'!$C$2:$T$20,8,false)*HLOOKUP($K1575,'Type Chart'!$C$2:$U$20,8,false)</f>
        <v>1</v>
      </c>
      <c r="AB1575" s="960">
        <f t="array" ref="AB1575">HLOOKUP($J1575,'Type Chart'!$C$2:$T$20,9,false)*HLOOKUP($K1575,'Type Chart'!$C$2:$U$20,9,false)</f>
        <v>0</v>
      </c>
      <c r="AC1575" s="960">
        <f t="array" ref="AC1575">HLOOKUP($J1575,'Type Chart'!$C$2:$T$20,10,false)*HLOOKUP($K1575,'Type Chart'!$C$2:$U$20,10,false)</f>
        <v>1</v>
      </c>
      <c r="AD1575" s="960">
        <f t="array" ref="AD1575">HLOOKUP($J1575,'Type Chart'!$C$2:$T$20,11,false)*HLOOKUP($K1575,'Type Chart'!$C$2:$U$20,11,false)</f>
        <v>1</v>
      </c>
      <c r="AE1575" s="960">
        <f t="array" ref="AE1575">HLOOKUP($J1575,'Type Chart'!$C$2:$T$20,12,false)*HLOOKUP($K1575,'Type Chart'!$C$2:$U$20,12,false)</f>
        <v>1</v>
      </c>
      <c r="AF1575" s="960">
        <f t="array" ref="AF1575">HLOOKUP($J1575,'Type Chart'!$C$2:$T$20,13,false)*HLOOKUP($K1575,'Type Chart'!$C$2:$U$20,13,false)</f>
        <v>1</v>
      </c>
      <c r="AG1575" s="960">
        <f t="array" ref="AG1575">HLOOKUP($J1575,'Type Chart'!$C$2:$T$20,14,false)*HLOOKUP($K1575,'Type Chart'!$C$2:$U$20,14,false)</f>
        <v>1</v>
      </c>
      <c r="AH1575" s="960">
        <f t="array" ref="AH1575">HLOOKUP($J1575,'Type Chart'!$C$2:$T$20,15,false)*HLOOKUP($K1575,'Type Chart'!$C$2:$U$20,15,false)</f>
        <v>1</v>
      </c>
      <c r="AI1575" s="960">
        <f t="array" ref="AI1575">HLOOKUP($J1575,'Type Chart'!$C$2:$T$20,16,false)*HLOOKUP($K1575,'Type Chart'!$C$2:$U$20,16,false)</f>
        <v>1</v>
      </c>
      <c r="AJ1575" s="960">
        <f t="array" ref="AJ1575">HLOOKUP($J1575,'Type Chart'!$C$2:$T$20,17,false)*HLOOKUP($K1575,'Type Chart'!$C$2:$U$20,17,false)</f>
        <v>1</v>
      </c>
      <c r="AK1575" s="960">
        <f t="array" ref="AK1575">HLOOKUP($J1575,'Type Chart'!$C$2:$T$20,18,false)*HLOOKUP($K1575,'Type Chart'!$C$2:$U$20,18,false)</f>
        <v>1</v>
      </c>
      <c r="AL1575" s="960">
        <f t="array" ref="AL1575">HLOOKUP($J1575,'Type Chart'!$C$2:$T$20,19,false)*HLOOKUP($K1575,'Type Chart'!$C$2:$U$20,19,false)</f>
        <v>1</v>
      </c>
      <c r="AM1575" s="964" t="s">
        <v>1302</v>
      </c>
      <c r="AN1575" s="965" t="s">
        <v>1620</v>
      </c>
      <c r="AO1575" s="966" t="s">
        <v>1389</v>
      </c>
      <c r="AP1575" s="936"/>
      <c r="AQ1575" s="1245"/>
      <c r="AR1575" s="1245"/>
      <c r="AS1575" s="936"/>
    </row>
    <row r="1576" ht="15.75" customHeight="1">
      <c r="A1576" s="1099"/>
      <c r="B1576" s="948" t="s">
        <v>1927</v>
      </c>
      <c r="C1576" s="1197" t="s">
        <v>1928</v>
      </c>
      <c r="D1576" s="1197" t="s">
        <v>1928</v>
      </c>
      <c r="E1576" s="1147" t="s">
        <v>1928</v>
      </c>
      <c r="F1576" s="940"/>
      <c r="G1576" s="953"/>
      <c r="H1576" s="969"/>
      <c r="I1576" s="998" t="s">
        <v>4678</v>
      </c>
      <c r="J1576" s="1216" t="s">
        <v>136</v>
      </c>
      <c r="K1576" s="1199" t="s">
        <v>216</v>
      </c>
      <c r="L1576" s="1200">
        <v>73.0</v>
      </c>
      <c r="M1576" s="1201">
        <v>95.0</v>
      </c>
      <c r="N1576" s="1201">
        <v>62.0</v>
      </c>
      <c r="O1576" s="1201">
        <v>85.0</v>
      </c>
      <c r="P1576" s="1201">
        <v>65.0</v>
      </c>
      <c r="Q1576" s="1201">
        <v>85.0</v>
      </c>
      <c r="R1576" s="960">
        <v>206.0</v>
      </c>
      <c r="S1576" s="960">
        <v>269.0</v>
      </c>
      <c r="T1576" s="960">
        <v>295.0</v>
      </c>
      <c r="U1576" s="960">
        <f t="array" ref="U1576">HLOOKUP($J1576,'Type Chart'!$C$2:$T$20,2,false)*HLOOKUP($K1576,'Type Chart'!$C$2:$U$20,2,false)</f>
        <v>1</v>
      </c>
      <c r="V1576" s="960">
        <f t="array" ref="V1576">HLOOKUP($J1576,'Type Chart'!$C$2:$T$20,3,false)*HLOOKUP($K1576,'Type Chart'!$C$2:$U$20,3,false)</f>
        <v>2</v>
      </c>
      <c r="W1576" s="960">
        <f t="array" ref="W1576">HLOOKUP($J1576,'Type Chart'!$C$2:$T$20,4,false)*HLOOKUP($K1576,'Type Chart'!$C$2:$U$20,4,false)</f>
        <v>1</v>
      </c>
      <c r="X1576" s="960">
        <f t="array" ref="X1576">HLOOKUP($J1576,'Type Chart'!$C$2:$T$20,5,false)*HLOOKUP($K1576,'Type Chart'!$C$2:$U$20,5,false)</f>
        <v>1</v>
      </c>
      <c r="Y1576" s="960">
        <f t="array" ref="Y1576">HLOOKUP($J1576,'Type Chart'!$C$2:$T$20,6,false)*HLOOKUP($K1576,'Type Chart'!$C$2:$U$20,6,false)</f>
        <v>1</v>
      </c>
      <c r="Z1576" s="960">
        <f t="array" ref="Z1576">HLOOKUP($J1576,'Type Chart'!$C$2:$T$20,7,false)*HLOOKUP($K1576,'Type Chart'!$C$2:$U$20,7,false)</f>
        <v>1</v>
      </c>
      <c r="AA1576" s="960">
        <f t="array" ref="AA1576">HLOOKUP($J1576,'Type Chart'!$C$2:$T$20,8,false)*HLOOKUP($K1576,'Type Chart'!$C$2:$U$20,8,false)</f>
        <v>1</v>
      </c>
      <c r="AB1576" s="960">
        <f t="array" ref="AB1576">HLOOKUP($J1576,'Type Chart'!$C$2:$T$20,9,false)*HLOOKUP($K1576,'Type Chart'!$C$2:$U$20,9,false)</f>
        <v>0</v>
      </c>
      <c r="AC1576" s="960">
        <f t="array" ref="AC1576">HLOOKUP($J1576,'Type Chart'!$C$2:$T$20,10,false)*HLOOKUP($K1576,'Type Chart'!$C$2:$U$20,10,false)</f>
        <v>1</v>
      </c>
      <c r="AD1576" s="960">
        <f t="array" ref="AD1576">HLOOKUP($J1576,'Type Chart'!$C$2:$T$20,11,false)*HLOOKUP($K1576,'Type Chart'!$C$2:$U$20,11,false)</f>
        <v>1</v>
      </c>
      <c r="AE1576" s="960">
        <f t="array" ref="AE1576">HLOOKUP($J1576,'Type Chart'!$C$2:$T$20,12,false)*HLOOKUP($K1576,'Type Chart'!$C$2:$U$20,12,false)</f>
        <v>1</v>
      </c>
      <c r="AF1576" s="960">
        <f t="array" ref="AF1576">HLOOKUP($J1576,'Type Chart'!$C$2:$T$20,13,false)*HLOOKUP($K1576,'Type Chart'!$C$2:$U$20,13,false)</f>
        <v>1</v>
      </c>
      <c r="AG1576" s="960">
        <f t="array" ref="AG1576">HLOOKUP($J1576,'Type Chart'!$C$2:$T$20,14,false)*HLOOKUP($K1576,'Type Chart'!$C$2:$U$20,14,false)</f>
        <v>1</v>
      </c>
      <c r="AH1576" s="960">
        <f t="array" ref="AH1576">HLOOKUP($J1576,'Type Chart'!$C$2:$T$20,15,false)*HLOOKUP($K1576,'Type Chart'!$C$2:$U$20,15,false)</f>
        <v>1</v>
      </c>
      <c r="AI1576" s="960">
        <f t="array" ref="AI1576">HLOOKUP($J1576,'Type Chart'!$C$2:$T$20,16,false)*HLOOKUP($K1576,'Type Chart'!$C$2:$U$20,16,false)</f>
        <v>1</v>
      </c>
      <c r="AJ1576" s="960">
        <f t="array" ref="AJ1576">HLOOKUP($J1576,'Type Chart'!$C$2:$T$20,17,false)*HLOOKUP($K1576,'Type Chart'!$C$2:$U$20,17,false)</f>
        <v>1</v>
      </c>
      <c r="AK1576" s="960">
        <f t="array" ref="AK1576">HLOOKUP($J1576,'Type Chart'!$C$2:$T$20,18,false)*HLOOKUP($K1576,'Type Chart'!$C$2:$U$20,18,false)</f>
        <v>1</v>
      </c>
      <c r="AL1576" s="960">
        <f t="array" ref="AL1576">HLOOKUP($J1576,'Type Chart'!$C$2:$T$20,19,false)*HLOOKUP($K1576,'Type Chart'!$C$2:$U$20,19,false)</f>
        <v>1</v>
      </c>
      <c r="AM1576" s="1145" t="s">
        <v>1061</v>
      </c>
      <c r="AN1576" s="965" t="s">
        <v>1188</v>
      </c>
      <c r="AO1576" s="1146" t="s">
        <v>1772</v>
      </c>
      <c r="AP1576" s="936"/>
      <c r="AQ1576" s="1245"/>
      <c r="AR1576" s="1245"/>
      <c r="AS1576" s="936"/>
    </row>
    <row r="1577" ht="15.75" customHeight="1">
      <c r="A1577" s="1099"/>
      <c r="B1577" s="948" t="s">
        <v>1929</v>
      </c>
      <c r="C1577" s="1197" t="s">
        <v>1930</v>
      </c>
      <c r="D1577" s="1197" t="s">
        <v>1930</v>
      </c>
      <c r="E1577" s="1147" t="s">
        <v>1930</v>
      </c>
      <c r="F1577" s="940"/>
      <c r="G1577" s="953"/>
      <c r="H1577" s="969"/>
      <c r="I1577" s="998" t="s">
        <v>4679</v>
      </c>
      <c r="J1577" s="1216" t="s">
        <v>136</v>
      </c>
      <c r="K1577" s="1199" t="s">
        <v>216</v>
      </c>
      <c r="L1577" s="1200">
        <v>55.0</v>
      </c>
      <c r="M1577" s="1201">
        <v>20.0</v>
      </c>
      <c r="N1577" s="1201">
        <v>35.0</v>
      </c>
      <c r="O1577" s="1201">
        <v>20.0</v>
      </c>
      <c r="P1577" s="1201">
        <v>45.0</v>
      </c>
      <c r="Q1577" s="1201">
        <v>75.0</v>
      </c>
      <c r="R1577" s="960">
        <v>186.0</v>
      </c>
      <c r="S1577" s="960">
        <v>249.0</v>
      </c>
      <c r="T1577" s="960">
        <v>273.0</v>
      </c>
      <c r="U1577" s="960">
        <f t="array" ref="U1577">HLOOKUP($J1577,'Type Chart'!$C$2:$T$20,2,false)*HLOOKUP($K1577,'Type Chart'!$C$2:$U$20,2,false)</f>
        <v>1</v>
      </c>
      <c r="V1577" s="960">
        <f t="array" ref="V1577">HLOOKUP($J1577,'Type Chart'!$C$2:$T$20,3,false)*HLOOKUP($K1577,'Type Chart'!$C$2:$U$20,3,false)</f>
        <v>2</v>
      </c>
      <c r="W1577" s="960">
        <f t="array" ref="W1577">HLOOKUP($J1577,'Type Chart'!$C$2:$T$20,4,false)*HLOOKUP($K1577,'Type Chart'!$C$2:$U$20,4,false)</f>
        <v>1</v>
      </c>
      <c r="X1577" s="960">
        <f t="array" ref="X1577">HLOOKUP($J1577,'Type Chart'!$C$2:$T$20,5,false)*HLOOKUP($K1577,'Type Chart'!$C$2:$U$20,5,false)</f>
        <v>1</v>
      </c>
      <c r="Y1577" s="960">
        <f t="array" ref="Y1577">HLOOKUP($J1577,'Type Chart'!$C$2:$T$20,6,false)*HLOOKUP($K1577,'Type Chart'!$C$2:$U$20,6,false)</f>
        <v>1</v>
      </c>
      <c r="Z1577" s="960">
        <f t="array" ref="Z1577">HLOOKUP($J1577,'Type Chart'!$C$2:$T$20,7,false)*HLOOKUP($K1577,'Type Chart'!$C$2:$U$20,7,false)</f>
        <v>1</v>
      </c>
      <c r="AA1577" s="960">
        <f t="array" ref="AA1577">HLOOKUP($J1577,'Type Chart'!$C$2:$T$20,8,false)*HLOOKUP($K1577,'Type Chart'!$C$2:$U$20,8,false)</f>
        <v>1</v>
      </c>
      <c r="AB1577" s="960">
        <f t="array" ref="AB1577">HLOOKUP($J1577,'Type Chart'!$C$2:$T$20,9,false)*HLOOKUP($K1577,'Type Chart'!$C$2:$U$20,9,false)</f>
        <v>0</v>
      </c>
      <c r="AC1577" s="960">
        <f t="array" ref="AC1577">HLOOKUP($J1577,'Type Chart'!$C$2:$T$20,10,false)*HLOOKUP($K1577,'Type Chart'!$C$2:$U$20,10,false)</f>
        <v>1</v>
      </c>
      <c r="AD1577" s="960">
        <f t="array" ref="AD1577">HLOOKUP($J1577,'Type Chart'!$C$2:$T$20,11,false)*HLOOKUP($K1577,'Type Chart'!$C$2:$U$20,11,false)</f>
        <v>1</v>
      </c>
      <c r="AE1577" s="960">
        <f t="array" ref="AE1577">HLOOKUP($J1577,'Type Chart'!$C$2:$T$20,12,false)*HLOOKUP($K1577,'Type Chart'!$C$2:$U$20,12,false)</f>
        <v>1</v>
      </c>
      <c r="AF1577" s="960">
        <f t="array" ref="AF1577">HLOOKUP($J1577,'Type Chart'!$C$2:$T$20,13,false)*HLOOKUP($K1577,'Type Chart'!$C$2:$U$20,13,false)</f>
        <v>1</v>
      </c>
      <c r="AG1577" s="960">
        <f t="array" ref="AG1577">HLOOKUP($J1577,'Type Chart'!$C$2:$T$20,14,false)*HLOOKUP($K1577,'Type Chart'!$C$2:$U$20,14,false)</f>
        <v>1</v>
      </c>
      <c r="AH1577" s="960">
        <f t="array" ref="AH1577">HLOOKUP($J1577,'Type Chart'!$C$2:$T$20,15,false)*HLOOKUP($K1577,'Type Chart'!$C$2:$U$20,15,false)</f>
        <v>1</v>
      </c>
      <c r="AI1577" s="960">
        <f t="array" ref="AI1577">HLOOKUP($J1577,'Type Chart'!$C$2:$T$20,16,false)*HLOOKUP($K1577,'Type Chart'!$C$2:$U$20,16,false)</f>
        <v>1</v>
      </c>
      <c r="AJ1577" s="960">
        <f t="array" ref="AJ1577">HLOOKUP($J1577,'Type Chart'!$C$2:$T$20,17,false)*HLOOKUP($K1577,'Type Chart'!$C$2:$U$20,17,false)</f>
        <v>1</v>
      </c>
      <c r="AK1577" s="960">
        <f t="array" ref="AK1577">HLOOKUP($J1577,'Type Chart'!$C$2:$T$20,18,false)*HLOOKUP($K1577,'Type Chart'!$C$2:$U$20,18,false)</f>
        <v>1</v>
      </c>
      <c r="AL1577" s="960">
        <f t="array" ref="AL1577">HLOOKUP($J1577,'Type Chart'!$C$2:$T$20,19,false)*HLOOKUP($K1577,'Type Chart'!$C$2:$U$20,19,false)</f>
        <v>1</v>
      </c>
      <c r="AM1577" s="1145" t="s">
        <v>1370</v>
      </c>
      <c r="AN1577" s="965" t="s">
        <v>1239</v>
      </c>
      <c r="AO1577" s="966" t="s">
        <v>1898</v>
      </c>
      <c r="AP1577" s="936"/>
      <c r="AQ1577" s="1245"/>
      <c r="AR1577" s="1245"/>
      <c r="AS1577" s="936"/>
    </row>
    <row r="1578" ht="15.75" customHeight="1">
      <c r="A1578" s="1099"/>
      <c r="B1578" s="948" t="s">
        <v>1931</v>
      </c>
      <c r="C1578" s="1197" t="s">
        <v>1932</v>
      </c>
      <c r="D1578" s="1197" t="s">
        <v>1932</v>
      </c>
      <c r="E1578" s="1147" t="s">
        <v>1932</v>
      </c>
      <c r="F1578" s="940"/>
      <c r="G1578" s="953"/>
      <c r="H1578" s="969"/>
      <c r="I1578" s="998" t="s">
        <v>4680</v>
      </c>
      <c r="J1578" s="1213" t="s">
        <v>341</v>
      </c>
      <c r="K1578" s="984" t="s">
        <v>216</v>
      </c>
      <c r="L1578" s="959">
        <v>35.0</v>
      </c>
      <c r="M1578" s="960">
        <v>35.0</v>
      </c>
      <c r="N1578" s="960">
        <v>35.0</v>
      </c>
      <c r="O1578" s="960">
        <v>35.0</v>
      </c>
      <c r="P1578" s="960">
        <v>35.0</v>
      </c>
      <c r="Q1578" s="960">
        <v>35.0</v>
      </c>
      <c r="R1578" s="960">
        <v>106.0</v>
      </c>
      <c r="S1578" s="960">
        <v>169.0</v>
      </c>
      <c r="T1578" s="960">
        <v>185.0</v>
      </c>
      <c r="U1578" s="960">
        <f t="array" ref="U1578">HLOOKUP($J1578,'Type Chart'!$C$2:$T$20,2,false)*HLOOKUP($K1578,'Type Chart'!$C$2:$U$20,2,false)</f>
        <v>1</v>
      </c>
      <c r="V1578" s="960">
        <f t="array" ref="V1578">HLOOKUP($J1578,'Type Chart'!$C$2:$T$20,3,false)*HLOOKUP($K1578,'Type Chart'!$C$2:$U$20,3,false)</f>
        <v>1</v>
      </c>
      <c r="W1578" s="960">
        <f t="array" ref="W1578">HLOOKUP($J1578,'Type Chart'!$C$2:$T$20,4,false)*HLOOKUP($K1578,'Type Chart'!$C$2:$U$20,4,false)</f>
        <v>2</v>
      </c>
      <c r="X1578" s="960">
        <f t="array" ref="X1578">HLOOKUP($J1578,'Type Chart'!$C$2:$T$20,5,false)*HLOOKUP($K1578,'Type Chart'!$C$2:$U$20,5,false)</f>
        <v>1</v>
      </c>
      <c r="Y1578" s="960">
        <f t="array" ref="Y1578">HLOOKUP($J1578,'Type Chart'!$C$2:$T$20,6,false)*HLOOKUP($K1578,'Type Chart'!$C$2:$U$20,6,false)</f>
        <v>1</v>
      </c>
      <c r="Z1578" s="960">
        <f t="array" ref="Z1578">HLOOKUP($J1578,'Type Chart'!$C$2:$T$20,7,false)*HLOOKUP($K1578,'Type Chart'!$C$2:$U$20,7,false)</f>
        <v>0.5</v>
      </c>
      <c r="AA1578" s="960">
        <f t="array" ref="AA1578">HLOOKUP($J1578,'Type Chart'!$C$2:$T$20,8,false)*HLOOKUP($K1578,'Type Chart'!$C$2:$U$20,8,false)</f>
        <v>0.5</v>
      </c>
      <c r="AB1578" s="960">
        <f t="array" ref="AB1578">HLOOKUP($J1578,'Type Chart'!$C$2:$T$20,9,false)*HLOOKUP($K1578,'Type Chart'!$C$2:$U$20,9,false)</f>
        <v>1</v>
      </c>
      <c r="AC1578" s="960">
        <f t="array" ref="AC1578">HLOOKUP($J1578,'Type Chart'!$C$2:$T$20,10,false)*HLOOKUP($K1578,'Type Chart'!$C$2:$U$20,10,false)</f>
        <v>1</v>
      </c>
      <c r="AD1578" s="960">
        <f t="array" ref="AD1578">HLOOKUP($J1578,'Type Chart'!$C$2:$T$20,11,false)*HLOOKUP($K1578,'Type Chart'!$C$2:$U$20,11,false)</f>
        <v>1</v>
      </c>
      <c r="AE1578" s="960">
        <f t="array" ref="AE1578">HLOOKUP($J1578,'Type Chart'!$C$2:$T$20,12,false)*HLOOKUP($K1578,'Type Chart'!$C$2:$U$20,12,false)</f>
        <v>1</v>
      </c>
      <c r="AF1578" s="960">
        <f t="array" ref="AF1578">HLOOKUP($J1578,'Type Chart'!$C$2:$T$20,13,false)*HLOOKUP($K1578,'Type Chart'!$C$2:$U$20,13,false)</f>
        <v>1</v>
      </c>
      <c r="AG1578" s="960">
        <f t="array" ref="AG1578">HLOOKUP($J1578,'Type Chart'!$C$2:$T$20,14,false)*HLOOKUP($K1578,'Type Chart'!$C$2:$U$20,14,false)</f>
        <v>1</v>
      </c>
      <c r="AH1578" s="960">
        <f t="array" ref="AH1578">HLOOKUP($J1578,'Type Chart'!$C$2:$T$20,15,false)*HLOOKUP($K1578,'Type Chart'!$C$2:$U$20,15,false)</f>
        <v>2</v>
      </c>
      <c r="AI1578" s="960">
        <f t="array" ref="AI1578">HLOOKUP($J1578,'Type Chart'!$C$2:$T$20,16,false)*HLOOKUP($K1578,'Type Chart'!$C$2:$U$20,16,false)</f>
        <v>1</v>
      </c>
      <c r="AJ1578" s="960">
        <f t="array" ref="AJ1578">HLOOKUP($J1578,'Type Chart'!$C$2:$T$20,17,false)*HLOOKUP($K1578,'Type Chart'!$C$2:$U$20,17,false)</f>
        <v>1</v>
      </c>
      <c r="AK1578" s="960">
        <f t="array" ref="AK1578">HLOOKUP($J1578,'Type Chart'!$C$2:$T$20,18,false)*HLOOKUP($K1578,'Type Chart'!$C$2:$U$20,18,false)</f>
        <v>0.5</v>
      </c>
      <c r="AL1578" s="960">
        <f t="array" ref="AL1578">HLOOKUP($J1578,'Type Chart'!$C$2:$T$20,19,false)*HLOOKUP($K1578,'Type Chart'!$C$2:$U$20,19,false)</f>
        <v>2</v>
      </c>
      <c r="AM1578" s="964" t="s">
        <v>1038</v>
      </c>
      <c r="AN1578" s="965" t="s">
        <v>1306</v>
      </c>
      <c r="AO1578" s="966" t="s">
        <v>1265</v>
      </c>
      <c r="AP1578" s="936"/>
      <c r="AQ1578" s="1245"/>
      <c r="AR1578" s="1245"/>
      <c r="AS1578" s="936"/>
    </row>
    <row r="1579" ht="15.75" customHeight="1">
      <c r="A1579" s="1099"/>
      <c r="B1579" s="948" t="s">
        <v>1934</v>
      </c>
      <c r="C1579" s="1197" t="s">
        <v>1935</v>
      </c>
      <c r="D1579" s="1197" t="s">
        <v>1935</v>
      </c>
      <c r="E1579" s="1147" t="s">
        <v>1935</v>
      </c>
      <c r="F1579" s="940"/>
      <c r="G1579" s="953"/>
      <c r="H1579" s="969"/>
      <c r="I1579" s="998" t="s">
        <v>4681</v>
      </c>
      <c r="J1579" s="1213" t="s">
        <v>341</v>
      </c>
      <c r="K1579" s="984" t="s">
        <v>216</v>
      </c>
      <c r="L1579" s="959">
        <v>50.0</v>
      </c>
      <c r="M1579" s="960">
        <v>95.0</v>
      </c>
      <c r="N1579" s="960">
        <v>95.0</v>
      </c>
      <c r="O1579" s="960">
        <v>35.0</v>
      </c>
      <c r="P1579" s="960">
        <v>110.0</v>
      </c>
      <c r="Q1579" s="960">
        <v>70.0</v>
      </c>
      <c r="R1579" s="960">
        <v>176.0</v>
      </c>
      <c r="S1579" s="960">
        <v>239.0</v>
      </c>
      <c r="T1579" s="960">
        <v>262.0</v>
      </c>
      <c r="U1579" s="960">
        <f t="array" ref="U1579">HLOOKUP($J1579,'Type Chart'!$C$2:$T$20,2,false)*HLOOKUP($K1579,'Type Chart'!$C$2:$U$20,2,false)</f>
        <v>1</v>
      </c>
      <c r="V1579" s="960">
        <f t="array" ref="V1579">HLOOKUP($J1579,'Type Chart'!$C$2:$T$20,3,false)*HLOOKUP($K1579,'Type Chart'!$C$2:$U$20,3,false)</f>
        <v>1</v>
      </c>
      <c r="W1579" s="960">
        <f t="array" ref="W1579">HLOOKUP($J1579,'Type Chart'!$C$2:$T$20,4,false)*HLOOKUP($K1579,'Type Chart'!$C$2:$U$20,4,false)</f>
        <v>2</v>
      </c>
      <c r="X1579" s="960">
        <f t="array" ref="X1579">HLOOKUP($J1579,'Type Chart'!$C$2:$T$20,5,false)*HLOOKUP($K1579,'Type Chart'!$C$2:$U$20,5,false)</f>
        <v>1</v>
      </c>
      <c r="Y1579" s="960">
        <f t="array" ref="Y1579">HLOOKUP($J1579,'Type Chart'!$C$2:$T$20,6,false)*HLOOKUP($K1579,'Type Chart'!$C$2:$U$20,6,false)</f>
        <v>1</v>
      </c>
      <c r="Z1579" s="960">
        <f t="array" ref="Z1579">HLOOKUP($J1579,'Type Chart'!$C$2:$T$20,7,false)*HLOOKUP($K1579,'Type Chart'!$C$2:$U$20,7,false)</f>
        <v>0.5</v>
      </c>
      <c r="AA1579" s="960">
        <f t="array" ref="AA1579">HLOOKUP($J1579,'Type Chart'!$C$2:$T$20,8,false)*HLOOKUP($K1579,'Type Chart'!$C$2:$U$20,8,false)</f>
        <v>0.5</v>
      </c>
      <c r="AB1579" s="960">
        <f t="array" ref="AB1579">HLOOKUP($J1579,'Type Chart'!$C$2:$T$20,9,false)*HLOOKUP($K1579,'Type Chart'!$C$2:$U$20,9,false)</f>
        <v>1</v>
      </c>
      <c r="AC1579" s="960">
        <f t="array" ref="AC1579">HLOOKUP($J1579,'Type Chart'!$C$2:$T$20,10,false)*HLOOKUP($K1579,'Type Chart'!$C$2:$U$20,10,false)</f>
        <v>1</v>
      </c>
      <c r="AD1579" s="960">
        <f t="array" ref="AD1579">HLOOKUP($J1579,'Type Chart'!$C$2:$T$20,11,false)*HLOOKUP($K1579,'Type Chart'!$C$2:$U$20,11,false)</f>
        <v>1</v>
      </c>
      <c r="AE1579" s="960">
        <f t="array" ref="AE1579">HLOOKUP($J1579,'Type Chart'!$C$2:$T$20,12,false)*HLOOKUP($K1579,'Type Chart'!$C$2:$U$20,12,false)</f>
        <v>1</v>
      </c>
      <c r="AF1579" s="960">
        <f t="array" ref="AF1579">HLOOKUP($J1579,'Type Chart'!$C$2:$T$20,13,false)*HLOOKUP($K1579,'Type Chart'!$C$2:$U$20,13,false)</f>
        <v>1</v>
      </c>
      <c r="AG1579" s="960">
        <f t="array" ref="AG1579">HLOOKUP($J1579,'Type Chart'!$C$2:$T$20,14,false)*HLOOKUP($K1579,'Type Chart'!$C$2:$U$20,14,false)</f>
        <v>1</v>
      </c>
      <c r="AH1579" s="960">
        <f t="array" ref="AH1579">HLOOKUP($J1579,'Type Chart'!$C$2:$T$20,15,false)*HLOOKUP($K1579,'Type Chart'!$C$2:$U$20,15,false)</f>
        <v>2</v>
      </c>
      <c r="AI1579" s="960">
        <f t="array" ref="AI1579">HLOOKUP($J1579,'Type Chart'!$C$2:$T$20,16,false)*HLOOKUP($K1579,'Type Chart'!$C$2:$U$20,16,false)</f>
        <v>1</v>
      </c>
      <c r="AJ1579" s="960">
        <f t="array" ref="AJ1579">HLOOKUP($J1579,'Type Chart'!$C$2:$T$20,17,false)*HLOOKUP($K1579,'Type Chart'!$C$2:$U$20,17,false)</f>
        <v>1</v>
      </c>
      <c r="AK1579" s="960">
        <f t="array" ref="AK1579">HLOOKUP($J1579,'Type Chart'!$C$2:$T$20,18,false)*HLOOKUP($K1579,'Type Chart'!$C$2:$U$20,18,false)</f>
        <v>0.5</v>
      </c>
      <c r="AL1579" s="960">
        <f t="array" ref="AL1579">HLOOKUP($J1579,'Type Chart'!$C$2:$T$20,19,false)*HLOOKUP($K1579,'Type Chart'!$C$2:$U$20,19,false)</f>
        <v>2</v>
      </c>
      <c r="AM1579" s="964" t="s">
        <v>1061</v>
      </c>
      <c r="AN1579" s="965" t="s">
        <v>1239</v>
      </c>
      <c r="AO1579" s="966" t="s">
        <v>1306</v>
      </c>
      <c r="AP1579" s="936"/>
      <c r="AQ1579" s="1245"/>
      <c r="AR1579" s="1245"/>
      <c r="AS1579" s="936"/>
    </row>
    <row r="1580" ht="15.75" customHeight="1">
      <c r="A1580" s="1099"/>
      <c r="B1580" s="948" t="s">
        <v>1936</v>
      </c>
      <c r="C1580" s="1197" t="s">
        <v>1937</v>
      </c>
      <c r="D1580" s="1197" t="s">
        <v>1937</v>
      </c>
      <c r="E1580" s="1147" t="s">
        <v>1937</v>
      </c>
      <c r="F1580" s="940"/>
      <c r="G1580" s="953"/>
      <c r="H1580" s="969"/>
      <c r="I1580" s="998" t="s">
        <v>4682</v>
      </c>
      <c r="J1580" s="1224" t="s">
        <v>345</v>
      </c>
      <c r="K1580" s="1215" t="s">
        <v>344</v>
      </c>
      <c r="L1580" s="1200">
        <v>45.0</v>
      </c>
      <c r="M1580" s="1201">
        <v>30.0</v>
      </c>
      <c r="N1580" s="1201">
        <v>15.0</v>
      </c>
      <c r="O1580" s="1201">
        <v>85.0</v>
      </c>
      <c r="P1580" s="1201">
        <v>65.0</v>
      </c>
      <c r="Q1580" s="1201">
        <v>65.0</v>
      </c>
      <c r="R1580" s="960">
        <v>166.0</v>
      </c>
      <c r="S1580" s="960">
        <v>229.0</v>
      </c>
      <c r="T1580" s="960">
        <v>251.0</v>
      </c>
      <c r="U1580" s="960">
        <f t="array" ref="U1580">HLOOKUP($J1580,'Type Chart'!$C$2:$T$20,2,false)*HLOOKUP($K1580,'Type Chart'!$C$2:$U$20,2,false)</f>
        <v>1</v>
      </c>
      <c r="V1580" s="960">
        <f t="array" ref="V1580">HLOOKUP($J1580,'Type Chart'!$C$2:$T$20,3,false)*HLOOKUP($K1580,'Type Chart'!$C$2:$U$20,3,false)</f>
        <v>1</v>
      </c>
      <c r="W1580" s="960">
        <f t="array" ref="W1580">HLOOKUP($J1580,'Type Chart'!$C$2:$T$20,4,false)*HLOOKUP($K1580,'Type Chart'!$C$2:$U$20,4,false)</f>
        <v>1</v>
      </c>
      <c r="X1580" s="960">
        <f t="array" ref="X1580">HLOOKUP($J1580,'Type Chart'!$C$2:$T$20,5,false)*HLOOKUP($K1580,'Type Chart'!$C$2:$U$20,5,false)</f>
        <v>1</v>
      </c>
      <c r="Y1580" s="960">
        <f t="array" ref="Y1580">HLOOKUP($J1580,'Type Chart'!$C$2:$T$20,6,false)*HLOOKUP($K1580,'Type Chart'!$C$2:$U$20,6,false)</f>
        <v>1</v>
      </c>
      <c r="Z1580" s="960">
        <f t="array" ref="Z1580">HLOOKUP($J1580,'Type Chart'!$C$2:$T$20,7,false)*HLOOKUP($K1580,'Type Chart'!$C$2:$U$20,7,false)</f>
        <v>2</v>
      </c>
      <c r="AA1580" s="960">
        <f t="array" ref="AA1580">HLOOKUP($J1580,'Type Chart'!$C$2:$T$20,8,false)*HLOOKUP($K1580,'Type Chart'!$C$2:$U$20,8,false)</f>
        <v>2</v>
      </c>
      <c r="AB1580" s="960">
        <f t="array" ref="AB1580">HLOOKUP($J1580,'Type Chart'!$C$2:$T$20,9,false)*HLOOKUP($K1580,'Type Chart'!$C$2:$U$20,9,false)</f>
        <v>2</v>
      </c>
      <c r="AC1580" s="960">
        <f t="array" ref="AC1580">HLOOKUP($J1580,'Type Chart'!$C$2:$T$20,10,false)*HLOOKUP($K1580,'Type Chart'!$C$2:$U$20,10,false)</f>
        <v>2</v>
      </c>
      <c r="AD1580" s="960">
        <f t="array" ref="AD1580">HLOOKUP($J1580,'Type Chart'!$C$2:$T$20,11,false)*HLOOKUP($K1580,'Type Chart'!$C$2:$U$20,11,false)</f>
        <v>2</v>
      </c>
      <c r="AE1580" s="960">
        <f t="array" ref="AE1580">HLOOKUP($J1580,'Type Chart'!$C$2:$T$20,12,false)*HLOOKUP($K1580,'Type Chart'!$C$2:$U$20,12,false)</f>
        <v>1</v>
      </c>
      <c r="AF1580" s="960">
        <f t="array" ref="AF1580">HLOOKUP($J1580,'Type Chart'!$C$2:$T$20,13,false)*HLOOKUP($K1580,'Type Chart'!$C$2:$U$20,13,false)</f>
        <v>1</v>
      </c>
      <c r="AG1580" s="960">
        <f t="array" ref="AG1580">HLOOKUP($J1580,'Type Chart'!$C$2:$T$20,14,false)*HLOOKUP($K1580,'Type Chart'!$C$2:$U$20,14,false)</f>
        <v>1</v>
      </c>
      <c r="AH1580" s="960">
        <f t="array" ref="AH1580">HLOOKUP($J1580,'Type Chart'!$C$2:$T$20,15,false)*HLOOKUP($K1580,'Type Chart'!$C$2:$U$20,15,false)</f>
        <v>0.5</v>
      </c>
      <c r="AI1580" s="960">
        <f t="array" ref="AI1580">HLOOKUP($J1580,'Type Chart'!$C$2:$T$20,16,false)*HLOOKUP($K1580,'Type Chart'!$C$2:$U$20,16,false)</f>
        <v>0.5</v>
      </c>
      <c r="AJ1580" s="960">
        <f t="array" ref="AJ1580">HLOOKUP($J1580,'Type Chart'!$C$2:$T$20,17,false)*HLOOKUP($K1580,'Type Chart'!$C$2:$U$20,17,false)</f>
        <v>1</v>
      </c>
      <c r="AK1580" s="960">
        <f t="array" ref="AK1580">HLOOKUP($J1580,'Type Chart'!$C$2:$T$20,18,false)*HLOOKUP($K1580,'Type Chart'!$C$2:$U$20,18,false)</f>
        <v>2</v>
      </c>
      <c r="AL1580" s="960">
        <f t="array" ref="AL1580">HLOOKUP($J1580,'Type Chart'!$C$2:$T$20,19,false)*HLOOKUP($K1580,'Type Chart'!$C$2:$U$20,19,false)</f>
        <v>1</v>
      </c>
      <c r="AM1580" s="1145" t="s">
        <v>1369</v>
      </c>
      <c r="AN1580" s="1202" t="s">
        <v>1455</v>
      </c>
      <c r="AO1580" s="1146" t="s">
        <v>1409</v>
      </c>
      <c r="AP1580" s="936"/>
      <c r="AQ1580" s="1245"/>
      <c r="AR1580" s="1245"/>
      <c r="AS1580" s="936"/>
    </row>
    <row r="1581" ht="15.75" customHeight="1">
      <c r="A1581" s="1099"/>
      <c r="B1581" s="948" t="s">
        <v>1939</v>
      </c>
      <c r="C1581" s="1197" t="s">
        <v>1940</v>
      </c>
      <c r="D1581" s="1197" t="s">
        <v>1940</v>
      </c>
      <c r="E1581" s="1147" t="s">
        <v>1940</v>
      </c>
      <c r="F1581" s="940"/>
      <c r="G1581" s="953"/>
      <c r="H1581" s="969"/>
      <c r="I1581" s="998" t="s">
        <v>4683</v>
      </c>
      <c r="J1581" s="1196" t="s">
        <v>203</v>
      </c>
      <c r="K1581" s="984" t="s">
        <v>216</v>
      </c>
      <c r="L1581" s="959">
        <v>45.0</v>
      </c>
      <c r="M1581" s="960">
        <v>63.0</v>
      </c>
      <c r="N1581" s="960">
        <v>37.0</v>
      </c>
      <c r="O1581" s="960">
        <v>65.0</v>
      </c>
      <c r="P1581" s="960">
        <v>55.0</v>
      </c>
      <c r="Q1581" s="960">
        <v>95.0</v>
      </c>
      <c r="R1581" s="960">
        <v>226.0</v>
      </c>
      <c r="S1581" s="960">
        <v>289.0</v>
      </c>
      <c r="T1581" s="960">
        <v>317.0</v>
      </c>
      <c r="U1581" s="960">
        <f t="array" ref="U1581">HLOOKUP($J1581,'Type Chart'!$C$2:$T$20,2,false)*HLOOKUP($K1581,'Type Chart'!$C$2:$U$20,2,false)</f>
        <v>1</v>
      </c>
      <c r="V1581" s="960">
        <f t="array" ref="V1581">HLOOKUP($J1581,'Type Chart'!$C$2:$T$20,3,false)*HLOOKUP($K1581,'Type Chart'!$C$2:$U$20,3,false)</f>
        <v>1</v>
      </c>
      <c r="W1581" s="960">
        <f t="array" ref="W1581">HLOOKUP($J1581,'Type Chart'!$C$2:$T$20,4,false)*HLOOKUP($K1581,'Type Chart'!$C$2:$U$20,4,false)</f>
        <v>0.5</v>
      </c>
      <c r="X1581" s="960">
        <f t="array" ref="X1581">HLOOKUP($J1581,'Type Chart'!$C$2:$T$20,5,false)*HLOOKUP($K1581,'Type Chart'!$C$2:$U$20,5,false)</f>
        <v>1</v>
      </c>
      <c r="Y1581" s="960">
        <f t="array" ref="Y1581">HLOOKUP($J1581,'Type Chart'!$C$2:$T$20,6,false)*HLOOKUP($K1581,'Type Chart'!$C$2:$U$20,6,false)</f>
        <v>2</v>
      </c>
      <c r="Z1581" s="960">
        <f t="array" ref="Z1581">HLOOKUP($J1581,'Type Chart'!$C$2:$T$20,7,false)*HLOOKUP($K1581,'Type Chart'!$C$2:$U$20,7,false)</f>
        <v>1</v>
      </c>
      <c r="AA1581" s="960">
        <f t="array" ref="AA1581">HLOOKUP($J1581,'Type Chart'!$C$2:$T$20,8,false)*HLOOKUP($K1581,'Type Chart'!$C$2:$U$20,8,false)</f>
        <v>1</v>
      </c>
      <c r="AB1581" s="960">
        <f t="array" ref="AB1581">HLOOKUP($J1581,'Type Chart'!$C$2:$T$20,9,false)*HLOOKUP($K1581,'Type Chart'!$C$2:$U$20,9,false)</f>
        <v>1</v>
      </c>
      <c r="AC1581" s="960">
        <f t="array" ref="AC1581">HLOOKUP($J1581,'Type Chart'!$C$2:$T$20,10,false)*HLOOKUP($K1581,'Type Chart'!$C$2:$U$20,10,false)</f>
        <v>0.5</v>
      </c>
      <c r="AD1581" s="960">
        <f t="array" ref="AD1581">HLOOKUP($J1581,'Type Chart'!$C$2:$T$20,11,false)*HLOOKUP($K1581,'Type Chart'!$C$2:$U$20,11,false)</f>
        <v>1</v>
      </c>
      <c r="AE1581" s="960">
        <f t="array" ref="AE1581">HLOOKUP($J1581,'Type Chart'!$C$2:$T$20,12,false)*HLOOKUP($K1581,'Type Chart'!$C$2:$U$20,12,false)</f>
        <v>1</v>
      </c>
      <c r="AF1581" s="960">
        <f t="array" ref="AF1581">HLOOKUP($J1581,'Type Chart'!$C$2:$T$20,13,false)*HLOOKUP($K1581,'Type Chart'!$C$2:$U$20,13,false)</f>
        <v>1</v>
      </c>
      <c r="AG1581" s="960">
        <f t="array" ref="AG1581">HLOOKUP($J1581,'Type Chart'!$C$2:$T$20,14,false)*HLOOKUP($K1581,'Type Chart'!$C$2:$U$20,14,false)</f>
        <v>0.5</v>
      </c>
      <c r="AH1581" s="960">
        <f t="array" ref="AH1581">HLOOKUP($J1581,'Type Chart'!$C$2:$T$20,15,false)*HLOOKUP($K1581,'Type Chart'!$C$2:$U$20,15,false)</f>
        <v>1</v>
      </c>
      <c r="AI1581" s="960">
        <f t="array" ref="AI1581">HLOOKUP($J1581,'Type Chart'!$C$2:$T$20,16,false)*HLOOKUP($K1581,'Type Chart'!$C$2:$U$20,16,false)</f>
        <v>1</v>
      </c>
      <c r="AJ1581" s="960">
        <f t="array" ref="AJ1581">HLOOKUP($J1581,'Type Chart'!$C$2:$T$20,17,false)*HLOOKUP($K1581,'Type Chart'!$C$2:$U$20,17,false)</f>
        <v>1</v>
      </c>
      <c r="AK1581" s="960">
        <f t="array" ref="AK1581">HLOOKUP($J1581,'Type Chart'!$C$2:$T$20,18,false)*HLOOKUP($K1581,'Type Chart'!$C$2:$U$20,18,false)</f>
        <v>1</v>
      </c>
      <c r="AL1581" s="960">
        <f t="array" ref="AL1581">HLOOKUP($J1581,'Type Chart'!$C$2:$T$20,19,false)*HLOOKUP($K1581,'Type Chart'!$C$2:$U$20,19,false)</f>
        <v>1</v>
      </c>
      <c r="AM1581" s="964" t="s">
        <v>1067</v>
      </c>
      <c r="AN1581" s="965"/>
      <c r="AO1581" s="966" t="s">
        <v>1265</v>
      </c>
      <c r="AP1581" s="936"/>
      <c r="AQ1581" s="1245"/>
      <c r="AR1581" s="1245"/>
      <c r="AS1581" s="936"/>
    </row>
    <row r="1582" ht="15.75" customHeight="1">
      <c r="A1582" s="1099"/>
      <c r="B1582" s="948" t="s">
        <v>1942</v>
      </c>
      <c r="C1582" s="1197" t="s">
        <v>1943</v>
      </c>
      <c r="D1582" s="1197" t="s">
        <v>1943</v>
      </c>
      <c r="E1582" s="1147" t="s">
        <v>1943</v>
      </c>
      <c r="F1582" s="940"/>
      <c r="G1582" s="953"/>
      <c r="H1582" s="969"/>
      <c r="I1582" s="998" t="s">
        <v>4684</v>
      </c>
      <c r="J1582" s="982" t="s">
        <v>150</v>
      </c>
      <c r="K1582" s="984" t="s">
        <v>216</v>
      </c>
      <c r="L1582" s="959">
        <v>45.0</v>
      </c>
      <c r="M1582" s="960">
        <v>75.0</v>
      </c>
      <c r="N1582" s="960">
        <v>37.0</v>
      </c>
      <c r="O1582" s="960">
        <v>70.0</v>
      </c>
      <c r="P1582" s="960">
        <v>55.0</v>
      </c>
      <c r="Q1582" s="960">
        <v>83.0</v>
      </c>
      <c r="R1582" s="960">
        <v>202.0</v>
      </c>
      <c r="S1582" s="960">
        <v>265.0</v>
      </c>
      <c r="T1582" s="960">
        <v>291.0</v>
      </c>
      <c r="U1582" s="960">
        <f t="array" ref="U1582">HLOOKUP($J1582,'Type Chart'!$C$2:$T$20,2,false)*HLOOKUP($K1582,'Type Chart'!$C$2:$U$20,2,false)</f>
        <v>1</v>
      </c>
      <c r="V1582" s="960">
        <f t="array" ref="V1582">HLOOKUP($J1582,'Type Chart'!$C$2:$T$20,3,false)*HLOOKUP($K1582,'Type Chart'!$C$2:$U$20,3,false)</f>
        <v>1</v>
      </c>
      <c r="W1582" s="960">
        <f t="array" ref="W1582">HLOOKUP($J1582,'Type Chart'!$C$2:$T$20,4,false)*HLOOKUP($K1582,'Type Chart'!$C$2:$U$20,4,false)</f>
        <v>1</v>
      </c>
      <c r="X1582" s="960">
        <f t="array" ref="X1582">HLOOKUP($J1582,'Type Chart'!$C$2:$T$20,5,false)*HLOOKUP($K1582,'Type Chart'!$C$2:$U$20,5,false)</f>
        <v>1</v>
      </c>
      <c r="Y1582" s="960">
        <f t="array" ref="Y1582">HLOOKUP($J1582,'Type Chart'!$C$2:$T$20,6,false)*HLOOKUP($K1582,'Type Chart'!$C$2:$U$20,6,false)</f>
        <v>2</v>
      </c>
      <c r="Z1582" s="960">
        <f t="array" ref="Z1582">HLOOKUP($J1582,'Type Chart'!$C$2:$T$20,7,false)*HLOOKUP($K1582,'Type Chart'!$C$2:$U$20,7,false)</f>
        <v>2</v>
      </c>
      <c r="AA1582" s="960">
        <f t="array" ref="AA1582">HLOOKUP($J1582,'Type Chart'!$C$2:$T$20,8,false)*HLOOKUP($K1582,'Type Chart'!$C$2:$U$20,8,false)</f>
        <v>0.5</v>
      </c>
      <c r="AB1582" s="960">
        <f t="array" ref="AB1582">HLOOKUP($J1582,'Type Chart'!$C$2:$T$20,9,false)*HLOOKUP($K1582,'Type Chart'!$C$2:$U$20,9,false)</f>
        <v>1</v>
      </c>
      <c r="AC1582" s="960">
        <f t="array" ref="AC1582">HLOOKUP($J1582,'Type Chart'!$C$2:$T$20,10,false)*HLOOKUP($K1582,'Type Chart'!$C$2:$U$20,10,false)</f>
        <v>0.5</v>
      </c>
      <c r="AD1582" s="960">
        <f t="array" ref="AD1582">HLOOKUP($J1582,'Type Chart'!$C$2:$T$20,11,false)*HLOOKUP($K1582,'Type Chart'!$C$2:$U$20,11,false)</f>
        <v>0.5</v>
      </c>
      <c r="AE1582" s="960">
        <f t="array" ref="AE1582">HLOOKUP($J1582,'Type Chart'!$C$2:$T$20,12,false)*HLOOKUP($K1582,'Type Chart'!$C$2:$U$20,12,false)</f>
        <v>2</v>
      </c>
      <c r="AF1582" s="960">
        <f t="array" ref="AF1582">HLOOKUP($J1582,'Type Chart'!$C$2:$T$20,13,false)*HLOOKUP($K1582,'Type Chart'!$C$2:$U$20,13,false)</f>
        <v>0.5</v>
      </c>
      <c r="AG1582" s="960">
        <f t="array" ref="AG1582">HLOOKUP($J1582,'Type Chart'!$C$2:$T$20,14,false)*HLOOKUP($K1582,'Type Chart'!$C$2:$U$20,14,false)</f>
        <v>1</v>
      </c>
      <c r="AH1582" s="960">
        <f t="array" ref="AH1582">HLOOKUP($J1582,'Type Chart'!$C$2:$T$20,15,false)*HLOOKUP($K1582,'Type Chart'!$C$2:$U$20,15,false)</f>
        <v>1</v>
      </c>
      <c r="AI1582" s="960">
        <f t="array" ref="AI1582">HLOOKUP($J1582,'Type Chart'!$C$2:$T$20,16,false)*HLOOKUP($K1582,'Type Chart'!$C$2:$U$20,16,false)</f>
        <v>0.5</v>
      </c>
      <c r="AJ1582" s="960">
        <f t="array" ref="AJ1582">HLOOKUP($J1582,'Type Chart'!$C$2:$T$20,17,false)*HLOOKUP($K1582,'Type Chart'!$C$2:$U$20,17,false)</f>
        <v>1</v>
      </c>
      <c r="AK1582" s="960">
        <f t="array" ref="AK1582">HLOOKUP($J1582,'Type Chart'!$C$2:$T$20,18,false)*HLOOKUP($K1582,'Type Chart'!$C$2:$U$20,18,false)</f>
        <v>1</v>
      </c>
      <c r="AL1582" s="960">
        <f t="array" ref="AL1582">HLOOKUP($J1582,'Type Chart'!$C$2:$T$20,19,false)*HLOOKUP($K1582,'Type Chart'!$C$2:$U$20,19,false)</f>
        <v>0.5</v>
      </c>
      <c r="AM1582" s="964" t="s">
        <v>1353</v>
      </c>
      <c r="AN1582" s="965"/>
      <c r="AO1582" s="966" t="s">
        <v>1265</v>
      </c>
      <c r="AP1582" s="936"/>
      <c r="AQ1582" s="1245"/>
      <c r="AR1582" s="1245"/>
      <c r="AS1582" s="936"/>
    </row>
    <row r="1583" ht="15.75" customHeight="1">
      <c r="A1583" s="1099"/>
      <c r="B1583" s="948" t="s">
        <v>1945</v>
      </c>
      <c r="C1583" s="1197" t="s">
        <v>1946</v>
      </c>
      <c r="D1583" s="1197" t="s">
        <v>1946</v>
      </c>
      <c r="E1583" s="1147" t="s">
        <v>1946</v>
      </c>
      <c r="F1583" s="940"/>
      <c r="G1583" s="953"/>
      <c r="H1583" s="969"/>
      <c r="I1583" s="998" t="s">
        <v>4685</v>
      </c>
      <c r="J1583" s="1194" t="s">
        <v>136</v>
      </c>
      <c r="K1583" s="984" t="s">
        <v>216</v>
      </c>
      <c r="L1583" s="959">
        <v>95.0</v>
      </c>
      <c r="M1583" s="960">
        <v>80.0</v>
      </c>
      <c r="N1583" s="960">
        <v>105.0</v>
      </c>
      <c r="O1583" s="960">
        <v>40.0</v>
      </c>
      <c r="P1583" s="960">
        <v>70.0</v>
      </c>
      <c r="Q1583" s="960">
        <v>100.0</v>
      </c>
      <c r="R1583" s="960">
        <v>236.0</v>
      </c>
      <c r="S1583" s="960">
        <v>299.0</v>
      </c>
      <c r="T1583" s="960">
        <v>328.0</v>
      </c>
      <c r="U1583" s="960">
        <f t="array" ref="U1583">HLOOKUP($J1583,'Type Chart'!$C$2:$T$20,2,false)*HLOOKUP($K1583,'Type Chart'!$C$2:$U$20,2,false)</f>
        <v>1</v>
      </c>
      <c r="V1583" s="960">
        <f t="array" ref="V1583">HLOOKUP($J1583,'Type Chart'!$C$2:$T$20,3,false)*HLOOKUP($K1583,'Type Chart'!$C$2:$U$20,3,false)</f>
        <v>2</v>
      </c>
      <c r="W1583" s="960">
        <f t="array" ref="W1583">HLOOKUP($J1583,'Type Chart'!$C$2:$T$20,4,false)*HLOOKUP($K1583,'Type Chart'!$C$2:$U$20,4,false)</f>
        <v>1</v>
      </c>
      <c r="X1583" s="960">
        <f t="array" ref="X1583">HLOOKUP($J1583,'Type Chart'!$C$2:$T$20,5,false)*HLOOKUP($K1583,'Type Chart'!$C$2:$U$20,5,false)</f>
        <v>1</v>
      </c>
      <c r="Y1583" s="960">
        <f t="array" ref="Y1583">HLOOKUP($J1583,'Type Chart'!$C$2:$T$20,6,false)*HLOOKUP($K1583,'Type Chart'!$C$2:$U$20,6,false)</f>
        <v>1</v>
      </c>
      <c r="Z1583" s="960">
        <f t="array" ref="Z1583">HLOOKUP($J1583,'Type Chart'!$C$2:$T$20,7,false)*HLOOKUP($K1583,'Type Chart'!$C$2:$U$20,7,false)</f>
        <v>1</v>
      </c>
      <c r="AA1583" s="960">
        <f t="array" ref="AA1583">HLOOKUP($J1583,'Type Chart'!$C$2:$T$20,8,false)*HLOOKUP($K1583,'Type Chart'!$C$2:$U$20,8,false)</f>
        <v>1</v>
      </c>
      <c r="AB1583" s="960">
        <f t="array" ref="AB1583">HLOOKUP($J1583,'Type Chart'!$C$2:$T$20,9,false)*HLOOKUP($K1583,'Type Chart'!$C$2:$U$20,9,false)</f>
        <v>0</v>
      </c>
      <c r="AC1583" s="960">
        <f t="array" ref="AC1583">HLOOKUP($J1583,'Type Chart'!$C$2:$T$20,10,false)*HLOOKUP($K1583,'Type Chart'!$C$2:$U$20,10,false)</f>
        <v>1</v>
      </c>
      <c r="AD1583" s="960">
        <f t="array" ref="AD1583">HLOOKUP($J1583,'Type Chart'!$C$2:$T$20,11,false)*HLOOKUP($K1583,'Type Chart'!$C$2:$U$20,11,false)</f>
        <v>1</v>
      </c>
      <c r="AE1583" s="960">
        <f t="array" ref="AE1583">HLOOKUP($J1583,'Type Chart'!$C$2:$T$20,12,false)*HLOOKUP($K1583,'Type Chart'!$C$2:$U$20,12,false)</f>
        <v>1</v>
      </c>
      <c r="AF1583" s="960">
        <f t="array" ref="AF1583">HLOOKUP($J1583,'Type Chart'!$C$2:$T$20,13,false)*HLOOKUP($K1583,'Type Chart'!$C$2:$U$20,13,false)</f>
        <v>1</v>
      </c>
      <c r="AG1583" s="960">
        <f t="array" ref="AG1583">HLOOKUP($J1583,'Type Chart'!$C$2:$T$20,14,false)*HLOOKUP($K1583,'Type Chart'!$C$2:$U$20,14,false)</f>
        <v>1</v>
      </c>
      <c r="AH1583" s="960">
        <f t="array" ref="AH1583">HLOOKUP($J1583,'Type Chart'!$C$2:$T$20,15,false)*HLOOKUP($K1583,'Type Chart'!$C$2:$U$20,15,false)</f>
        <v>1</v>
      </c>
      <c r="AI1583" s="960">
        <f t="array" ref="AI1583">HLOOKUP($J1583,'Type Chart'!$C$2:$T$20,16,false)*HLOOKUP($K1583,'Type Chart'!$C$2:$U$20,16,false)</f>
        <v>1</v>
      </c>
      <c r="AJ1583" s="960">
        <f t="array" ref="AJ1583">HLOOKUP($J1583,'Type Chart'!$C$2:$T$20,17,false)*HLOOKUP($K1583,'Type Chart'!$C$2:$U$20,17,false)</f>
        <v>1</v>
      </c>
      <c r="AK1583" s="960">
        <f t="array" ref="AK1583">HLOOKUP($J1583,'Type Chart'!$C$2:$T$20,18,false)*HLOOKUP($K1583,'Type Chart'!$C$2:$U$20,18,false)</f>
        <v>1</v>
      </c>
      <c r="AL1583" s="960">
        <f t="array" ref="AL1583">HLOOKUP($J1583,'Type Chart'!$C$2:$T$20,19,false)*HLOOKUP($K1583,'Type Chart'!$C$2:$U$20,19,false)</f>
        <v>1</v>
      </c>
      <c r="AM1583" s="1145" t="s">
        <v>760</v>
      </c>
      <c r="AN1583" s="965" t="s">
        <v>1399</v>
      </c>
      <c r="AO1583" s="966" t="s">
        <v>1772</v>
      </c>
      <c r="AP1583" s="936"/>
      <c r="AQ1583" s="1245"/>
      <c r="AR1583" s="1245"/>
      <c r="AS1583" s="936"/>
    </row>
    <row r="1584" ht="15.75" customHeight="1">
      <c r="A1584" s="1099"/>
      <c r="B1584" s="948" t="s">
        <v>1948</v>
      </c>
      <c r="C1584" s="1197" t="s">
        <v>1949</v>
      </c>
      <c r="D1584" s="1197" t="s">
        <v>1949</v>
      </c>
      <c r="E1584" s="1147" t="s">
        <v>1949</v>
      </c>
      <c r="F1584" s="940"/>
      <c r="G1584" s="953"/>
      <c r="H1584" s="969"/>
      <c r="I1584" s="998" t="s">
        <v>4686</v>
      </c>
      <c r="J1584" s="1194" t="s">
        <v>136</v>
      </c>
      <c r="K1584" s="984" t="s">
        <v>216</v>
      </c>
      <c r="L1584" s="959">
        <v>255.0</v>
      </c>
      <c r="M1584" s="960">
        <v>10.0</v>
      </c>
      <c r="N1584" s="960">
        <v>10.0</v>
      </c>
      <c r="O1584" s="960">
        <v>75.0</v>
      </c>
      <c r="P1584" s="960">
        <v>135.0</v>
      </c>
      <c r="Q1584" s="960">
        <v>55.0</v>
      </c>
      <c r="R1584" s="960">
        <v>146.0</v>
      </c>
      <c r="S1584" s="960">
        <v>209.0</v>
      </c>
      <c r="T1584" s="960">
        <v>229.0</v>
      </c>
      <c r="U1584" s="960">
        <f t="array" ref="U1584">HLOOKUP($J1584,'Type Chart'!$C$2:$T$20,2,false)*HLOOKUP($K1584,'Type Chart'!$C$2:$U$20,2,false)</f>
        <v>1</v>
      </c>
      <c r="V1584" s="960">
        <f t="array" ref="V1584">HLOOKUP($J1584,'Type Chart'!$C$2:$T$20,3,false)*HLOOKUP($K1584,'Type Chart'!$C$2:$U$20,3,false)</f>
        <v>2</v>
      </c>
      <c r="W1584" s="960">
        <f t="array" ref="W1584">HLOOKUP($J1584,'Type Chart'!$C$2:$T$20,4,false)*HLOOKUP($K1584,'Type Chart'!$C$2:$U$20,4,false)</f>
        <v>1</v>
      </c>
      <c r="X1584" s="960">
        <f t="array" ref="X1584">HLOOKUP($J1584,'Type Chart'!$C$2:$T$20,5,false)*HLOOKUP($K1584,'Type Chart'!$C$2:$U$20,5,false)</f>
        <v>1</v>
      </c>
      <c r="Y1584" s="960">
        <f t="array" ref="Y1584">HLOOKUP($J1584,'Type Chart'!$C$2:$T$20,6,false)*HLOOKUP($K1584,'Type Chart'!$C$2:$U$20,6,false)</f>
        <v>1</v>
      </c>
      <c r="Z1584" s="960">
        <f t="array" ref="Z1584">HLOOKUP($J1584,'Type Chart'!$C$2:$T$20,7,false)*HLOOKUP($K1584,'Type Chart'!$C$2:$U$20,7,false)</f>
        <v>1</v>
      </c>
      <c r="AA1584" s="960">
        <f t="array" ref="AA1584">HLOOKUP($J1584,'Type Chart'!$C$2:$T$20,8,false)*HLOOKUP($K1584,'Type Chart'!$C$2:$U$20,8,false)</f>
        <v>1</v>
      </c>
      <c r="AB1584" s="960">
        <f t="array" ref="AB1584">HLOOKUP($J1584,'Type Chart'!$C$2:$T$20,9,false)*HLOOKUP($K1584,'Type Chart'!$C$2:$U$20,9,false)</f>
        <v>0</v>
      </c>
      <c r="AC1584" s="960">
        <f t="array" ref="AC1584">HLOOKUP($J1584,'Type Chart'!$C$2:$T$20,10,false)*HLOOKUP($K1584,'Type Chart'!$C$2:$U$20,10,false)</f>
        <v>1</v>
      </c>
      <c r="AD1584" s="960">
        <f t="array" ref="AD1584">HLOOKUP($J1584,'Type Chart'!$C$2:$T$20,11,false)*HLOOKUP($K1584,'Type Chart'!$C$2:$U$20,11,false)</f>
        <v>1</v>
      </c>
      <c r="AE1584" s="960">
        <f t="array" ref="AE1584">HLOOKUP($J1584,'Type Chart'!$C$2:$T$20,12,false)*HLOOKUP($K1584,'Type Chart'!$C$2:$U$20,12,false)</f>
        <v>1</v>
      </c>
      <c r="AF1584" s="960">
        <f t="array" ref="AF1584">HLOOKUP($J1584,'Type Chart'!$C$2:$T$20,13,false)*HLOOKUP($K1584,'Type Chart'!$C$2:$U$20,13,false)</f>
        <v>1</v>
      </c>
      <c r="AG1584" s="960">
        <f t="array" ref="AG1584">HLOOKUP($J1584,'Type Chart'!$C$2:$T$20,14,false)*HLOOKUP($K1584,'Type Chart'!$C$2:$U$20,14,false)</f>
        <v>1</v>
      </c>
      <c r="AH1584" s="960">
        <f t="array" ref="AH1584">HLOOKUP($J1584,'Type Chart'!$C$2:$T$20,15,false)*HLOOKUP($K1584,'Type Chart'!$C$2:$U$20,15,false)</f>
        <v>1</v>
      </c>
      <c r="AI1584" s="960">
        <f t="array" ref="AI1584">HLOOKUP($J1584,'Type Chart'!$C$2:$T$20,16,false)*HLOOKUP($K1584,'Type Chart'!$C$2:$U$20,16,false)</f>
        <v>1</v>
      </c>
      <c r="AJ1584" s="960">
        <f t="array" ref="AJ1584">HLOOKUP($J1584,'Type Chart'!$C$2:$T$20,17,false)*HLOOKUP($K1584,'Type Chart'!$C$2:$U$20,17,false)</f>
        <v>1</v>
      </c>
      <c r="AK1584" s="960">
        <f t="array" ref="AK1584">HLOOKUP($J1584,'Type Chart'!$C$2:$T$20,18,false)*HLOOKUP($K1584,'Type Chart'!$C$2:$U$20,18,false)</f>
        <v>1</v>
      </c>
      <c r="AL1584" s="960">
        <f t="array" ref="AL1584">HLOOKUP($J1584,'Type Chart'!$C$2:$T$20,19,false)*HLOOKUP($K1584,'Type Chart'!$C$2:$U$20,19,false)</f>
        <v>1</v>
      </c>
      <c r="AM1584" s="1145" t="s">
        <v>1520</v>
      </c>
      <c r="AN1584" s="965" t="s">
        <v>1521</v>
      </c>
      <c r="AO1584" s="966" t="s">
        <v>1522</v>
      </c>
      <c r="AP1584" s="936"/>
      <c r="AQ1584" s="1245"/>
      <c r="AR1584" s="1245"/>
      <c r="AS1584" s="936"/>
    </row>
    <row r="1585" ht="15.75" customHeight="1">
      <c r="A1585" s="1099"/>
      <c r="B1585" s="948" t="s">
        <v>1950</v>
      </c>
      <c r="C1585" s="1197" t="s">
        <v>1951</v>
      </c>
      <c r="D1585" s="1197" t="s">
        <v>1951</v>
      </c>
      <c r="E1585" s="1147" t="s">
        <v>1951</v>
      </c>
      <c r="F1585" s="940"/>
      <c r="G1585" s="953"/>
      <c r="H1585" s="969"/>
      <c r="I1585" s="998" t="s">
        <v>4687</v>
      </c>
      <c r="J1585" s="1196" t="s">
        <v>203</v>
      </c>
      <c r="K1585" s="984" t="s">
        <v>216</v>
      </c>
      <c r="L1585" s="959">
        <v>90.0</v>
      </c>
      <c r="M1585" s="960">
        <v>85.0</v>
      </c>
      <c r="N1585" s="960">
        <v>75.0</v>
      </c>
      <c r="O1585" s="960">
        <v>115.0</v>
      </c>
      <c r="P1585" s="960">
        <v>100.0</v>
      </c>
      <c r="Q1585" s="960">
        <v>115.0</v>
      </c>
      <c r="R1585" s="960">
        <v>266.0</v>
      </c>
      <c r="S1585" s="960">
        <v>329.0</v>
      </c>
      <c r="T1585" s="960">
        <v>361.0</v>
      </c>
      <c r="U1585" s="960">
        <f t="array" ref="U1585">HLOOKUP($J1585,'Type Chart'!$C$2:$T$20,2,false)*HLOOKUP($K1585,'Type Chart'!$C$2:$U$20,2,false)</f>
        <v>1</v>
      </c>
      <c r="V1585" s="960">
        <f t="array" ref="V1585">HLOOKUP($J1585,'Type Chart'!$C$2:$T$20,3,false)*HLOOKUP($K1585,'Type Chart'!$C$2:$U$20,3,false)</f>
        <v>1</v>
      </c>
      <c r="W1585" s="960">
        <f t="array" ref="W1585">HLOOKUP($J1585,'Type Chart'!$C$2:$T$20,4,false)*HLOOKUP($K1585,'Type Chart'!$C$2:$U$20,4,false)</f>
        <v>0.5</v>
      </c>
      <c r="X1585" s="960">
        <f t="array" ref="X1585">HLOOKUP($J1585,'Type Chart'!$C$2:$T$20,5,false)*HLOOKUP($K1585,'Type Chart'!$C$2:$U$20,5,false)</f>
        <v>1</v>
      </c>
      <c r="Y1585" s="960">
        <f t="array" ref="Y1585">HLOOKUP($J1585,'Type Chart'!$C$2:$T$20,6,false)*HLOOKUP($K1585,'Type Chart'!$C$2:$U$20,6,false)</f>
        <v>2</v>
      </c>
      <c r="Z1585" s="960">
        <f t="array" ref="Z1585">HLOOKUP($J1585,'Type Chart'!$C$2:$T$20,7,false)*HLOOKUP($K1585,'Type Chart'!$C$2:$U$20,7,false)</f>
        <v>1</v>
      </c>
      <c r="AA1585" s="960">
        <f t="array" ref="AA1585">HLOOKUP($J1585,'Type Chart'!$C$2:$T$20,8,false)*HLOOKUP($K1585,'Type Chart'!$C$2:$U$20,8,false)</f>
        <v>1</v>
      </c>
      <c r="AB1585" s="960">
        <f t="array" ref="AB1585">HLOOKUP($J1585,'Type Chart'!$C$2:$T$20,9,false)*HLOOKUP($K1585,'Type Chart'!$C$2:$U$20,9,false)</f>
        <v>1</v>
      </c>
      <c r="AC1585" s="960">
        <f t="array" ref="AC1585">HLOOKUP($J1585,'Type Chart'!$C$2:$T$20,10,false)*HLOOKUP($K1585,'Type Chart'!$C$2:$U$20,10,false)</f>
        <v>0.5</v>
      </c>
      <c r="AD1585" s="960">
        <f t="array" ref="AD1585">HLOOKUP($J1585,'Type Chart'!$C$2:$T$20,11,false)*HLOOKUP($K1585,'Type Chart'!$C$2:$U$20,11,false)</f>
        <v>1</v>
      </c>
      <c r="AE1585" s="960">
        <f t="array" ref="AE1585">HLOOKUP($J1585,'Type Chart'!$C$2:$T$20,12,false)*HLOOKUP($K1585,'Type Chart'!$C$2:$U$20,12,false)</f>
        <v>1</v>
      </c>
      <c r="AF1585" s="960">
        <f t="array" ref="AF1585">HLOOKUP($J1585,'Type Chart'!$C$2:$T$20,13,false)*HLOOKUP($K1585,'Type Chart'!$C$2:$U$20,13,false)</f>
        <v>1</v>
      </c>
      <c r="AG1585" s="960">
        <f t="array" ref="AG1585">HLOOKUP($J1585,'Type Chart'!$C$2:$T$20,14,false)*HLOOKUP($K1585,'Type Chart'!$C$2:$U$20,14,false)</f>
        <v>0.5</v>
      </c>
      <c r="AH1585" s="960">
        <f t="array" ref="AH1585">HLOOKUP($J1585,'Type Chart'!$C$2:$T$20,15,false)*HLOOKUP($K1585,'Type Chart'!$C$2:$U$20,15,false)</f>
        <v>1</v>
      </c>
      <c r="AI1585" s="960">
        <f t="array" ref="AI1585">HLOOKUP($J1585,'Type Chart'!$C$2:$T$20,16,false)*HLOOKUP($K1585,'Type Chart'!$C$2:$U$20,16,false)</f>
        <v>1</v>
      </c>
      <c r="AJ1585" s="960">
        <f t="array" ref="AJ1585">HLOOKUP($J1585,'Type Chart'!$C$2:$T$20,17,false)*HLOOKUP($K1585,'Type Chart'!$C$2:$U$20,17,false)</f>
        <v>1</v>
      </c>
      <c r="AK1585" s="960">
        <f t="array" ref="AK1585">HLOOKUP($J1585,'Type Chart'!$C$2:$T$20,18,false)*HLOOKUP($K1585,'Type Chart'!$C$2:$U$20,18,false)</f>
        <v>1</v>
      </c>
      <c r="AL1585" s="960">
        <f t="array" ref="AL1585">HLOOKUP($J1585,'Type Chart'!$C$2:$T$20,19,false)*HLOOKUP($K1585,'Type Chart'!$C$2:$U$20,19,false)</f>
        <v>1</v>
      </c>
      <c r="AM1585" s="964" t="s">
        <v>1636</v>
      </c>
      <c r="AN1585" s="965"/>
      <c r="AO1585" s="966" t="s">
        <v>1192</v>
      </c>
      <c r="AP1585" s="936"/>
      <c r="AQ1585" s="1245"/>
      <c r="AR1585" s="1245"/>
      <c r="AS1585" s="936"/>
    </row>
    <row r="1586" ht="15.75" customHeight="1">
      <c r="A1586" s="1099"/>
      <c r="B1586" s="948" t="s">
        <v>1952</v>
      </c>
      <c r="C1586" s="1197" t="s">
        <v>1953</v>
      </c>
      <c r="D1586" s="1197" t="s">
        <v>1953</v>
      </c>
      <c r="E1586" s="1147" t="s">
        <v>1953</v>
      </c>
      <c r="F1586" s="940"/>
      <c r="G1586" s="953"/>
      <c r="H1586" s="969"/>
      <c r="I1586" s="998" t="s">
        <v>4688</v>
      </c>
      <c r="J1586" s="982" t="s">
        <v>150</v>
      </c>
      <c r="K1586" s="984" t="s">
        <v>216</v>
      </c>
      <c r="L1586" s="959">
        <v>115.0</v>
      </c>
      <c r="M1586" s="960">
        <v>115.0</v>
      </c>
      <c r="N1586" s="960">
        <v>85.0</v>
      </c>
      <c r="O1586" s="960">
        <v>90.0</v>
      </c>
      <c r="P1586" s="960">
        <v>75.0</v>
      </c>
      <c r="Q1586" s="960">
        <v>100.0</v>
      </c>
      <c r="R1586" s="960">
        <v>236.0</v>
      </c>
      <c r="S1586" s="960">
        <v>299.0</v>
      </c>
      <c r="T1586" s="960">
        <v>328.0</v>
      </c>
      <c r="U1586" s="960">
        <f t="array" ref="U1586">HLOOKUP($J1586,'Type Chart'!$C$2:$T$20,2,false)*HLOOKUP($K1586,'Type Chart'!$C$2:$U$20,2,false)</f>
        <v>1</v>
      </c>
      <c r="V1586" s="960">
        <f t="array" ref="V1586">HLOOKUP($J1586,'Type Chart'!$C$2:$T$20,3,false)*HLOOKUP($K1586,'Type Chart'!$C$2:$U$20,3,false)</f>
        <v>1</v>
      </c>
      <c r="W1586" s="960">
        <f t="array" ref="W1586">HLOOKUP($J1586,'Type Chart'!$C$2:$T$20,4,false)*HLOOKUP($K1586,'Type Chart'!$C$2:$U$20,4,false)</f>
        <v>1</v>
      </c>
      <c r="X1586" s="960">
        <f t="array" ref="X1586">HLOOKUP($J1586,'Type Chart'!$C$2:$T$20,5,false)*HLOOKUP($K1586,'Type Chart'!$C$2:$U$20,5,false)</f>
        <v>1</v>
      </c>
      <c r="Y1586" s="960">
        <f t="array" ref="Y1586">HLOOKUP($J1586,'Type Chart'!$C$2:$T$20,6,false)*HLOOKUP($K1586,'Type Chart'!$C$2:$U$20,6,false)</f>
        <v>2</v>
      </c>
      <c r="Z1586" s="960">
        <f t="array" ref="Z1586">HLOOKUP($J1586,'Type Chart'!$C$2:$T$20,7,false)*HLOOKUP($K1586,'Type Chart'!$C$2:$U$20,7,false)</f>
        <v>2</v>
      </c>
      <c r="AA1586" s="960">
        <f t="array" ref="AA1586">HLOOKUP($J1586,'Type Chart'!$C$2:$T$20,8,false)*HLOOKUP($K1586,'Type Chart'!$C$2:$U$20,8,false)</f>
        <v>0.5</v>
      </c>
      <c r="AB1586" s="960">
        <f t="array" ref="AB1586">HLOOKUP($J1586,'Type Chart'!$C$2:$T$20,9,false)*HLOOKUP($K1586,'Type Chart'!$C$2:$U$20,9,false)</f>
        <v>1</v>
      </c>
      <c r="AC1586" s="960">
        <f t="array" ref="AC1586">HLOOKUP($J1586,'Type Chart'!$C$2:$T$20,10,false)*HLOOKUP($K1586,'Type Chart'!$C$2:$U$20,10,false)</f>
        <v>0.5</v>
      </c>
      <c r="AD1586" s="960">
        <f t="array" ref="AD1586">HLOOKUP($J1586,'Type Chart'!$C$2:$T$20,11,false)*HLOOKUP($K1586,'Type Chart'!$C$2:$U$20,11,false)</f>
        <v>0.5</v>
      </c>
      <c r="AE1586" s="960">
        <f t="array" ref="AE1586">HLOOKUP($J1586,'Type Chart'!$C$2:$T$20,12,false)*HLOOKUP($K1586,'Type Chart'!$C$2:$U$20,12,false)</f>
        <v>2</v>
      </c>
      <c r="AF1586" s="960">
        <f t="array" ref="AF1586">HLOOKUP($J1586,'Type Chart'!$C$2:$T$20,13,false)*HLOOKUP($K1586,'Type Chart'!$C$2:$U$20,13,false)</f>
        <v>0.5</v>
      </c>
      <c r="AG1586" s="960">
        <f t="array" ref="AG1586">HLOOKUP($J1586,'Type Chart'!$C$2:$T$20,14,false)*HLOOKUP($K1586,'Type Chart'!$C$2:$U$20,14,false)</f>
        <v>1</v>
      </c>
      <c r="AH1586" s="960">
        <f t="array" ref="AH1586">HLOOKUP($J1586,'Type Chart'!$C$2:$T$20,15,false)*HLOOKUP($K1586,'Type Chart'!$C$2:$U$20,15,false)</f>
        <v>1</v>
      </c>
      <c r="AI1586" s="960">
        <f t="array" ref="AI1586">HLOOKUP($J1586,'Type Chart'!$C$2:$T$20,16,false)*HLOOKUP($K1586,'Type Chart'!$C$2:$U$20,16,false)</f>
        <v>0.5</v>
      </c>
      <c r="AJ1586" s="960">
        <f t="array" ref="AJ1586">HLOOKUP($J1586,'Type Chart'!$C$2:$T$20,17,false)*HLOOKUP($K1586,'Type Chart'!$C$2:$U$20,17,false)</f>
        <v>1</v>
      </c>
      <c r="AK1586" s="960">
        <f t="array" ref="AK1586">HLOOKUP($J1586,'Type Chart'!$C$2:$T$20,18,false)*HLOOKUP($K1586,'Type Chart'!$C$2:$U$20,18,false)</f>
        <v>1</v>
      </c>
      <c r="AL1586" s="960">
        <f t="array" ref="AL1586">HLOOKUP($J1586,'Type Chart'!$C$2:$T$20,19,false)*HLOOKUP($K1586,'Type Chart'!$C$2:$U$20,19,false)</f>
        <v>0.5</v>
      </c>
      <c r="AM1586" s="964" t="s">
        <v>1636</v>
      </c>
      <c r="AN1586" s="965"/>
      <c r="AO1586" s="966" t="s">
        <v>1192</v>
      </c>
      <c r="AP1586" s="936"/>
      <c r="AQ1586" s="1245"/>
      <c r="AR1586" s="1245"/>
      <c r="AS1586" s="936"/>
    </row>
    <row r="1587" ht="15.75" customHeight="1">
      <c r="A1587" s="1099"/>
      <c r="B1587" s="948" t="s">
        <v>1954</v>
      </c>
      <c r="C1587" s="1197" t="s">
        <v>1955</v>
      </c>
      <c r="D1587" s="1197" t="s">
        <v>1955</v>
      </c>
      <c r="E1587" s="1147" t="s">
        <v>1955</v>
      </c>
      <c r="F1587" s="940"/>
      <c r="G1587" s="953"/>
      <c r="H1587" s="969"/>
      <c r="I1587" s="998" t="s">
        <v>4689</v>
      </c>
      <c r="J1587" s="1056" t="s">
        <v>81</v>
      </c>
      <c r="K1587" s="984" t="s">
        <v>216</v>
      </c>
      <c r="L1587" s="959">
        <v>100.0</v>
      </c>
      <c r="M1587" s="960">
        <v>75.0</v>
      </c>
      <c r="N1587" s="960">
        <v>115.0</v>
      </c>
      <c r="O1587" s="960">
        <v>90.0</v>
      </c>
      <c r="P1587" s="960">
        <v>115.0</v>
      </c>
      <c r="Q1587" s="960">
        <v>85.0</v>
      </c>
      <c r="R1587" s="960">
        <v>206.0</v>
      </c>
      <c r="S1587" s="960">
        <v>269.0</v>
      </c>
      <c r="T1587" s="960">
        <v>295.0</v>
      </c>
      <c r="U1587" s="960">
        <f t="array" ref="U1587">HLOOKUP($J1587,'Type Chart'!$C$2:$T$20,2,false)*HLOOKUP($K1587,'Type Chart'!$C$2:$U$20,2,false)</f>
        <v>1</v>
      </c>
      <c r="V1587" s="960">
        <f t="array" ref="V1587">HLOOKUP($J1587,'Type Chart'!$C$2:$T$20,3,false)*HLOOKUP($K1587,'Type Chart'!$C$2:$U$20,3,false)</f>
        <v>1</v>
      </c>
      <c r="W1587" s="960">
        <f t="array" ref="W1587">HLOOKUP($J1587,'Type Chart'!$C$2:$T$20,4,false)*HLOOKUP($K1587,'Type Chart'!$C$2:$U$20,4,false)</f>
        <v>1</v>
      </c>
      <c r="X1587" s="960">
        <f t="array" ref="X1587">HLOOKUP($J1587,'Type Chart'!$C$2:$T$20,5,false)*HLOOKUP($K1587,'Type Chart'!$C$2:$U$20,5,false)</f>
        <v>1</v>
      </c>
      <c r="Y1587" s="960">
        <f t="array" ref="Y1587">HLOOKUP($J1587,'Type Chart'!$C$2:$T$20,6,false)*HLOOKUP($K1587,'Type Chart'!$C$2:$U$20,6,false)</f>
        <v>1</v>
      </c>
      <c r="Z1587" s="960">
        <f t="array" ref="Z1587">HLOOKUP($J1587,'Type Chart'!$C$2:$T$20,7,false)*HLOOKUP($K1587,'Type Chart'!$C$2:$U$20,7,false)</f>
        <v>1</v>
      </c>
      <c r="AA1587" s="960">
        <f t="array" ref="AA1587">HLOOKUP($J1587,'Type Chart'!$C$2:$T$20,8,false)*HLOOKUP($K1587,'Type Chart'!$C$2:$U$20,8,false)</f>
        <v>1</v>
      </c>
      <c r="AB1587" s="960">
        <f t="array" ref="AB1587">HLOOKUP($J1587,'Type Chart'!$C$2:$T$20,9,false)*HLOOKUP($K1587,'Type Chart'!$C$2:$U$20,9,false)</f>
        <v>1</v>
      </c>
      <c r="AC1587" s="960">
        <f t="array" ref="AC1587">HLOOKUP($J1587,'Type Chart'!$C$2:$T$20,10,false)*HLOOKUP($K1587,'Type Chart'!$C$2:$U$20,10,false)</f>
        <v>0.5</v>
      </c>
      <c r="AD1587" s="960">
        <f t="array" ref="AD1587">HLOOKUP($J1587,'Type Chart'!$C$2:$T$20,11,false)*HLOOKUP($K1587,'Type Chart'!$C$2:$U$20,11,false)</f>
        <v>0.5</v>
      </c>
      <c r="AE1587" s="960">
        <f t="array" ref="AE1587">HLOOKUP($J1587,'Type Chart'!$C$2:$T$20,12,false)*HLOOKUP($K1587,'Type Chart'!$C$2:$U$20,12,false)</f>
        <v>0.5</v>
      </c>
      <c r="AF1587" s="960">
        <f t="array" ref="AF1587">HLOOKUP($J1587,'Type Chart'!$C$2:$T$20,13,false)*HLOOKUP($K1587,'Type Chart'!$C$2:$U$20,13,false)</f>
        <v>2</v>
      </c>
      <c r="AG1587" s="960">
        <f t="array" ref="AG1587">HLOOKUP($J1587,'Type Chart'!$C$2:$T$20,14,false)*HLOOKUP($K1587,'Type Chart'!$C$2:$U$20,14,false)</f>
        <v>2</v>
      </c>
      <c r="AH1587" s="960">
        <f t="array" ref="AH1587">HLOOKUP($J1587,'Type Chart'!$C$2:$T$20,15,false)*HLOOKUP($K1587,'Type Chart'!$C$2:$U$20,15,false)</f>
        <v>1</v>
      </c>
      <c r="AI1587" s="960">
        <f t="array" ref="AI1587">HLOOKUP($J1587,'Type Chart'!$C$2:$T$20,16,false)*HLOOKUP($K1587,'Type Chart'!$C$2:$U$20,16,false)</f>
        <v>0.5</v>
      </c>
      <c r="AJ1587" s="960">
        <f t="array" ref="AJ1587">HLOOKUP($J1587,'Type Chart'!$C$2:$T$20,17,false)*HLOOKUP($K1587,'Type Chart'!$C$2:$U$20,17,false)</f>
        <v>1</v>
      </c>
      <c r="AK1587" s="960">
        <f t="array" ref="AK1587">HLOOKUP($J1587,'Type Chart'!$C$2:$T$20,18,false)*HLOOKUP($K1587,'Type Chart'!$C$2:$U$20,18,false)</f>
        <v>1</v>
      </c>
      <c r="AL1587" s="960">
        <f t="array" ref="AL1587">HLOOKUP($J1587,'Type Chart'!$C$2:$T$20,19,false)*HLOOKUP($K1587,'Type Chart'!$C$2:$U$20,19,false)</f>
        <v>1</v>
      </c>
      <c r="AM1587" s="964" t="s">
        <v>1636</v>
      </c>
      <c r="AN1587" s="965"/>
      <c r="AO1587" s="966" t="s">
        <v>1192</v>
      </c>
      <c r="AP1587" s="936"/>
      <c r="AQ1587" s="1245"/>
      <c r="AR1587" s="1245"/>
      <c r="AS1587" s="936"/>
    </row>
    <row r="1588" ht="15.75" customHeight="1">
      <c r="A1588" s="1099"/>
      <c r="B1588" s="948" t="s">
        <v>1956</v>
      </c>
      <c r="C1588" s="1197" t="s">
        <v>1957</v>
      </c>
      <c r="D1588" s="1197" t="s">
        <v>1957</v>
      </c>
      <c r="E1588" s="1147" t="s">
        <v>1957</v>
      </c>
      <c r="F1588" s="940"/>
      <c r="G1588" s="953"/>
      <c r="H1588" s="969"/>
      <c r="I1588" s="998" t="s">
        <v>4690</v>
      </c>
      <c r="J1588" s="1214" t="s">
        <v>342</v>
      </c>
      <c r="K1588" s="1204" t="s">
        <v>80</v>
      </c>
      <c r="L1588" s="959">
        <v>50.0</v>
      </c>
      <c r="M1588" s="960">
        <v>64.0</v>
      </c>
      <c r="N1588" s="960">
        <v>50.0</v>
      </c>
      <c r="O1588" s="960">
        <v>45.0</v>
      </c>
      <c r="P1588" s="960">
        <v>50.0</v>
      </c>
      <c r="Q1588" s="960">
        <v>41.0</v>
      </c>
      <c r="R1588" s="960">
        <v>118.0</v>
      </c>
      <c r="S1588" s="960">
        <v>181.0</v>
      </c>
      <c r="T1588" s="960">
        <v>199.0</v>
      </c>
      <c r="U1588" s="960">
        <f t="array" ref="U1588">HLOOKUP($J1588,'Type Chart'!$C$2:$T$20,2,false)*HLOOKUP($K1588,'Type Chart'!$C$2:$U$20,2,false)</f>
        <v>0.5</v>
      </c>
      <c r="V1588" s="960">
        <f t="array" ref="V1588">HLOOKUP($J1588,'Type Chart'!$C$2:$T$20,3,false)*HLOOKUP($K1588,'Type Chart'!$C$2:$U$20,3,false)</f>
        <v>2</v>
      </c>
      <c r="W1588" s="960">
        <f t="array" ref="W1588">HLOOKUP($J1588,'Type Chart'!$C$2:$T$20,4,false)*HLOOKUP($K1588,'Type Chart'!$C$2:$U$20,4,false)</f>
        <v>0.5</v>
      </c>
      <c r="X1588" s="960">
        <f t="array" ref="X1588">HLOOKUP($J1588,'Type Chart'!$C$2:$T$20,5,false)*HLOOKUP($K1588,'Type Chart'!$C$2:$U$20,5,false)</f>
        <v>0.25</v>
      </c>
      <c r="Y1588" s="960">
        <f t="array" ref="Y1588">HLOOKUP($J1588,'Type Chart'!$C$2:$T$20,6,false)*HLOOKUP($K1588,'Type Chart'!$C$2:$U$20,6,false)</f>
        <v>2</v>
      </c>
      <c r="Z1588" s="960">
        <f t="array" ref="Z1588">HLOOKUP($J1588,'Type Chart'!$C$2:$T$20,7,false)*HLOOKUP($K1588,'Type Chart'!$C$2:$U$20,7,false)</f>
        <v>0.5</v>
      </c>
      <c r="AA1588" s="960">
        <f t="array" ref="AA1588">HLOOKUP($J1588,'Type Chart'!$C$2:$T$20,8,false)*HLOOKUP($K1588,'Type Chart'!$C$2:$U$20,8,false)</f>
        <v>1</v>
      </c>
      <c r="AB1588" s="960">
        <f t="array" ref="AB1588">HLOOKUP($J1588,'Type Chart'!$C$2:$T$20,9,false)*HLOOKUP($K1588,'Type Chart'!$C$2:$U$20,9,false)</f>
        <v>1</v>
      </c>
      <c r="AC1588" s="960">
        <f t="array" ref="AC1588">HLOOKUP($J1588,'Type Chart'!$C$2:$T$20,10,false)*HLOOKUP($K1588,'Type Chart'!$C$2:$U$20,10,false)</f>
        <v>2</v>
      </c>
      <c r="AD1588" s="960">
        <f t="array" ref="AD1588">HLOOKUP($J1588,'Type Chart'!$C$2:$T$20,11,false)*HLOOKUP($K1588,'Type Chart'!$C$2:$U$20,11,false)</f>
        <v>0.5</v>
      </c>
      <c r="AE1588" s="960">
        <f t="array" ref="AE1588">HLOOKUP($J1588,'Type Chart'!$C$2:$T$20,12,false)*HLOOKUP($K1588,'Type Chart'!$C$2:$U$20,12,false)</f>
        <v>4</v>
      </c>
      <c r="AF1588" s="960">
        <f t="array" ref="AF1588">HLOOKUP($J1588,'Type Chart'!$C$2:$T$20,13,false)*HLOOKUP($K1588,'Type Chart'!$C$2:$U$20,13,false)</f>
        <v>4</v>
      </c>
      <c r="AG1588" s="960">
        <f t="array" ref="AG1588">HLOOKUP($J1588,'Type Chart'!$C$2:$T$20,14,false)*HLOOKUP($K1588,'Type Chart'!$C$2:$U$20,14,false)</f>
        <v>0</v>
      </c>
      <c r="AH1588" s="960">
        <f t="array" ref="AH1588">HLOOKUP($J1588,'Type Chart'!$C$2:$T$20,15,false)*HLOOKUP($K1588,'Type Chart'!$C$2:$U$20,15,false)</f>
        <v>1</v>
      </c>
      <c r="AI1588" s="960">
        <f t="array" ref="AI1588">HLOOKUP($J1588,'Type Chart'!$C$2:$T$20,16,false)*HLOOKUP($K1588,'Type Chart'!$C$2:$U$20,16,false)</f>
        <v>2</v>
      </c>
      <c r="AJ1588" s="960">
        <f t="array" ref="AJ1588">HLOOKUP($J1588,'Type Chart'!$C$2:$T$20,17,false)*HLOOKUP($K1588,'Type Chart'!$C$2:$U$20,17,false)</f>
        <v>1</v>
      </c>
      <c r="AK1588" s="960">
        <f t="array" ref="AK1588">HLOOKUP($J1588,'Type Chart'!$C$2:$T$20,18,false)*HLOOKUP($K1588,'Type Chart'!$C$2:$U$20,18,false)</f>
        <v>1</v>
      </c>
      <c r="AL1588" s="960">
        <f t="array" ref="AL1588">HLOOKUP($J1588,'Type Chart'!$C$2:$T$20,19,false)*HLOOKUP($K1588,'Type Chart'!$C$2:$U$20,19,false)</f>
        <v>1</v>
      </c>
      <c r="AM1588" s="964" t="s">
        <v>1038</v>
      </c>
      <c r="AN1588" s="965"/>
      <c r="AO1588" s="966" t="s">
        <v>1129</v>
      </c>
      <c r="AP1588" s="936"/>
      <c r="AQ1588" s="1245"/>
      <c r="AR1588" s="1245"/>
      <c r="AS1588" s="936"/>
    </row>
    <row r="1589" ht="15.75" customHeight="1">
      <c r="A1589" s="1099"/>
      <c r="B1589" s="948" t="s">
        <v>1959</v>
      </c>
      <c r="C1589" s="1197" t="s">
        <v>1960</v>
      </c>
      <c r="D1589" s="1197" t="s">
        <v>1960</v>
      </c>
      <c r="E1589" s="1147" t="s">
        <v>1960</v>
      </c>
      <c r="F1589" s="940"/>
      <c r="G1589" s="953"/>
      <c r="H1589" s="969"/>
      <c r="I1589" s="998" t="s">
        <v>4691</v>
      </c>
      <c r="J1589" s="1214" t="s">
        <v>342</v>
      </c>
      <c r="K1589" s="1204" t="s">
        <v>80</v>
      </c>
      <c r="L1589" s="959">
        <v>70.0</v>
      </c>
      <c r="M1589" s="960">
        <v>84.0</v>
      </c>
      <c r="N1589" s="960">
        <v>70.0</v>
      </c>
      <c r="O1589" s="960">
        <v>65.0</v>
      </c>
      <c r="P1589" s="960">
        <v>70.0</v>
      </c>
      <c r="Q1589" s="960">
        <v>51.0</v>
      </c>
      <c r="R1589" s="960">
        <v>138.0</v>
      </c>
      <c r="S1589" s="960">
        <v>201.0</v>
      </c>
      <c r="T1589" s="960">
        <v>221.0</v>
      </c>
      <c r="U1589" s="960">
        <f t="array" ref="U1589">HLOOKUP($J1589,'Type Chart'!$C$2:$T$20,2,false)*HLOOKUP($K1589,'Type Chart'!$C$2:$U$20,2,false)</f>
        <v>0.5</v>
      </c>
      <c r="V1589" s="960">
        <f t="array" ref="V1589">HLOOKUP($J1589,'Type Chart'!$C$2:$T$20,3,false)*HLOOKUP($K1589,'Type Chart'!$C$2:$U$20,3,false)</f>
        <v>2</v>
      </c>
      <c r="W1589" s="960">
        <f t="array" ref="W1589">HLOOKUP($J1589,'Type Chart'!$C$2:$T$20,4,false)*HLOOKUP($K1589,'Type Chart'!$C$2:$U$20,4,false)</f>
        <v>0.5</v>
      </c>
      <c r="X1589" s="960">
        <f t="array" ref="X1589">HLOOKUP($J1589,'Type Chart'!$C$2:$T$20,5,false)*HLOOKUP($K1589,'Type Chart'!$C$2:$U$20,5,false)</f>
        <v>0.25</v>
      </c>
      <c r="Y1589" s="960">
        <f t="array" ref="Y1589">HLOOKUP($J1589,'Type Chart'!$C$2:$T$20,6,false)*HLOOKUP($K1589,'Type Chart'!$C$2:$U$20,6,false)</f>
        <v>2</v>
      </c>
      <c r="Z1589" s="960">
        <f t="array" ref="Z1589">HLOOKUP($J1589,'Type Chart'!$C$2:$T$20,7,false)*HLOOKUP($K1589,'Type Chart'!$C$2:$U$20,7,false)</f>
        <v>0.5</v>
      </c>
      <c r="AA1589" s="960">
        <f t="array" ref="AA1589">HLOOKUP($J1589,'Type Chart'!$C$2:$T$20,8,false)*HLOOKUP($K1589,'Type Chart'!$C$2:$U$20,8,false)</f>
        <v>1</v>
      </c>
      <c r="AB1589" s="960">
        <f t="array" ref="AB1589">HLOOKUP($J1589,'Type Chart'!$C$2:$T$20,9,false)*HLOOKUP($K1589,'Type Chart'!$C$2:$U$20,9,false)</f>
        <v>1</v>
      </c>
      <c r="AC1589" s="960">
        <f t="array" ref="AC1589">HLOOKUP($J1589,'Type Chart'!$C$2:$T$20,10,false)*HLOOKUP($K1589,'Type Chart'!$C$2:$U$20,10,false)</f>
        <v>2</v>
      </c>
      <c r="AD1589" s="960">
        <f t="array" ref="AD1589">HLOOKUP($J1589,'Type Chart'!$C$2:$T$20,11,false)*HLOOKUP($K1589,'Type Chart'!$C$2:$U$20,11,false)</f>
        <v>0.5</v>
      </c>
      <c r="AE1589" s="960">
        <f t="array" ref="AE1589">HLOOKUP($J1589,'Type Chart'!$C$2:$T$20,12,false)*HLOOKUP($K1589,'Type Chart'!$C$2:$U$20,12,false)</f>
        <v>4</v>
      </c>
      <c r="AF1589" s="960">
        <f t="array" ref="AF1589">HLOOKUP($J1589,'Type Chart'!$C$2:$T$20,13,false)*HLOOKUP($K1589,'Type Chart'!$C$2:$U$20,13,false)</f>
        <v>4</v>
      </c>
      <c r="AG1589" s="960">
        <f t="array" ref="AG1589">HLOOKUP($J1589,'Type Chart'!$C$2:$T$20,14,false)*HLOOKUP($K1589,'Type Chart'!$C$2:$U$20,14,false)</f>
        <v>0</v>
      </c>
      <c r="AH1589" s="960">
        <f t="array" ref="AH1589">HLOOKUP($J1589,'Type Chart'!$C$2:$T$20,15,false)*HLOOKUP($K1589,'Type Chart'!$C$2:$U$20,15,false)</f>
        <v>1</v>
      </c>
      <c r="AI1589" s="960">
        <f t="array" ref="AI1589">HLOOKUP($J1589,'Type Chart'!$C$2:$T$20,16,false)*HLOOKUP($K1589,'Type Chart'!$C$2:$U$20,16,false)</f>
        <v>2</v>
      </c>
      <c r="AJ1589" s="960">
        <f t="array" ref="AJ1589">HLOOKUP($J1589,'Type Chart'!$C$2:$T$20,17,false)*HLOOKUP($K1589,'Type Chart'!$C$2:$U$20,17,false)</f>
        <v>1</v>
      </c>
      <c r="AK1589" s="960">
        <f t="array" ref="AK1589">HLOOKUP($J1589,'Type Chart'!$C$2:$T$20,18,false)*HLOOKUP($K1589,'Type Chart'!$C$2:$U$20,18,false)</f>
        <v>1</v>
      </c>
      <c r="AL1589" s="960">
        <f t="array" ref="AL1589">HLOOKUP($J1589,'Type Chart'!$C$2:$T$20,19,false)*HLOOKUP($K1589,'Type Chart'!$C$2:$U$20,19,false)</f>
        <v>1</v>
      </c>
      <c r="AM1589" s="1145" t="s">
        <v>998</v>
      </c>
      <c r="AN1589" s="965"/>
      <c r="AO1589" s="1146"/>
      <c r="AP1589" s="936"/>
      <c r="AQ1589" s="1245"/>
      <c r="AR1589" s="1245"/>
      <c r="AS1589" s="936"/>
    </row>
    <row r="1590" ht="15.75" customHeight="1">
      <c r="A1590" s="1099"/>
      <c r="B1590" s="948" t="s">
        <v>1962</v>
      </c>
      <c r="C1590" s="1197" t="s">
        <v>1963</v>
      </c>
      <c r="D1590" s="1197" t="s">
        <v>1963</v>
      </c>
      <c r="E1590" s="1147" t="s">
        <v>1963</v>
      </c>
      <c r="F1590" s="940"/>
      <c r="G1590" s="953"/>
      <c r="H1590" s="969"/>
      <c r="I1590" s="998" t="s">
        <v>4692</v>
      </c>
      <c r="J1590" s="1214" t="s">
        <v>342</v>
      </c>
      <c r="K1590" s="1195" t="s">
        <v>193</v>
      </c>
      <c r="L1590" s="959">
        <v>100.0</v>
      </c>
      <c r="M1590" s="960">
        <v>134.0</v>
      </c>
      <c r="N1590" s="960">
        <v>110.0</v>
      </c>
      <c r="O1590" s="960">
        <v>95.0</v>
      </c>
      <c r="P1590" s="960">
        <v>100.0</v>
      </c>
      <c r="Q1590" s="960">
        <v>61.0</v>
      </c>
      <c r="R1590" s="960">
        <v>158.0</v>
      </c>
      <c r="S1590" s="960">
        <v>221.0</v>
      </c>
      <c r="T1590" s="960">
        <v>243.0</v>
      </c>
      <c r="U1590" s="960">
        <f t="array" ref="U1590">HLOOKUP($J1590,'Type Chart'!$C$2:$T$20,2,false)*HLOOKUP($K1590,'Type Chart'!$C$2:$U$20,2,false)</f>
        <v>0.5</v>
      </c>
      <c r="V1590" s="960">
        <f t="array" ref="V1590">HLOOKUP($J1590,'Type Chart'!$C$2:$T$20,3,false)*HLOOKUP($K1590,'Type Chart'!$C$2:$U$20,3,false)</f>
        <v>4</v>
      </c>
      <c r="W1590" s="960">
        <f t="array" ref="W1590">HLOOKUP($J1590,'Type Chart'!$C$2:$T$20,4,false)*HLOOKUP($K1590,'Type Chart'!$C$2:$U$20,4,false)</f>
        <v>0.5</v>
      </c>
      <c r="X1590" s="960">
        <f t="array" ref="X1590">HLOOKUP($J1590,'Type Chart'!$C$2:$T$20,5,false)*HLOOKUP($K1590,'Type Chart'!$C$2:$U$20,5,false)</f>
        <v>0.5</v>
      </c>
      <c r="Y1590" s="960">
        <f t="array" ref="Y1590">HLOOKUP($J1590,'Type Chart'!$C$2:$T$20,6,false)*HLOOKUP($K1590,'Type Chart'!$C$2:$U$20,6,false)</f>
        <v>2</v>
      </c>
      <c r="Z1590" s="960">
        <f t="array" ref="Z1590">HLOOKUP($J1590,'Type Chart'!$C$2:$T$20,7,false)*HLOOKUP($K1590,'Type Chart'!$C$2:$U$20,7,false)</f>
        <v>1</v>
      </c>
      <c r="AA1590" s="960">
        <f t="array" ref="AA1590">HLOOKUP($J1590,'Type Chart'!$C$2:$T$20,8,false)*HLOOKUP($K1590,'Type Chart'!$C$2:$U$20,8,false)</f>
        <v>2</v>
      </c>
      <c r="AB1590" s="960">
        <f t="array" ref="AB1590">HLOOKUP($J1590,'Type Chart'!$C$2:$T$20,9,false)*HLOOKUP($K1590,'Type Chart'!$C$2:$U$20,9,false)</f>
        <v>0.5</v>
      </c>
      <c r="AC1590" s="960">
        <f t="array" ref="AC1590">HLOOKUP($J1590,'Type Chart'!$C$2:$T$20,10,false)*HLOOKUP($K1590,'Type Chart'!$C$2:$U$20,10,false)</f>
        <v>2</v>
      </c>
      <c r="AD1590" s="960">
        <f t="array" ref="AD1590">HLOOKUP($J1590,'Type Chart'!$C$2:$T$20,11,false)*HLOOKUP($K1590,'Type Chart'!$C$2:$U$20,11,false)</f>
        <v>0.5</v>
      </c>
      <c r="AE1590" s="960">
        <f t="array" ref="AE1590">HLOOKUP($J1590,'Type Chart'!$C$2:$T$20,12,false)*HLOOKUP($K1590,'Type Chart'!$C$2:$U$20,12,false)</f>
        <v>2</v>
      </c>
      <c r="AF1590" s="960">
        <f t="array" ref="AF1590">HLOOKUP($J1590,'Type Chart'!$C$2:$T$20,13,false)*HLOOKUP($K1590,'Type Chart'!$C$2:$U$20,13,false)</f>
        <v>2</v>
      </c>
      <c r="AG1590" s="960">
        <f t="array" ref="AG1590">HLOOKUP($J1590,'Type Chart'!$C$2:$T$20,14,false)*HLOOKUP($K1590,'Type Chart'!$C$2:$U$20,14,false)</f>
        <v>1</v>
      </c>
      <c r="AH1590" s="960">
        <f t="array" ref="AH1590">HLOOKUP($J1590,'Type Chart'!$C$2:$T$20,15,false)*HLOOKUP($K1590,'Type Chart'!$C$2:$U$20,15,false)</f>
        <v>0</v>
      </c>
      <c r="AI1590" s="960">
        <f t="array" ref="AI1590">HLOOKUP($J1590,'Type Chart'!$C$2:$T$20,16,false)*HLOOKUP($K1590,'Type Chart'!$C$2:$U$20,16,false)</f>
        <v>1</v>
      </c>
      <c r="AJ1590" s="960">
        <f t="array" ref="AJ1590">HLOOKUP($J1590,'Type Chart'!$C$2:$T$20,17,false)*HLOOKUP($K1590,'Type Chart'!$C$2:$U$20,17,false)</f>
        <v>1</v>
      </c>
      <c r="AK1590" s="960">
        <f t="array" ref="AK1590">HLOOKUP($J1590,'Type Chart'!$C$2:$T$20,18,false)*HLOOKUP($K1590,'Type Chart'!$C$2:$U$20,18,false)</f>
        <v>0.5</v>
      </c>
      <c r="AL1590" s="960">
        <f t="array" ref="AL1590">HLOOKUP($J1590,'Type Chart'!$C$2:$T$20,19,false)*HLOOKUP($K1590,'Type Chart'!$C$2:$U$20,19,false)</f>
        <v>2</v>
      </c>
      <c r="AM1590" s="964" t="s">
        <v>1964</v>
      </c>
      <c r="AN1590" s="965"/>
      <c r="AO1590" s="966" t="s">
        <v>1062</v>
      </c>
      <c r="AP1590" s="936"/>
      <c r="AQ1590" s="1245"/>
      <c r="AR1590" s="1245"/>
      <c r="AS1590" s="936"/>
    </row>
    <row r="1591" ht="15.75" customHeight="1">
      <c r="A1591" s="1099"/>
      <c r="B1591" s="948" t="s">
        <v>1965</v>
      </c>
      <c r="C1591" s="1197" t="s">
        <v>1966</v>
      </c>
      <c r="D1591" s="1197" t="s">
        <v>1966</v>
      </c>
      <c r="E1591" s="1147" t="s">
        <v>1966</v>
      </c>
      <c r="F1591" s="940"/>
      <c r="G1591" s="953"/>
      <c r="H1591" s="969"/>
      <c r="I1591" s="998" t="s">
        <v>4693</v>
      </c>
      <c r="J1591" s="1222" t="s">
        <v>342</v>
      </c>
      <c r="K1591" s="1229" t="s">
        <v>193</v>
      </c>
      <c r="L1591" s="1200">
        <v>100.0</v>
      </c>
      <c r="M1591" s="1201">
        <v>164.0</v>
      </c>
      <c r="N1591" s="1201">
        <v>150.0</v>
      </c>
      <c r="O1591" s="1201">
        <v>95.0</v>
      </c>
      <c r="P1591" s="1201">
        <v>120.0</v>
      </c>
      <c r="Q1591" s="1201">
        <v>71.0</v>
      </c>
      <c r="R1591" s="960">
        <v>178.0</v>
      </c>
      <c r="S1591" s="960">
        <v>241.0</v>
      </c>
      <c r="T1591" s="960">
        <v>265.0</v>
      </c>
      <c r="U1591" s="960">
        <f t="array" ref="U1591">HLOOKUP($J1591,'Type Chart'!$C$2:$T$20,2,false)*HLOOKUP($K1591,'Type Chart'!$C$2:$U$20,2,false)</f>
        <v>0.5</v>
      </c>
      <c r="V1591" s="960">
        <f t="array" ref="V1591">HLOOKUP($J1591,'Type Chart'!$C$2:$T$20,3,false)*HLOOKUP($K1591,'Type Chart'!$C$2:$U$20,3,false)</f>
        <v>4</v>
      </c>
      <c r="W1591" s="960">
        <f t="array" ref="W1591">HLOOKUP($J1591,'Type Chart'!$C$2:$T$20,4,false)*HLOOKUP($K1591,'Type Chart'!$C$2:$U$20,4,false)</f>
        <v>0.5</v>
      </c>
      <c r="X1591" s="960">
        <f t="array" ref="X1591">HLOOKUP($J1591,'Type Chart'!$C$2:$T$20,5,false)*HLOOKUP($K1591,'Type Chart'!$C$2:$U$20,5,false)</f>
        <v>0.5</v>
      </c>
      <c r="Y1591" s="960">
        <f t="array" ref="Y1591">HLOOKUP($J1591,'Type Chart'!$C$2:$T$20,6,false)*HLOOKUP($K1591,'Type Chart'!$C$2:$U$20,6,false)</f>
        <v>2</v>
      </c>
      <c r="Z1591" s="960">
        <f t="array" ref="Z1591">HLOOKUP($J1591,'Type Chart'!$C$2:$T$20,7,false)*HLOOKUP($K1591,'Type Chart'!$C$2:$U$20,7,false)</f>
        <v>1</v>
      </c>
      <c r="AA1591" s="960">
        <f t="array" ref="AA1591">HLOOKUP($J1591,'Type Chart'!$C$2:$T$20,8,false)*HLOOKUP($K1591,'Type Chart'!$C$2:$U$20,8,false)</f>
        <v>2</v>
      </c>
      <c r="AB1591" s="960">
        <f t="array" ref="AB1591">HLOOKUP($J1591,'Type Chart'!$C$2:$T$20,9,false)*HLOOKUP($K1591,'Type Chart'!$C$2:$U$20,9,false)</f>
        <v>0.5</v>
      </c>
      <c r="AC1591" s="960">
        <f t="array" ref="AC1591">HLOOKUP($J1591,'Type Chart'!$C$2:$T$20,10,false)*HLOOKUP($K1591,'Type Chart'!$C$2:$U$20,10,false)</f>
        <v>2</v>
      </c>
      <c r="AD1591" s="960">
        <f t="array" ref="AD1591">HLOOKUP($J1591,'Type Chart'!$C$2:$T$20,11,false)*HLOOKUP($K1591,'Type Chart'!$C$2:$U$20,11,false)</f>
        <v>0.5</v>
      </c>
      <c r="AE1591" s="960">
        <f t="array" ref="AE1591">HLOOKUP($J1591,'Type Chart'!$C$2:$T$20,12,false)*HLOOKUP($K1591,'Type Chart'!$C$2:$U$20,12,false)</f>
        <v>2</v>
      </c>
      <c r="AF1591" s="960">
        <f t="array" ref="AF1591">HLOOKUP($J1591,'Type Chart'!$C$2:$T$20,13,false)*HLOOKUP($K1591,'Type Chart'!$C$2:$U$20,13,false)</f>
        <v>2</v>
      </c>
      <c r="AG1591" s="960">
        <f t="array" ref="AG1591">HLOOKUP($J1591,'Type Chart'!$C$2:$T$20,14,false)*HLOOKUP($K1591,'Type Chart'!$C$2:$U$20,14,false)</f>
        <v>1</v>
      </c>
      <c r="AH1591" s="960">
        <f t="array" ref="AH1591">HLOOKUP($J1591,'Type Chart'!$C$2:$T$20,15,false)*HLOOKUP($K1591,'Type Chart'!$C$2:$U$20,15,false)</f>
        <v>0</v>
      </c>
      <c r="AI1591" s="960">
        <f t="array" ref="AI1591">HLOOKUP($J1591,'Type Chart'!$C$2:$T$20,16,false)*HLOOKUP($K1591,'Type Chart'!$C$2:$U$20,16,false)</f>
        <v>1</v>
      </c>
      <c r="AJ1591" s="960">
        <f t="array" ref="AJ1591">HLOOKUP($J1591,'Type Chart'!$C$2:$T$20,17,false)*HLOOKUP($K1591,'Type Chart'!$C$2:$U$20,17,false)</f>
        <v>1</v>
      </c>
      <c r="AK1591" s="960">
        <f t="array" ref="AK1591">HLOOKUP($J1591,'Type Chart'!$C$2:$T$20,18,false)*HLOOKUP($K1591,'Type Chart'!$C$2:$U$20,18,false)</f>
        <v>0.5</v>
      </c>
      <c r="AL1591" s="960">
        <f t="array" ref="AL1591">HLOOKUP($J1591,'Type Chart'!$C$2:$T$20,19,false)*HLOOKUP($K1591,'Type Chart'!$C$2:$U$20,19,false)</f>
        <v>2</v>
      </c>
      <c r="AM1591" s="1145" t="s">
        <v>1964</v>
      </c>
      <c r="AN1591" s="1202"/>
      <c r="AO1591" s="1146"/>
      <c r="AP1591" s="936"/>
      <c r="AQ1591" s="1245"/>
      <c r="AR1591" s="1245"/>
      <c r="AS1591" s="936"/>
    </row>
    <row r="1592" ht="15.75" customHeight="1">
      <c r="A1592" s="1099"/>
      <c r="B1592" s="948" t="s">
        <v>1968</v>
      </c>
      <c r="C1592" s="1197" t="s">
        <v>1969</v>
      </c>
      <c r="D1592" s="1197" t="s">
        <v>1969</v>
      </c>
      <c r="E1592" s="1147" t="s">
        <v>1969</v>
      </c>
      <c r="F1592" s="940"/>
      <c r="G1592" s="953"/>
      <c r="H1592" s="969"/>
      <c r="I1592" s="998" t="s">
        <v>4694</v>
      </c>
      <c r="J1592" s="1203" t="s">
        <v>344</v>
      </c>
      <c r="K1592" s="1001" t="s">
        <v>128</v>
      </c>
      <c r="L1592" s="959">
        <v>106.0</v>
      </c>
      <c r="M1592" s="960">
        <v>90.0</v>
      </c>
      <c r="N1592" s="960">
        <v>130.0</v>
      </c>
      <c r="O1592" s="960">
        <v>90.0</v>
      </c>
      <c r="P1592" s="960">
        <v>154.0</v>
      </c>
      <c r="Q1592" s="960">
        <v>110.0</v>
      </c>
      <c r="R1592" s="960">
        <v>256.0</v>
      </c>
      <c r="S1592" s="960">
        <v>319.0</v>
      </c>
      <c r="T1592" s="960">
        <v>350.0</v>
      </c>
      <c r="U1592" s="960">
        <f t="array" ref="U1592">HLOOKUP($J1592,'Type Chart'!$C$2:$T$20,2,false)*HLOOKUP($K1592,'Type Chart'!$C$2:$U$20,2,false)</f>
        <v>1</v>
      </c>
      <c r="V1592" s="960">
        <f t="array" ref="V1592">HLOOKUP($J1592,'Type Chart'!$C$2:$T$20,3,false)*HLOOKUP($K1592,'Type Chart'!$C$2:$U$20,3,false)</f>
        <v>0.25</v>
      </c>
      <c r="W1592" s="960">
        <f t="array" ref="W1592">HLOOKUP($J1592,'Type Chart'!$C$2:$T$20,4,false)*HLOOKUP($K1592,'Type Chart'!$C$2:$U$20,4,false)</f>
        <v>1</v>
      </c>
      <c r="X1592" s="960">
        <f t="array" ref="X1592">HLOOKUP($J1592,'Type Chart'!$C$2:$T$20,5,false)*HLOOKUP($K1592,'Type Chart'!$C$2:$U$20,5,false)</f>
        <v>1</v>
      </c>
      <c r="Y1592" s="960">
        <f t="array" ref="Y1592">HLOOKUP($J1592,'Type Chart'!$C$2:$T$20,6,false)*HLOOKUP($K1592,'Type Chart'!$C$2:$U$20,6,false)</f>
        <v>0</v>
      </c>
      <c r="Z1592" s="960">
        <f t="array" ref="Z1592">HLOOKUP($J1592,'Type Chart'!$C$2:$T$20,7,false)*HLOOKUP($K1592,'Type Chart'!$C$2:$U$20,7,false)</f>
        <v>2</v>
      </c>
      <c r="AA1592" s="960">
        <f t="array" ref="AA1592">HLOOKUP($J1592,'Type Chart'!$C$2:$T$20,8,false)*HLOOKUP($K1592,'Type Chart'!$C$2:$U$20,8,false)</f>
        <v>1</v>
      </c>
      <c r="AB1592" s="960">
        <f t="array" ref="AB1592">HLOOKUP($J1592,'Type Chart'!$C$2:$T$20,9,false)*HLOOKUP($K1592,'Type Chart'!$C$2:$U$20,9,false)</f>
        <v>2</v>
      </c>
      <c r="AC1592" s="960">
        <f t="array" ref="AC1592">HLOOKUP($J1592,'Type Chart'!$C$2:$T$20,10,false)*HLOOKUP($K1592,'Type Chart'!$C$2:$U$20,10,false)</f>
        <v>1</v>
      </c>
      <c r="AD1592" s="960">
        <f t="array" ref="AD1592">HLOOKUP($J1592,'Type Chart'!$C$2:$T$20,11,false)*HLOOKUP($K1592,'Type Chart'!$C$2:$U$20,11,false)</f>
        <v>1</v>
      </c>
      <c r="AE1592" s="960">
        <f t="array" ref="AE1592">HLOOKUP($J1592,'Type Chart'!$C$2:$T$20,12,false)*HLOOKUP($K1592,'Type Chart'!$C$2:$U$20,12,false)</f>
        <v>1</v>
      </c>
      <c r="AF1592" s="960">
        <f t="array" ref="AF1592">HLOOKUP($J1592,'Type Chart'!$C$2:$T$20,13,false)*HLOOKUP($K1592,'Type Chart'!$C$2:$U$20,13,false)</f>
        <v>0.5</v>
      </c>
      <c r="AG1592" s="960">
        <f t="array" ref="AG1592">HLOOKUP($J1592,'Type Chart'!$C$2:$T$20,14,false)*HLOOKUP($K1592,'Type Chart'!$C$2:$U$20,14,false)</f>
        <v>2</v>
      </c>
      <c r="AH1592" s="960">
        <f t="array" ref="AH1592">HLOOKUP($J1592,'Type Chart'!$C$2:$T$20,15,false)*HLOOKUP($K1592,'Type Chart'!$C$2:$U$20,15,false)</f>
        <v>0.5</v>
      </c>
      <c r="AI1592" s="960">
        <f t="array" ref="AI1592">HLOOKUP($J1592,'Type Chart'!$C$2:$T$20,16,false)*HLOOKUP($K1592,'Type Chart'!$C$2:$U$20,16,false)</f>
        <v>2</v>
      </c>
      <c r="AJ1592" s="960">
        <f t="array" ref="AJ1592">HLOOKUP($J1592,'Type Chart'!$C$2:$T$20,17,false)*HLOOKUP($K1592,'Type Chart'!$C$2:$U$20,17,false)</f>
        <v>1</v>
      </c>
      <c r="AK1592" s="960">
        <f t="array" ref="AK1592">HLOOKUP($J1592,'Type Chart'!$C$2:$T$20,18,false)*HLOOKUP($K1592,'Type Chart'!$C$2:$U$20,18,false)</f>
        <v>2</v>
      </c>
      <c r="AL1592" s="960">
        <f t="array" ref="AL1592">HLOOKUP($J1592,'Type Chart'!$C$2:$T$20,19,false)*HLOOKUP($K1592,'Type Chart'!$C$2:$U$20,19,false)</f>
        <v>1</v>
      </c>
      <c r="AM1592" s="964" t="s">
        <v>1636</v>
      </c>
      <c r="AN1592" s="965"/>
      <c r="AO1592" s="966" t="s">
        <v>1665</v>
      </c>
      <c r="AP1592" s="936"/>
      <c r="AQ1592" s="1245"/>
      <c r="AR1592" s="1245"/>
      <c r="AS1592" s="936"/>
    </row>
    <row r="1593" ht="15.75" customHeight="1">
      <c r="A1593" s="1099"/>
      <c r="B1593" s="948" t="s">
        <v>1970</v>
      </c>
      <c r="C1593" s="1197" t="s">
        <v>1971</v>
      </c>
      <c r="D1593" s="1197" t="s">
        <v>1972</v>
      </c>
      <c r="E1593" s="1147" t="s">
        <v>1971</v>
      </c>
      <c r="F1593" s="940"/>
      <c r="G1593" s="953"/>
      <c r="H1593" s="969"/>
      <c r="I1593" s="998" t="s">
        <v>4695</v>
      </c>
      <c r="J1593" s="982" t="s">
        <v>150</v>
      </c>
      <c r="K1593" s="1001" t="s">
        <v>128</v>
      </c>
      <c r="L1593" s="959">
        <v>106.0</v>
      </c>
      <c r="M1593" s="960">
        <v>130.0</v>
      </c>
      <c r="N1593" s="960">
        <v>90.0</v>
      </c>
      <c r="O1593" s="960">
        <v>110.0</v>
      </c>
      <c r="P1593" s="960">
        <v>154.0</v>
      </c>
      <c r="Q1593" s="960">
        <v>90.0</v>
      </c>
      <c r="R1593" s="960">
        <v>216.0</v>
      </c>
      <c r="S1593" s="960">
        <v>279.0</v>
      </c>
      <c r="T1593" s="960">
        <v>306.0</v>
      </c>
      <c r="U1593" s="960">
        <f t="array" ref="U1593">HLOOKUP($J1593,'Type Chart'!$C$2:$T$20,2,false)*HLOOKUP($K1593,'Type Chart'!$C$2:$U$20,2,false)</f>
        <v>1</v>
      </c>
      <c r="V1593" s="960">
        <f t="array" ref="V1593">HLOOKUP($J1593,'Type Chart'!$C$2:$T$20,3,false)*HLOOKUP($K1593,'Type Chart'!$C$2:$U$20,3,false)</f>
        <v>0.5</v>
      </c>
      <c r="W1593" s="960">
        <f t="array" ref="W1593">HLOOKUP($J1593,'Type Chart'!$C$2:$T$20,4,false)*HLOOKUP($K1593,'Type Chart'!$C$2:$U$20,4,false)</f>
        <v>1</v>
      </c>
      <c r="X1593" s="960">
        <f t="array" ref="X1593">HLOOKUP($J1593,'Type Chart'!$C$2:$T$20,5,false)*HLOOKUP($K1593,'Type Chart'!$C$2:$U$20,5,false)</f>
        <v>1</v>
      </c>
      <c r="Y1593" s="960">
        <f t="array" ref="Y1593">HLOOKUP($J1593,'Type Chart'!$C$2:$T$20,6,false)*HLOOKUP($K1593,'Type Chart'!$C$2:$U$20,6,false)</f>
        <v>0</v>
      </c>
      <c r="Z1593" s="960">
        <f t="array" ref="Z1593">HLOOKUP($J1593,'Type Chart'!$C$2:$T$20,7,false)*HLOOKUP($K1593,'Type Chart'!$C$2:$U$20,7,false)</f>
        <v>4</v>
      </c>
      <c r="AA1593" s="960">
        <f t="array" ref="AA1593">HLOOKUP($J1593,'Type Chart'!$C$2:$T$20,8,false)*HLOOKUP($K1593,'Type Chart'!$C$2:$U$20,8,false)</f>
        <v>0.25</v>
      </c>
      <c r="AB1593" s="960">
        <f t="array" ref="AB1593">HLOOKUP($J1593,'Type Chart'!$C$2:$T$20,9,false)*HLOOKUP($K1593,'Type Chart'!$C$2:$U$20,9,false)</f>
        <v>1</v>
      </c>
      <c r="AC1593" s="960">
        <f t="array" ref="AC1593">HLOOKUP($J1593,'Type Chart'!$C$2:$T$20,10,false)*HLOOKUP($K1593,'Type Chart'!$C$2:$U$20,10,false)</f>
        <v>0.5</v>
      </c>
      <c r="AD1593" s="960">
        <f t="array" ref="AD1593">HLOOKUP($J1593,'Type Chart'!$C$2:$T$20,11,false)*HLOOKUP($K1593,'Type Chart'!$C$2:$U$20,11,false)</f>
        <v>0.5</v>
      </c>
      <c r="AE1593" s="960">
        <f t="array" ref="AE1593">HLOOKUP($J1593,'Type Chart'!$C$2:$T$20,12,false)*HLOOKUP($K1593,'Type Chart'!$C$2:$U$20,12,false)</f>
        <v>2</v>
      </c>
      <c r="AF1593" s="960">
        <f t="array" ref="AF1593">HLOOKUP($J1593,'Type Chart'!$C$2:$T$20,13,false)*HLOOKUP($K1593,'Type Chart'!$C$2:$U$20,13,false)</f>
        <v>0.25</v>
      </c>
      <c r="AG1593" s="960">
        <f t="array" ref="AG1593">HLOOKUP($J1593,'Type Chart'!$C$2:$T$20,14,false)*HLOOKUP($K1593,'Type Chart'!$C$2:$U$20,14,false)</f>
        <v>2</v>
      </c>
      <c r="AH1593" s="960">
        <f t="array" ref="AH1593">HLOOKUP($J1593,'Type Chart'!$C$2:$T$20,15,false)*HLOOKUP($K1593,'Type Chart'!$C$2:$U$20,15,false)</f>
        <v>1</v>
      </c>
      <c r="AI1593" s="960">
        <f t="array" ref="AI1593">HLOOKUP($J1593,'Type Chart'!$C$2:$T$20,16,false)*HLOOKUP($K1593,'Type Chart'!$C$2:$U$20,16,false)</f>
        <v>1</v>
      </c>
      <c r="AJ1593" s="960">
        <f t="array" ref="AJ1593">HLOOKUP($J1593,'Type Chart'!$C$2:$T$20,17,false)*HLOOKUP($K1593,'Type Chart'!$C$2:$U$20,17,false)</f>
        <v>1</v>
      </c>
      <c r="AK1593" s="960">
        <f t="array" ref="AK1593">HLOOKUP($J1593,'Type Chart'!$C$2:$T$20,18,false)*HLOOKUP($K1593,'Type Chart'!$C$2:$U$20,18,false)</f>
        <v>1</v>
      </c>
      <c r="AL1593" s="960">
        <f t="array" ref="AL1593">HLOOKUP($J1593,'Type Chart'!$C$2:$T$20,19,false)*HLOOKUP($K1593,'Type Chart'!$C$2:$U$20,19,false)</f>
        <v>0.5</v>
      </c>
      <c r="AM1593" s="964" t="s">
        <v>1636</v>
      </c>
      <c r="AN1593" s="965"/>
      <c r="AO1593" s="966" t="s">
        <v>1371</v>
      </c>
      <c r="AP1593" s="936"/>
      <c r="AQ1593" s="1245"/>
      <c r="AR1593" s="1245"/>
      <c r="AS1593" s="936"/>
    </row>
    <row r="1594" ht="15.75" customHeight="1">
      <c r="A1594" s="1099"/>
      <c r="B1594" s="948" t="s">
        <v>1973</v>
      </c>
      <c r="C1594" s="1197" t="s">
        <v>1974</v>
      </c>
      <c r="D1594" s="1197" t="s">
        <v>1974</v>
      </c>
      <c r="E1594" s="1147" t="s">
        <v>1974</v>
      </c>
      <c r="F1594" s="940"/>
      <c r="G1594" s="953"/>
      <c r="H1594" s="969"/>
      <c r="I1594" s="998" t="s">
        <v>4696</v>
      </c>
      <c r="J1594" s="1203" t="s">
        <v>344</v>
      </c>
      <c r="K1594" s="957" t="s">
        <v>209</v>
      </c>
      <c r="L1594" s="959">
        <v>100.0</v>
      </c>
      <c r="M1594" s="960">
        <v>100.0</v>
      </c>
      <c r="N1594" s="960">
        <v>100.0</v>
      </c>
      <c r="O1594" s="960">
        <v>100.0</v>
      </c>
      <c r="P1594" s="960">
        <v>100.0</v>
      </c>
      <c r="Q1594" s="960">
        <v>100.0</v>
      </c>
      <c r="R1594" s="960">
        <v>236.0</v>
      </c>
      <c r="S1594" s="960">
        <v>299.0</v>
      </c>
      <c r="T1594" s="960">
        <v>328.0</v>
      </c>
      <c r="U1594" s="960">
        <f t="array" ref="U1594">HLOOKUP($J1594,'Type Chart'!$C$2:$T$20,2,false)*HLOOKUP($K1594,'Type Chart'!$C$2:$U$20,2,false)</f>
        <v>1</v>
      </c>
      <c r="V1594" s="960">
        <f t="array" ref="V1594">HLOOKUP($J1594,'Type Chart'!$C$2:$T$20,3,false)*HLOOKUP($K1594,'Type Chart'!$C$2:$U$20,3,false)</f>
        <v>0.5</v>
      </c>
      <c r="W1594" s="960">
        <f t="array" ref="W1594">HLOOKUP($J1594,'Type Chart'!$C$2:$T$20,4,false)*HLOOKUP($K1594,'Type Chart'!$C$2:$U$20,4,false)</f>
        <v>2</v>
      </c>
      <c r="X1594" s="960">
        <f t="array" ref="X1594">HLOOKUP($J1594,'Type Chart'!$C$2:$T$20,5,false)*HLOOKUP($K1594,'Type Chart'!$C$2:$U$20,5,false)</f>
        <v>2</v>
      </c>
      <c r="Y1594" s="960">
        <f t="array" ref="Y1594">HLOOKUP($J1594,'Type Chart'!$C$2:$T$20,6,false)*HLOOKUP($K1594,'Type Chart'!$C$2:$U$20,6,false)</f>
        <v>0.5</v>
      </c>
      <c r="Z1594" s="960">
        <f t="array" ref="Z1594">HLOOKUP($J1594,'Type Chart'!$C$2:$T$20,7,false)*HLOOKUP($K1594,'Type Chart'!$C$2:$U$20,7,false)</f>
        <v>1</v>
      </c>
      <c r="AA1594" s="960">
        <f t="array" ref="AA1594">HLOOKUP($J1594,'Type Chart'!$C$2:$T$20,8,false)*HLOOKUP($K1594,'Type Chart'!$C$2:$U$20,8,false)</f>
        <v>4</v>
      </c>
      <c r="AB1594" s="960">
        <f t="array" ref="AB1594">HLOOKUP($J1594,'Type Chart'!$C$2:$T$20,9,false)*HLOOKUP($K1594,'Type Chart'!$C$2:$U$20,9,false)</f>
        <v>2</v>
      </c>
      <c r="AC1594" s="960">
        <f t="array" ref="AC1594">HLOOKUP($J1594,'Type Chart'!$C$2:$T$20,10,false)*HLOOKUP($K1594,'Type Chart'!$C$2:$U$20,10,false)</f>
        <v>1</v>
      </c>
      <c r="AD1594" s="960">
        <f t="array" ref="AD1594">HLOOKUP($J1594,'Type Chart'!$C$2:$T$20,11,false)*HLOOKUP($K1594,'Type Chart'!$C$2:$U$20,11,false)</f>
        <v>2</v>
      </c>
      <c r="AE1594" s="960">
        <f t="array" ref="AE1594">HLOOKUP($J1594,'Type Chart'!$C$2:$T$20,12,false)*HLOOKUP($K1594,'Type Chart'!$C$2:$U$20,12,false)</f>
        <v>0.5</v>
      </c>
      <c r="AF1594" s="960">
        <f t="array" ref="AF1594">HLOOKUP($J1594,'Type Chart'!$C$2:$T$20,13,false)*HLOOKUP($K1594,'Type Chart'!$C$2:$U$20,13,false)</f>
        <v>0.5</v>
      </c>
      <c r="AG1594" s="960">
        <f t="array" ref="AG1594">HLOOKUP($J1594,'Type Chart'!$C$2:$T$20,14,false)*HLOOKUP($K1594,'Type Chart'!$C$2:$U$20,14,false)</f>
        <v>0.5</v>
      </c>
      <c r="AH1594" s="960">
        <f t="array" ref="AH1594">HLOOKUP($J1594,'Type Chart'!$C$2:$T$20,15,false)*HLOOKUP($K1594,'Type Chart'!$C$2:$U$20,15,false)</f>
        <v>0.5</v>
      </c>
      <c r="AI1594" s="960">
        <f t="array" ref="AI1594">HLOOKUP($J1594,'Type Chart'!$C$2:$T$20,16,false)*HLOOKUP($K1594,'Type Chart'!$C$2:$U$20,16,false)</f>
        <v>2</v>
      </c>
      <c r="AJ1594" s="960">
        <f t="array" ref="AJ1594">HLOOKUP($J1594,'Type Chart'!$C$2:$T$20,17,false)*HLOOKUP($K1594,'Type Chart'!$C$2:$U$20,17,false)</f>
        <v>1</v>
      </c>
      <c r="AK1594" s="960">
        <f t="array" ref="AK1594">HLOOKUP($J1594,'Type Chart'!$C$2:$T$20,18,false)*HLOOKUP($K1594,'Type Chart'!$C$2:$U$20,18,false)</f>
        <v>2</v>
      </c>
      <c r="AL1594" s="960">
        <f t="array" ref="AL1594">HLOOKUP($J1594,'Type Chart'!$C$2:$T$20,19,false)*HLOOKUP($K1594,'Type Chart'!$C$2:$U$20,19,false)</f>
        <v>1</v>
      </c>
      <c r="AM1594" s="964" t="s">
        <v>1520</v>
      </c>
      <c r="AN1594" s="965"/>
      <c r="AO1594" s="966"/>
      <c r="AP1594" s="936"/>
      <c r="AQ1594" s="1245"/>
      <c r="AR1594" s="1245"/>
      <c r="AS1594" s="936"/>
    </row>
    <row r="1595" ht="15.75" customHeight="1">
      <c r="A1595" s="1099"/>
      <c r="B1595" s="948" t="s">
        <v>1976</v>
      </c>
      <c r="C1595" s="1197" t="s">
        <v>1977</v>
      </c>
      <c r="D1595" s="1197" t="s">
        <v>1977</v>
      </c>
      <c r="E1595" s="1147" t="s">
        <v>1977</v>
      </c>
      <c r="F1595" s="940"/>
      <c r="G1595" s="953"/>
      <c r="H1595" s="969"/>
      <c r="I1595" s="998" t="s">
        <v>4697</v>
      </c>
      <c r="J1595" s="957" t="s">
        <v>209</v>
      </c>
      <c r="K1595" s="984" t="s">
        <v>216</v>
      </c>
      <c r="L1595" s="959">
        <v>40.0</v>
      </c>
      <c r="M1595" s="960">
        <v>45.0</v>
      </c>
      <c r="N1595" s="960">
        <v>35.0</v>
      </c>
      <c r="O1595" s="960">
        <v>65.0</v>
      </c>
      <c r="P1595" s="960">
        <v>55.0</v>
      </c>
      <c r="Q1595" s="960">
        <v>70.0</v>
      </c>
      <c r="R1595" s="960">
        <v>176.0</v>
      </c>
      <c r="S1595" s="960">
        <v>239.0</v>
      </c>
      <c r="T1595" s="960">
        <v>262.0</v>
      </c>
      <c r="U1595" s="960">
        <f t="array" ref="U1595">HLOOKUP($J1595,'Type Chart'!$C$2:$T$20,2,false)*HLOOKUP($K1595,'Type Chart'!$C$2:$U$20,2,false)</f>
        <v>1</v>
      </c>
      <c r="V1595" s="960">
        <f t="array" ref="V1595">HLOOKUP($J1595,'Type Chart'!$C$2:$T$20,3,false)*HLOOKUP($K1595,'Type Chart'!$C$2:$U$20,3,false)</f>
        <v>1</v>
      </c>
      <c r="W1595" s="960">
        <f t="array" ref="W1595">HLOOKUP($J1595,'Type Chart'!$C$2:$T$20,4,false)*HLOOKUP($K1595,'Type Chart'!$C$2:$U$20,4,false)</f>
        <v>2</v>
      </c>
      <c r="X1595" s="960">
        <f t="array" ref="X1595">HLOOKUP($J1595,'Type Chart'!$C$2:$T$20,5,false)*HLOOKUP($K1595,'Type Chart'!$C$2:$U$20,5,false)</f>
        <v>2</v>
      </c>
      <c r="Y1595" s="960">
        <f t="array" ref="Y1595">HLOOKUP($J1595,'Type Chart'!$C$2:$T$20,6,false)*HLOOKUP($K1595,'Type Chart'!$C$2:$U$20,6,false)</f>
        <v>0.5</v>
      </c>
      <c r="Z1595" s="960">
        <f t="array" ref="Z1595">HLOOKUP($J1595,'Type Chart'!$C$2:$T$20,7,false)*HLOOKUP($K1595,'Type Chart'!$C$2:$U$20,7,false)</f>
        <v>1</v>
      </c>
      <c r="AA1595" s="960">
        <f t="array" ref="AA1595">HLOOKUP($J1595,'Type Chart'!$C$2:$T$20,8,false)*HLOOKUP($K1595,'Type Chart'!$C$2:$U$20,8,false)</f>
        <v>2</v>
      </c>
      <c r="AB1595" s="960">
        <f t="array" ref="AB1595">HLOOKUP($J1595,'Type Chart'!$C$2:$T$20,9,false)*HLOOKUP($K1595,'Type Chart'!$C$2:$U$20,9,false)</f>
        <v>1</v>
      </c>
      <c r="AC1595" s="960">
        <f t="array" ref="AC1595">HLOOKUP($J1595,'Type Chart'!$C$2:$T$20,10,false)*HLOOKUP($K1595,'Type Chart'!$C$2:$U$20,10,false)</f>
        <v>1</v>
      </c>
      <c r="AD1595" s="960">
        <f t="array" ref="AD1595">HLOOKUP($J1595,'Type Chart'!$C$2:$T$20,11,false)*HLOOKUP($K1595,'Type Chart'!$C$2:$U$20,11,false)</f>
        <v>2</v>
      </c>
      <c r="AE1595" s="960">
        <f t="array" ref="AE1595">HLOOKUP($J1595,'Type Chart'!$C$2:$T$20,12,false)*HLOOKUP($K1595,'Type Chart'!$C$2:$U$20,12,false)</f>
        <v>0.5</v>
      </c>
      <c r="AF1595" s="960">
        <f t="array" ref="AF1595">HLOOKUP($J1595,'Type Chart'!$C$2:$T$20,13,false)*HLOOKUP($K1595,'Type Chart'!$C$2:$U$20,13,false)</f>
        <v>0.5</v>
      </c>
      <c r="AG1595" s="960">
        <f t="array" ref="AG1595">HLOOKUP($J1595,'Type Chart'!$C$2:$T$20,14,false)*HLOOKUP($K1595,'Type Chart'!$C$2:$U$20,14,false)</f>
        <v>0.5</v>
      </c>
      <c r="AH1595" s="960">
        <f t="array" ref="AH1595">HLOOKUP($J1595,'Type Chart'!$C$2:$T$20,15,false)*HLOOKUP($K1595,'Type Chart'!$C$2:$U$20,15,false)</f>
        <v>1</v>
      </c>
      <c r="AI1595" s="960">
        <f t="array" ref="AI1595">HLOOKUP($J1595,'Type Chart'!$C$2:$T$20,16,false)*HLOOKUP($K1595,'Type Chart'!$C$2:$U$20,16,false)</f>
        <v>2</v>
      </c>
      <c r="AJ1595" s="960">
        <f t="array" ref="AJ1595">HLOOKUP($J1595,'Type Chart'!$C$2:$T$20,17,false)*HLOOKUP($K1595,'Type Chart'!$C$2:$U$20,17,false)</f>
        <v>1</v>
      </c>
      <c r="AK1595" s="960">
        <f t="array" ref="AK1595">HLOOKUP($J1595,'Type Chart'!$C$2:$T$20,18,false)*HLOOKUP($K1595,'Type Chart'!$C$2:$U$20,18,false)</f>
        <v>1</v>
      </c>
      <c r="AL1595" s="960">
        <f t="array" ref="AL1595">HLOOKUP($J1595,'Type Chart'!$C$2:$T$20,19,false)*HLOOKUP($K1595,'Type Chart'!$C$2:$U$20,19,false)</f>
        <v>1</v>
      </c>
      <c r="AM1595" s="964" t="s">
        <v>522</v>
      </c>
      <c r="AN1595" s="965"/>
      <c r="AO1595" s="966" t="s">
        <v>1498</v>
      </c>
      <c r="AP1595" s="936"/>
      <c r="AQ1595" s="1245"/>
      <c r="AR1595" s="1245"/>
      <c r="AS1595" s="936"/>
    </row>
    <row r="1596" ht="15.75" customHeight="1">
      <c r="A1596" s="1099"/>
      <c r="B1596" s="948" t="s">
        <v>1979</v>
      </c>
      <c r="C1596" s="1197" t="s">
        <v>1980</v>
      </c>
      <c r="D1596" s="1197" t="s">
        <v>1980</v>
      </c>
      <c r="E1596" s="1147" t="s">
        <v>1980</v>
      </c>
      <c r="F1596" s="940"/>
      <c r="G1596" s="953"/>
      <c r="H1596" s="969"/>
      <c r="I1596" s="998" t="s">
        <v>4698</v>
      </c>
      <c r="J1596" s="957" t="s">
        <v>209</v>
      </c>
      <c r="K1596" s="984" t="s">
        <v>216</v>
      </c>
      <c r="L1596" s="959">
        <v>50.0</v>
      </c>
      <c r="M1596" s="960">
        <v>65.0</v>
      </c>
      <c r="N1596" s="960">
        <v>45.0</v>
      </c>
      <c r="O1596" s="960">
        <v>85.0</v>
      </c>
      <c r="P1596" s="960">
        <v>65.0</v>
      </c>
      <c r="Q1596" s="960">
        <v>95.0</v>
      </c>
      <c r="R1596" s="960">
        <v>226.0</v>
      </c>
      <c r="S1596" s="960">
        <v>289.0</v>
      </c>
      <c r="T1596" s="960">
        <v>317.0</v>
      </c>
      <c r="U1596" s="960">
        <f t="array" ref="U1596">HLOOKUP($J1596,'Type Chart'!$C$2:$T$20,2,false)*HLOOKUP($K1596,'Type Chart'!$C$2:$U$20,2,false)</f>
        <v>1</v>
      </c>
      <c r="V1596" s="960">
        <f t="array" ref="V1596">HLOOKUP($J1596,'Type Chart'!$C$2:$T$20,3,false)*HLOOKUP($K1596,'Type Chart'!$C$2:$U$20,3,false)</f>
        <v>1</v>
      </c>
      <c r="W1596" s="960">
        <f t="array" ref="W1596">HLOOKUP($J1596,'Type Chart'!$C$2:$T$20,4,false)*HLOOKUP($K1596,'Type Chart'!$C$2:$U$20,4,false)</f>
        <v>2</v>
      </c>
      <c r="X1596" s="960">
        <f t="array" ref="X1596">HLOOKUP($J1596,'Type Chart'!$C$2:$T$20,5,false)*HLOOKUP($K1596,'Type Chart'!$C$2:$U$20,5,false)</f>
        <v>2</v>
      </c>
      <c r="Y1596" s="960">
        <f t="array" ref="Y1596">HLOOKUP($J1596,'Type Chart'!$C$2:$T$20,6,false)*HLOOKUP($K1596,'Type Chart'!$C$2:$U$20,6,false)</f>
        <v>0.5</v>
      </c>
      <c r="Z1596" s="960">
        <f t="array" ref="Z1596">HLOOKUP($J1596,'Type Chart'!$C$2:$T$20,7,false)*HLOOKUP($K1596,'Type Chart'!$C$2:$U$20,7,false)</f>
        <v>1</v>
      </c>
      <c r="AA1596" s="960">
        <f t="array" ref="AA1596">HLOOKUP($J1596,'Type Chart'!$C$2:$T$20,8,false)*HLOOKUP($K1596,'Type Chart'!$C$2:$U$20,8,false)</f>
        <v>2</v>
      </c>
      <c r="AB1596" s="960">
        <f t="array" ref="AB1596">HLOOKUP($J1596,'Type Chart'!$C$2:$T$20,9,false)*HLOOKUP($K1596,'Type Chart'!$C$2:$U$20,9,false)</f>
        <v>1</v>
      </c>
      <c r="AC1596" s="960">
        <f t="array" ref="AC1596">HLOOKUP($J1596,'Type Chart'!$C$2:$T$20,10,false)*HLOOKUP($K1596,'Type Chart'!$C$2:$U$20,10,false)</f>
        <v>1</v>
      </c>
      <c r="AD1596" s="960">
        <f t="array" ref="AD1596">HLOOKUP($J1596,'Type Chart'!$C$2:$T$20,11,false)*HLOOKUP($K1596,'Type Chart'!$C$2:$U$20,11,false)</f>
        <v>2</v>
      </c>
      <c r="AE1596" s="960">
        <f t="array" ref="AE1596">HLOOKUP($J1596,'Type Chart'!$C$2:$T$20,12,false)*HLOOKUP($K1596,'Type Chart'!$C$2:$U$20,12,false)</f>
        <v>0.5</v>
      </c>
      <c r="AF1596" s="960">
        <f t="array" ref="AF1596">HLOOKUP($J1596,'Type Chart'!$C$2:$T$20,13,false)*HLOOKUP($K1596,'Type Chart'!$C$2:$U$20,13,false)</f>
        <v>0.5</v>
      </c>
      <c r="AG1596" s="960">
        <f t="array" ref="AG1596">HLOOKUP($J1596,'Type Chart'!$C$2:$T$20,14,false)*HLOOKUP($K1596,'Type Chart'!$C$2:$U$20,14,false)</f>
        <v>0.5</v>
      </c>
      <c r="AH1596" s="960">
        <f t="array" ref="AH1596">HLOOKUP($J1596,'Type Chart'!$C$2:$T$20,15,false)*HLOOKUP($K1596,'Type Chart'!$C$2:$U$20,15,false)</f>
        <v>1</v>
      </c>
      <c r="AI1596" s="960">
        <f t="array" ref="AI1596">HLOOKUP($J1596,'Type Chart'!$C$2:$T$20,16,false)*HLOOKUP($K1596,'Type Chart'!$C$2:$U$20,16,false)</f>
        <v>2</v>
      </c>
      <c r="AJ1596" s="960">
        <f t="array" ref="AJ1596">HLOOKUP($J1596,'Type Chart'!$C$2:$T$20,17,false)*HLOOKUP($K1596,'Type Chart'!$C$2:$U$20,17,false)</f>
        <v>1</v>
      </c>
      <c r="AK1596" s="960">
        <f t="array" ref="AK1596">HLOOKUP($J1596,'Type Chart'!$C$2:$T$20,18,false)*HLOOKUP($K1596,'Type Chart'!$C$2:$U$20,18,false)</f>
        <v>1</v>
      </c>
      <c r="AL1596" s="960">
        <f t="array" ref="AL1596">HLOOKUP($J1596,'Type Chart'!$C$2:$T$20,19,false)*HLOOKUP($K1596,'Type Chart'!$C$2:$U$20,19,false)</f>
        <v>1</v>
      </c>
      <c r="AM1596" s="964" t="s">
        <v>522</v>
      </c>
      <c r="AN1596" s="965"/>
      <c r="AO1596" s="966" t="s">
        <v>1498</v>
      </c>
      <c r="AP1596" s="936"/>
      <c r="AQ1596" s="1245"/>
      <c r="AR1596" s="1245"/>
      <c r="AS1596" s="936"/>
    </row>
    <row r="1597" ht="15.75" customHeight="1">
      <c r="A1597" s="1099"/>
      <c r="B1597" s="948" t="s">
        <v>1982</v>
      </c>
      <c r="C1597" s="1197" t="s">
        <v>1983</v>
      </c>
      <c r="D1597" s="1197" t="s">
        <v>1983</v>
      </c>
      <c r="E1597" s="1147" t="s">
        <v>1983</v>
      </c>
      <c r="F1597" s="940"/>
      <c r="G1597" s="953"/>
      <c r="H1597" s="969"/>
      <c r="I1597" s="998" t="s">
        <v>4699</v>
      </c>
      <c r="J1597" s="957" t="s">
        <v>209</v>
      </c>
      <c r="K1597" s="984" t="s">
        <v>216</v>
      </c>
      <c r="L1597" s="959">
        <v>70.0</v>
      </c>
      <c r="M1597" s="960">
        <v>85.0</v>
      </c>
      <c r="N1597" s="960">
        <v>65.0</v>
      </c>
      <c r="O1597" s="960">
        <v>105.0</v>
      </c>
      <c r="P1597" s="960">
        <v>85.0</v>
      </c>
      <c r="Q1597" s="960">
        <v>120.0</v>
      </c>
      <c r="R1597" s="960">
        <v>276.0</v>
      </c>
      <c r="S1597" s="960">
        <v>339.0</v>
      </c>
      <c r="T1597" s="960">
        <v>372.0</v>
      </c>
      <c r="U1597" s="960">
        <f t="array" ref="U1597">HLOOKUP($J1597,'Type Chart'!$C$2:$T$20,2,false)*HLOOKUP($K1597,'Type Chart'!$C$2:$U$20,2,false)</f>
        <v>1</v>
      </c>
      <c r="V1597" s="960">
        <f t="array" ref="V1597">HLOOKUP($J1597,'Type Chart'!$C$2:$T$20,3,false)*HLOOKUP($K1597,'Type Chart'!$C$2:$U$20,3,false)</f>
        <v>1</v>
      </c>
      <c r="W1597" s="960">
        <f t="array" ref="W1597">HLOOKUP($J1597,'Type Chart'!$C$2:$T$20,4,false)*HLOOKUP($K1597,'Type Chart'!$C$2:$U$20,4,false)</f>
        <v>2</v>
      </c>
      <c r="X1597" s="960">
        <f t="array" ref="X1597">HLOOKUP($J1597,'Type Chart'!$C$2:$T$20,5,false)*HLOOKUP($K1597,'Type Chart'!$C$2:$U$20,5,false)</f>
        <v>2</v>
      </c>
      <c r="Y1597" s="960">
        <f t="array" ref="Y1597">HLOOKUP($J1597,'Type Chart'!$C$2:$T$20,6,false)*HLOOKUP($K1597,'Type Chart'!$C$2:$U$20,6,false)</f>
        <v>0.5</v>
      </c>
      <c r="Z1597" s="960">
        <f t="array" ref="Z1597">HLOOKUP($J1597,'Type Chart'!$C$2:$T$20,7,false)*HLOOKUP($K1597,'Type Chart'!$C$2:$U$20,7,false)</f>
        <v>1</v>
      </c>
      <c r="AA1597" s="960">
        <f t="array" ref="AA1597">HLOOKUP($J1597,'Type Chart'!$C$2:$T$20,8,false)*HLOOKUP($K1597,'Type Chart'!$C$2:$U$20,8,false)</f>
        <v>2</v>
      </c>
      <c r="AB1597" s="960">
        <f t="array" ref="AB1597">HLOOKUP($J1597,'Type Chart'!$C$2:$T$20,9,false)*HLOOKUP($K1597,'Type Chart'!$C$2:$U$20,9,false)</f>
        <v>1</v>
      </c>
      <c r="AC1597" s="960">
        <f t="array" ref="AC1597">HLOOKUP($J1597,'Type Chart'!$C$2:$T$20,10,false)*HLOOKUP($K1597,'Type Chart'!$C$2:$U$20,10,false)</f>
        <v>1</v>
      </c>
      <c r="AD1597" s="960">
        <f t="array" ref="AD1597">HLOOKUP($J1597,'Type Chart'!$C$2:$T$20,11,false)*HLOOKUP($K1597,'Type Chart'!$C$2:$U$20,11,false)</f>
        <v>2</v>
      </c>
      <c r="AE1597" s="960">
        <f t="array" ref="AE1597">HLOOKUP($J1597,'Type Chart'!$C$2:$T$20,12,false)*HLOOKUP($K1597,'Type Chart'!$C$2:$U$20,12,false)</f>
        <v>0.5</v>
      </c>
      <c r="AF1597" s="960">
        <f t="array" ref="AF1597">HLOOKUP($J1597,'Type Chart'!$C$2:$T$20,13,false)*HLOOKUP($K1597,'Type Chart'!$C$2:$U$20,13,false)</f>
        <v>0.5</v>
      </c>
      <c r="AG1597" s="960">
        <f t="array" ref="AG1597">HLOOKUP($J1597,'Type Chart'!$C$2:$T$20,14,false)*HLOOKUP($K1597,'Type Chart'!$C$2:$U$20,14,false)</f>
        <v>0.5</v>
      </c>
      <c r="AH1597" s="960">
        <f t="array" ref="AH1597">HLOOKUP($J1597,'Type Chart'!$C$2:$T$20,15,false)*HLOOKUP($K1597,'Type Chart'!$C$2:$U$20,15,false)</f>
        <v>1</v>
      </c>
      <c r="AI1597" s="960">
        <f t="array" ref="AI1597">HLOOKUP($J1597,'Type Chart'!$C$2:$T$20,16,false)*HLOOKUP($K1597,'Type Chart'!$C$2:$U$20,16,false)</f>
        <v>2</v>
      </c>
      <c r="AJ1597" s="960">
        <f t="array" ref="AJ1597">HLOOKUP($J1597,'Type Chart'!$C$2:$T$20,17,false)*HLOOKUP($K1597,'Type Chart'!$C$2:$U$20,17,false)</f>
        <v>1</v>
      </c>
      <c r="AK1597" s="960">
        <f t="array" ref="AK1597">HLOOKUP($J1597,'Type Chart'!$C$2:$T$20,18,false)*HLOOKUP($K1597,'Type Chart'!$C$2:$U$20,18,false)</f>
        <v>1</v>
      </c>
      <c r="AL1597" s="960">
        <f t="array" ref="AL1597">HLOOKUP($J1597,'Type Chart'!$C$2:$T$20,19,false)*HLOOKUP($K1597,'Type Chart'!$C$2:$U$20,19,false)</f>
        <v>1</v>
      </c>
      <c r="AM1597" s="964" t="s">
        <v>522</v>
      </c>
      <c r="AN1597" s="965"/>
      <c r="AO1597" s="966" t="s">
        <v>1498</v>
      </c>
      <c r="AP1597" s="936"/>
      <c r="AQ1597" s="1245"/>
      <c r="AR1597" s="1245"/>
      <c r="AS1597" s="936"/>
    </row>
    <row r="1598" ht="15.75" customHeight="1">
      <c r="A1598" s="1099"/>
      <c r="B1598" s="948" t="s">
        <v>1984</v>
      </c>
      <c r="C1598" s="1197" t="s">
        <v>1985</v>
      </c>
      <c r="D1598" s="1197" t="s">
        <v>1985</v>
      </c>
      <c r="E1598" s="1147" t="s">
        <v>1985</v>
      </c>
      <c r="F1598" s="940"/>
      <c r="G1598" s="953"/>
      <c r="H1598" s="969"/>
      <c r="I1598" s="998" t="s">
        <v>4700</v>
      </c>
      <c r="J1598" s="1228" t="s">
        <v>209</v>
      </c>
      <c r="K1598" s="1231" t="s">
        <v>346</v>
      </c>
      <c r="L1598" s="1200">
        <v>70.0</v>
      </c>
      <c r="M1598" s="1201">
        <v>110.0</v>
      </c>
      <c r="N1598" s="1201">
        <v>75.0</v>
      </c>
      <c r="O1598" s="1201">
        <v>145.0</v>
      </c>
      <c r="P1598" s="1201">
        <v>85.0</v>
      </c>
      <c r="Q1598" s="1201">
        <v>145.0</v>
      </c>
      <c r="R1598" s="960">
        <v>326.0</v>
      </c>
      <c r="S1598" s="960">
        <v>389.0</v>
      </c>
      <c r="T1598" s="960">
        <v>427.0</v>
      </c>
      <c r="U1598" s="960">
        <f t="array" ref="U1598">HLOOKUP($J1598,'Type Chart'!$C$2:$T$20,2,false)*HLOOKUP($K1598,'Type Chart'!$C$2:$U$20,2,false)</f>
        <v>1</v>
      </c>
      <c r="V1598" s="960">
        <f t="array" ref="V1598">HLOOKUP($J1598,'Type Chart'!$C$2:$T$20,3,false)*HLOOKUP($K1598,'Type Chart'!$C$2:$U$20,3,false)</f>
        <v>1</v>
      </c>
      <c r="W1598" s="960">
        <f t="array" ref="W1598">HLOOKUP($J1598,'Type Chart'!$C$2:$T$20,4,false)*HLOOKUP($K1598,'Type Chart'!$C$2:$U$20,4,false)</f>
        <v>2</v>
      </c>
      <c r="X1598" s="960">
        <f t="array" ref="X1598">HLOOKUP($J1598,'Type Chart'!$C$2:$T$20,5,false)*HLOOKUP($K1598,'Type Chart'!$C$2:$U$20,5,false)</f>
        <v>2</v>
      </c>
      <c r="Y1598" s="960">
        <f t="array" ref="Y1598">HLOOKUP($J1598,'Type Chart'!$C$2:$T$20,6,false)*HLOOKUP($K1598,'Type Chart'!$C$2:$U$20,6,false)</f>
        <v>0.5</v>
      </c>
      <c r="Z1598" s="960">
        <f t="array" ref="Z1598">HLOOKUP($J1598,'Type Chart'!$C$2:$T$20,7,false)*HLOOKUP($K1598,'Type Chart'!$C$2:$U$20,7,false)</f>
        <v>1</v>
      </c>
      <c r="AA1598" s="960">
        <f t="array" ref="AA1598">HLOOKUP($J1598,'Type Chart'!$C$2:$T$20,8,false)*HLOOKUP($K1598,'Type Chart'!$C$2:$U$20,8,false)</f>
        <v>2</v>
      </c>
      <c r="AB1598" s="960">
        <f t="array" ref="AB1598">HLOOKUP($J1598,'Type Chart'!$C$2:$T$20,9,false)*HLOOKUP($K1598,'Type Chart'!$C$2:$U$20,9,false)</f>
        <v>1</v>
      </c>
      <c r="AC1598" s="960">
        <f t="array" ref="AC1598">HLOOKUP($J1598,'Type Chart'!$C$2:$T$20,10,false)*HLOOKUP($K1598,'Type Chart'!$C$2:$U$20,10,false)</f>
        <v>1</v>
      </c>
      <c r="AD1598" s="960">
        <f t="array" ref="AD1598">HLOOKUP($J1598,'Type Chart'!$C$2:$T$20,11,false)*HLOOKUP($K1598,'Type Chart'!$C$2:$U$20,11,false)</f>
        <v>1</v>
      </c>
      <c r="AE1598" s="960">
        <f t="array" ref="AE1598">HLOOKUP($J1598,'Type Chart'!$C$2:$T$20,12,false)*HLOOKUP($K1598,'Type Chart'!$C$2:$U$20,12,false)</f>
        <v>0.25</v>
      </c>
      <c r="AF1598" s="960">
        <f t="array" ref="AF1598">HLOOKUP($J1598,'Type Chart'!$C$2:$T$20,13,false)*HLOOKUP($K1598,'Type Chart'!$C$2:$U$20,13,false)</f>
        <v>0.25</v>
      </c>
      <c r="AG1598" s="960">
        <f t="array" ref="AG1598">HLOOKUP($J1598,'Type Chart'!$C$2:$T$20,14,false)*HLOOKUP($K1598,'Type Chart'!$C$2:$U$20,14,false)</f>
        <v>0.25</v>
      </c>
      <c r="AH1598" s="960">
        <f t="array" ref="AH1598">HLOOKUP($J1598,'Type Chart'!$C$2:$T$20,15,false)*HLOOKUP($K1598,'Type Chart'!$C$2:$U$20,15,false)</f>
        <v>1</v>
      </c>
      <c r="AI1598" s="960">
        <f t="array" ref="AI1598">HLOOKUP($J1598,'Type Chart'!$C$2:$T$20,16,false)*HLOOKUP($K1598,'Type Chart'!$C$2:$U$20,16,false)</f>
        <v>4</v>
      </c>
      <c r="AJ1598" s="960">
        <f t="array" ref="AJ1598">HLOOKUP($J1598,'Type Chart'!$C$2:$T$20,17,false)*HLOOKUP($K1598,'Type Chart'!$C$2:$U$20,17,false)</f>
        <v>2</v>
      </c>
      <c r="AK1598" s="960">
        <f t="array" ref="AK1598">HLOOKUP($J1598,'Type Chart'!$C$2:$T$20,18,false)*HLOOKUP($K1598,'Type Chart'!$C$2:$U$20,18,false)</f>
        <v>1</v>
      </c>
      <c r="AL1598" s="960">
        <f t="array" ref="AL1598">HLOOKUP($J1598,'Type Chart'!$C$2:$T$20,19,false)*HLOOKUP($K1598,'Type Chart'!$C$2:$U$20,19,false)</f>
        <v>2</v>
      </c>
      <c r="AM1598" s="1145" t="s">
        <v>1068</v>
      </c>
      <c r="AN1598" s="1202"/>
      <c r="AO1598" s="1146"/>
      <c r="AP1598" s="936"/>
      <c r="AQ1598" s="1245"/>
      <c r="AR1598" s="1245"/>
      <c r="AS1598" s="936"/>
    </row>
    <row r="1599" ht="15.75" customHeight="1">
      <c r="A1599" s="1099"/>
      <c r="B1599" s="948" t="s">
        <v>1987</v>
      </c>
      <c r="C1599" s="1197" t="s">
        <v>1988</v>
      </c>
      <c r="D1599" s="1197" t="s">
        <v>1988</v>
      </c>
      <c r="E1599" s="1147" t="s">
        <v>1988</v>
      </c>
      <c r="F1599" s="940"/>
      <c r="G1599" s="953"/>
      <c r="H1599" s="969"/>
      <c r="I1599" s="998" t="s">
        <v>4701</v>
      </c>
      <c r="J1599" s="1208" t="s">
        <v>150</v>
      </c>
      <c r="K1599" s="1199" t="s">
        <v>216</v>
      </c>
      <c r="L1599" s="1200">
        <v>45.0</v>
      </c>
      <c r="M1599" s="1201">
        <v>60.0</v>
      </c>
      <c r="N1599" s="1201">
        <v>40.0</v>
      </c>
      <c r="O1599" s="1201">
        <v>70.0</v>
      </c>
      <c r="P1599" s="1201">
        <v>50.0</v>
      </c>
      <c r="Q1599" s="1201">
        <v>45.0</v>
      </c>
      <c r="R1599" s="960">
        <v>126.0</v>
      </c>
      <c r="S1599" s="960">
        <v>189.0</v>
      </c>
      <c r="T1599" s="960">
        <v>207.0</v>
      </c>
      <c r="U1599" s="960">
        <f t="array" ref="U1599">HLOOKUP($J1599,'Type Chart'!$C$2:$T$20,2,false)*HLOOKUP($K1599,'Type Chart'!$C$2:$U$20,2,false)</f>
        <v>1</v>
      </c>
      <c r="V1599" s="960">
        <f t="array" ref="V1599">HLOOKUP($J1599,'Type Chart'!$C$2:$T$20,3,false)*HLOOKUP($K1599,'Type Chart'!$C$2:$U$20,3,false)</f>
        <v>1</v>
      </c>
      <c r="W1599" s="960">
        <f t="array" ref="W1599">HLOOKUP($J1599,'Type Chart'!$C$2:$T$20,4,false)*HLOOKUP($K1599,'Type Chart'!$C$2:$U$20,4,false)</f>
        <v>1</v>
      </c>
      <c r="X1599" s="960">
        <f t="array" ref="X1599">HLOOKUP($J1599,'Type Chart'!$C$2:$T$20,5,false)*HLOOKUP($K1599,'Type Chart'!$C$2:$U$20,5,false)</f>
        <v>1</v>
      </c>
      <c r="Y1599" s="960">
        <f t="array" ref="Y1599">HLOOKUP($J1599,'Type Chart'!$C$2:$T$20,6,false)*HLOOKUP($K1599,'Type Chart'!$C$2:$U$20,6,false)</f>
        <v>2</v>
      </c>
      <c r="Z1599" s="960">
        <f t="array" ref="Z1599">HLOOKUP($J1599,'Type Chart'!$C$2:$T$20,7,false)*HLOOKUP($K1599,'Type Chart'!$C$2:$U$20,7,false)</f>
        <v>2</v>
      </c>
      <c r="AA1599" s="960">
        <f t="array" ref="AA1599">HLOOKUP($J1599,'Type Chart'!$C$2:$T$20,8,false)*HLOOKUP($K1599,'Type Chart'!$C$2:$U$20,8,false)</f>
        <v>0.5</v>
      </c>
      <c r="AB1599" s="960">
        <f t="array" ref="AB1599">HLOOKUP($J1599,'Type Chart'!$C$2:$T$20,9,false)*HLOOKUP($K1599,'Type Chart'!$C$2:$U$20,9,false)</f>
        <v>1</v>
      </c>
      <c r="AC1599" s="960">
        <f t="array" ref="AC1599">HLOOKUP($J1599,'Type Chart'!$C$2:$T$20,10,false)*HLOOKUP($K1599,'Type Chart'!$C$2:$U$20,10,false)</f>
        <v>0.5</v>
      </c>
      <c r="AD1599" s="960">
        <f t="array" ref="AD1599">HLOOKUP($J1599,'Type Chart'!$C$2:$T$20,11,false)*HLOOKUP($K1599,'Type Chart'!$C$2:$U$20,11,false)</f>
        <v>0.5</v>
      </c>
      <c r="AE1599" s="960">
        <f t="array" ref="AE1599">HLOOKUP($J1599,'Type Chart'!$C$2:$T$20,12,false)*HLOOKUP($K1599,'Type Chart'!$C$2:$U$20,12,false)</f>
        <v>2</v>
      </c>
      <c r="AF1599" s="960">
        <f t="array" ref="AF1599">HLOOKUP($J1599,'Type Chart'!$C$2:$T$20,13,false)*HLOOKUP($K1599,'Type Chart'!$C$2:$U$20,13,false)</f>
        <v>0.5</v>
      </c>
      <c r="AG1599" s="960">
        <f t="array" ref="AG1599">HLOOKUP($J1599,'Type Chart'!$C$2:$T$20,14,false)*HLOOKUP($K1599,'Type Chart'!$C$2:$U$20,14,false)</f>
        <v>1</v>
      </c>
      <c r="AH1599" s="960">
        <f t="array" ref="AH1599">HLOOKUP($J1599,'Type Chart'!$C$2:$T$20,15,false)*HLOOKUP($K1599,'Type Chart'!$C$2:$U$20,15,false)</f>
        <v>1</v>
      </c>
      <c r="AI1599" s="960">
        <f t="array" ref="AI1599">HLOOKUP($J1599,'Type Chart'!$C$2:$T$20,16,false)*HLOOKUP($K1599,'Type Chart'!$C$2:$U$20,16,false)</f>
        <v>0.5</v>
      </c>
      <c r="AJ1599" s="960">
        <f t="array" ref="AJ1599">HLOOKUP($J1599,'Type Chart'!$C$2:$T$20,17,false)*HLOOKUP($K1599,'Type Chart'!$C$2:$U$20,17,false)</f>
        <v>1</v>
      </c>
      <c r="AK1599" s="960">
        <f t="array" ref="AK1599">HLOOKUP($J1599,'Type Chart'!$C$2:$T$20,18,false)*HLOOKUP($K1599,'Type Chart'!$C$2:$U$20,18,false)</f>
        <v>1</v>
      </c>
      <c r="AL1599" s="960">
        <f t="array" ref="AL1599">HLOOKUP($J1599,'Type Chart'!$C$2:$T$20,19,false)*HLOOKUP($K1599,'Type Chart'!$C$2:$U$20,19,false)</f>
        <v>0.5</v>
      </c>
      <c r="AM1599" s="1145" t="s">
        <v>830</v>
      </c>
      <c r="AN1599" s="1202"/>
      <c r="AO1599" s="1146" t="s">
        <v>1798</v>
      </c>
      <c r="AP1599" s="936"/>
      <c r="AQ1599" s="1245"/>
      <c r="AR1599" s="1245"/>
      <c r="AS1599" s="936"/>
    </row>
    <row r="1600" ht="15.75" customHeight="1">
      <c r="A1600" s="1099"/>
      <c r="B1600" s="948" t="s">
        <v>1990</v>
      </c>
      <c r="C1600" s="1197" t="s">
        <v>1991</v>
      </c>
      <c r="D1600" s="1197" t="s">
        <v>1991</v>
      </c>
      <c r="E1600" s="1147" t="s">
        <v>1991</v>
      </c>
      <c r="F1600" s="940"/>
      <c r="G1600" s="953"/>
      <c r="H1600" s="969"/>
      <c r="I1600" s="998" t="s">
        <v>4702</v>
      </c>
      <c r="J1600" s="982" t="s">
        <v>150</v>
      </c>
      <c r="K1600" s="1213" t="s">
        <v>341</v>
      </c>
      <c r="L1600" s="959">
        <v>60.0</v>
      </c>
      <c r="M1600" s="960">
        <v>85.0</v>
      </c>
      <c r="N1600" s="960">
        <v>60.0</v>
      </c>
      <c r="O1600" s="960">
        <v>85.0</v>
      </c>
      <c r="P1600" s="960">
        <v>60.0</v>
      </c>
      <c r="Q1600" s="960">
        <v>55.0</v>
      </c>
      <c r="R1600" s="960">
        <v>146.0</v>
      </c>
      <c r="S1600" s="960">
        <v>209.0</v>
      </c>
      <c r="T1600" s="960">
        <v>229.0</v>
      </c>
      <c r="U1600" s="960">
        <f t="array" ref="U1600">HLOOKUP($J1600,'Type Chart'!$C$2:$T$20,2,false)*HLOOKUP($K1600,'Type Chart'!$C$2:$U$20,2,false)</f>
        <v>1</v>
      </c>
      <c r="V1600" s="960">
        <f t="array" ref="V1600">HLOOKUP($J1600,'Type Chart'!$C$2:$T$20,3,false)*HLOOKUP($K1600,'Type Chart'!$C$2:$U$20,3,false)</f>
        <v>1</v>
      </c>
      <c r="W1600" s="960">
        <f t="array" ref="W1600">HLOOKUP($J1600,'Type Chart'!$C$2:$T$20,4,false)*HLOOKUP($K1600,'Type Chart'!$C$2:$U$20,4,false)</f>
        <v>2</v>
      </c>
      <c r="X1600" s="960">
        <f t="array" ref="X1600">HLOOKUP($J1600,'Type Chart'!$C$2:$T$20,5,false)*HLOOKUP($K1600,'Type Chart'!$C$2:$U$20,5,false)</f>
        <v>1</v>
      </c>
      <c r="Y1600" s="960">
        <f t="array" ref="Y1600">HLOOKUP($J1600,'Type Chart'!$C$2:$T$20,6,false)*HLOOKUP($K1600,'Type Chart'!$C$2:$U$20,6,false)</f>
        <v>2</v>
      </c>
      <c r="Z1600" s="960">
        <f t="array" ref="Z1600">HLOOKUP($J1600,'Type Chart'!$C$2:$T$20,7,false)*HLOOKUP($K1600,'Type Chart'!$C$2:$U$20,7,false)</f>
        <v>1</v>
      </c>
      <c r="AA1600" s="960">
        <f t="array" ref="AA1600">HLOOKUP($J1600,'Type Chart'!$C$2:$T$20,8,false)*HLOOKUP($K1600,'Type Chart'!$C$2:$U$20,8,false)</f>
        <v>0.25</v>
      </c>
      <c r="AB1600" s="960">
        <f t="array" ref="AB1600">HLOOKUP($J1600,'Type Chart'!$C$2:$T$20,9,false)*HLOOKUP($K1600,'Type Chart'!$C$2:$U$20,9,false)</f>
        <v>1</v>
      </c>
      <c r="AC1600" s="960">
        <f t="array" ref="AC1600">HLOOKUP($J1600,'Type Chart'!$C$2:$T$20,10,false)*HLOOKUP($K1600,'Type Chart'!$C$2:$U$20,10,false)</f>
        <v>0.5</v>
      </c>
      <c r="AD1600" s="960">
        <f t="array" ref="AD1600">HLOOKUP($J1600,'Type Chart'!$C$2:$T$20,11,false)*HLOOKUP($K1600,'Type Chart'!$C$2:$U$20,11,false)</f>
        <v>0.5</v>
      </c>
      <c r="AE1600" s="960">
        <f t="array" ref="AE1600">HLOOKUP($J1600,'Type Chart'!$C$2:$T$20,12,false)*HLOOKUP($K1600,'Type Chart'!$C$2:$U$20,12,false)</f>
        <v>2</v>
      </c>
      <c r="AF1600" s="960">
        <f t="array" ref="AF1600">HLOOKUP($J1600,'Type Chart'!$C$2:$T$20,13,false)*HLOOKUP($K1600,'Type Chart'!$C$2:$U$20,13,false)</f>
        <v>0.5</v>
      </c>
      <c r="AG1600" s="960">
        <f t="array" ref="AG1600">HLOOKUP($J1600,'Type Chart'!$C$2:$T$20,14,false)*HLOOKUP($K1600,'Type Chart'!$C$2:$U$20,14,false)</f>
        <v>1</v>
      </c>
      <c r="AH1600" s="960">
        <f t="array" ref="AH1600">HLOOKUP($J1600,'Type Chart'!$C$2:$T$20,15,false)*HLOOKUP($K1600,'Type Chart'!$C$2:$U$20,15,false)</f>
        <v>2</v>
      </c>
      <c r="AI1600" s="960">
        <f t="array" ref="AI1600">HLOOKUP($J1600,'Type Chart'!$C$2:$T$20,16,false)*HLOOKUP($K1600,'Type Chart'!$C$2:$U$20,16,false)</f>
        <v>0.5</v>
      </c>
      <c r="AJ1600" s="960">
        <f t="array" ref="AJ1600">HLOOKUP($J1600,'Type Chart'!$C$2:$T$20,17,false)*HLOOKUP($K1600,'Type Chart'!$C$2:$U$20,17,false)</f>
        <v>1</v>
      </c>
      <c r="AK1600" s="960">
        <f t="array" ref="AK1600">HLOOKUP($J1600,'Type Chart'!$C$2:$T$20,18,false)*HLOOKUP($K1600,'Type Chart'!$C$2:$U$20,18,false)</f>
        <v>0.5</v>
      </c>
      <c r="AL1600" s="960">
        <f t="array" ref="AL1600">HLOOKUP($J1600,'Type Chart'!$C$2:$T$20,19,false)*HLOOKUP($K1600,'Type Chart'!$C$2:$U$20,19,false)</f>
        <v>1</v>
      </c>
      <c r="AM1600" s="964" t="s">
        <v>830</v>
      </c>
      <c r="AN1600" s="965"/>
      <c r="AO1600" s="966" t="s">
        <v>1798</v>
      </c>
      <c r="AP1600" s="936"/>
      <c r="AQ1600" s="1245"/>
      <c r="AR1600" s="1245"/>
      <c r="AS1600" s="936"/>
    </row>
    <row r="1601" ht="15.75" customHeight="1">
      <c r="A1601" s="1099"/>
      <c r="B1601" s="948" t="s">
        <v>1993</v>
      </c>
      <c r="C1601" s="1197" t="s">
        <v>145</v>
      </c>
      <c r="D1601" s="1197" t="s">
        <v>145</v>
      </c>
      <c r="E1601" s="1147" t="s">
        <v>145</v>
      </c>
      <c r="F1601" s="940"/>
      <c r="G1601" s="953"/>
      <c r="H1601" s="969"/>
      <c r="I1601" s="998" t="s">
        <v>4703</v>
      </c>
      <c r="J1601" s="982" t="s">
        <v>150</v>
      </c>
      <c r="K1601" s="1213" t="s">
        <v>341</v>
      </c>
      <c r="L1601" s="959">
        <v>80.0</v>
      </c>
      <c r="M1601" s="960">
        <v>120.0</v>
      </c>
      <c r="N1601" s="960">
        <v>70.0</v>
      </c>
      <c r="O1601" s="960">
        <v>110.0</v>
      </c>
      <c r="P1601" s="960">
        <v>70.0</v>
      </c>
      <c r="Q1601" s="960">
        <v>80.0</v>
      </c>
      <c r="R1601" s="960">
        <v>196.0</v>
      </c>
      <c r="S1601" s="960">
        <v>259.0</v>
      </c>
      <c r="T1601" s="960">
        <v>284.0</v>
      </c>
      <c r="U1601" s="960">
        <f t="array" ref="U1601">HLOOKUP($J1601,'Type Chart'!$C$2:$T$20,2,false)*HLOOKUP($K1601,'Type Chart'!$C$2:$U$20,2,false)</f>
        <v>1</v>
      </c>
      <c r="V1601" s="960">
        <f t="array" ref="V1601">HLOOKUP($J1601,'Type Chart'!$C$2:$T$20,3,false)*HLOOKUP($K1601,'Type Chart'!$C$2:$U$20,3,false)</f>
        <v>1</v>
      </c>
      <c r="W1601" s="960">
        <f t="array" ref="W1601">HLOOKUP($J1601,'Type Chart'!$C$2:$T$20,4,false)*HLOOKUP($K1601,'Type Chart'!$C$2:$U$20,4,false)</f>
        <v>2</v>
      </c>
      <c r="X1601" s="960">
        <f t="array" ref="X1601">HLOOKUP($J1601,'Type Chart'!$C$2:$T$20,5,false)*HLOOKUP($K1601,'Type Chart'!$C$2:$U$20,5,false)</f>
        <v>1</v>
      </c>
      <c r="Y1601" s="960">
        <f t="array" ref="Y1601">HLOOKUP($J1601,'Type Chart'!$C$2:$T$20,6,false)*HLOOKUP($K1601,'Type Chart'!$C$2:$U$20,6,false)</f>
        <v>2</v>
      </c>
      <c r="Z1601" s="960">
        <f t="array" ref="Z1601">HLOOKUP($J1601,'Type Chart'!$C$2:$T$20,7,false)*HLOOKUP($K1601,'Type Chart'!$C$2:$U$20,7,false)</f>
        <v>1</v>
      </c>
      <c r="AA1601" s="960">
        <f t="array" ref="AA1601">HLOOKUP($J1601,'Type Chart'!$C$2:$T$20,8,false)*HLOOKUP($K1601,'Type Chart'!$C$2:$U$20,8,false)</f>
        <v>0.25</v>
      </c>
      <c r="AB1601" s="960">
        <f t="array" ref="AB1601">HLOOKUP($J1601,'Type Chart'!$C$2:$T$20,9,false)*HLOOKUP($K1601,'Type Chart'!$C$2:$U$20,9,false)</f>
        <v>1</v>
      </c>
      <c r="AC1601" s="960">
        <f t="array" ref="AC1601">HLOOKUP($J1601,'Type Chart'!$C$2:$T$20,10,false)*HLOOKUP($K1601,'Type Chart'!$C$2:$U$20,10,false)</f>
        <v>0.5</v>
      </c>
      <c r="AD1601" s="960">
        <f t="array" ref="AD1601">HLOOKUP($J1601,'Type Chart'!$C$2:$T$20,11,false)*HLOOKUP($K1601,'Type Chart'!$C$2:$U$20,11,false)</f>
        <v>0.5</v>
      </c>
      <c r="AE1601" s="960">
        <f t="array" ref="AE1601">HLOOKUP($J1601,'Type Chart'!$C$2:$T$20,12,false)*HLOOKUP($K1601,'Type Chart'!$C$2:$U$20,12,false)</f>
        <v>2</v>
      </c>
      <c r="AF1601" s="960">
        <f t="array" ref="AF1601">HLOOKUP($J1601,'Type Chart'!$C$2:$T$20,13,false)*HLOOKUP($K1601,'Type Chart'!$C$2:$U$20,13,false)</f>
        <v>0.5</v>
      </c>
      <c r="AG1601" s="960">
        <f t="array" ref="AG1601">HLOOKUP($J1601,'Type Chart'!$C$2:$T$20,14,false)*HLOOKUP($K1601,'Type Chart'!$C$2:$U$20,14,false)</f>
        <v>1</v>
      </c>
      <c r="AH1601" s="960">
        <f t="array" ref="AH1601">HLOOKUP($J1601,'Type Chart'!$C$2:$T$20,15,false)*HLOOKUP($K1601,'Type Chart'!$C$2:$U$20,15,false)</f>
        <v>2</v>
      </c>
      <c r="AI1601" s="960">
        <f t="array" ref="AI1601">HLOOKUP($J1601,'Type Chart'!$C$2:$T$20,16,false)*HLOOKUP($K1601,'Type Chart'!$C$2:$U$20,16,false)</f>
        <v>0.5</v>
      </c>
      <c r="AJ1601" s="960">
        <f t="array" ref="AJ1601">HLOOKUP($J1601,'Type Chart'!$C$2:$T$20,17,false)*HLOOKUP($K1601,'Type Chart'!$C$2:$U$20,17,false)</f>
        <v>1</v>
      </c>
      <c r="AK1601" s="960">
        <f t="array" ref="AK1601">HLOOKUP($J1601,'Type Chart'!$C$2:$T$20,18,false)*HLOOKUP($K1601,'Type Chart'!$C$2:$U$20,18,false)</f>
        <v>0.5</v>
      </c>
      <c r="AL1601" s="960">
        <f t="array" ref="AL1601">HLOOKUP($J1601,'Type Chart'!$C$2:$T$20,19,false)*HLOOKUP($K1601,'Type Chart'!$C$2:$U$20,19,false)</f>
        <v>1</v>
      </c>
      <c r="AM1601" s="964" t="s">
        <v>830</v>
      </c>
      <c r="AN1601" s="965"/>
      <c r="AO1601" s="966" t="s">
        <v>1798</v>
      </c>
      <c r="AP1601" s="936"/>
      <c r="AQ1601" s="1245"/>
      <c r="AR1601" s="1245"/>
      <c r="AS1601" s="936"/>
    </row>
    <row r="1602" ht="15.75" customHeight="1">
      <c r="A1602" s="1099"/>
      <c r="B1602" s="948" t="s">
        <v>1994</v>
      </c>
      <c r="C1602" s="1197" t="s">
        <v>1995</v>
      </c>
      <c r="D1602" s="1197" t="s">
        <v>1995</v>
      </c>
      <c r="E1602" s="1147" t="s">
        <v>1995</v>
      </c>
      <c r="F1602" s="940"/>
      <c r="G1602" s="953"/>
      <c r="H1602" s="969"/>
      <c r="I1602" s="998" t="s">
        <v>4704</v>
      </c>
      <c r="J1602" s="982" t="s">
        <v>150</v>
      </c>
      <c r="K1602" s="1213" t="s">
        <v>341</v>
      </c>
      <c r="L1602" s="959">
        <v>80.0</v>
      </c>
      <c r="M1602" s="960">
        <v>160.0</v>
      </c>
      <c r="N1602" s="960">
        <v>80.0</v>
      </c>
      <c r="O1602" s="960">
        <v>130.0</v>
      </c>
      <c r="P1602" s="960">
        <v>80.0</v>
      </c>
      <c r="Q1602" s="960">
        <v>100.0</v>
      </c>
      <c r="R1602" s="960">
        <v>236.0</v>
      </c>
      <c r="S1602" s="960">
        <v>299.0</v>
      </c>
      <c r="T1602" s="960">
        <v>328.0</v>
      </c>
      <c r="U1602" s="960">
        <f t="array" ref="U1602">HLOOKUP($J1602,'Type Chart'!$C$2:$T$20,2,false)*HLOOKUP($K1602,'Type Chart'!$C$2:$U$20,2,false)</f>
        <v>1</v>
      </c>
      <c r="V1602" s="960">
        <f t="array" ref="V1602">HLOOKUP($J1602,'Type Chart'!$C$2:$T$20,3,false)*HLOOKUP($K1602,'Type Chart'!$C$2:$U$20,3,false)</f>
        <v>1</v>
      </c>
      <c r="W1602" s="960">
        <f t="array" ref="W1602">HLOOKUP($J1602,'Type Chart'!$C$2:$T$20,4,false)*HLOOKUP($K1602,'Type Chart'!$C$2:$U$20,4,false)</f>
        <v>2</v>
      </c>
      <c r="X1602" s="960">
        <f t="array" ref="X1602">HLOOKUP($J1602,'Type Chart'!$C$2:$T$20,5,false)*HLOOKUP($K1602,'Type Chart'!$C$2:$U$20,5,false)</f>
        <v>1</v>
      </c>
      <c r="Y1602" s="960">
        <f t="array" ref="Y1602">HLOOKUP($J1602,'Type Chart'!$C$2:$T$20,6,false)*HLOOKUP($K1602,'Type Chart'!$C$2:$U$20,6,false)</f>
        <v>2</v>
      </c>
      <c r="Z1602" s="960">
        <f t="array" ref="Z1602">HLOOKUP($J1602,'Type Chart'!$C$2:$T$20,7,false)*HLOOKUP($K1602,'Type Chart'!$C$2:$U$20,7,false)</f>
        <v>1</v>
      </c>
      <c r="AA1602" s="960">
        <f t="array" ref="AA1602">HLOOKUP($J1602,'Type Chart'!$C$2:$T$20,8,false)*HLOOKUP($K1602,'Type Chart'!$C$2:$U$20,8,false)</f>
        <v>0.25</v>
      </c>
      <c r="AB1602" s="960">
        <f t="array" ref="AB1602">HLOOKUP($J1602,'Type Chart'!$C$2:$T$20,9,false)*HLOOKUP($K1602,'Type Chart'!$C$2:$U$20,9,false)</f>
        <v>1</v>
      </c>
      <c r="AC1602" s="960">
        <f t="array" ref="AC1602">HLOOKUP($J1602,'Type Chart'!$C$2:$T$20,10,false)*HLOOKUP($K1602,'Type Chart'!$C$2:$U$20,10,false)</f>
        <v>0.5</v>
      </c>
      <c r="AD1602" s="960">
        <f t="array" ref="AD1602">HLOOKUP($J1602,'Type Chart'!$C$2:$T$20,11,false)*HLOOKUP($K1602,'Type Chart'!$C$2:$U$20,11,false)</f>
        <v>0.5</v>
      </c>
      <c r="AE1602" s="960">
        <f t="array" ref="AE1602">HLOOKUP($J1602,'Type Chart'!$C$2:$T$20,12,false)*HLOOKUP($K1602,'Type Chart'!$C$2:$U$20,12,false)</f>
        <v>2</v>
      </c>
      <c r="AF1602" s="960">
        <f t="array" ref="AF1602">HLOOKUP($J1602,'Type Chart'!$C$2:$T$20,13,false)*HLOOKUP($K1602,'Type Chart'!$C$2:$U$20,13,false)</f>
        <v>0.5</v>
      </c>
      <c r="AG1602" s="960">
        <f t="array" ref="AG1602">HLOOKUP($J1602,'Type Chart'!$C$2:$T$20,14,false)*HLOOKUP($K1602,'Type Chart'!$C$2:$U$20,14,false)</f>
        <v>1</v>
      </c>
      <c r="AH1602" s="960">
        <f t="array" ref="AH1602">HLOOKUP($J1602,'Type Chart'!$C$2:$T$20,15,false)*HLOOKUP($K1602,'Type Chart'!$C$2:$U$20,15,false)</f>
        <v>2</v>
      </c>
      <c r="AI1602" s="960">
        <f t="array" ref="AI1602">HLOOKUP($J1602,'Type Chart'!$C$2:$T$20,16,false)*HLOOKUP($K1602,'Type Chart'!$C$2:$U$20,16,false)</f>
        <v>0.5</v>
      </c>
      <c r="AJ1602" s="960">
        <f t="array" ref="AJ1602">HLOOKUP($J1602,'Type Chart'!$C$2:$T$20,17,false)*HLOOKUP($K1602,'Type Chart'!$C$2:$U$20,17,false)</f>
        <v>1</v>
      </c>
      <c r="AK1602" s="960">
        <f t="array" ref="AK1602">HLOOKUP($J1602,'Type Chart'!$C$2:$T$20,18,false)*HLOOKUP($K1602,'Type Chart'!$C$2:$U$20,18,false)</f>
        <v>0.5</v>
      </c>
      <c r="AL1602" s="960">
        <f t="array" ref="AL1602">HLOOKUP($J1602,'Type Chart'!$C$2:$T$20,19,false)*HLOOKUP($K1602,'Type Chart'!$C$2:$U$20,19,false)</f>
        <v>1</v>
      </c>
      <c r="AM1602" s="964" t="s">
        <v>1798</v>
      </c>
      <c r="AN1602" s="965"/>
      <c r="AO1602" s="966"/>
      <c r="AP1602" s="936"/>
      <c r="AQ1602" s="1245"/>
      <c r="AR1602" s="1245"/>
      <c r="AS1602" s="936"/>
    </row>
    <row r="1603" ht="15.75" customHeight="1">
      <c r="A1603" s="1099"/>
      <c r="B1603" s="948" t="s">
        <v>1997</v>
      </c>
      <c r="C1603" s="1197" t="s">
        <v>1998</v>
      </c>
      <c r="D1603" s="1197" t="s">
        <v>1998</v>
      </c>
      <c r="E1603" s="1147" t="s">
        <v>1998</v>
      </c>
      <c r="F1603" s="940"/>
      <c r="G1603" s="953"/>
      <c r="H1603" s="969"/>
      <c r="I1603" s="998" t="s">
        <v>4705</v>
      </c>
      <c r="J1603" s="1211" t="s">
        <v>81</v>
      </c>
      <c r="K1603" s="1199" t="s">
        <v>216</v>
      </c>
      <c r="L1603" s="1200">
        <v>50.0</v>
      </c>
      <c r="M1603" s="1201">
        <v>70.0</v>
      </c>
      <c r="N1603" s="1201">
        <v>50.0</v>
      </c>
      <c r="O1603" s="1201">
        <v>50.0</v>
      </c>
      <c r="P1603" s="1201">
        <v>50.0</v>
      </c>
      <c r="Q1603" s="1201">
        <v>40.0</v>
      </c>
      <c r="R1603" s="960">
        <v>116.0</v>
      </c>
      <c r="S1603" s="960">
        <v>179.0</v>
      </c>
      <c r="T1603" s="960">
        <v>196.0</v>
      </c>
      <c r="U1603" s="960">
        <f t="array" ref="U1603">HLOOKUP($J1603,'Type Chart'!$C$2:$T$20,2,false)*HLOOKUP($K1603,'Type Chart'!$C$2:$U$20,2,false)</f>
        <v>1</v>
      </c>
      <c r="V1603" s="960">
        <f t="array" ref="V1603">HLOOKUP($J1603,'Type Chart'!$C$2:$T$20,3,false)*HLOOKUP($K1603,'Type Chart'!$C$2:$U$20,3,false)</f>
        <v>1</v>
      </c>
      <c r="W1603" s="960">
        <f t="array" ref="W1603">HLOOKUP($J1603,'Type Chart'!$C$2:$T$20,4,false)*HLOOKUP($K1603,'Type Chart'!$C$2:$U$20,4,false)</f>
        <v>1</v>
      </c>
      <c r="X1603" s="960">
        <f t="array" ref="X1603">HLOOKUP($J1603,'Type Chart'!$C$2:$T$20,5,false)*HLOOKUP($K1603,'Type Chart'!$C$2:$U$20,5,false)</f>
        <v>1</v>
      </c>
      <c r="Y1603" s="960">
        <f t="array" ref="Y1603">HLOOKUP($J1603,'Type Chart'!$C$2:$T$20,6,false)*HLOOKUP($K1603,'Type Chart'!$C$2:$U$20,6,false)</f>
        <v>1</v>
      </c>
      <c r="Z1603" s="960">
        <f t="array" ref="Z1603">HLOOKUP($J1603,'Type Chart'!$C$2:$T$20,7,false)*HLOOKUP($K1603,'Type Chart'!$C$2:$U$20,7,false)</f>
        <v>1</v>
      </c>
      <c r="AA1603" s="960">
        <f t="array" ref="AA1603">HLOOKUP($J1603,'Type Chart'!$C$2:$T$20,8,false)*HLOOKUP($K1603,'Type Chart'!$C$2:$U$20,8,false)</f>
        <v>1</v>
      </c>
      <c r="AB1603" s="960">
        <f t="array" ref="AB1603">HLOOKUP($J1603,'Type Chart'!$C$2:$T$20,9,false)*HLOOKUP($K1603,'Type Chart'!$C$2:$U$20,9,false)</f>
        <v>1</v>
      </c>
      <c r="AC1603" s="960">
        <f t="array" ref="AC1603">HLOOKUP($J1603,'Type Chart'!$C$2:$T$20,10,false)*HLOOKUP($K1603,'Type Chart'!$C$2:$U$20,10,false)</f>
        <v>0.5</v>
      </c>
      <c r="AD1603" s="960">
        <f t="array" ref="AD1603">HLOOKUP($J1603,'Type Chart'!$C$2:$T$20,11,false)*HLOOKUP($K1603,'Type Chart'!$C$2:$U$20,11,false)</f>
        <v>0.5</v>
      </c>
      <c r="AE1603" s="960">
        <f t="array" ref="AE1603">HLOOKUP($J1603,'Type Chart'!$C$2:$T$20,12,false)*HLOOKUP($K1603,'Type Chart'!$C$2:$U$20,12,false)</f>
        <v>0.5</v>
      </c>
      <c r="AF1603" s="960">
        <f t="array" ref="AF1603">HLOOKUP($J1603,'Type Chart'!$C$2:$T$20,13,false)*HLOOKUP($K1603,'Type Chart'!$C$2:$U$20,13,false)</f>
        <v>2</v>
      </c>
      <c r="AG1603" s="960">
        <f t="array" ref="AG1603">HLOOKUP($J1603,'Type Chart'!$C$2:$T$20,14,false)*HLOOKUP($K1603,'Type Chart'!$C$2:$U$20,14,false)</f>
        <v>2</v>
      </c>
      <c r="AH1603" s="960">
        <f t="array" ref="AH1603">HLOOKUP($J1603,'Type Chart'!$C$2:$T$20,15,false)*HLOOKUP($K1603,'Type Chart'!$C$2:$U$20,15,false)</f>
        <v>1</v>
      </c>
      <c r="AI1603" s="960">
        <f t="array" ref="AI1603">HLOOKUP($J1603,'Type Chart'!$C$2:$T$20,16,false)*HLOOKUP($K1603,'Type Chart'!$C$2:$U$20,16,false)</f>
        <v>0.5</v>
      </c>
      <c r="AJ1603" s="960">
        <f t="array" ref="AJ1603">HLOOKUP($J1603,'Type Chart'!$C$2:$T$20,17,false)*HLOOKUP($K1603,'Type Chart'!$C$2:$U$20,17,false)</f>
        <v>1</v>
      </c>
      <c r="AK1603" s="960">
        <f t="array" ref="AK1603">HLOOKUP($J1603,'Type Chart'!$C$2:$T$20,18,false)*HLOOKUP($K1603,'Type Chart'!$C$2:$U$20,18,false)</f>
        <v>1</v>
      </c>
      <c r="AL1603" s="960">
        <f t="array" ref="AL1603">HLOOKUP($J1603,'Type Chart'!$C$2:$T$20,19,false)*HLOOKUP($K1603,'Type Chart'!$C$2:$U$20,19,false)</f>
        <v>1</v>
      </c>
      <c r="AM1603" s="1145" t="s">
        <v>959</v>
      </c>
      <c r="AN1603" s="1202"/>
      <c r="AO1603" s="1146" t="s">
        <v>1211</v>
      </c>
      <c r="AP1603" s="936"/>
      <c r="AQ1603" s="1245"/>
      <c r="AR1603" s="1245"/>
      <c r="AS1603" s="936"/>
    </row>
    <row r="1604" ht="15.75" customHeight="1">
      <c r="A1604" s="1099"/>
      <c r="B1604" s="948" t="s">
        <v>2000</v>
      </c>
      <c r="C1604" s="1197" t="s">
        <v>2001</v>
      </c>
      <c r="D1604" s="1197" t="s">
        <v>2001</v>
      </c>
      <c r="E1604" s="1147" t="s">
        <v>2001</v>
      </c>
      <c r="F1604" s="940"/>
      <c r="G1604" s="953"/>
      <c r="H1604" s="969"/>
      <c r="I1604" s="998" t="s">
        <v>4706</v>
      </c>
      <c r="J1604" s="1056" t="s">
        <v>81</v>
      </c>
      <c r="K1604" s="1204" t="s">
        <v>80</v>
      </c>
      <c r="L1604" s="959">
        <v>70.0</v>
      </c>
      <c r="M1604" s="960">
        <v>85.0</v>
      </c>
      <c r="N1604" s="960">
        <v>70.0</v>
      </c>
      <c r="O1604" s="960">
        <v>60.0</v>
      </c>
      <c r="P1604" s="960">
        <v>70.0</v>
      </c>
      <c r="Q1604" s="960">
        <v>50.0</v>
      </c>
      <c r="R1604" s="960">
        <v>136.0</v>
      </c>
      <c r="S1604" s="960">
        <v>199.0</v>
      </c>
      <c r="T1604" s="960">
        <v>218.0</v>
      </c>
      <c r="U1604" s="960">
        <f t="array" ref="U1604">HLOOKUP($J1604,'Type Chart'!$C$2:$T$20,2,false)*HLOOKUP($K1604,'Type Chart'!$C$2:$U$20,2,false)</f>
        <v>1</v>
      </c>
      <c r="V1604" s="960">
        <f t="array" ref="V1604">HLOOKUP($J1604,'Type Chart'!$C$2:$T$20,3,false)*HLOOKUP($K1604,'Type Chart'!$C$2:$U$20,3,false)</f>
        <v>1</v>
      </c>
      <c r="W1604" s="960">
        <f t="array" ref="W1604">HLOOKUP($J1604,'Type Chart'!$C$2:$T$20,4,false)*HLOOKUP($K1604,'Type Chart'!$C$2:$U$20,4,false)</f>
        <v>1</v>
      </c>
      <c r="X1604" s="960">
        <f t="array" ref="X1604">HLOOKUP($J1604,'Type Chart'!$C$2:$T$20,5,false)*HLOOKUP($K1604,'Type Chart'!$C$2:$U$20,5,false)</f>
        <v>0.5</v>
      </c>
      <c r="Y1604" s="960">
        <f t="array" ref="Y1604">HLOOKUP($J1604,'Type Chart'!$C$2:$T$20,6,false)*HLOOKUP($K1604,'Type Chart'!$C$2:$U$20,6,false)</f>
        <v>1</v>
      </c>
      <c r="Z1604" s="960">
        <f t="array" ref="Z1604">HLOOKUP($J1604,'Type Chart'!$C$2:$T$20,7,false)*HLOOKUP($K1604,'Type Chart'!$C$2:$U$20,7,false)</f>
        <v>0.5</v>
      </c>
      <c r="AA1604" s="960">
        <f t="array" ref="AA1604">HLOOKUP($J1604,'Type Chart'!$C$2:$T$20,8,false)*HLOOKUP($K1604,'Type Chart'!$C$2:$U$20,8,false)</f>
        <v>1</v>
      </c>
      <c r="AB1604" s="960">
        <f t="array" ref="AB1604">HLOOKUP($J1604,'Type Chart'!$C$2:$T$20,9,false)*HLOOKUP($K1604,'Type Chart'!$C$2:$U$20,9,false)</f>
        <v>1</v>
      </c>
      <c r="AC1604" s="960">
        <f t="array" ref="AC1604">HLOOKUP($J1604,'Type Chart'!$C$2:$T$20,10,false)*HLOOKUP($K1604,'Type Chart'!$C$2:$U$20,10,false)</f>
        <v>0.5</v>
      </c>
      <c r="AD1604" s="960">
        <f t="array" ref="AD1604">HLOOKUP($J1604,'Type Chart'!$C$2:$T$20,11,false)*HLOOKUP($K1604,'Type Chart'!$C$2:$U$20,11,false)</f>
        <v>0.5</v>
      </c>
      <c r="AE1604" s="960">
        <f t="array" ref="AE1604">HLOOKUP($J1604,'Type Chart'!$C$2:$T$20,12,false)*HLOOKUP($K1604,'Type Chart'!$C$2:$U$20,12,false)</f>
        <v>1</v>
      </c>
      <c r="AF1604" s="960">
        <f t="array" ref="AF1604">HLOOKUP($J1604,'Type Chart'!$C$2:$T$20,13,false)*HLOOKUP($K1604,'Type Chart'!$C$2:$U$20,13,false)</f>
        <v>4</v>
      </c>
      <c r="AG1604" s="960">
        <f t="array" ref="AG1604">HLOOKUP($J1604,'Type Chart'!$C$2:$T$20,14,false)*HLOOKUP($K1604,'Type Chart'!$C$2:$U$20,14,false)</f>
        <v>0</v>
      </c>
      <c r="AH1604" s="960">
        <f t="array" ref="AH1604">HLOOKUP($J1604,'Type Chart'!$C$2:$T$20,15,false)*HLOOKUP($K1604,'Type Chart'!$C$2:$U$20,15,false)</f>
        <v>1</v>
      </c>
      <c r="AI1604" s="960">
        <f t="array" ref="AI1604">HLOOKUP($J1604,'Type Chart'!$C$2:$T$20,16,false)*HLOOKUP($K1604,'Type Chart'!$C$2:$U$20,16,false)</f>
        <v>1</v>
      </c>
      <c r="AJ1604" s="960">
        <f t="array" ref="AJ1604">HLOOKUP($J1604,'Type Chart'!$C$2:$T$20,17,false)*HLOOKUP($K1604,'Type Chart'!$C$2:$U$20,17,false)</f>
        <v>1</v>
      </c>
      <c r="AK1604" s="960">
        <f t="array" ref="AK1604">HLOOKUP($J1604,'Type Chart'!$C$2:$T$20,18,false)*HLOOKUP($K1604,'Type Chart'!$C$2:$U$20,18,false)</f>
        <v>1</v>
      </c>
      <c r="AL1604" s="960">
        <f t="array" ref="AL1604">HLOOKUP($J1604,'Type Chart'!$C$2:$T$20,19,false)*HLOOKUP($K1604,'Type Chart'!$C$2:$U$20,19,false)</f>
        <v>1</v>
      </c>
      <c r="AM1604" s="1145" t="s">
        <v>959</v>
      </c>
      <c r="AN1604" s="1202"/>
      <c r="AO1604" s="1146" t="s">
        <v>1211</v>
      </c>
      <c r="AP1604" s="936"/>
      <c r="AQ1604" s="1245"/>
      <c r="AR1604" s="1245"/>
      <c r="AS1604" s="936"/>
    </row>
    <row r="1605" ht="15.75" customHeight="1">
      <c r="A1605" s="1099"/>
      <c r="B1605" s="948" t="s">
        <v>2003</v>
      </c>
      <c r="C1605" s="1197" t="s">
        <v>2004</v>
      </c>
      <c r="D1605" s="1197" t="s">
        <v>2004</v>
      </c>
      <c r="E1605" s="1147" t="s">
        <v>2004</v>
      </c>
      <c r="F1605" s="940"/>
      <c r="G1605" s="953"/>
      <c r="H1605" s="969"/>
      <c r="I1605" s="998" t="s">
        <v>4707</v>
      </c>
      <c r="J1605" s="1056" t="s">
        <v>81</v>
      </c>
      <c r="K1605" s="1204" t="s">
        <v>80</v>
      </c>
      <c r="L1605" s="959">
        <v>100.0</v>
      </c>
      <c r="M1605" s="960">
        <v>110.0</v>
      </c>
      <c r="N1605" s="960">
        <v>90.0</v>
      </c>
      <c r="O1605" s="960">
        <v>85.0</v>
      </c>
      <c r="P1605" s="960">
        <v>90.0</v>
      </c>
      <c r="Q1605" s="960">
        <v>60.0</v>
      </c>
      <c r="R1605" s="960">
        <v>156.0</v>
      </c>
      <c r="S1605" s="960">
        <v>219.0</v>
      </c>
      <c r="T1605" s="960">
        <v>240.0</v>
      </c>
      <c r="U1605" s="960">
        <f t="array" ref="U1605">HLOOKUP($J1605,'Type Chart'!$C$2:$T$20,2,false)*HLOOKUP($K1605,'Type Chart'!$C$2:$U$20,2,false)</f>
        <v>1</v>
      </c>
      <c r="V1605" s="960">
        <f t="array" ref="V1605">HLOOKUP($J1605,'Type Chart'!$C$2:$T$20,3,false)*HLOOKUP($K1605,'Type Chart'!$C$2:$U$20,3,false)</f>
        <v>1</v>
      </c>
      <c r="W1605" s="960">
        <f t="array" ref="W1605">HLOOKUP($J1605,'Type Chart'!$C$2:$T$20,4,false)*HLOOKUP($K1605,'Type Chart'!$C$2:$U$20,4,false)</f>
        <v>1</v>
      </c>
      <c r="X1605" s="960">
        <f t="array" ref="X1605">HLOOKUP($J1605,'Type Chart'!$C$2:$T$20,5,false)*HLOOKUP($K1605,'Type Chart'!$C$2:$U$20,5,false)</f>
        <v>0.5</v>
      </c>
      <c r="Y1605" s="960">
        <f t="array" ref="Y1605">HLOOKUP($J1605,'Type Chart'!$C$2:$T$20,6,false)*HLOOKUP($K1605,'Type Chart'!$C$2:$U$20,6,false)</f>
        <v>1</v>
      </c>
      <c r="Z1605" s="960">
        <f t="array" ref="Z1605">HLOOKUP($J1605,'Type Chart'!$C$2:$T$20,7,false)*HLOOKUP($K1605,'Type Chart'!$C$2:$U$20,7,false)</f>
        <v>0.5</v>
      </c>
      <c r="AA1605" s="960">
        <f t="array" ref="AA1605">HLOOKUP($J1605,'Type Chart'!$C$2:$T$20,8,false)*HLOOKUP($K1605,'Type Chart'!$C$2:$U$20,8,false)</f>
        <v>1</v>
      </c>
      <c r="AB1605" s="960">
        <f t="array" ref="AB1605">HLOOKUP($J1605,'Type Chart'!$C$2:$T$20,9,false)*HLOOKUP($K1605,'Type Chart'!$C$2:$U$20,9,false)</f>
        <v>1</v>
      </c>
      <c r="AC1605" s="960">
        <f t="array" ref="AC1605">HLOOKUP($J1605,'Type Chart'!$C$2:$T$20,10,false)*HLOOKUP($K1605,'Type Chart'!$C$2:$U$20,10,false)</f>
        <v>0.5</v>
      </c>
      <c r="AD1605" s="960">
        <f t="array" ref="AD1605">HLOOKUP($J1605,'Type Chart'!$C$2:$T$20,11,false)*HLOOKUP($K1605,'Type Chart'!$C$2:$U$20,11,false)</f>
        <v>0.5</v>
      </c>
      <c r="AE1605" s="960">
        <f t="array" ref="AE1605">HLOOKUP($J1605,'Type Chart'!$C$2:$T$20,12,false)*HLOOKUP($K1605,'Type Chart'!$C$2:$U$20,12,false)</f>
        <v>1</v>
      </c>
      <c r="AF1605" s="960">
        <f t="array" ref="AF1605">HLOOKUP($J1605,'Type Chart'!$C$2:$T$20,13,false)*HLOOKUP($K1605,'Type Chart'!$C$2:$U$20,13,false)</f>
        <v>4</v>
      </c>
      <c r="AG1605" s="960">
        <f t="array" ref="AG1605">HLOOKUP($J1605,'Type Chart'!$C$2:$T$20,14,false)*HLOOKUP($K1605,'Type Chart'!$C$2:$U$20,14,false)</f>
        <v>0</v>
      </c>
      <c r="AH1605" s="960">
        <f t="array" ref="AH1605">HLOOKUP($J1605,'Type Chart'!$C$2:$T$20,15,false)*HLOOKUP($K1605,'Type Chart'!$C$2:$U$20,15,false)</f>
        <v>1</v>
      </c>
      <c r="AI1605" s="960">
        <f t="array" ref="AI1605">HLOOKUP($J1605,'Type Chart'!$C$2:$T$20,16,false)*HLOOKUP($K1605,'Type Chart'!$C$2:$U$20,16,false)</f>
        <v>1</v>
      </c>
      <c r="AJ1605" s="960">
        <f t="array" ref="AJ1605">HLOOKUP($J1605,'Type Chart'!$C$2:$T$20,17,false)*HLOOKUP($K1605,'Type Chart'!$C$2:$U$20,17,false)</f>
        <v>1</v>
      </c>
      <c r="AK1605" s="960">
        <f t="array" ref="AK1605">HLOOKUP($J1605,'Type Chart'!$C$2:$T$20,18,false)*HLOOKUP($K1605,'Type Chart'!$C$2:$U$20,18,false)</f>
        <v>1</v>
      </c>
      <c r="AL1605" s="960">
        <f t="array" ref="AL1605">HLOOKUP($J1605,'Type Chart'!$C$2:$T$20,19,false)*HLOOKUP($K1605,'Type Chart'!$C$2:$U$20,19,false)</f>
        <v>1</v>
      </c>
      <c r="AM1605" s="964" t="s">
        <v>959</v>
      </c>
      <c r="AN1605" s="965"/>
      <c r="AO1605" s="966" t="s">
        <v>1211</v>
      </c>
      <c r="AP1605" s="936"/>
      <c r="AQ1605" s="1245"/>
      <c r="AR1605" s="1245"/>
      <c r="AS1605" s="936"/>
    </row>
    <row r="1606" ht="15.75" customHeight="1">
      <c r="A1606" s="1099"/>
      <c r="B1606" s="948" t="s">
        <v>2005</v>
      </c>
      <c r="C1606" s="1197" t="s">
        <v>2006</v>
      </c>
      <c r="D1606" s="1197" t="s">
        <v>2006</v>
      </c>
      <c r="E1606" s="1147" t="s">
        <v>2006</v>
      </c>
      <c r="F1606" s="940"/>
      <c r="G1606" s="953"/>
      <c r="H1606" s="969"/>
      <c r="I1606" s="998" t="s">
        <v>4708</v>
      </c>
      <c r="J1606" s="1056" t="s">
        <v>81</v>
      </c>
      <c r="K1606" s="1204" t="s">
        <v>80</v>
      </c>
      <c r="L1606" s="959">
        <v>100.0</v>
      </c>
      <c r="M1606" s="960">
        <v>150.0</v>
      </c>
      <c r="N1606" s="960">
        <v>110.0</v>
      </c>
      <c r="O1606" s="960">
        <v>95.0</v>
      </c>
      <c r="P1606" s="960">
        <v>110.0</v>
      </c>
      <c r="Q1606" s="960">
        <v>70.0</v>
      </c>
      <c r="R1606" s="960">
        <v>176.0</v>
      </c>
      <c r="S1606" s="960">
        <v>239.0</v>
      </c>
      <c r="T1606" s="960">
        <v>262.0</v>
      </c>
      <c r="U1606" s="960">
        <f t="array" ref="U1606">HLOOKUP($J1606,'Type Chart'!$C$2:$T$20,2,false)*HLOOKUP($K1606,'Type Chart'!$C$2:$U$20,2,false)</f>
        <v>1</v>
      </c>
      <c r="V1606" s="960">
        <f t="array" ref="V1606">HLOOKUP($J1606,'Type Chart'!$C$2:$T$20,3,false)*HLOOKUP($K1606,'Type Chart'!$C$2:$U$20,3,false)</f>
        <v>1</v>
      </c>
      <c r="W1606" s="960">
        <f t="array" ref="W1606">HLOOKUP($J1606,'Type Chart'!$C$2:$T$20,4,false)*HLOOKUP($K1606,'Type Chart'!$C$2:$U$20,4,false)</f>
        <v>1</v>
      </c>
      <c r="X1606" s="960">
        <f t="array" ref="X1606">HLOOKUP($J1606,'Type Chart'!$C$2:$T$20,5,false)*HLOOKUP($K1606,'Type Chart'!$C$2:$U$20,5,false)</f>
        <v>0.5</v>
      </c>
      <c r="Y1606" s="960">
        <f t="array" ref="Y1606">HLOOKUP($J1606,'Type Chart'!$C$2:$T$20,6,false)*HLOOKUP($K1606,'Type Chart'!$C$2:$U$20,6,false)</f>
        <v>1</v>
      </c>
      <c r="Z1606" s="960">
        <f t="array" ref="Z1606">HLOOKUP($J1606,'Type Chart'!$C$2:$T$20,7,false)*HLOOKUP($K1606,'Type Chart'!$C$2:$U$20,7,false)</f>
        <v>0.5</v>
      </c>
      <c r="AA1606" s="960">
        <f t="array" ref="AA1606">HLOOKUP($J1606,'Type Chart'!$C$2:$T$20,8,false)*HLOOKUP($K1606,'Type Chart'!$C$2:$U$20,8,false)</f>
        <v>1</v>
      </c>
      <c r="AB1606" s="960">
        <f t="array" ref="AB1606">HLOOKUP($J1606,'Type Chart'!$C$2:$T$20,9,false)*HLOOKUP($K1606,'Type Chart'!$C$2:$U$20,9,false)</f>
        <v>1</v>
      </c>
      <c r="AC1606" s="960">
        <f t="array" ref="AC1606">HLOOKUP($J1606,'Type Chart'!$C$2:$T$20,10,false)*HLOOKUP($K1606,'Type Chart'!$C$2:$U$20,10,false)</f>
        <v>0.5</v>
      </c>
      <c r="AD1606" s="960">
        <f t="array" ref="AD1606">HLOOKUP($J1606,'Type Chart'!$C$2:$T$20,11,false)*HLOOKUP($K1606,'Type Chart'!$C$2:$U$20,11,false)</f>
        <v>0.5</v>
      </c>
      <c r="AE1606" s="960">
        <f t="array" ref="AE1606">HLOOKUP($J1606,'Type Chart'!$C$2:$T$20,12,false)*HLOOKUP($K1606,'Type Chart'!$C$2:$U$20,12,false)</f>
        <v>1</v>
      </c>
      <c r="AF1606" s="960">
        <f t="array" ref="AF1606">HLOOKUP($J1606,'Type Chart'!$C$2:$T$20,13,false)*HLOOKUP($K1606,'Type Chart'!$C$2:$U$20,13,false)</f>
        <v>4</v>
      </c>
      <c r="AG1606" s="960">
        <f t="array" ref="AG1606">HLOOKUP($J1606,'Type Chart'!$C$2:$T$20,14,false)*HLOOKUP($K1606,'Type Chart'!$C$2:$U$20,14,false)</f>
        <v>0</v>
      </c>
      <c r="AH1606" s="960">
        <f t="array" ref="AH1606">HLOOKUP($J1606,'Type Chart'!$C$2:$T$20,15,false)*HLOOKUP($K1606,'Type Chart'!$C$2:$U$20,15,false)</f>
        <v>1</v>
      </c>
      <c r="AI1606" s="960">
        <f t="array" ref="AI1606">HLOOKUP($J1606,'Type Chart'!$C$2:$T$20,16,false)*HLOOKUP($K1606,'Type Chart'!$C$2:$U$20,16,false)</f>
        <v>1</v>
      </c>
      <c r="AJ1606" s="960">
        <f t="array" ref="AJ1606">HLOOKUP($J1606,'Type Chart'!$C$2:$T$20,17,false)*HLOOKUP($K1606,'Type Chart'!$C$2:$U$20,17,false)</f>
        <v>1</v>
      </c>
      <c r="AK1606" s="960">
        <f t="array" ref="AK1606">HLOOKUP($J1606,'Type Chart'!$C$2:$T$20,18,false)*HLOOKUP($K1606,'Type Chart'!$C$2:$U$20,18,false)</f>
        <v>1</v>
      </c>
      <c r="AL1606" s="960">
        <f t="array" ref="AL1606">HLOOKUP($J1606,'Type Chart'!$C$2:$T$20,19,false)*HLOOKUP($K1606,'Type Chart'!$C$2:$U$20,19,false)</f>
        <v>1</v>
      </c>
      <c r="AM1606" s="964" t="s">
        <v>1259</v>
      </c>
      <c r="AN1606" s="965"/>
      <c r="AO1606" s="966"/>
      <c r="AP1606" s="936"/>
      <c r="AQ1606" s="1245"/>
      <c r="AR1606" s="1245"/>
      <c r="AS1606" s="936"/>
    </row>
    <row r="1607" ht="15.75" customHeight="1">
      <c r="A1607" s="1099"/>
      <c r="B1607" s="948" t="s">
        <v>2008</v>
      </c>
      <c r="C1607" s="1197" t="s">
        <v>2009</v>
      </c>
      <c r="D1607" s="1197" t="s">
        <v>2009</v>
      </c>
      <c r="E1607" s="1147" t="s">
        <v>2009</v>
      </c>
      <c r="F1607" s="940"/>
      <c r="G1607" s="953"/>
      <c r="H1607" s="969"/>
      <c r="I1607" s="998" t="s">
        <v>4709</v>
      </c>
      <c r="J1607" s="1195" t="s">
        <v>193</v>
      </c>
      <c r="K1607" s="984" t="s">
        <v>216</v>
      </c>
      <c r="L1607" s="959">
        <v>35.0</v>
      </c>
      <c r="M1607" s="960">
        <v>55.0</v>
      </c>
      <c r="N1607" s="960">
        <v>35.0</v>
      </c>
      <c r="O1607" s="960">
        <v>30.0</v>
      </c>
      <c r="P1607" s="960">
        <v>30.0</v>
      </c>
      <c r="Q1607" s="960">
        <v>35.0</v>
      </c>
      <c r="R1607" s="960">
        <v>106.0</v>
      </c>
      <c r="S1607" s="960">
        <v>169.0</v>
      </c>
      <c r="T1607" s="960">
        <v>185.0</v>
      </c>
      <c r="U1607" s="960">
        <f t="array" ref="U1607">HLOOKUP($J1607,'Type Chart'!$C$2:$T$20,2,false)*HLOOKUP($K1607,'Type Chart'!$C$2:$U$20,2,false)</f>
        <v>1</v>
      </c>
      <c r="V1607" s="960">
        <f t="array" ref="V1607">HLOOKUP($J1607,'Type Chart'!$C$2:$T$20,3,false)*HLOOKUP($K1607,'Type Chart'!$C$2:$U$20,3,false)</f>
        <v>2</v>
      </c>
      <c r="W1607" s="960">
        <f t="array" ref="W1607">HLOOKUP($J1607,'Type Chart'!$C$2:$T$20,4,false)*HLOOKUP($K1607,'Type Chart'!$C$2:$U$20,4,false)</f>
        <v>1</v>
      </c>
      <c r="X1607" s="960">
        <f t="array" ref="X1607">HLOOKUP($J1607,'Type Chart'!$C$2:$T$20,5,false)*HLOOKUP($K1607,'Type Chart'!$C$2:$U$20,5,false)</f>
        <v>1</v>
      </c>
      <c r="Y1607" s="960">
        <f t="array" ref="Y1607">HLOOKUP($J1607,'Type Chart'!$C$2:$T$20,6,false)*HLOOKUP($K1607,'Type Chart'!$C$2:$U$20,6,false)</f>
        <v>1</v>
      </c>
      <c r="Z1607" s="960">
        <f t="array" ref="Z1607">HLOOKUP($J1607,'Type Chart'!$C$2:$T$20,7,false)*HLOOKUP($K1607,'Type Chart'!$C$2:$U$20,7,false)</f>
        <v>1</v>
      </c>
      <c r="AA1607" s="960">
        <f t="array" ref="AA1607">HLOOKUP($J1607,'Type Chart'!$C$2:$T$20,8,false)*HLOOKUP($K1607,'Type Chart'!$C$2:$U$20,8,false)</f>
        <v>2</v>
      </c>
      <c r="AB1607" s="960">
        <f t="array" ref="AB1607">HLOOKUP($J1607,'Type Chart'!$C$2:$T$20,9,false)*HLOOKUP($K1607,'Type Chart'!$C$2:$U$20,9,false)</f>
        <v>0.5</v>
      </c>
      <c r="AC1607" s="960">
        <f t="array" ref="AC1607">HLOOKUP($J1607,'Type Chart'!$C$2:$T$20,10,false)*HLOOKUP($K1607,'Type Chart'!$C$2:$U$20,10,false)</f>
        <v>1</v>
      </c>
      <c r="AD1607" s="960">
        <f t="array" ref="AD1607">HLOOKUP($J1607,'Type Chart'!$C$2:$T$20,11,false)*HLOOKUP($K1607,'Type Chart'!$C$2:$U$20,11,false)</f>
        <v>1</v>
      </c>
      <c r="AE1607" s="960">
        <f t="array" ref="AE1607">HLOOKUP($J1607,'Type Chart'!$C$2:$T$20,12,false)*HLOOKUP($K1607,'Type Chart'!$C$2:$U$20,12,false)</f>
        <v>1</v>
      </c>
      <c r="AF1607" s="960">
        <f t="array" ref="AF1607">HLOOKUP($J1607,'Type Chart'!$C$2:$T$20,13,false)*HLOOKUP($K1607,'Type Chart'!$C$2:$U$20,13,false)</f>
        <v>1</v>
      </c>
      <c r="AG1607" s="960">
        <f t="array" ref="AG1607">HLOOKUP($J1607,'Type Chart'!$C$2:$T$20,14,false)*HLOOKUP($K1607,'Type Chart'!$C$2:$U$20,14,false)</f>
        <v>1</v>
      </c>
      <c r="AH1607" s="960">
        <f t="array" ref="AH1607">HLOOKUP($J1607,'Type Chart'!$C$2:$T$20,15,false)*HLOOKUP($K1607,'Type Chart'!$C$2:$U$20,15,false)</f>
        <v>0</v>
      </c>
      <c r="AI1607" s="960">
        <f t="array" ref="AI1607">HLOOKUP($J1607,'Type Chart'!$C$2:$T$20,16,false)*HLOOKUP($K1607,'Type Chart'!$C$2:$U$20,16,false)</f>
        <v>1</v>
      </c>
      <c r="AJ1607" s="960">
        <f t="array" ref="AJ1607">HLOOKUP($J1607,'Type Chart'!$C$2:$T$20,17,false)*HLOOKUP($K1607,'Type Chart'!$C$2:$U$20,17,false)</f>
        <v>1</v>
      </c>
      <c r="AK1607" s="960">
        <f t="array" ref="AK1607">HLOOKUP($J1607,'Type Chart'!$C$2:$T$20,18,false)*HLOOKUP($K1607,'Type Chart'!$C$2:$U$20,18,false)</f>
        <v>0.5</v>
      </c>
      <c r="AL1607" s="960">
        <f t="array" ref="AL1607">HLOOKUP($J1607,'Type Chart'!$C$2:$T$20,19,false)*HLOOKUP($K1607,'Type Chart'!$C$2:$U$20,19,false)</f>
        <v>2</v>
      </c>
      <c r="AM1607" s="964" t="s">
        <v>988</v>
      </c>
      <c r="AN1607" s="965" t="s">
        <v>1615</v>
      </c>
      <c r="AO1607" s="966" t="s">
        <v>1243</v>
      </c>
      <c r="AP1607" s="936"/>
      <c r="AQ1607" s="1245"/>
      <c r="AR1607" s="1245"/>
      <c r="AS1607" s="936"/>
    </row>
    <row r="1608" ht="15.75" customHeight="1">
      <c r="A1608" s="1099"/>
      <c r="B1608" s="948" t="s">
        <v>2011</v>
      </c>
      <c r="C1608" s="1197" t="s">
        <v>2012</v>
      </c>
      <c r="D1608" s="1197" t="s">
        <v>2012</v>
      </c>
      <c r="E1608" s="1147" t="s">
        <v>2012</v>
      </c>
      <c r="F1608" s="940"/>
      <c r="G1608" s="953"/>
      <c r="H1608" s="969"/>
      <c r="I1608" s="998" t="s">
        <v>4710</v>
      </c>
      <c r="J1608" s="1229" t="s">
        <v>193</v>
      </c>
      <c r="K1608" s="1199" t="s">
        <v>216</v>
      </c>
      <c r="L1608" s="1200">
        <v>70.0</v>
      </c>
      <c r="M1608" s="1201">
        <v>90.0</v>
      </c>
      <c r="N1608" s="1201">
        <v>70.0</v>
      </c>
      <c r="O1608" s="1201">
        <v>60.0</v>
      </c>
      <c r="P1608" s="1201">
        <v>60.0</v>
      </c>
      <c r="Q1608" s="1201">
        <v>70.0</v>
      </c>
      <c r="R1608" s="960">
        <v>176.0</v>
      </c>
      <c r="S1608" s="960">
        <v>239.0</v>
      </c>
      <c r="T1608" s="960">
        <v>262.0</v>
      </c>
      <c r="U1608" s="960">
        <f t="array" ref="U1608">HLOOKUP($J1608,'Type Chart'!$C$2:$T$20,2,false)*HLOOKUP($K1608,'Type Chart'!$C$2:$U$20,2,false)</f>
        <v>1</v>
      </c>
      <c r="V1608" s="960">
        <f t="array" ref="V1608">HLOOKUP($J1608,'Type Chart'!$C$2:$T$20,3,false)*HLOOKUP($K1608,'Type Chart'!$C$2:$U$20,3,false)</f>
        <v>2</v>
      </c>
      <c r="W1608" s="960">
        <f t="array" ref="W1608">HLOOKUP($J1608,'Type Chart'!$C$2:$T$20,4,false)*HLOOKUP($K1608,'Type Chart'!$C$2:$U$20,4,false)</f>
        <v>1</v>
      </c>
      <c r="X1608" s="960">
        <f t="array" ref="X1608">HLOOKUP($J1608,'Type Chart'!$C$2:$T$20,5,false)*HLOOKUP($K1608,'Type Chart'!$C$2:$U$20,5,false)</f>
        <v>1</v>
      </c>
      <c r="Y1608" s="960">
        <f t="array" ref="Y1608">HLOOKUP($J1608,'Type Chart'!$C$2:$T$20,6,false)*HLOOKUP($K1608,'Type Chart'!$C$2:$U$20,6,false)</f>
        <v>1</v>
      </c>
      <c r="Z1608" s="960">
        <f t="array" ref="Z1608">HLOOKUP($J1608,'Type Chart'!$C$2:$T$20,7,false)*HLOOKUP($K1608,'Type Chart'!$C$2:$U$20,7,false)</f>
        <v>1</v>
      </c>
      <c r="AA1608" s="960">
        <f t="array" ref="AA1608">HLOOKUP($J1608,'Type Chart'!$C$2:$T$20,8,false)*HLOOKUP($K1608,'Type Chart'!$C$2:$U$20,8,false)</f>
        <v>2</v>
      </c>
      <c r="AB1608" s="960">
        <f t="array" ref="AB1608">HLOOKUP($J1608,'Type Chart'!$C$2:$T$20,9,false)*HLOOKUP($K1608,'Type Chart'!$C$2:$U$20,9,false)</f>
        <v>0.5</v>
      </c>
      <c r="AC1608" s="960">
        <f t="array" ref="AC1608">HLOOKUP($J1608,'Type Chart'!$C$2:$T$20,10,false)*HLOOKUP($K1608,'Type Chart'!$C$2:$U$20,10,false)</f>
        <v>1</v>
      </c>
      <c r="AD1608" s="960">
        <f t="array" ref="AD1608">HLOOKUP($J1608,'Type Chart'!$C$2:$T$20,11,false)*HLOOKUP($K1608,'Type Chart'!$C$2:$U$20,11,false)</f>
        <v>1</v>
      </c>
      <c r="AE1608" s="960">
        <f t="array" ref="AE1608">HLOOKUP($J1608,'Type Chart'!$C$2:$T$20,12,false)*HLOOKUP($K1608,'Type Chart'!$C$2:$U$20,12,false)</f>
        <v>1</v>
      </c>
      <c r="AF1608" s="960">
        <f t="array" ref="AF1608">HLOOKUP($J1608,'Type Chart'!$C$2:$T$20,13,false)*HLOOKUP($K1608,'Type Chart'!$C$2:$U$20,13,false)</f>
        <v>1</v>
      </c>
      <c r="AG1608" s="960">
        <f t="array" ref="AG1608">HLOOKUP($J1608,'Type Chart'!$C$2:$T$20,14,false)*HLOOKUP($K1608,'Type Chart'!$C$2:$U$20,14,false)</f>
        <v>1</v>
      </c>
      <c r="AH1608" s="960">
        <f t="array" ref="AH1608">HLOOKUP($J1608,'Type Chart'!$C$2:$T$20,15,false)*HLOOKUP($K1608,'Type Chart'!$C$2:$U$20,15,false)</f>
        <v>0</v>
      </c>
      <c r="AI1608" s="960">
        <f t="array" ref="AI1608">HLOOKUP($J1608,'Type Chart'!$C$2:$T$20,16,false)*HLOOKUP($K1608,'Type Chart'!$C$2:$U$20,16,false)</f>
        <v>1</v>
      </c>
      <c r="AJ1608" s="960">
        <f t="array" ref="AJ1608">HLOOKUP($J1608,'Type Chart'!$C$2:$T$20,17,false)*HLOOKUP($K1608,'Type Chart'!$C$2:$U$20,17,false)</f>
        <v>1</v>
      </c>
      <c r="AK1608" s="960">
        <f t="array" ref="AK1608">HLOOKUP($J1608,'Type Chart'!$C$2:$T$20,18,false)*HLOOKUP($K1608,'Type Chart'!$C$2:$U$20,18,false)</f>
        <v>0.5</v>
      </c>
      <c r="AL1608" s="960">
        <f t="array" ref="AL1608">HLOOKUP($J1608,'Type Chart'!$C$2:$T$20,19,false)*HLOOKUP($K1608,'Type Chart'!$C$2:$U$20,19,false)</f>
        <v>2</v>
      </c>
      <c r="AM1608" s="1145" t="s">
        <v>1061</v>
      </c>
      <c r="AN1608" s="1202" t="s">
        <v>1615</v>
      </c>
      <c r="AO1608" s="1146" t="s">
        <v>1577</v>
      </c>
      <c r="AP1608" s="936"/>
      <c r="AQ1608" s="1245"/>
      <c r="AR1608" s="1245"/>
      <c r="AS1608" s="936"/>
    </row>
    <row r="1609" ht="15.75" customHeight="1">
      <c r="A1609" s="1099"/>
      <c r="B1609" s="948" t="s">
        <v>2013</v>
      </c>
      <c r="C1609" s="1197" t="s">
        <v>2014</v>
      </c>
      <c r="D1609" s="1197" t="s">
        <v>2014</v>
      </c>
      <c r="E1609" s="1147" t="s">
        <v>2014</v>
      </c>
      <c r="F1609" s="940"/>
      <c r="G1609" s="953"/>
      <c r="H1609" s="969"/>
      <c r="I1609" s="998" t="s">
        <v>4711</v>
      </c>
      <c r="J1609" s="1194" t="s">
        <v>136</v>
      </c>
      <c r="K1609" s="984" t="s">
        <v>216</v>
      </c>
      <c r="L1609" s="959">
        <v>38.0</v>
      </c>
      <c r="M1609" s="960">
        <v>30.0</v>
      </c>
      <c r="N1609" s="960">
        <v>41.0</v>
      </c>
      <c r="O1609" s="960">
        <v>30.0</v>
      </c>
      <c r="P1609" s="960">
        <v>41.0</v>
      </c>
      <c r="Q1609" s="960">
        <v>60.0</v>
      </c>
      <c r="R1609" s="960">
        <v>156.0</v>
      </c>
      <c r="S1609" s="960">
        <v>219.0</v>
      </c>
      <c r="T1609" s="960">
        <v>240.0</v>
      </c>
      <c r="U1609" s="960">
        <f t="array" ref="U1609">HLOOKUP($J1609,'Type Chart'!$C$2:$T$20,2,false)*HLOOKUP($K1609,'Type Chart'!$C$2:$U$20,2,false)</f>
        <v>1</v>
      </c>
      <c r="V1609" s="960">
        <f t="array" ref="V1609">HLOOKUP($J1609,'Type Chart'!$C$2:$T$20,3,false)*HLOOKUP($K1609,'Type Chart'!$C$2:$U$20,3,false)</f>
        <v>2</v>
      </c>
      <c r="W1609" s="960">
        <f t="array" ref="W1609">HLOOKUP($J1609,'Type Chart'!$C$2:$T$20,4,false)*HLOOKUP($K1609,'Type Chart'!$C$2:$U$20,4,false)</f>
        <v>1</v>
      </c>
      <c r="X1609" s="960">
        <f t="array" ref="X1609">HLOOKUP($J1609,'Type Chart'!$C$2:$T$20,5,false)*HLOOKUP($K1609,'Type Chart'!$C$2:$U$20,5,false)</f>
        <v>1</v>
      </c>
      <c r="Y1609" s="960">
        <f t="array" ref="Y1609">HLOOKUP($J1609,'Type Chart'!$C$2:$T$20,6,false)*HLOOKUP($K1609,'Type Chart'!$C$2:$U$20,6,false)</f>
        <v>1</v>
      </c>
      <c r="Z1609" s="960">
        <f t="array" ref="Z1609">HLOOKUP($J1609,'Type Chart'!$C$2:$T$20,7,false)*HLOOKUP($K1609,'Type Chart'!$C$2:$U$20,7,false)</f>
        <v>1</v>
      </c>
      <c r="AA1609" s="960">
        <f t="array" ref="AA1609">HLOOKUP($J1609,'Type Chart'!$C$2:$T$20,8,false)*HLOOKUP($K1609,'Type Chart'!$C$2:$U$20,8,false)</f>
        <v>1</v>
      </c>
      <c r="AB1609" s="960">
        <f t="array" ref="AB1609">HLOOKUP($J1609,'Type Chart'!$C$2:$T$20,9,false)*HLOOKUP($K1609,'Type Chart'!$C$2:$U$20,9,false)</f>
        <v>0</v>
      </c>
      <c r="AC1609" s="960">
        <f t="array" ref="AC1609">HLOOKUP($J1609,'Type Chart'!$C$2:$T$20,10,false)*HLOOKUP($K1609,'Type Chart'!$C$2:$U$20,10,false)</f>
        <v>1</v>
      </c>
      <c r="AD1609" s="960">
        <f t="array" ref="AD1609">HLOOKUP($J1609,'Type Chart'!$C$2:$T$20,11,false)*HLOOKUP($K1609,'Type Chart'!$C$2:$U$20,11,false)</f>
        <v>1</v>
      </c>
      <c r="AE1609" s="960">
        <f t="array" ref="AE1609">HLOOKUP($J1609,'Type Chart'!$C$2:$T$20,12,false)*HLOOKUP($K1609,'Type Chart'!$C$2:$U$20,12,false)</f>
        <v>1</v>
      </c>
      <c r="AF1609" s="960">
        <f t="array" ref="AF1609">HLOOKUP($J1609,'Type Chart'!$C$2:$T$20,13,false)*HLOOKUP($K1609,'Type Chart'!$C$2:$U$20,13,false)</f>
        <v>1</v>
      </c>
      <c r="AG1609" s="960">
        <f t="array" ref="AG1609">HLOOKUP($J1609,'Type Chart'!$C$2:$T$20,14,false)*HLOOKUP($K1609,'Type Chart'!$C$2:$U$20,14,false)</f>
        <v>1</v>
      </c>
      <c r="AH1609" s="960">
        <f t="array" ref="AH1609">HLOOKUP($J1609,'Type Chart'!$C$2:$T$20,15,false)*HLOOKUP($K1609,'Type Chart'!$C$2:$U$20,15,false)</f>
        <v>1</v>
      </c>
      <c r="AI1609" s="960">
        <f t="array" ref="AI1609">HLOOKUP($J1609,'Type Chart'!$C$2:$T$20,16,false)*HLOOKUP($K1609,'Type Chart'!$C$2:$U$20,16,false)</f>
        <v>1</v>
      </c>
      <c r="AJ1609" s="960">
        <f t="array" ref="AJ1609">HLOOKUP($J1609,'Type Chart'!$C$2:$T$20,17,false)*HLOOKUP($K1609,'Type Chart'!$C$2:$U$20,17,false)</f>
        <v>1</v>
      </c>
      <c r="AK1609" s="960">
        <f t="array" ref="AK1609">HLOOKUP($J1609,'Type Chart'!$C$2:$T$20,18,false)*HLOOKUP($K1609,'Type Chart'!$C$2:$U$20,18,false)</f>
        <v>1</v>
      </c>
      <c r="AL1609" s="960">
        <f t="array" ref="AL1609">HLOOKUP($J1609,'Type Chart'!$C$2:$T$20,19,false)*HLOOKUP($K1609,'Type Chart'!$C$2:$U$20,19,false)</f>
        <v>1</v>
      </c>
      <c r="AM1609" s="964" t="s">
        <v>1238</v>
      </c>
      <c r="AN1609" s="965" t="s">
        <v>1044</v>
      </c>
      <c r="AO1609" s="966" t="s">
        <v>1615</v>
      </c>
      <c r="AP1609" s="936"/>
      <c r="AQ1609" s="1245"/>
      <c r="AR1609" s="1245"/>
      <c r="AS1609" s="936"/>
    </row>
    <row r="1610" ht="15.75" customHeight="1">
      <c r="A1610" s="1099"/>
      <c r="B1610" s="948" t="s">
        <v>2016</v>
      </c>
      <c r="C1610" s="1197" t="s">
        <v>2017</v>
      </c>
      <c r="D1610" s="1197" t="s">
        <v>2017</v>
      </c>
      <c r="E1610" s="1147" t="s">
        <v>2018</v>
      </c>
      <c r="F1610" s="940"/>
      <c r="G1610" s="953"/>
      <c r="H1610" s="969"/>
      <c r="I1610" s="998" t="s">
        <v>4712</v>
      </c>
      <c r="J1610" s="1195" t="s">
        <v>193</v>
      </c>
      <c r="K1610" s="1194" t="s">
        <v>136</v>
      </c>
      <c r="L1610" s="959">
        <v>38.0</v>
      </c>
      <c r="M1610" s="960">
        <v>30.0</v>
      </c>
      <c r="N1610" s="960">
        <v>41.0</v>
      </c>
      <c r="O1610" s="960">
        <v>30.0</v>
      </c>
      <c r="P1610" s="960">
        <v>41.0</v>
      </c>
      <c r="Q1610" s="960">
        <v>60.0</v>
      </c>
      <c r="R1610" s="960">
        <v>156.0</v>
      </c>
      <c r="S1610" s="960">
        <v>219.0</v>
      </c>
      <c r="T1610" s="960">
        <v>240.0</v>
      </c>
      <c r="U1610" s="960">
        <f t="array" ref="U1610">HLOOKUP($J1610,'Type Chart'!$C$2:$T$20,2,false)*HLOOKUP($K1610,'Type Chart'!$C$2:$U$20,2,false)</f>
        <v>1</v>
      </c>
      <c r="V1610" s="960">
        <f t="array" ref="V1610">HLOOKUP($J1610,'Type Chart'!$C$2:$T$20,3,false)*HLOOKUP($K1610,'Type Chart'!$C$2:$U$20,3,false)</f>
        <v>4</v>
      </c>
      <c r="W1610" s="960">
        <f t="array" ref="W1610">HLOOKUP($J1610,'Type Chart'!$C$2:$T$20,4,false)*HLOOKUP($K1610,'Type Chart'!$C$2:$U$20,4,false)</f>
        <v>1</v>
      </c>
      <c r="X1610" s="960">
        <f t="array" ref="X1610">HLOOKUP($J1610,'Type Chart'!$C$2:$T$20,5,false)*HLOOKUP($K1610,'Type Chart'!$C$2:$U$20,5,false)</f>
        <v>1</v>
      </c>
      <c r="Y1610" s="960">
        <f t="array" ref="Y1610">HLOOKUP($J1610,'Type Chart'!$C$2:$T$20,6,false)*HLOOKUP($K1610,'Type Chart'!$C$2:$U$20,6,false)</f>
        <v>1</v>
      </c>
      <c r="Z1610" s="960">
        <f t="array" ref="Z1610">HLOOKUP($J1610,'Type Chart'!$C$2:$T$20,7,false)*HLOOKUP($K1610,'Type Chart'!$C$2:$U$20,7,false)</f>
        <v>1</v>
      </c>
      <c r="AA1610" s="960">
        <f t="array" ref="AA1610">HLOOKUP($J1610,'Type Chart'!$C$2:$T$20,8,false)*HLOOKUP($K1610,'Type Chart'!$C$2:$U$20,8,false)</f>
        <v>2</v>
      </c>
      <c r="AB1610" s="960">
        <f t="array" ref="AB1610">HLOOKUP($J1610,'Type Chart'!$C$2:$T$20,9,false)*HLOOKUP($K1610,'Type Chart'!$C$2:$U$20,9,false)</f>
        <v>0</v>
      </c>
      <c r="AC1610" s="960">
        <f t="array" ref="AC1610">HLOOKUP($J1610,'Type Chart'!$C$2:$T$20,10,false)*HLOOKUP($K1610,'Type Chart'!$C$2:$U$20,10,false)</f>
        <v>1</v>
      </c>
      <c r="AD1610" s="960">
        <f t="array" ref="AD1610">HLOOKUP($J1610,'Type Chart'!$C$2:$T$20,11,false)*HLOOKUP($K1610,'Type Chart'!$C$2:$U$20,11,false)</f>
        <v>1</v>
      </c>
      <c r="AE1610" s="960">
        <f t="array" ref="AE1610">HLOOKUP($J1610,'Type Chart'!$C$2:$T$20,12,false)*HLOOKUP($K1610,'Type Chart'!$C$2:$U$20,12,false)</f>
        <v>1</v>
      </c>
      <c r="AF1610" s="960">
        <f t="array" ref="AF1610">HLOOKUP($J1610,'Type Chart'!$C$2:$T$20,13,false)*HLOOKUP($K1610,'Type Chart'!$C$2:$U$20,13,false)</f>
        <v>1</v>
      </c>
      <c r="AG1610" s="960">
        <f t="array" ref="AG1610">HLOOKUP($J1610,'Type Chart'!$C$2:$T$20,14,false)*HLOOKUP($K1610,'Type Chart'!$C$2:$U$20,14,false)</f>
        <v>1</v>
      </c>
      <c r="AH1610" s="960">
        <f t="array" ref="AH1610">HLOOKUP($J1610,'Type Chart'!$C$2:$T$20,15,false)*HLOOKUP($K1610,'Type Chart'!$C$2:$U$20,15,false)</f>
        <v>0</v>
      </c>
      <c r="AI1610" s="960">
        <f t="array" ref="AI1610">HLOOKUP($J1610,'Type Chart'!$C$2:$T$20,16,false)*HLOOKUP($K1610,'Type Chart'!$C$2:$U$20,16,false)</f>
        <v>1</v>
      </c>
      <c r="AJ1610" s="960">
        <f t="array" ref="AJ1610">HLOOKUP($J1610,'Type Chart'!$C$2:$T$20,17,false)*HLOOKUP($K1610,'Type Chart'!$C$2:$U$20,17,false)</f>
        <v>1</v>
      </c>
      <c r="AK1610" s="960">
        <f t="array" ref="AK1610">HLOOKUP($J1610,'Type Chart'!$C$2:$T$20,18,false)*HLOOKUP($K1610,'Type Chart'!$C$2:$U$20,18,false)</f>
        <v>0.5</v>
      </c>
      <c r="AL1610" s="960">
        <f t="array" ref="AL1610">HLOOKUP($J1610,'Type Chart'!$C$2:$T$20,19,false)*HLOOKUP($K1610,'Type Chart'!$C$2:$U$20,19,false)</f>
        <v>2</v>
      </c>
      <c r="AM1610" s="964" t="s">
        <v>1238</v>
      </c>
      <c r="AN1610" s="965" t="s">
        <v>1044</v>
      </c>
      <c r="AO1610" s="966" t="s">
        <v>1615</v>
      </c>
      <c r="AP1610" s="936"/>
      <c r="AQ1610" s="1245"/>
      <c r="AR1610" s="1245"/>
      <c r="AS1610" s="936"/>
    </row>
    <row r="1611" ht="15.75" customHeight="1">
      <c r="A1611" s="1099"/>
      <c r="B1611" s="948" t="s">
        <v>2020</v>
      </c>
      <c r="C1611" s="1197" t="s">
        <v>2021</v>
      </c>
      <c r="D1611" s="1197" t="s">
        <v>2021</v>
      </c>
      <c r="E1611" s="1147" t="s">
        <v>2021</v>
      </c>
      <c r="F1611" s="940"/>
      <c r="G1611" s="953"/>
      <c r="H1611" s="969"/>
      <c r="I1611" s="998" t="s">
        <v>4713</v>
      </c>
      <c r="J1611" s="1194" t="s">
        <v>136</v>
      </c>
      <c r="K1611" s="984" t="s">
        <v>216</v>
      </c>
      <c r="L1611" s="959">
        <v>78.0</v>
      </c>
      <c r="M1611" s="960">
        <v>70.0</v>
      </c>
      <c r="N1611" s="960">
        <v>61.0</v>
      </c>
      <c r="O1611" s="960">
        <v>50.0</v>
      </c>
      <c r="P1611" s="960">
        <v>61.0</v>
      </c>
      <c r="Q1611" s="960">
        <v>100.0</v>
      </c>
      <c r="R1611" s="960">
        <v>236.0</v>
      </c>
      <c r="S1611" s="960">
        <v>299.0</v>
      </c>
      <c r="T1611" s="960">
        <v>328.0</v>
      </c>
      <c r="U1611" s="960">
        <f t="array" ref="U1611">HLOOKUP($J1611,'Type Chart'!$C$2:$T$20,2,false)*HLOOKUP($K1611,'Type Chart'!$C$2:$U$20,2,false)</f>
        <v>1</v>
      </c>
      <c r="V1611" s="960">
        <f t="array" ref="V1611">HLOOKUP($J1611,'Type Chart'!$C$2:$T$20,3,false)*HLOOKUP($K1611,'Type Chart'!$C$2:$U$20,3,false)</f>
        <v>2</v>
      </c>
      <c r="W1611" s="960">
        <f t="array" ref="W1611">HLOOKUP($J1611,'Type Chart'!$C$2:$T$20,4,false)*HLOOKUP($K1611,'Type Chart'!$C$2:$U$20,4,false)</f>
        <v>1</v>
      </c>
      <c r="X1611" s="960">
        <f t="array" ref="X1611">HLOOKUP($J1611,'Type Chart'!$C$2:$T$20,5,false)*HLOOKUP($K1611,'Type Chart'!$C$2:$U$20,5,false)</f>
        <v>1</v>
      </c>
      <c r="Y1611" s="960">
        <f t="array" ref="Y1611">HLOOKUP($J1611,'Type Chart'!$C$2:$T$20,6,false)*HLOOKUP($K1611,'Type Chart'!$C$2:$U$20,6,false)</f>
        <v>1</v>
      </c>
      <c r="Z1611" s="960">
        <f t="array" ref="Z1611">HLOOKUP($J1611,'Type Chart'!$C$2:$T$20,7,false)*HLOOKUP($K1611,'Type Chart'!$C$2:$U$20,7,false)</f>
        <v>1</v>
      </c>
      <c r="AA1611" s="960">
        <f t="array" ref="AA1611">HLOOKUP($J1611,'Type Chart'!$C$2:$T$20,8,false)*HLOOKUP($K1611,'Type Chart'!$C$2:$U$20,8,false)</f>
        <v>1</v>
      </c>
      <c r="AB1611" s="960">
        <f t="array" ref="AB1611">HLOOKUP($J1611,'Type Chart'!$C$2:$T$20,9,false)*HLOOKUP($K1611,'Type Chart'!$C$2:$U$20,9,false)</f>
        <v>0</v>
      </c>
      <c r="AC1611" s="960">
        <f t="array" ref="AC1611">HLOOKUP($J1611,'Type Chart'!$C$2:$T$20,10,false)*HLOOKUP($K1611,'Type Chart'!$C$2:$U$20,10,false)</f>
        <v>1</v>
      </c>
      <c r="AD1611" s="960">
        <f t="array" ref="AD1611">HLOOKUP($J1611,'Type Chart'!$C$2:$T$20,11,false)*HLOOKUP($K1611,'Type Chart'!$C$2:$U$20,11,false)</f>
        <v>1</v>
      </c>
      <c r="AE1611" s="960">
        <f t="array" ref="AE1611">HLOOKUP($J1611,'Type Chart'!$C$2:$T$20,12,false)*HLOOKUP($K1611,'Type Chart'!$C$2:$U$20,12,false)</f>
        <v>1</v>
      </c>
      <c r="AF1611" s="960">
        <f t="array" ref="AF1611">HLOOKUP($J1611,'Type Chart'!$C$2:$T$20,13,false)*HLOOKUP($K1611,'Type Chart'!$C$2:$U$20,13,false)</f>
        <v>1</v>
      </c>
      <c r="AG1611" s="960">
        <f t="array" ref="AG1611">HLOOKUP($J1611,'Type Chart'!$C$2:$T$20,14,false)*HLOOKUP($K1611,'Type Chart'!$C$2:$U$20,14,false)</f>
        <v>1</v>
      </c>
      <c r="AH1611" s="960">
        <f t="array" ref="AH1611">HLOOKUP($J1611,'Type Chart'!$C$2:$T$20,15,false)*HLOOKUP($K1611,'Type Chart'!$C$2:$U$20,15,false)</f>
        <v>1</v>
      </c>
      <c r="AI1611" s="960">
        <f t="array" ref="AI1611">HLOOKUP($J1611,'Type Chart'!$C$2:$T$20,16,false)*HLOOKUP($K1611,'Type Chart'!$C$2:$U$20,16,false)</f>
        <v>1</v>
      </c>
      <c r="AJ1611" s="960">
        <f t="array" ref="AJ1611">HLOOKUP($J1611,'Type Chart'!$C$2:$T$20,17,false)*HLOOKUP($K1611,'Type Chart'!$C$2:$U$20,17,false)</f>
        <v>1</v>
      </c>
      <c r="AK1611" s="960">
        <f t="array" ref="AK1611">HLOOKUP($J1611,'Type Chart'!$C$2:$T$20,18,false)*HLOOKUP($K1611,'Type Chart'!$C$2:$U$20,18,false)</f>
        <v>1</v>
      </c>
      <c r="AL1611" s="960">
        <f t="array" ref="AL1611">HLOOKUP($J1611,'Type Chart'!$C$2:$T$20,19,false)*HLOOKUP($K1611,'Type Chart'!$C$2:$U$20,19,false)</f>
        <v>1</v>
      </c>
      <c r="AM1611" s="964" t="s">
        <v>1238</v>
      </c>
      <c r="AN1611" s="965" t="s">
        <v>1044</v>
      </c>
      <c r="AO1611" s="966" t="s">
        <v>1615</v>
      </c>
      <c r="AP1611" s="936"/>
      <c r="AQ1611" s="1245"/>
      <c r="AR1611" s="1245"/>
      <c r="AS1611" s="936"/>
    </row>
    <row r="1612" ht="15.75" customHeight="1">
      <c r="A1612" s="1099"/>
      <c r="B1612" s="948" t="s">
        <v>2023</v>
      </c>
      <c r="C1612" s="1197" t="s">
        <v>2024</v>
      </c>
      <c r="D1612" s="1197" t="s">
        <v>2024</v>
      </c>
      <c r="E1612" s="1147" t="s">
        <v>2025</v>
      </c>
      <c r="F1612" s="940"/>
      <c r="G1612" s="953"/>
      <c r="H1612" s="969"/>
      <c r="I1612" s="998" t="s">
        <v>4714</v>
      </c>
      <c r="J1612" s="1229" t="s">
        <v>193</v>
      </c>
      <c r="K1612" s="1216" t="s">
        <v>136</v>
      </c>
      <c r="L1612" s="1200">
        <v>78.0</v>
      </c>
      <c r="M1612" s="1201">
        <v>70.0</v>
      </c>
      <c r="N1612" s="1201">
        <v>61.0</v>
      </c>
      <c r="O1612" s="1201">
        <v>50.0</v>
      </c>
      <c r="P1612" s="1201">
        <v>61.0</v>
      </c>
      <c r="Q1612" s="1201">
        <v>100.0</v>
      </c>
      <c r="R1612" s="960">
        <v>236.0</v>
      </c>
      <c r="S1612" s="960">
        <v>299.0</v>
      </c>
      <c r="T1612" s="960">
        <v>328.0</v>
      </c>
      <c r="U1612" s="960">
        <f t="array" ref="U1612">HLOOKUP($J1612,'Type Chart'!$C$2:$T$20,2,false)*HLOOKUP($K1612,'Type Chart'!$C$2:$U$20,2,false)</f>
        <v>1</v>
      </c>
      <c r="V1612" s="960">
        <f t="array" ref="V1612">HLOOKUP($J1612,'Type Chart'!$C$2:$T$20,3,false)*HLOOKUP($K1612,'Type Chart'!$C$2:$U$20,3,false)</f>
        <v>4</v>
      </c>
      <c r="W1612" s="960">
        <f t="array" ref="W1612">HLOOKUP($J1612,'Type Chart'!$C$2:$T$20,4,false)*HLOOKUP($K1612,'Type Chart'!$C$2:$U$20,4,false)</f>
        <v>1</v>
      </c>
      <c r="X1612" s="960">
        <f t="array" ref="X1612">HLOOKUP($J1612,'Type Chart'!$C$2:$T$20,5,false)*HLOOKUP($K1612,'Type Chart'!$C$2:$U$20,5,false)</f>
        <v>1</v>
      </c>
      <c r="Y1612" s="960">
        <f t="array" ref="Y1612">HLOOKUP($J1612,'Type Chart'!$C$2:$T$20,6,false)*HLOOKUP($K1612,'Type Chart'!$C$2:$U$20,6,false)</f>
        <v>1</v>
      </c>
      <c r="Z1612" s="960">
        <f t="array" ref="Z1612">HLOOKUP($J1612,'Type Chart'!$C$2:$T$20,7,false)*HLOOKUP($K1612,'Type Chart'!$C$2:$U$20,7,false)</f>
        <v>1</v>
      </c>
      <c r="AA1612" s="960">
        <f t="array" ref="AA1612">HLOOKUP($J1612,'Type Chart'!$C$2:$T$20,8,false)*HLOOKUP($K1612,'Type Chart'!$C$2:$U$20,8,false)</f>
        <v>2</v>
      </c>
      <c r="AB1612" s="960">
        <f t="array" ref="AB1612">HLOOKUP($J1612,'Type Chart'!$C$2:$T$20,9,false)*HLOOKUP($K1612,'Type Chart'!$C$2:$U$20,9,false)</f>
        <v>0</v>
      </c>
      <c r="AC1612" s="960">
        <f t="array" ref="AC1612">HLOOKUP($J1612,'Type Chart'!$C$2:$T$20,10,false)*HLOOKUP($K1612,'Type Chart'!$C$2:$U$20,10,false)</f>
        <v>1</v>
      </c>
      <c r="AD1612" s="960">
        <f t="array" ref="AD1612">HLOOKUP($J1612,'Type Chart'!$C$2:$T$20,11,false)*HLOOKUP($K1612,'Type Chart'!$C$2:$U$20,11,false)</f>
        <v>1</v>
      </c>
      <c r="AE1612" s="960">
        <f t="array" ref="AE1612">HLOOKUP($J1612,'Type Chart'!$C$2:$T$20,12,false)*HLOOKUP($K1612,'Type Chart'!$C$2:$U$20,12,false)</f>
        <v>1</v>
      </c>
      <c r="AF1612" s="960">
        <f t="array" ref="AF1612">HLOOKUP($J1612,'Type Chart'!$C$2:$T$20,13,false)*HLOOKUP($K1612,'Type Chart'!$C$2:$U$20,13,false)</f>
        <v>1</v>
      </c>
      <c r="AG1612" s="960">
        <f t="array" ref="AG1612">HLOOKUP($J1612,'Type Chart'!$C$2:$T$20,14,false)*HLOOKUP($K1612,'Type Chart'!$C$2:$U$20,14,false)</f>
        <v>1</v>
      </c>
      <c r="AH1612" s="960">
        <f t="array" ref="AH1612">HLOOKUP($J1612,'Type Chart'!$C$2:$T$20,15,false)*HLOOKUP($K1612,'Type Chart'!$C$2:$U$20,15,false)</f>
        <v>0</v>
      </c>
      <c r="AI1612" s="960">
        <f t="array" ref="AI1612">HLOOKUP($J1612,'Type Chart'!$C$2:$T$20,16,false)*HLOOKUP($K1612,'Type Chart'!$C$2:$U$20,16,false)</f>
        <v>1</v>
      </c>
      <c r="AJ1612" s="960">
        <f t="array" ref="AJ1612">HLOOKUP($J1612,'Type Chart'!$C$2:$T$20,17,false)*HLOOKUP($K1612,'Type Chart'!$C$2:$U$20,17,false)</f>
        <v>1</v>
      </c>
      <c r="AK1612" s="960">
        <f t="array" ref="AK1612">HLOOKUP($J1612,'Type Chart'!$C$2:$T$20,18,false)*HLOOKUP($K1612,'Type Chart'!$C$2:$U$20,18,false)</f>
        <v>0.5</v>
      </c>
      <c r="AL1612" s="960">
        <f t="array" ref="AL1612">HLOOKUP($J1612,'Type Chart'!$C$2:$T$20,19,false)*HLOOKUP($K1612,'Type Chart'!$C$2:$U$20,19,false)</f>
        <v>2</v>
      </c>
      <c r="AM1612" s="1145" t="s">
        <v>1238</v>
      </c>
      <c r="AN1612" s="965" t="s">
        <v>1044</v>
      </c>
      <c r="AO1612" s="1146" t="s">
        <v>1615</v>
      </c>
      <c r="AP1612" s="936"/>
      <c r="AQ1612" s="1245"/>
      <c r="AR1612" s="1245"/>
      <c r="AS1612" s="936"/>
    </row>
    <row r="1613" ht="15.75" customHeight="1">
      <c r="A1613" s="1099"/>
      <c r="B1613" s="948" t="s">
        <v>2027</v>
      </c>
      <c r="C1613" s="1197" t="s">
        <v>2028</v>
      </c>
      <c r="D1613" s="1197" t="s">
        <v>2028</v>
      </c>
      <c r="E1613" s="1147" t="s">
        <v>2028</v>
      </c>
      <c r="F1613" s="940"/>
      <c r="G1613" s="953"/>
      <c r="H1613" s="969"/>
      <c r="I1613" s="998" t="s">
        <v>4715</v>
      </c>
      <c r="J1613" s="1180" t="s">
        <v>343</v>
      </c>
      <c r="K1613" s="984" t="s">
        <v>216</v>
      </c>
      <c r="L1613" s="959">
        <v>45.0</v>
      </c>
      <c r="M1613" s="960">
        <v>45.0</v>
      </c>
      <c r="N1613" s="960">
        <v>35.0</v>
      </c>
      <c r="O1613" s="960">
        <v>20.0</v>
      </c>
      <c r="P1613" s="960">
        <v>30.0</v>
      </c>
      <c r="Q1613" s="960">
        <v>20.0</v>
      </c>
      <c r="R1613" s="960">
        <v>76.0</v>
      </c>
      <c r="S1613" s="960">
        <v>139.0</v>
      </c>
      <c r="T1613" s="960">
        <v>152.0</v>
      </c>
      <c r="U1613" s="960">
        <f t="array" ref="U1613">HLOOKUP($J1613,'Type Chart'!$C$2:$T$20,2,false)*HLOOKUP($K1613,'Type Chart'!$C$2:$U$20,2,false)</f>
        <v>1</v>
      </c>
      <c r="V1613" s="960">
        <f t="array" ref="V1613">HLOOKUP($J1613,'Type Chart'!$C$2:$T$20,3,false)*HLOOKUP($K1613,'Type Chart'!$C$2:$U$20,3,false)</f>
        <v>0.5</v>
      </c>
      <c r="W1613" s="960">
        <f t="array" ref="W1613">HLOOKUP($J1613,'Type Chart'!$C$2:$T$20,4,false)*HLOOKUP($K1613,'Type Chart'!$C$2:$U$20,4,false)</f>
        <v>2</v>
      </c>
      <c r="X1613" s="960">
        <f t="array" ref="X1613">HLOOKUP($J1613,'Type Chart'!$C$2:$T$20,5,false)*HLOOKUP($K1613,'Type Chart'!$C$2:$U$20,5,false)</f>
        <v>1</v>
      </c>
      <c r="Y1613" s="960">
        <f t="array" ref="Y1613">HLOOKUP($J1613,'Type Chart'!$C$2:$T$20,6,false)*HLOOKUP($K1613,'Type Chart'!$C$2:$U$20,6,false)</f>
        <v>0.5</v>
      </c>
      <c r="Z1613" s="960">
        <f t="array" ref="Z1613">HLOOKUP($J1613,'Type Chart'!$C$2:$T$20,7,false)*HLOOKUP($K1613,'Type Chart'!$C$2:$U$20,7,false)</f>
        <v>2</v>
      </c>
      <c r="AA1613" s="960">
        <f t="array" ref="AA1613">HLOOKUP($J1613,'Type Chart'!$C$2:$T$20,8,false)*HLOOKUP($K1613,'Type Chart'!$C$2:$U$20,8,false)</f>
        <v>1</v>
      </c>
      <c r="AB1613" s="960">
        <f t="array" ref="AB1613">HLOOKUP($J1613,'Type Chart'!$C$2:$T$20,9,false)*HLOOKUP($K1613,'Type Chart'!$C$2:$U$20,9,false)</f>
        <v>1</v>
      </c>
      <c r="AC1613" s="960">
        <f t="array" ref="AC1613">HLOOKUP($J1613,'Type Chart'!$C$2:$T$20,10,false)*HLOOKUP($K1613,'Type Chart'!$C$2:$U$20,10,false)</f>
        <v>1</v>
      </c>
      <c r="AD1613" s="960">
        <f t="array" ref="AD1613">HLOOKUP($J1613,'Type Chart'!$C$2:$T$20,11,false)*HLOOKUP($K1613,'Type Chart'!$C$2:$U$20,11,false)</f>
        <v>2</v>
      </c>
      <c r="AE1613" s="960">
        <f t="array" ref="AE1613">HLOOKUP($J1613,'Type Chart'!$C$2:$T$20,12,false)*HLOOKUP($K1613,'Type Chart'!$C$2:$U$20,12,false)</f>
        <v>1</v>
      </c>
      <c r="AF1613" s="960">
        <f t="array" ref="AF1613">HLOOKUP($J1613,'Type Chart'!$C$2:$T$20,13,false)*HLOOKUP($K1613,'Type Chart'!$C$2:$U$20,13,false)</f>
        <v>0.5</v>
      </c>
      <c r="AG1613" s="960">
        <f t="array" ref="AG1613">HLOOKUP($J1613,'Type Chart'!$C$2:$T$20,14,false)*HLOOKUP($K1613,'Type Chart'!$C$2:$U$20,14,false)</f>
        <v>1</v>
      </c>
      <c r="AH1613" s="960">
        <f t="array" ref="AH1613">HLOOKUP($J1613,'Type Chart'!$C$2:$T$20,15,false)*HLOOKUP($K1613,'Type Chart'!$C$2:$U$20,15,false)</f>
        <v>1</v>
      </c>
      <c r="AI1613" s="960">
        <f t="array" ref="AI1613">HLOOKUP($J1613,'Type Chart'!$C$2:$T$20,16,false)*HLOOKUP($K1613,'Type Chart'!$C$2:$U$20,16,false)</f>
        <v>1</v>
      </c>
      <c r="AJ1613" s="960">
        <f t="array" ref="AJ1613">HLOOKUP($J1613,'Type Chart'!$C$2:$T$20,17,false)*HLOOKUP($K1613,'Type Chart'!$C$2:$U$20,17,false)</f>
        <v>1</v>
      </c>
      <c r="AK1613" s="960">
        <f t="array" ref="AK1613">HLOOKUP($J1613,'Type Chart'!$C$2:$T$20,18,false)*HLOOKUP($K1613,'Type Chart'!$C$2:$U$20,18,false)</f>
        <v>1</v>
      </c>
      <c r="AL1613" s="960">
        <f t="array" ref="AL1613">HLOOKUP($J1613,'Type Chart'!$C$2:$T$20,19,false)*HLOOKUP($K1613,'Type Chart'!$C$2:$U$20,19,false)</f>
        <v>1</v>
      </c>
      <c r="AM1613" s="964" t="s">
        <v>987</v>
      </c>
      <c r="AN1613" s="965"/>
      <c r="AO1613" s="966" t="s">
        <v>988</v>
      </c>
      <c r="AP1613" s="936"/>
      <c r="AQ1613" s="1245"/>
      <c r="AR1613" s="1245"/>
      <c r="AS1613" s="936"/>
    </row>
    <row r="1614" ht="15.75" customHeight="1">
      <c r="A1614" s="1099"/>
      <c r="B1614" s="948" t="s">
        <v>2030</v>
      </c>
      <c r="C1614" s="1197" t="s">
        <v>2031</v>
      </c>
      <c r="D1614" s="1197" t="s">
        <v>2031</v>
      </c>
      <c r="E1614" s="1147" t="s">
        <v>2031</v>
      </c>
      <c r="F1614" s="940"/>
      <c r="G1614" s="953"/>
      <c r="H1614" s="969"/>
      <c r="I1614" s="998" t="s">
        <v>4716</v>
      </c>
      <c r="J1614" s="1225" t="s">
        <v>343</v>
      </c>
      <c r="K1614" s="1199" t="s">
        <v>216</v>
      </c>
      <c r="L1614" s="1200">
        <v>50.0</v>
      </c>
      <c r="M1614" s="1201">
        <v>35.0</v>
      </c>
      <c r="N1614" s="1201">
        <v>55.0</v>
      </c>
      <c r="O1614" s="1201">
        <v>25.0</v>
      </c>
      <c r="P1614" s="1201">
        <v>25.0</v>
      </c>
      <c r="Q1614" s="1201">
        <v>15.0</v>
      </c>
      <c r="R1614" s="960">
        <v>66.0</v>
      </c>
      <c r="S1614" s="960">
        <v>129.0</v>
      </c>
      <c r="T1614" s="960">
        <v>141.0</v>
      </c>
      <c r="U1614" s="960">
        <f t="array" ref="U1614">HLOOKUP($J1614,'Type Chart'!$C$2:$T$20,2,false)*HLOOKUP($K1614,'Type Chart'!$C$2:$U$20,2,false)</f>
        <v>1</v>
      </c>
      <c r="V1614" s="960">
        <f t="array" ref="V1614">HLOOKUP($J1614,'Type Chart'!$C$2:$T$20,3,false)*HLOOKUP($K1614,'Type Chart'!$C$2:$U$20,3,false)</f>
        <v>0.5</v>
      </c>
      <c r="W1614" s="960">
        <f t="array" ref="W1614">HLOOKUP($J1614,'Type Chart'!$C$2:$T$20,4,false)*HLOOKUP($K1614,'Type Chart'!$C$2:$U$20,4,false)</f>
        <v>2</v>
      </c>
      <c r="X1614" s="960">
        <f t="array" ref="X1614">HLOOKUP($J1614,'Type Chart'!$C$2:$T$20,5,false)*HLOOKUP($K1614,'Type Chart'!$C$2:$U$20,5,false)</f>
        <v>1</v>
      </c>
      <c r="Y1614" s="960">
        <f t="array" ref="Y1614">HLOOKUP($J1614,'Type Chart'!$C$2:$T$20,6,false)*HLOOKUP($K1614,'Type Chart'!$C$2:$U$20,6,false)</f>
        <v>0.5</v>
      </c>
      <c r="Z1614" s="960">
        <f t="array" ref="Z1614">HLOOKUP($J1614,'Type Chart'!$C$2:$T$20,7,false)*HLOOKUP($K1614,'Type Chart'!$C$2:$U$20,7,false)</f>
        <v>2</v>
      </c>
      <c r="AA1614" s="960">
        <f t="array" ref="AA1614">HLOOKUP($J1614,'Type Chart'!$C$2:$T$20,8,false)*HLOOKUP($K1614,'Type Chart'!$C$2:$U$20,8,false)</f>
        <v>1</v>
      </c>
      <c r="AB1614" s="960">
        <f t="array" ref="AB1614">HLOOKUP($J1614,'Type Chart'!$C$2:$T$20,9,false)*HLOOKUP($K1614,'Type Chart'!$C$2:$U$20,9,false)</f>
        <v>1</v>
      </c>
      <c r="AC1614" s="960">
        <f t="array" ref="AC1614">HLOOKUP($J1614,'Type Chart'!$C$2:$T$20,10,false)*HLOOKUP($K1614,'Type Chart'!$C$2:$U$20,10,false)</f>
        <v>1</v>
      </c>
      <c r="AD1614" s="960">
        <f t="array" ref="AD1614">HLOOKUP($J1614,'Type Chart'!$C$2:$T$20,11,false)*HLOOKUP($K1614,'Type Chart'!$C$2:$U$20,11,false)</f>
        <v>2</v>
      </c>
      <c r="AE1614" s="960">
        <f t="array" ref="AE1614">HLOOKUP($J1614,'Type Chart'!$C$2:$T$20,12,false)*HLOOKUP($K1614,'Type Chart'!$C$2:$U$20,12,false)</f>
        <v>1</v>
      </c>
      <c r="AF1614" s="960">
        <f t="array" ref="AF1614">HLOOKUP($J1614,'Type Chart'!$C$2:$T$20,13,false)*HLOOKUP($K1614,'Type Chart'!$C$2:$U$20,13,false)</f>
        <v>0.5</v>
      </c>
      <c r="AG1614" s="960">
        <f t="array" ref="AG1614">HLOOKUP($J1614,'Type Chart'!$C$2:$T$20,14,false)*HLOOKUP($K1614,'Type Chart'!$C$2:$U$20,14,false)</f>
        <v>1</v>
      </c>
      <c r="AH1614" s="960">
        <f t="array" ref="AH1614">HLOOKUP($J1614,'Type Chart'!$C$2:$T$20,15,false)*HLOOKUP($K1614,'Type Chart'!$C$2:$U$20,15,false)</f>
        <v>1</v>
      </c>
      <c r="AI1614" s="960">
        <f t="array" ref="AI1614">HLOOKUP($J1614,'Type Chart'!$C$2:$T$20,16,false)*HLOOKUP($K1614,'Type Chart'!$C$2:$U$20,16,false)</f>
        <v>1</v>
      </c>
      <c r="AJ1614" s="960">
        <f t="array" ref="AJ1614">HLOOKUP($J1614,'Type Chart'!$C$2:$T$20,17,false)*HLOOKUP($K1614,'Type Chart'!$C$2:$U$20,17,false)</f>
        <v>1</v>
      </c>
      <c r="AK1614" s="960">
        <f t="array" ref="AK1614">HLOOKUP($J1614,'Type Chart'!$C$2:$T$20,18,false)*HLOOKUP($K1614,'Type Chart'!$C$2:$U$20,18,false)</f>
        <v>1</v>
      </c>
      <c r="AL1614" s="960">
        <f t="array" ref="AL1614">HLOOKUP($J1614,'Type Chart'!$C$2:$T$20,19,false)*HLOOKUP($K1614,'Type Chart'!$C$2:$U$20,19,false)</f>
        <v>1</v>
      </c>
      <c r="AM1614" s="1145" t="s">
        <v>998</v>
      </c>
      <c r="AN1614" s="965"/>
      <c r="AO1614" s="966"/>
      <c r="AP1614" s="936"/>
      <c r="AQ1614" s="1245"/>
      <c r="AR1614" s="1245"/>
      <c r="AS1614" s="936"/>
    </row>
    <row r="1615" ht="15.75" customHeight="1">
      <c r="A1615" s="1099"/>
      <c r="B1615" s="948" t="s">
        <v>2033</v>
      </c>
      <c r="C1615" s="1197" t="s">
        <v>2034</v>
      </c>
      <c r="D1615" s="1197" t="s">
        <v>2034</v>
      </c>
      <c r="E1615" s="1147" t="s">
        <v>2034</v>
      </c>
      <c r="F1615" s="940"/>
      <c r="G1615" s="953"/>
      <c r="H1615" s="969"/>
      <c r="I1615" s="998" t="s">
        <v>4717</v>
      </c>
      <c r="J1615" s="1180" t="s">
        <v>343</v>
      </c>
      <c r="K1615" s="1001" t="s">
        <v>128</v>
      </c>
      <c r="L1615" s="959">
        <v>60.0</v>
      </c>
      <c r="M1615" s="960">
        <v>70.0</v>
      </c>
      <c r="N1615" s="960">
        <v>50.0</v>
      </c>
      <c r="O1615" s="960">
        <v>100.0</v>
      </c>
      <c r="P1615" s="960">
        <v>50.0</v>
      </c>
      <c r="Q1615" s="960">
        <v>65.0</v>
      </c>
      <c r="R1615" s="960">
        <v>166.0</v>
      </c>
      <c r="S1615" s="960">
        <v>229.0</v>
      </c>
      <c r="T1615" s="960">
        <v>251.0</v>
      </c>
      <c r="U1615" s="960">
        <f t="array" ref="U1615">HLOOKUP($J1615,'Type Chart'!$C$2:$T$20,2,false)*HLOOKUP($K1615,'Type Chart'!$C$2:$U$20,2,false)</f>
        <v>1</v>
      </c>
      <c r="V1615" s="960">
        <f t="array" ref="V1615">HLOOKUP($J1615,'Type Chart'!$C$2:$T$20,3,false)*HLOOKUP($K1615,'Type Chart'!$C$2:$U$20,3,false)</f>
        <v>0.25</v>
      </c>
      <c r="W1615" s="960">
        <f t="array" ref="W1615">HLOOKUP($J1615,'Type Chart'!$C$2:$T$20,4,false)*HLOOKUP($K1615,'Type Chart'!$C$2:$U$20,4,false)</f>
        <v>2</v>
      </c>
      <c r="X1615" s="960">
        <f t="array" ref="X1615">HLOOKUP($J1615,'Type Chart'!$C$2:$T$20,5,false)*HLOOKUP($K1615,'Type Chart'!$C$2:$U$20,5,false)</f>
        <v>1</v>
      </c>
      <c r="Y1615" s="960">
        <f t="array" ref="Y1615">HLOOKUP($J1615,'Type Chart'!$C$2:$T$20,6,false)*HLOOKUP($K1615,'Type Chart'!$C$2:$U$20,6,false)</f>
        <v>0</v>
      </c>
      <c r="Z1615" s="960">
        <f t="array" ref="Z1615">HLOOKUP($J1615,'Type Chart'!$C$2:$T$20,7,false)*HLOOKUP($K1615,'Type Chart'!$C$2:$U$20,7,false)</f>
        <v>4</v>
      </c>
      <c r="AA1615" s="960">
        <f t="array" ref="AA1615">HLOOKUP($J1615,'Type Chart'!$C$2:$T$20,8,false)*HLOOKUP($K1615,'Type Chart'!$C$2:$U$20,8,false)</f>
        <v>0.5</v>
      </c>
      <c r="AB1615" s="960">
        <f t="array" ref="AB1615">HLOOKUP($J1615,'Type Chart'!$C$2:$T$20,9,false)*HLOOKUP($K1615,'Type Chart'!$C$2:$U$20,9,false)</f>
        <v>1</v>
      </c>
      <c r="AC1615" s="960">
        <f t="array" ref="AC1615">HLOOKUP($J1615,'Type Chart'!$C$2:$T$20,10,false)*HLOOKUP($K1615,'Type Chart'!$C$2:$U$20,10,false)</f>
        <v>1</v>
      </c>
      <c r="AD1615" s="960">
        <f t="array" ref="AD1615">HLOOKUP($J1615,'Type Chart'!$C$2:$T$20,11,false)*HLOOKUP($K1615,'Type Chart'!$C$2:$U$20,11,false)</f>
        <v>2</v>
      </c>
      <c r="AE1615" s="960">
        <f t="array" ref="AE1615">HLOOKUP($J1615,'Type Chart'!$C$2:$T$20,12,false)*HLOOKUP($K1615,'Type Chart'!$C$2:$U$20,12,false)</f>
        <v>1</v>
      </c>
      <c r="AF1615" s="960">
        <f t="array" ref="AF1615">HLOOKUP($J1615,'Type Chart'!$C$2:$T$20,13,false)*HLOOKUP($K1615,'Type Chart'!$C$2:$U$20,13,false)</f>
        <v>0.25</v>
      </c>
      <c r="AG1615" s="960">
        <f t="array" ref="AG1615">HLOOKUP($J1615,'Type Chart'!$C$2:$T$20,14,false)*HLOOKUP($K1615,'Type Chart'!$C$2:$U$20,14,false)</f>
        <v>2</v>
      </c>
      <c r="AH1615" s="960">
        <f t="array" ref="AH1615">HLOOKUP($J1615,'Type Chart'!$C$2:$T$20,15,false)*HLOOKUP($K1615,'Type Chart'!$C$2:$U$20,15,false)</f>
        <v>1</v>
      </c>
      <c r="AI1615" s="960">
        <f t="array" ref="AI1615">HLOOKUP($J1615,'Type Chart'!$C$2:$T$20,16,false)*HLOOKUP($K1615,'Type Chart'!$C$2:$U$20,16,false)</f>
        <v>2</v>
      </c>
      <c r="AJ1615" s="960">
        <f t="array" ref="AJ1615">HLOOKUP($J1615,'Type Chart'!$C$2:$T$20,17,false)*HLOOKUP($K1615,'Type Chart'!$C$2:$U$20,17,false)</f>
        <v>1</v>
      </c>
      <c r="AK1615" s="960">
        <f t="array" ref="AK1615">HLOOKUP($J1615,'Type Chart'!$C$2:$T$20,18,false)*HLOOKUP($K1615,'Type Chart'!$C$2:$U$20,18,false)</f>
        <v>1</v>
      </c>
      <c r="AL1615" s="960">
        <f t="array" ref="AL1615">HLOOKUP($J1615,'Type Chart'!$C$2:$T$20,19,false)*HLOOKUP($K1615,'Type Chart'!$C$2:$U$20,19,false)</f>
        <v>1</v>
      </c>
      <c r="AM1615" s="964" t="s">
        <v>1013</v>
      </c>
      <c r="AN1615" s="965"/>
      <c r="AO1615" s="966" t="s">
        <v>1147</v>
      </c>
      <c r="AP1615" s="936"/>
      <c r="AQ1615" s="1245"/>
      <c r="AR1615" s="1245"/>
      <c r="AS1615" s="936"/>
    </row>
    <row r="1616" ht="15.75" customHeight="1">
      <c r="A1616" s="1099"/>
      <c r="B1616" s="948" t="s">
        <v>2036</v>
      </c>
      <c r="C1616" s="1197" t="s">
        <v>2037</v>
      </c>
      <c r="D1616" s="1197" t="s">
        <v>2037</v>
      </c>
      <c r="E1616" s="1147" t="s">
        <v>2037</v>
      </c>
      <c r="F1616" s="940"/>
      <c r="G1616" s="953"/>
      <c r="H1616" s="969"/>
      <c r="I1616" s="998" t="s">
        <v>4718</v>
      </c>
      <c r="J1616" s="1180" t="s">
        <v>343</v>
      </c>
      <c r="K1616" s="984" t="s">
        <v>216</v>
      </c>
      <c r="L1616" s="959">
        <v>50.0</v>
      </c>
      <c r="M1616" s="960">
        <v>35.0</v>
      </c>
      <c r="N1616" s="960">
        <v>55.0</v>
      </c>
      <c r="O1616" s="960">
        <v>25.0</v>
      </c>
      <c r="P1616" s="960">
        <v>25.0</v>
      </c>
      <c r="Q1616" s="960">
        <v>15.0</v>
      </c>
      <c r="R1616" s="960">
        <v>66.0</v>
      </c>
      <c r="S1616" s="960">
        <v>129.0</v>
      </c>
      <c r="T1616" s="960">
        <v>141.0</v>
      </c>
      <c r="U1616" s="960">
        <f t="array" ref="U1616">HLOOKUP($J1616,'Type Chart'!$C$2:$T$20,2,false)*HLOOKUP($K1616,'Type Chart'!$C$2:$U$20,2,false)</f>
        <v>1</v>
      </c>
      <c r="V1616" s="960">
        <f t="array" ref="V1616">HLOOKUP($J1616,'Type Chart'!$C$2:$T$20,3,false)*HLOOKUP($K1616,'Type Chart'!$C$2:$U$20,3,false)</f>
        <v>0.5</v>
      </c>
      <c r="W1616" s="960">
        <f t="array" ref="W1616">HLOOKUP($J1616,'Type Chart'!$C$2:$T$20,4,false)*HLOOKUP($K1616,'Type Chart'!$C$2:$U$20,4,false)</f>
        <v>2</v>
      </c>
      <c r="X1616" s="960">
        <f t="array" ref="X1616">HLOOKUP($J1616,'Type Chart'!$C$2:$T$20,5,false)*HLOOKUP($K1616,'Type Chart'!$C$2:$U$20,5,false)</f>
        <v>1</v>
      </c>
      <c r="Y1616" s="960">
        <f t="array" ref="Y1616">HLOOKUP($J1616,'Type Chart'!$C$2:$T$20,6,false)*HLOOKUP($K1616,'Type Chart'!$C$2:$U$20,6,false)</f>
        <v>0.5</v>
      </c>
      <c r="Z1616" s="960">
        <f t="array" ref="Z1616">HLOOKUP($J1616,'Type Chart'!$C$2:$T$20,7,false)*HLOOKUP($K1616,'Type Chart'!$C$2:$U$20,7,false)</f>
        <v>2</v>
      </c>
      <c r="AA1616" s="960">
        <f t="array" ref="AA1616">HLOOKUP($J1616,'Type Chart'!$C$2:$T$20,8,false)*HLOOKUP($K1616,'Type Chart'!$C$2:$U$20,8,false)</f>
        <v>1</v>
      </c>
      <c r="AB1616" s="960">
        <f t="array" ref="AB1616">HLOOKUP($J1616,'Type Chart'!$C$2:$T$20,9,false)*HLOOKUP($K1616,'Type Chart'!$C$2:$U$20,9,false)</f>
        <v>1</v>
      </c>
      <c r="AC1616" s="960">
        <f t="array" ref="AC1616">HLOOKUP($J1616,'Type Chart'!$C$2:$T$20,10,false)*HLOOKUP($K1616,'Type Chart'!$C$2:$U$20,10,false)</f>
        <v>1</v>
      </c>
      <c r="AD1616" s="960">
        <f t="array" ref="AD1616">HLOOKUP($J1616,'Type Chart'!$C$2:$T$20,11,false)*HLOOKUP($K1616,'Type Chart'!$C$2:$U$20,11,false)</f>
        <v>2</v>
      </c>
      <c r="AE1616" s="960">
        <f t="array" ref="AE1616">HLOOKUP($J1616,'Type Chart'!$C$2:$T$20,12,false)*HLOOKUP($K1616,'Type Chart'!$C$2:$U$20,12,false)</f>
        <v>1</v>
      </c>
      <c r="AF1616" s="960">
        <f t="array" ref="AF1616">HLOOKUP($J1616,'Type Chart'!$C$2:$T$20,13,false)*HLOOKUP($K1616,'Type Chart'!$C$2:$U$20,13,false)</f>
        <v>0.5</v>
      </c>
      <c r="AG1616" s="960">
        <f t="array" ref="AG1616">HLOOKUP($J1616,'Type Chart'!$C$2:$T$20,14,false)*HLOOKUP($K1616,'Type Chart'!$C$2:$U$20,14,false)</f>
        <v>1</v>
      </c>
      <c r="AH1616" s="960">
        <f t="array" ref="AH1616">HLOOKUP($J1616,'Type Chart'!$C$2:$T$20,15,false)*HLOOKUP($K1616,'Type Chart'!$C$2:$U$20,15,false)</f>
        <v>1</v>
      </c>
      <c r="AI1616" s="960">
        <f t="array" ref="AI1616">HLOOKUP($J1616,'Type Chart'!$C$2:$T$20,16,false)*HLOOKUP($K1616,'Type Chart'!$C$2:$U$20,16,false)</f>
        <v>1</v>
      </c>
      <c r="AJ1616" s="960">
        <f t="array" ref="AJ1616">HLOOKUP($J1616,'Type Chart'!$C$2:$T$20,17,false)*HLOOKUP($K1616,'Type Chart'!$C$2:$U$20,17,false)</f>
        <v>1</v>
      </c>
      <c r="AK1616" s="960">
        <f t="array" ref="AK1616">HLOOKUP($J1616,'Type Chart'!$C$2:$T$20,18,false)*HLOOKUP($K1616,'Type Chart'!$C$2:$U$20,18,false)</f>
        <v>1</v>
      </c>
      <c r="AL1616" s="960">
        <f t="array" ref="AL1616">HLOOKUP($J1616,'Type Chart'!$C$2:$T$20,19,false)*HLOOKUP($K1616,'Type Chart'!$C$2:$U$20,19,false)</f>
        <v>1</v>
      </c>
      <c r="AM1616" s="964" t="s">
        <v>998</v>
      </c>
      <c r="AN1616" s="965"/>
      <c r="AO1616" s="966"/>
      <c r="AP1616" s="936"/>
      <c r="AQ1616" s="1245"/>
      <c r="AR1616" s="1245"/>
      <c r="AS1616" s="936"/>
    </row>
    <row r="1617" ht="15.75" customHeight="1">
      <c r="A1617" s="1099"/>
      <c r="B1617" s="948" t="s">
        <v>2039</v>
      </c>
      <c r="C1617" s="1197" t="s">
        <v>2040</v>
      </c>
      <c r="D1617" s="1197" t="s">
        <v>2040</v>
      </c>
      <c r="E1617" s="1147" t="s">
        <v>2040</v>
      </c>
      <c r="F1617" s="940"/>
      <c r="G1617" s="953"/>
      <c r="H1617" s="969"/>
      <c r="I1617" s="998" t="s">
        <v>4719</v>
      </c>
      <c r="J1617" s="1180" t="s">
        <v>343</v>
      </c>
      <c r="K1617" s="958" t="s">
        <v>178</v>
      </c>
      <c r="L1617" s="959">
        <v>60.0</v>
      </c>
      <c r="M1617" s="960">
        <v>50.0</v>
      </c>
      <c r="N1617" s="960">
        <v>70.0</v>
      </c>
      <c r="O1617" s="960">
        <v>50.0</v>
      </c>
      <c r="P1617" s="960">
        <v>90.0</v>
      </c>
      <c r="Q1617" s="960">
        <v>65.0</v>
      </c>
      <c r="R1617" s="960">
        <v>166.0</v>
      </c>
      <c r="S1617" s="960">
        <v>229.0</v>
      </c>
      <c r="T1617" s="960">
        <v>251.0</v>
      </c>
      <c r="U1617" s="960">
        <f t="array" ref="U1617">HLOOKUP($J1617,'Type Chart'!$C$2:$T$20,2,false)*HLOOKUP($K1617,'Type Chart'!$C$2:$U$20,2,false)</f>
        <v>1</v>
      </c>
      <c r="V1617" s="960">
        <f t="array" ref="V1617">HLOOKUP($J1617,'Type Chart'!$C$2:$T$20,3,false)*HLOOKUP($K1617,'Type Chart'!$C$2:$U$20,3,false)</f>
        <v>0.25</v>
      </c>
      <c r="W1617" s="960">
        <f t="array" ref="W1617">HLOOKUP($J1617,'Type Chart'!$C$2:$T$20,4,false)*HLOOKUP($K1617,'Type Chart'!$C$2:$U$20,4,false)</f>
        <v>2</v>
      </c>
      <c r="X1617" s="960">
        <f t="array" ref="X1617">HLOOKUP($J1617,'Type Chart'!$C$2:$T$20,5,false)*HLOOKUP($K1617,'Type Chart'!$C$2:$U$20,5,false)</f>
        <v>0.5</v>
      </c>
      <c r="Y1617" s="960">
        <f t="array" ref="Y1617">HLOOKUP($J1617,'Type Chart'!$C$2:$T$20,6,false)*HLOOKUP($K1617,'Type Chart'!$C$2:$U$20,6,false)</f>
        <v>1</v>
      </c>
      <c r="Z1617" s="960">
        <f t="array" ref="Z1617">HLOOKUP($J1617,'Type Chart'!$C$2:$T$20,7,false)*HLOOKUP($K1617,'Type Chart'!$C$2:$U$20,7,false)</f>
        <v>2</v>
      </c>
      <c r="AA1617" s="960">
        <f t="array" ref="AA1617">HLOOKUP($J1617,'Type Chart'!$C$2:$T$20,8,false)*HLOOKUP($K1617,'Type Chart'!$C$2:$U$20,8,false)</f>
        <v>0.5</v>
      </c>
      <c r="AB1617" s="960">
        <f t="array" ref="AB1617">HLOOKUP($J1617,'Type Chart'!$C$2:$T$20,9,false)*HLOOKUP($K1617,'Type Chart'!$C$2:$U$20,9,false)</f>
        <v>1</v>
      </c>
      <c r="AC1617" s="960">
        <f t="array" ref="AC1617">HLOOKUP($J1617,'Type Chart'!$C$2:$T$20,10,false)*HLOOKUP($K1617,'Type Chart'!$C$2:$U$20,10,false)</f>
        <v>1</v>
      </c>
      <c r="AD1617" s="960">
        <f t="array" ref="AD1617">HLOOKUP($J1617,'Type Chart'!$C$2:$T$20,11,false)*HLOOKUP($K1617,'Type Chart'!$C$2:$U$20,11,false)</f>
        <v>2</v>
      </c>
      <c r="AE1617" s="960">
        <f t="array" ref="AE1617">HLOOKUP($J1617,'Type Chart'!$C$2:$T$20,12,false)*HLOOKUP($K1617,'Type Chart'!$C$2:$U$20,12,false)</f>
        <v>1</v>
      </c>
      <c r="AF1617" s="960">
        <f t="array" ref="AF1617">HLOOKUP($J1617,'Type Chart'!$C$2:$T$20,13,false)*HLOOKUP($K1617,'Type Chart'!$C$2:$U$20,13,false)</f>
        <v>0.25</v>
      </c>
      <c r="AG1617" s="960">
        <f t="array" ref="AG1617">HLOOKUP($J1617,'Type Chart'!$C$2:$T$20,14,false)*HLOOKUP($K1617,'Type Chart'!$C$2:$U$20,14,false)</f>
        <v>1</v>
      </c>
      <c r="AH1617" s="960">
        <f t="array" ref="AH1617">HLOOKUP($J1617,'Type Chart'!$C$2:$T$20,15,false)*HLOOKUP($K1617,'Type Chart'!$C$2:$U$20,15,false)</f>
        <v>2</v>
      </c>
      <c r="AI1617" s="960">
        <f t="array" ref="AI1617">HLOOKUP($J1617,'Type Chart'!$C$2:$T$20,16,false)*HLOOKUP($K1617,'Type Chart'!$C$2:$U$20,16,false)</f>
        <v>1</v>
      </c>
      <c r="AJ1617" s="960">
        <f t="array" ref="AJ1617">HLOOKUP($J1617,'Type Chart'!$C$2:$T$20,17,false)*HLOOKUP($K1617,'Type Chart'!$C$2:$U$20,17,false)</f>
        <v>1</v>
      </c>
      <c r="AK1617" s="960">
        <f t="array" ref="AK1617">HLOOKUP($J1617,'Type Chart'!$C$2:$T$20,18,false)*HLOOKUP($K1617,'Type Chart'!$C$2:$U$20,18,false)</f>
        <v>1</v>
      </c>
      <c r="AL1617" s="960">
        <f t="array" ref="AL1617">HLOOKUP($J1617,'Type Chart'!$C$2:$T$20,19,false)*HLOOKUP($K1617,'Type Chart'!$C$2:$U$20,19,false)</f>
        <v>0.5</v>
      </c>
      <c r="AM1617" s="964" t="s">
        <v>987</v>
      </c>
      <c r="AN1617" s="965"/>
      <c r="AO1617" s="966" t="s">
        <v>1002</v>
      </c>
      <c r="AP1617" s="936"/>
      <c r="AQ1617" s="1245"/>
      <c r="AR1617" s="1245"/>
      <c r="AS1617" s="936"/>
    </row>
    <row r="1618" ht="15.75" customHeight="1">
      <c r="A1618" s="1099"/>
      <c r="B1618" s="948" t="s">
        <v>2042</v>
      </c>
      <c r="C1618" s="1197" t="s">
        <v>2043</v>
      </c>
      <c r="D1618" s="1197" t="s">
        <v>2043</v>
      </c>
      <c r="E1618" s="1147" t="s">
        <v>2043</v>
      </c>
      <c r="F1618" s="940"/>
      <c r="G1618" s="953"/>
      <c r="H1618" s="969"/>
      <c r="I1618" s="998" t="s">
        <v>4720</v>
      </c>
      <c r="J1618" s="1056" t="s">
        <v>81</v>
      </c>
      <c r="K1618" s="957" t="s">
        <v>209</v>
      </c>
      <c r="L1618" s="959">
        <v>40.0</v>
      </c>
      <c r="M1618" s="960">
        <v>30.0</v>
      </c>
      <c r="N1618" s="960">
        <v>30.0</v>
      </c>
      <c r="O1618" s="960">
        <v>40.0</v>
      </c>
      <c r="P1618" s="960">
        <v>50.0</v>
      </c>
      <c r="Q1618" s="960">
        <v>30.0</v>
      </c>
      <c r="R1618" s="960">
        <v>96.0</v>
      </c>
      <c r="S1618" s="960">
        <v>159.0</v>
      </c>
      <c r="T1618" s="960">
        <v>174.0</v>
      </c>
      <c r="U1618" s="960">
        <f t="array" ref="U1618">HLOOKUP($J1618,'Type Chart'!$C$2:$T$20,2,false)*HLOOKUP($K1618,'Type Chart'!$C$2:$U$20,2,false)</f>
        <v>1</v>
      </c>
      <c r="V1618" s="960">
        <f t="array" ref="V1618">HLOOKUP($J1618,'Type Chart'!$C$2:$T$20,3,false)*HLOOKUP($K1618,'Type Chart'!$C$2:$U$20,3,false)</f>
        <v>1</v>
      </c>
      <c r="W1618" s="960">
        <f t="array" ref="W1618">HLOOKUP($J1618,'Type Chart'!$C$2:$T$20,4,false)*HLOOKUP($K1618,'Type Chart'!$C$2:$U$20,4,false)</f>
        <v>2</v>
      </c>
      <c r="X1618" s="960">
        <f t="array" ref="X1618">HLOOKUP($J1618,'Type Chart'!$C$2:$T$20,5,false)*HLOOKUP($K1618,'Type Chart'!$C$2:$U$20,5,false)</f>
        <v>2</v>
      </c>
      <c r="Y1618" s="960">
        <f t="array" ref="Y1618">HLOOKUP($J1618,'Type Chart'!$C$2:$T$20,6,false)*HLOOKUP($K1618,'Type Chart'!$C$2:$U$20,6,false)</f>
        <v>0.5</v>
      </c>
      <c r="Z1618" s="960">
        <f t="array" ref="Z1618">HLOOKUP($J1618,'Type Chart'!$C$2:$T$20,7,false)*HLOOKUP($K1618,'Type Chart'!$C$2:$U$20,7,false)</f>
        <v>1</v>
      </c>
      <c r="AA1618" s="960">
        <f t="array" ref="AA1618">HLOOKUP($J1618,'Type Chart'!$C$2:$T$20,8,false)*HLOOKUP($K1618,'Type Chart'!$C$2:$U$20,8,false)</f>
        <v>2</v>
      </c>
      <c r="AB1618" s="960">
        <f t="array" ref="AB1618">HLOOKUP($J1618,'Type Chart'!$C$2:$T$20,9,false)*HLOOKUP($K1618,'Type Chart'!$C$2:$U$20,9,false)</f>
        <v>1</v>
      </c>
      <c r="AC1618" s="960">
        <f t="array" ref="AC1618">HLOOKUP($J1618,'Type Chart'!$C$2:$T$20,10,false)*HLOOKUP($K1618,'Type Chart'!$C$2:$U$20,10,false)</f>
        <v>0.5</v>
      </c>
      <c r="AD1618" s="960">
        <f t="array" ref="AD1618">HLOOKUP($J1618,'Type Chart'!$C$2:$T$20,11,false)*HLOOKUP($K1618,'Type Chart'!$C$2:$U$20,11,false)</f>
        <v>1</v>
      </c>
      <c r="AE1618" s="960">
        <f t="array" ref="AE1618">HLOOKUP($J1618,'Type Chart'!$C$2:$T$20,12,false)*HLOOKUP($K1618,'Type Chart'!$C$2:$U$20,12,false)</f>
        <v>0.25</v>
      </c>
      <c r="AF1618" s="960">
        <f t="array" ref="AF1618">HLOOKUP($J1618,'Type Chart'!$C$2:$T$20,13,false)*HLOOKUP($K1618,'Type Chart'!$C$2:$U$20,13,false)</f>
        <v>1</v>
      </c>
      <c r="AG1618" s="960">
        <f t="array" ref="AG1618">HLOOKUP($J1618,'Type Chart'!$C$2:$T$20,14,false)*HLOOKUP($K1618,'Type Chart'!$C$2:$U$20,14,false)</f>
        <v>1</v>
      </c>
      <c r="AH1618" s="960">
        <f t="array" ref="AH1618">HLOOKUP($J1618,'Type Chart'!$C$2:$T$20,15,false)*HLOOKUP($K1618,'Type Chart'!$C$2:$U$20,15,false)</f>
        <v>1</v>
      </c>
      <c r="AI1618" s="960">
        <f t="array" ref="AI1618">HLOOKUP($J1618,'Type Chart'!$C$2:$T$20,16,false)*HLOOKUP($K1618,'Type Chart'!$C$2:$U$20,16,false)</f>
        <v>1</v>
      </c>
      <c r="AJ1618" s="960">
        <f t="array" ref="AJ1618">HLOOKUP($J1618,'Type Chart'!$C$2:$T$20,17,false)*HLOOKUP($K1618,'Type Chart'!$C$2:$U$20,17,false)</f>
        <v>1</v>
      </c>
      <c r="AK1618" s="960">
        <f t="array" ref="AK1618">HLOOKUP($J1618,'Type Chart'!$C$2:$T$20,18,false)*HLOOKUP($K1618,'Type Chart'!$C$2:$U$20,18,false)</f>
        <v>1</v>
      </c>
      <c r="AL1618" s="960">
        <f t="array" ref="AL1618">HLOOKUP($J1618,'Type Chart'!$C$2:$T$20,19,false)*HLOOKUP($K1618,'Type Chart'!$C$2:$U$20,19,false)</f>
        <v>1</v>
      </c>
      <c r="AM1618" s="964" t="s">
        <v>1259</v>
      </c>
      <c r="AN1618" s="965" t="s">
        <v>960</v>
      </c>
      <c r="AO1618" s="966" t="s">
        <v>1370</v>
      </c>
      <c r="AP1618" s="936"/>
      <c r="AQ1618" s="1245"/>
      <c r="AR1618" s="1245"/>
      <c r="AS1618" s="936"/>
    </row>
    <row r="1619" ht="15.75" customHeight="1">
      <c r="A1619" s="1099"/>
      <c r="B1619" s="948" t="s">
        <v>2045</v>
      </c>
      <c r="C1619" s="1197" t="s">
        <v>2046</v>
      </c>
      <c r="D1619" s="1197" t="s">
        <v>2046</v>
      </c>
      <c r="E1619" s="1147" t="s">
        <v>2046</v>
      </c>
      <c r="F1619" s="940"/>
      <c r="G1619" s="953"/>
      <c r="H1619" s="969"/>
      <c r="I1619" s="998" t="s">
        <v>4721</v>
      </c>
      <c r="J1619" s="1056" t="s">
        <v>81</v>
      </c>
      <c r="K1619" s="957" t="s">
        <v>209</v>
      </c>
      <c r="L1619" s="959">
        <v>60.0</v>
      </c>
      <c r="M1619" s="960">
        <v>50.0</v>
      </c>
      <c r="N1619" s="960">
        <v>50.0</v>
      </c>
      <c r="O1619" s="960">
        <v>60.0</v>
      </c>
      <c r="P1619" s="960">
        <v>70.0</v>
      </c>
      <c r="Q1619" s="960">
        <v>50.0</v>
      </c>
      <c r="R1619" s="960">
        <v>136.0</v>
      </c>
      <c r="S1619" s="960">
        <v>199.0</v>
      </c>
      <c r="T1619" s="960">
        <v>218.0</v>
      </c>
      <c r="U1619" s="960">
        <f t="array" ref="U1619">HLOOKUP($J1619,'Type Chart'!$C$2:$T$20,2,false)*HLOOKUP($K1619,'Type Chart'!$C$2:$U$20,2,false)</f>
        <v>1</v>
      </c>
      <c r="V1619" s="960">
        <f t="array" ref="V1619">HLOOKUP($J1619,'Type Chart'!$C$2:$T$20,3,false)*HLOOKUP($K1619,'Type Chart'!$C$2:$U$20,3,false)</f>
        <v>1</v>
      </c>
      <c r="W1619" s="960">
        <f t="array" ref="W1619">HLOOKUP($J1619,'Type Chart'!$C$2:$T$20,4,false)*HLOOKUP($K1619,'Type Chart'!$C$2:$U$20,4,false)</f>
        <v>2</v>
      </c>
      <c r="X1619" s="960">
        <f t="array" ref="X1619">HLOOKUP($J1619,'Type Chart'!$C$2:$T$20,5,false)*HLOOKUP($K1619,'Type Chart'!$C$2:$U$20,5,false)</f>
        <v>2</v>
      </c>
      <c r="Y1619" s="960">
        <f t="array" ref="Y1619">HLOOKUP($J1619,'Type Chart'!$C$2:$T$20,6,false)*HLOOKUP($K1619,'Type Chart'!$C$2:$U$20,6,false)</f>
        <v>0.5</v>
      </c>
      <c r="Z1619" s="960">
        <f t="array" ref="Z1619">HLOOKUP($J1619,'Type Chart'!$C$2:$T$20,7,false)*HLOOKUP($K1619,'Type Chart'!$C$2:$U$20,7,false)</f>
        <v>1</v>
      </c>
      <c r="AA1619" s="960">
        <f t="array" ref="AA1619">HLOOKUP($J1619,'Type Chart'!$C$2:$T$20,8,false)*HLOOKUP($K1619,'Type Chart'!$C$2:$U$20,8,false)</f>
        <v>2</v>
      </c>
      <c r="AB1619" s="960">
        <f t="array" ref="AB1619">HLOOKUP($J1619,'Type Chart'!$C$2:$T$20,9,false)*HLOOKUP($K1619,'Type Chart'!$C$2:$U$20,9,false)</f>
        <v>1</v>
      </c>
      <c r="AC1619" s="960">
        <f t="array" ref="AC1619">HLOOKUP($J1619,'Type Chart'!$C$2:$T$20,10,false)*HLOOKUP($K1619,'Type Chart'!$C$2:$U$20,10,false)</f>
        <v>0.5</v>
      </c>
      <c r="AD1619" s="960">
        <f t="array" ref="AD1619">HLOOKUP($J1619,'Type Chart'!$C$2:$T$20,11,false)*HLOOKUP($K1619,'Type Chart'!$C$2:$U$20,11,false)</f>
        <v>1</v>
      </c>
      <c r="AE1619" s="960">
        <f t="array" ref="AE1619">HLOOKUP($J1619,'Type Chart'!$C$2:$T$20,12,false)*HLOOKUP($K1619,'Type Chart'!$C$2:$U$20,12,false)</f>
        <v>0.25</v>
      </c>
      <c r="AF1619" s="960">
        <f t="array" ref="AF1619">HLOOKUP($J1619,'Type Chart'!$C$2:$T$20,13,false)*HLOOKUP($K1619,'Type Chart'!$C$2:$U$20,13,false)</f>
        <v>1</v>
      </c>
      <c r="AG1619" s="960">
        <f t="array" ref="AG1619">HLOOKUP($J1619,'Type Chart'!$C$2:$T$20,14,false)*HLOOKUP($K1619,'Type Chart'!$C$2:$U$20,14,false)</f>
        <v>1</v>
      </c>
      <c r="AH1619" s="960">
        <f t="array" ref="AH1619">HLOOKUP($J1619,'Type Chart'!$C$2:$T$20,15,false)*HLOOKUP($K1619,'Type Chart'!$C$2:$U$20,15,false)</f>
        <v>1</v>
      </c>
      <c r="AI1619" s="960">
        <f t="array" ref="AI1619">HLOOKUP($J1619,'Type Chart'!$C$2:$T$20,16,false)*HLOOKUP($K1619,'Type Chart'!$C$2:$U$20,16,false)</f>
        <v>1</v>
      </c>
      <c r="AJ1619" s="960">
        <f t="array" ref="AJ1619">HLOOKUP($J1619,'Type Chart'!$C$2:$T$20,17,false)*HLOOKUP($K1619,'Type Chart'!$C$2:$U$20,17,false)</f>
        <v>1</v>
      </c>
      <c r="AK1619" s="960">
        <f t="array" ref="AK1619">HLOOKUP($J1619,'Type Chart'!$C$2:$T$20,18,false)*HLOOKUP($K1619,'Type Chart'!$C$2:$U$20,18,false)</f>
        <v>1</v>
      </c>
      <c r="AL1619" s="960">
        <f t="array" ref="AL1619">HLOOKUP($J1619,'Type Chart'!$C$2:$T$20,19,false)*HLOOKUP($K1619,'Type Chart'!$C$2:$U$20,19,false)</f>
        <v>1</v>
      </c>
      <c r="AM1619" s="964" t="s">
        <v>1259</v>
      </c>
      <c r="AN1619" s="965" t="s">
        <v>960</v>
      </c>
      <c r="AO1619" s="966" t="s">
        <v>1370</v>
      </c>
      <c r="AP1619" s="936"/>
      <c r="AQ1619" s="1245"/>
      <c r="AR1619" s="1245"/>
      <c r="AS1619" s="936"/>
    </row>
    <row r="1620" ht="15.75" customHeight="1">
      <c r="A1620" s="1099"/>
      <c r="B1620" s="948" t="s">
        <v>2048</v>
      </c>
      <c r="C1620" s="1197" t="s">
        <v>2049</v>
      </c>
      <c r="D1620" s="1197" t="s">
        <v>2049</v>
      </c>
      <c r="E1620" s="1147" t="s">
        <v>2049</v>
      </c>
      <c r="F1620" s="940"/>
      <c r="G1620" s="953"/>
      <c r="H1620" s="969"/>
      <c r="I1620" s="998" t="s">
        <v>4722</v>
      </c>
      <c r="J1620" s="1211" t="s">
        <v>81</v>
      </c>
      <c r="K1620" s="1228" t="s">
        <v>209</v>
      </c>
      <c r="L1620" s="1200">
        <v>80.0</v>
      </c>
      <c r="M1620" s="1201">
        <v>70.0</v>
      </c>
      <c r="N1620" s="1201">
        <v>70.0</v>
      </c>
      <c r="O1620" s="1201">
        <v>90.0</v>
      </c>
      <c r="P1620" s="1201">
        <v>100.0</v>
      </c>
      <c r="Q1620" s="1201">
        <v>70.0</v>
      </c>
      <c r="R1620" s="960">
        <v>176.0</v>
      </c>
      <c r="S1620" s="960">
        <v>239.0</v>
      </c>
      <c r="T1620" s="960">
        <v>262.0</v>
      </c>
      <c r="U1620" s="960">
        <f t="array" ref="U1620">HLOOKUP($J1620,'Type Chart'!$C$2:$T$20,2,false)*HLOOKUP($K1620,'Type Chart'!$C$2:$U$20,2,false)</f>
        <v>1</v>
      </c>
      <c r="V1620" s="960">
        <f t="array" ref="V1620">HLOOKUP($J1620,'Type Chart'!$C$2:$T$20,3,false)*HLOOKUP($K1620,'Type Chart'!$C$2:$U$20,3,false)</f>
        <v>1</v>
      </c>
      <c r="W1620" s="960">
        <f t="array" ref="W1620">HLOOKUP($J1620,'Type Chart'!$C$2:$T$20,4,false)*HLOOKUP($K1620,'Type Chart'!$C$2:$U$20,4,false)</f>
        <v>2</v>
      </c>
      <c r="X1620" s="960">
        <f t="array" ref="X1620">HLOOKUP($J1620,'Type Chart'!$C$2:$T$20,5,false)*HLOOKUP($K1620,'Type Chart'!$C$2:$U$20,5,false)</f>
        <v>2</v>
      </c>
      <c r="Y1620" s="960">
        <f t="array" ref="Y1620">HLOOKUP($J1620,'Type Chart'!$C$2:$T$20,6,false)*HLOOKUP($K1620,'Type Chart'!$C$2:$U$20,6,false)</f>
        <v>0.5</v>
      </c>
      <c r="Z1620" s="960">
        <f t="array" ref="Z1620">HLOOKUP($J1620,'Type Chart'!$C$2:$T$20,7,false)*HLOOKUP($K1620,'Type Chart'!$C$2:$U$20,7,false)</f>
        <v>1</v>
      </c>
      <c r="AA1620" s="960">
        <f t="array" ref="AA1620">HLOOKUP($J1620,'Type Chart'!$C$2:$T$20,8,false)*HLOOKUP($K1620,'Type Chart'!$C$2:$U$20,8,false)</f>
        <v>2</v>
      </c>
      <c r="AB1620" s="960">
        <f t="array" ref="AB1620">HLOOKUP($J1620,'Type Chart'!$C$2:$T$20,9,false)*HLOOKUP($K1620,'Type Chart'!$C$2:$U$20,9,false)</f>
        <v>1</v>
      </c>
      <c r="AC1620" s="960">
        <f t="array" ref="AC1620">HLOOKUP($J1620,'Type Chart'!$C$2:$T$20,10,false)*HLOOKUP($K1620,'Type Chart'!$C$2:$U$20,10,false)</f>
        <v>0.5</v>
      </c>
      <c r="AD1620" s="960">
        <f t="array" ref="AD1620">HLOOKUP($J1620,'Type Chart'!$C$2:$T$20,11,false)*HLOOKUP($K1620,'Type Chart'!$C$2:$U$20,11,false)</f>
        <v>1</v>
      </c>
      <c r="AE1620" s="960">
        <f t="array" ref="AE1620">HLOOKUP($J1620,'Type Chart'!$C$2:$T$20,12,false)*HLOOKUP($K1620,'Type Chart'!$C$2:$U$20,12,false)</f>
        <v>0.25</v>
      </c>
      <c r="AF1620" s="960">
        <f t="array" ref="AF1620">HLOOKUP($J1620,'Type Chart'!$C$2:$T$20,13,false)*HLOOKUP($K1620,'Type Chart'!$C$2:$U$20,13,false)</f>
        <v>1</v>
      </c>
      <c r="AG1620" s="960">
        <f t="array" ref="AG1620">HLOOKUP($J1620,'Type Chart'!$C$2:$T$20,14,false)*HLOOKUP($K1620,'Type Chart'!$C$2:$U$20,14,false)</f>
        <v>1</v>
      </c>
      <c r="AH1620" s="960">
        <f t="array" ref="AH1620">HLOOKUP($J1620,'Type Chart'!$C$2:$T$20,15,false)*HLOOKUP($K1620,'Type Chart'!$C$2:$U$20,15,false)</f>
        <v>1</v>
      </c>
      <c r="AI1620" s="960">
        <f t="array" ref="AI1620">HLOOKUP($J1620,'Type Chart'!$C$2:$T$20,16,false)*HLOOKUP($K1620,'Type Chart'!$C$2:$U$20,16,false)</f>
        <v>1</v>
      </c>
      <c r="AJ1620" s="960">
        <f t="array" ref="AJ1620">HLOOKUP($J1620,'Type Chart'!$C$2:$T$20,17,false)*HLOOKUP($K1620,'Type Chart'!$C$2:$U$20,17,false)</f>
        <v>1</v>
      </c>
      <c r="AK1620" s="960">
        <f t="array" ref="AK1620">HLOOKUP($J1620,'Type Chart'!$C$2:$T$20,18,false)*HLOOKUP($K1620,'Type Chart'!$C$2:$U$20,18,false)</f>
        <v>1</v>
      </c>
      <c r="AL1620" s="960">
        <f t="array" ref="AL1620">HLOOKUP($J1620,'Type Chart'!$C$2:$T$20,19,false)*HLOOKUP($K1620,'Type Chart'!$C$2:$U$20,19,false)</f>
        <v>1</v>
      </c>
      <c r="AM1620" s="1145" t="s">
        <v>1259</v>
      </c>
      <c r="AN1620" s="1202" t="s">
        <v>960</v>
      </c>
      <c r="AO1620" s="1146" t="s">
        <v>1370</v>
      </c>
      <c r="AP1620" s="936"/>
      <c r="AQ1620" s="1245"/>
      <c r="AR1620" s="1245"/>
      <c r="AS1620" s="936"/>
    </row>
    <row r="1621" ht="15.75" customHeight="1">
      <c r="A1621" s="1099"/>
      <c r="B1621" s="948" t="s">
        <v>2050</v>
      </c>
      <c r="C1621" s="1197" t="s">
        <v>2051</v>
      </c>
      <c r="D1621" s="1197" t="s">
        <v>2051</v>
      </c>
      <c r="E1621" s="1147" t="s">
        <v>2051</v>
      </c>
      <c r="F1621" s="940"/>
      <c r="G1621" s="953"/>
      <c r="H1621" s="969"/>
      <c r="I1621" s="998" t="s">
        <v>4723</v>
      </c>
      <c r="J1621" s="957" t="s">
        <v>209</v>
      </c>
      <c r="K1621" s="984" t="s">
        <v>216</v>
      </c>
      <c r="L1621" s="959">
        <v>40.0</v>
      </c>
      <c r="M1621" s="960">
        <v>40.0</v>
      </c>
      <c r="N1621" s="960">
        <v>50.0</v>
      </c>
      <c r="O1621" s="960">
        <v>30.0</v>
      </c>
      <c r="P1621" s="960">
        <v>30.0</v>
      </c>
      <c r="Q1621" s="960">
        <v>30.0</v>
      </c>
      <c r="R1621" s="960">
        <v>96.0</v>
      </c>
      <c r="S1621" s="960">
        <v>159.0</v>
      </c>
      <c r="T1621" s="960">
        <v>174.0</v>
      </c>
      <c r="U1621" s="960">
        <f t="array" ref="U1621">HLOOKUP($J1621,'Type Chart'!$C$2:$T$20,2,false)*HLOOKUP($K1621,'Type Chart'!$C$2:$U$20,2,false)</f>
        <v>1</v>
      </c>
      <c r="V1621" s="960">
        <f t="array" ref="V1621">HLOOKUP($J1621,'Type Chart'!$C$2:$T$20,3,false)*HLOOKUP($K1621,'Type Chart'!$C$2:$U$20,3,false)</f>
        <v>1</v>
      </c>
      <c r="W1621" s="960">
        <f t="array" ref="W1621">HLOOKUP($J1621,'Type Chart'!$C$2:$T$20,4,false)*HLOOKUP($K1621,'Type Chart'!$C$2:$U$20,4,false)</f>
        <v>2</v>
      </c>
      <c r="X1621" s="960">
        <f t="array" ref="X1621">HLOOKUP($J1621,'Type Chart'!$C$2:$T$20,5,false)*HLOOKUP($K1621,'Type Chart'!$C$2:$U$20,5,false)</f>
        <v>2</v>
      </c>
      <c r="Y1621" s="960">
        <f t="array" ref="Y1621">HLOOKUP($J1621,'Type Chart'!$C$2:$T$20,6,false)*HLOOKUP($K1621,'Type Chart'!$C$2:$U$20,6,false)</f>
        <v>0.5</v>
      </c>
      <c r="Z1621" s="960">
        <f t="array" ref="Z1621">HLOOKUP($J1621,'Type Chart'!$C$2:$T$20,7,false)*HLOOKUP($K1621,'Type Chart'!$C$2:$U$20,7,false)</f>
        <v>1</v>
      </c>
      <c r="AA1621" s="960">
        <f t="array" ref="AA1621">HLOOKUP($J1621,'Type Chart'!$C$2:$T$20,8,false)*HLOOKUP($K1621,'Type Chart'!$C$2:$U$20,8,false)</f>
        <v>2</v>
      </c>
      <c r="AB1621" s="960">
        <f t="array" ref="AB1621">HLOOKUP($J1621,'Type Chart'!$C$2:$T$20,9,false)*HLOOKUP($K1621,'Type Chart'!$C$2:$U$20,9,false)</f>
        <v>1</v>
      </c>
      <c r="AC1621" s="960">
        <f t="array" ref="AC1621">HLOOKUP($J1621,'Type Chart'!$C$2:$T$20,10,false)*HLOOKUP($K1621,'Type Chart'!$C$2:$U$20,10,false)</f>
        <v>1</v>
      </c>
      <c r="AD1621" s="960">
        <f t="array" ref="AD1621">HLOOKUP($J1621,'Type Chart'!$C$2:$T$20,11,false)*HLOOKUP($K1621,'Type Chart'!$C$2:$U$20,11,false)</f>
        <v>2</v>
      </c>
      <c r="AE1621" s="960">
        <f t="array" ref="AE1621">HLOOKUP($J1621,'Type Chart'!$C$2:$T$20,12,false)*HLOOKUP($K1621,'Type Chart'!$C$2:$U$20,12,false)</f>
        <v>0.5</v>
      </c>
      <c r="AF1621" s="960">
        <f t="array" ref="AF1621">HLOOKUP($J1621,'Type Chart'!$C$2:$T$20,13,false)*HLOOKUP($K1621,'Type Chart'!$C$2:$U$20,13,false)</f>
        <v>0.5</v>
      </c>
      <c r="AG1621" s="960">
        <f t="array" ref="AG1621">HLOOKUP($J1621,'Type Chart'!$C$2:$T$20,14,false)*HLOOKUP($K1621,'Type Chart'!$C$2:$U$20,14,false)</f>
        <v>0.5</v>
      </c>
      <c r="AH1621" s="960">
        <f t="array" ref="AH1621">HLOOKUP($J1621,'Type Chart'!$C$2:$T$20,15,false)*HLOOKUP($K1621,'Type Chart'!$C$2:$U$20,15,false)</f>
        <v>1</v>
      </c>
      <c r="AI1621" s="960">
        <f t="array" ref="AI1621">HLOOKUP($J1621,'Type Chart'!$C$2:$T$20,16,false)*HLOOKUP($K1621,'Type Chart'!$C$2:$U$20,16,false)</f>
        <v>2</v>
      </c>
      <c r="AJ1621" s="960">
        <f t="array" ref="AJ1621">HLOOKUP($J1621,'Type Chart'!$C$2:$T$20,17,false)*HLOOKUP($K1621,'Type Chart'!$C$2:$U$20,17,false)</f>
        <v>1</v>
      </c>
      <c r="AK1621" s="960">
        <f t="array" ref="AK1621">HLOOKUP($J1621,'Type Chart'!$C$2:$T$20,18,false)*HLOOKUP($K1621,'Type Chart'!$C$2:$U$20,18,false)</f>
        <v>1</v>
      </c>
      <c r="AL1621" s="960">
        <f t="array" ref="AL1621">HLOOKUP($J1621,'Type Chart'!$C$2:$T$20,19,false)*HLOOKUP($K1621,'Type Chart'!$C$2:$U$20,19,false)</f>
        <v>1</v>
      </c>
      <c r="AM1621" s="964" t="s">
        <v>524</v>
      </c>
      <c r="AN1621" s="965" t="s">
        <v>1403</v>
      </c>
      <c r="AO1621" s="966" t="s">
        <v>1869</v>
      </c>
      <c r="AP1621" s="936"/>
      <c r="AQ1621" s="1245"/>
      <c r="AR1621" s="1245"/>
      <c r="AS1621" s="936"/>
    </row>
    <row r="1622" ht="15.75" customHeight="1">
      <c r="A1622" s="1099"/>
      <c r="B1622" s="948" t="s">
        <v>2053</v>
      </c>
      <c r="C1622" s="1197" t="s">
        <v>2054</v>
      </c>
      <c r="D1622" s="1197" t="s">
        <v>2054</v>
      </c>
      <c r="E1622" s="1147" t="s">
        <v>2054</v>
      </c>
      <c r="F1622" s="940"/>
      <c r="G1622" s="953"/>
      <c r="H1622" s="969"/>
      <c r="I1622" s="998" t="s">
        <v>4724</v>
      </c>
      <c r="J1622" s="957" t="s">
        <v>209</v>
      </c>
      <c r="K1622" s="1195" t="s">
        <v>193</v>
      </c>
      <c r="L1622" s="959">
        <v>70.0</v>
      </c>
      <c r="M1622" s="960">
        <v>70.0</v>
      </c>
      <c r="N1622" s="960">
        <v>40.0</v>
      </c>
      <c r="O1622" s="960">
        <v>60.0</v>
      </c>
      <c r="P1622" s="960">
        <v>40.0</v>
      </c>
      <c r="Q1622" s="960">
        <v>60.0</v>
      </c>
      <c r="R1622" s="960">
        <v>156.0</v>
      </c>
      <c r="S1622" s="960">
        <v>219.0</v>
      </c>
      <c r="T1622" s="960">
        <v>240.0</v>
      </c>
      <c r="U1622" s="960">
        <f t="array" ref="U1622">HLOOKUP($J1622,'Type Chart'!$C$2:$T$20,2,false)*HLOOKUP($K1622,'Type Chart'!$C$2:$U$20,2,false)</f>
        <v>1</v>
      </c>
      <c r="V1622" s="960">
        <f t="array" ref="V1622">HLOOKUP($J1622,'Type Chart'!$C$2:$T$20,3,false)*HLOOKUP($K1622,'Type Chart'!$C$2:$U$20,3,false)</f>
        <v>2</v>
      </c>
      <c r="W1622" s="960">
        <f t="array" ref="W1622">HLOOKUP($J1622,'Type Chart'!$C$2:$T$20,4,false)*HLOOKUP($K1622,'Type Chart'!$C$2:$U$20,4,false)</f>
        <v>2</v>
      </c>
      <c r="X1622" s="960">
        <f t="array" ref="X1622">HLOOKUP($J1622,'Type Chart'!$C$2:$T$20,5,false)*HLOOKUP($K1622,'Type Chart'!$C$2:$U$20,5,false)</f>
        <v>2</v>
      </c>
      <c r="Y1622" s="960">
        <f t="array" ref="Y1622">HLOOKUP($J1622,'Type Chart'!$C$2:$T$20,6,false)*HLOOKUP($K1622,'Type Chart'!$C$2:$U$20,6,false)</f>
        <v>0.5</v>
      </c>
      <c r="Z1622" s="960">
        <f t="array" ref="Z1622">HLOOKUP($J1622,'Type Chart'!$C$2:$T$20,7,false)*HLOOKUP($K1622,'Type Chart'!$C$2:$U$20,7,false)</f>
        <v>1</v>
      </c>
      <c r="AA1622" s="960">
        <f t="array" ref="AA1622">HLOOKUP($J1622,'Type Chart'!$C$2:$T$20,8,false)*HLOOKUP($K1622,'Type Chart'!$C$2:$U$20,8,false)</f>
        <v>4</v>
      </c>
      <c r="AB1622" s="960">
        <f t="array" ref="AB1622">HLOOKUP($J1622,'Type Chart'!$C$2:$T$20,9,false)*HLOOKUP($K1622,'Type Chart'!$C$2:$U$20,9,false)</f>
        <v>0.5</v>
      </c>
      <c r="AC1622" s="960">
        <f t="array" ref="AC1622">HLOOKUP($J1622,'Type Chart'!$C$2:$T$20,10,false)*HLOOKUP($K1622,'Type Chart'!$C$2:$U$20,10,false)</f>
        <v>1</v>
      </c>
      <c r="AD1622" s="960">
        <f t="array" ref="AD1622">HLOOKUP($J1622,'Type Chart'!$C$2:$T$20,11,false)*HLOOKUP($K1622,'Type Chart'!$C$2:$U$20,11,false)</f>
        <v>2</v>
      </c>
      <c r="AE1622" s="960">
        <f t="array" ref="AE1622">HLOOKUP($J1622,'Type Chart'!$C$2:$T$20,12,false)*HLOOKUP($K1622,'Type Chart'!$C$2:$U$20,12,false)</f>
        <v>0.5</v>
      </c>
      <c r="AF1622" s="960">
        <f t="array" ref="AF1622">HLOOKUP($J1622,'Type Chart'!$C$2:$T$20,13,false)*HLOOKUP($K1622,'Type Chart'!$C$2:$U$20,13,false)</f>
        <v>0.5</v>
      </c>
      <c r="AG1622" s="960">
        <f t="array" ref="AG1622">HLOOKUP($J1622,'Type Chart'!$C$2:$T$20,14,false)*HLOOKUP($K1622,'Type Chart'!$C$2:$U$20,14,false)</f>
        <v>0.5</v>
      </c>
      <c r="AH1622" s="960">
        <f t="array" ref="AH1622">HLOOKUP($J1622,'Type Chart'!$C$2:$T$20,15,false)*HLOOKUP($K1622,'Type Chart'!$C$2:$U$20,15,false)</f>
        <v>0</v>
      </c>
      <c r="AI1622" s="960">
        <f t="array" ref="AI1622">HLOOKUP($J1622,'Type Chart'!$C$2:$T$20,16,false)*HLOOKUP($K1622,'Type Chart'!$C$2:$U$20,16,false)</f>
        <v>2</v>
      </c>
      <c r="AJ1622" s="960">
        <f t="array" ref="AJ1622">HLOOKUP($J1622,'Type Chart'!$C$2:$T$20,17,false)*HLOOKUP($K1622,'Type Chart'!$C$2:$U$20,17,false)</f>
        <v>1</v>
      </c>
      <c r="AK1622" s="960">
        <f t="array" ref="AK1622">HLOOKUP($J1622,'Type Chart'!$C$2:$T$20,18,false)*HLOOKUP($K1622,'Type Chart'!$C$2:$U$20,18,false)</f>
        <v>0.5</v>
      </c>
      <c r="AL1622" s="960">
        <f t="array" ref="AL1622">HLOOKUP($J1622,'Type Chart'!$C$2:$T$20,19,false)*HLOOKUP($K1622,'Type Chart'!$C$2:$U$20,19,false)</f>
        <v>2</v>
      </c>
      <c r="AM1622" s="964" t="s">
        <v>524</v>
      </c>
      <c r="AN1622" s="965" t="s">
        <v>1403</v>
      </c>
      <c r="AO1622" s="966" t="s">
        <v>1869</v>
      </c>
      <c r="AP1622" s="936"/>
      <c r="AQ1622" s="1245"/>
      <c r="AR1622" s="1245"/>
      <c r="AS1622" s="936"/>
    </row>
    <row r="1623" ht="15.75" customHeight="1">
      <c r="A1623" s="1099"/>
      <c r="B1623" s="948" t="s">
        <v>2056</v>
      </c>
      <c r="C1623" s="1197" t="s">
        <v>2057</v>
      </c>
      <c r="D1623" s="1197" t="s">
        <v>2057</v>
      </c>
      <c r="E1623" s="1147" t="s">
        <v>2057</v>
      </c>
      <c r="F1623" s="940"/>
      <c r="G1623" s="953"/>
      <c r="H1623" s="969"/>
      <c r="I1623" s="998" t="s">
        <v>4725</v>
      </c>
      <c r="J1623" s="957" t="s">
        <v>209</v>
      </c>
      <c r="K1623" s="1195" t="s">
        <v>193</v>
      </c>
      <c r="L1623" s="959">
        <v>90.0</v>
      </c>
      <c r="M1623" s="960">
        <v>100.0</v>
      </c>
      <c r="N1623" s="960">
        <v>60.0</v>
      </c>
      <c r="O1623" s="960">
        <v>90.0</v>
      </c>
      <c r="P1623" s="960">
        <v>60.0</v>
      </c>
      <c r="Q1623" s="960">
        <v>80.0</v>
      </c>
      <c r="R1623" s="960">
        <v>196.0</v>
      </c>
      <c r="S1623" s="960">
        <v>259.0</v>
      </c>
      <c r="T1623" s="960">
        <v>284.0</v>
      </c>
      <c r="U1623" s="960">
        <f t="array" ref="U1623">HLOOKUP($J1623,'Type Chart'!$C$2:$T$20,2,false)*HLOOKUP($K1623,'Type Chart'!$C$2:$U$20,2,false)</f>
        <v>1</v>
      </c>
      <c r="V1623" s="960">
        <f t="array" ref="V1623">HLOOKUP($J1623,'Type Chart'!$C$2:$T$20,3,false)*HLOOKUP($K1623,'Type Chart'!$C$2:$U$20,3,false)</f>
        <v>2</v>
      </c>
      <c r="W1623" s="960">
        <f t="array" ref="W1623">HLOOKUP($J1623,'Type Chart'!$C$2:$T$20,4,false)*HLOOKUP($K1623,'Type Chart'!$C$2:$U$20,4,false)</f>
        <v>2</v>
      </c>
      <c r="X1623" s="960">
        <f t="array" ref="X1623">HLOOKUP($J1623,'Type Chart'!$C$2:$T$20,5,false)*HLOOKUP($K1623,'Type Chart'!$C$2:$U$20,5,false)</f>
        <v>2</v>
      </c>
      <c r="Y1623" s="960">
        <f t="array" ref="Y1623">HLOOKUP($J1623,'Type Chart'!$C$2:$T$20,6,false)*HLOOKUP($K1623,'Type Chart'!$C$2:$U$20,6,false)</f>
        <v>0.5</v>
      </c>
      <c r="Z1623" s="960">
        <f t="array" ref="Z1623">HLOOKUP($J1623,'Type Chart'!$C$2:$T$20,7,false)*HLOOKUP($K1623,'Type Chart'!$C$2:$U$20,7,false)</f>
        <v>1</v>
      </c>
      <c r="AA1623" s="960">
        <f t="array" ref="AA1623">HLOOKUP($J1623,'Type Chart'!$C$2:$T$20,8,false)*HLOOKUP($K1623,'Type Chart'!$C$2:$U$20,8,false)</f>
        <v>4</v>
      </c>
      <c r="AB1623" s="960">
        <f t="array" ref="AB1623">HLOOKUP($J1623,'Type Chart'!$C$2:$T$20,9,false)*HLOOKUP($K1623,'Type Chart'!$C$2:$U$20,9,false)</f>
        <v>0.5</v>
      </c>
      <c r="AC1623" s="960">
        <f t="array" ref="AC1623">HLOOKUP($J1623,'Type Chart'!$C$2:$T$20,10,false)*HLOOKUP($K1623,'Type Chart'!$C$2:$U$20,10,false)</f>
        <v>1</v>
      </c>
      <c r="AD1623" s="960">
        <f t="array" ref="AD1623">HLOOKUP($J1623,'Type Chart'!$C$2:$T$20,11,false)*HLOOKUP($K1623,'Type Chart'!$C$2:$U$20,11,false)</f>
        <v>2</v>
      </c>
      <c r="AE1623" s="960">
        <f t="array" ref="AE1623">HLOOKUP($J1623,'Type Chart'!$C$2:$T$20,12,false)*HLOOKUP($K1623,'Type Chart'!$C$2:$U$20,12,false)</f>
        <v>0.5</v>
      </c>
      <c r="AF1623" s="960">
        <f t="array" ref="AF1623">HLOOKUP($J1623,'Type Chart'!$C$2:$T$20,13,false)*HLOOKUP($K1623,'Type Chart'!$C$2:$U$20,13,false)</f>
        <v>0.5</v>
      </c>
      <c r="AG1623" s="960">
        <f t="array" ref="AG1623">HLOOKUP($J1623,'Type Chart'!$C$2:$T$20,14,false)*HLOOKUP($K1623,'Type Chart'!$C$2:$U$20,14,false)</f>
        <v>0.5</v>
      </c>
      <c r="AH1623" s="960">
        <f t="array" ref="AH1623">HLOOKUP($J1623,'Type Chart'!$C$2:$T$20,15,false)*HLOOKUP($K1623,'Type Chart'!$C$2:$U$20,15,false)</f>
        <v>0</v>
      </c>
      <c r="AI1623" s="960">
        <f t="array" ref="AI1623">HLOOKUP($J1623,'Type Chart'!$C$2:$T$20,16,false)*HLOOKUP($K1623,'Type Chart'!$C$2:$U$20,16,false)</f>
        <v>2</v>
      </c>
      <c r="AJ1623" s="960">
        <f t="array" ref="AJ1623">HLOOKUP($J1623,'Type Chart'!$C$2:$T$20,17,false)*HLOOKUP($K1623,'Type Chart'!$C$2:$U$20,17,false)</f>
        <v>1</v>
      </c>
      <c r="AK1623" s="960">
        <f t="array" ref="AK1623">HLOOKUP($J1623,'Type Chart'!$C$2:$T$20,18,false)*HLOOKUP($K1623,'Type Chart'!$C$2:$U$20,18,false)</f>
        <v>0.5</v>
      </c>
      <c r="AL1623" s="960">
        <f t="array" ref="AL1623">HLOOKUP($J1623,'Type Chart'!$C$2:$T$20,19,false)*HLOOKUP($K1623,'Type Chart'!$C$2:$U$20,19,false)</f>
        <v>2</v>
      </c>
      <c r="AM1623" s="964" t="s">
        <v>524</v>
      </c>
      <c r="AN1623" s="965" t="s">
        <v>1403</v>
      </c>
      <c r="AO1623" s="966" t="s">
        <v>1869</v>
      </c>
      <c r="AP1623" s="936"/>
      <c r="AQ1623" s="1245"/>
      <c r="AR1623" s="1245"/>
      <c r="AS1623" s="936"/>
    </row>
    <row r="1624" ht="15.75" customHeight="1">
      <c r="A1624" s="1099"/>
      <c r="B1624" s="948" t="s">
        <v>2058</v>
      </c>
      <c r="C1624" s="1197" t="s">
        <v>2059</v>
      </c>
      <c r="D1624" s="1197" t="s">
        <v>2059</v>
      </c>
      <c r="E1624" s="1147" t="s">
        <v>2059</v>
      </c>
      <c r="F1624" s="940"/>
      <c r="G1624" s="953"/>
      <c r="H1624" s="969"/>
      <c r="I1624" s="998" t="s">
        <v>4726</v>
      </c>
      <c r="J1624" s="1194" t="s">
        <v>136</v>
      </c>
      <c r="K1624" s="1001" t="s">
        <v>128</v>
      </c>
      <c r="L1624" s="959">
        <v>40.0</v>
      </c>
      <c r="M1624" s="960">
        <v>55.0</v>
      </c>
      <c r="N1624" s="960">
        <v>30.0</v>
      </c>
      <c r="O1624" s="960">
        <v>30.0</v>
      </c>
      <c r="P1624" s="960">
        <v>30.0</v>
      </c>
      <c r="Q1624" s="960">
        <v>85.0</v>
      </c>
      <c r="R1624" s="960">
        <v>206.0</v>
      </c>
      <c r="S1624" s="960">
        <v>269.0</v>
      </c>
      <c r="T1624" s="960">
        <v>295.0</v>
      </c>
      <c r="U1624" s="960">
        <f t="array" ref="U1624">HLOOKUP($J1624,'Type Chart'!$C$2:$T$20,2,false)*HLOOKUP($K1624,'Type Chart'!$C$2:$U$20,2,false)</f>
        <v>1</v>
      </c>
      <c r="V1624" s="960">
        <f t="array" ref="V1624">HLOOKUP($J1624,'Type Chart'!$C$2:$T$20,3,false)*HLOOKUP($K1624,'Type Chart'!$C$2:$U$20,3,false)</f>
        <v>1</v>
      </c>
      <c r="W1624" s="960">
        <f t="array" ref="W1624">HLOOKUP($J1624,'Type Chart'!$C$2:$T$20,4,false)*HLOOKUP($K1624,'Type Chart'!$C$2:$U$20,4,false)</f>
        <v>1</v>
      </c>
      <c r="X1624" s="960">
        <f t="array" ref="X1624">HLOOKUP($J1624,'Type Chart'!$C$2:$T$20,5,false)*HLOOKUP($K1624,'Type Chart'!$C$2:$U$20,5,false)</f>
        <v>1</v>
      </c>
      <c r="Y1624" s="960">
        <f t="array" ref="Y1624">HLOOKUP($J1624,'Type Chart'!$C$2:$T$20,6,false)*HLOOKUP($K1624,'Type Chart'!$C$2:$U$20,6,false)</f>
        <v>0</v>
      </c>
      <c r="Z1624" s="960">
        <f t="array" ref="Z1624">HLOOKUP($J1624,'Type Chart'!$C$2:$T$20,7,false)*HLOOKUP($K1624,'Type Chart'!$C$2:$U$20,7,false)</f>
        <v>2</v>
      </c>
      <c r="AA1624" s="960">
        <f t="array" ref="AA1624">HLOOKUP($J1624,'Type Chart'!$C$2:$T$20,8,false)*HLOOKUP($K1624,'Type Chart'!$C$2:$U$20,8,false)</f>
        <v>0.5</v>
      </c>
      <c r="AB1624" s="960">
        <f t="array" ref="AB1624">HLOOKUP($J1624,'Type Chart'!$C$2:$T$20,9,false)*HLOOKUP($K1624,'Type Chart'!$C$2:$U$20,9,false)</f>
        <v>0</v>
      </c>
      <c r="AC1624" s="960">
        <f t="array" ref="AC1624">HLOOKUP($J1624,'Type Chart'!$C$2:$T$20,10,false)*HLOOKUP($K1624,'Type Chart'!$C$2:$U$20,10,false)</f>
        <v>1</v>
      </c>
      <c r="AD1624" s="960">
        <f t="array" ref="AD1624">HLOOKUP($J1624,'Type Chart'!$C$2:$T$20,11,false)*HLOOKUP($K1624,'Type Chart'!$C$2:$U$20,11,false)</f>
        <v>1</v>
      </c>
      <c r="AE1624" s="960">
        <f t="array" ref="AE1624">HLOOKUP($J1624,'Type Chart'!$C$2:$T$20,12,false)*HLOOKUP($K1624,'Type Chart'!$C$2:$U$20,12,false)</f>
        <v>1</v>
      </c>
      <c r="AF1624" s="960">
        <f t="array" ref="AF1624">HLOOKUP($J1624,'Type Chart'!$C$2:$T$20,13,false)*HLOOKUP($K1624,'Type Chart'!$C$2:$U$20,13,false)</f>
        <v>0.5</v>
      </c>
      <c r="AG1624" s="960">
        <f t="array" ref="AG1624">HLOOKUP($J1624,'Type Chart'!$C$2:$T$20,14,false)*HLOOKUP($K1624,'Type Chart'!$C$2:$U$20,14,false)</f>
        <v>2</v>
      </c>
      <c r="AH1624" s="960">
        <f t="array" ref="AH1624">HLOOKUP($J1624,'Type Chart'!$C$2:$T$20,15,false)*HLOOKUP($K1624,'Type Chart'!$C$2:$U$20,15,false)</f>
        <v>1</v>
      </c>
      <c r="AI1624" s="960">
        <f t="array" ref="AI1624">HLOOKUP($J1624,'Type Chart'!$C$2:$T$20,16,false)*HLOOKUP($K1624,'Type Chart'!$C$2:$U$20,16,false)</f>
        <v>2</v>
      </c>
      <c r="AJ1624" s="960">
        <f t="array" ref="AJ1624">HLOOKUP($J1624,'Type Chart'!$C$2:$T$20,17,false)*HLOOKUP($K1624,'Type Chart'!$C$2:$U$20,17,false)</f>
        <v>1</v>
      </c>
      <c r="AK1624" s="960">
        <f t="array" ref="AK1624">HLOOKUP($J1624,'Type Chart'!$C$2:$T$20,18,false)*HLOOKUP($K1624,'Type Chart'!$C$2:$U$20,18,false)</f>
        <v>1</v>
      </c>
      <c r="AL1624" s="960">
        <f t="array" ref="AL1624">HLOOKUP($J1624,'Type Chart'!$C$2:$T$20,19,false)*HLOOKUP($K1624,'Type Chart'!$C$2:$U$20,19,false)</f>
        <v>1</v>
      </c>
      <c r="AM1624" s="964" t="s">
        <v>1038</v>
      </c>
      <c r="AN1624" s="965"/>
      <c r="AO1624" s="966" t="s">
        <v>1399</v>
      </c>
      <c r="AP1624" s="936"/>
      <c r="AQ1624" s="1245"/>
      <c r="AR1624" s="1245"/>
      <c r="AS1624" s="936"/>
    </row>
    <row r="1625" ht="15.75" customHeight="1">
      <c r="A1625" s="1099"/>
      <c r="B1625" s="948" t="s">
        <v>2061</v>
      </c>
      <c r="C1625" s="1197" t="s">
        <v>2062</v>
      </c>
      <c r="D1625" s="1197" t="s">
        <v>2062</v>
      </c>
      <c r="E1625" s="1147" t="s">
        <v>2062</v>
      </c>
      <c r="F1625" s="940"/>
      <c r="G1625" s="953"/>
      <c r="H1625" s="969"/>
      <c r="I1625" s="998" t="s">
        <v>4727</v>
      </c>
      <c r="J1625" s="1194" t="s">
        <v>136</v>
      </c>
      <c r="K1625" s="1001" t="s">
        <v>128</v>
      </c>
      <c r="L1625" s="959">
        <v>60.0</v>
      </c>
      <c r="M1625" s="960">
        <v>85.0</v>
      </c>
      <c r="N1625" s="960">
        <v>60.0</v>
      </c>
      <c r="O1625" s="960">
        <v>75.0</v>
      </c>
      <c r="P1625" s="960">
        <v>50.0</v>
      </c>
      <c r="Q1625" s="960">
        <v>125.0</v>
      </c>
      <c r="R1625" s="960">
        <v>286.0</v>
      </c>
      <c r="S1625" s="960">
        <v>349.0</v>
      </c>
      <c r="T1625" s="960">
        <v>383.0</v>
      </c>
      <c r="U1625" s="960">
        <f t="array" ref="U1625">HLOOKUP($J1625,'Type Chart'!$C$2:$T$20,2,false)*HLOOKUP($K1625,'Type Chart'!$C$2:$U$20,2,false)</f>
        <v>1</v>
      </c>
      <c r="V1625" s="960">
        <f t="array" ref="V1625">HLOOKUP($J1625,'Type Chart'!$C$2:$T$20,3,false)*HLOOKUP($K1625,'Type Chart'!$C$2:$U$20,3,false)</f>
        <v>1</v>
      </c>
      <c r="W1625" s="960">
        <f t="array" ref="W1625">HLOOKUP($J1625,'Type Chart'!$C$2:$T$20,4,false)*HLOOKUP($K1625,'Type Chart'!$C$2:$U$20,4,false)</f>
        <v>1</v>
      </c>
      <c r="X1625" s="960">
        <f t="array" ref="X1625">HLOOKUP($J1625,'Type Chart'!$C$2:$T$20,5,false)*HLOOKUP($K1625,'Type Chart'!$C$2:$U$20,5,false)</f>
        <v>1</v>
      </c>
      <c r="Y1625" s="960">
        <f t="array" ref="Y1625">HLOOKUP($J1625,'Type Chart'!$C$2:$T$20,6,false)*HLOOKUP($K1625,'Type Chart'!$C$2:$U$20,6,false)</f>
        <v>0</v>
      </c>
      <c r="Z1625" s="960">
        <f t="array" ref="Z1625">HLOOKUP($J1625,'Type Chart'!$C$2:$T$20,7,false)*HLOOKUP($K1625,'Type Chart'!$C$2:$U$20,7,false)</f>
        <v>2</v>
      </c>
      <c r="AA1625" s="960">
        <f t="array" ref="AA1625">HLOOKUP($J1625,'Type Chart'!$C$2:$T$20,8,false)*HLOOKUP($K1625,'Type Chart'!$C$2:$U$20,8,false)</f>
        <v>0.5</v>
      </c>
      <c r="AB1625" s="960">
        <f t="array" ref="AB1625">HLOOKUP($J1625,'Type Chart'!$C$2:$T$20,9,false)*HLOOKUP($K1625,'Type Chart'!$C$2:$U$20,9,false)</f>
        <v>0</v>
      </c>
      <c r="AC1625" s="960">
        <f t="array" ref="AC1625">HLOOKUP($J1625,'Type Chart'!$C$2:$T$20,10,false)*HLOOKUP($K1625,'Type Chart'!$C$2:$U$20,10,false)</f>
        <v>1</v>
      </c>
      <c r="AD1625" s="960">
        <f t="array" ref="AD1625">HLOOKUP($J1625,'Type Chart'!$C$2:$T$20,11,false)*HLOOKUP($K1625,'Type Chart'!$C$2:$U$20,11,false)</f>
        <v>1</v>
      </c>
      <c r="AE1625" s="960">
        <f t="array" ref="AE1625">HLOOKUP($J1625,'Type Chart'!$C$2:$T$20,12,false)*HLOOKUP($K1625,'Type Chart'!$C$2:$U$20,12,false)</f>
        <v>1</v>
      </c>
      <c r="AF1625" s="960">
        <f t="array" ref="AF1625">HLOOKUP($J1625,'Type Chart'!$C$2:$T$20,13,false)*HLOOKUP($K1625,'Type Chart'!$C$2:$U$20,13,false)</f>
        <v>0.5</v>
      </c>
      <c r="AG1625" s="960">
        <f t="array" ref="AG1625">HLOOKUP($J1625,'Type Chart'!$C$2:$T$20,14,false)*HLOOKUP($K1625,'Type Chart'!$C$2:$U$20,14,false)</f>
        <v>2</v>
      </c>
      <c r="AH1625" s="960">
        <f t="array" ref="AH1625">HLOOKUP($J1625,'Type Chart'!$C$2:$T$20,15,false)*HLOOKUP($K1625,'Type Chart'!$C$2:$U$20,15,false)</f>
        <v>1</v>
      </c>
      <c r="AI1625" s="960">
        <f t="array" ref="AI1625">HLOOKUP($J1625,'Type Chart'!$C$2:$T$20,16,false)*HLOOKUP($K1625,'Type Chart'!$C$2:$U$20,16,false)</f>
        <v>2</v>
      </c>
      <c r="AJ1625" s="960">
        <f t="array" ref="AJ1625">HLOOKUP($J1625,'Type Chart'!$C$2:$T$20,17,false)*HLOOKUP($K1625,'Type Chart'!$C$2:$U$20,17,false)</f>
        <v>1</v>
      </c>
      <c r="AK1625" s="960">
        <f t="array" ref="AK1625">HLOOKUP($J1625,'Type Chart'!$C$2:$T$20,18,false)*HLOOKUP($K1625,'Type Chart'!$C$2:$U$20,18,false)</f>
        <v>1</v>
      </c>
      <c r="AL1625" s="960">
        <f t="array" ref="AL1625">HLOOKUP($J1625,'Type Chart'!$C$2:$T$20,19,false)*HLOOKUP($K1625,'Type Chart'!$C$2:$U$20,19,false)</f>
        <v>1</v>
      </c>
      <c r="AM1625" s="1145" t="s">
        <v>1038</v>
      </c>
      <c r="AN1625" s="965"/>
      <c r="AO1625" s="1146" t="s">
        <v>1399</v>
      </c>
      <c r="AP1625" s="936"/>
      <c r="AQ1625" s="1245"/>
      <c r="AR1625" s="1245"/>
      <c r="AS1625" s="936"/>
    </row>
    <row r="1626" ht="15.75" customHeight="1">
      <c r="A1626" s="1099"/>
      <c r="B1626" s="948" t="s">
        <v>2064</v>
      </c>
      <c r="C1626" s="1197" t="s">
        <v>2065</v>
      </c>
      <c r="D1626" s="1197" t="s">
        <v>2065</v>
      </c>
      <c r="E1626" s="1147" t="s">
        <v>2065</v>
      </c>
      <c r="F1626" s="940"/>
      <c r="G1626" s="953"/>
      <c r="H1626" s="969"/>
      <c r="I1626" s="998" t="s">
        <v>4728</v>
      </c>
      <c r="J1626" s="1211" t="s">
        <v>81</v>
      </c>
      <c r="K1626" s="1210" t="s">
        <v>128</v>
      </c>
      <c r="L1626" s="1200">
        <v>40.0</v>
      </c>
      <c r="M1626" s="1201">
        <v>30.0</v>
      </c>
      <c r="N1626" s="1201">
        <v>30.0</v>
      </c>
      <c r="O1626" s="1201">
        <v>55.0</v>
      </c>
      <c r="P1626" s="1201">
        <v>30.0</v>
      </c>
      <c r="Q1626" s="1201">
        <v>85.0</v>
      </c>
      <c r="R1626" s="960">
        <v>206.0</v>
      </c>
      <c r="S1626" s="960">
        <v>269.0</v>
      </c>
      <c r="T1626" s="960">
        <v>295.0</v>
      </c>
      <c r="U1626" s="960">
        <f t="array" ref="U1626">HLOOKUP($J1626,'Type Chart'!$C$2:$T$20,2,false)*HLOOKUP($K1626,'Type Chart'!$C$2:$U$20,2,false)</f>
        <v>1</v>
      </c>
      <c r="V1626" s="960">
        <f t="array" ref="V1626">HLOOKUP($J1626,'Type Chart'!$C$2:$T$20,3,false)*HLOOKUP($K1626,'Type Chart'!$C$2:$U$20,3,false)</f>
        <v>0.5</v>
      </c>
      <c r="W1626" s="960">
        <f t="array" ref="W1626">HLOOKUP($J1626,'Type Chart'!$C$2:$T$20,4,false)*HLOOKUP($K1626,'Type Chart'!$C$2:$U$20,4,false)</f>
        <v>1</v>
      </c>
      <c r="X1626" s="960">
        <f t="array" ref="X1626">HLOOKUP($J1626,'Type Chart'!$C$2:$T$20,5,false)*HLOOKUP($K1626,'Type Chart'!$C$2:$U$20,5,false)</f>
        <v>1</v>
      </c>
      <c r="Y1626" s="960">
        <f t="array" ref="Y1626">HLOOKUP($J1626,'Type Chart'!$C$2:$T$20,6,false)*HLOOKUP($K1626,'Type Chart'!$C$2:$U$20,6,false)</f>
        <v>0</v>
      </c>
      <c r="Z1626" s="960">
        <f t="array" ref="Z1626">HLOOKUP($J1626,'Type Chart'!$C$2:$T$20,7,false)*HLOOKUP($K1626,'Type Chart'!$C$2:$U$20,7,false)</f>
        <v>2</v>
      </c>
      <c r="AA1626" s="960">
        <f t="array" ref="AA1626">HLOOKUP($J1626,'Type Chart'!$C$2:$T$20,8,false)*HLOOKUP($K1626,'Type Chart'!$C$2:$U$20,8,false)</f>
        <v>0.5</v>
      </c>
      <c r="AB1626" s="960">
        <f t="array" ref="AB1626">HLOOKUP($J1626,'Type Chart'!$C$2:$T$20,9,false)*HLOOKUP($K1626,'Type Chart'!$C$2:$U$20,9,false)</f>
        <v>1</v>
      </c>
      <c r="AC1626" s="960">
        <f t="array" ref="AC1626">HLOOKUP($J1626,'Type Chart'!$C$2:$T$20,10,false)*HLOOKUP($K1626,'Type Chart'!$C$2:$U$20,10,false)</f>
        <v>0.5</v>
      </c>
      <c r="AD1626" s="960">
        <f t="array" ref="AD1626">HLOOKUP($J1626,'Type Chart'!$C$2:$T$20,11,false)*HLOOKUP($K1626,'Type Chart'!$C$2:$U$20,11,false)</f>
        <v>0.5</v>
      </c>
      <c r="AE1626" s="960">
        <f t="array" ref="AE1626">HLOOKUP($J1626,'Type Chart'!$C$2:$T$20,12,false)*HLOOKUP($K1626,'Type Chart'!$C$2:$U$20,12,false)</f>
        <v>0.5</v>
      </c>
      <c r="AF1626" s="960">
        <f t="array" ref="AF1626">HLOOKUP($J1626,'Type Chart'!$C$2:$T$20,13,false)*HLOOKUP($K1626,'Type Chart'!$C$2:$U$20,13,false)</f>
        <v>1</v>
      </c>
      <c r="AG1626" s="960">
        <f t="array" ref="AG1626">HLOOKUP($J1626,'Type Chart'!$C$2:$T$20,14,false)*HLOOKUP($K1626,'Type Chart'!$C$2:$U$20,14,false)</f>
        <v>4</v>
      </c>
      <c r="AH1626" s="960">
        <f t="array" ref="AH1626">HLOOKUP($J1626,'Type Chart'!$C$2:$T$20,15,false)*HLOOKUP($K1626,'Type Chart'!$C$2:$U$20,15,false)</f>
        <v>1</v>
      </c>
      <c r="AI1626" s="960">
        <f t="array" ref="AI1626">HLOOKUP($J1626,'Type Chart'!$C$2:$T$20,16,false)*HLOOKUP($K1626,'Type Chart'!$C$2:$U$20,16,false)</f>
        <v>1</v>
      </c>
      <c r="AJ1626" s="960">
        <f t="array" ref="AJ1626">HLOOKUP($J1626,'Type Chart'!$C$2:$T$20,17,false)*HLOOKUP($K1626,'Type Chart'!$C$2:$U$20,17,false)</f>
        <v>1</v>
      </c>
      <c r="AK1626" s="960">
        <f t="array" ref="AK1626">HLOOKUP($J1626,'Type Chart'!$C$2:$T$20,18,false)*HLOOKUP($K1626,'Type Chart'!$C$2:$U$20,18,false)</f>
        <v>1</v>
      </c>
      <c r="AL1626" s="960">
        <f t="array" ref="AL1626">HLOOKUP($J1626,'Type Chart'!$C$2:$T$20,19,false)*HLOOKUP($K1626,'Type Chart'!$C$2:$U$20,19,false)</f>
        <v>1</v>
      </c>
      <c r="AM1626" s="1145" t="s">
        <v>1022</v>
      </c>
      <c r="AN1626" s="965" t="s">
        <v>1409</v>
      </c>
      <c r="AO1626" s="1146" t="s">
        <v>960</v>
      </c>
      <c r="AP1626" s="936"/>
      <c r="AQ1626" s="1245"/>
      <c r="AR1626" s="1245"/>
      <c r="AS1626" s="936"/>
    </row>
    <row r="1627" ht="15.75" customHeight="1">
      <c r="A1627" s="1099"/>
      <c r="B1627" s="948" t="s">
        <v>2067</v>
      </c>
      <c r="C1627" s="1197" t="s">
        <v>179</v>
      </c>
      <c r="D1627" s="1197" t="s">
        <v>179</v>
      </c>
      <c r="E1627" s="1147" t="s">
        <v>179</v>
      </c>
      <c r="F1627" s="940"/>
      <c r="G1627" s="953"/>
      <c r="H1627" s="969"/>
      <c r="I1627" s="998" t="s">
        <v>360</v>
      </c>
      <c r="J1627" s="1056" t="s">
        <v>81</v>
      </c>
      <c r="K1627" s="1001" t="s">
        <v>128</v>
      </c>
      <c r="L1627" s="959">
        <v>60.0</v>
      </c>
      <c r="M1627" s="960">
        <v>50.0</v>
      </c>
      <c r="N1627" s="960">
        <v>100.0</v>
      </c>
      <c r="O1627" s="960">
        <v>95.0</v>
      </c>
      <c r="P1627" s="960">
        <v>70.0</v>
      </c>
      <c r="Q1627" s="960">
        <v>65.0</v>
      </c>
      <c r="R1627" s="960">
        <v>166.0</v>
      </c>
      <c r="S1627" s="960">
        <v>229.0</v>
      </c>
      <c r="T1627" s="960">
        <v>251.0</v>
      </c>
      <c r="U1627" s="960">
        <f t="array" ref="U1627">HLOOKUP($J1627,'Type Chart'!$C$2:$T$20,2,false)*HLOOKUP($K1627,'Type Chart'!$C$2:$U$20,2,false)</f>
        <v>1</v>
      </c>
      <c r="V1627" s="960">
        <f t="array" ref="V1627">HLOOKUP($J1627,'Type Chart'!$C$2:$T$20,3,false)*HLOOKUP($K1627,'Type Chart'!$C$2:$U$20,3,false)</f>
        <v>0.5</v>
      </c>
      <c r="W1627" s="960">
        <f t="array" ref="W1627">HLOOKUP($J1627,'Type Chart'!$C$2:$T$20,4,false)*HLOOKUP($K1627,'Type Chart'!$C$2:$U$20,4,false)</f>
        <v>1</v>
      </c>
      <c r="X1627" s="960">
        <f t="array" ref="X1627">HLOOKUP($J1627,'Type Chart'!$C$2:$T$20,5,false)*HLOOKUP($K1627,'Type Chart'!$C$2:$U$20,5,false)</f>
        <v>1</v>
      </c>
      <c r="Y1627" s="960">
        <f t="array" ref="Y1627">HLOOKUP($J1627,'Type Chart'!$C$2:$T$20,6,false)*HLOOKUP($K1627,'Type Chart'!$C$2:$U$20,6,false)</f>
        <v>0</v>
      </c>
      <c r="Z1627" s="960">
        <f t="array" ref="Z1627">HLOOKUP($J1627,'Type Chart'!$C$2:$T$20,7,false)*HLOOKUP($K1627,'Type Chart'!$C$2:$U$20,7,false)</f>
        <v>2</v>
      </c>
      <c r="AA1627" s="960">
        <f t="array" ref="AA1627">HLOOKUP($J1627,'Type Chart'!$C$2:$T$20,8,false)*HLOOKUP($K1627,'Type Chart'!$C$2:$U$20,8,false)</f>
        <v>0.5</v>
      </c>
      <c r="AB1627" s="960">
        <f t="array" ref="AB1627">HLOOKUP($J1627,'Type Chart'!$C$2:$T$20,9,false)*HLOOKUP($K1627,'Type Chart'!$C$2:$U$20,9,false)</f>
        <v>1</v>
      </c>
      <c r="AC1627" s="960">
        <f t="array" ref="AC1627">HLOOKUP($J1627,'Type Chart'!$C$2:$T$20,10,false)*HLOOKUP($K1627,'Type Chart'!$C$2:$U$20,10,false)</f>
        <v>0.5</v>
      </c>
      <c r="AD1627" s="960">
        <f t="array" ref="AD1627">HLOOKUP($J1627,'Type Chart'!$C$2:$T$20,11,false)*HLOOKUP($K1627,'Type Chart'!$C$2:$U$20,11,false)</f>
        <v>0.5</v>
      </c>
      <c r="AE1627" s="960">
        <f t="array" ref="AE1627">HLOOKUP($J1627,'Type Chart'!$C$2:$T$20,12,false)*HLOOKUP($K1627,'Type Chart'!$C$2:$U$20,12,false)</f>
        <v>0.5</v>
      </c>
      <c r="AF1627" s="960">
        <f t="array" ref="AF1627">HLOOKUP($J1627,'Type Chart'!$C$2:$T$20,13,false)*HLOOKUP($K1627,'Type Chart'!$C$2:$U$20,13,false)</f>
        <v>1</v>
      </c>
      <c r="AG1627" s="960">
        <f t="array" ref="AG1627">HLOOKUP($J1627,'Type Chart'!$C$2:$T$20,14,false)*HLOOKUP($K1627,'Type Chart'!$C$2:$U$20,14,false)</f>
        <v>4</v>
      </c>
      <c r="AH1627" s="960">
        <f t="array" ref="AH1627">HLOOKUP($J1627,'Type Chart'!$C$2:$T$20,15,false)*HLOOKUP($K1627,'Type Chart'!$C$2:$U$20,15,false)</f>
        <v>1</v>
      </c>
      <c r="AI1627" s="960">
        <f t="array" ref="AI1627">HLOOKUP($J1627,'Type Chart'!$C$2:$T$20,16,false)*HLOOKUP($K1627,'Type Chart'!$C$2:$U$20,16,false)</f>
        <v>1</v>
      </c>
      <c r="AJ1627" s="960">
        <f t="array" ref="AJ1627">HLOOKUP($J1627,'Type Chart'!$C$2:$T$20,17,false)*HLOOKUP($K1627,'Type Chart'!$C$2:$U$20,17,false)</f>
        <v>1</v>
      </c>
      <c r="AK1627" s="960">
        <f t="array" ref="AK1627">HLOOKUP($J1627,'Type Chart'!$C$2:$T$20,18,false)*HLOOKUP($K1627,'Type Chart'!$C$2:$U$20,18,false)</f>
        <v>1</v>
      </c>
      <c r="AL1627" s="960">
        <f t="array" ref="AL1627">HLOOKUP($J1627,'Type Chart'!$C$2:$T$20,19,false)*HLOOKUP($K1627,'Type Chart'!$C$2:$U$20,19,false)</f>
        <v>1</v>
      </c>
      <c r="AM1627" s="964" t="s">
        <v>1022</v>
      </c>
      <c r="AN1627" s="965" t="s">
        <v>349</v>
      </c>
      <c r="AO1627" s="966" t="s">
        <v>960</v>
      </c>
      <c r="AP1627" s="936"/>
      <c r="AQ1627" s="1245"/>
      <c r="AR1627" s="1245"/>
      <c r="AS1627" s="936"/>
    </row>
    <row r="1628" ht="15.75" customHeight="1">
      <c r="A1628" s="1099"/>
      <c r="B1628" s="948" t="s">
        <v>2068</v>
      </c>
      <c r="C1628" s="1197" t="s">
        <v>2069</v>
      </c>
      <c r="D1628" s="1197" t="s">
        <v>2069</v>
      </c>
      <c r="E1628" s="1147" t="s">
        <v>2069</v>
      </c>
      <c r="F1628" s="940"/>
      <c r="G1628" s="953"/>
      <c r="H1628" s="969"/>
      <c r="I1628" s="998" t="s">
        <v>4729</v>
      </c>
      <c r="J1628" s="1203" t="s">
        <v>344</v>
      </c>
      <c r="K1628" s="1207" t="s">
        <v>127</v>
      </c>
      <c r="L1628" s="959">
        <v>28.0</v>
      </c>
      <c r="M1628" s="960">
        <v>25.0</v>
      </c>
      <c r="N1628" s="960">
        <v>25.0</v>
      </c>
      <c r="O1628" s="960">
        <v>45.0</v>
      </c>
      <c r="P1628" s="960">
        <v>35.0</v>
      </c>
      <c r="Q1628" s="960">
        <v>40.0</v>
      </c>
      <c r="R1628" s="960">
        <v>116.0</v>
      </c>
      <c r="S1628" s="960">
        <v>179.0</v>
      </c>
      <c r="T1628" s="960">
        <v>196.0</v>
      </c>
      <c r="U1628" s="960">
        <f t="array" ref="U1628">HLOOKUP($J1628,'Type Chart'!$C$2:$T$20,2,false)*HLOOKUP($K1628,'Type Chart'!$C$2:$U$20,2,false)</f>
        <v>1</v>
      </c>
      <c r="V1628" s="960">
        <f t="array" ref="V1628">HLOOKUP($J1628,'Type Chart'!$C$2:$T$20,3,false)*HLOOKUP($K1628,'Type Chart'!$C$2:$U$20,3,false)</f>
        <v>0.25</v>
      </c>
      <c r="W1628" s="960">
        <f t="array" ref="W1628">HLOOKUP($J1628,'Type Chart'!$C$2:$T$20,4,false)*HLOOKUP($K1628,'Type Chart'!$C$2:$U$20,4,false)</f>
        <v>1</v>
      </c>
      <c r="X1628" s="960">
        <f t="array" ref="X1628">HLOOKUP($J1628,'Type Chart'!$C$2:$T$20,5,false)*HLOOKUP($K1628,'Type Chart'!$C$2:$U$20,5,false)</f>
        <v>2</v>
      </c>
      <c r="Y1628" s="960">
        <f t="array" ref="Y1628">HLOOKUP($J1628,'Type Chart'!$C$2:$T$20,6,false)*HLOOKUP($K1628,'Type Chart'!$C$2:$U$20,6,false)</f>
        <v>1</v>
      </c>
      <c r="Z1628" s="960">
        <f t="array" ref="Z1628">HLOOKUP($J1628,'Type Chart'!$C$2:$T$20,7,false)*HLOOKUP($K1628,'Type Chart'!$C$2:$U$20,7,false)</f>
        <v>1</v>
      </c>
      <c r="AA1628" s="960">
        <f t="array" ref="AA1628">HLOOKUP($J1628,'Type Chart'!$C$2:$T$20,8,false)*HLOOKUP($K1628,'Type Chart'!$C$2:$U$20,8,false)</f>
        <v>1</v>
      </c>
      <c r="AB1628" s="960">
        <f t="array" ref="AB1628">HLOOKUP($J1628,'Type Chart'!$C$2:$T$20,9,false)*HLOOKUP($K1628,'Type Chart'!$C$2:$U$20,9,false)</f>
        <v>2</v>
      </c>
      <c r="AC1628" s="960">
        <f t="array" ref="AC1628">HLOOKUP($J1628,'Type Chart'!$C$2:$T$20,10,false)*HLOOKUP($K1628,'Type Chart'!$C$2:$U$20,10,false)</f>
        <v>2</v>
      </c>
      <c r="AD1628" s="960">
        <f t="array" ref="AD1628">HLOOKUP($J1628,'Type Chart'!$C$2:$T$20,11,false)*HLOOKUP($K1628,'Type Chart'!$C$2:$U$20,11,false)</f>
        <v>1</v>
      </c>
      <c r="AE1628" s="960">
        <f t="array" ref="AE1628">HLOOKUP($J1628,'Type Chart'!$C$2:$T$20,12,false)*HLOOKUP($K1628,'Type Chart'!$C$2:$U$20,12,false)</f>
        <v>1</v>
      </c>
      <c r="AF1628" s="960">
        <f t="array" ref="AF1628">HLOOKUP($J1628,'Type Chart'!$C$2:$T$20,13,false)*HLOOKUP($K1628,'Type Chart'!$C$2:$U$20,13,false)</f>
        <v>1</v>
      </c>
      <c r="AG1628" s="960">
        <f t="array" ref="AG1628">HLOOKUP($J1628,'Type Chart'!$C$2:$T$20,14,false)*HLOOKUP($K1628,'Type Chart'!$C$2:$U$20,14,false)</f>
        <v>1</v>
      </c>
      <c r="AH1628" s="960">
        <f t="array" ref="AH1628">HLOOKUP($J1628,'Type Chart'!$C$2:$T$20,15,false)*HLOOKUP($K1628,'Type Chart'!$C$2:$U$20,15,false)</f>
        <v>0.5</v>
      </c>
      <c r="AI1628" s="960">
        <f t="array" ref="AI1628">HLOOKUP($J1628,'Type Chart'!$C$2:$T$20,16,false)*HLOOKUP($K1628,'Type Chart'!$C$2:$U$20,16,false)</f>
        <v>1</v>
      </c>
      <c r="AJ1628" s="960">
        <f t="array" ref="AJ1628">HLOOKUP($J1628,'Type Chart'!$C$2:$T$20,17,false)*HLOOKUP($K1628,'Type Chart'!$C$2:$U$20,17,false)</f>
        <v>0</v>
      </c>
      <c r="AK1628" s="960">
        <f t="array" ref="AK1628">HLOOKUP($J1628,'Type Chart'!$C$2:$T$20,18,false)*HLOOKUP($K1628,'Type Chart'!$C$2:$U$20,18,false)</f>
        <v>1</v>
      </c>
      <c r="AL1628" s="960">
        <f t="array" ref="AL1628">HLOOKUP($J1628,'Type Chart'!$C$2:$T$20,19,false)*HLOOKUP($K1628,'Type Chart'!$C$2:$U$20,19,false)</f>
        <v>1</v>
      </c>
      <c r="AM1628" s="964" t="s">
        <v>1292</v>
      </c>
      <c r="AN1628" s="965" t="s">
        <v>1302</v>
      </c>
      <c r="AO1628" s="966" t="s">
        <v>1828</v>
      </c>
      <c r="AP1628" s="936"/>
      <c r="AQ1628" s="1245"/>
      <c r="AR1628" s="1245"/>
      <c r="AS1628" s="936"/>
    </row>
    <row r="1629" ht="15.75" customHeight="1">
      <c r="A1629" s="1099"/>
      <c r="B1629" s="948" t="s">
        <v>2071</v>
      </c>
      <c r="C1629" s="1197" t="s">
        <v>2072</v>
      </c>
      <c r="D1629" s="1197" t="s">
        <v>2072</v>
      </c>
      <c r="E1629" s="1147" t="s">
        <v>2072</v>
      </c>
      <c r="F1629" s="940"/>
      <c r="G1629" s="953"/>
      <c r="H1629" s="969"/>
      <c r="I1629" s="998" t="s">
        <v>4730</v>
      </c>
      <c r="J1629" s="1203" t="s">
        <v>344</v>
      </c>
      <c r="K1629" s="1207" t="s">
        <v>127</v>
      </c>
      <c r="L1629" s="959">
        <v>38.0</v>
      </c>
      <c r="M1629" s="960">
        <v>35.0</v>
      </c>
      <c r="N1629" s="960">
        <v>35.0</v>
      </c>
      <c r="O1629" s="960">
        <v>65.0</v>
      </c>
      <c r="P1629" s="960">
        <v>55.0</v>
      </c>
      <c r="Q1629" s="960">
        <v>50.0</v>
      </c>
      <c r="R1629" s="960">
        <v>136.0</v>
      </c>
      <c r="S1629" s="960">
        <v>199.0</v>
      </c>
      <c r="T1629" s="960">
        <v>218.0</v>
      </c>
      <c r="U1629" s="960">
        <f t="array" ref="U1629">HLOOKUP($J1629,'Type Chart'!$C$2:$T$20,2,false)*HLOOKUP($K1629,'Type Chart'!$C$2:$U$20,2,false)</f>
        <v>1</v>
      </c>
      <c r="V1629" s="960">
        <f t="array" ref="V1629">HLOOKUP($J1629,'Type Chart'!$C$2:$T$20,3,false)*HLOOKUP($K1629,'Type Chart'!$C$2:$U$20,3,false)</f>
        <v>0.25</v>
      </c>
      <c r="W1629" s="960">
        <f t="array" ref="W1629">HLOOKUP($J1629,'Type Chart'!$C$2:$T$20,4,false)*HLOOKUP($K1629,'Type Chart'!$C$2:$U$20,4,false)</f>
        <v>1</v>
      </c>
      <c r="X1629" s="960">
        <f t="array" ref="X1629">HLOOKUP($J1629,'Type Chart'!$C$2:$T$20,5,false)*HLOOKUP($K1629,'Type Chart'!$C$2:$U$20,5,false)</f>
        <v>2</v>
      </c>
      <c r="Y1629" s="960">
        <f t="array" ref="Y1629">HLOOKUP($J1629,'Type Chart'!$C$2:$T$20,6,false)*HLOOKUP($K1629,'Type Chart'!$C$2:$U$20,6,false)</f>
        <v>1</v>
      </c>
      <c r="Z1629" s="960">
        <f t="array" ref="Z1629">HLOOKUP($J1629,'Type Chart'!$C$2:$T$20,7,false)*HLOOKUP($K1629,'Type Chart'!$C$2:$U$20,7,false)</f>
        <v>1</v>
      </c>
      <c r="AA1629" s="960">
        <f t="array" ref="AA1629">HLOOKUP($J1629,'Type Chart'!$C$2:$T$20,8,false)*HLOOKUP($K1629,'Type Chart'!$C$2:$U$20,8,false)</f>
        <v>1</v>
      </c>
      <c r="AB1629" s="960">
        <f t="array" ref="AB1629">HLOOKUP($J1629,'Type Chart'!$C$2:$T$20,9,false)*HLOOKUP($K1629,'Type Chart'!$C$2:$U$20,9,false)</f>
        <v>2</v>
      </c>
      <c r="AC1629" s="960">
        <f t="array" ref="AC1629">HLOOKUP($J1629,'Type Chart'!$C$2:$T$20,10,false)*HLOOKUP($K1629,'Type Chart'!$C$2:$U$20,10,false)</f>
        <v>2</v>
      </c>
      <c r="AD1629" s="960">
        <f t="array" ref="AD1629">HLOOKUP($J1629,'Type Chart'!$C$2:$T$20,11,false)*HLOOKUP($K1629,'Type Chart'!$C$2:$U$20,11,false)</f>
        <v>1</v>
      </c>
      <c r="AE1629" s="960">
        <f t="array" ref="AE1629">HLOOKUP($J1629,'Type Chart'!$C$2:$T$20,12,false)*HLOOKUP($K1629,'Type Chart'!$C$2:$U$20,12,false)</f>
        <v>1</v>
      </c>
      <c r="AF1629" s="960">
        <f t="array" ref="AF1629">HLOOKUP($J1629,'Type Chart'!$C$2:$T$20,13,false)*HLOOKUP($K1629,'Type Chart'!$C$2:$U$20,13,false)</f>
        <v>1</v>
      </c>
      <c r="AG1629" s="960">
        <f t="array" ref="AG1629">HLOOKUP($J1629,'Type Chart'!$C$2:$T$20,14,false)*HLOOKUP($K1629,'Type Chart'!$C$2:$U$20,14,false)</f>
        <v>1</v>
      </c>
      <c r="AH1629" s="960">
        <f t="array" ref="AH1629">HLOOKUP($J1629,'Type Chart'!$C$2:$T$20,15,false)*HLOOKUP($K1629,'Type Chart'!$C$2:$U$20,15,false)</f>
        <v>0.5</v>
      </c>
      <c r="AI1629" s="960">
        <f t="array" ref="AI1629">HLOOKUP($J1629,'Type Chart'!$C$2:$T$20,16,false)*HLOOKUP($K1629,'Type Chart'!$C$2:$U$20,16,false)</f>
        <v>1</v>
      </c>
      <c r="AJ1629" s="960">
        <f t="array" ref="AJ1629">HLOOKUP($J1629,'Type Chart'!$C$2:$T$20,17,false)*HLOOKUP($K1629,'Type Chart'!$C$2:$U$20,17,false)</f>
        <v>0</v>
      </c>
      <c r="AK1629" s="960">
        <f t="array" ref="AK1629">HLOOKUP($J1629,'Type Chart'!$C$2:$T$20,18,false)*HLOOKUP($K1629,'Type Chart'!$C$2:$U$20,18,false)</f>
        <v>1</v>
      </c>
      <c r="AL1629" s="960">
        <f t="array" ref="AL1629">HLOOKUP($J1629,'Type Chart'!$C$2:$T$20,19,false)*HLOOKUP($K1629,'Type Chart'!$C$2:$U$20,19,false)</f>
        <v>1</v>
      </c>
      <c r="AM1629" s="964" t="s">
        <v>1292</v>
      </c>
      <c r="AN1629" s="965" t="s">
        <v>1302</v>
      </c>
      <c r="AO1629" s="966" t="s">
        <v>1828</v>
      </c>
      <c r="AP1629" s="936"/>
      <c r="AQ1629" s="1245"/>
      <c r="AR1629" s="1245"/>
      <c r="AS1629" s="936"/>
    </row>
    <row r="1630" ht="15.75" customHeight="1">
      <c r="A1630" s="1099"/>
      <c r="B1630" s="948" t="s">
        <v>2074</v>
      </c>
      <c r="C1630" s="1197" t="s">
        <v>2075</v>
      </c>
      <c r="D1630" s="1197" t="s">
        <v>2075</v>
      </c>
      <c r="E1630" s="1147" t="s">
        <v>2075</v>
      </c>
      <c r="F1630" s="940"/>
      <c r="G1630" s="953"/>
      <c r="H1630" s="969"/>
      <c r="I1630" s="998" t="s">
        <v>4731</v>
      </c>
      <c r="J1630" s="1215" t="s">
        <v>344</v>
      </c>
      <c r="K1630" s="1207" t="s">
        <v>127</v>
      </c>
      <c r="L1630" s="1200">
        <v>68.0</v>
      </c>
      <c r="M1630" s="1201">
        <v>65.0</v>
      </c>
      <c r="N1630" s="1201">
        <v>65.0</v>
      </c>
      <c r="O1630" s="1201">
        <v>125.0</v>
      </c>
      <c r="P1630" s="1201">
        <v>115.0</v>
      </c>
      <c r="Q1630" s="1201">
        <v>80.0</v>
      </c>
      <c r="R1630" s="960">
        <v>196.0</v>
      </c>
      <c r="S1630" s="960">
        <v>259.0</v>
      </c>
      <c r="T1630" s="960">
        <v>284.0</v>
      </c>
      <c r="U1630" s="960">
        <f t="array" ref="U1630">HLOOKUP($J1630,'Type Chart'!$C$2:$T$20,2,false)*HLOOKUP($K1630,'Type Chart'!$C$2:$U$20,2,false)</f>
        <v>1</v>
      </c>
      <c r="V1630" s="960">
        <f t="array" ref="V1630">HLOOKUP($J1630,'Type Chart'!$C$2:$T$20,3,false)*HLOOKUP($K1630,'Type Chart'!$C$2:$U$20,3,false)</f>
        <v>0.25</v>
      </c>
      <c r="W1630" s="960">
        <f t="array" ref="W1630">HLOOKUP($J1630,'Type Chart'!$C$2:$T$20,4,false)*HLOOKUP($K1630,'Type Chart'!$C$2:$U$20,4,false)</f>
        <v>1</v>
      </c>
      <c r="X1630" s="960">
        <f t="array" ref="X1630">HLOOKUP($J1630,'Type Chart'!$C$2:$T$20,5,false)*HLOOKUP($K1630,'Type Chart'!$C$2:$U$20,5,false)</f>
        <v>2</v>
      </c>
      <c r="Y1630" s="960">
        <f t="array" ref="Y1630">HLOOKUP($J1630,'Type Chart'!$C$2:$T$20,6,false)*HLOOKUP($K1630,'Type Chart'!$C$2:$U$20,6,false)</f>
        <v>1</v>
      </c>
      <c r="Z1630" s="960">
        <f t="array" ref="Z1630">HLOOKUP($J1630,'Type Chart'!$C$2:$T$20,7,false)*HLOOKUP($K1630,'Type Chart'!$C$2:$U$20,7,false)</f>
        <v>1</v>
      </c>
      <c r="AA1630" s="960">
        <f t="array" ref="AA1630">HLOOKUP($J1630,'Type Chart'!$C$2:$T$20,8,false)*HLOOKUP($K1630,'Type Chart'!$C$2:$U$20,8,false)</f>
        <v>1</v>
      </c>
      <c r="AB1630" s="960">
        <f t="array" ref="AB1630">HLOOKUP($J1630,'Type Chart'!$C$2:$T$20,9,false)*HLOOKUP($K1630,'Type Chart'!$C$2:$U$20,9,false)</f>
        <v>2</v>
      </c>
      <c r="AC1630" s="960">
        <f t="array" ref="AC1630">HLOOKUP($J1630,'Type Chart'!$C$2:$T$20,10,false)*HLOOKUP($K1630,'Type Chart'!$C$2:$U$20,10,false)</f>
        <v>2</v>
      </c>
      <c r="AD1630" s="960">
        <f t="array" ref="AD1630">HLOOKUP($J1630,'Type Chart'!$C$2:$T$20,11,false)*HLOOKUP($K1630,'Type Chart'!$C$2:$U$20,11,false)</f>
        <v>1</v>
      </c>
      <c r="AE1630" s="960">
        <f t="array" ref="AE1630">HLOOKUP($J1630,'Type Chart'!$C$2:$T$20,12,false)*HLOOKUP($K1630,'Type Chart'!$C$2:$U$20,12,false)</f>
        <v>1</v>
      </c>
      <c r="AF1630" s="960">
        <f t="array" ref="AF1630">HLOOKUP($J1630,'Type Chart'!$C$2:$T$20,13,false)*HLOOKUP($K1630,'Type Chart'!$C$2:$U$20,13,false)</f>
        <v>1</v>
      </c>
      <c r="AG1630" s="960">
        <f t="array" ref="AG1630">HLOOKUP($J1630,'Type Chart'!$C$2:$T$20,14,false)*HLOOKUP($K1630,'Type Chart'!$C$2:$U$20,14,false)</f>
        <v>1</v>
      </c>
      <c r="AH1630" s="960">
        <f t="array" ref="AH1630">HLOOKUP($J1630,'Type Chart'!$C$2:$T$20,15,false)*HLOOKUP($K1630,'Type Chart'!$C$2:$U$20,15,false)</f>
        <v>0.5</v>
      </c>
      <c r="AI1630" s="960">
        <f t="array" ref="AI1630">HLOOKUP($J1630,'Type Chart'!$C$2:$T$20,16,false)*HLOOKUP($K1630,'Type Chart'!$C$2:$U$20,16,false)</f>
        <v>1</v>
      </c>
      <c r="AJ1630" s="960">
        <f t="array" ref="AJ1630">HLOOKUP($J1630,'Type Chart'!$C$2:$T$20,17,false)*HLOOKUP($K1630,'Type Chart'!$C$2:$U$20,17,false)</f>
        <v>0</v>
      </c>
      <c r="AK1630" s="960">
        <f t="array" ref="AK1630">HLOOKUP($J1630,'Type Chart'!$C$2:$T$20,18,false)*HLOOKUP($K1630,'Type Chart'!$C$2:$U$20,18,false)</f>
        <v>1</v>
      </c>
      <c r="AL1630" s="960">
        <f t="array" ref="AL1630">HLOOKUP($J1630,'Type Chart'!$C$2:$T$20,19,false)*HLOOKUP($K1630,'Type Chart'!$C$2:$U$20,19,false)</f>
        <v>1</v>
      </c>
      <c r="AM1630" s="1145" t="s">
        <v>1292</v>
      </c>
      <c r="AN1630" s="965" t="s">
        <v>1302</v>
      </c>
      <c r="AO1630" s="966" t="s">
        <v>1828</v>
      </c>
      <c r="AP1630" s="936"/>
      <c r="AQ1630" s="1245"/>
      <c r="AR1630" s="1245"/>
      <c r="AS1630" s="936"/>
    </row>
    <row r="1631" ht="15.75" customHeight="1">
      <c r="A1631" s="1099"/>
      <c r="B1631" s="948" t="s">
        <v>2076</v>
      </c>
      <c r="C1631" s="1197" t="s">
        <v>2077</v>
      </c>
      <c r="D1631" s="1197" t="s">
        <v>2077</v>
      </c>
      <c r="E1631" s="1147" t="s">
        <v>2077</v>
      </c>
      <c r="F1631" s="940"/>
      <c r="G1631" s="953"/>
      <c r="H1631" s="969"/>
      <c r="I1631" s="998" t="s">
        <v>4732</v>
      </c>
      <c r="J1631" s="1203" t="s">
        <v>344</v>
      </c>
      <c r="K1631" s="1207" t="s">
        <v>127</v>
      </c>
      <c r="L1631" s="959">
        <v>68.0</v>
      </c>
      <c r="M1631" s="960">
        <v>85.0</v>
      </c>
      <c r="N1631" s="960">
        <v>65.0</v>
      </c>
      <c r="O1631" s="960">
        <v>165.0</v>
      </c>
      <c r="P1631" s="960">
        <v>135.0</v>
      </c>
      <c r="Q1631" s="960">
        <v>100.0</v>
      </c>
      <c r="R1631" s="960">
        <v>236.0</v>
      </c>
      <c r="S1631" s="960">
        <v>299.0</v>
      </c>
      <c r="T1631" s="960">
        <v>328.0</v>
      </c>
      <c r="U1631" s="960">
        <f t="array" ref="U1631">HLOOKUP($J1631,'Type Chart'!$C$2:$T$20,2,false)*HLOOKUP($K1631,'Type Chart'!$C$2:$U$20,2,false)</f>
        <v>1</v>
      </c>
      <c r="V1631" s="960">
        <f t="array" ref="V1631">HLOOKUP($J1631,'Type Chart'!$C$2:$T$20,3,false)*HLOOKUP($K1631,'Type Chart'!$C$2:$U$20,3,false)</f>
        <v>0.25</v>
      </c>
      <c r="W1631" s="960">
        <f t="array" ref="W1631">HLOOKUP($J1631,'Type Chart'!$C$2:$T$20,4,false)*HLOOKUP($K1631,'Type Chart'!$C$2:$U$20,4,false)</f>
        <v>1</v>
      </c>
      <c r="X1631" s="960">
        <f t="array" ref="X1631">HLOOKUP($J1631,'Type Chart'!$C$2:$T$20,5,false)*HLOOKUP($K1631,'Type Chart'!$C$2:$U$20,5,false)</f>
        <v>2</v>
      </c>
      <c r="Y1631" s="960">
        <f t="array" ref="Y1631">HLOOKUP($J1631,'Type Chart'!$C$2:$T$20,6,false)*HLOOKUP($K1631,'Type Chart'!$C$2:$U$20,6,false)</f>
        <v>1</v>
      </c>
      <c r="Z1631" s="960">
        <f t="array" ref="Z1631">HLOOKUP($J1631,'Type Chart'!$C$2:$T$20,7,false)*HLOOKUP($K1631,'Type Chart'!$C$2:$U$20,7,false)</f>
        <v>1</v>
      </c>
      <c r="AA1631" s="960">
        <f t="array" ref="AA1631">HLOOKUP($J1631,'Type Chart'!$C$2:$T$20,8,false)*HLOOKUP($K1631,'Type Chart'!$C$2:$U$20,8,false)</f>
        <v>1</v>
      </c>
      <c r="AB1631" s="960">
        <f t="array" ref="AB1631">HLOOKUP($J1631,'Type Chart'!$C$2:$T$20,9,false)*HLOOKUP($K1631,'Type Chart'!$C$2:$U$20,9,false)</f>
        <v>2</v>
      </c>
      <c r="AC1631" s="960">
        <f t="array" ref="AC1631">HLOOKUP($J1631,'Type Chart'!$C$2:$T$20,10,false)*HLOOKUP($K1631,'Type Chart'!$C$2:$U$20,10,false)</f>
        <v>2</v>
      </c>
      <c r="AD1631" s="960">
        <f t="array" ref="AD1631">HLOOKUP($J1631,'Type Chart'!$C$2:$T$20,11,false)*HLOOKUP($K1631,'Type Chart'!$C$2:$U$20,11,false)</f>
        <v>1</v>
      </c>
      <c r="AE1631" s="960">
        <f t="array" ref="AE1631">HLOOKUP($J1631,'Type Chart'!$C$2:$T$20,12,false)*HLOOKUP($K1631,'Type Chart'!$C$2:$U$20,12,false)</f>
        <v>1</v>
      </c>
      <c r="AF1631" s="960">
        <f t="array" ref="AF1631">HLOOKUP($J1631,'Type Chart'!$C$2:$T$20,13,false)*HLOOKUP($K1631,'Type Chart'!$C$2:$U$20,13,false)</f>
        <v>1</v>
      </c>
      <c r="AG1631" s="960">
        <f t="array" ref="AG1631">HLOOKUP($J1631,'Type Chart'!$C$2:$T$20,14,false)*HLOOKUP($K1631,'Type Chart'!$C$2:$U$20,14,false)</f>
        <v>1</v>
      </c>
      <c r="AH1631" s="960">
        <f t="array" ref="AH1631">HLOOKUP($J1631,'Type Chart'!$C$2:$T$20,15,false)*HLOOKUP($K1631,'Type Chart'!$C$2:$U$20,15,false)</f>
        <v>0.5</v>
      </c>
      <c r="AI1631" s="960">
        <f t="array" ref="AI1631">HLOOKUP($J1631,'Type Chart'!$C$2:$T$20,16,false)*HLOOKUP($K1631,'Type Chart'!$C$2:$U$20,16,false)</f>
        <v>1</v>
      </c>
      <c r="AJ1631" s="960">
        <f t="array" ref="AJ1631">HLOOKUP($J1631,'Type Chart'!$C$2:$T$20,17,false)*HLOOKUP($K1631,'Type Chart'!$C$2:$U$20,17,false)</f>
        <v>0</v>
      </c>
      <c r="AK1631" s="960">
        <f t="array" ref="AK1631">HLOOKUP($J1631,'Type Chart'!$C$2:$T$20,18,false)*HLOOKUP($K1631,'Type Chart'!$C$2:$U$20,18,false)</f>
        <v>1</v>
      </c>
      <c r="AL1631" s="960">
        <f t="array" ref="AL1631">HLOOKUP($J1631,'Type Chart'!$C$2:$T$20,19,false)*HLOOKUP($K1631,'Type Chart'!$C$2:$U$20,19,false)</f>
        <v>1</v>
      </c>
      <c r="AM1631" s="1145" t="s">
        <v>2079</v>
      </c>
      <c r="AN1631" s="965"/>
      <c r="AO1631" s="1146"/>
      <c r="AP1631" s="936"/>
      <c r="AQ1631" s="1245"/>
      <c r="AR1631" s="1245"/>
      <c r="AS1631" s="936"/>
    </row>
    <row r="1632" ht="15.75" customHeight="1">
      <c r="A1632" s="1099"/>
      <c r="B1632" s="948" t="s">
        <v>2080</v>
      </c>
      <c r="C1632" s="1197" t="s">
        <v>2081</v>
      </c>
      <c r="D1632" s="1197" t="s">
        <v>2081</v>
      </c>
      <c r="E1632" s="1147" t="s">
        <v>2081</v>
      </c>
      <c r="F1632" s="940"/>
      <c r="G1632" s="953"/>
      <c r="H1632" s="969"/>
      <c r="I1632" s="998" t="s">
        <v>4733</v>
      </c>
      <c r="J1632" s="1180" t="s">
        <v>343</v>
      </c>
      <c r="K1632" s="1056" t="s">
        <v>81</v>
      </c>
      <c r="L1632" s="959">
        <v>40.0</v>
      </c>
      <c r="M1632" s="960">
        <v>30.0</v>
      </c>
      <c r="N1632" s="960">
        <v>32.0</v>
      </c>
      <c r="O1632" s="960">
        <v>50.0</v>
      </c>
      <c r="P1632" s="960">
        <v>52.0</v>
      </c>
      <c r="Q1632" s="960">
        <v>65.0</v>
      </c>
      <c r="R1632" s="960">
        <v>166.0</v>
      </c>
      <c r="S1632" s="960">
        <v>229.0</v>
      </c>
      <c r="T1632" s="960">
        <v>251.0</v>
      </c>
      <c r="U1632" s="960">
        <f t="array" ref="U1632">HLOOKUP($J1632,'Type Chart'!$C$2:$T$20,2,false)*HLOOKUP($K1632,'Type Chart'!$C$2:$U$20,2,false)</f>
        <v>1</v>
      </c>
      <c r="V1632" s="960">
        <f t="array" ref="V1632">HLOOKUP($J1632,'Type Chart'!$C$2:$T$20,3,false)*HLOOKUP($K1632,'Type Chart'!$C$2:$U$20,3,false)</f>
        <v>0.5</v>
      </c>
      <c r="W1632" s="960">
        <f t="array" ref="W1632">HLOOKUP($J1632,'Type Chart'!$C$2:$T$20,4,false)*HLOOKUP($K1632,'Type Chart'!$C$2:$U$20,4,false)</f>
        <v>2</v>
      </c>
      <c r="X1632" s="960">
        <f t="array" ref="X1632">HLOOKUP($J1632,'Type Chart'!$C$2:$T$20,5,false)*HLOOKUP($K1632,'Type Chart'!$C$2:$U$20,5,false)</f>
        <v>1</v>
      </c>
      <c r="Y1632" s="960">
        <f t="array" ref="Y1632">HLOOKUP($J1632,'Type Chart'!$C$2:$T$20,6,false)*HLOOKUP($K1632,'Type Chart'!$C$2:$U$20,6,false)</f>
        <v>0.5</v>
      </c>
      <c r="Z1632" s="960">
        <f t="array" ref="Z1632">HLOOKUP($J1632,'Type Chart'!$C$2:$T$20,7,false)*HLOOKUP($K1632,'Type Chart'!$C$2:$U$20,7,false)</f>
        <v>2</v>
      </c>
      <c r="AA1632" s="960">
        <f t="array" ref="AA1632">HLOOKUP($J1632,'Type Chart'!$C$2:$T$20,8,false)*HLOOKUP($K1632,'Type Chart'!$C$2:$U$20,8,false)</f>
        <v>1</v>
      </c>
      <c r="AB1632" s="960">
        <f t="array" ref="AB1632">HLOOKUP($J1632,'Type Chart'!$C$2:$T$20,9,false)*HLOOKUP($K1632,'Type Chart'!$C$2:$U$20,9,false)</f>
        <v>1</v>
      </c>
      <c r="AC1632" s="960">
        <f t="array" ref="AC1632">HLOOKUP($J1632,'Type Chart'!$C$2:$T$20,10,false)*HLOOKUP($K1632,'Type Chart'!$C$2:$U$20,10,false)</f>
        <v>0.5</v>
      </c>
      <c r="AD1632" s="960">
        <f t="array" ref="AD1632">HLOOKUP($J1632,'Type Chart'!$C$2:$T$20,11,false)*HLOOKUP($K1632,'Type Chart'!$C$2:$U$20,11,false)</f>
        <v>1</v>
      </c>
      <c r="AE1632" s="960">
        <f t="array" ref="AE1632">HLOOKUP($J1632,'Type Chart'!$C$2:$T$20,12,false)*HLOOKUP($K1632,'Type Chart'!$C$2:$U$20,12,false)</f>
        <v>0.5</v>
      </c>
      <c r="AF1632" s="960">
        <f t="array" ref="AF1632">HLOOKUP($J1632,'Type Chart'!$C$2:$T$20,13,false)*HLOOKUP($K1632,'Type Chart'!$C$2:$U$20,13,false)</f>
        <v>1</v>
      </c>
      <c r="AG1632" s="960">
        <f t="array" ref="AG1632">HLOOKUP($J1632,'Type Chart'!$C$2:$T$20,14,false)*HLOOKUP($K1632,'Type Chart'!$C$2:$U$20,14,false)</f>
        <v>2</v>
      </c>
      <c r="AH1632" s="960">
        <f t="array" ref="AH1632">HLOOKUP($J1632,'Type Chart'!$C$2:$T$20,15,false)*HLOOKUP($K1632,'Type Chart'!$C$2:$U$20,15,false)</f>
        <v>1</v>
      </c>
      <c r="AI1632" s="960">
        <f t="array" ref="AI1632">HLOOKUP($J1632,'Type Chart'!$C$2:$T$20,16,false)*HLOOKUP($K1632,'Type Chart'!$C$2:$U$20,16,false)</f>
        <v>0.5</v>
      </c>
      <c r="AJ1632" s="960">
        <f t="array" ref="AJ1632">HLOOKUP($J1632,'Type Chart'!$C$2:$T$20,17,false)*HLOOKUP($K1632,'Type Chart'!$C$2:$U$20,17,false)</f>
        <v>1</v>
      </c>
      <c r="AK1632" s="960">
        <f t="array" ref="AK1632">HLOOKUP($J1632,'Type Chart'!$C$2:$T$20,18,false)*HLOOKUP($K1632,'Type Chart'!$C$2:$U$20,18,false)</f>
        <v>1</v>
      </c>
      <c r="AL1632" s="960">
        <f t="array" ref="AL1632">HLOOKUP($J1632,'Type Chart'!$C$2:$T$20,19,false)*HLOOKUP($K1632,'Type Chart'!$C$2:$U$20,19,false)</f>
        <v>1</v>
      </c>
      <c r="AM1632" s="1145" t="s">
        <v>1259</v>
      </c>
      <c r="AN1632" s="965"/>
      <c r="AO1632" s="1146" t="s">
        <v>960</v>
      </c>
      <c r="AP1632" s="936"/>
      <c r="AQ1632" s="1245"/>
      <c r="AR1632" s="1245"/>
      <c r="AS1632" s="936"/>
    </row>
    <row r="1633" ht="15.75" customHeight="1">
      <c r="A1633" s="1099"/>
      <c r="B1633" s="948" t="s">
        <v>2083</v>
      </c>
      <c r="C1633" s="1197" t="s">
        <v>2084</v>
      </c>
      <c r="D1633" s="1197" t="s">
        <v>2084</v>
      </c>
      <c r="E1633" s="1147" t="s">
        <v>2084</v>
      </c>
      <c r="F1633" s="940"/>
      <c r="G1633" s="953"/>
      <c r="H1633" s="969"/>
      <c r="I1633" s="998" t="s">
        <v>4734</v>
      </c>
      <c r="J1633" s="1180" t="s">
        <v>343</v>
      </c>
      <c r="K1633" s="1001" t="s">
        <v>128</v>
      </c>
      <c r="L1633" s="959">
        <v>70.0</v>
      </c>
      <c r="M1633" s="960">
        <v>60.0</v>
      </c>
      <c r="N1633" s="960">
        <v>62.0</v>
      </c>
      <c r="O1633" s="960">
        <v>100.0</v>
      </c>
      <c r="P1633" s="960">
        <v>82.0</v>
      </c>
      <c r="Q1633" s="960">
        <v>80.0</v>
      </c>
      <c r="R1633" s="960">
        <v>196.0</v>
      </c>
      <c r="S1633" s="960">
        <v>259.0</v>
      </c>
      <c r="T1633" s="960">
        <v>284.0</v>
      </c>
      <c r="U1633" s="960">
        <f t="array" ref="U1633">HLOOKUP($J1633,'Type Chart'!$C$2:$T$20,2,false)*HLOOKUP($K1633,'Type Chart'!$C$2:$U$20,2,false)</f>
        <v>1</v>
      </c>
      <c r="V1633" s="960">
        <f t="array" ref="V1633">HLOOKUP($J1633,'Type Chart'!$C$2:$T$20,3,false)*HLOOKUP($K1633,'Type Chart'!$C$2:$U$20,3,false)</f>
        <v>0.25</v>
      </c>
      <c r="W1633" s="960">
        <f t="array" ref="W1633">HLOOKUP($J1633,'Type Chart'!$C$2:$T$20,4,false)*HLOOKUP($K1633,'Type Chart'!$C$2:$U$20,4,false)</f>
        <v>2</v>
      </c>
      <c r="X1633" s="960">
        <f t="array" ref="X1633">HLOOKUP($J1633,'Type Chart'!$C$2:$T$20,5,false)*HLOOKUP($K1633,'Type Chart'!$C$2:$U$20,5,false)</f>
        <v>1</v>
      </c>
      <c r="Y1633" s="960">
        <f t="array" ref="Y1633">HLOOKUP($J1633,'Type Chart'!$C$2:$T$20,6,false)*HLOOKUP($K1633,'Type Chart'!$C$2:$U$20,6,false)</f>
        <v>0</v>
      </c>
      <c r="Z1633" s="960">
        <f t="array" ref="Z1633">HLOOKUP($J1633,'Type Chart'!$C$2:$T$20,7,false)*HLOOKUP($K1633,'Type Chart'!$C$2:$U$20,7,false)</f>
        <v>4</v>
      </c>
      <c r="AA1633" s="960">
        <f t="array" ref="AA1633">HLOOKUP($J1633,'Type Chart'!$C$2:$T$20,8,false)*HLOOKUP($K1633,'Type Chart'!$C$2:$U$20,8,false)</f>
        <v>0.5</v>
      </c>
      <c r="AB1633" s="960">
        <f t="array" ref="AB1633">HLOOKUP($J1633,'Type Chart'!$C$2:$T$20,9,false)*HLOOKUP($K1633,'Type Chart'!$C$2:$U$20,9,false)</f>
        <v>1</v>
      </c>
      <c r="AC1633" s="960">
        <f t="array" ref="AC1633">HLOOKUP($J1633,'Type Chart'!$C$2:$T$20,10,false)*HLOOKUP($K1633,'Type Chart'!$C$2:$U$20,10,false)</f>
        <v>1</v>
      </c>
      <c r="AD1633" s="960">
        <f t="array" ref="AD1633">HLOOKUP($J1633,'Type Chart'!$C$2:$T$20,11,false)*HLOOKUP($K1633,'Type Chart'!$C$2:$U$20,11,false)</f>
        <v>2</v>
      </c>
      <c r="AE1633" s="960">
        <f t="array" ref="AE1633">HLOOKUP($J1633,'Type Chart'!$C$2:$T$20,12,false)*HLOOKUP($K1633,'Type Chart'!$C$2:$U$20,12,false)</f>
        <v>1</v>
      </c>
      <c r="AF1633" s="960">
        <f t="array" ref="AF1633">HLOOKUP($J1633,'Type Chart'!$C$2:$T$20,13,false)*HLOOKUP($K1633,'Type Chart'!$C$2:$U$20,13,false)</f>
        <v>0.25</v>
      </c>
      <c r="AG1633" s="960">
        <f t="array" ref="AG1633">HLOOKUP($J1633,'Type Chart'!$C$2:$T$20,14,false)*HLOOKUP($K1633,'Type Chart'!$C$2:$U$20,14,false)</f>
        <v>2</v>
      </c>
      <c r="AH1633" s="960">
        <f t="array" ref="AH1633">HLOOKUP($J1633,'Type Chart'!$C$2:$T$20,15,false)*HLOOKUP($K1633,'Type Chart'!$C$2:$U$20,15,false)</f>
        <v>1</v>
      </c>
      <c r="AI1633" s="960">
        <f t="array" ref="AI1633">HLOOKUP($J1633,'Type Chart'!$C$2:$T$20,16,false)*HLOOKUP($K1633,'Type Chart'!$C$2:$U$20,16,false)</f>
        <v>2</v>
      </c>
      <c r="AJ1633" s="960">
        <f t="array" ref="AJ1633">HLOOKUP($J1633,'Type Chart'!$C$2:$T$20,17,false)*HLOOKUP($K1633,'Type Chart'!$C$2:$U$20,17,false)</f>
        <v>1</v>
      </c>
      <c r="AK1633" s="960">
        <f t="array" ref="AK1633">HLOOKUP($J1633,'Type Chart'!$C$2:$T$20,18,false)*HLOOKUP($K1633,'Type Chart'!$C$2:$U$20,18,false)</f>
        <v>1</v>
      </c>
      <c r="AL1633" s="960">
        <f t="array" ref="AL1633">HLOOKUP($J1633,'Type Chart'!$C$2:$T$20,19,false)*HLOOKUP($K1633,'Type Chart'!$C$2:$U$20,19,false)</f>
        <v>1</v>
      </c>
      <c r="AM1633" s="964" t="s">
        <v>1061</v>
      </c>
      <c r="AN1633" s="965"/>
      <c r="AO1633" s="1146" t="s">
        <v>1062</v>
      </c>
      <c r="AP1633" s="936"/>
      <c r="AQ1633" s="1245"/>
      <c r="AR1633" s="1245"/>
      <c r="AS1633" s="936"/>
    </row>
    <row r="1634" ht="15.75" customHeight="1">
      <c r="A1634" s="1099"/>
      <c r="B1634" s="948" t="s">
        <v>2085</v>
      </c>
      <c r="C1634" s="1197" t="s">
        <v>2086</v>
      </c>
      <c r="D1634" s="1197" t="s">
        <v>2086</v>
      </c>
      <c r="E1634" s="1147" t="s">
        <v>2086</v>
      </c>
      <c r="F1634" s="940"/>
      <c r="G1634" s="953"/>
      <c r="H1634" s="969"/>
      <c r="I1634" s="998" t="s">
        <v>4735</v>
      </c>
      <c r="J1634" s="957" t="s">
        <v>209</v>
      </c>
      <c r="K1634" s="984" t="s">
        <v>216</v>
      </c>
      <c r="L1634" s="959">
        <v>60.0</v>
      </c>
      <c r="M1634" s="960">
        <v>40.0</v>
      </c>
      <c r="N1634" s="960">
        <v>60.0</v>
      </c>
      <c r="O1634" s="960">
        <v>40.0</v>
      </c>
      <c r="P1634" s="960">
        <v>60.0</v>
      </c>
      <c r="Q1634" s="960">
        <v>35.0</v>
      </c>
      <c r="R1634" s="960">
        <v>106.0</v>
      </c>
      <c r="S1634" s="960">
        <v>169.0</v>
      </c>
      <c r="T1634" s="960">
        <v>185.0</v>
      </c>
      <c r="U1634" s="960">
        <f t="array" ref="U1634">HLOOKUP($J1634,'Type Chart'!$C$2:$T$20,2,false)*HLOOKUP($K1634,'Type Chart'!$C$2:$U$20,2,false)</f>
        <v>1</v>
      </c>
      <c r="V1634" s="960">
        <f t="array" ref="V1634">HLOOKUP($J1634,'Type Chart'!$C$2:$T$20,3,false)*HLOOKUP($K1634,'Type Chart'!$C$2:$U$20,3,false)</f>
        <v>1</v>
      </c>
      <c r="W1634" s="960">
        <f t="array" ref="W1634">HLOOKUP($J1634,'Type Chart'!$C$2:$T$20,4,false)*HLOOKUP($K1634,'Type Chart'!$C$2:$U$20,4,false)</f>
        <v>2</v>
      </c>
      <c r="X1634" s="960">
        <f t="array" ref="X1634">HLOOKUP($J1634,'Type Chart'!$C$2:$T$20,5,false)*HLOOKUP($K1634,'Type Chart'!$C$2:$U$20,5,false)</f>
        <v>2</v>
      </c>
      <c r="Y1634" s="960">
        <f t="array" ref="Y1634">HLOOKUP($J1634,'Type Chart'!$C$2:$T$20,6,false)*HLOOKUP($K1634,'Type Chart'!$C$2:$U$20,6,false)</f>
        <v>0.5</v>
      </c>
      <c r="Z1634" s="960">
        <f t="array" ref="Z1634">HLOOKUP($J1634,'Type Chart'!$C$2:$T$20,7,false)*HLOOKUP($K1634,'Type Chart'!$C$2:$U$20,7,false)</f>
        <v>1</v>
      </c>
      <c r="AA1634" s="960">
        <f t="array" ref="AA1634">HLOOKUP($J1634,'Type Chart'!$C$2:$T$20,8,false)*HLOOKUP($K1634,'Type Chart'!$C$2:$U$20,8,false)</f>
        <v>2</v>
      </c>
      <c r="AB1634" s="960">
        <f t="array" ref="AB1634">HLOOKUP($J1634,'Type Chart'!$C$2:$T$20,9,false)*HLOOKUP($K1634,'Type Chart'!$C$2:$U$20,9,false)</f>
        <v>1</v>
      </c>
      <c r="AC1634" s="960">
        <f t="array" ref="AC1634">HLOOKUP($J1634,'Type Chart'!$C$2:$T$20,10,false)*HLOOKUP($K1634,'Type Chart'!$C$2:$U$20,10,false)</f>
        <v>1</v>
      </c>
      <c r="AD1634" s="960">
        <f t="array" ref="AD1634">HLOOKUP($J1634,'Type Chart'!$C$2:$T$20,11,false)*HLOOKUP($K1634,'Type Chart'!$C$2:$U$20,11,false)</f>
        <v>2</v>
      </c>
      <c r="AE1634" s="960">
        <f t="array" ref="AE1634">HLOOKUP($J1634,'Type Chart'!$C$2:$T$20,12,false)*HLOOKUP($K1634,'Type Chart'!$C$2:$U$20,12,false)</f>
        <v>0.5</v>
      </c>
      <c r="AF1634" s="960">
        <f t="array" ref="AF1634">HLOOKUP($J1634,'Type Chart'!$C$2:$T$20,13,false)*HLOOKUP($K1634,'Type Chart'!$C$2:$U$20,13,false)</f>
        <v>0.5</v>
      </c>
      <c r="AG1634" s="960">
        <f t="array" ref="AG1634">HLOOKUP($J1634,'Type Chart'!$C$2:$T$20,14,false)*HLOOKUP($K1634,'Type Chart'!$C$2:$U$20,14,false)</f>
        <v>0.5</v>
      </c>
      <c r="AH1634" s="960">
        <f t="array" ref="AH1634">HLOOKUP($J1634,'Type Chart'!$C$2:$T$20,15,false)*HLOOKUP($K1634,'Type Chart'!$C$2:$U$20,15,false)</f>
        <v>1</v>
      </c>
      <c r="AI1634" s="960">
        <f t="array" ref="AI1634">HLOOKUP($J1634,'Type Chart'!$C$2:$T$20,16,false)*HLOOKUP($K1634,'Type Chart'!$C$2:$U$20,16,false)</f>
        <v>2</v>
      </c>
      <c r="AJ1634" s="960">
        <f t="array" ref="AJ1634">HLOOKUP($J1634,'Type Chart'!$C$2:$T$20,17,false)*HLOOKUP($K1634,'Type Chart'!$C$2:$U$20,17,false)</f>
        <v>1</v>
      </c>
      <c r="AK1634" s="960">
        <f t="array" ref="AK1634">HLOOKUP($J1634,'Type Chart'!$C$2:$T$20,18,false)*HLOOKUP($K1634,'Type Chart'!$C$2:$U$20,18,false)</f>
        <v>1</v>
      </c>
      <c r="AL1634" s="960">
        <f t="array" ref="AL1634">HLOOKUP($J1634,'Type Chart'!$C$2:$T$20,19,false)*HLOOKUP($K1634,'Type Chart'!$C$2:$U$20,19,false)</f>
        <v>1</v>
      </c>
      <c r="AM1634" s="1145" t="s">
        <v>1206</v>
      </c>
      <c r="AN1634" s="965" t="s">
        <v>2088</v>
      </c>
      <c r="AO1634" s="1146" t="s">
        <v>1615</v>
      </c>
      <c r="AP1634" s="936"/>
      <c r="AQ1634" s="1245"/>
      <c r="AR1634" s="1245"/>
      <c r="AS1634" s="936"/>
    </row>
    <row r="1635" ht="15.75" customHeight="1">
      <c r="A1635" s="1099"/>
      <c r="B1635" s="948" t="s">
        <v>2089</v>
      </c>
      <c r="C1635" s="1197" t="s">
        <v>2090</v>
      </c>
      <c r="D1635" s="1197" t="s">
        <v>2090</v>
      </c>
      <c r="E1635" s="1147" t="s">
        <v>2090</v>
      </c>
      <c r="F1635" s="940"/>
      <c r="G1635" s="953"/>
      <c r="H1635" s="969"/>
      <c r="I1635" s="998" t="s">
        <v>4736</v>
      </c>
      <c r="J1635" s="957" t="s">
        <v>209</v>
      </c>
      <c r="K1635" s="1213" t="s">
        <v>341</v>
      </c>
      <c r="L1635" s="959">
        <v>60.0</v>
      </c>
      <c r="M1635" s="960">
        <v>130.0</v>
      </c>
      <c r="N1635" s="960">
        <v>80.0</v>
      </c>
      <c r="O1635" s="960">
        <v>60.0</v>
      </c>
      <c r="P1635" s="960">
        <v>60.0</v>
      </c>
      <c r="Q1635" s="960">
        <v>70.0</v>
      </c>
      <c r="R1635" s="960">
        <v>176.0</v>
      </c>
      <c r="S1635" s="960">
        <v>239.0</v>
      </c>
      <c r="T1635" s="960">
        <v>262.0</v>
      </c>
      <c r="U1635" s="960">
        <f t="array" ref="U1635">HLOOKUP($J1635,'Type Chart'!$C$2:$T$20,2,false)*HLOOKUP($K1635,'Type Chart'!$C$2:$U$20,2,false)</f>
        <v>1</v>
      </c>
      <c r="V1635" s="960">
        <f t="array" ref="V1635">HLOOKUP($J1635,'Type Chart'!$C$2:$T$20,3,false)*HLOOKUP($K1635,'Type Chart'!$C$2:$U$20,3,false)</f>
        <v>1</v>
      </c>
      <c r="W1635" s="960">
        <f t="array" ref="W1635">HLOOKUP($J1635,'Type Chart'!$C$2:$T$20,4,false)*HLOOKUP($K1635,'Type Chart'!$C$2:$U$20,4,false)</f>
        <v>4</v>
      </c>
      <c r="X1635" s="960">
        <f t="array" ref="X1635">HLOOKUP($J1635,'Type Chart'!$C$2:$T$20,5,false)*HLOOKUP($K1635,'Type Chart'!$C$2:$U$20,5,false)</f>
        <v>2</v>
      </c>
      <c r="Y1635" s="960">
        <f t="array" ref="Y1635">HLOOKUP($J1635,'Type Chart'!$C$2:$T$20,6,false)*HLOOKUP($K1635,'Type Chart'!$C$2:$U$20,6,false)</f>
        <v>0.5</v>
      </c>
      <c r="Z1635" s="960">
        <f t="array" ref="Z1635">HLOOKUP($J1635,'Type Chart'!$C$2:$T$20,7,false)*HLOOKUP($K1635,'Type Chart'!$C$2:$U$20,7,false)</f>
        <v>0.5</v>
      </c>
      <c r="AA1635" s="960">
        <f t="array" ref="AA1635">HLOOKUP($J1635,'Type Chart'!$C$2:$T$20,8,false)*HLOOKUP($K1635,'Type Chart'!$C$2:$U$20,8,false)</f>
        <v>1</v>
      </c>
      <c r="AB1635" s="960">
        <f t="array" ref="AB1635">HLOOKUP($J1635,'Type Chart'!$C$2:$T$20,9,false)*HLOOKUP($K1635,'Type Chart'!$C$2:$U$20,9,false)</f>
        <v>1</v>
      </c>
      <c r="AC1635" s="960">
        <f t="array" ref="AC1635">HLOOKUP($J1635,'Type Chart'!$C$2:$T$20,10,false)*HLOOKUP($K1635,'Type Chart'!$C$2:$U$20,10,false)</f>
        <v>1</v>
      </c>
      <c r="AD1635" s="960">
        <f t="array" ref="AD1635">HLOOKUP($J1635,'Type Chart'!$C$2:$T$20,11,false)*HLOOKUP($K1635,'Type Chart'!$C$2:$U$20,11,false)</f>
        <v>2</v>
      </c>
      <c r="AE1635" s="960">
        <f t="array" ref="AE1635">HLOOKUP($J1635,'Type Chart'!$C$2:$T$20,12,false)*HLOOKUP($K1635,'Type Chart'!$C$2:$U$20,12,false)</f>
        <v>0.5</v>
      </c>
      <c r="AF1635" s="960">
        <f t="array" ref="AF1635">HLOOKUP($J1635,'Type Chart'!$C$2:$T$20,13,false)*HLOOKUP($K1635,'Type Chart'!$C$2:$U$20,13,false)</f>
        <v>0.5</v>
      </c>
      <c r="AG1635" s="960">
        <f t="array" ref="AG1635">HLOOKUP($J1635,'Type Chart'!$C$2:$T$20,14,false)*HLOOKUP($K1635,'Type Chart'!$C$2:$U$20,14,false)</f>
        <v>0.5</v>
      </c>
      <c r="AH1635" s="960">
        <f t="array" ref="AH1635">HLOOKUP($J1635,'Type Chart'!$C$2:$T$20,15,false)*HLOOKUP($K1635,'Type Chart'!$C$2:$U$20,15,false)</f>
        <v>2</v>
      </c>
      <c r="AI1635" s="960">
        <f t="array" ref="AI1635">HLOOKUP($J1635,'Type Chart'!$C$2:$T$20,16,false)*HLOOKUP($K1635,'Type Chart'!$C$2:$U$20,16,false)</f>
        <v>2</v>
      </c>
      <c r="AJ1635" s="960">
        <f t="array" ref="AJ1635">HLOOKUP($J1635,'Type Chart'!$C$2:$T$20,17,false)*HLOOKUP($K1635,'Type Chart'!$C$2:$U$20,17,false)</f>
        <v>1</v>
      </c>
      <c r="AK1635" s="960">
        <f t="array" ref="AK1635">HLOOKUP($J1635,'Type Chart'!$C$2:$T$20,18,false)*HLOOKUP($K1635,'Type Chart'!$C$2:$U$20,18,false)</f>
        <v>0.5</v>
      </c>
      <c r="AL1635" s="960">
        <f t="array" ref="AL1635">HLOOKUP($J1635,'Type Chart'!$C$2:$T$20,19,false)*HLOOKUP($K1635,'Type Chart'!$C$2:$U$20,19,false)</f>
        <v>2</v>
      </c>
      <c r="AM1635" s="1145" t="s">
        <v>1206</v>
      </c>
      <c r="AN1635" s="965" t="s">
        <v>2088</v>
      </c>
      <c r="AO1635" s="1146" t="s">
        <v>1239</v>
      </c>
      <c r="AP1635" s="936"/>
      <c r="AQ1635" s="1245"/>
      <c r="AR1635" s="1245"/>
      <c r="AS1635" s="936"/>
    </row>
    <row r="1636" ht="15.75" customHeight="1">
      <c r="A1636" s="1099"/>
      <c r="B1636" s="948" t="s">
        <v>2091</v>
      </c>
      <c r="C1636" s="1197" t="s">
        <v>2092</v>
      </c>
      <c r="D1636" s="1197" t="s">
        <v>2092</v>
      </c>
      <c r="E1636" s="1147" t="s">
        <v>2092</v>
      </c>
      <c r="F1636" s="940"/>
      <c r="G1636" s="953"/>
      <c r="H1636" s="969"/>
      <c r="I1636" s="998" t="s">
        <v>4737</v>
      </c>
      <c r="J1636" s="1194" t="s">
        <v>136</v>
      </c>
      <c r="K1636" s="984" t="s">
        <v>216</v>
      </c>
      <c r="L1636" s="959">
        <v>60.0</v>
      </c>
      <c r="M1636" s="960">
        <v>60.0</v>
      </c>
      <c r="N1636" s="960">
        <v>60.0</v>
      </c>
      <c r="O1636" s="960">
        <v>35.0</v>
      </c>
      <c r="P1636" s="960">
        <v>35.0</v>
      </c>
      <c r="Q1636" s="960">
        <v>30.0</v>
      </c>
      <c r="R1636" s="960">
        <v>96.0</v>
      </c>
      <c r="S1636" s="960">
        <v>159.0</v>
      </c>
      <c r="T1636" s="960">
        <v>174.0</v>
      </c>
      <c r="U1636" s="960">
        <f t="array" ref="U1636">HLOOKUP($J1636,'Type Chart'!$C$2:$T$20,2,false)*HLOOKUP($K1636,'Type Chart'!$C$2:$U$20,2,false)</f>
        <v>1</v>
      </c>
      <c r="V1636" s="960">
        <f t="array" ref="V1636">HLOOKUP($J1636,'Type Chart'!$C$2:$T$20,3,false)*HLOOKUP($K1636,'Type Chart'!$C$2:$U$20,3,false)</f>
        <v>2</v>
      </c>
      <c r="W1636" s="960">
        <f t="array" ref="W1636">HLOOKUP($J1636,'Type Chart'!$C$2:$T$20,4,false)*HLOOKUP($K1636,'Type Chart'!$C$2:$U$20,4,false)</f>
        <v>1</v>
      </c>
      <c r="X1636" s="960">
        <f t="array" ref="X1636">HLOOKUP($J1636,'Type Chart'!$C$2:$T$20,5,false)*HLOOKUP($K1636,'Type Chart'!$C$2:$U$20,5,false)</f>
        <v>1</v>
      </c>
      <c r="Y1636" s="960">
        <f t="array" ref="Y1636">HLOOKUP($J1636,'Type Chart'!$C$2:$T$20,6,false)*HLOOKUP($K1636,'Type Chart'!$C$2:$U$20,6,false)</f>
        <v>1</v>
      </c>
      <c r="Z1636" s="960">
        <f t="array" ref="Z1636">HLOOKUP($J1636,'Type Chart'!$C$2:$T$20,7,false)*HLOOKUP($K1636,'Type Chart'!$C$2:$U$20,7,false)</f>
        <v>1</v>
      </c>
      <c r="AA1636" s="960">
        <f t="array" ref="AA1636">HLOOKUP($J1636,'Type Chart'!$C$2:$T$20,8,false)*HLOOKUP($K1636,'Type Chart'!$C$2:$U$20,8,false)</f>
        <v>1</v>
      </c>
      <c r="AB1636" s="960">
        <f t="array" ref="AB1636">HLOOKUP($J1636,'Type Chart'!$C$2:$T$20,9,false)*HLOOKUP($K1636,'Type Chart'!$C$2:$U$20,9,false)</f>
        <v>0</v>
      </c>
      <c r="AC1636" s="960">
        <f t="array" ref="AC1636">HLOOKUP($J1636,'Type Chart'!$C$2:$T$20,10,false)*HLOOKUP($K1636,'Type Chart'!$C$2:$U$20,10,false)</f>
        <v>1</v>
      </c>
      <c r="AD1636" s="960">
        <f t="array" ref="AD1636">HLOOKUP($J1636,'Type Chart'!$C$2:$T$20,11,false)*HLOOKUP($K1636,'Type Chart'!$C$2:$U$20,11,false)</f>
        <v>1</v>
      </c>
      <c r="AE1636" s="960">
        <f t="array" ref="AE1636">HLOOKUP($J1636,'Type Chart'!$C$2:$T$20,12,false)*HLOOKUP($K1636,'Type Chart'!$C$2:$U$20,12,false)</f>
        <v>1</v>
      </c>
      <c r="AF1636" s="960">
        <f t="array" ref="AF1636">HLOOKUP($J1636,'Type Chart'!$C$2:$T$20,13,false)*HLOOKUP($K1636,'Type Chart'!$C$2:$U$20,13,false)</f>
        <v>1</v>
      </c>
      <c r="AG1636" s="960">
        <f t="array" ref="AG1636">HLOOKUP($J1636,'Type Chart'!$C$2:$T$20,14,false)*HLOOKUP($K1636,'Type Chart'!$C$2:$U$20,14,false)</f>
        <v>1</v>
      </c>
      <c r="AH1636" s="960">
        <f t="array" ref="AH1636">HLOOKUP($J1636,'Type Chart'!$C$2:$T$20,15,false)*HLOOKUP($K1636,'Type Chart'!$C$2:$U$20,15,false)</f>
        <v>1</v>
      </c>
      <c r="AI1636" s="960">
        <f t="array" ref="AI1636">HLOOKUP($J1636,'Type Chart'!$C$2:$T$20,16,false)*HLOOKUP($K1636,'Type Chart'!$C$2:$U$20,16,false)</f>
        <v>1</v>
      </c>
      <c r="AJ1636" s="960">
        <f t="array" ref="AJ1636">HLOOKUP($J1636,'Type Chart'!$C$2:$T$20,17,false)*HLOOKUP($K1636,'Type Chart'!$C$2:$U$20,17,false)</f>
        <v>1</v>
      </c>
      <c r="AK1636" s="960">
        <f t="array" ref="AK1636">HLOOKUP($J1636,'Type Chart'!$C$2:$T$20,18,false)*HLOOKUP($K1636,'Type Chart'!$C$2:$U$20,18,false)</f>
        <v>1</v>
      </c>
      <c r="AL1636" s="960">
        <f t="array" ref="AL1636">HLOOKUP($J1636,'Type Chart'!$C$2:$T$20,19,false)*HLOOKUP($K1636,'Type Chart'!$C$2:$U$20,19,false)</f>
        <v>1</v>
      </c>
      <c r="AM1636" s="964" t="s">
        <v>2094</v>
      </c>
      <c r="AN1636" s="965"/>
      <c r="AO1636" s="966"/>
      <c r="AP1636" s="936"/>
      <c r="AQ1636" s="1245"/>
      <c r="AR1636" s="1245"/>
      <c r="AS1636" s="936"/>
    </row>
    <row r="1637" ht="15.75" customHeight="1">
      <c r="A1637" s="1099"/>
      <c r="B1637" s="948" t="s">
        <v>2095</v>
      </c>
      <c r="C1637" s="1197" t="s">
        <v>2096</v>
      </c>
      <c r="D1637" s="1197" t="s">
        <v>2096</v>
      </c>
      <c r="E1637" s="1147" t="s">
        <v>2096</v>
      </c>
      <c r="F1637" s="940"/>
      <c r="G1637" s="953"/>
      <c r="H1637" s="969"/>
      <c r="I1637" s="998" t="s">
        <v>4738</v>
      </c>
      <c r="J1637" s="1194" t="s">
        <v>136</v>
      </c>
      <c r="K1637" s="984" t="s">
        <v>216</v>
      </c>
      <c r="L1637" s="959">
        <v>80.0</v>
      </c>
      <c r="M1637" s="960">
        <v>80.0</v>
      </c>
      <c r="N1637" s="960">
        <v>80.0</v>
      </c>
      <c r="O1637" s="960">
        <v>55.0</v>
      </c>
      <c r="P1637" s="960">
        <v>55.0</v>
      </c>
      <c r="Q1637" s="960">
        <v>90.0</v>
      </c>
      <c r="R1637" s="960">
        <v>216.0</v>
      </c>
      <c r="S1637" s="960">
        <v>279.0</v>
      </c>
      <c r="T1637" s="960">
        <v>306.0</v>
      </c>
      <c r="U1637" s="960">
        <f t="array" ref="U1637">HLOOKUP($J1637,'Type Chart'!$C$2:$T$20,2,false)*HLOOKUP($K1637,'Type Chart'!$C$2:$U$20,2,false)</f>
        <v>1</v>
      </c>
      <c r="V1637" s="960">
        <f t="array" ref="V1637">HLOOKUP($J1637,'Type Chart'!$C$2:$T$20,3,false)*HLOOKUP($K1637,'Type Chart'!$C$2:$U$20,3,false)</f>
        <v>2</v>
      </c>
      <c r="W1637" s="960">
        <f t="array" ref="W1637">HLOOKUP($J1637,'Type Chart'!$C$2:$T$20,4,false)*HLOOKUP($K1637,'Type Chart'!$C$2:$U$20,4,false)</f>
        <v>1</v>
      </c>
      <c r="X1637" s="960">
        <f t="array" ref="X1637">HLOOKUP($J1637,'Type Chart'!$C$2:$T$20,5,false)*HLOOKUP($K1637,'Type Chart'!$C$2:$U$20,5,false)</f>
        <v>1</v>
      </c>
      <c r="Y1637" s="960">
        <f t="array" ref="Y1637">HLOOKUP($J1637,'Type Chart'!$C$2:$T$20,6,false)*HLOOKUP($K1637,'Type Chart'!$C$2:$U$20,6,false)</f>
        <v>1</v>
      </c>
      <c r="Z1637" s="960">
        <f t="array" ref="Z1637">HLOOKUP($J1637,'Type Chart'!$C$2:$T$20,7,false)*HLOOKUP($K1637,'Type Chart'!$C$2:$U$20,7,false)</f>
        <v>1</v>
      </c>
      <c r="AA1637" s="960">
        <f t="array" ref="AA1637">HLOOKUP($J1637,'Type Chart'!$C$2:$T$20,8,false)*HLOOKUP($K1637,'Type Chart'!$C$2:$U$20,8,false)</f>
        <v>1</v>
      </c>
      <c r="AB1637" s="960">
        <f t="array" ref="AB1637">HLOOKUP($J1637,'Type Chart'!$C$2:$T$20,9,false)*HLOOKUP($K1637,'Type Chart'!$C$2:$U$20,9,false)</f>
        <v>0</v>
      </c>
      <c r="AC1637" s="960">
        <f t="array" ref="AC1637">HLOOKUP($J1637,'Type Chart'!$C$2:$T$20,10,false)*HLOOKUP($K1637,'Type Chart'!$C$2:$U$20,10,false)</f>
        <v>1</v>
      </c>
      <c r="AD1637" s="960">
        <f t="array" ref="AD1637">HLOOKUP($J1637,'Type Chart'!$C$2:$T$20,11,false)*HLOOKUP($K1637,'Type Chart'!$C$2:$U$20,11,false)</f>
        <v>1</v>
      </c>
      <c r="AE1637" s="960">
        <f t="array" ref="AE1637">HLOOKUP($J1637,'Type Chart'!$C$2:$T$20,12,false)*HLOOKUP($K1637,'Type Chart'!$C$2:$U$20,12,false)</f>
        <v>1</v>
      </c>
      <c r="AF1637" s="960">
        <f t="array" ref="AF1637">HLOOKUP($J1637,'Type Chart'!$C$2:$T$20,13,false)*HLOOKUP($K1637,'Type Chart'!$C$2:$U$20,13,false)</f>
        <v>1</v>
      </c>
      <c r="AG1637" s="960">
        <f t="array" ref="AG1637">HLOOKUP($J1637,'Type Chart'!$C$2:$T$20,14,false)*HLOOKUP($K1637,'Type Chart'!$C$2:$U$20,14,false)</f>
        <v>1</v>
      </c>
      <c r="AH1637" s="960">
        <f t="array" ref="AH1637">HLOOKUP($J1637,'Type Chart'!$C$2:$T$20,15,false)*HLOOKUP($K1637,'Type Chart'!$C$2:$U$20,15,false)</f>
        <v>1</v>
      </c>
      <c r="AI1637" s="960">
        <f t="array" ref="AI1637">HLOOKUP($J1637,'Type Chart'!$C$2:$T$20,16,false)*HLOOKUP($K1637,'Type Chart'!$C$2:$U$20,16,false)</f>
        <v>1</v>
      </c>
      <c r="AJ1637" s="960">
        <f t="array" ref="AJ1637">HLOOKUP($J1637,'Type Chart'!$C$2:$T$20,17,false)*HLOOKUP($K1637,'Type Chart'!$C$2:$U$20,17,false)</f>
        <v>1</v>
      </c>
      <c r="AK1637" s="960">
        <f t="array" ref="AK1637">HLOOKUP($J1637,'Type Chart'!$C$2:$T$20,18,false)*HLOOKUP($K1637,'Type Chart'!$C$2:$U$20,18,false)</f>
        <v>1</v>
      </c>
      <c r="AL1637" s="960">
        <f t="array" ref="AL1637">HLOOKUP($J1637,'Type Chart'!$C$2:$T$20,19,false)*HLOOKUP($K1637,'Type Chart'!$C$2:$U$20,19,false)</f>
        <v>1</v>
      </c>
      <c r="AM1637" s="964" t="s">
        <v>1265</v>
      </c>
      <c r="AN1637" s="1202"/>
      <c r="AO1637" s="966"/>
      <c r="AP1637" s="936"/>
      <c r="AQ1637" s="1245"/>
      <c r="AR1637" s="1245"/>
      <c r="AS1637" s="936"/>
    </row>
    <row r="1638" ht="15.75" customHeight="1">
      <c r="A1638" s="1099"/>
      <c r="B1638" s="948" t="s">
        <v>2097</v>
      </c>
      <c r="C1638" s="1197" t="s">
        <v>2098</v>
      </c>
      <c r="D1638" s="1197" t="s">
        <v>2098</v>
      </c>
      <c r="E1638" s="1147" t="s">
        <v>2098</v>
      </c>
      <c r="F1638" s="940"/>
      <c r="G1638" s="953"/>
      <c r="H1638" s="969"/>
      <c r="I1638" s="998" t="s">
        <v>4739</v>
      </c>
      <c r="J1638" s="1216" t="s">
        <v>136</v>
      </c>
      <c r="K1638" s="984" t="s">
        <v>216</v>
      </c>
      <c r="L1638" s="1200">
        <v>150.0</v>
      </c>
      <c r="M1638" s="1201">
        <v>160.0</v>
      </c>
      <c r="N1638" s="1201">
        <v>100.0</v>
      </c>
      <c r="O1638" s="1201">
        <v>95.0</v>
      </c>
      <c r="P1638" s="1201">
        <v>65.0</v>
      </c>
      <c r="Q1638" s="1201">
        <v>100.0</v>
      </c>
      <c r="R1638" s="960">
        <v>236.0</v>
      </c>
      <c r="S1638" s="960">
        <v>299.0</v>
      </c>
      <c r="T1638" s="960">
        <v>328.0</v>
      </c>
      <c r="U1638" s="960">
        <f t="array" ref="U1638">HLOOKUP($J1638,'Type Chart'!$C$2:$T$20,2,false)*HLOOKUP($K1638,'Type Chart'!$C$2:$U$20,2,false)</f>
        <v>1</v>
      </c>
      <c r="V1638" s="960">
        <f t="array" ref="V1638">HLOOKUP($J1638,'Type Chart'!$C$2:$T$20,3,false)*HLOOKUP($K1638,'Type Chart'!$C$2:$U$20,3,false)</f>
        <v>2</v>
      </c>
      <c r="W1638" s="960">
        <f t="array" ref="W1638">HLOOKUP($J1638,'Type Chart'!$C$2:$T$20,4,false)*HLOOKUP($K1638,'Type Chart'!$C$2:$U$20,4,false)</f>
        <v>1</v>
      </c>
      <c r="X1638" s="960">
        <f t="array" ref="X1638">HLOOKUP($J1638,'Type Chart'!$C$2:$T$20,5,false)*HLOOKUP($K1638,'Type Chart'!$C$2:$U$20,5,false)</f>
        <v>1</v>
      </c>
      <c r="Y1638" s="960">
        <f t="array" ref="Y1638">HLOOKUP($J1638,'Type Chart'!$C$2:$T$20,6,false)*HLOOKUP($K1638,'Type Chart'!$C$2:$U$20,6,false)</f>
        <v>1</v>
      </c>
      <c r="Z1638" s="960">
        <f t="array" ref="Z1638">HLOOKUP($J1638,'Type Chart'!$C$2:$T$20,7,false)*HLOOKUP($K1638,'Type Chart'!$C$2:$U$20,7,false)</f>
        <v>1</v>
      </c>
      <c r="AA1638" s="960">
        <f t="array" ref="AA1638">HLOOKUP($J1638,'Type Chart'!$C$2:$T$20,8,false)*HLOOKUP($K1638,'Type Chart'!$C$2:$U$20,8,false)</f>
        <v>1</v>
      </c>
      <c r="AB1638" s="960">
        <f t="array" ref="AB1638">HLOOKUP($J1638,'Type Chart'!$C$2:$T$20,9,false)*HLOOKUP($K1638,'Type Chart'!$C$2:$U$20,9,false)</f>
        <v>0</v>
      </c>
      <c r="AC1638" s="960">
        <f t="array" ref="AC1638">HLOOKUP($J1638,'Type Chart'!$C$2:$T$20,10,false)*HLOOKUP($K1638,'Type Chart'!$C$2:$U$20,10,false)</f>
        <v>1</v>
      </c>
      <c r="AD1638" s="960">
        <f t="array" ref="AD1638">HLOOKUP($J1638,'Type Chart'!$C$2:$T$20,11,false)*HLOOKUP($K1638,'Type Chart'!$C$2:$U$20,11,false)</f>
        <v>1</v>
      </c>
      <c r="AE1638" s="960">
        <f t="array" ref="AE1638">HLOOKUP($J1638,'Type Chart'!$C$2:$T$20,12,false)*HLOOKUP($K1638,'Type Chart'!$C$2:$U$20,12,false)</f>
        <v>1</v>
      </c>
      <c r="AF1638" s="960">
        <f t="array" ref="AF1638">HLOOKUP($J1638,'Type Chart'!$C$2:$T$20,13,false)*HLOOKUP($K1638,'Type Chart'!$C$2:$U$20,13,false)</f>
        <v>1</v>
      </c>
      <c r="AG1638" s="960">
        <f t="array" ref="AG1638">HLOOKUP($J1638,'Type Chart'!$C$2:$T$20,14,false)*HLOOKUP($K1638,'Type Chart'!$C$2:$U$20,14,false)</f>
        <v>1</v>
      </c>
      <c r="AH1638" s="960">
        <f t="array" ref="AH1638">HLOOKUP($J1638,'Type Chart'!$C$2:$T$20,15,false)*HLOOKUP($K1638,'Type Chart'!$C$2:$U$20,15,false)</f>
        <v>1</v>
      </c>
      <c r="AI1638" s="960">
        <f t="array" ref="AI1638">HLOOKUP($J1638,'Type Chart'!$C$2:$T$20,16,false)*HLOOKUP($K1638,'Type Chart'!$C$2:$U$20,16,false)</f>
        <v>1</v>
      </c>
      <c r="AJ1638" s="960">
        <f t="array" ref="AJ1638">HLOOKUP($J1638,'Type Chart'!$C$2:$T$20,17,false)*HLOOKUP($K1638,'Type Chart'!$C$2:$U$20,17,false)</f>
        <v>1</v>
      </c>
      <c r="AK1638" s="960">
        <f t="array" ref="AK1638">HLOOKUP($J1638,'Type Chart'!$C$2:$T$20,18,false)*HLOOKUP($K1638,'Type Chart'!$C$2:$U$20,18,false)</f>
        <v>1</v>
      </c>
      <c r="AL1638" s="960">
        <f t="array" ref="AL1638">HLOOKUP($J1638,'Type Chart'!$C$2:$T$20,19,false)*HLOOKUP($K1638,'Type Chart'!$C$2:$U$20,19,false)</f>
        <v>1</v>
      </c>
      <c r="AM1638" s="1145" t="s">
        <v>2094</v>
      </c>
      <c r="AN1638" s="965"/>
      <c r="AO1638" s="966"/>
      <c r="AP1638" s="936"/>
      <c r="AQ1638" s="1245"/>
      <c r="AR1638" s="1245"/>
      <c r="AS1638" s="936"/>
    </row>
    <row r="1639" ht="15.75" customHeight="1">
      <c r="A1639" s="1099"/>
      <c r="B1639" s="948" t="s">
        <v>2099</v>
      </c>
      <c r="C1639" s="1197" t="s">
        <v>2100</v>
      </c>
      <c r="D1639" s="1197" t="s">
        <v>2100</v>
      </c>
      <c r="E1639" s="1147" t="s">
        <v>2100</v>
      </c>
      <c r="F1639" s="940"/>
      <c r="G1639" s="953"/>
      <c r="H1639" s="969"/>
      <c r="I1639" s="998" t="s">
        <v>4740</v>
      </c>
      <c r="J1639" s="1180" t="s">
        <v>343</v>
      </c>
      <c r="K1639" s="1204" t="s">
        <v>80</v>
      </c>
      <c r="L1639" s="959">
        <v>31.0</v>
      </c>
      <c r="M1639" s="960">
        <v>45.0</v>
      </c>
      <c r="N1639" s="960">
        <v>90.0</v>
      </c>
      <c r="O1639" s="960">
        <v>30.0</v>
      </c>
      <c r="P1639" s="960">
        <v>30.0</v>
      </c>
      <c r="Q1639" s="960">
        <v>40.0</v>
      </c>
      <c r="R1639" s="960">
        <v>116.0</v>
      </c>
      <c r="S1639" s="960">
        <v>179.0</v>
      </c>
      <c r="T1639" s="960">
        <v>196.0</v>
      </c>
      <c r="U1639" s="960">
        <f t="array" ref="U1639">HLOOKUP($J1639,'Type Chart'!$C$2:$T$20,2,false)*HLOOKUP($K1639,'Type Chart'!$C$2:$U$20,2,false)</f>
        <v>1</v>
      </c>
      <c r="V1639" s="960">
        <f t="array" ref="V1639">HLOOKUP($J1639,'Type Chart'!$C$2:$T$20,3,false)*HLOOKUP($K1639,'Type Chart'!$C$2:$U$20,3,false)</f>
        <v>0.5</v>
      </c>
      <c r="W1639" s="960">
        <f t="array" ref="W1639">HLOOKUP($J1639,'Type Chart'!$C$2:$T$20,4,false)*HLOOKUP($K1639,'Type Chart'!$C$2:$U$20,4,false)</f>
        <v>2</v>
      </c>
      <c r="X1639" s="960">
        <f t="array" ref="X1639">HLOOKUP($J1639,'Type Chart'!$C$2:$T$20,5,false)*HLOOKUP($K1639,'Type Chart'!$C$2:$U$20,5,false)</f>
        <v>0.5</v>
      </c>
      <c r="Y1639" s="960">
        <f t="array" ref="Y1639">HLOOKUP($J1639,'Type Chart'!$C$2:$T$20,6,false)*HLOOKUP($K1639,'Type Chart'!$C$2:$U$20,6,false)</f>
        <v>0.5</v>
      </c>
      <c r="Z1639" s="960">
        <f t="array" ref="Z1639">HLOOKUP($J1639,'Type Chart'!$C$2:$T$20,7,false)*HLOOKUP($K1639,'Type Chart'!$C$2:$U$20,7,false)</f>
        <v>1</v>
      </c>
      <c r="AA1639" s="960">
        <f t="array" ref="AA1639">HLOOKUP($J1639,'Type Chart'!$C$2:$T$20,8,false)*HLOOKUP($K1639,'Type Chart'!$C$2:$U$20,8,false)</f>
        <v>1</v>
      </c>
      <c r="AB1639" s="960">
        <f t="array" ref="AB1639">HLOOKUP($J1639,'Type Chart'!$C$2:$T$20,9,false)*HLOOKUP($K1639,'Type Chart'!$C$2:$U$20,9,false)</f>
        <v>1</v>
      </c>
      <c r="AC1639" s="960">
        <f t="array" ref="AC1639">HLOOKUP($J1639,'Type Chart'!$C$2:$T$20,10,false)*HLOOKUP($K1639,'Type Chart'!$C$2:$U$20,10,false)</f>
        <v>1</v>
      </c>
      <c r="AD1639" s="960">
        <f t="array" ref="AD1639">HLOOKUP($J1639,'Type Chart'!$C$2:$T$20,11,false)*HLOOKUP($K1639,'Type Chart'!$C$2:$U$20,11,false)</f>
        <v>2</v>
      </c>
      <c r="AE1639" s="960">
        <f t="array" ref="AE1639">HLOOKUP($J1639,'Type Chart'!$C$2:$T$20,12,false)*HLOOKUP($K1639,'Type Chart'!$C$2:$U$20,12,false)</f>
        <v>2</v>
      </c>
      <c r="AF1639" s="960">
        <f t="array" ref="AF1639">HLOOKUP($J1639,'Type Chart'!$C$2:$T$20,13,false)*HLOOKUP($K1639,'Type Chart'!$C$2:$U$20,13,false)</f>
        <v>1</v>
      </c>
      <c r="AG1639" s="960">
        <f t="array" ref="AG1639">HLOOKUP($J1639,'Type Chart'!$C$2:$T$20,14,false)*HLOOKUP($K1639,'Type Chart'!$C$2:$U$20,14,false)</f>
        <v>0</v>
      </c>
      <c r="AH1639" s="960">
        <f t="array" ref="AH1639">HLOOKUP($J1639,'Type Chart'!$C$2:$T$20,15,false)*HLOOKUP($K1639,'Type Chart'!$C$2:$U$20,15,false)</f>
        <v>1</v>
      </c>
      <c r="AI1639" s="960">
        <f t="array" ref="AI1639">HLOOKUP($J1639,'Type Chart'!$C$2:$T$20,16,false)*HLOOKUP($K1639,'Type Chart'!$C$2:$U$20,16,false)</f>
        <v>2</v>
      </c>
      <c r="AJ1639" s="960">
        <f t="array" ref="AJ1639">HLOOKUP($J1639,'Type Chart'!$C$2:$T$20,17,false)*HLOOKUP($K1639,'Type Chart'!$C$2:$U$20,17,false)</f>
        <v>1</v>
      </c>
      <c r="AK1639" s="960">
        <f t="array" ref="AK1639">HLOOKUP($J1639,'Type Chart'!$C$2:$T$20,18,false)*HLOOKUP($K1639,'Type Chart'!$C$2:$U$20,18,false)</f>
        <v>1</v>
      </c>
      <c r="AL1639" s="960">
        <f t="array" ref="AL1639">HLOOKUP($J1639,'Type Chart'!$C$2:$T$20,19,false)*HLOOKUP($K1639,'Type Chart'!$C$2:$U$20,19,false)</f>
        <v>1</v>
      </c>
      <c r="AM1639" s="1145" t="s">
        <v>1002</v>
      </c>
      <c r="AN1639" s="1202"/>
      <c r="AO1639" s="1146" t="s">
        <v>988</v>
      </c>
      <c r="AP1639" s="936"/>
      <c r="AQ1639" s="1245"/>
      <c r="AR1639" s="1245"/>
      <c r="AS1639" s="936"/>
    </row>
    <row r="1640" ht="15.75" customHeight="1">
      <c r="A1640" s="1099"/>
      <c r="B1640" s="948" t="s">
        <v>2102</v>
      </c>
      <c r="C1640" s="1197" t="s">
        <v>2103</v>
      </c>
      <c r="D1640" s="1197" t="s">
        <v>2103</v>
      </c>
      <c r="E1640" s="1147" t="s">
        <v>2103</v>
      </c>
      <c r="F1640" s="940"/>
      <c r="G1640" s="953"/>
      <c r="H1640" s="969"/>
      <c r="I1640" s="998" t="s">
        <v>4741</v>
      </c>
      <c r="J1640" s="1180" t="s">
        <v>343</v>
      </c>
      <c r="K1640" s="1001" t="s">
        <v>128</v>
      </c>
      <c r="L1640" s="959">
        <v>61.0</v>
      </c>
      <c r="M1640" s="960">
        <v>90.0</v>
      </c>
      <c r="N1640" s="960">
        <v>45.0</v>
      </c>
      <c r="O1640" s="960">
        <v>50.0</v>
      </c>
      <c r="P1640" s="960">
        <v>50.0</v>
      </c>
      <c r="Q1640" s="960">
        <v>160.0</v>
      </c>
      <c r="R1640" s="960">
        <v>356.0</v>
      </c>
      <c r="S1640" s="960">
        <v>419.0</v>
      </c>
      <c r="T1640" s="960">
        <v>460.0</v>
      </c>
      <c r="U1640" s="960">
        <f t="array" ref="U1640">HLOOKUP($J1640,'Type Chart'!$C$2:$T$20,2,false)*HLOOKUP($K1640,'Type Chart'!$C$2:$U$20,2,false)</f>
        <v>1</v>
      </c>
      <c r="V1640" s="960">
        <f t="array" ref="V1640">HLOOKUP($J1640,'Type Chart'!$C$2:$T$20,3,false)*HLOOKUP($K1640,'Type Chart'!$C$2:$U$20,3,false)</f>
        <v>0.25</v>
      </c>
      <c r="W1640" s="960">
        <f t="array" ref="W1640">HLOOKUP($J1640,'Type Chart'!$C$2:$T$20,4,false)*HLOOKUP($K1640,'Type Chart'!$C$2:$U$20,4,false)</f>
        <v>2</v>
      </c>
      <c r="X1640" s="960">
        <f t="array" ref="X1640">HLOOKUP($J1640,'Type Chart'!$C$2:$T$20,5,false)*HLOOKUP($K1640,'Type Chart'!$C$2:$U$20,5,false)</f>
        <v>1</v>
      </c>
      <c r="Y1640" s="960">
        <f t="array" ref="Y1640">HLOOKUP($J1640,'Type Chart'!$C$2:$T$20,6,false)*HLOOKUP($K1640,'Type Chart'!$C$2:$U$20,6,false)</f>
        <v>0</v>
      </c>
      <c r="Z1640" s="960">
        <f t="array" ref="Z1640">HLOOKUP($J1640,'Type Chart'!$C$2:$T$20,7,false)*HLOOKUP($K1640,'Type Chart'!$C$2:$U$20,7,false)</f>
        <v>4</v>
      </c>
      <c r="AA1640" s="960">
        <f t="array" ref="AA1640">HLOOKUP($J1640,'Type Chart'!$C$2:$T$20,8,false)*HLOOKUP($K1640,'Type Chart'!$C$2:$U$20,8,false)</f>
        <v>0.5</v>
      </c>
      <c r="AB1640" s="960">
        <f t="array" ref="AB1640">HLOOKUP($J1640,'Type Chart'!$C$2:$T$20,9,false)*HLOOKUP($K1640,'Type Chart'!$C$2:$U$20,9,false)</f>
        <v>1</v>
      </c>
      <c r="AC1640" s="960">
        <f t="array" ref="AC1640">HLOOKUP($J1640,'Type Chart'!$C$2:$T$20,10,false)*HLOOKUP($K1640,'Type Chart'!$C$2:$U$20,10,false)</f>
        <v>1</v>
      </c>
      <c r="AD1640" s="960">
        <f t="array" ref="AD1640">HLOOKUP($J1640,'Type Chart'!$C$2:$T$20,11,false)*HLOOKUP($K1640,'Type Chart'!$C$2:$U$20,11,false)</f>
        <v>2</v>
      </c>
      <c r="AE1640" s="960">
        <f t="array" ref="AE1640">HLOOKUP($J1640,'Type Chart'!$C$2:$T$20,12,false)*HLOOKUP($K1640,'Type Chart'!$C$2:$U$20,12,false)</f>
        <v>1</v>
      </c>
      <c r="AF1640" s="960">
        <f t="array" ref="AF1640">HLOOKUP($J1640,'Type Chart'!$C$2:$T$20,13,false)*HLOOKUP($K1640,'Type Chart'!$C$2:$U$20,13,false)</f>
        <v>0.25</v>
      </c>
      <c r="AG1640" s="960">
        <f t="array" ref="AG1640">HLOOKUP($J1640,'Type Chart'!$C$2:$T$20,14,false)*HLOOKUP($K1640,'Type Chart'!$C$2:$U$20,14,false)</f>
        <v>2</v>
      </c>
      <c r="AH1640" s="960">
        <f t="array" ref="AH1640">HLOOKUP($J1640,'Type Chart'!$C$2:$T$20,15,false)*HLOOKUP($K1640,'Type Chart'!$C$2:$U$20,15,false)</f>
        <v>1</v>
      </c>
      <c r="AI1640" s="960">
        <f t="array" ref="AI1640">HLOOKUP($J1640,'Type Chart'!$C$2:$T$20,16,false)*HLOOKUP($K1640,'Type Chart'!$C$2:$U$20,16,false)</f>
        <v>2</v>
      </c>
      <c r="AJ1640" s="960">
        <f t="array" ref="AJ1640">HLOOKUP($J1640,'Type Chart'!$C$2:$T$20,17,false)*HLOOKUP($K1640,'Type Chart'!$C$2:$U$20,17,false)</f>
        <v>1</v>
      </c>
      <c r="AK1640" s="960">
        <f t="array" ref="AK1640">HLOOKUP($J1640,'Type Chart'!$C$2:$T$20,18,false)*HLOOKUP($K1640,'Type Chart'!$C$2:$U$20,18,false)</f>
        <v>1</v>
      </c>
      <c r="AL1640" s="960">
        <f t="array" ref="AL1640">HLOOKUP($J1640,'Type Chart'!$C$2:$T$20,19,false)*HLOOKUP($K1640,'Type Chart'!$C$2:$U$20,19,false)</f>
        <v>1</v>
      </c>
      <c r="AM1640" s="1145" t="s">
        <v>1798</v>
      </c>
      <c r="AN1640" s="1202"/>
      <c r="AO1640" s="1146" t="s">
        <v>1193</v>
      </c>
      <c r="AP1640" s="936"/>
      <c r="AQ1640" s="1245"/>
      <c r="AR1640" s="1245"/>
      <c r="AS1640" s="936"/>
    </row>
    <row r="1641" ht="15.75" customHeight="1">
      <c r="A1641" s="1099"/>
      <c r="B1641" s="948" t="s">
        <v>2105</v>
      </c>
      <c r="C1641" s="1197" t="s">
        <v>2106</v>
      </c>
      <c r="D1641" s="1197" t="s">
        <v>2106</v>
      </c>
      <c r="E1641" s="1147" t="s">
        <v>2106</v>
      </c>
      <c r="F1641" s="940"/>
      <c r="G1641" s="953"/>
      <c r="H1641" s="969"/>
      <c r="I1641" s="998" t="s">
        <v>4742</v>
      </c>
      <c r="J1641" s="1180" t="s">
        <v>343</v>
      </c>
      <c r="K1641" s="1220" t="s">
        <v>215</v>
      </c>
      <c r="L1641" s="959">
        <v>1.0</v>
      </c>
      <c r="M1641" s="960">
        <v>90.0</v>
      </c>
      <c r="N1641" s="960">
        <v>45.0</v>
      </c>
      <c r="O1641" s="960">
        <v>30.0</v>
      </c>
      <c r="P1641" s="960">
        <v>30.0</v>
      </c>
      <c r="Q1641" s="960">
        <v>40.0</v>
      </c>
      <c r="R1641" s="960">
        <v>116.0</v>
      </c>
      <c r="S1641" s="960">
        <v>179.0</v>
      </c>
      <c r="T1641" s="960">
        <v>196.0</v>
      </c>
      <c r="U1641" s="960">
        <f t="array" ref="U1641">HLOOKUP($J1641,'Type Chart'!$C$2:$T$20,2,false)*HLOOKUP($K1641,'Type Chart'!$C$2:$U$20,2,false)</f>
        <v>0</v>
      </c>
      <c r="V1641" s="960">
        <f t="array" ref="V1641">HLOOKUP($J1641,'Type Chart'!$C$2:$T$20,3,false)*HLOOKUP($K1641,'Type Chart'!$C$2:$U$20,3,false)</f>
        <v>0</v>
      </c>
      <c r="W1641" s="960">
        <f t="array" ref="W1641">HLOOKUP($J1641,'Type Chart'!$C$2:$T$20,4,false)*HLOOKUP($K1641,'Type Chart'!$C$2:$U$20,4,false)</f>
        <v>2</v>
      </c>
      <c r="X1641" s="960">
        <f t="array" ref="X1641">HLOOKUP($J1641,'Type Chart'!$C$2:$T$20,5,false)*HLOOKUP($K1641,'Type Chart'!$C$2:$U$20,5,false)</f>
        <v>0.5</v>
      </c>
      <c r="Y1641" s="960">
        <f t="array" ref="Y1641">HLOOKUP($J1641,'Type Chart'!$C$2:$T$20,6,false)*HLOOKUP($K1641,'Type Chart'!$C$2:$U$20,6,false)</f>
        <v>0.5</v>
      </c>
      <c r="Z1641" s="960">
        <f t="array" ref="Z1641">HLOOKUP($J1641,'Type Chart'!$C$2:$T$20,7,false)*HLOOKUP($K1641,'Type Chart'!$C$2:$U$20,7,false)</f>
        <v>2</v>
      </c>
      <c r="AA1641" s="960">
        <f t="array" ref="AA1641">HLOOKUP($J1641,'Type Chart'!$C$2:$T$20,8,false)*HLOOKUP($K1641,'Type Chart'!$C$2:$U$20,8,false)</f>
        <v>0.5</v>
      </c>
      <c r="AB1641" s="960">
        <f t="array" ref="AB1641">HLOOKUP($J1641,'Type Chart'!$C$2:$T$20,9,false)*HLOOKUP($K1641,'Type Chart'!$C$2:$U$20,9,false)</f>
        <v>2</v>
      </c>
      <c r="AC1641" s="960">
        <f t="array" ref="AC1641">HLOOKUP($J1641,'Type Chart'!$C$2:$T$20,10,false)*HLOOKUP($K1641,'Type Chart'!$C$2:$U$20,10,false)</f>
        <v>1</v>
      </c>
      <c r="AD1641" s="960">
        <f t="array" ref="AD1641">HLOOKUP($J1641,'Type Chart'!$C$2:$T$20,11,false)*HLOOKUP($K1641,'Type Chart'!$C$2:$U$20,11,false)</f>
        <v>2</v>
      </c>
      <c r="AE1641" s="960">
        <f t="array" ref="AE1641">HLOOKUP($J1641,'Type Chart'!$C$2:$T$20,12,false)*HLOOKUP($K1641,'Type Chart'!$C$2:$U$20,12,false)</f>
        <v>1</v>
      </c>
      <c r="AF1641" s="960">
        <f t="array" ref="AF1641">HLOOKUP($J1641,'Type Chart'!$C$2:$T$20,13,false)*HLOOKUP($K1641,'Type Chart'!$C$2:$U$20,13,false)</f>
        <v>0.5</v>
      </c>
      <c r="AG1641" s="960">
        <f t="array" ref="AG1641">HLOOKUP($J1641,'Type Chart'!$C$2:$T$20,14,false)*HLOOKUP($K1641,'Type Chart'!$C$2:$U$20,14,false)</f>
        <v>1</v>
      </c>
      <c r="AH1641" s="960">
        <f t="array" ref="AH1641">HLOOKUP($J1641,'Type Chart'!$C$2:$T$20,15,false)*HLOOKUP($K1641,'Type Chart'!$C$2:$U$20,15,false)</f>
        <v>1</v>
      </c>
      <c r="AI1641" s="960">
        <f t="array" ref="AI1641">HLOOKUP($J1641,'Type Chart'!$C$2:$T$20,16,false)*HLOOKUP($K1641,'Type Chart'!$C$2:$U$20,16,false)</f>
        <v>1</v>
      </c>
      <c r="AJ1641" s="960">
        <f t="array" ref="AJ1641">HLOOKUP($J1641,'Type Chart'!$C$2:$T$20,17,false)*HLOOKUP($K1641,'Type Chart'!$C$2:$U$20,17,false)</f>
        <v>1</v>
      </c>
      <c r="AK1641" s="960">
        <f t="array" ref="AK1641">HLOOKUP($J1641,'Type Chart'!$C$2:$T$20,18,false)*HLOOKUP($K1641,'Type Chart'!$C$2:$U$20,18,false)</f>
        <v>2</v>
      </c>
      <c r="AL1641" s="960">
        <f t="array" ref="AL1641">HLOOKUP($J1641,'Type Chart'!$C$2:$T$20,19,false)*HLOOKUP($K1641,'Type Chart'!$C$2:$U$20,19,false)</f>
        <v>1</v>
      </c>
      <c r="AM1641" s="1145" t="s">
        <v>2108</v>
      </c>
      <c r="AN1641" s="1202"/>
      <c r="AO1641" s="1146"/>
      <c r="AP1641" s="936"/>
      <c r="AQ1641" s="1245"/>
      <c r="AR1641" s="1245"/>
      <c r="AS1641" s="936"/>
    </row>
    <row r="1642" ht="15.75" customHeight="1">
      <c r="A1642" s="1099"/>
      <c r="B1642" s="948" t="s">
        <v>2109</v>
      </c>
      <c r="C1642" s="1197" t="s">
        <v>2110</v>
      </c>
      <c r="D1642" s="1197" t="s">
        <v>2110</v>
      </c>
      <c r="E1642" s="1147" t="s">
        <v>2110</v>
      </c>
      <c r="F1642" s="940"/>
      <c r="G1642" s="953"/>
      <c r="H1642" s="969"/>
      <c r="I1642" s="998" t="s">
        <v>4743</v>
      </c>
      <c r="J1642" s="1216" t="s">
        <v>136</v>
      </c>
      <c r="K1642" s="1199" t="s">
        <v>216</v>
      </c>
      <c r="L1642" s="1200">
        <v>64.0</v>
      </c>
      <c r="M1642" s="1201">
        <v>51.0</v>
      </c>
      <c r="N1642" s="1201">
        <v>23.0</v>
      </c>
      <c r="O1642" s="1201">
        <v>51.0</v>
      </c>
      <c r="P1642" s="1201">
        <v>23.0</v>
      </c>
      <c r="Q1642" s="1201">
        <v>28.0</v>
      </c>
      <c r="R1642" s="960">
        <v>92.0</v>
      </c>
      <c r="S1642" s="960">
        <v>155.0</v>
      </c>
      <c r="T1642" s="960">
        <v>170.0</v>
      </c>
      <c r="U1642" s="960">
        <f t="array" ref="U1642">HLOOKUP($J1642,'Type Chart'!$C$2:$T$20,2,false)*HLOOKUP($K1642,'Type Chart'!$C$2:$U$20,2,false)</f>
        <v>1</v>
      </c>
      <c r="V1642" s="960">
        <f t="array" ref="V1642">HLOOKUP($J1642,'Type Chart'!$C$2:$T$20,3,false)*HLOOKUP($K1642,'Type Chart'!$C$2:$U$20,3,false)</f>
        <v>2</v>
      </c>
      <c r="W1642" s="960">
        <f t="array" ref="W1642">HLOOKUP($J1642,'Type Chart'!$C$2:$T$20,4,false)*HLOOKUP($K1642,'Type Chart'!$C$2:$U$20,4,false)</f>
        <v>1</v>
      </c>
      <c r="X1642" s="960">
        <f t="array" ref="X1642">HLOOKUP($J1642,'Type Chart'!$C$2:$T$20,5,false)*HLOOKUP($K1642,'Type Chart'!$C$2:$U$20,5,false)</f>
        <v>1</v>
      </c>
      <c r="Y1642" s="960">
        <f t="array" ref="Y1642">HLOOKUP($J1642,'Type Chart'!$C$2:$T$20,6,false)*HLOOKUP($K1642,'Type Chart'!$C$2:$U$20,6,false)</f>
        <v>1</v>
      </c>
      <c r="Z1642" s="960">
        <f t="array" ref="Z1642">HLOOKUP($J1642,'Type Chart'!$C$2:$T$20,7,false)*HLOOKUP($K1642,'Type Chart'!$C$2:$U$20,7,false)</f>
        <v>1</v>
      </c>
      <c r="AA1642" s="960">
        <f t="array" ref="AA1642">HLOOKUP($J1642,'Type Chart'!$C$2:$T$20,8,false)*HLOOKUP($K1642,'Type Chart'!$C$2:$U$20,8,false)</f>
        <v>1</v>
      </c>
      <c r="AB1642" s="960">
        <f t="array" ref="AB1642">HLOOKUP($J1642,'Type Chart'!$C$2:$T$20,9,false)*HLOOKUP($K1642,'Type Chart'!$C$2:$U$20,9,false)</f>
        <v>0</v>
      </c>
      <c r="AC1642" s="960">
        <f t="array" ref="AC1642">HLOOKUP($J1642,'Type Chart'!$C$2:$T$20,10,false)*HLOOKUP($K1642,'Type Chart'!$C$2:$U$20,10,false)</f>
        <v>1</v>
      </c>
      <c r="AD1642" s="960">
        <f t="array" ref="AD1642">HLOOKUP($J1642,'Type Chart'!$C$2:$T$20,11,false)*HLOOKUP($K1642,'Type Chart'!$C$2:$U$20,11,false)</f>
        <v>1</v>
      </c>
      <c r="AE1642" s="960">
        <f t="array" ref="AE1642">HLOOKUP($J1642,'Type Chart'!$C$2:$T$20,12,false)*HLOOKUP($K1642,'Type Chart'!$C$2:$U$20,12,false)</f>
        <v>1</v>
      </c>
      <c r="AF1642" s="960">
        <f t="array" ref="AF1642">HLOOKUP($J1642,'Type Chart'!$C$2:$T$20,13,false)*HLOOKUP($K1642,'Type Chart'!$C$2:$U$20,13,false)</f>
        <v>1</v>
      </c>
      <c r="AG1642" s="960">
        <f t="array" ref="AG1642">HLOOKUP($J1642,'Type Chart'!$C$2:$T$20,14,false)*HLOOKUP($K1642,'Type Chart'!$C$2:$U$20,14,false)</f>
        <v>1</v>
      </c>
      <c r="AH1642" s="960">
        <f t="array" ref="AH1642">HLOOKUP($J1642,'Type Chart'!$C$2:$T$20,15,false)*HLOOKUP($K1642,'Type Chart'!$C$2:$U$20,15,false)</f>
        <v>1</v>
      </c>
      <c r="AI1642" s="960">
        <f t="array" ref="AI1642">HLOOKUP($J1642,'Type Chart'!$C$2:$T$20,16,false)*HLOOKUP($K1642,'Type Chart'!$C$2:$U$20,16,false)</f>
        <v>1</v>
      </c>
      <c r="AJ1642" s="960">
        <f t="array" ref="AJ1642">HLOOKUP($J1642,'Type Chart'!$C$2:$T$20,17,false)*HLOOKUP($K1642,'Type Chart'!$C$2:$U$20,17,false)</f>
        <v>1</v>
      </c>
      <c r="AK1642" s="960">
        <f t="array" ref="AK1642">HLOOKUP($J1642,'Type Chart'!$C$2:$T$20,18,false)*HLOOKUP($K1642,'Type Chart'!$C$2:$U$20,18,false)</f>
        <v>1</v>
      </c>
      <c r="AL1642" s="960">
        <f t="array" ref="AL1642">HLOOKUP($J1642,'Type Chart'!$C$2:$T$20,19,false)*HLOOKUP($K1642,'Type Chart'!$C$2:$U$20,19,false)</f>
        <v>1</v>
      </c>
      <c r="AM1642" s="1145" t="s">
        <v>1468</v>
      </c>
      <c r="AN1642" s="965"/>
      <c r="AO1642" s="966" t="s">
        <v>1243</v>
      </c>
      <c r="AP1642" s="936"/>
      <c r="AQ1642" s="1245"/>
      <c r="AR1642" s="1245"/>
      <c r="AS1642" s="936"/>
    </row>
    <row r="1643" ht="15.75" customHeight="1">
      <c r="A1643" s="1099"/>
      <c r="B1643" s="948" t="s">
        <v>2112</v>
      </c>
      <c r="C1643" s="1197" t="s">
        <v>2113</v>
      </c>
      <c r="D1643" s="1197" t="s">
        <v>2113</v>
      </c>
      <c r="E1643" s="1147" t="s">
        <v>2113</v>
      </c>
      <c r="F1643" s="940"/>
      <c r="G1643" s="953"/>
      <c r="H1643" s="969"/>
      <c r="I1643" s="998" t="s">
        <v>4744</v>
      </c>
      <c r="J1643" s="1216" t="s">
        <v>136</v>
      </c>
      <c r="K1643" s="1199" t="s">
        <v>216</v>
      </c>
      <c r="L1643" s="959">
        <v>84.0</v>
      </c>
      <c r="M1643" s="1201">
        <v>71.0</v>
      </c>
      <c r="N1643" s="960">
        <v>43.0</v>
      </c>
      <c r="O1643" s="1201">
        <v>71.0</v>
      </c>
      <c r="P1643" s="960">
        <v>43.0</v>
      </c>
      <c r="Q1643" s="960">
        <v>48.0</v>
      </c>
      <c r="R1643" s="960">
        <v>132.0</v>
      </c>
      <c r="S1643" s="960">
        <v>195.0</v>
      </c>
      <c r="T1643" s="960">
        <v>214.0</v>
      </c>
      <c r="U1643" s="960">
        <f t="array" ref="U1643">HLOOKUP($J1643,'Type Chart'!$C$2:$T$20,2,false)*HLOOKUP($K1643,'Type Chart'!$C$2:$U$20,2,false)</f>
        <v>1</v>
      </c>
      <c r="V1643" s="960">
        <f t="array" ref="V1643">HLOOKUP($J1643,'Type Chart'!$C$2:$T$20,3,false)*HLOOKUP($K1643,'Type Chart'!$C$2:$U$20,3,false)</f>
        <v>2</v>
      </c>
      <c r="W1643" s="960">
        <f t="array" ref="W1643">HLOOKUP($J1643,'Type Chart'!$C$2:$T$20,4,false)*HLOOKUP($K1643,'Type Chart'!$C$2:$U$20,4,false)</f>
        <v>1</v>
      </c>
      <c r="X1643" s="960">
        <f t="array" ref="X1643">HLOOKUP($J1643,'Type Chart'!$C$2:$T$20,5,false)*HLOOKUP($K1643,'Type Chart'!$C$2:$U$20,5,false)</f>
        <v>1</v>
      </c>
      <c r="Y1643" s="960">
        <f t="array" ref="Y1643">HLOOKUP($J1643,'Type Chart'!$C$2:$T$20,6,false)*HLOOKUP($K1643,'Type Chart'!$C$2:$U$20,6,false)</f>
        <v>1</v>
      </c>
      <c r="Z1643" s="960">
        <f t="array" ref="Z1643">HLOOKUP($J1643,'Type Chart'!$C$2:$T$20,7,false)*HLOOKUP($K1643,'Type Chart'!$C$2:$U$20,7,false)</f>
        <v>1</v>
      </c>
      <c r="AA1643" s="960">
        <f t="array" ref="AA1643">HLOOKUP($J1643,'Type Chart'!$C$2:$T$20,8,false)*HLOOKUP($K1643,'Type Chart'!$C$2:$U$20,8,false)</f>
        <v>1</v>
      </c>
      <c r="AB1643" s="960">
        <f t="array" ref="AB1643">HLOOKUP($J1643,'Type Chart'!$C$2:$T$20,9,false)*HLOOKUP($K1643,'Type Chart'!$C$2:$U$20,9,false)</f>
        <v>0</v>
      </c>
      <c r="AC1643" s="960">
        <f t="array" ref="AC1643">HLOOKUP($J1643,'Type Chart'!$C$2:$T$20,10,false)*HLOOKUP($K1643,'Type Chart'!$C$2:$U$20,10,false)</f>
        <v>1</v>
      </c>
      <c r="AD1643" s="960">
        <f t="array" ref="AD1643">HLOOKUP($J1643,'Type Chart'!$C$2:$T$20,11,false)*HLOOKUP($K1643,'Type Chart'!$C$2:$U$20,11,false)</f>
        <v>1</v>
      </c>
      <c r="AE1643" s="960">
        <f t="array" ref="AE1643">HLOOKUP($J1643,'Type Chart'!$C$2:$T$20,12,false)*HLOOKUP($K1643,'Type Chart'!$C$2:$U$20,12,false)</f>
        <v>1</v>
      </c>
      <c r="AF1643" s="960">
        <f t="array" ref="AF1643">HLOOKUP($J1643,'Type Chart'!$C$2:$T$20,13,false)*HLOOKUP($K1643,'Type Chart'!$C$2:$U$20,13,false)</f>
        <v>1</v>
      </c>
      <c r="AG1643" s="960">
        <f t="array" ref="AG1643">HLOOKUP($J1643,'Type Chart'!$C$2:$T$20,14,false)*HLOOKUP($K1643,'Type Chart'!$C$2:$U$20,14,false)</f>
        <v>1</v>
      </c>
      <c r="AH1643" s="960">
        <f t="array" ref="AH1643">HLOOKUP($J1643,'Type Chart'!$C$2:$T$20,15,false)*HLOOKUP($K1643,'Type Chart'!$C$2:$U$20,15,false)</f>
        <v>1</v>
      </c>
      <c r="AI1643" s="960">
        <f t="array" ref="AI1643">HLOOKUP($J1643,'Type Chart'!$C$2:$T$20,16,false)*HLOOKUP($K1643,'Type Chart'!$C$2:$U$20,16,false)</f>
        <v>1</v>
      </c>
      <c r="AJ1643" s="960">
        <f t="array" ref="AJ1643">HLOOKUP($J1643,'Type Chart'!$C$2:$T$20,17,false)*HLOOKUP($K1643,'Type Chart'!$C$2:$U$20,17,false)</f>
        <v>1</v>
      </c>
      <c r="AK1643" s="960">
        <f t="array" ref="AK1643">HLOOKUP($J1643,'Type Chart'!$C$2:$T$20,18,false)*HLOOKUP($K1643,'Type Chart'!$C$2:$U$20,18,false)</f>
        <v>1</v>
      </c>
      <c r="AL1643" s="960">
        <f t="array" ref="AL1643">HLOOKUP($J1643,'Type Chart'!$C$2:$T$20,19,false)*HLOOKUP($K1643,'Type Chart'!$C$2:$U$20,19,false)</f>
        <v>1</v>
      </c>
      <c r="AM1643" s="1145" t="s">
        <v>1468</v>
      </c>
      <c r="AN1643" s="965"/>
      <c r="AO1643" s="966" t="s">
        <v>1399</v>
      </c>
      <c r="AP1643" s="936"/>
      <c r="AQ1643" s="1245"/>
      <c r="AR1643" s="1245"/>
      <c r="AS1643" s="936"/>
    </row>
    <row r="1644" ht="15.75" customHeight="1">
      <c r="A1644" s="1099"/>
      <c r="B1644" s="948" t="s">
        <v>2115</v>
      </c>
      <c r="C1644" s="1197" t="s">
        <v>2116</v>
      </c>
      <c r="D1644" s="1197" t="s">
        <v>2116</v>
      </c>
      <c r="E1644" s="1147" t="s">
        <v>2116</v>
      </c>
      <c r="F1644" s="940"/>
      <c r="G1644" s="953"/>
      <c r="H1644" s="969"/>
      <c r="I1644" s="998" t="s">
        <v>4745</v>
      </c>
      <c r="J1644" s="1216" t="s">
        <v>136</v>
      </c>
      <c r="K1644" s="1199" t="s">
        <v>216</v>
      </c>
      <c r="L1644" s="959">
        <v>104.0</v>
      </c>
      <c r="M1644" s="960">
        <v>91.0</v>
      </c>
      <c r="N1644" s="960">
        <v>63.0</v>
      </c>
      <c r="O1644" s="960">
        <v>91.0</v>
      </c>
      <c r="P1644" s="960">
        <v>73.0</v>
      </c>
      <c r="Q1644" s="960">
        <v>68.0</v>
      </c>
      <c r="R1644" s="960">
        <v>172.0</v>
      </c>
      <c r="S1644" s="960">
        <v>235.0</v>
      </c>
      <c r="T1644" s="960">
        <v>258.0</v>
      </c>
      <c r="U1644" s="960">
        <f t="array" ref="U1644">HLOOKUP($J1644,'Type Chart'!$C$2:$T$20,2,false)*HLOOKUP($K1644,'Type Chart'!$C$2:$U$20,2,false)</f>
        <v>1</v>
      </c>
      <c r="V1644" s="960">
        <f t="array" ref="V1644">HLOOKUP($J1644,'Type Chart'!$C$2:$T$20,3,false)*HLOOKUP($K1644,'Type Chart'!$C$2:$U$20,3,false)</f>
        <v>2</v>
      </c>
      <c r="W1644" s="960">
        <f t="array" ref="W1644">HLOOKUP($J1644,'Type Chart'!$C$2:$T$20,4,false)*HLOOKUP($K1644,'Type Chart'!$C$2:$U$20,4,false)</f>
        <v>1</v>
      </c>
      <c r="X1644" s="960">
        <f t="array" ref="X1644">HLOOKUP($J1644,'Type Chart'!$C$2:$T$20,5,false)*HLOOKUP($K1644,'Type Chart'!$C$2:$U$20,5,false)</f>
        <v>1</v>
      </c>
      <c r="Y1644" s="960">
        <f t="array" ref="Y1644">HLOOKUP($J1644,'Type Chart'!$C$2:$T$20,6,false)*HLOOKUP($K1644,'Type Chart'!$C$2:$U$20,6,false)</f>
        <v>1</v>
      </c>
      <c r="Z1644" s="960">
        <f t="array" ref="Z1644">HLOOKUP($J1644,'Type Chart'!$C$2:$T$20,7,false)*HLOOKUP($K1644,'Type Chart'!$C$2:$U$20,7,false)</f>
        <v>1</v>
      </c>
      <c r="AA1644" s="960">
        <f t="array" ref="AA1644">HLOOKUP($J1644,'Type Chart'!$C$2:$T$20,8,false)*HLOOKUP($K1644,'Type Chart'!$C$2:$U$20,8,false)</f>
        <v>1</v>
      </c>
      <c r="AB1644" s="960">
        <f t="array" ref="AB1644">HLOOKUP($J1644,'Type Chart'!$C$2:$T$20,9,false)*HLOOKUP($K1644,'Type Chart'!$C$2:$U$20,9,false)</f>
        <v>0</v>
      </c>
      <c r="AC1644" s="960">
        <f t="array" ref="AC1644">HLOOKUP($J1644,'Type Chart'!$C$2:$T$20,10,false)*HLOOKUP($K1644,'Type Chart'!$C$2:$U$20,10,false)</f>
        <v>1</v>
      </c>
      <c r="AD1644" s="960">
        <f t="array" ref="AD1644">HLOOKUP($J1644,'Type Chart'!$C$2:$T$20,11,false)*HLOOKUP($K1644,'Type Chart'!$C$2:$U$20,11,false)</f>
        <v>1</v>
      </c>
      <c r="AE1644" s="960">
        <f t="array" ref="AE1644">HLOOKUP($J1644,'Type Chart'!$C$2:$T$20,12,false)*HLOOKUP($K1644,'Type Chart'!$C$2:$U$20,12,false)</f>
        <v>1</v>
      </c>
      <c r="AF1644" s="960">
        <f t="array" ref="AF1644">HLOOKUP($J1644,'Type Chart'!$C$2:$T$20,13,false)*HLOOKUP($K1644,'Type Chart'!$C$2:$U$20,13,false)</f>
        <v>1</v>
      </c>
      <c r="AG1644" s="960">
        <f t="array" ref="AG1644">HLOOKUP($J1644,'Type Chart'!$C$2:$T$20,14,false)*HLOOKUP($K1644,'Type Chart'!$C$2:$U$20,14,false)</f>
        <v>1</v>
      </c>
      <c r="AH1644" s="960">
        <f t="array" ref="AH1644">HLOOKUP($J1644,'Type Chart'!$C$2:$T$20,15,false)*HLOOKUP($K1644,'Type Chart'!$C$2:$U$20,15,false)</f>
        <v>1</v>
      </c>
      <c r="AI1644" s="960">
        <f t="array" ref="AI1644">HLOOKUP($J1644,'Type Chart'!$C$2:$T$20,16,false)*HLOOKUP($K1644,'Type Chart'!$C$2:$U$20,16,false)</f>
        <v>1</v>
      </c>
      <c r="AJ1644" s="960">
        <f t="array" ref="AJ1644">HLOOKUP($J1644,'Type Chart'!$C$2:$T$20,17,false)*HLOOKUP($K1644,'Type Chart'!$C$2:$U$20,17,false)</f>
        <v>1</v>
      </c>
      <c r="AK1644" s="960">
        <f t="array" ref="AK1644">HLOOKUP($J1644,'Type Chart'!$C$2:$T$20,18,false)*HLOOKUP($K1644,'Type Chart'!$C$2:$U$20,18,false)</f>
        <v>1</v>
      </c>
      <c r="AL1644" s="960">
        <f t="array" ref="AL1644">HLOOKUP($J1644,'Type Chart'!$C$2:$T$20,19,false)*HLOOKUP($K1644,'Type Chart'!$C$2:$U$20,19,false)</f>
        <v>1</v>
      </c>
      <c r="AM1644" s="1145" t="s">
        <v>1468</v>
      </c>
      <c r="AN1644" s="965"/>
      <c r="AO1644" s="966" t="s">
        <v>1399</v>
      </c>
      <c r="AP1644" s="936"/>
      <c r="AQ1644" s="1245"/>
      <c r="AR1644" s="1245"/>
      <c r="AS1644" s="936"/>
    </row>
    <row r="1645" ht="15.75" customHeight="1">
      <c r="A1645" s="1099"/>
      <c r="B1645" s="948" t="s">
        <v>2118</v>
      </c>
      <c r="C1645" s="1197" t="s">
        <v>2119</v>
      </c>
      <c r="D1645" s="1197" t="s">
        <v>2119</v>
      </c>
      <c r="E1645" s="1147" t="s">
        <v>2119</v>
      </c>
      <c r="F1645" s="940"/>
      <c r="G1645" s="953"/>
      <c r="H1645" s="969"/>
      <c r="I1645" s="998" t="s">
        <v>4746</v>
      </c>
      <c r="J1645" s="1213" t="s">
        <v>341</v>
      </c>
      <c r="K1645" s="984" t="s">
        <v>216</v>
      </c>
      <c r="L1645" s="959">
        <v>72.0</v>
      </c>
      <c r="M1645" s="960">
        <v>60.0</v>
      </c>
      <c r="N1645" s="960">
        <v>30.0</v>
      </c>
      <c r="O1645" s="960">
        <v>20.0</v>
      </c>
      <c r="P1645" s="960">
        <v>30.0</v>
      </c>
      <c r="Q1645" s="960">
        <v>25.0</v>
      </c>
      <c r="R1645" s="960">
        <v>86.0</v>
      </c>
      <c r="S1645" s="960">
        <v>149.0</v>
      </c>
      <c r="T1645" s="960">
        <v>163.0</v>
      </c>
      <c r="U1645" s="960">
        <f t="array" ref="U1645">HLOOKUP($J1645,'Type Chart'!$C$2:$T$20,2,false)*HLOOKUP($K1645,'Type Chart'!$C$2:$U$20,2,false)</f>
        <v>1</v>
      </c>
      <c r="V1645" s="960">
        <f t="array" ref="V1645">HLOOKUP($J1645,'Type Chart'!$C$2:$T$20,3,false)*HLOOKUP($K1645,'Type Chart'!$C$2:$U$20,3,false)</f>
        <v>1</v>
      </c>
      <c r="W1645" s="960">
        <f t="array" ref="W1645">HLOOKUP($J1645,'Type Chart'!$C$2:$T$20,4,false)*HLOOKUP($K1645,'Type Chart'!$C$2:$U$20,4,false)</f>
        <v>2</v>
      </c>
      <c r="X1645" s="960">
        <f t="array" ref="X1645">HLOOKUP($J1645,'Type Chart'!$C$2:$T$20,5,false)*HLOOKUP($K1645,'Type Chart'!$C$2:$U$20,5,false)</f>
        <v>1</v>
      </c>
      <c r="Y1645" s="960">
        <f t="array" ref="Y1645">HLOOKUP($J1645,'Type Chart'!$C$2:$T$20,6,false)*HLOOKUP($K1645,'Type Chart'!$C$2:$U$20,6,false)</f>
        <v>1</v>
      </c>
      <c r="Z1645" s="960">
        <f t="array" ref="Z1645">HLOOKUP($J1645,'Type Chart'!$C$2:$T$20,7,false)*HLOOKUP($K1645,'Type Chart'!$C$2:$U$20,7,false)</f>
        <v>0.5</v>
      </c>
      <c r="AA1645" s="960">
        <f t="array" ref="AA1645">HLOOKUP($J1645,'Type Chart'!$C$2:$T$20,8,false)*HLOOKUP($K1645,'Type Chart'!$C$2:$U$20,8,false)</f>
        <v>0.5</v>
      </c>
      <c r="AB1645" s="960">
        <f t="array" ref="AB1645">HLOOKUP($J1645,'Type Chart'!$C$2:$T$20,9,false)*HLOOKUP($K1645,'Type Chart'!$C$2:$U$20,9,false)</f>
        <v>1</v>
      </c>
      <c r="AC1645" s="960">
        <f t="array" ref="AC1645">HLOOKUP($J1645,'Type Chart'!$C$2:$T$20,10,false)*HLOOKUP($K1645,'Type Chart'!$C$2:$U$20,10,false)</f>
        <v>1</v>
      </c>
      <c r="AD1645" s="960">
        <f t="array" ref="AD1645">HLOOKUP($J1645,'Type Chart'!$C$2:$T$20,11,false)*HLOOKUP($K1645,'Type Chart'!$C$2:$U$20,11,false)</f>
        <v>1</v>
      </c>
      <c r="AE1645" s="960">
        <f t="array" ref="AE1645">HLOOKUP($J1645,'Type Chart'!$C$2:$T$20,12,false)*HLOOKUP($K1645,'Type Chart'!$C$2:$U$20,12,false)</f>
        <v>1</v>
      </c>
      <c r="AF1645" s="960">
        <f t="array" ref="AF1645">HLOOKUP($J1645,'Type Chart'!$C$2:$T$20,13,false)*HLOOKUP($K1645,'Type Chart'!$C$2:$U$20,13,false)</f>
        <v>1</v>
      </c>
      <c r="AG1645" s="960">
        <f t="array" ref="AG1645">HLOOKUP($J1645,'Type Chart'!$C$2:$T$20,14,false)*HLOOKUP($K1645,'Type Chart'!$C$2:$U$20,14,false)</f>
        <v>1</v>
      </c>
      <c r="AH1645" s="960">
        <f t="array" ref="AH1645">HLOOKUP($J1645,'Type Chart'!$C$2:$T$20,15,false)*HLOOKUP($K1645,'Type Chart'!$C$2:$U$20,15,false)</f>
        <v>2</v>
      </c>
      <c r="AI1645" s="960">
        <f t="array" ref="AI1645">HLOOKUP($J1645,'Type Chart'!$C$2:$T$20,16,false)*HLOOKUP($K1645,'Type Chart'!$C$2:$U$20,16,false)</f>
        <v>1</v>
      </c>
      <c r="AJ1645" s="960">
        <f t="array" ref="AJ1645">HLOOKUP($J1645,'Type Chart'!$C$2:$T$20,17,false)*HLOOKUP($K1645,'Type Chart'!$C$2:$U$20,17,false)</f>
        <v>1</v>
      </c>
      <c r="AK1645" s="960">
        <f t="array" ref="AK1645">HLOOKUP($J1645,'Type Chart'!$C$2:$T$20,18,false)*HLOOKUP($K1645,'Type Chart'!$C$2:$U$20,18,false)</f>
        <v>0.5</v>
      </c>
      <c r="AL1645" s="960">
        <f t="array" ref="AL1645">HLOOKUP($J1645,'Type Chart'!$C$2:$T$20,19,false)*HLOOKUP($K1645,'Type Chart'!$C$2:$U$20,19,false)</f>
        <v>2</v>
      </c>
      <c r="AM1645" s="1145" t="s">
        <v>760</v>
      </c>
      <c r="AN1645" s="965" t="s">
        <v>1038</v>
      </c>
      <c r="AO1645" s="966" t="s">
        <v>1153</v>
      </c>
      <c r="AP1645" s="936"/>
      <c r="AQ1645" s="1245"/>
      <c r="AR1645" s="1245"/>
      <c r="AS1645" s="936"/>
    </row>
    <row r="1646" ht="15.75" customHeight="1">
      <c r="A1646" s="1099"/>
      <c r="B1646" s="948" t="s">
        <v>2121</v>
      </c>
      <c r="C1646" s="1197" t="s">
        <v>2122</v>
      </c>
      <c r="D1646" s="1197" t="s">
        <v>2122</v>
      </c>
      <c r="E1646" s="1147" t="s">
        <v>2122</v>
      </c>
      <c r="F1646" s="940"/>
      <c r="G1646" s="953"/>
      <c r="H1646" s="969"/>
      <c r="I1646" s="998" t="s">
        <v>4747</v>
      </c>
      <c r="J1646" s="1213" t="s">
        <v>341</v>
      </c>
      <c r="K1646" s="984" t="s">
        <v>216</v>
      </c>
      <c r="L1646" s="959">
        <v>144.0</v>
      </c>
      <c r="M1646" s="960">
        <v>120.0</v>
      </c>
      <c r="N1646" s="960">
        <v>60.0</v>
      </c>
      <c r="O1646" s="960">
        <v>40.0</v>
      </c>
      <c r="P1646" s="960">
        <v>60.0</v>
      </c>
      <c r="Q1646" s="960">
        <v>50.0</v>
      </c>
      <c r="R1646" s="960">
        <v>136.0</v>
      </c>
      <c r="S1646" s="960">
        <v>199.0</v>
      </c>
      <c r="T1646" s="960">
        <v>218.0</v>
      </c>
      <c r="U1646" s="960">
        <f t="array" ref="U1646">HLOOKUP($J1646,'Type Chart'!$C$2:$T$20,2,false)*HLOOKUP($K1646,'Type Chart'!$C$2:$U$20,2,false)</f>
        <v>1</v>
      </c>
      <c r="V1646" s="960">
        <f t="array" ref="V1646">HLOOKUP($J1646,'Type Chart'!$C$2:$T$20,3,false)*HLOOKUP($K1646,'Type Chart'!$C$2:$U$20,3,false)</f>
        <v>1</v>
      </c>
      <c r="W1646" s="960">
        <f t="array" ref="W1646">HLOOKUP($J1646,'Type Chart'!$C$2:$T$20,4,false)*HLOOKUP($K1646,'Type Chart'!$C$2:$U$20,4,false)</f>
        <v>2</v>
      </c>
      <c r="X1646" s="960">
        <f t="array" ref="X1646">HLOOKUP($J1646,'Type Chart'!$C$2:$T$20,5,false)*HLOOKUP($K1646,'Type Chart'!$C$2:$U$20,5,false)</f>
        <v>1</v>
      </c>
      <c r="Y1646" s="960">
        <f t="array" ref="Y1646">HLOOKUP($J1646,'Type Chart'!$C$2:$T$20,6,false)*HLOOKUP($K1646,'Type Chart'!$C$2:$U$20,6,false)</f>
        <v>1</v>
      </c>
      <c r="Z1646" s="960">
        <f t="array" ref="Z1646">HLOOKUP($J1646,'Type Chart'!$C$2:$T$20,7,false)*HLOOKUP($K1646,'Type Chart'!$C$2:$U$20,7,false)</f>
        <v>0.5</v>
      </c>
      <c r="AA1646" s="960">
        <f t="array" ref="AA1646">HLOOKUP($J1646,'Type Chart'!$C$2:$T$20,8,false)*HLOOKUP($K1646,'Type Chart'!$C$2:$U$20,8,false)</f>
        <v>0.5</v>
      </c>
      <c r="AB1646" s="960">
        <f t="array" ref="AB1646">HLOOKUP($J1646,'Type Chart'!$C$2:$T$20,9,false)*HLOOKUP($K1646,'Type Chart'!$C$2:$U$20,9,false)</f>
        <v>1</v>
      </c>
      <c r="AC1646" s="960">
        <f t="array" ref="AC1646">HLOOKUP($J1646,'Type Chart'!$C$2:$T$20,10,false)*HLOOKUP($K1646,'Type Chart'!$C$2:$U$20,10,false)</f>
        <v>1</v>
      </c>
      <c r="AD1646" s="960">
        <f t="array" ref="AD1646">HLOOKUP($J1646,'Type Chart'!$C$2:$T$20,11,false)*HLOOKUP($K1646,'Type Chart'!$C$2:$U$20,11,false)</f>
        <v>1</v>
      </c>
      <c r="AE1646" s="960">
        <f t="array" ref="AE1646">HLOOKUP($J1646,'Type Chart'!$C$2:$T$20,12,false)*HLOOKUP($K1646,'Type Chart'!$C$2:$U$20,12,false)</f>
        <v>1</v>
      </c>
      <c r="AF1646" s="960">
        <f t="array" ref="AF1646">HLOOKUP($J1646,'Type Chart'!$C$2:$T$20,13,false)*HLOOKUP($K1646,'Type Chart'!$C$2:$U$20,13,false)</f>
        <v>1</v>
      </c>
      <c r="AG1646" s="960">
        <f t="array" ref="AG1646">HLOOKUP($J1646,'Type Chart'!$C$2:$T$20,14,false)*HLOOKUP($K1646,'Type Chart'!$C$2:$U$20,14,false)</f>
        <v>1</v>
      </c>
      <c r="AH1646" s="960">
        <f t="array" ref="AH1646">HLOOKUP($J1646,'Type Chart'!$C$2:$T$20,15,false)*HLOOKUP($K1646,'Type Chart'!$C$2:$U$20,15,false)</f>
        <v>2</v>
      </c>
      <c r="AI1646" s="960">
        <f t="array" ref="AI1646">HLOOKUP($J1646,'Type Chart'!$C$2:$T$20,16,false)*HLOOKUP($K1646,'Type Chart'!$C$2:$U$20,16,false)</f>
        <v>1</v>
      </c>
      <c r="AJ1646" s="960">
        <f t="array" ref="AJ1646">HLOOKUP($J1646,'Type Chart'!$C$2:$T$20,17,false)*HLOOKUP($K1646,'Type Chart'!$C$2:$U$20,17,false)</f>
        <v>1</v>
      </c>
      <c r="AK1646" s="960">
        <f t="array" ref="AK1646">HLOOKUP($J1646,'Type Chart'!$C$2:$T$20,18,false)*HLOOKUP($K1646,'Type Chart'!$C$2:$U$20,18,false)</f>
        <v>0.5</v>
      </c>
      <c r="AL1646" s="960">
        <f t="array" ref="AL1646">HLOOKUP($J1646,'Type Chart'!$C$2:$T$20,19,false)*HLOOKUP($K1646,'Type Chart'!$C$2:$U$20,19,false)</f>
        <v>2</v>
      </c>
      <c r="AM1646" s="964" t="s">
        <v>760</v>
      </c>
      <c r="AN1646" s="1202" t="s">
        <v>1038</v>
      </c>
      <c r="AO1646" s="1146" t="s">
        <v>1153</v>
      </c>
      <c r="AP1646" s="936"/>
      <c r="AQ1646" s="1245"/>
      <c r="AR1646" s="1245"/>
      <c r="AS1646" s="936"/>
    </row>
    <row r="1647" ht="15.75" customHeight="1">
      <c r="A1647" s="1099"/>
      <c r="B1647" s="948" t="s">
        <v>2123</v>
      </c>
      <c r="C1647" s="1197" t="s">
        <v>2124</v>
      </c>
      <c r="D1647" s="1197" t="s">
        <v>2124</v>
      </c>
      <c r="E1647" s="1147" t="s">
        <v>2124</v>
      </c>
      <c r="F1647" s="940"/>
      <c r="G1647" s="953"/>
      <c r="H1647" s="969"/>
      <c r="I1647" s="998" t="s">
        <v>4748</v>
      </c>
      <c r="J1647" s="1194" t="s">
        <v>136</v>
      </c>
      <c r="K1647" s="1207" t="s">
        <v>127</v>
      </c>
      <c r="L1647" s="959">
        <v>50.0</v>
      </c>
      <c r="M1647" s="960">
        <v>20.0</v>
      </c>
      <c r="N1647" s="960">
        <v>40.0</v>
      </c>
      <c r="O1647" s="960">
        <v>20.0</v>
      </c>
      <c r="P1647" s="960">
        <v>40.0</v>
      </c>
      <c r="Q1647" s="960">
        <v>20.0</v>
      </c>
      <c r="R1647" s="960">
        <v>76.0</v>
      </c>
      <c r="S1647" s="960">
        <v>139.0</v>
      </c>
      <c r="T1647" s="960">
        <v>152.0</v>
      </c>
      <c r="U1647" s="960">
        <f t="array" ref="U1647">HLOOKUP($J1647,'Type Chart'!$C$2:$T$20,2,false)*HLOOKUP($K1647,'Type Chart'!$C$2:$U$20,2,false)</f>
        <v>1</v>
      </c>
      <c r="V1647" s="960">
        <f t="array" ref="V1647">HLOOKUP($J1647,'Type Chart'!$C$2:$T$20,3,false)*HLOOKUP($K1647,'Type Chart'!$C$2:$U$20,3,false)</f>
        <v>1</v>
      </c>
      <c r="W1647" s="960">
        <f t="array" ref="W1647">HLOOKUP($J1647,'Type Chart'!$C$2:$T$20,4,false)*HLOOKUP($K1647,'Type Chart'!$C$2:$U$20,4,false)</f>
        <v>1</v>
      </c>
      <c r="X1647" s="960">
        <f t="array" ref="X1647">HLOOKUP($J1647,'Type Chart'!$C$2:$T$20,5,false)*HLOOKUP($K1647,'Type Chart'!$C$2:$U$20,5,false)</f>
        <v>2</v>
      </c>
      <c r="Y1647" s="960">
        <f t="array" ref="Y1647">HLOOKUP($J1647,'Type Chart'!$C$2:$T$20,6,false)*HLOOKUP($K1647,'Type Chart'!$C$2:$U$20,6,false)</f>
        <v>1</v>
      </c>
      <c r="Z1647" s="960">
        <f t="array" ref="Z1647">HLOOKUP($J1647,'Type Chart'!$C$2:$T$20,7,false)*HLOOKUP($K1647,'Type Chart'!$C$2:$U$20,7,false)</f>
        <v>1</v>
      </c>
      <c r="AA1647" s="960">
        <f t="array" ref="AA1647">HLOOKUP($J1647,'Type Chart'!$C$2:$T$20,8,false)*HLOOKUP($K1647,'Type Chart'!$C$2:$U$20,8,false)</f>
        <v>0.5</v>
      </c>
      <c r="AB1647" s="960">
        <f t="array" ref="AB1647">HLOOKUP($J1647,'Type Chart'!$C$2:$T$20,9,false)*HLOOKUP($K1647,'Type Chart'!$C$2:$U$20,9,false)</f>
        <v>0</v>
      </c>
      <c r="AC1647" s="960">
        <f t="array" ref="AC1647">HLOOKUP($J1647,'Type Chart'!$C$2:$T$20,10,false)*HLOOKUP($K1647,'Type Chart'!$C$2:$U$20,10,false)</f>
        <v>2</v>
      </c>
      <c r="AD1647" s="960">
        <f t="array" ref="AD1647">HLOOKUP($J1647,'Type Chart'!$C$2:$T$20,11,false)*HLOOKUP($K1647,'Type Chart'!$C$2:$U$20,11,false)</f>
        <v>1</v>
      </c>
      <c r="AE1647" s="960">
        <f t="array" ref="AE1647">HLOOKUP($J1647,'Type Chart'!$C$2:$T$20,12,false)*HLOOKUP($K1647,'Type Chart'!$C$2:$U$20,12,false)</f>
        <v>1</v>
      </c>
      <c r="AF1647" s="960">
        <f t="array" ref="AF1647">HLOOKUP($J1647,'Type Chart'!$C$2:$T$20,13,false)*HLOOKUP($K1647,'Type Chart'!$C$2:$U$20,13,false)</f>
        <v>1</v>
      </c>
      <c r="AG1647" s="960">
        <f t="array" ref="AG1647">HLOOKUP($J1647,'Type Chart'!$C$2:$T$20,14,false)*HLOOKUP($K1647,'Type Chart'!$C$2:$U$20,14,false)</f>
        <v>1</v>
      </c>
      <c r="AH1647" s="960">
        <f t="array" ref="AH1647">HLOOKUP($J1647,'Type Chart'!$C$2:$T$20,15,false)*HLOOKUP($K1647,'Type Chart'!$C$2:$U$20,15,false)</f>
        <v>1</v>
      </c>
      <c r="AI1647" s="960">
        <f t="array" ref="AI1647">HLOOKUP($J1647,'Type Chart'!$C$2:$T$20,16,false)*HLOOKUP($K1647,'Type Chart'!$C$2:$U$20,16,false)</f>
        <v>1</v>
      </c>
      <c r="AJ1647" s="960">
        <f t="array" ref="AJ1647">HLOOKUP($J1647,'Type Chart'!$C$2:$T$20,17,false)*HLOOKUP($K1647,'Type Chart'!$C$2:$U$20,17,false)</f>
        <v>0</v>
      </c>
      <c r="AK1647" s="960">
        <f t="array" ref="AK1647">HLOOKUP($J1647,'Type Chart'!$C$2:$T$20,18,false)*HLOOKUP($K1647,'Type Chart'!$C$2:$U$20,18,false)</f>
        <v>0.5</v>
      </c>
      <c r="AL1647" s="960">
        <f t="array" ref="AL1647">HLOOKUP($J1647,'Type Chart'!$C$2:$T$20,19,false)*HLOOKUP($K1647,'Type Chart'!$C$2:$U$20,19,false)</f>
        <v>1</v>
      </c>
      <c r="AM1647" s="1145" t="s">
        <v>760</v>
      </c>
      <c r="AN1647" s="965" t="s">
        <v>1771</v>
      </c>
      <c r="AO1647" s="966" t="s">
        <v>1772</v>
      </c>
      <c r="AP1647" s="936"/>
      <c r="AQ1647" s="1245"/>
      <c r="AR1647" s="1245"/>
      <c r="AS1647" s="936"/>
    </row>
    <row r="1648" ht="15.75" customHeight="1">
      <c r="A1648" s="1099"/>
      <c r="B1648" s="948" t="s">
        <v>2126</v>
      </c>
      <c r="C1648" s="1197" t="s">
        <v>2127</v>
      </c>
      <c r="D1648" s="1197" t="s">
        <v>2127</v>
      </c>
      <c r="E1648" s="1147" t="s">
        <v>2127</v>
      </c>
      <c r="F1648" s="940"/>
      <c r="G1648" s="953"/>
      <c r="H1648" s="969"/>
      <c r="I1648" s="998" t="s">
        <v>4749</v>
      </c>
      <c r="J1648" s="1222" t="s">
        <v>342</v>
      </c>
      <c r="K1648" s="984" t="s">
        <v>216</v>
      </c>
      <c r="L1648" s="1200">
        <v>30.0</v>
      </c>
      <c r="M1648" s="1201">
        <v>45.0</v>
      </c>
      <c r="N1648" s="1201">
        <v>135.0</v>
      </c>
      <c r="O1648" s="1201">
        <v>45.0</v>
      </c>
      <c r="P1648" s="1201">
        <v>90.0</v>
      </c>
      <c r="Q1648" s="1201">
        <v>30.0</v>
      </c>
      <c r="R1648" s="960">
        <v>96.0</v>
      </c>
      <c r="S1648" s="960">
        <v>159.0</v>
      </c>
      <c r="T1648" s="960">
        <v>174.0</v>
      </c>
      <c r="U1648" s="960">
        <f t="array" ref="U1648">HLOOKUP($J1648,'Type Chart'!$C$2:$T$20,2,false)*HLOOKUP($K1648,'Type Chart'!$C$2:$U$20,2,false)</f>
        <v>0.5</v>
      </c>
      <c r="V1648" s="960">
        <f t="array" ref="V1648">HLOOKUP($J1648,'Type Chart'!$C$2:$T$20,3,false)*HLOOKUP($K1648,'Type Chart'!$C$2:$U$20,3,false)</f>
        <v>2</v>
      </c>
      <c r="W1648" s="960">
        <f t="array" ref="W1648">HLOOKUP($J1648,'Type Chart'!$C$2:$T$20,4,false)*HLOOKUP($K1648,'Type Chart'!$C$2:$U$20,4,false)</f>
        <v>0.5</v>
      </c>
      <c r="X1648" s="960">
        <f t="array" ref="X1648">HLOOKUP($J1648,'Type Chart'!$C$2:$T$20,5,false)*HLOOKUP($K1648,'Type Chart'!$C$2:$U$20,5,false)</f>
        <v>0.5</v>
      </c>
      <c r="Y1648" s="960">
        <f t="array" ref="Y1648">HLOOKUP($J1648,'Type Chart'!$C$2:$T$20,6,false)*HLOOKUP($K1648,'Type Chart'!$C$2:$U$20,6,false)</f>
        <v>2</v>
      </c>
      <c r="Z1648" s="960">
        <f t="array" ref="Z1648">HLOOKUP($J1648,'Type Chart'!$C$2:$T$20,7,false)*HLOOKUP($K1648,'Type Chart'!$C$2:$U$20,7,false)</f>
        <v>1</v>
      </c>
      <c r="AA1648" s="960">
        <f t="array" ref="AA1648">HLOOKUP($J1648,'Type Chart'!$C$2:$T$20,8,false)*HLOOKUP($K1648,'Type Chart'!$C$2:$U$20,8,false)</f>
        <v>1</v>
      </c>
      <c r="AB1648" s="960">
        <f t="array" ref="AB1648">HLOOKUP($J1648,'Type Chart'!$C$2:$T$20,9,false)*HLOOKUP($K1648,'Type Chart'!$C$2:$U$20,9,false)</f>
        <v>1</v>
      </c>
      <c r="AC1648" s="960">
        <f t="array" ref="AC1648">HLOOKUP($J1648,'Type Chart'!$C$2:$T$20,10,false)*HLOOKUP($K1648,'Type Chart'!$C$2:$U$20,10,false)</f>
        <v>2</v>
      </c>
      <c r="AD1648" s="960">
        <f t="array" ref="AD1648">HLOOKUP($J1648,'Type Chart'!$C$2:$T$20,11,false)*HLOOKUP($K1648,'Type Chart'!$C$2:$U$20,11,false)</f>
        <v>0.5</v>
      </c>
      <c r="AE1648" s="960">
        <f t="array" ref="AE1648">HLOOKUP($J1648,'Type Chart'!$C$2:$T$20,12,false)*HLOOKUP($K1648,'Type Chart'!$C$2:$U$20,12,false)</f>
        <v>2</v>
      </c>
      <c r="AF1648" s="960">
        <f t="array" ref="AF1648">HLOOKUP($J1648,'Type Chart'!$C$2:$T$20,13,false)*HLOOKUP($K1648,'Type Chart'!$C$2:$U$20,13,false)</f>
        <v>2</v>
      </c>
      <c r="AG1648" s="960">
        <f t="array" ref="AG1648">HLOOKUP($J1648,'Type Chart'!$C$2:$T$20,14,false)*HLOOKUP($K1648,'Type Chart'!$C$2:$U$20,14,false)</f>
        <v>1</v>
      </c>
      <c r="AH1648" s="960">
        <f t="array" ref="AH1648">HLOOKUP($J1648,'Type Chart'!$C$2:$T$20,15,false)*HLOOKUP($K1648,'Type Chart'!$C$2:$U$20,15,false)</f>
        <v>1</v>
      </c>
      <c r="AI1648" s="960">
        <f t="array" ref="AI1648">HLOOKUP($J1648,'Type Chart'!$C$2:$T$20,16,false)*HLOOKUP($K1648,'Type Chart'!$C$2:$U$20,16,false)</f>
        <v>1</v>
      </c>
      <c r="AJ1648" s="960">
        <f t="array" ref="AJ1648">HLOOKUP($J1648,'Type Chart'!$C$2:$T$20,17,false)*HLOOKUP($K1648,'Type Chart'!$C$2:$U$20,17,false)</f>
        <v>1</v>
      </c>
      <c r="AK1648" s="960">
        <f t="array" ref="AK1648">HLOOKUP($J1648,'Type Chart'!$C$2:$T$20,18,false)*HLOOKUP($K1648,'Type Chart'!$C$2:$U$20,18,false)</f>
        <v>1</v>
      </c>
      <c r="AL1648" s="960">
        <f t="array" ref="AL1648">HLOOKUP($J1648,'Type Chart'!$C$2:$T$20,19,false)*HLOOKUP($K1648,'Type Chart'!$C$2:$U$20,19,false)</f>
        <v>1</v>
      </c>
      <c r="AM1648" s="1145" t="s">
        <v>1331</v>
      </c>
      <c r="AN1648" s="965" t="s">
        <v>1336</v>
      </c>
      <c r="AO1648" s="966" t="s">
        <v>1224</v>
      </c>
      <c r="AP1648" s="936"/>
      <c r="AQ1648" s="1245"/>
      <c r="AR1648" s="1245"/>
      <c r="AS1648" s="936"/>
    </row>
    <row r="1649" ht="15.75" customHeight="1">
      <c r="A1649" s="1099"/>
      <c r="B1649" s="948" t="s">
        <v>2129</v>
      </c>
      <c r="C1649" s="1197" t="s">
        <v>2130</v>
      </c>
      <c r="D1649" s="1197" t="s">
        <v>2130</v>
      </c>
      <c r="E1649" s="1147" t="s">
        <v>2130</v>
      </c>
      <c r="F1649" s="940"/>
      <c r="G1649" s="953"/>
      <c r="H1649" s="969"/>
      <c r="I1649" s="998" t="s">
        <v>4750</v>
      </c>
      <c r="J1649" s="1194" t="s">
        <v>136</v>
      </c>
      <c r="K1649" s="984" t="s">
        <v>216</v>
      </c>
      <c r="L1649" s="959">
        <v>50.0</v>
      </c>
      <c r="M1649" s="960">
        <v>45.0</v>
      </c>
      <c r="N1649" s="960">
        <v>45.0</v>
      </c>
      <c r="O1649" s="960">
        <v>35.0</v>
      </c>
      <c r="P1649" s="960">
        <v>35.0</v>
      </c>
      <c r="Q1649" s="960">
        <v>50.0</v>
      </c>
      <c r="R1649" s="960">
        <v>136.0</v>
      </c>
      <c r="S1649" s="960">
        <v>199.0</v>
      </c>
      <c r="T1649" s="960">
        <v>218.0</v>
      </c>
      <c r="U1649" s="960">
        <f t="array" ref="U1649">HLOOKUP($J1649,'Type Chart'!$C$2:$T$20,2,false)*HLOOKUP($K1649,'Type Chart'!$C$2:$U$20,2,false)</f>
        <v>1</v>
      </c>
      <c r="V1649" s="960">
        <f t="array" ref="V1649">HLOOKUP($J1649,'Type Chart'!$C$2:$T$20,3,false)*HLOOKUP($K1649,'Type Chart'!$C$2:$U$20,3,false)</f>
        <v>2</v>
      </c>
      <c r="W1649" s="960">
        <f t="array" ref="W1649">HLOOKUP($J1649,'Type Chart'!$C$2:$T$20,4,false)*HLOOKUP($K1649,'Type Chart'!$C$2:$U$20,4,false)</f>
        <v>1</v>
      </c>
      <c r="X1649" s="960">
        <f t="array" ref="X1649">HLOOKUP($J1649,'Type Chart'!$C$2:$T$20,5,false)*HLOOKUP($K1649,'Type Chart'!$C$2:$U$20,5,false)</f>
        <v>1</v>
      </c>
      <c r="Y1649" s="960">
        <f t="array" ref="Y1649">HLOOKUP($J1649,'Type Chart'!$C$2:$T$20,6,false)*HLOOKUP($K1649,'Type Chart'!$C$2:$U$20,6,false)</f>
        <v>1</v>
      </c>
      <c r="Z1649" s="960">
        <f t="array" ref="Z1649">HLOOKUP($J1649,'Type Chart'!$C$2:$T$20,7,false)*HLOOKUP($K1649,'Type Chart'!$C$2:$U$20,7,false)</f>
        <v>1</v>
      </c>
      <c r="AA1649" s="960">
        <f t="array" ref="AA1649">HLOOKUP($J1649,'Type Chart'!$C$2:$T$20,8,false)*HLOOKUP($K1649,'Type Chart'!$C$2:$U$20,8,false)</f>
        <v>1</v>
      </c>
      <c r="AB1649" s="960">
        <f t="array" ref="AB1649">HLOOKUP($J1649,'Type Chart'!$C$2:$T$20,9,false)*HLOOKUP($K1649,'Type Chart'!$C$2:$U$20,9,false)</f>
        <v>0</v>
      </c>
      <c r="AC1649" s="960">
        <f t="array" ref="AC1649">HLOOKUP($J1649,'Type Chart'!$C$2:$T$20,10,false)*HLOOKUP($K1649,'Type Chart'!$C$2:$U$20,10,false)</f>
        <v>1</v>
      </c>
      <c r="AD1649" s="960">
        <f t="array" ref="AD1649">HLOOKUP($J1649,'Type Chart'!$C$2:$T$20,11,false)*HLOOKUP($K1649,'Type Chart'!$C$2:$U$20,11,false)</f>
        <v>1</v>
      </c>
      <c r="AE1649" s="960">
        <f t="array" ref="AE1649">HLOOKUP($J1649,'Type Chart'!$C$2:$T$20,12,false)*HLOOKUP($K1649,'Type Chart'!$C$2:$U$20,12,false)</f>
        <v>1</v>
      </c>
      <c r="AF1649" s="960">
        <f t="array" ref="AF1649">HLOOKUP($J1649,'Type Chart'!$C$2:$T$20,13,false)*HLOOKUP($K1649,'Type Chart'!$C$2:$U$20,13,false)</f>
        <v>1</v>
      </c>
      <c r="AG1649" s="960">
        <f t="array" ref="AG1649">HLOOKUP($J1649,'Type Chart'!$C$2:$T$20,14,false)*HLOOKUP($K1649,'Type Chart'!$C$2:$U$20,14,false)</f>
        <v>1</v>
      </c>
      <c r="AH1649" s="960">
        <f t="array" ref="AH1649">HLOOKUP($J1649,'Type Chart'!$C$2:$T$20,15,false)*HLOOKUP($K1649,'Type Chart'!$C$2:$U$20,15,false)</f>
        <v>1</v>
      </c>
      <c r="AI1649" s="960">
        <f t="array" ref="AI1649">HLOOKUP($J1649,'Type Chart'!$C$2:$T$20,16,false)*HLOOKUP($K1649,'Type Chart'!$C$2:$U$20,16,false)</f>
        <v>1</v>
      </c>
      <c r="AJ1649" s="960">
        <f t="array" ref="AJ1649">HLOOKUP($J1649,'Type Chart'!$C$2:$T$20,17,false)*HLOOKUP($K1649,'Type Chart'!$C$2:$U$20,17,false)</f>
        <v>1</v>
      </c>
      <c r="AK1649" s="960">
        <f t="array" ref="AK1649">HLOOKUP($J1649,'Type Chart'!$C$2:$T$20,18,false)*HLOOKUP($K1649,'Type Chart'!$C$2:$U$20,18,false)</f>
        <v>1</v>
      </c>
      <c r="AL1649" s="960">
        <f t="array" ref="AL1649">HLOOKUP($J1649,'Type Chart'!$C$2:$T$20,19,false)*HLOOKUP($K1649,'Type Chart'!$C$2:$U$20,19,false)</f>
        <v>1</v>
      </c>
      <c r="AM1649" s="964" t="s">
        <v>1165</v>
      </c>
      <c r="AN1649" s="965" t="s">
        <v>2132</v>
      </c>
      <c r="AO1649" s="966" t="s">
        <v>1220</v>
      </c>
      <c r="AP1649" s="936"/>
      <c r="AQ1649" s="1245"/>
      <c r="AR1649" s="1245"/>
      <c r="AS1649" s="936"/>
    </row>
    <row r="1650" ht="15.75" customHeight="1">
      <c r="A1650" s="1099"/>
      <c r="B1650" s="948" t="s">
        <v>2133</v>
      </c>
      <c r="C1650" s="1197" t="s">
        <v>2134</v>
      </c>
      <c r="D1650" s="1197" t="s">
        <v>2134</v>
      </c>
      <c r="E1650" s="1147" t="s">
        <v>2134</v>
      </c>
      <c r="F1650" s="940"/>
      <c r="G1650" s="953"/>
      <c r="H1650" s="969"/>
      <c r="I1650" s="998" t="s">
        <v>4751</v>
      </c>
      <c r="J1650" s="1194" t="s">
        <v>136</v>
      </c>
      <c r="K1650" s="984" t="s">
        <v>216</v>
      </c>
      <c r="L1650" s="959">
        <v>70.0</v>
      </c>
      <c r="M1650" s="960">
        <v>65.0</v>
      </c>
      <c r="N1650" s="960">
        <v>65.0</v>
      </c>
      <c r="O1650" s="960">
        <v>55.0</v>
      </c>
      <c r="P1650" s="960">
        <v>55.0</v>
      </c>
      <c r="Q1650" s="960">
        <v>90.0</v>
      </c>
      <c r="R1650" s="960">
        <v>216.0</v>
      </c>
      <c r="S1650" s="960">
        <v>279.0</v>
      </c>
      <c r="T1650" s="960">
        <v>306.0</v>
      </c>
      <c r="U1650" s="960">
        <f t="array" ref="U1650">HLOOKUP($J1650,'Type Chart'!$C$2:$T$20,2,false)*HLOOKUP($K1650,'Type Chart'!$C$2:$U$20,2,false)</f>
        <v>1</v>
      </c>
      <c r="V1650" s="960">
        <f t="array" ref="V1650">HLOOKUP($J1650,'Type Chart'!$C$2:$T$20,3,false)*HLOOKUP($K1650,'Type Chart'!$C$2:$U$20,3,false)</f>
        <v>2</v>
      </c>
      <c r="W1650" s="960">
        <f t="array" ref="W1650">HLOOKUP($J1650,'Type Chart'!$C$2:$T$20,4,false)*HLOOKUP($K1650,'Type Chart'!$C$2:$U$20,4,false)</f>
        <v>1</v>
      </c>
      <c r="X1650" s="960">
        <f t="array" ref="X1650">HLOOKUP($J1650,'Type Chart'!$C$2:$T$20,5,false)*HLOOKUP($K1650,'Type Chart'!$C$2:$U$20,5,false)</f>
        <v>1</v>
      </c>
      <c r="Y1650" s="960">
        <f t="array" ref="Y1650">HLOOKUP($J1650,'Type Chart'!$C$2:$T$20,6,false)*HLOOKUP($K1650,'Type Chart'!$C$2:$U$20,6,false)</f>
        <v>1</v>
      </c>
      <c r="Z1650" s="960">
        <f t="array" ref="Z1650">HLOOKUP($J1650,'Type Chart'!$C$2:$T$20,7,false)*HLOOKUP($K1650,'Type Chart'!$C$2:$U$20,7,false)</f>
        <v>1</v>
      </c>
      <c r="AA1650" s="960">
        <f t="array" ref="AA1650">HLOOKUP($J1650,'Type Chart'!$C$2:$T$20,8,false)*HLOOKUP($K1650,'Type Chart'!$C$2:$U$20,8,false)</f>
        <v>1</v>
      </c>
      <c r="AB1650" s="960">
        <f t="array" ref="AB1650">HLOOKUP($J1650,'Type Chart'!$C$2:$T$20,9,false)*HLOOKUP($K1650,'Type Chart'!$C$2:$U$20,9,false)</f>
        <v>0</v>
      </c>
      <c r="AC1650" s="960">
        <f t="array" ref="AC1650">HLOOKUP($J1650,'Type Chart'!$C$2:$T$20,10,false)*HLOOKUP($K1650,'Type Chart'!$C$2:$U$20,10,false)</f>
        <v>1</v>
      </c>
      <c r="AD1650" s="960">
        <f t="array" ref="AD1650">HLOOKUP($J1650,'Type Chart'!$C$2:$T$20,11,false)*HLOOKUP($K1650,'Type Chart'!$C$2:$U$20,11,false)</f>
        <v>1</v>
      </c>
      <c r="AE1650" s="960">
        <f t="array" ref="AE1650">HLOOKUP($J1650,'Type Chart'!$C$2:$T$20,12,false)*HLOOKUP($K1650,'Type Chart'!$C$2:$U$20,12,false)</f>
        <v>1</v>
      </c>
      <c r="AF1650" s="960">
        <f t="array" ref="AF1650">HLOOKUP($J1650,'Type Chart'!$C$2:$T$20,13,false)*HLOOKUP($K1650,'Type Chart'!$C$2:$U$20,13,false)</f>
        <v>1</v>
      </c>
      <c r="AG1650" s="960">
        <f t="array" ref="AG1650">HLOOKUP($J1650,'Type Chart'!$C$2:$T$20,14,false)*HLOOKUP($K1650,'Type Chart'!$C$2:$U$20,14,false)</f>
        <v>1</v>
      </c>
      <c r="AH1650" s="960">
        <f t="array" ref="AH1650">HLOOKUP($J1650,'Type Chart'!$C$2:$T$20,15,false)*HLOOKUP($K1650,'Type Chart'!$C$2:$U$20,15,false)</f>
        <v>1</v>
      </c>
      <c r="AI1650" s="960">
        <f t="array" ref="AI1650">HLOOKUP($J1650,'Type Chart'!$C$2:$T$20,16,false)*HLOOKUP($K1650,'Type Chart'!$C$2:$U$20,16,false)</f>
        <v>1</v>
      </c>
      <c r="AJ1650" s="960">
        <f t="array" ref="AJ1650">HLOOKUP($J1650,'Type Chart'!$C$2:$T$20,17,false)*HLOOKUP($K1650,'Type Chart'!$C$2:$U$20,17,false)</f>
        <v>1</v>
      </c>
      <c r="AK1650" s="960">
        <f t="array" ref="AK1650">HLOOKUP($J1650,'Type Chart'!$C$2:$T$20,18,false)*HLOOKUP($K1650,'Type Chart'!$C$2:$U$20,18,false)</f>
        <v>1</v>
      </c>
      <c r="AL1650" s="960">
        <f t="array" ref="AL1650">HLOOKUP($J1650,'Type Chart'!$C$2:$T$20,19,false)*HLOOKUP($K1650,'Type Chart'!$C$2:$U$20,19,false)</f>
        <v>1</v>
      </c>
      <c r="AM1650" s="964" t="s">
        <v>1165</v>
      </c>
      <c r="AN1650" s="965" t="s">
        <v>2132</v>
      </c>
      <c r="AO1650" s="966" t="s">
        <v>1220</v>
      </c>
      <c r="AP1650" s="936"/>
      <c r="AQ1650" s="1245"/>
      <c r="AR1650" s="1245"/>
      <c r="AS1650" s="936"/>
    </row>
    <row r="1651" ht="15.75" customHeight="1">
      <c r="A1651" s="1099"/>
      <c r="B1651" s="948" t="s">
        <v>2136</v>
      </c>
      <c r="C1651" s="1197" t="s">
        <v>2137</v>
      </c>
      <c r="D1651" s="1197" t="s">
        <v>2137</v>
      </c>
      <c r="E1651" s="1147" t="s">
        <v>2137</v>
      </c>
      <c r="F1651" s="940"/>
      <c r="G1651" s="953"/>
      <c r="H1651" s="969"/>
      <c r="I1651" s="998" t="s">
        <v>4752</v>
      </c>
      <c r="J1651" s="1195" t="s">
        <v>193</v>
      </c>
      <c r="K1651" s="1220" t="s">
        <v>215</v>
      </c>
      <c r="L1651" s="959">
        <v>50.0</v>
      </c>
      <c r="M1651" s="960">
        <v>75.0</v>
      </c>
      <c r="N1651" s="960">
        <v>75.0</v>
      </c>
      <c r="O1651" s="960">
        <v>65.0</v>
      </c>
      <c r="P1651" s="960">
        <v>65.0</v>
      </c>
      <c r="Q1651" s="960">
        <v>50.0</v>
      </c>
      <c r="R1651" s="960">
        <v>136.0</v>
      </c>
      <c r="S1651" s="960">
        <v>199.0</v>
      </c>
      <c r="T1651" s="960">
        <v>218.0</v>
      </c>
      <c r="U1651" s="960">
        <f t="array" ref="U1651">HLOOKUP($J1651,'Type Chart'!$C$2:$T$20,2,false)*HLOOKUP($K1651,'Type Chart'!$C$2:$U$20,2,false)</f>
        <v>0</v>
      </c>
      <c r="V1651" s="960">
        <f t="array" ref="V1651">HLOOKUP($J1651,'Type Chart'!$C$2:$T$20,3,false)*HLOOKUP($K1651,'Type Chart'!$C$2:$U$20,3,false)</f>
        <v>0</v>
      </c>
      <c r="W1651" s="960">
        <f t="array" ref="W1651">HLOOKUP($J1651,'Type Chart'!$C$2:$T$20,4,false)*HLOOKUP($K1651,'Type Chart'!$C$2:$U$20,4,false)</f>
        <v>1</v>
      </c>
      <c r="X1651" s="960">
        <f t="array" ref="X1651">HLOOKUP($J1651,'Type Chart'!$C$2:$T$20,5,false)*HLOOKUP($K1651,'Type Chart'!$C$2:$U$20,5,false)</f>
        <v>0.5</v>
      </c>
      <c r="Y1651" s="960">
        <f t="array" ref="Y1651">HLOOKUP($J1651,'Type Chart'!$C$2:$T$20,6,false)*HLOOKUP($K1651,'Type Chart'!$C$2:$U$20,6,false)</f>
        <v>1</v>
      </c>
      <c r="Z1651" s="960">
        <f t="array" ref="Z1651">HLOOKUP($J1651,'Type Chart'!$C$2:$T$20,7,false)*HLOOKUP($K1651,'Type Chart'!$C$2:$U$20,7,false)</f>
        <v>1</v>
      </c>
      <c r="AA1651" s="960">
        <f t="array" ref="AA1651">HLOOKUP($J1651,'Type Chart'!$C$2:$T$20,8,false)*HLOOKUP($K1651,'Type Chart'!$C$2:$U$20,8,false)</f>
        <v>1</v>
      </c>
      <c r="AB1651" s="960">
        <f t="array" ref="AB1651">HLOOKUP($J1651,'Type Chart'!$C$2:$T$20,9,false)*HLOOKUP($K1651,'Type Chart'!$C$2:$U$20,9,false)</f>
        <v>1</v>
      </c>
      <c r="AC1651" s="960">
        <f t="array" ref="AC1651">HLOOKUP($J1651,'Type Chart'!$C$2:$T$20,10,false)*HLOOKUP($K1651,'Type Chart'!$C$2:$U$20,10,false)</f>
        <v>1</v>
      </c>
      <c r="AD1651" s="960">
        <f t="array" ref="AD1651">HLOOKUP($J1651,'Type Chart'!$C$2:$T$20,11,false)*HLOOKUP($K1651,'Type Chart'!$C$2:$U$20,11,false)</f>
        <v>1</v>
      </c>
      <c r="AE1651" s="960">
        <f t="array" ref="AE1651">HLOOKUP($J1651,'Type Chart'!$C$2:$T$20,12,false)*HLOOKUP($K1651,'Type Chart'!$C$2:$U$20,12,false)</f>
        <v>1</v>
      </c>
      <c r="AF1651" s="960">
        <f t="array" ref="AF1651">HLOOKUP($J1651,'Type Chart'!$C$2:$T$20,13,false)*HLOOKUP($K1651,'Type Chart'!$C$2:$U$20,13,false)</f>
        <v>1</v>
      </c>
      <c r="AG1651" s="960">
        <f t="array" ref="AG1651">HLOOKUP($J1651,'Type Chart'!$C$2:$T$20,14,false)*HLOOKUP($K1651,'Type Chart'!$C$2:$U$20,14,false)</f>
        <v>1</v>
      </c>
      <c r="AH1651" s="960">
        <f t="array" ref="AH1651">HLOOKUP($J1651,'Type Chart'!$C$2:$T$20,15,false)*HLOOKUP($K1651,'Type Chart'!$C$2:$U$20,15,false)</f>
        <v>0</v>
      </c>
      <c r="AI1651" s="960">
        <f t="array" ref="AI1651">HLOOKUP($J1651,'Type Chart'!$C$2:$T$20,16,false)*HLOOKUP($K1651,'Type Chart'!$C$2:$U$20,16,false)</f>
        <v>1</v>
      </c>
      <c r="AJ1651" s="960">
        <f t="array" ref="AJ1651">HLOOKUP($J1651,'Type Chart'!$C$2:$T$20,17,false)*HLOOKUP($K1651,'Type Chart'!$C$2:$U$20,17,false)</f>
        <v>1</v>
      </c>
      <c r="AK1651" s="960">
        <f t="array" ref="AK1651">HLOOKUP($J1651,'Type Chart'!$C$2:$T$20,18,false)*HLOOKUP($K1651,'Type Chart'!$C$2:$U$20,18,false)</f>
        <v>1</v>
      </c>
      <c r="AL1651" s="960">
        <f t="array" ref="AL1651">HLOOKUP($J1651,'Type Chart'!$C$2:$T$20,19,false)*HLOOKUP($K1651,'Type Chart'!$C$2:$U$20,19,false)</f>
        <v>2</v>
      </c>
      <c r="AM1651" s="964" t="s">
        <v>1022</v>
      </c>
      <c r="AN1651" s="965" t="s">
        <v>2138</v>
      </c>
      <c r="AO1651" s="966" t="s">
        <v>1813</v>
      </c>
      <c r="AP1651" s="936"/>
      <c r="AQ1651" s="1245"/>
      <c r="AR1651" s="1245"/>
      <c r="AS1651" s="936"/>
    </row>
    <row r="1652" ht="15.75" customHeight="1">
      <c r="A1652" s="1099"/>
      <c r="B1652" s="948" t="s">
        <v>2139</v>
      </c>
      <c r="C1652" s="1197" t="s">
        <v>2140</v>
      </c>
      <c r="D1652" s="1197" t="s">
        <v>2140</v>
      </c>
      <c r="E1652" s="1147" t="s">
        <v>2140</v>
      </c>
      <c r="F1652" s="940"/>
      <c r="G1652" s="953"/>
      <c r="H1652" s="969"/>
      <c r="I1652" s="998" t="s">
        <v>4753</v>
      </c>
      <c r="J1652" s="1195" t="s">
        <v>193</v>
      </c>
      <c r="K1652" s="1220" t="s">
        <v>215</v>
      </c>
      <c r="L1652" s="959">
        <v>50.0</v>
      </c>
      <c r="M1652" s="960">
        <v>85.0</v>
      </c>
      <c r="N1652" s="960">
        <v>125.0</v>
      </c>
      <c r="O1652" s="960">
        <v>85.0</v>
      </c>
      <c r="P1652" s="960">
        <v>115.0</v>
      </c>
      <c r="Q1652" s="960">
        <v>20.0</v>
      </c>
      <c r="R1652" s="960">
        <v>76.0</v>
      </c>
      <c r="S1652" s="960">
        <v>139.0</v>
      </c>
      <c r="T1652" s="960">
        <v>152.0</v>
      </c>
      <c r="U1652" s="960">
        <f t="array" ref="U1652">HLOOKUP($J1652,'Type Chart'!$C$2:$T$20,2,false)*HLOOKUP($K1652,'Type Chart'!$C$2:$U$20,2,false)</f>
        <v>0</v>
      </c>
      <c r="V1652" s="960">
        <f t="array" ref="V1652">HLOOKUP($J1652,'Type Chart'!$C$2:$T$20,3,false)*HLOOKUP($K1652,'Type Chart'!$C$2:$U$20,3,false)</f>
        <v>0</v>
      </c>
      <c r="W1652" s="960">
        <f t="array" ref="W1652">HLOOKUP($J1652,'Type Chart'!$C$2:$T$20,4,false)*HLOOKUP($K1652,'Type Chart'!$C$2:$U$20,4,false)</f>
        <v>1</v>
      </c>
      <c r="X1652" s="960">
        <f t="array" ref="X1652">HLOOKUP($J1652,'Type Chart'!$C$2:$T$20,5,false)*HLOOKUP($K1652,'Type Chart'!$C$2:$U$20,5,false)</f>
        <v>0.5</v>
      </c>
      <c r="Y1652" s="960">
        <f t="array" ref="Y1652">HLOOKUP($J1652,'Type Chart'!$C$2:$T$20,6,false)*HLOOKUP($K1652,'Type Chart'!$C$2:$U$20,6,false)</f>
        <v>1</v>
      </c>
      <c r="Z1652" s="960">
        <f t="array" ref="Z1652">HLOOKUP($J1652,'Type Chart'!$C$2:$T$20,7,false)*HLOOKUP($K1652,'Type Chart'!$C$2:$U$20,7,false)</f>
        <v>1</v>
      </c>
      <c r="AA1652" s="960">
        <f t="array" ref="AA1652">HLOOKUP($J1652,'Type Chart'!$C$2:$T$20,8,false)*HLOOKUP($K1652,'Type Chart'!$C$2:$U$20,8,false)</f>
        <v>1</v>
      </c>
      <c r="AB1652" s="960">
        <f t="array" ref="AB1652">HLOOKUP($J1652,'Type Chart'!$C$2:$T$20,9,false)*HLOOKUP($K1652,'Type Chart'!$C$2:$U$20,9,false)</f>
        <v>1</v>
      </c>
      <c r="AC1652" s="960">
        <f t="array" ref="AC1652">HLOOKUP($J1652,'Type Chart'!$C$2:$T$20,10,false)*HLOOKUP($K1652,'Type Chart'!$C$2:$U$20,10,false)</f>
        <v>1</v>
      </c>
      <c r="AD1652" s="960">
        <f t="array" ref="AD1652">HLOOKUP($J1652,'Type Chart'!$C$2:$T$20,11,false)*HLOOKUP($K1652,'Type Chart'!$C$2:$U$20,11,false)</f>
        <v>1</v>
      </c>
      <c r="AE1652" s="960">
        <f t="array" ref="AE1652">HLOOKUP($J1652,'Type Chart'!$C$2:$T$20,12,false)*HLOOKUP($K1652,'Type Chart'!$C$2:$U$20,12,false)</f>
        <v>1</v>
      </c>
      <c r="AF1652" s="960">
        <f t="array" ref="AF1652">HLOOKUP($J1652,'Type Chart'!$C$2:$T$20,13,false)*HLOOKUP($K1652,'Type Chart'!$C$2:$U$20,13,false)</f>
        <v>1</v>
      </c>
      <c r="AG1652" s="960">
        <f t="array" ref="AG1652">HLOOKUP($J1652,'Type Chart'!$C$2:$T$20,14,false)*HLOOKUP($K1652,'Type Chart'!$C$2:$U$20,14,false)</f>
        <v>1</v>
      </c>
      <c r="AH1652" s="960">
        <f t="array" ref="AH1652">HLOOKUP($J1652,'Type Chart'!$C$2:$T$20,15,false)*HLOOKUP($K1652,'Type Chart'!$C$2:$U$20,15,false)</f>
        <v>0</v>
      </c>
      <c r="AI1652" s="960">
        <f t="array" ref="AI1652">HLOOKUP($J1652,'Type Chart'!$C$2:$T$20,16,false)*HLOOKUP($K1652,'Type Chart'!$C$2:$U$20,16,false)</f>
        <v>1</v>
      </c>
      <c r="AJ1652" s="960">
        <f t="array" ref="AJ1652">HLOOKUP($J1652,'Type Chart'!$C$2:$T$20,17,false)*HLOOKUP($K1652,'Type Chart'!$C$2:$U$20,17,false)</f>
        <v>1</v>
      </c>
      <c r="AK1652" s="960">
        <f t="array" ref="AK1652">HLOOKUP($J1652,'Type Chart'!$C$2:$T$20,18,false)*HLOOKUP($K1652,'Type Chart'!$C$2:$U$20,18,false)</f>
        <v>1</v>
      </c>
      <c r="AL1652" s="960">
        <f t="array" ref="AL1652">HLOOKUP($J1652,'Type Chart'!$C$2:$T$20,19,false)*HLOOKUP($K1652,'Type Chart'!$C$2:$U$20,19,false)</f>
        <v>2</v>
      </c>
      <c r="AM1652" s="964" t="s">
        <v>1752</v>
      </c>
      <c r="AN1652" s="965"/>
      <c r="AO1652" s="966"/>
      <c r="AP1652" s="936"/>
      <c r="AQ1652" s="1245"/>
      <c r="AR1652" s="1245"/>
      <c r="AS1652" s="936"/>
    </row>
    <row r="1653" ht="15.75" customHeight="1">
      <c r="A1653" s="1099"/>
      <c r="B1653" s="948" t="s">
        <v>2142</v>
      </c>
      <c r="C1653" s="1197" t="s">
        <v>2143</v>
      </c>
      <c r="D1653" s="1197" t="s">
        <v>2143</v>
      </c>
      <c r="E1653" s="1147" t="s">
        <v>2143</v>
      </c>
      <c r="F1653" s="940"/>
      <c r="G1653" s="953"/>
      <c r="H1653" s="969"/>
      <c r="I1653" s="998" t="s">
        <v>4754</v>
      </c>
      <c r="J1653" s="1206" t="s">
        <v>82</v>
      </c>
      <c r="K1653" s="1207" t="s">
        <v>127</v>
      </c>
      <c r="L1653" s="959">
        <v>50.0</v>
      </c>
      <c r="M1653" s="960">
        <v>85.0</v>
      </c>
      <c r="N1653" s="960">
        <v>85.0</v>
      </c>
      <c r="O1653" s="960">
        <v>55.0</v>
      </c>
      <c r="P1653" s="960">
        <v>55.0</v>
      </c>
      <c r="Q1653" s="960">
        <v>50.0</v>
      </c>
      <c r="R1653" s="960">
        <v>136.0</v>
      </c>
      <c r="S1653" s="960">
        <v>199.0</v>
      </c>
      <c r="T1653" s="960">
        <v>218.0</v>
      </c>
      <c r="U1653" s="960">
        <f t="array" ref="U1653">HLOOKUP($J1653,'Type Chart'!$C$2:$T$20,2,false)*HLOOKUP($K1653,'Type Chart'!$C$2:$U$20,2,false)</f>
        <v>0.5</v>
      </c>
      <c r="V1653" s="960">
        <f t="array" ref="V1653">HLOOKUP($J1653,'Type Chart'!$C$2:$T$20,3,false)*HLOOKUP($K1653,'Type Chart'!$C$2:$U$20,3,false)</f>
        <v>1</v>
      </c>
      <c r="W1653" s="960">
        <f t="array" ref="W1653">HLOOKUP($J1653,'Type Chart'!$C$2:$T$20,4,false)*HLOOKUP($K1653,'Type Chart'!$C$2:$U$20,4,false)</f>
        <v>0.5</v>
      </c>
      <c r="X1653" s="960">
        <f t="array" ref="X1653">HLOOKUP($J1653,'Type Chart'!$C$2:$T$20,5,false)*HLOOKUP($K1653,'Type Chart'!$C$2:$U$20,5,false)</f>
        <v>0</v>
      </c>
      <c r="Y1653" s="960">
        <f t="array" ref="Y1653">HLOOKUP($J1653,'Type Chart'!$C$2:$T$20,6,false)*HLOOKUP($K1653,'Type Chart'!$C$2:$U$20,6,false)</f>
        <v>2</v>
      </c>
      <c r="Z1653" s="960">
        <f t="array" ref="Z1653">HLOOKUP($J1653,'Type Chart'!$C$2:$T$20,7,false)*HLOOKUP($K1653,'Type Chart'!$C$2:$U$20,7,false)</f>
        <v>0.5</v>
      </c>
      <c r="AA1653" s="960">
        <f t="array" ref="AA1653">HLOOKUP($J1653,'Type Chart'!$C$2:$T$20,8,false)*HLOOKUP($K1653,'Type Chart'!$C$2:$U$20,8,false)</f>
        <v>0.25</v>
      </c>
      <c r="AB1653" s="960">
        <f t="array" ref="AB1653">HLOOKUP($J1653,'Type Chart'!$C$2:$T$20,9,false)*HLOOKUP($K1653,'Type Chart'!$C$2:$U$20,9,false)</f>
        <v>1</v>
      </c>
      <c r="AC1653" s="960">
        <f t="array" ref="AC1653">HLOOKUP($J1653,'Type Chart'!$C$2:$T$20,10,false)*HLOOKUP($K1653,'Type Chart'!$C$2:$U$20,10,false)</f>
        <v>1</v>
      </c>
      <c r="AD1653" s="960">
        <f t="array" ref="AD1653">HLOOKUP($J1653,'Type Chart'!$C$2:$T$20,11,false)*HLOOKUP($K1653,'Type Chart'!$C$2:$U$20,11,false)</f>
        <v>2</v>
      </c>
      <c r="AE1653" s="960">
        <f t="array" ref="AE1653">HLOOKUP($J1653,'Type Chart'!$C$2:$T$20,12,false)*HLOOKUP($K1653,'Type Chart'!$C$2:$U$20,12,false)</f>
        <v>1</v>
      </c>
      <c r="AF1653" s="960">
        <f t="array" ref="AF1653">HLOOKUP($J1653,'Type Chart'!$C$2:$T$20,13,false)*HLOOKUP($K1653,'Type Chart'!$C$2:$U$20,13,false)</f>
        <v>0.5</v>
      </c>
      <c r="AG1653" s="960">
        <f t="array" ref="AG1653">HLOOKUP($J1653,'Type Chart'!$C$2:$T$20,14,false)*HLOOKUP($K1653,'Type Chart'!$C$2:$U$20,14,false)</f>
        <v>1</v>
      </c>
      <c r="AH1653" s="960">
        <f t="array" ref="AH1653">HLOOKUP($J1653,'Type Chart'!$C$2:$T$20,15,false)*HLOOKUP($K1653,'Type Chart'!$C$2:$U$20,15,false)</f>
        <v>0.5</v>
      </c>
      <c r="AI1653" s="960">
        <f t="array" ref="AI1653">HLOOKUP($J1653,'Type Chart'!$C$2:$T$20,16,false)*HLOOKUP($K1653,'Type Chart'!$C$2:$U$20,16,false)</f>
        <v>0.5</v>
      </c>
      <c r="AJ1653" s="960">
        <f t="array" ref="AJ1653">HLOOKUP($J1653,'Type Chart'!$C$2:$T$20,17,false)*HLOOKUP($K1653,'Type Chart'!$C$2:$U$20,17,false)</f>
        <v>0</v>
      </c>
      <c r="AK1653" s="960">
        <f t="array" ref="AK1653">HLOOKUP($J1653,'Type Chart'!$C$2:$T$20,18,false)*HLOOKUP($K1653,'Type Chart'!$C$2:$U$20,18,false)</f>
        <v>0.5</v>
      </c>
      <c r="AL1653" s="960">
        <f t="array" ref="AL1653">HLOOKUP($J1653,'Type Chart'!$C$2:$T$20,19,false)*HLOOKUP($K1653,'Type Chart'!$C$2:$U$20,19,false)</f>
        <v>0.5</v>
      </c>
      <c r="AM1653" s="964" t="s">
        <v>1461</v>
      </c>
      <c r="AN1653" s="965" t="s">
        <v>1061</v>
      </c>
      <c r="AO1653" s="966" t="s">
        <v>1153</v>
      </c>
      <c r="AP1653" s="936"/>
      <c r="AQ1653" s="1245"/>
      <c r="AR1653" s="1245"/>
      <c r="AS1653" s="936"/>
    </row>
    <row r="1654" ht="15.75" customHeight="1">
      <c r="A1654" s="1099"/>
      <c r="B1654" s="948" t="s">
        <v>2145</v>
      </c>
      <c r="C1654" s="1197" t="s">
        <v>2146</v>
      </c>
      <c r="D1654" s="1197" t="s">
        <v>2146</v>
      </c>
      <c r="E1654" s="1147" t="s">
        <v>2146</v>
      </c>
      <c r="F1654" s="940"/>
      <c r="G1654" s="953"/>
      <c r="H1654" s="969"/>
      <c r="I1654" s="998" t="s">
        <v>4755</v>
      </c>
      <c r="J1654" s="1206" t="s">
        <v>82</v>
      </c>
      <c r="K1654" s="1207" t="s">
        <v>127</v>
      </c>
      <c r="L1654" s="959">
        <v>50.0</v>
      </c>
      <c r="M1654" s="960">
        <v>105.0</v>
      </c>
      <c r="N1654" s="960">
        <v>125.0</v>
      </c>
      <c r="O1654" s="960">
        <v>55.0</v>
      </c>
      <c r="P1654" s="960">
        <v>95.0</v>
      </c>
      <c r="Q1654" s="960">
        <v>50.0</v>
      </c>
      <c r="R1654" s="960">
        <v>136.0</v>
      </c>
      <c r="S1654" s="960">
        <v>199.0</v>
      </c>
      <c r="T1654" s="960">
        <v>218.0</v>
      </c>
      <c r="U1654" s="960">
        <f t="array" ref="U1654">HLOOKUP($J1654,'Type Chart'!$C$2:$T$20,2,false)*HLOOKUP($K1654,'Type Chart'!$C$2:$U$20,2,false)</f>
        <v>0.5</v>
      </c>
      <c r="V1654" s="960">
        <f t="array" ref="V1654">HLOOKUP($J1654,'Type Chart'!$C$2:$T$20,3,false)*HLOOKUP($K1654,'Type Chart'!$C$2:$U$20,3,false)</f>
        <v>1</v>
      </c>
      <c r="W1654" s="960">
        <f t="array" ref="W1654">HLOOKUP($J1654,'Type Chart'!$C$2:$T$20,4,false)*HLOOKUP($K1654,'Type Chart'!$C$2:$U$20,4,false)</f>
        <v>0.5</v>
      </c>
      <c r="X1654" s="960">
        <f t="array" ref="X1654">HLOOKUP($J1654,'Type Chart'!$C$2:$T$20,5,false)*HLOOKUP($K1654,'Type Chart'!$C$2:$U$20,5,false)</f>
        <v>0</v>
      </c>
      <c r="Y1654" s="960">
        <f t="array" ref="Y1654">HLOOKUP($J1654,'Type Chart'!$C$2:$T$20,6,false)*HLOOKUP($K1654,'Type Chart'!$C$2:$U$20,6,false)</f>
        <v>2</v>
      </c>
      <c r="Z1654" s="960">
        <f t="array" ref="Z1654">HLOOKUP($J1654,'Type Chart'!$C$2:$T$20,7,false)*HLOOKUP($K1654,'Type Chart'!$C$2:$U$20,7,false)</f>
        <v>0.5</v>
      </c>
      <c r="AA1654" s="960">
        <f t="array" ref="AA1654">HLOOKUP($J1654,'Type Chart'!$C$2:$T$20,8,false)*HLOOKUP($K1654,'Type Chart'!$C$2:$U$20,8,false)</f>
        <v>0.25</v>
      </c>
      <c r="AB1654" s="960">
        <f t="array" ref="AB1654">HLOOKUP($J1654,'Type Chart'!$C$2:$T$20,9,false)*HLOOKUP($K1654,'Type Chart'!$C$2:$U$20,9,false)</f>
        <v>1</v>
      </c>
      <c r="AC1654" s="960">
        <f t="array" ref="AC1654">HLOOKUP($J1654,'Type Chart'!$C$2:$T$20,10,false)*HLOOKUP($K1654,'Type Chart'!$C$2:$U$20,10,false)</f>
        <v>1</v>
      </c>
      <c r="AD1654" s="960">
        <f t="array" ref="AD1654">HLOOKUP($J1654,'Type Chart'!$C$2:$T$20,11,false)*HLOOKUP($K1654,'Type Chart'!$C$2:$U$20,11,false)</f>
        <v>2</v>
      </c>
      <c r="AE1654" s="960">
        <f t="array" ref="AE1654">HLOOKUP($J1654,'Type Chart'!$C$2:$T$20,12,false)*HLOOKUP($K1654,'Type Chart'!$C$2:$U$20,12,false)</f>
        <v>1</v>
      </c>
      <c r="AF1654" s="960">
        <f t="array" ref="AF1654">HLOOKUP($J1654,'Type Chart'!$C$2:$T$20,13,false)*HLOOKUP($K1654,'Type Chart'!$C$2:$U$20,13,false)</f>
        <v>0.5</v>
      </c>
      <c r="AG1654" s="960">
        <f t="array" ref="AG1654">HLOOKUP($J1654,'Type Chart'!$C$2:$T$20,14,false)*HLOOKUP($K1654,'Type Chart'!$C$2:$U$20,14,false)</f>
        <v>1</v>
      </c>
      <c r="AH1654" s="960">
        <f t="array" ref="AH1654">HLOOKUP($J1654,'Type Chart'!$C$2:$T$20,15,false)*HLOOKUP($K1654,'Type Chart'!$C$2:$U$20,15,false)</f>
        <v>0.5</v>
      </c>
      <c r="AI1654" s="960">
        <f t="array" ref="AI1654">HLOOKUP($J1654,'Type Chart'!$C$2:$T$20,16,false)*HLOOKUP($K1654,'Type Chart'!$C$2:$U$20,16,false)</f>
        <v>0.5</v>
      </c>
      <c r="AJ1654" s="960">
        <f t="array" ref="AJ1654">HLOOKUP($J1654,'Type Chart'!$C$2:$T$20,17,false)*HLOOKUP($K1654,'Type Chart'!$C$2:$U$20,17,false)</f>
        <v>0</v>
      </c>
      <c r="AK1654" s="960">
        <f t="array" ref="AK1654">HLOOKUP($J1654,'Type Chart'!$C$2:$T$20,18,false)*HLOOKUP($K1654,'Type Chart'!$C$2:$U$20,18,false)</f>
        <v>0.5</v>
      </c>
      <c r="AL1654" s="960">
        <f t="array" ref="AL1654">HLOOKUP($J1654,'Type Chart'!$C$2:$T$20,19,false)*HLOOKUP($K1654,'Type Chart'!$C$2:$U$20,19,false)</f>
        <v>0.5</v>
      </c>
      <c r="AM1654" s="964" t="s">
        <v>1771</v>
      </c>
      <c r="AN1654" s="965"/>
      <c r="AO1654" s="966"/>
      <c r="AP1654" s="936"/>
      <c r="AQ1654" s="1245"/>
      <c r="AR1654" s="1245"/>
      <c r="AS1654" s="936"/>
    </row>
    <row r="1655" ht="15.75" customHeight="1">
      <c r="A1655" s="1099"/>
      <c r="B1655" s="948" t="s">
        <v>2148</v>
      </c>
      <c r="C1655" s="1197" t="s">
        <v>2149</v>
      </c>
      <c r="D1655" s="1197" t="s">
        <v>2149</v>
      </c>
      <c r="E1655" s="1147" t="s">
        <v>2149</v>
      </c>
      <c r="F1655" s="940"/>
      <c r="G1655" s="953"/>
      <c r="H1655" s="969"/>
      <c r="I1655" s="998" t="s">
        <v>4756</v>
      </c>
      <c r="J1655" s="1233" t="s">
        <v>82</v>
      </c>
      <c r="K1655" s="1222" t="s">
        <v>342</v>
      </c>
      <c r="L1655" s="1200">
        <v>50.0</v>
      </c>
      <c r="M1655" s="1201">
        <v>70.0</v>
      </c>
      <c r="N1655" s="1201">
        <v>100.0</v>
      </c>
      <c r="O1655" s="1201">
        <v>40.0</v>
      </c>
      <c r="P1655" s="1201">
        <v>40.0</v>
      </c>
      <c r="Q1655" s="1201">
        <v>30.0</v>
      </c>
      <c r="R1655" s="960">
        <v>96.0</v>
      </c>
      <c r="S1655" s="960">
        <v>159.0</v>
      </c>
      <c r="T1655" s="960">
        <v>174.0</v>
      </c>
      <c r="U1655" s="960">
        <f t="array" ref="U1655">HLOOKUP($J1655,'Type Chart'!$C$2:$T$20,2,false)*HLOOKUP($K1655,'Type Chart'!$C$2:$U$20,2,false)</f>
        <v>0.25</v>
      </c>
      <c r="V1655" s="960">
        <f t="array" ref="V1655">HLOOKUP($J1655,'Type Chart'!$C$2:$T$20,3,false)*HLOOKUP($K1655,'Type Chart'!$C$2:$U$20,3,false)</f>
        <v>4</v>
      </c>
      <c r="W1655" s="960">
        <f t="array" ref="W1655">HLOOKUP($J1655,'Type Chart'!$C$2:$T$20,4,false)*HLOOKUP($K1655,'Type Chart'!$C$2:$U$20,4,false)</f>
        <v>0.25</v>
      </c>
      <c r="X1655" s="960">
        <f t="array" ref="X1655">HLOOKUP($J1655,'Type Chart'!$C$2:$T$20,5,false)*HLOOKUP($K1655,'Type Chart'!$C$2:$U$20,5,false)</f>
        <v>0</v>
      </c>
      <c r="Y1655" s="960">
        <f t="array" ref="Y1655">HLOOKUP($J1655,'Type Chart'!$C$2:$T$20,6,false)*HLOOKUP($K1655,'Type Chart'!$C$2:$U$20,6,false)</f>
        <v>4</v>
      </c>
      <c r="Z1655" s="960">
        <f t="array" ref="Z1655">HLOOKUP($J1655,'Type Chart'!$C$2:$T$20,7,false)*HLOOKUP($K1655,'Type Chart'!$C$2:$U$20,7,false)</f>
        <v>0.5</v>
      </c>
      <c r="AA1655" s="960">
        <f t="array" ref="AA1655">HLOOKUP($J1655,'Type Chart'!$C$2:$T$20,8,false)*HLOOKUP($K1655,'Type Chart'!$C$2:$U$20,8,false)</f>
        <v>0.5</v>
      </c>
      <c r="AB1655" s="960">
        <f t="array" ref="AB1655">HLOOKUP($J1655,'Type Chart'!$C$2:$T$20,9,false)*HLOOKUP($K1655,'Type Chart'!$C$2:$U$20,9,false)</f>
        <v>1</v>
      </c>
      <c r="AC1655" s="960">
        <f t="array" ref="AC1655">HLOOKUP($J1655,'Type Chart'!$C$2:$T$20,10,false)*HLOOKUP($K1655,'Type Chart'!$C$2:$U$20,10,false)</f>
        <v>1</v>
      </c>
      <c r="AD1655" s="960">
        <f t="array" ref="AD1655">HLOOKUP($J1655,'Type Chart'!$C$2:$T$20,11,false)*HLOOKUP($K1655,'Type Chart'!$C$2:$U$20,11,false)</f>
        <v>1</v>
      </c>
      <c r="AE1655" s="960">
        <f t="array" ref="AE1655">HLOOKUP($J1655,'Type Chart'!$C$2:$T$20,12,false)*HLOOKUP($K1655,'Type Chart'!$C$2:$U$20,12,false)</f>
        <v>2</v>
      </c>
      <c r="AF1655" s="960">
        <f t="array" ref="AF1655">HLOOKUP($J1655,'Type Chart'!$C$2:$T$20,13,false)*HLOOKUP($K1655,'Type Chart'!$C$2:$U$20,13,false)</f>
        <v>1</v>
      </c>
      <c r="AG1655" s="960">
        <f t="array" ref="AG1655">HLOOKUP($J1655,'Type Chart'!$C$2:$T$20,14,false)*HLOOKUP($K1655,'Type Chart'!$C$2:$U$20,14,false)</f>
        <v>1</v>
      </c>
      <c r="AH1655" s="960">
        <f t="array" ref="AH1655">HLOOKUP($J1655,'Type Chart'!$C$2:$T$20,15,false)*HLOOKUP($K1655,'Type Chart'!$C$2:$U$20,15,false)</f>
        <v>0.5</v>
      </c>
      <c r="AI1655" s="960">
        <f t="array" ref="AI1655">HLOOKUP($J1655,'Type Chart'!$C$2:$T$20,16,false)*HLOOKUP($K1655,'Type Chart'!$C$2:$U$20,16,false)</f>
        <v>0.5</v>
      </c>
      <c r="AJ1655" s="960">
        <f t="array" ref="AJ1655">HLOOKUP($J1655,'Type Chart'!$C$2:$T$20,17,false)*HLOOKUP($K1655,'Type Chart'!$C$2:$U$20,17,false)</f>
        <v>0.5</v>
      </c>
      <c r="AK1655" s="960">
        <f t="array" ref="AK1655">HLOOKUP($J1655,'Type Chart'!$C$2:$T$20,18,false)*HLOOKUP($K1655,'Type Chart'!$C$2:$U$20,18,false)</f>
        <v>1</v>
      </c>
      <c r="AL1655" s="960">
        <f t="array" ref="AL1655">HLOOKUP($J1655,'Type Chart'!$C$2:$T$20,19,false)*HLOOKUP($K1655,'Type Chart'!$C$2:$U$20,19,false)</f>
        <v>0.5</v>
      </c>
      <c r="AM1655" s="1145" t="s">
        <v>1331</v>
      </c>
      <c r="AN1655" s="1202" t="s">
        <v>1276</v>
      </c>
      <c r="AO1655" s="1146" t="s">
        <v>2151</v>
      </c>
      <c r="AP1655" s="936"/>
      <c r="AQ1655" s="1245"/>
      <c r="AR1655" s="1245"/>
      <c r="AS1655" s="936"/>
    </row>
    <row r="1656" ht="15.75" customHeight="1">
      <c r="A1656" s="1099"/>
      <c r="B1656" s="948" t="s">
        <v>2152</v>
      </c>
      <c r="C1656" s="1197" t="s">
        <v>2153</v>
      </c>
      <c r="D1656" s="1197" t="s">
        <v>2153</v>
      </c>
      <c r="E1656" s="1147" t="s">
        <v>2153</v>
      </c>
      <c r="F1656" s="940"/>
      <c r="G1656" s="953"/>
      <c r="H1656" s="969"/>
      <c r="I1656" s="998" t="s">
        <v>4757</v>
      </c>
      <c r="J1656" s="1206" t="s">
        <v>82</v>
      </c>
      <c r="K1656" s="1214" t="s">
        <v>342</v>
      </c>
      <c r="L1656" s="959">
        <v>60.0</v>
      </c>
      <c r="M1656" s="960">
        <v>90.0</v>
      </c>
      <c r="N1656" s="960">
        <v>140.0</v>
      </c>
      <c r="O1656" s="960">
        <v>50.0</v>
      </c>
      <c r="P1656" s="960">
        <v>50.0</v>
      </c>
      <c r="Q1656" s="960">
        <v>40.0</v>
      </c>
      <c r="R1656" s="960">
        <v>116.0</v>
      </c>
      <c r="S1656" s="960">
        <v>179.0</v>
      </c>
      <c r="T1656" s="960">
        <v>196.0</v>
      </c>
      <c r="U1656" s="960">
        <f t="array" ref="U1656">HLOOKUP($J1656,'Type Chart'!$C$2:$T$20,2,false)*HLOOKUP($K1656,'Type Chart'!$C$2:$U$20,2,false)</f>
        <v>0.25</v>
      </c>
      <c r="V1656" s="960">
        <f t="array" ref="V1656">HLOOKUP($J1656,'Type Chart'!$C$2:$T$20,3,false)*HLOOKUP($K1656,'Type Chart'!$C$2:$U$20,3,false)</f>
        <v>4</v>
      </c>
      <c r="W1656" s="960">
        <f t="array" ref="W1656">HLOOKUP($J1656,'Type Chart'!$C$2:$T$20,4,false)*HLOOKUP($K1656,'Type Chart'!$C$2:$U$20,4,false)</f>
        <v>0.25</v>
      </c>
      <c r="X1656" s="960">
        <f t="array" ref="X1656">HLOOKUP($J1656,'Type Chart'!$C$2:$T$20,5,false)*HLOOKUP($K1656,'Type Chart'!$C$2:$U$20,5,false)</f>
        <v>0</v>
      </c>
      <c r="Y1656" s="960">
        <f t="array" ref="Y1656">HLOOKUP($J1656,'Type Chart'!$C$2:$T$20,6,false)*HLOOKUP($K1656,'Type Chart'!$C$2:$U$20,6,false)</f>
        <v>4</v>
      </c>
      <c r="Z1656" s="960">
        <f t="array" ref="Z1656">HLOOKUP($J1656,'Type Chart'!$C$2:$T$20,7,false)*HLOOKUP($K1656,'Type Chart'!$C$2:$U$20,7,false)</f>
        <v>0.5</v>
      </c>
      <c r="AA1656" s="960">
        <f t="array" ref="AA1656">HLOOKUP($J1656,'Type Chart'!$C$2:$T$20,8,false)*HLOOKUP($K1656,'Type Chart'!$C$2:$U$20,8,false)</f>
        <v>0.5</v>
      </c>
      <c r="AB1656" s="960">
        <f t="array" ref="AB1656">HLOOKUP($J1656,'Type Chart'!$C$2:$T$20,9,false)*HLOOKUP($K1656,'Type Chart'!$C$2:$U$20,9,false)</f>
        <v>1</v>
      </c>
      <c r="AC1656" s="960">
        <f t="array" ref="AC1656">HLOOKUP($J1656,'Type Chart'!$C$2:$T$20,10,false)*HLOOKUP($K1656,'Type Chart'!$C$2:$U$20,10,false)</f>
        <v>1</v>
      </c>
      <c r="AD1656" s="960">
        <f t="array" ref="AD1656">HLOOKUP($J1656,'Type Chart'!$C$2:$T$20,11,false)*HLOOKUP($K1656,'Type Chart'!$C$2:$U$20,11,false)</f>
        <v>1</v>
      </c>
      <c r="AE1656" s="960">
        <f t="array" ref="AE1656">HLOOKUP($J1656,'Type Chart'!$C$2:$T$20,12,false)*HLOOKUP($K1656,'Type Chart'!$C$2:$U$20,12,false)</f>
        <v>2</v>
      </c>
      <c r="AF1656" s="960">
        <f t="array" ref="AF1656">HLOOKUP($J1656,'Type Chart'!$C$2:$T$20,13,false)*HLOOKUP($K1656,'Type Chart'!$C$2:$U$20,13,false)</f>
        <v>1</v>
      </c>
      <c r="AG1656" s="960">
        <f t="array" ref="AG1656">HLOOKUP($J1656,'Type Chart'!$C$2:$T$20,14,false)*HLOOKUP($K1656,'Type Chart'!$C$2:$U$20,14,false)</f>
        <v>1</v>
      </c>
      <c r="AH1656" s="960">
        <f t="array" ref="AH1656">HLOOKUP($J1656,'Type Chart'!$C$2:$T$20,15,false)*HLOOKUP($K1656,'Type Chart'!$C$2:$U$20,15,false)</f>
        <v>0.5</v>
      </c>
      <c r="AI1656" s="960">
        <f t="array" ref="AI1656">HLOOKUP($J1656,'Type Chart'!$C$2:$T$20,16,false)*HLOOKUP($K1656,'Type Chart'!$C$2:$U$20,16,false)</f>
        <v>0.5</v>
      </c>
      <c r="AJ1656" s="960">
        <f t="array" ref="AJ1656">HLOOKUP($J1656,'Type Chart'!$C$2:$T$20,17,false)*HLOOKUP($K1656,'Type Chart'!$C$2:$U$20,17,false)</f>
        <v>0.5</v>
      </c>
      <c r="AK1656" s="960">
        <f t="array" ref="AK1656">HLOOKUP($J1656,'Type Chart'!$C$2:$T$20,18,false)*HLOOKUP($K1656,'Type Chart'!$C$2:$U$20,18,false)</f>
        <v>1</v>
      </c>
      <c r="AL1656" s="960">
        <f t="array" ref="AL1656">HLOOKUP($J1656,'Type Chart'!$C$2:$T$20,19,false)*HLOOKUP($K1656,'Type Chart'!$C$2:$U$20,19,false)</f>
        <v>0.5</v>
      </c>
      <c r="AM1656" s="964" t="s">
        <v>1331</v>
      </c>
      <c r="AN1656" s="965" t="s">
        <v>1276</v>
      </c>
      <c r="AO1656" s="966" t="s">
        <v>2151</v>
      </c>
      <c r="AP1656" s="936"/>
      <c r="AQ1656" s="1245"/>
      <c r="AR1656" s="1245"/>
      <c r="AS1656" s="936"/>
    </row>
    <row r="1657" ht="15.75" customHeight="1">
      <c r="A1657" s="1099"/>
      <c r="B1657" s="948" t="s">
        <v>2155</v>
      </c>
      <c r="C1657" s="1197" t="s">
        <v>2156</v>
      </c>
      <c r="D1657" s="1197" t="s">
        <v>2156</v>
      </c>
      <c r="E1657" s="1147" t="s">
        <v>2156</v>
      </c>
      <c r="F1657" s="940"/>
      <c r="G1657" s="953"/>
      <c r="H1657" s="969"/>
      <c r="I1657" s="998" t="s">
        <v>4758</v>
      </c>
      <c r="J1657" s="1206" t="s">
        <v>82</v>
      </c>
      <c r="K1657" s="1214" t="s">
        <v>342</v>
      </c>
      <c r="L1657" s="959">
        <v>70.0</v>
      </c>
      <c r="M1657" s="960">
        <v>110.0</v>
      </c>
      <c r="N1657" s="960">
        <v>180.0</v>
      </c>
      <c r="O1657" s="960">
        <v>60.0</v>
      </c>
      <c r="P1657" s="960">
        <v>60.0</v>
      </c>
      <c r="Q1657" s="960">
        <v>50.0</v>
      </c>
      <c r="R1657" s="960">
        <v>136.0</v>
      </c>
      <c r="S1657" s="960">
        <v>199.0</v>
      </c>
      <c r="T1657" s="960">
        <v>218.0</v>
      </c>
      <c r="U1657" s="960">
        <f t="array" ref="U1657">HLOOKUP($J1657,'Type Chart'!$C$2:$T$20,2,false)*HLOOKUP($K1657,'Type Chart'!$C$2:$U$20,2,false)</f>
        <v>0.25</v>
      </c>
      <c r="V1657" s="960">
        <f t="array" ref="V1657">HLOOKUP($J1657,'Type Chart'!$C$2:$T$20,3,false)*HLOOKUP($K1657,'Type Chart'!$C$2:$U$20,3,false)</f>
        <v>4</v>
      </c>
      <c r="W1657" s="960">
        <f t="array" ref="W1657">HLOOKUP($J1657,'Type Chart'!$C$2:$T$20,4,false)*HLOOKUP($K1657,'Type Chart'!$C$2:$U$20,4,false)</f>
        <v>0.25</v>
      </c>
      <c r="X1657" s="960">
        <f t="array" ref="X1657">HLOOKUP($J1657,'Type Chart'!$C$2:$T$20,5,false)*HLOOKUP($K1657,'Type Chart'!$C$2:$U$20,5,false)</f>
        <v>0</v>
      </c>
      <c r="Y1657" s="960">
        <f t="array" ref="Y1657">HLOOKUP($J1657,'Type Chart'!$C$2:$T$20,6,false)*HLOOKUP($K1657,'Type Chart'!$C$2:$U$20,6,false)</f>
        <v>4</v>
      </c>
      <c r="Z1657" s="960">
        <f t="array" ref="Z1657">HLOOKUP($J1657,'Type Chart'!$C$2:$T$20,7,false)*HLOOKUP($K1657,'Type Chart'!$C$2:$U$20,7,false)</f>
        <v>0.5</v>
      </c>
      <c r="AA1657" s="960">
        <f t="array" ref="AA1657">HLOOKUP($J1657,'Type Chart'!$C$2:$T$20,8,false)*HLOOKUP($K1657,'Type Chart'!$C$2:$U$20,8,false)</f>
        <v>0.5</v>
      </c>
      <c r="AB1657" s="960">
        <f t="array" ref="AB1657">HLOOKUP($J1657,'Type Chart'!$C$2:$T$20,9,false)*HLOOKUP($K1657,'Type Chart'!$C$2:$U$20,9,false)</f>
        <v>1</v>
      </c>
      <c r="AC1657" s="960">
        <f t="array" ref="AC1657">HLOOKUP($J1657,'Type Chart'!$C$2:$T$20,10,false)*HLOOKUP($K1657,'Type Chart'!$C$2:$U$20,10,false)</f>
        <v>1</v>
      </c>
      <c r="AD1657" s="960">
        <f t="array" ref="AD1657">HLOOKUP($J1657,'Type Chart'!$C$2:$T$20,11,false)*HLOOKUP($K1657,'Type Chart'!$C$2:$U$20,11,false)</f>
        <v>1</v>
      </c>
      <c r="AE1657" s="960">
        <f t="array" ref="AE1657">HLOOKUP($J1657,'Type Chart'!$C$2:$T$20,12,false)*HLOOKUP($K1657,'Type Chart'!$C$2:$U$20,12,false)</f>
        <v>2</v>
      </c>
      <c r="AF1657" s="960">
        <f t="array" ref="AF1657">HLOOKUP($J1657,'Type Chart'!$C$2:$T$20,13,false)*HLOOKUP($K1657,'Type Chart'!$C$2:$U$20,13,false)</f>
        <v>1</v>
      </c>
      <c r="AG1657" s="960">
        <f t="array" ref="AG1657">HLOOKUP($J1657,'Type Chart'!$C$2:$T$20,14,false)*HLOOKUP($K1657,'Type Chart'!$C$2:$U$20,14,false)</f>
        <v>1</v>
      </c>
      <c r="AH1657" s="960">
        <f t="array" ref="AH1657">HLOOKUP($J1657,'Type Chart'!$C$2:$T$20,15,false)*HLOOKUP($K1657,'Type Chart'!$C$2:$U$20,15,false)</f>
        <v>0.5</v>
      </c>
      <c r="AI1657" s="960">
        <f t="array" ref="AI1657">HLOOKUP($J1657,'Type Chart'!$C$2:$T$20,16,false)*HLOOKUP($K1657,'Type Chart'!$C$2:$U$20,16,false)</f>
        <v>0.5</v>
      </c>
      <c r="AJ1657" s="960">
        <f t="array" ref="AJ1657">HLOOKUP($J1657,'Type Chart'!$C$2:$T$20,17,false)*HLOOKUP($K1657,'Type Chart'!$C$2:$U$20,17,false)</f>
        <v>0.5</v>
      </c>
      <c r="AK1657" s="960">
        <f t="array" ref="AK1657">HLOOKUP($J1657,'Type Chart'!$C$2:$T$20,18,false)*HLOOKUP($K1657,'Type Chart'!$C$2:$U$20,18,false)</f>
        <v>1</v>
      </c>
      <c r="AL1657" s="960">
        <f t="array" ref="AL1657">HLOOKUP($J1657,'Type Chart'!$C$2:$T$20,19,false)*HLOOKUP($K1657,'Type Chart'!$C$2:$U$20,19,false)</f>
        <v>0.5</v>
      </c>
      <c r="AM1657" s="964" t="s">
        <v>1331</v>
      </c>
      <c r="AN1657" s="965" t="s">
        <v>1276</v>
      </c>
      <c r="AO1657" s="966" t="s">
        <v>2151</v>
      </c>
      <c r="AP1657" s="936"/>
      <c r="AQ1657" s="1245"/>
      <c r="AR1657" s="1245"/>
      <c r="AS1657" s="936"/>
    </row>
    <row r="1658" ht="15.75" customHeight="1">
      <c r="A1658" s="1099"/>
      <c r="B1658" s="948" t="s">
        <v>2158</v>
      </c>
      <c r="C1658" s="1197" t="s">
        <v>2159</v>
      </c>
      <c r="D1658" s="1197" t="s">
        <v>2159</v>
      </c>
      <c r="E1658" s="1147" t="s">
        <v>2159</v>
      </c>
      <c r="F1658" s="940"/>
      <c r="G1658" s="953"/>
      <c r="H1658" s="969"/>
      <c r="I1658" s="998" t="s">
        <v>4759</v>
      </c>
      <c r="J1658" s="1206" t="s">
        <v>82</v>
      </c>
      <c r="K1658" s="984" t="s">
        <v>216</v>
      </c>
      <c r="L1658" s="959">
        <v>70.0</v>
      </c>
      <c r="M1658" s="960">
        <v>140.0</v>
      </c>
      <c r="N1658" s="960">
        <v>230.0</v>
      </c>
      <c r="O1658" s="960">
        <v>60.0</v>
      </c>
      <c r="P1658" s="960">
        <v>80.0</v>
      </c>
      <c r="Q1658" s="960">
        <v>50.0</v>
      </c>
      <c r="R1658" s="960">
        <v>136.0</v>
      </c>
      <c r="S1658" s="960">
        <v>199.0</v>
      </c>
      <c r="T1658" s="960">
        <v>218.0</v>
      </c>
      <c r="U1658" s="960">
        <f t="array" ref="U1658">HLOOKUP($J1658,'Type Chart'!$C$2:$T$20,2,false)*HLOOKUP($K1658,'Type Chart'!$C$2:$U$20,2,false)</f>
        <v>0.5</v>
      </c>
      <c r="V1658" s="960">
        <f t="array" ref="V1658">HLOOKUP($J1658,'Type Chart'!$C$2:$T$20,3,false)*HLOOKUP($K1658,'Type Chart'!$C$2:$U$20,3,false)</f>
        <v>2</v>
      </c>
      <c r="W1658" s="960">
        <f t="array" ref="W1658">HLOOKUP($J1658,'Type Chart'!$C$2:$T$20,4,false)*HLOOKUP($K1658,'Type Chart'!$C$2:$U$20,4,false)</f>
        <v>0.5</v>
      </c>
      <c r="X1658" s="960">
        <f t="array" ref="X1658">HLOOKUP($J1658,'Type Chart'!$C$2:$T$20,5,false)*HLOOKUP($K1658,'Type Chart'!$C$2:$U$20,5,false)</f>
        <v>0</v>
      </c>
      <c r="Y1658" s="960">
        <f t="array" ref="Y1658">HLOOKUP($J1658,'Type Chart'!$C$2:$T$20,6,false)*HLOOKUP($K1658,'Type Chart'!$C$2:$U$20,6,false)</f>
        <v>2</v>
      </c>
      <c r="Z1658" s="960">
        <f t="array" ref="Z1658">HLOOKUP($J1658,'Type Chart'!$C$2:$T$20,7,false)*HLOOKUP($K1658,'Type Chart'!$C$2:$U$20,7,false)</f>
        <v>0.5</v>
      </c>
      <c r="AA1658" s="960">
        <f t="array" ref="AA1658">HLOOKUP($J1658,'Type Chart'!$C$2:$T$20,8,false)*HLOOKUP($K1658,'Type Chart'!$C$2:$U$20,8,false)</f>
        <v>0.5</v>
      </c>
      <c r="AB1658" s="960">
        <f t="array" ref="AB1658">HLOOKUP($J1658,'Type Chart'!$C$2:$T$20,9,false)*HLOOKUP($K1658,'Type Chart'!$C$2:$U$20,9,false)</f>
        <v>1</v>
      </c>
      <c r="AC1658" s="960">
        <f t="array" ref="AC1658">HLOOKUP($J1658,'Type Chart'!$C$2:$T$20,10,false)*HLOOKUP($K1658,'Type Chart'!$C$2:$U$20,10,false)</f>
        <v>0.5</v>
      </c>
      <c r="AD1658" s="960">
        <f t="array" ref="AD1658">HLOOKUP($J1658,'Type Chart'!$C$2:$T$20,11,false)*HLOOKUP($K1658,'Type Chart'!$C$2:$U$20,11,false)</f>
        <v>2</v>
      </c>
      <c r="AE1658" s="960">
        <f t="array" ref="AE1658">HLOOKUP($J1658,'Type Chart'!$C$2:$T$20,12,false)*HLOOKUP($K1658,'Type Chart'!$C$2:$U$20,12,false)</f>
        <v>1</v>
      </c>
      <c r="AF1658" s="960">
        <f t="array" ref="AF1658">HLOOKUP($J1658,'Type Chart'!$C$2:$T$20,13,false)*HLOOKUP($K1658,'Type Chart'!$C$2:$U$20,13,false)</f>
        <v>0.5</v>
      </c>
      <c r="AG1658" s="960">
        <f t="array" ref="AG1658">HLOOKUP($J1658,'Type Chart'!$C$2:$T$20,14,false)*HLOOKUP($K1658,'Type Chart'!$C$2:$U$20,14,false)</f>
        <v>1</v>
      </c>
      <c r="AH1658" s="960">
        <f t="array" ref="AH1658">HLOOKUP($J1658,'Type Chart'!$C$2:$T$20,15,false)*HLOOKUP($K1658,'Type Chart'!$C$2:$U$20,15,false)</f>
        <v>0.5</v>
      </c>
      <c r="AI1658" s="960">
        <f t="array" ref="AI1658">HLOOKUP($J1658,'Type Chart'!$C$2:$T$20,16,false)*HLOOKUP($K1658,'Type Chart'!$C$2:$U$20,16,false)</f>
        <v>0.5</v>
      </c>
      <c r="AJ1658" s="960">
        <f t="array" ref="AJ1658">HLOOKUP($J1658,'Type Chart'!$C$2:$T$20,17,false)*HLOOKUP($K1658,'Type Chart'!$C$2:$U$20,17,false)</f>
        <v>0.5</v>
      </c>
      <c r="AK1658" s="960">
        <f t="array" ref="AK1658">HLOOKUP($J1658,'Type Chart'!$C$2:$T$20,18,false)*HLOOKUP($K1658,'Type Chart'!$C$2:$U$20,18,false)</f>
        <v>1</v>
      </c>
      <c r="AL1658" s="960">
        <f t="array" ref="AL1658">HLOOKUP($J1658,'Type Chart'!$C$2:$T$20,19,false)*HLOOKUP($K1658,'Type Chart'!$C$2:$U$20,19,false)</f>
        <v>0.5</v>
      </c>
      <c r="AM1658" s="1145" t="s">
        <v>1557</v>
      </c>
      <c r="AN1658" s="965"/>
      <c r="AO1658" s="966"/>
      <c r="AP1658" s="936"/>
      <c r="AQ1658" s="1245"/>
      <c r="AR1658" s="1245"/>
      <c r="AS1658" s="936"/>
    </row>
    <row r="1659" ht="15.75" customHeight="1">
      <c r="A1659" s="1099"/>
      <c r="B1659" s="948" t="s">
        <v>2161</v>
      </c>
      <c r="C1659" s="1197" t="s">
        <v>2162</v>
      </c>
      <c r="D1659" s="1197" t="s">
        <v>2162</v>
      </c>
      <c r="E1659" s="1147" t="s">
        <v>2162</v>
      </c>
      <c r="F1659" s="940"/>
      <c r="G1659" s="953"/>
      <c r="H1659" s="969"/>
      <c r="I1659" s="998" t="s">
        <v>4760</v>
      </c>
      <c r="J1659" s="1213" t="s">
        <v>341</v>
      </c>
      <c r="K1659" s="1203" t="s">
        <v>344</v>
      </c>
      <c r="L1659" s="959">
        <v>30.0</v>
      </c>
      <c r="M1659" s="960">
        <v>40.0</v>
      </c>
      <c r="N1659" s="960">
        <v>55.0</v>
      </c>
      <c r="O1659" s="960">
        <v>40.0</v>
      </c>
      <c r="P1659" s="960">
        <v>55.0</v>
      </c>
      <c r="Q1659" s="960">
        <v>60.0</v>
      </c>
      <c r="R1659" s="960">
        <v>156.0</v>
      </c>
      <c r="S1659" s="960">
        <v>219.0</v>
      </c>
      <c r="T1659" s="960">
        <v>240.0</v>
      </c>
      <c r="U1659" s="960">
        <f t="array" ref="U1659">HLOOKUP($J1659,'Type Chart'!$C$2:$T$20,2,false)*HLOOKUP($K1659,'Type Chart'!$C$2:$U$20,2,false)</f>
        <v>1</v>
      </c>
      <c r="V1659" s="960">
        <f t="array" ref="V1659">HLOOKUP($J1659,'Type Chart'!$C$2:$T$20,3,false)*HLOOKUP($K1659,'Type Chart'!$C$2:$U$20,3,false)</f>
        <v>0.5</v>
      </c>
      <c r="W1659" s="960">
        <f t="array" ref="W1659">HLOOKUP($J1659,'Type Chart'!$C$2:$T$20,4,false)*HLOOKUP($K1659,'Type Chart'!$C$2:$U$20,4,false)</f>
        <v>2</v>
      </c>
      <c r="X1659" s="960">
        <f t="array" ref="X1659">HLOOKUP($J1659,'Type Chart'!$C$2:$T$20,5,false)*HLOOKUP($K1659,'Type Chart'!$C$2:$U$20,5,false)</f>
        <v>1</v>
      </c>
      <c r="Y1659" s="960">
        <f t="array" ref="Y1659">HLOOKUP($J1659,'Type Chart'!$C$2:$T$20,6,false)*HLOOKUP($K1659,'Type Chart'!$C$2:$U$20,6,false)</f>
        <v>1</v>
      </c>
      <c r="Z1659" s="960">
        <f t="array" ref="Z1659">HLOOKUP($J1659,'Type Chart'!$C$2:$T$20,7,false)*HLOOKUP($K1659,'Type Chart'!$C$2:$U$20,7,false)</f>
        <v>0.5</v>
      </c>
      <c r="AA1659" s="960">
        <f t="array" ref="AA1659">HLOOKUP($J1659,'Type Chart'!$C$2:$T$20,8,false)*HLOOKUP($K1659,'Type Chart'!$C$2:$U$20,8,false)</f>
        <v>1</v>
      </c>
      <c r="AB1659" s="960">
        <f t="array" ref="AB1659">HLOOKUP($J1659,'Type Chart'!$C$2:$T$20,9,false)*HLOOKUP($K1659,'Type Chart'!$C$2:$U$20,9,false)</f>
        <v>2</v>
      </c>
      <c r="AC1659" s="960">
        <f t="array" ref="AC1659">HLOOKUP($J1659,'Type Chart'!$C$2:$T$20,10,false)*HLOOKUP($K1659,'Type Chart'!$C$2:$U$20,10,false)</f>
        <v>1</v>
      </c>
      <c r="AD1659" s="960">
        <f t="array" ref="AD1659">HLOOKUP($J1659,'Type Chart'!$C$2:$T$20,11,false)*HLOOKUP($K1659,'Type Chart'!$C$2:$U$20,11,false)</f>
        <v>1</v>
      </c>
      <c r="AE1659" s="960">
        <f t="array" ref="AE1659">HLOOKUP($J1659,'Type Chart'!$C$2:$T$20,12,false)*HLOOKUP($K1659,'Type Chart'!$C$2:$U$20,12,false)</f>
        <v>1</v>
      </c>
      <c r="AF1659" s="960">
        <f t="array" ref="AF1659">HLOOKUP($J1659,'Type Chart'!$C$2:$T$20,13,false)*HLOOKUP($K1659,'Type Chart'!$C$2:$U$20,13,false)</f>
        <v>1</v>
      </c>
      <c r="AG1659" s="960">
        <f t="array" ref="AG1659">HLOOKUP($J1659,'Type Chart'!$C$2:$T$20,14,false)*HLOOKUP($K1659,'Type Chart'!$C$2:$U$20,14,false)</f>
        <v>1</v>
      </c>
      <c r="AH1659" s="960">
        <f t="array" ref="AH1659">HLOOKUP($J1659,'Type Chart'!$C$2:$T$20,15,false)*HLOOKUP($K1659,'Type Chart'!$C$2:$U$20,15,false)</f>
        <v>1</v>
      </c>
      <c r="AI1659" s="960">
        <f t="array" ref="AI1659">HLOOKUP($J1659,'Type Chart'!$C$2:$T$20,16,false)*HLOOKUP($K1659,'Type Chart'!$C$2:$U$20,16,false)</f>
        <v>1</v>
      </c>
      <c r="AJ1659" s="960">
        <f t="array" ref="AJ1659">HLOOKUP($J1659,'Type Chart'!$C$2:$T$20,17,false)*HLOOKUP($K1659,'Type Chart'!$C$2:$U$20,17,false)</f>
        <v>1</v>
      </c>
      <c r="AK1659" s="960">
        <f t="array" ref="AK1659">HLOOKUP($J1659,'Type Chart'!$C$2:$T$20,18,false)*HLOOKUP($K1659,'Type Chart'!$C$2:$U$20,18,false)</f>
        <v>1</v>
      </c>
      <c r="AL1659" s="960">
        <f t="array" ref="AL1659">HLOOKUP($J1659,'Type Chart'!$C$2:$T$20,19,false)*HLOOKUP($K1659,'Type Chart'!$C$2:$U$20,19,false)</f>
        <v>2</v>
      </c>
      <c r="AM1659" s="1145" t="s">
        <v>2163</v>
      </c>
      <c r="AN1659" s="965"/>
      <c r="AO1659" s="966" t="s">
        <v>1828</v>
      </c>
      <c r="AP1659" s="936"/>
      <c r="AQ1659" s="1245"/>
      <c r="AR1659" s="1245"/>
      <c r="AS1659" s="936"/>
    </row>
    <row r="1660" ht="15.75" customHeight="1">
      <c r="A1660" s="1099"/>
      <c r="B1660" s="948" t="s">
        <v>2164</v>
      </c>
      <c r="C1660" s="1197" t="s">
        <v>2165</v>
      </c>
      <c r="D1660" s="1197" t="s">
        <v>2165</v>
      </c>
      <c r="E1660" s="1147" t="s">
        <v>2165</v>
      </c>
      <c r="F1660" s="940"/>
      <c r="G1660" s="953"/>
      <c r="H1660" s="969"/>
      <c r="I1660" s="998" t="s">
        <v>4761</v>
      </c>
      <c r="J1660" s="1213" t="s">
        <v>341</v>
      </c>
      <c r="K1660" s="1203" t="s">
        <v>344</v>
      </c>
      <c r="L1660" s="959">
        <v>60.0</v>
      </c>
      <c r="M1660" s="960">
        <v>60.0</v>
      </c>
      <c r="N1660" s="960">
        <v>75.0</v>
      </c>
      <c r="O1660" s="960">
        <v>60.0</v>
      </c>
      <c r="P1660" s="960">
        <v>75.0</v>
      </c>
      <c r="Q1660" s="960">
        <v>80.0</v>
      </c>
      <c r="R1660" s="960">
        <v>196.0</v>
      </c>
      <c r="S1660" s="960">
        <v>259.0</v>
      </c>
      <c r="T1660" s="960">
        <v>284.0</v>
      </c>
      <c r="U1660" s="960">
        <f t="array" ref="U1660">HLOOKUP($J1660,'Type Chart'!$C$2:$T$20,2,false)*HLOOKUP($K1660,'Type Chart'!$C$2:$U$20,2,false)</f>
        <v>1</v>
      </c>
      <c r="V1660" s="960">
        <f t="array" ref="V1660">HLOOKUP($J1660,'Type Chart'!$C$2:$T$20,3,false)*HLOOKUP($K1660,'Type Chart'!$C$2:$U$20,3,false)</f>
        <v>0.5</v>
      </c>
      <c r="W1660" s="960">
        <f t="array" ref="W1660">HLOOKUP($J1660,'Type Chart'!$C$2:$T$20,4,false)*HLOOKUP($K1660,'Type Chart'!$C$2:$U$20,4,false)</f>
        <v>2</v>
      </c>
      <c r="X1660" s="960">
        <f t="array" ref="X1660">HLOOKUP($J1660,'Type Chart'!$C$2:$T$20,5,false)*HLOOKUP($K1660,'Type Chart'!$C$2:$U$20,5,false)</f>
        <v>1</v>
      </c>
      <c r="Y1660" s="960">
        <f t="array" ref="Y1660">HLOOKUP($J1660,'Type Chart'!$C$2:$T$20,6,false)*HLOOKUP($K1660,'Type Chart'!$C$2:$U$20,6,false)</f>
        <v>1</v>
      </c>
      <c r="Z1660" s="960">
        <f t="array" ref="Z1660">HLOOKUP($J1660,'Type Chart'!$C$2:$T$20,7,false)*HLOOKUP($K1660,'Type Chart'!$C$2:$U$20,7,false)</f>
        <v>0.5</v>
      </c>
      <c r="AA1660" s="960">
        <f t="array" ref="AA1660">HLOOKUP($J1660,'Type Chart'!$C$2:$T$20,8,false)*HLOOKUP($K1660,'Type Chart'!$C$2:$U$20,8,false)</f>
        <v>1</v>
      </c>
      <c r="AB1660" s="960">
        <f t="array" ref="AB1660">HLOOKUP($J1660,'Type Chart'!$C$2:$T$20,9,false)*HLOOKUP($K1660,'Type Chart'!$C$2:$U$20,9,false)</f>
        <v>2</v>
      </c>
      <c r="AC1660" s="960">
        <f t="array" ref="AC1660">HLOOKUP($J1660,'Type Chart'!$C$2:$T$20,10,false)*HLOOKUP($K1660,'Type Chart'!$C$2:$U$20,10,false)</f>
        <v>1</v>
      </c>
      <c r="AD1660" s="960">
        <f t="array" ref="AD1660">HLOOKUP($J1660,'Type Chart'!$C$2:$T$20,11,false)*HLOOKUP($K1660,'Type Chart'!$C$2:$U$20,11,false)</f>
        <v>1</v>
      </c>
      <c r="AE1660" s="960">
        <f t="array" ref="AE1660">HLOOKUP($J1660,'Type Chart'!$C$2:$T$20,12,false)*HLOOKUP($K1660,'Type Chart'!$C$2:$U$20,12,false)</f>
        <v>1</v>
      </c>
      <c r="AF1660" s="960">
        <f t="array" ref="AF1660">HLOOKUP($J1660,'Type Chart'!$C$2:$T$20,13,false)*HLOOKUP($K1660,'Type Chart'!$C$2:$U$20,13,false)</f>
        <v>1</v>
      </c>
      <c r="AG1660" s="960">
        <f t="array" ref="AG1660">HLOOKUP($J1660,'Type Chart'!$C$2:$T$20,14,false)*HLOOKUP($K1660,'Type Chart'!$C$2:$U$20,14,false)</f>
        <v>1</v>
      </c>
      <c r="AH1660" s="960">
        <f t="array" ref="AH1660">HLOOKUP($J1660,'Type Chart'!$C$2:$T$20,15,false)*HLOOKUP($K1660,'Type Chart'!$C$2:$U$20,15,false)</f>
        <v>1</v>
      </c>
      <c r="AI1660" s="960">
        <f t="array" ref="AI1660">HLOOKUP($J1660,'Type Chart'!$C$2:$T$20,16,false)*HLOOKUP($K1660,'Type Chart'!$C$2:$U$20,16,false)</f>
        <v>1</v>
      </c>
      <c r="AJ1660" s="960">
        <f t="array" ref="AJ1660">HLOOKUP($J1660,'Type Chart'!$C$2:$T$20,17,false)*HLOOKUP($K1660,'Type Chart'!$C$2:$U$20,17,false)</f>
        <v>1</v>
      </c>
      <c r="AK1660" s="960">
        <f t="array" ref="AK1660">HLOOKUP($J1660,'Type Chart'!$C$2:$T$20,18,false)*HLOOKUP($K1660,'Type Chart'!$C$2:$U$20,18,false)</f>
        <v>1</v>
      </c>
      <c r="AL1660" s="960">
        <f t="array" ref="AL1660">HLOOKUP($J1660,'Type Chart'!$C$2:$T$20,19,false)*HLOOKUP($K1660,'Type Chart'!$C$2:$U$20,19,false)</f>
        <v>2</v>
      </c>
      <c r="AM1660" s="1145" t="s">
        <v>2163</v>
      </c>
      <c r="AN1660" s="965"/>
      <c r="AO1660" s="966" t="s">
        <v>1828</v>
      </c>
      <c r="AP1660" s="936"/>
      <c r="AQ1660" s="1245"/>
      <c r="AR1660" s="1245"/>
      <c r="AS1660" s="936"/>
    </row>
    <row r="1661" ht="15.75" customHeight="1">
      <c r="A1661" s="1099"/>
      <c r="B1661" s="948" t="s">
        <v>2166</v>
      </c>
      <c r="C1661" s="1197" t="s">
        <v>2167</v>
      </c>
      <c r="D1661" s="1197" t="s">
        <v>2167</v>
      </c>
      <c r="E1661" s="1147" t="s">
        <v>2167</v>
      </c>
      <c r="F1661" s="940"/>
      <c r="G1661" s="953"/>
      <c r="H1661" s="969"/>
      <c r="I1661" s="998" t="s">
        <v>4762</v>
      </c>
      <c r="J1661" s="1213" t="s">
        <v>341</v>
      </c>
      <c r="K1661" s="1203" t="s">
        <v>344</v>
      </c>
      <c r="L1661" s="959">
        <v>60.0</v>
      </c>
      <c r="M1661" s="960">
        <v>100.0</v>
      </c>
      <c r="N1661" s="960">
        <v>85.0</v>
      </c>
      <c r="O1661" s="960">
        <v>80.0</v>
      </c>
      <c r="P1661" s="960">
        <v>85.0</v>
      </c>
      <c r="Q1661" s="960">
        <v>100.0</v>
      </c>
      <c r="R1661" s="960">
        <v>236.0</v>
      </c>
      <c r="S1661" s="960">
        <v>299.0</v>
      </c>
      <c r="T1661" s="960">
        <v>328.0</v>
      </c>
      <c r="U1661" s="960">
        <f t="array" ref="U1661">HLOOKUP($J1661,'Type Chart'!$C$2:$T$20,2,false)*HLOOKUP($K1661,'Type Chart'!$C$2:$U$20,2,false)</f>
        <v>1</v>
      </c>
      <c r="V1661" s="960">
        <f t="array" ref="V1661">HLOOKUP($J1661,'Type Chart'!$C$2:$T$20,3,false)*HLOOKUP($K1661,'Type Chart'!$C$2:$U$20,3,false)</f>
        <v>0.5</v>
      </c>
      <c r="W1661" s="960">
        <f t="array" ref="W1661">HLOOKUP($J1661,'Type Chart'!$C$2:$T$20,4,false)*HLOOKUP($K1661,'Type Chart'!$C$2:$U$20,4,false)</f>
        <v>2</v>
      </c>
      <c r="X1661" s="960">
        <f t="array" ref="X1661">HLOOKUP($J1661,'Type Chart'!$C$2:$T$20,5,false)*HLOOKUP($K1661,'Type Chart'!$C$2:$U$20,5,false)</f>
        <v>1</v>
      </c>
      <c r="Y1661" s="960">
        <f t="array" ref="Y1661">HLOOKUP($J1661,'Type Chart'!$C$2:$T$20,6,false)*HLOOKUP($K1661,'Type Chart'!$C$2:$U$20,6,false)</f>
        <v>1</v>
      </c>
      <c r="Z1661" s="960">
        <f t="array" ref="Z1661">HLOOKUP($J1661,'Type Chart'!$C$2:$T$20,7,false)*HLOOKUP($K1661,'Type Chart'!$C$2:$U$20,7,false)</f>
        <v>0.5</v>
      </c>
      <c r="AA1661" s="960">
        <f t="array" ref="AA1661">HLOOKUP($J1661,'Type Chart'!$C$2:$T$20,8,false)*HLOOKUP($K1661,'Type Chart'!$C$2:$U$20,8,false)</f>
        <v>1</v>
      </c>
      <c r="AB1661" s="960">
        <f t="array" ref="AB1661">HLOOKUP($J1661,'Type Chart'!$C$2:$T$20,9,false)*HLOOKUP($K1661,'Type Chart'!$C$2:$U$20,9,false)</f>
        <v>2</v>
      </c>
      <c r="AC1661" s="960">
        <f t="array" ref="AC1661">HLOOKUP($J1661,'Type Chart'!$C$2:$T$20,10,false)*HLOOKUP($K1661,'Type Chart'!$C$2:$U$20,10,false)</f>
        <v>1</v>
      </c>
      <c r="AD1661" s="960">
        <f t="array" ref="AD1661">HLOOKUP($J1661,'Type Chart'!$C$2:$T$20,11,false)*HLOOKUP($K1661,'Type Chart'!$C$2:$U$20,11,false)</f>
        <v>1</v>
      </c>
      <c r="AE1661" s="960">
        <f t="array" ref="AE1661">HLOOKUP($J1661,'Type Chart'!$C$2:$T$20,12,false)*HLOOKUP($K1661,'Type Chart'!$C$2:$U$20,12,false)</f>
        <v>1</v>
      </c>
      <c r="AF1661" s="960">
        <f t="array" ref="AF1661">HLOOKUP($J1661,'Type Chart'!$C$2:$T$20,13,false)*HLOOKUP($K1661,'Type Chart'!$C$2:$U$20,13,false)</f>
        <v>1</v>
      </c>
      <c r="AG1661" s="960">
        <f t="array" ref="AG1661">HLOOKUP($J1661,'Type Chart'!$C$2:$T$20,14,false)*HLOOKUP($K1661,'Type Chart'!$C$2:$U$20,14,false)</f>
        <v>1</v>
      </c>
      <c r="AH1661" s="960">
        <f t="array" ref="AH1661">HLOOKUP($J1661,'Type Chart'!$C$2:$T$20,15,false)*HLOOKUP($K1661,'Type Chart'!$C$2:$U$20,15,false)</f>
        <v>1</v>
      </c>
      <c r="AI1661" s="960">
        <f t="array" ref="AI1661">HLOOKUP($J1661,'Type Chart'!$C$2:$T$20,16,false)*HLOOKUP($K1661,'Type Chart'!$C$2:$U$20,16,false)</f>
        <v>1</v>
      </c>
      <c r="AJ1661" s="960">
        <f t="array" ref="AJ1661">HLOOKUP($J1661,'Type Chart'!$C$2:$T$20,17,false)*HLOOKUP($K1661,'Type Chart'!$C$2:$U$20,17,false)</f>
        <v>1</v>
      </c>
      <c r="AK1661" s="960">
        <f t="array" ref="AK1661">HLOOKUP($J1661,'Type Chart'!$C$2:$T$20,18,false)*HLOOKUP($K1661,'Type Chart'!$C$2:$U$20,18,false)</f>
        <v>1</v>
      </c>
      <c r="AL1661" s="960">
        <f t="array" ref="AL1661">HLOOKUP($J1661,'Type Chart'!$C$2:$T$20,19,false)*HLOOKUP($K1661,'Type Chart'!$C$2:$U$20,19,false)</f>
        <v>2</v>
      </c>
      <c r="AM1661" s="1145" t="s">
        <v>2163</v>
      </c>
      <c r="AN1661" s="965"/>
      <c r="AO1661" s="966"/>
      <c r="AP1661" s="936"/>
      <c r="AQ1661" s="1245"/>
      <c r="AR1661" s="1245"/>
      <c r="AS1661" s="936"/>
    </row>
    <row r="1662" ht="15.75" customHeight="1">
      <c r="A1662" s="1099"/>
      <c r="B1662" s="948" t="s">
        <v>2169</v>
      </c>
      <c r="C1662" s="1197" t="s">
        <v>2170</v>
      </c>
      <c r="D1662" s="1197" t="s">
        <v>2170</v>
      </c>
      <c r="E1662" s="1147" t="s">
        <v>2170</v>
      </c>
      <c r="F1662" s="940"/>
      <c r="G1662" s="953"/>
      <c r="H1662" s="969"/>
      <c r="I1662" s="998" t="s">
        <v>4763</v>
      </c>
      <c r="J1662" s="1196" t="s">
        <v>203</v>
      </c>
      <c r="K1662" s="984" t="s">
        <v>216</v>
      </c>
      <c r="L1662" s="959">
        <v>40.0</v>
      </c>
      <c r="M1662" s="960">
        <v>45.0</v>
      </c>
      <c r="N1662" s="960">
        <v>40.0</v>
      </c>
      <c r="O1662" s="960">
        <v>65.0</v>
      </c>
      <c r="P1662" s="960">
        <v>40.0</v>
      </c>
      <c r="Q1662" s="960">
        <v>65.0</v>
      </c>
      <c r="R1662" s="960">
        <v>166.0</v>
      </c>
      <c r="S1662" s="960">
        <v>229.0</v>
      </c>
      <c r="T1662" s="960">
        <v>251.0</v>
      </c>
      <c r="U1662" s="960">
        <f t="array" ref="U1662">HLOOKUP($J1662,'Type Chart'!$C$2:$T$20,2,false)*HLOOKUP($K1662,'Type Chart'!$C$2:$U$20,2,false)</f>
        <v>1</v>
      </c>
      <c r="V1662" s="960">
        <f t="array" ref="V1662">HLOOKUP($J1662,'Type Chart'!$C$2:$T$20,3,false)*HLOOKUP($K1662,'Type Chart'!$C$2:$U$20,3,false)</f>
        <v>1</v>
      </c>
      <c r="W1662" s="960">
        <f t="array" ref="W1662">HLOOKUP($J1662,'Type Chart'!$C$2:$T$20,4,false)*HLOOKUP($K1662,'Type Chart'!$C$2:$U$20,4,false)</f>
        <v>0.5</v>
      </c>
      <c r="X1662" s="960">
        <f t="array" ref="X1662">HLOOKUP($J1662,'Type Chart'!$C$2:$T$20,5,false)*HLOOKUP($K1662,'Type Chart'!$C$2:$U$20,5,false)</f>
        <v>1</v>
      </c>
      <c r="Y1662" s="960">
        <f t="array" ref="Y1662">HLOOKUP($J1662,'Type Chart'!$C$2:$T$20,6,false)*HLOOKUP($K1662,'Type Chart'!$C$2:$U$20,6,false)</f>
        <v>2</v>
      </c>
      <c r="Z1662" s="960">
        <f t="array" ref="Z1662">HLOOKUP($J1662,'Type Chart'!$C$2:$T$20,7,false)*HLOOKUP($K1662,'Type Chart'!$C$2:$U$20,7,false)</f>
        <v>1</v>
      </c>
      <c r="AA1662" s="960">
        <f t="array" ref="AA1662">HLOOKUP($J1662,'Type Chart'!$C$2:$T$20,8,false)*HLOOKUP($K1662,'Type Chart'!$C$2:$U$20,8,false)</f>
        <v>1</v>
      </c>
      <c r="AB1662" s="960">
        <f t="array" ref="AB1662">HLOOKUP($J1662,'Type Chart'!$C$2:$T$20,9,false)*HLOOKUP($K1662,'Type Chart'!$C$2:$U$20,9,false)</f>
        <v>1</v>
      </c>
      <c r="AC1662" s="960">
        <f t="array" ref="AC1662">HLOOKUP($J1662,'Type Chart'!$C$2:$T$20,10,false)*HLOOKUP($K1662,'Type Chart'!$C$2:$U$20,10,false)</f>
        <v>0.5</v>
      </c>
      <c r="AD1662" s="960">
        <f t="array" ref="AD1662">HLOOKUP($J1662,'Type Chart'!$C$2:$T$20,11,false)*HLOOKUP($K1662,'Type Chart'!$C$2:$U$20,11,false)</f>
        <v>1</v>
      </c>
      <c r="AE1662" s="960">
        <f t="array" ref="AE1662">HLOOKUP($J1662,'Type Chart'!$C$2:$T$20,12,false)*HLOOKUP($K1662,'Type Chart'!$C$2:$U$20,12,false)</f>
        <v>1</v>
      </c>
      <c r="AF1662" s="960">
        <f t="array" ref="AF1662">HLOOKUP($J1662,'Type Chart'!$C$2:$T$20,13,false)*HLOOKUP($K1662,'Type Chart'!$C$2:$U$20,13,false)</f>
        <v>1</v>
      </c>
      <c r="AG1662" s="960">
        <f t="array" ref="AG1662">HLOOKUP($J1662,'Type Chart'!$C$2:$T$20,14,false)*HLOOKUP($K1662,'Type Chart'!$C$2:$U$20,14,false)</f>
        <v>0.5</v>
      </c>
      <c r="AH1662" s="960">
        <f t="array" ref="AH1662">HLOOKUP($J1662,'Type Chart'!$C$2:$T$20,15,false)*HLOOKUP($K1662,'Type Chart'!$C$2:$U$20,15,false)</f>
        <v>1</v>
      </c>
      <c r="AI1662" s="960">
        <f t="array" ref="AI1662">HLOOKUP($J1662,'Type Chart'!$C$2:$T$20,16,false)*HLOOKUP($K1662,'Type Chart'!$C$2:$U$20,16,false)</f>
        <v>1</v>
      </c>
      <c r="AJ1662" s="960">
        <f t="array" ref="AJ1662">HLOOKUP($J1662,'Type Chart'!$C$2:$T$20,17,false)*HLOOKUP($K1662,'Type Chart'!$C$2:$U$20,17,false)</f>
        <v>1</v>
      </c>
      <c r="AK1662" s="960">
        <f t="array" ref="AK1662">HLOOKUP($J1662,'Type Chart'!$C$2:$T$20,18,false)*HLOOKUP($K1662,'Type Chart'!$C$2:$U$20,18,false)</f>
        <v>1</v>
      </c>
      <c r="AL1662" s="960">
        <f t="array" ref="AL1662">HLOOKUP($J1662,'Type Chart'!$C$2:$T$20,19,false)*HLOOKUP($K1662,'Type Chart'!$C$2:$U$20,19,false)</f>
        <v>1</v>
      </c>
      <c r="AM1662" s="1145" t="s">
        <v>1067</v>
      </c>
      <c r="AN1662" s="965" t="s">
        <v>1068</v>
      </c>
      <c r="AO1662" s="966" t="s">
        <v>2172</v>
      </c>
      <c r="AP1662" s="936"/>
      <c r="AQ1662" s="1245"/>
      <c r="AR1662" s="1245"/>
      <c r="AS1662" s="936"/>
    </row>
    <row r="1663" ht="15.75" customHeight="1">
      <c r="A1663" s="1099"/>
      <c r="B1663" s="948" t="s">
        <v>2173</v>
      </c>
      <c r="C1663" s="1197" t="s">
        <v>2174</v>
      </c>
      <c r="D1663" s="1197" t="s">
        <v>2174</v>
      </c>
      <c r="E1663" s="1147" t="s">
        <v>2174</v>
      </c>
      <c r="F1663" s="940"/>
      <c r="G1663" s="953"/>
      <c r="H1663" s="969"/>
      <c r="I1663" s="998" t="s">
        <v>4764</v>
      </c>
      <c r="J1663" s="1196" t="s">
        <v>203</v>
      </c>
      <c r="K1663" s="984" t="s">
        <v>216</v>
      </c>
      <c r="L1663" s="959">
        <v>70.0</v>
      </c>
      <c r="M1663" s="960">
        <v>75.0</v>
      </c>
      <c r="N1663" s="960">
        <v>60.0</v>
      </c>
      <c r="O1663" s="960">
        <v>105.0</v>
      </c>
      <c r="P1663" s="960">
        <v>60.0</v>
      </c>
      <c r="Q1663" s="960">
        <v>105.0</v>
      </c>
      <c r="R1663" s="960">
        <v>246.0</v>
      </c>
      <c r="S1663" s="960">
        <v>309.0</v>
      </c>
      <c r="T1663" s="960">
        <v>339.0</v>
      </c>
      <c r="U1663" s="960">
        <f t="array" ref="U1663">HLOOKUP($J1663,'Type Chart'!$C$2:$T$20,2,false)*HLOOKUP($K1663,'Type Chart'!$C$2:$U$20,2,false)</f>
        <v>1</v>
      </c>
      <c r="V1663" s="960">
        <f t="array" ref="V1663">HLOOKUP($J1663,'Type Chart'!$C$2:$T$20,3,false)*HLOOKUP($K1663,'Type Chart'!$C$2:$U$20,3,false)</f>
        <v>1</v>
      </c>
      <c r="W1663" s="960">
        <f t="array" ref="W1663">HLOOKUP($J1663,'Type Chart'!$C$2:$T$20,4,false)*HLOOKUP($K1663,'Type Chart'!$C$2:$U$20,4,false)</f>
        <v>0.5</v>
      </c>
      <c r="X1663" s="960">
        <f t="array" ref="X1663">HLOOKUP($J1663,'Type Chart'!$C$2:$T$20,5,false)*HLOOKUP($K1663,'Type Chart'!$C$2:$U$20,5,false)</f>
        <v>1</v>
      </c>
      <c r="Y1663" s="960">
        <f t="array" ref="Y1663">HLOOKUP($J1663,'Type Chart'!$C$2:$T$20,6,false)*HLOOKUP($K1663,'Type Chart'!$C$2:$U$20,6,false)</f>
        <v>2</v>
      </c>
      <c r="Z1663" s="960">
        <f t="array" ref="Z1663">HLOOKUP($J1663,'Type Chart'!$C$2:$T$20,7,false)*HLOOKUP($K1663,'Type Chart'!$C$2:$U$20,7,false)</f>
        <v>1</v>
      </c>
      <c r="AA1663" s="960">
        <f t="array" ref="AA1663">HLOOKUP($J1663,'Type Chart'!$C$2:$T$20,8,false)*HLOOKUP($K1663,'Type Chart'!$C$2:$U$20,8,false)</f>
        <v>1</v>
      </c>
      <c r="AB1663" s="960">
        <f t="array" ref="AB1663">HLOOKUP($J1663,'Type Chart'!$C$2:$T$20,9,false)*HLOOKUP($K1663,'Type Chart'!$C$2:$U$20,9,false)</f>
        <v>1</v>
      </c>
      <c r="AC1663" s="960">
        <f t="array" ref="AC1663">HLOOKUP($J1663,'Type Chart'!$C$2:$T$20,10,false)*HLOOKUP($K1663,'Type Chart'!$C$2:$U$20,10,false)</f>
        <v>0.5</v>
      </c>
      <c r="AD1663" s="960">
        <f t="array" ref="AD1663">HLOOKUP($J1663,'Type Chart'!$C$2:$T$20,11,false)*HLOOKUP($K1663,'Type Chart'!$C$2:$U$20,11,false)</f>
        <v>1</v>
      </c>
      <c r="AE1663" s="960">
        <f t="array" ref="AE1663">HLOOKUP($J1663,'Type Chart'!$C$2:$T$20,12,false)*HLOOKUP($K1663,'Type Chart'!$C$2:$U$20,12,false)</f>
        <v>1</v>
      </c>
      <c r="AF1663" s="960">
        <f t="array" ref="AF1663">HLOOKUP($J1663,'Type Chart'!$C$2:$T$20,13,false)*HLOOKUP($K1663,'Type Chart'!$C$2:$U$20,13,false)</f>
        <v>1</v>
      </c>
      <c r="AG1663" s="960">
        <f t="array" ref="AG1663">HLOOKUP($J1663,'Type Chart'!$C$2:$T$20,14,false)*HLOOKUP($K1663,'Type Chart'!$C$2:$U$20,14,false)</f>
        <v>0.5</v>
      </c>
      <c r="AH1663" s="960">
        <f t="array" ref="AH1663">HLOOKUP($J1663,'Type Chart'!$C$2:$T$20,15,false)*HLOOKUP($K1663,'Type Chart'!$C$2:$U$20,15,false)</f>
        <v>1</v>
      </c>
      <c r="AI1663" s="960">
        <f t="array" ref="AI1663">HLOOKUP($J1663,'Type Chart'!$C$2:$T$20,16,false)*HLOOKUP($K1663,'Type Chart'!$C$2:$U$20,16,false)</f>
        <v>1</v>
      </c>
      <c r="AJ1663" s="960">
        <f t="array" ref="AJ1663">HLOOKUP($J1663,'Type Chart'!$C$2:$T$20,17,false)*HLOOKUP($K1663,'Type Chart'!$C$2:$U$20,17,false)</f>
        <v>1</v>
      </c>
      <c r="AK1663" s="960">
        <f t="array" ref="AK1663">HLOOKUP($J1663,'Type Chart'!$C$2:$T$20,18,false)*HLOOKUP($K1663,'Type Chart'!$C$2:$U$20,18,false)</f>
        <v>1</v>
      </c>
      <c r="AL1663" s="960">
        <f t="array" ref="AL1663">HLOOKUP($J1663,'Type Chart'!$C$2:$T$20,19,false)*HLOOKUP($K1663,'Type Chart'!$C$2:$U$20,19,false)</f>
        <v>1</v>
      </c>
      <c r="AM1663" s="964" t="s">
        <v>1067</v>
      </c>
      <c r="AN1663" s="965" t="s">
        <v>1068</v>
      </c>
      <c r="AO1663" s="966" t="s">
        <v>2172</v>
      </c>
      <c r="AP1663" s="936"/>
      <c r="AQ1663" s="1245"/>
      <c r="AR1663" s="1245"/>
      <c r="AS1663" s="936"/>
    </row>
    <row r="1664" ht="15.75" customHeight="1">
      <c r="A1664" s="1099"/>
      <c r="B1664" s="948" t="s">
        <v>2176</v>
      </c>
      <c r="C1664" s="1197" t="s">
        <v>2177</v>
      </c>
      <c r="D1664" s="1197" t="s">
        <v>2177</v>
      </c>
      <c r="E1664" s="1147" t="s">
        <v>2177</v>
      </c>
      <c r="F1664" s="940"/>
      <c r="G1664" s="953"/>
      <c r="H1664" s="969"/>
      <c r="I1664" s="998" t="s">
        <v>4765</v>
      </c>
      <c r="J1664" s="1196" t="s">
        <v>203</v>
      </c>
      <c r="K1664" s="984" t="s">
        <v>216</v>
      </c>
      <c r="L1664" s="959">
        <v>70.0</v>
      </c>
      <c r="M1664" s="960">
        <v>75.0</v>
      </c>
      <c r="N1664" s="960">
        <v>80.0</v>
      </c>
      <c r="O1664" s="960">
        <v>135.0</v>
      </c>
      <c r="P1664" s="960">
        <v>80.0</v>
      </c>
      <c r="Q1664" s="960">
        <v>135.0</v>
      </c>
      <c r="R1664" s="960">
        <v>306.0</v>
      </c>
      <c r="S1664" s="960">
        <v>369.0</v>
      </c>
      <c r="T1664" s="960">
        <v>405.0</v>
      </c>
      <c r="U1664" s="960">
        <f t="array" ref="U1664">HLOOKUP($J1664,'Type Chart'!$C$2:$T$20,2,false)*HLOOKUP($K1664,'Type Chart'!$C$2:$U$20,2,false)</f>
        <v>1</v>
      </c>
      <c r="V1664" s="960">
        <f t="array" ref="V1664">HLOOKUP($J1664,'Type Chart'!$C$2:$T$20,3,false)*HLOOKUP($K1664,'Type Chart'!$C$2:$U$20,3,false)</f>
        <v>1</v>
      </c>
      <c r="W1664" s="960">
        <f t="array" ref="W1664">HLOOKUP($J1664,'Type Chart'!$C$2:$T$20,4,false)*HLOOKUP($K1664,'Type Chart'!$C$2:$U$20,4,false)</f>
        <v>0.5</v>
      </c>
      <c r="X1664" s="960">
        <f t="array" ref="X1664">HLOOKUP($J1664,'Type Chart'!$C$2:$T$20,5,false)*HLOOKUP($K1664,'Type Chart'!$C$2:$U$20,5,false)</f>
        <v>1</v>
      </c>
      <c r="Y1664" s="960">
        <f t="array" ref="Y1664">HLOOKUP($J1664,'Type Chart'!$C$2:$T$20,6,false)*HLOOKUP($K1664,'Type Chart'!$C$2:$U$20,6,false)</f>
        <v>2</v>
      </c>
      <c r="Z1664" s="960">
        <f t="array" ref="Z1664">HLOOKUP($J1664,'Type Chart'!$C$2:$T$20,7,false)*HLOOKUP($K1664,'Type Chart'!$C$2:$U$20,7,false)</f>
        <v>1</v>
      </c>
      <c r="AA1664" s="960">
        <f t="array" ref="AA1664">HLOOKUP($J1664,'Type Chart'!$C$2:$T$20,8,false)*HLOOKUP($K1664,'Type Chart'!$C$2:$U$20,8,false)</f>
        <v>1</v>
      </c>
      <c r="AB1664" s="960">
        <f t="array" ref="AB1664">HLOOKUP($J1664,'Type Chart'!$C$2:$T$20,9,false)*HLOOKUP($K1664,'Type Chart'!$C$2:$U$20,9,false)</f>
        <v>1</v>
      </c>
      <c r="AC1664" s="960">
        <f t="array" ref="AC1664">HLOOKUP($J1664,'Type Chart'!$C$2:$T$20,10,false)*HLOOKUP($K1664,'Type Chart'!$C$2:$U$20,10,false)</f>
        <v>0.5</v>
      </c>
      <c r="AD1664" s="960">
        <f t="array" ref="AD1664">HLOOKUP($J1664,'Type Chart'!$C$2:$T$20,11,false)*HLOOKUP($K1664,'Type Chart'!$C$2:$U$20,11,false)</f>
        <v>1</v>
      </c>
      <c r="AE1664" s="960">
        <f t="array" ref="AE1664">HLOOKUP($J1664,'Type Chart'!$C$2:$T$20,12,false)*HLOOKUP($K1664,'Type Chart'!$C$2:$U$20,12,false)</f>
        <v>1</v>
      </c>
      <c r="AF1664" s="960">
        <f t="array" ref="AF1664">HLOOKUP($J1664,'Type Chart'!$C$2:$T$20,13,false)*HLOOKUP($K1664,'Type Chart'!$C$2:$U$20,13,false)</f>
        <v>1</v>
      </c>
      <c r="AG1664" s="960">
        <f t="array" ref="AG1664">HLOOKUP($J1664,'Type Chart'!$C$2:$T$20,14,false)*HLOOKUP($K1664,'Type Chart'!$C$2:$U$20,14,false)</f>
        <v>0.5</v>
      </c>
      <c r="AH1664" s="960">
        <f t="array" ref="AH1664">HLOOKUP($J1664,'Type Chart'!$C$2:$T$20,15,false)*HLOOKUP($K1664,'Type Chart'!$C$2:$U$20,15,false)</f>
        <v>1</v>
      </c>
      <c r="AI1664" s="960">
        <f t="array" ref="AI1664">HLOOKUP($J1664,'Type Chart'!$C$2:$T$20,16,false)*HLOOKUP($K1664,'Type Chart'!$C$2:$U$20,16,false)</f>
        <v>1</v>
      </c>
      <c r="AJ1664" s="960">
        <f t="array" ref="AJ1664">HLOOKUP($J1664,'Type Chart'!$C$2:$T$20,17,false)*HLOOKUP($K1664,'Type Chart'!$C$2:$U$20,17,false)</f>
        <v>1</v>
      </c>
      <c r="AK1664" s="960">
        <f t="array" ref="AK1664">HLOOKUP($J1664,'Type Chart'!$C$2:$T$20,18,false)*HLOOKUP($K1664,'Type Chart'!$C$2:$U$20,18,false)</f>
        <v>1</v>
      </c>
      <c r="AL1664" s="960">
        <f t="array" ref="AL1664">HLOOKUP($J1664,'Type Chart'!$C$2:$T$20,19,false)*HLOOKUP($K1664,'Type Chart'!$C$2:$U$20,19,false)</f>
        <v>1</v>
      </c>
      <c r="AM1664" s="964" t="s">
        <v>1061</v>
      </c>
      <c r="AN1664" s="965"/>
      <c r="AO1664" s="966"/>
      <c r="AP1664" s="936"/>
      <c r="AQ1664" s="1245"/>
      <c r="AR1664" s="1245"/>
      <c r="AS1664" s="936"/>
    </row>
    <row r="1665" ht="15.75" customHeight="1">
      <c r="A1665" s="1099"/>
      <c r="B1665" s="948" t="s">
        <v>2179</v>
      </c>
      <c r="C1665" s="1197" t="s">
        <v>2180</v>
      </c>
      <c r="D1665" s="1197" t="s">
        <v>2180</v>
      </c>
      <c r="E1665" s="1147" t="s">
        <v>2180</v>
      </c>
      <c r="F1665" s="940"/>
      <c r="G1665" s="953"/>
      <c r="H1665" s="969"/>
      <c r="I1665" s="998" t="s">
        <v>4766</v>
      </c>
      <c r="J1665" s="1198" t="s">
        <v>203</v>
      </c>
      <c r="K1665" s="1199" t="s">
        <v>216</v>
      </c>
      <c r="L1665" s="1200">
        <v>60.0</v>
      </c>
      <c r="M1665" s="1201">
        <v>50.0</v>
      </c>
      <c r="N1665" s="1201">
        <v>40.0</v>
      </c>
      <c r="O1665" s="1201">
        <v>85.0</v>
      </c>
      <c r="P1665" s="1201">
        <v>75.0</v>
      </c>
      <c r="Q1665" s="1201">
        <v>95.0</v>
      </c>
      <c r="R1665" s="960">
        <v>226.0</v>
      </c>
      <c r="S1665" s="960">
        <v>289.0</v>
      </c>
      <c r="T1665" s="960">
        <v>317.0</v>
      </c>
      <c r="U1665" s="960">
        <f t="array" ref="U1665">HLOOKUP($J1665,'Type Chart'!$C$2:$T$20,2,false)*HLOOKUP($K1665,'Type Chart'!$C$2:$U$20,2,false)</f>
        <v>1</v>
      </c>
      <c r="V1665" s="960">
        <f t="array" ref="V1665">HLOOKUP($J1665,'Type Chart'!$C$2:$T$20,3,false)*HLOOKUP($K1665,'Type Chart'!$C$2:$U$20,3,false)</f>
        <v>1</v>
      </c>
      <c r="W1665" s="960">
        <f t="array" ref="W1665">HLOOKUP($J1665,'Type Chart'!$C$2:$T$20,4,false)*HLOOKUP($K1665,'Type Chart'!$C$2:$U$20,4,false)</f>
        <v>0.5</v>
      </c>
      <c r="X1665" s="960">
        <f t="array" ref="X1665">HLOOKUP($J1665,'Type Chart'!$C$2:$T$20,5,false)*HLOOKUP($K1665,'Type Chart'!$C$2:$U$20,5,false)</f>
        <v>1</v>
      </c>
      <c r="Y1665" s="960">
        <f t="array" ref="Y1665">HLOOKUP($J1665,'Type Chart'!$C$2:$T$20,6,false)*HLOOKUP($K1665,'Type Chart'!$C$2:$U$20,6,false)</f>
        <v>2</v>
      </c>
      <c r="Z1665" s="960">
        <f t="array" ref="Z1665">HLOOKUP($J1665,'Type Chart'!$C$2:$T$20,7,false)*HLOOKUP($K1665,'Type Chart'!$C$2:$U$20,7,false)</f>
        <v>1</v>
      </c>
      <c r="AA1665" s="960">
        <f t="array" ref="AA1665">HLOOKUP($J1665,'Type Chart'!$C$2:$T$20,8,false)*HLOOKUP($K1665,'Type Chart'!$C$2:$U$20,8,false)</f>
        <v>1</v>
      </c>
      <c r="AB1665" s="960">
        <f t="array" ref="AB1665">HLOOKUP($J1665,'Type Chart'!$C$2:$T$20,9,false)*HLOOKUP($K1665,'Type Chart'!$C$2:$U$20,9,false)</f>
        <v>1</v>
      </c>
      <c r="AC1665" s="960">
        <f t="array" ref="AC1665">HLOOKUP($J1665,'Type Chart'!$C$2:$T$20,10,false)*HLOOKUP($K1665,'Type Chart'!$C$2:$U$20,10,false)</f>
        <v>0.5</v>
      </c>
      <c r="AD1665" s="960">
        <f t="array" ref="AD1665">HLOOKUP($J1665,'Type Chart'!$C$2:$T$20,11,false)*HLOOKUP($K1665,'Type Chart'!$C$2:$U$20,11,false)</f>
        <v>1</v>
      </c>
      <c r="AE1665" s="960">
        <f t="array" ref="AE1665">HLOOKUP($J1665,'Type Chart'!$C$2:$T$20,12,false)*HLOOKUP($K1665,'Type Chart'!$C$2:$U$20,12,false)</f>
        <v>1</v>
      </c>
      <c r="AF1665" s="960">
        <f t="array" ref="AF1665">HLOOKUP($J1665,'Type Chart'!$C$2:$T$20,13,false)*HLOOKUP($K1665,'Type Chart'!$C$2:$U$20,13,false)</f>
        <v>1</v>
      </c>
      <c r="AG1665" s="960">
        <f t="array" ref="AG1665">HLOOKUP($J1665,'Type Chart'!$C$2:$T$20,14,false)*HLOOKUP($K1665,'Type Chart'!$C$2:$U$20,14,false)</f>
        <v>0.5</v>
      </c>
      <c r="AH1665" s="960">
        <f t="array" ref="AH1665">HLOOKUP($J1665,'Type Chart'!$C$2:$T$20,15,false)*HLOOKUP($K1665,'Type Chart'!$C$2:$U$20,15,false)</f>
        <v>1</v>
      </c>
      <c r="AI1665" s="960">
        <f t="array" ref="AI1665">HLOOKUP($J1665,'Type Chart'!$C$2:$T$20,16,false)*HLOOKUP($K1665,'Type Chart'!$C$2:$U$20,16,false)</f>
        <v>1</v>
      </c>
      <c r="AJ1665" s="960">
        <f t="array" ref="AJ1665">HLOOKUP($J1665,'Type Chart'!$C$2:$T$20,17,false)*HLOOKUP($K1665,'Type Chart'!$C$2:$U$20,17,false)</f>
        <v>1</v>
      </c>
      <c r="AK1665" s="960">
        <f t="array" ref="AK1665">HLOOKUP($J1665,'Type Chart'!$C$2:$T$20,18,false)*HLOOKUP($K1665,'Type Chart'!$C$2:$U$20,18,false)</f>
        <v>1</v>
      </c>
      <c r="AL1665" s="960">
        <f t="array" ref="AL1665">HLOOKUP($J1665,'Type Chart'!$C$2:$T$20,19,false)*HLOOKUP($K1665,'Type Chart'!$C$2:$U$20,19,false)</f>
        <v>1</v>
      </c>
      <c r="AM1665" s="1145" t="s">
        <v>1759</v>
      </c>
      <c r="AN1665" s="965"/>
      <c r="AO1665" s="1146" t="s">
        <v>1068</v>
      </c>
      <c r="AP1665" s="936"/>
      <c r="AQ1665" s="1245"/>
      <c r="AR1665" s="1245"/>
      <c r="AS1665" s="936"/>
    </row>
    <row r="1666" ht="15.75" customHeight="1">
      <c r="A1666" s="1099"/>
      <c r="B1666" s="948" t="s">
        <v>2181</v>
      </c>
      <c r="C1666" s="1197" t="s">
        <v>2182</v>
      </c>
      <c r="D1666" s="1197" t="s">
        <v>2182</v>
      </c>
      <c r="E1666" s="1147" t="s">
        <v>2182</v>
      </c>
      <c r="F1666" s="940"/>
      <c r="G1666" s="953"/>
      <c r="H1666" s="969"/>
      <c r="I1666" s="998" t="s">
        <v>4767</v>
      </c>
      <c r="J1666" s="1196" t="s">
        <v>203</v>
      </c>
      <c r="K1666" s="984" t="s">
        <v>216</v>
      </c>
      <c r="L1666" s="959">
        <v>60.0</v>
      </c>
      <c r="M1666" s="960">
        <v>40.0</v>
      </c>
      <c r="N1666" s="960">
        <v>50.0</v>
      </c>
      <c r="O1666" s="960">
        <v>75.0</v>
      </c>
      <c r="P1666" s="960">
        <v>85.0</v>
      </c>
      <c r="Q1666" s="960">
        <v>95.0</v>
      </c>
      <c r="R1666" s="960">
        <v>226.0</v>
      </c>
      <c r="S1666" s="960">
        <v>289.0</v>
      </c>
      <c r="T1666" s="960">
        <v>317.0</v>
      </c>
      <c r="U1666" s="960">
        <f t="array" ref="U1666">HLOOKUP($J1666,'Type Chart'!$C$2:$T$20,2,false)*HLOOKUP($K1666,'Type Chart'!$C$2:$U$20,2,false)</f>
        <v>1</v>
      </c>
      <c r="V1666" s="960">
        <f t="array" ref="V1666">HLOOKUP($J1666,'Type Chart'!$C$2:$T$20,3,false)*HLOOKUP($K1666,'Type Chart'!$C$2:$U$20,3,false)</f>
        <v>1</v>
      </c>
      <c r="W1666" s="960">
        <f t="array" ref="W1666">HLOOKUP($J1666,'Type Chart'!$C$2:$T$20,4,false)*HLOOKUP($K1666,'Type Chart'!$C$2:$U$20,4,false)</f>
        <v>0.5</v>
      </c>
      <c r="X1666" s="960">
        <f t="array" ref="X1666">HLOOKUP($J1666,'Type Chart'!$C$2:$T$20,5,false)*HLOOKUP($K1666,'Type Chart'!$C$2:$U$20,5,false)</f>
        <v>1</v>
      </c>
      <c r="Y1666" s="960">
        <f t="array" ref="Y1666">HLOOKUP($J1666,'Type Chart'!$C$2:$T$20,6,false)*HLOOKUP($K1666,'Type Chart'!$C$2:$U$20,6,false)</f>
        <v>2</v>
      </c>
      <c r="Z1666" s="960">
        <f t="array" ref="Z1666">HLOOKUP($J1666,'Type Chart'!$C$2:$T$20,7,false)*HLOOKUP($K1666,'Type Chart'!$C$2:$U$20,7,false)</f>
        <v>1</v>
      </c>
      <c r="AA1666" s="960">
        <f t="array" ref="AA1666">HLOOKUP($J1666,'Type Chart'!$C$2:$T$20,8,false)*HLOOKUP($K1666,'Type Chart'!$C$2:$U$20,8,false)</f>
        <v>1</v>
      </c>
      <c r="AB1666" s="960">
        <f t="array" ref="AB1666">HLOOKUP($J1666,'Type Chart'!$C$2:$T$20,9,false)*HLOOKUP($K1666,'Type Chart'!$C$2:$U$20,9,false)</f>
        <v>1</v>
      </c>
      <c r="AC1666" s="960">
        <f t="array" ref="AC1666">HLOOKUP($J1666,'Type Chart'!$C$2:$T$20,10,false)*HLOOKUP($K1666,'Type Chart'!$C$2:$U$20,10,false)</f>
        <v>0.5</v>
      </c>
      <c r="AD1666" s="960">
        <f t="array" ref="AD1666">HLOOKUP($J1666,'Type Chart'!$C$2:$T$20,11,false)*HLOOKUP($K1666,'Type Chart'!$C$2:$U$20,11,false)</f>
        <v>1</v>
      </c>
      <c r="AE1666" s="960">
        <f t="array" ref="AE1666">HLOOKUP($J1666,'Type Chart'!$C$2:$T$20,12,false)*HLOOKUP($K1666,'Type Chart'!$C$2:$U$20,12,false)</f>
        <v>1</v>
      </c>
      <c r="AF1666" s="960">
        <f t="array" ref="AF1666">HLOOKUP($J1666,'Type Chart'!$C$2:$T$20,13,false)*HLOOKUP($K1666,'Type Chart'!$C$2:$U$20,13,false)</f>
        <v>1</v>
      </c>
      <c r="AG1666" s="960">
        <f t="array" ref="AG1666">HLOOKUP($J1666,'Type Chart'!$C$2:$T$20,14,false)*HLOOKUP($K1666,'Type Chart'!$C$2:$U$20,14,false)</f>
        <v>0.5</v>
      </c>
      <c r="AH1666" s="960">
        <f t="array" ref="AH1666">HLOOKUP($J1666,'Type Chart'!$C$2:$T$20,15,false)*HLOOKUP($K1666,'Type Chart'!$C$2:$U$20,15,false)</f>
        <v>1</v>
      </c>
      <c r="AI1666" s="960">
        <f t="array" ref="AI1666">HLOOKUP($J1666,'Type Chart'!$C$2:$T$20,16,false)*HLOOKUP($K1666,'Type Chart'!$C$2:$U$20,16,false)</f>
        <v>1</v>
      </c>
      <c r="AJ1666" s="960">
        <f t="array" ref="AJ1666">HLOOKUP($J1666,'Type Chart'!$C$2:$T$20,17,false)*HLOOKUP($K1666,'Type Chart'!$C$2:$U$20,17,false)</f>
        <v>1</v>
      </c>
      <c r="AK1666" s="960">
        <f t="array" ref="AK1666">HLOOKUP($J1666,'Type Chart'!$C$2:$T$20,18,false)*HLOOKUP($K1666,'Type Chart'!$C$2:$U$20,18,false)</f>
        <v>1</v>
      </c>
      <c r="AL1666" s="960">
        <f t="array" ref="AL1666">HLOOKUP($J1666,'Type Chart'!$C$2:$T$20,19,false)*HLOOKUP($K1666,'Type Chart'!$C$2:$U$20,19,false)</f>
        <v>1</v>
      </c>
      <c r="AM1666" s="964" t="s">
        <v>2172</v>
      </c>
      <c r="AN1666" s="965"/>
      <c r="AO1666" s="966" t="s">
        <v>1614</v>
      </c>
      <c r="AP1666" s="936"/>
      <c r="AQ1666" s="1245"/>
      <c r="AR1666" s="1245"/>
      <c r="AS1666" s="936"/>
    </row>
    <row r="1667" ht="15.75" customHeight="1">
      <c r="A1667" s="1099"/>
      <c r="B1667" s="948" t="s">
        <v>2183</v>
      </c>
      <c r="C1667" s="1197" t="s">
        <v>2184</v>
      </c>
      <c r="D1667" s="1197" t="s">
        <v>2184</v>
      </c>
      <c r="E1667" s="1147" t="s">
        <v>2184</v>
      </c>
      <c r="F1667" s="940"/>
      <c r="G1667" s="953"/>
      <c r="H1667" s="969"/>
      <c r="I1667" s="998" t="s">
        <v>4768</v>
      </c>
      <c r="J1667" s="1180" t="s">
        <v>343</v>
      </c>
      <c r="K1667" s="984" t="s">
        <v>216</v>
      </c>
      <c r="L1667" s="959">
        <v>65.0</v>
      </c>
      <c r="M1667" s="960">
        <v>73.0</v>
      </c>
      <c r="N1667" s="960">
        <v>75.0</v>
      </c>
      <c r="O1667" s="960">
        <v>47.0</v>
      </c>
      <c r="P1667" s="960">
        <v>85.0</v>
      </c>
      <c r="Q1667" s="960">
        <v>85.0</v>
      </c>
      <c r="R1667" s="960">
        <v>206.0</v>
      </c>
      <c r="S1667" s="960">
        <v>269.0</v>
      </c>
      <c r="T1667" s="960">
        <v>295.0</v>
      </c>
      <c r="U1667" s="960">
        <f t="array" ref="U1667">HLOOKUP($J1667,'Type Chart'!$C$2:$T$20,2,false)*HLOOKUP($K1667,'Type Chart'!$C$2:$U$20,2,false)</f>
        <v>1</v>
      </c>
      <c r="V1667" s="960">
        <f t="array" ref="V1667">HLOOKUP($J1667,'Type Chart'!$C$2:$T$20,3,false)*HLOOKUP($K1667,'Type Chart'!$C$2:$U$20,3,false)</f>
        <v>0.5</v>
      </c>
      <c r="W1667" s="960">
        <f t="array" ref="W1667">HLOOKUP($J1667,'Type Chart'!$C$2:$T$20,4,false)*HLOOKUP($K1667,'Type Chart'!$C$2:$U$20,4,false)</f>
        <v>2</v>
      </c>
      <c r="X1667" s="960">
        <f t="array" ref="X1667">HLOOKUP($J1667,'Type Chart'!$C$2:$T$20,5,false)*HLOOKUP($K1667,'Type Chart'!$C$2:$U$20,5,false)</f>
        <v>1</v>
      </c>
      <c r="Y1667" s="960">
        <f t="array" ref="Y1667">HLOOKUP($J1667,'Type Chart'!$C$2:$T$20,6,false)*HLOOKUP($K1667,'Type Chart'!$C$2:$U$20,6,false)</f>
        <v>0.5</v>
      </c>
      <c r="Z1667" s="960">
        <f t="array" ref="Z1667">HLOOKUP($J1667,'Type Chart'!$C$2:$T$20,7,false)*HLOOKUP($K1667,'Type Chart'!$C$2:$U$20,7,false)</f>
        <v>2</v>
      </c>
      <c r="AA1667" s="960">
        <f t="array" ref="AA1667">HLOOKUP($J1667,'Type Chart'!$C$2:$T$20,8,false)*HLOOKUP($K1667,'Type Chart'!$C$2:$U$20,8,false)</f>
        <v>1</v>
      </c>
      <c r="AB1667" s="960">
        <f t="array" ref="AB1667">HLOOKUP($J1667,'Type Chart'!$C$2:$T$20,9,false)*HLOOKUP($K1667,'Type Chart'!$C$2:$U$20,9,false)</f>
        <v>1</v>
      </c>
      <c r="AC1667" s="960">
        <f t="array" ref="AC1667">HLOOKUP($J1667,'Type Chart'!$C$2:$T$20,10,false)*HLOOKUP($K1667,'Type Chart'!$C$2:$U$20,10,false)</f>
        <v>1</v>
      </c>
      <c r="AD1667" s="960">
        <f t="array" ref="AD1667">HLOOKUP($J1667,'Type Chart'!$C$2:$T$20,11,false)*HLOOKUP($K1667,'Type Chart'!$C$2:$U$20,11,false)</f>
        <v>2</v>
      </c>
      <c r="AE1667" s="960">
        <f t="array" ref="AE1667">HLOOKUP($J1667,'Type Chart'!$C$2:$T$20,12,false)*HLOOKUP($K1667,'Type Chart'!$C$2:$U$20,12,false)</f>
        <v>1</v>
      </c>
      <c r="AF1667" s="960">
        <f t="array" ref="AF1667">HLOOKUP($J1667,'Type Chart'!$C$2:$T$20,13,false)*HLOOKUP($K1667,'Type Chart'!$C$2:$U$20,13,false)</f>
        <v>0.5</v>
      </c>
      <c r="AG1667" s="960">
        <f t="array" ref="AG1667">HLOOKUP($J1667,'Type Chart'!$C$2:$T$20,14,false)*HLOOKUP($K1667,'Type Chart'!$C$2:$U$20,14,false)</f>
        <v>1</v>
      </c>
      <c r="AH1667" s="960">
        <f t="array" ref="AH1667">HLOOKUP($J1667,'Type Chart'!$C$2:$T$20,15,false)*HLOOKUP($K1667,'Type Chart'!$C$2:$U$20,15,false)</f>
        <v>1</v>
      </c>
      <c r="AI1667" s="960">
        <f t="array" ref="AI1667">HLOOKUP($J1667,'Type Chart'!$C$2:$T$20,16,false)*HLOOKUP($K1667,'Type Chart'!$C$2:$U$20,16,false)</f>
        <v>1</v>
      </c>
      <c r="AJ1667" s="960">
        <f t="array" ref="AJ1667">HLOOKUP($J1667,'Type Chart'!$C$2:$T$20,17,false)*HLOOKUP($K1667,'Type Chart'!$C$2:$U$20,17,false)</f>
        <v>1</v>
      </c>
      <c r="AK1667" s="960">
        <f t="array" ref="AK1667">HLOOKUP($J1667,'Type Chart'!$C$2:$T$20,18,false)*HLOOKUP($K1667,'Type Chart'!$C$2:$U$20,18,false)</f>
        <v>1</v>
      </c>
      <c r="AL1667" s="960">
        <f t="array" ref="AL1667">HLOOKUP($J1667,'Type Chart'!$C$2:$T$20,19,false)*HLOOKUP($K1667,'Type Chart'!$C$2:$U$20,19,false)</f>
        <v>1</v>
      </c>
      <c r="AM1667" s="964" t="s">
        <v>1549</v>
      </c>
      <c r="AN1667" s="965" t="s">
        <v>1013</v>
      </c>
      <c r="AO1667" s="966" t="s">
        <v>1813</v>
      </c>
      <c r="AP1667" s="936"/>
      <c r="AQ1667" s="1245"/>
      <c r="AR1667" s="1245"/>
      <c r="AS1667" s="936"/>
    </row>
    <row r="1668" ht="15.75" customHeight="1">
      <c r="A1668" s="1099"/>
      <c r="B1668" s="948" t="s">
        <v>2185</v>
      </c>
      <c r="C1668" s="1197" t="s">
        <v>2186</v>
      </c>
      <c r="D1668" s="1197" t="s">
        <v>2186</v>
      </c>
      <c r="E1668" s="1147" t="s">
        <v>2186</v>
      </c>
      <c r="F1668" s="940"/>
      <c r="G1668" s="953"/>
      <c r="H1668" s="969"/>
      <c r="I1668" s="998" t="s">
        <v>4769</v>
      </c>
      <c r="J1668" s="1180" t="s">
        <v>343</v>
      </c>
      <c r="K1668" s="984" t="s">
        <v>216</v>
      </c>
      <c r="L1668" s="959">
        <v>65.0</v>
      </c>
      <c r="M1668" s="960">
        <v>47.0</v>
      </c>
      <c r="N1668" s="960">
        <v>75.0</v>
      </c>
      <c r="O1668" s="960">
        <v>73.0</v>
      </c>
      <c r="P1668" s="960">
        <v>85.0</v>
      </c>
      <c r="Q1668" s="960">
        <v>85.0</v>
      </c>
      <c r="R1668" s="960">
        <v>206.0</v>
      </c>
      <c r="S1668" s="960">
        <v>269.0</v>
      </c>
      <c r="T1668" s="960">
        <v>295.0</v>
      </c>
      <c r="U1668" s="960">
        <f t="array" ref="U1668">HLOOKUP($J1668,'Type Chart'!$C$2:$T$20,2,false)*HLOOKUP($K1668,'Type Chart'!$C$2:$U$20,2,false)</f>
        <v>1</v>
      </c>
      <c r="V1668" s="960">
        <f t="array" ref="V1668">HLOOKUP($J1668,'Type Chart'!$C$2:$T$20,3,false)*HLOOKUP($K1668,'Type Chart'!$C$2:$U$20,3,false)</f>
        <v>0.5</v>
      </c>
      <c r="W1668" s="960">
        <f t="array" ref="W1668">HLOOKUP($J1668,'Type Chart'!$C$2:$T$20,4,false)*HLOOKUP($K1668,'Type Chart'!$C$2:$U$20,4,false)</f>
        <v>2</v>
      </c>
      <c r="X1668" s="960">
        <f t="array" ref="X1668">HLOOKUP($J1668,'Type Chart'!$C$2:$T$20,5,false)*HLOOKUP($K1668,'Type Chart'!$C$2:$U$20,5,false)</f>
        <v>1</v>
      </c>
      <c r="Y1668" s="960">
        <f t="array" ref="Y1668">HLOOKUP($J1668,'Type Chart'!$C$2:$T$20,6,false)*HLOOKUP($K1668,'Type Chart'!$C$2:$U$20,6,false)</f>
        <v>0.5</v>
      </c>
      <c r="Z1668" s="960">
        <f t="array" ref="Z1668">HLOOKUP($J1668,'Type Chart'!$C$2:$T$20,7,false)*HLOOKUP($K1668,'Type Chart'!$C$2:$U$20,7,false)</f>
        <v>2</v>
      </c>
      <c r="AA1668" s="960">
        <f t="array" ref="AA1668">HLOOKUP($J1668,'Type Chart'!$C$2:$T$20,8,false)*HLOOKUP($K1668,'Type Chart'!$C$2:$U$20,8,false)</f>
        <v>1</v>
      </c>
      <c r="AB1668" s="960">
        <f t="array" ref="AB1668">HLOOKUP($J1668,'Type Chart'!$C$2:$T$20,9,false)*HLOOKUP($K1668,'Type Chart'!$C$2:$U$20,9,false)</f>
        <v>1</v>
      </c>
      <c r="AC1668" s="960">
        <f t="array" ref="AC1668">HLOOKUP($J1668,'Type Chart'!$C$2:$T$20,10,false)*HLOOKUP($K1668,'Type Chart'!$C$2:$U$20,10,false)</f>
        <v>1</v>
      </c>
      <c r="AD1668" s="960">
        <f t="array" ref="AD1668">HLOOKUP($J1668,'Type Chart'!$C$2:$T$20,11,false)*HLOOKUP($K1668,'Type Chart'!$C$2:$U$20,11,false)</f>
        <v>2</v>
      </c>
      <c r="AE1668" s="960">
        <f t="array" ref="AE1668">HLOOKUP($J1668,'Type Chart'!$C$2:$T$20,12,false)*HLOOKUP($K1668,'Type Chart'!$C$2:$U$20,12,false)</f>
        <v>1</v>
      </c>
      <c r="AF1668" s="960">
        <f t="array" ref="AF1668">HLOOKUP($J1668,'Type Chart'!$C$2:$T$20,13,false)*HLOOKUP($K1668,'Type Chart'!$C$2:$U$20,13,false)</f>
        <v>0.5</v>
      </c>
      <c r="AG1668" s="960">
        <f t="array" ref="AG1668">HLOOKUP($J1668,'Type Chart'!$C$2:$T$20,14,false)*HLOOKUP($K1668,'Type Chart'!$C$2:$U$20,14,false)</f>
        <v>1</v>
      </c>
      <c r="AH1668" s="960">
        <f t="array" ref="AH1668">HLOOKUP($J1668,'Type Chart'!$C$2:$T$20,15,false)*HLOOKUP($K1668,'Type Chart'!$C$2:$U$20,15,false)</f>
        <v>1</v>
      </c>
      <c r="AI1668" s="960">
        <f t="array" ref="AI1668">HLOOKUP($J1668,'Type Chart'!$C$2:$T$20,16,false)*HLOOKUP($K1668,'Type Chart'!$C$2:$U$20,16,false)</f>
        <v>1</v>
      </c>
      <c r="AJ1668" s="960">
        <f t="array" ref="AJ1668">HLOOKUP($J1668,'Type Chart'!$C$2:$T$20,17,false)*HLOOKUP($K1668,'Type Chart'!$C$2:$U$20,17,false)</f>
        <v>1</v>
      </c>
      <c r="AK1668" s="960">
        <f t="array" ref="AK1668">HLOOKUP($J1668,'Type Chart'!$C$2:$T$20,18,false)*HLOOKUP($K1668,'Type Chart'!$C$2:$U$20,18,false)</f>
        <v>1</v>
      </c>
      <c r="AL1668" s="960">
        <f t="array" ref="AL1668">HLOOKUP($J1668,'Type Chart'!$C$2:$T$20,19,false)*HLOOKUP($K1668,'Type Chart'!$C$2:$U$20,19,false)</f>
        <v>1</v>
      </c>
      <c r="AM1668" s="1145" t="s">
        <v>1369</v>
      </c>
      <c r="AN1668" s="1202" t="s">
        <v>1003</v>
      </c>
      <c r="AO1668" s="1146" t="s">
        <v>1813</v>
      </c>
      <c r="AP1668" s="936"/>
      <c r="AQ1668" s="1245"/>
      <c r="AR1668" s="1245"/>
      <c r="AS1668" s="936"/>
    </row>
    <row r="1669" ht="15.75" customHeight="1">
      <c r="A1669" s="1099"/>
      <c r="B1669" s="948" t="s">
        <v>2187</v>
      </c>
      <c r="C1669" s="1197" t="s">
        <v>2188</v>
      </c>
      <c r="D1669" s="1197" t="s">
        <v>2188</v>
      </c>
      <c r="E1669" s="1147" t="s">
        <v>2188</v>
      </c>
      <c r="F1669" s="940"/>
      <c r="G1669" s="953"/>
      <c r="H1669" s="969"/>
      <c r="I1669" s="998" t="s">
        <v>4770</v>
      </c>
      <c r="J1669" s="1228" t="s">
        <v>209</v>
      </c>
      <c r="K1669" s="1209" t="s">
        <v>178</v>
      </c>
      <c r="L1669" s="1200">
        <v>50.0</v>
      </c>
      <c r="M1669" s="1201">
        <v>60.0</v>
      </c>
      <c r="N1669" s="1201">
        <v>45.0</v>
      </c>
      <c r="O1669" s="1201">
        <v>100.0</v>
      </c>
      <c r="P1669" s="1201">
        <v>80.0</v>
      </c>
      <c r="Q1669" s="1201">
        <v>65.0</v>
      </c>
      <c r="R1669" s="960">
        <v>166.0</v>
      </c>
      <c r="S1669" s="960">
        <v>229.0</v>
      </c>
      <c r="T1669" s="960">
        <v>251.0</v>
      </c>
      <c r="U1669" s="960">
        <f t="array" ref="U1669">HLOOKUP($J1669,'Type Chart'!$C$2:$T$20,2,false)*HLOOKUP($K1669,'Type Chart'!$C$2:$U$20,2,false)</f>
        <v>1</v>
      </c>
      <c r="V1669" s="960">
        <f t="array" ref="V1669">HLOOKUP($J1669,'Type Chart'!$C$2:$T$20,3,false)*HLOOKUP($K1669,'Type Chart'!$C$2:$U$20,3,false)</f>
        <v>0.5</v>
      </c>
      <c r="W1669" s="960">
        <f t="array" ref="W1669">HLOOKUP($J1669,'Type Chart'!$C$2:$T$20,4,false)*HLOOKUP($K1669,'Type Chart'!$C$2:$U$20,4,false)</f>
        <v>2</v>
      </c>
      <c r="X1669" s="960">
        <f t="array" ref="X1669">HLOOKUP($J1669,'Type Chart'!$C$2:$T$20,5,false)*HLOOKUP($K1669,'Type Chart'!$C$2:$U$20,5,false)</f>
        <v>1</v>
      </c>
      <c r="Y1669" s="960">
        <f t="array" ref="Y1669">HLOOKUP($J1669,'Type Chart'!$C$2:$T$20,6,false)*HLOOKUP($K1669,'Type Chart'!$C$2:$U$20,6,false)</f>
        <v>1</v>
      </c>
      <c r="Z1669" s="960">
        <f t="array" ref="Z1669">HLOOKUP($J1669,'Type Chart'!$C$2:$T$20,7,false)*HLOOKUP($K1669,'Type Chart'!$C$2:$U$20,7,false)</f>
        <v>1</v>
      </c>
      <c r="AA1669" s="960">
        <f t="array" ref="AA1669">HLOOKUP($J1669,'Type Chart'!$C$2:$T$20,8,false)*HLOOKUP($K1669,'Type Chart'!$C$2:$U$20,8,false)</f>
        <v>1</v>
      </c>
      <c r="AB1669" s="960">
        <f t="array" ref="AB1669">HLOOKUP($J1669,'Type Chart'!$C$2:$T$20,9,false)*HLOOKUP($K1669,'Type Chart'!$C$2:$U$20,9,false)</f>
        <v>1</v>
      </c>
      <c r="AC1669" s="960">
        <f t="array" ref="AC1669">HLOOKUP($J1669,'Type Chart'!$C$2:$T$20,10,false)*HLOOKUP($K1669,'Type Chart'!$C$2:$U$20,10,false)</f>
        <v>1</v>
      </c>
      <c r="AD1669" s="960">
        <f t="array" ref="AD1669">HLOOKUP($J1669,'Type Chart'!$C$2:$T$20,11,false)*HLOOKUP($K1669,'Type Chart'!$C$2:$U$20,11,false)</f>
        <v>2</v>
      </c>
      <c r="AE1669" s="960">
        <f t="array" ref="AE1669">HLOOKUP($J1669,'Type Chart'!$C$2:$T$20,12,false)*HLOOKUP($K1669,'Type Chart'!$C$2:$U$20,12,false)</f>
        <v>0.5</v>
      </c>
      <c r="AF1669" s="960">
        <f t="array" ref="AF1669">HLOOKUP($J1669,'Type Chart'!$C$2:$T$20,13,false)*HLOOKUP($K1669,'Type Chart'!$C$2:$U$20,13,false)</f>
        <v>0.25</v>
      </c>
      <c r="AG1669" s="960">
        <f t="array" ref="AG1669">HLOOKUP($J1669,'Type Chart'!$C$2:$T$20,14,false)*HLOOKUP($K1669,'Type Chart'!$C$2:$U$20,14,false)</f>
        <v>0.5</v>
      </c>
      <c r="AH1669" s="960">
        <f t="array" ref="AH1669">HLOOKUP($J1669,'Type Chart'!$C$2:$T$20,15,false)*HLOOKUP($K1669,'Type Chart'!$C$2:$U$20,15,false)</f>
        <v>2</v>
      </c>
      <c r="AI1669" s="960">
        <f t="array" ref="AI1669">HLOOKUP($J1669,'Type Chart'!$C$2:$T$20,16,false)*HLOOKUP($K1669,'Type Chart'!$C$2:$U$20,16,false)</f>
        <v>2</v>
      </c>
      <c r="AJ1669" s="960">
        <f t="array" ref="AJ1669">HLOOKUP($J1669,'Type Chart'!$C$2:$T$20,17,false)*HLOOKUP($K1669,'Type Chart'!$C$2:$U$20,17,false)</f>
        <v>1</v>
      </c>
      <c r="AK1669" s="960">
        <f t="array" ref="AK1669">HLOOKUP($J1669,'Type Chart'!$C$2:$T$20,18,false)*HLOOKUP($K1669,'Type Chart'!$C$2:$U$20,18,false)</f>
        <v>1</v>
      </c>
      <c r="AL1669" s="960">
        <f t="array" ref="AL1669">HLOOKUP($J1669,'Type Chart'!$C$2:$T$20,19,false)*HLOOKUP($K1669,'Type Chart'!$C$2:$U$20,19,false)</f>
        <v>0.5</v>
      </c>
      <c r="AM1669" s="1145" t="s">
        <v>1520</v>
      </c>
      <c r="AN1669" s="965" t="s">
        <v>1146</v>
      </c>
      <c r="AO1669" s="1146" t="s">
        <v>1526</v>
      </c>
      <c r="AP1669" s="936"/>
      <c r="AQ1669" s="1245"/>
      <c r="AR1669" s="1245"/>
      <c r="AS1669" s="936"/>
    </row>
    <row r="1670" ht="15.75" customHeight="1">
      <c r="A1670" s="1099"/>
      <c r="B1670" s="948" t="s">
        <v>2190</v>
      </c>
      <c r="C1670" s="1197" t="s">
        <v>2191</v>
      </c>
      <c r="D1670" s="1197" t="s">
        <v>2191</v>
      </c>
      <c r="E1670" s="1147" t="s">
        <v>2191</v>
      </c>
      <c r="F1670" s="940"/>
      <c r="G1670" s="953"/>
      <c r="H1670" s="969"/>
      <c r="I1670" s="998" t="s">
        <v>4771</v>
      </c>
      <c r="J1670" s="958" t="s">
        <v>178</v>
      </c>
      <c r="K1670" s="984" t="s">
        <v>216</v>
      </c>
      <c r="L1670" s="959">
        <v>70.0</v>
      </c>
      <c r="M1670" s="960">
        <v>43.0</v>
      </c>
      <c r="N1670" s="960">
        <v>53.0</v>
      </c>
      <c r="O1670" s="960">
        <v>43.0</v>
      </c>
      <c r="P1670" s="960">
        <v>53.0</v>
      </c>
      <c r="Q1670" s="960">
        <v>40.0</v>
      </c>
      <c r="R1670" s="960">
        <v>116.0</v>
      </c>
      <c r="S1670" s="960">
        <v>179.0</v>
      </c>
      <c r="T1670" s="960">
        <v>196.0</v>
      </c>
      <c r="U1670" s="960">
        <f t="array" ref="U1670">HLOOKUP($J1670,'Type Chart'!$C$2:$T$20,2,false)*HLOOKUP($K1670,'Type Chart'!$C$2:$U$20,2,false)</f>
        <v>1</v>
      </c>
      <c r="V1670" s="960">
        <f t="array" ref="V1670">HLOOKUP($J1670,'Type Chart'!$C$2:$T$20,3,false)*HLOOKUP($K1670,'Type Chart'!$C$2:$U$20,3,false)</f>
        <v>0.5</v>
      </c>
      <c r="W1670" s="960">
        <f t="array" ref="W1670">HLOOKUP($J1670,'Type Chart'!$C$2:$T$20,4,false)*HLOOKUP($K1670,'Type Chart'!$C$2:$U$20,4,false)</f>
        <v>1</v>
      </c>
      <c r="X1670" s="960">
        <f t="array" ref="X1670">HLOOKUP($J1670,'Type Chart'!$C$2:$T$20,5,false)*HLOOKUP($K1670,'Type Chart'!$C$2:$U$20,5,false)</f>
        <v>0.5</v>
      </c>
      <c r="Y1670" s="960">
        <f t="array" ref="Y1670">HLOOKUP($J1670,'Type Chart'!$C$2:$T$20,6,false)*HLOOKUP($K1670,'Type Chart'!$C$2:$U$20,6,false)</f>
        <v>2</v>
      </c>
      <c r="Z1670" s="960">
        <f t="array" ref="Z1670">HLOOKUP($J1670,'Type Chart'!$C$2:$T$20,7,false)*HLOOKUP($K1670,'Type Chart'!$C$2:$U$20,7,false)</f>
        <v>1</v>
      </c>
      <c r="AA1670" s="960">
        <f t="array" ref="AA1670">HLOOKUP($J1670,'Type Chart'!$C$2:$T$20,8,false)*HLOOKUP($K1670,'Type Chart'!$C$2:$U$20,8,false)</f>
        <v>0.5</v>
      </c>
      <c r="AB1670" s="960">
        <f t="array" ref="AB1670">HLOOKUP($J1670,'Type Chart'!$C$2:$T$20,9,false)*HLOOKUP($K1670,'Type Chart'!$C$2:$U$20,9,false)</f>
        <v>1</v>
      </c>
      <c r="AC1670" s="960">
        <f t="array" ref="AC1670">HLOOKUP($J1670,'Type Chart'!$C$2:$T$20,10,false)*HLOOKUP($K1670,'Type Chart'!$C$2:$U$20,10,false)</f>
        <v>1</v>
      </c>
      <c r="AD1670" s="960">
        <f t="array" ref="AD1670">HLOOKUP($J1670,'Type Chart'!$C$2:$T$20,11,false)*HLOOKUP($K1670,'Type Chart'!$C$2:$U$20,11,false)</f>
        <v>1</v>
      </c>
      <c r="AE1670" s="960">
        <f t="array" ref="AE1670">HLOOKUP($J1670,'Type Chart'!$C$2:$T$20,12,false)*HLOOKUP($K1670,'Type Chart'!$C$2:$U$20,12,false)</f>
        <v>1</v>
      </c>
      <c r="AF1670" s="960">
        <f t="array" ref="AF1670">HLOOKUP($J1670,'Type Chart'!$C$2:$T$20,13,false)*HLOOKUP($K1670,'Type Chart'!$C$2:$U$20,13,false)</f>
        <v>0.5</v>
      </c>
      <c r="AG1670" s="960">
        <f t="array" ref="AG1670">HLOOKUP($J1670,'Type Chart'!$C$2:$T$20,14,false)*HLOOKUP($K1670,'Type Chart'!$C$2:$U$20,14,false)</f>
        <v>1</v>
      </c>
      <c r="AH1670" s="960">
        <f t="array" ref="AH1670">HLOOKUP($J1670,'Type Chart'!$C$2:$T$20,15,false)*HLOOKUP($K1670,'Type Chart'!$C$2:$U$20,15,false)</f>
        <v>2</v>
      </c>
      <c r="AI1670" s="960">
        <f t="array" ref="AI1670">HLOOKUP($J1670,'Type Chart'!$C$2:$T$20,16,false)*HLOOKUP($K1670,'Type Chart'!$C$2:$U$20,16,false)</f>
        <v>1</v>
      </c>
      <c r="AJ1670" s="960">
        <f t="array" ref="AJ1670">HLOOKUP($J1670,'Type Chart'!$C$2:$T$20,17,false)*HLOOKUP($K1670,'Type Chart'!$C$2:$U$20,17,false)</f>
        <v>1</v>
      </c>
      <c r="AK1670" s="960">
        <f t="array" ref="AK1670">HLOOKUP($J1670,'Type Chart'!$C$2:$T$20,18,false)*HLOOKUP($K1670,'Type Chart'!$C$2:$U$20,18,false)</f>
        <v>1</v>
      </c>
      <c r="AL1670" s="960">
        <f t="array" ref="AL1670">HLOOKUP($J1670,'Type Chart'!$C$2:$T$20,19,false)*HLOOKUP($K1670,'Type Chart'!$C$2:$U$20,19,false)</f>
        <v>0.5</v>
      </c>
      <c r="AM1670" s="964" t="s">
        <v>1325</v>
      </c>
      <c r="AN1670" s="965" t="s">
        <v>1416</v>
      </c>
      <c r="AO1670" s="966" t="s">
        <v>1044</v>
      </c>
      <c r="AP1670" s="936"/>
      <c r="AQ1670" s="1245"/>
      <c r="AR1670" s="1245"/>
      <c r="AS1670" s="936"/>
    </row>
    <row r="1671" ht="15.75" customHeight="1">
      <c r="A1671" s="1099"/>
      <c r="B1671" s="948" t="s">
        <v>2193</v>
      </c>
      <c r="C1671" s="1197" t="s">
        <v>2194</v>
      </c>
      <c r="D1671" s="1197" t="s">
        <v>2194</v>
      </c>
      <c r="E1671" s="1147" t="s">
        <v>2194</v>
      </c>
      <c r="F1671" s="940"/>
      <c r="G1671" s="953"/>
      <c r="H1671" s="969"/>
      <c r="I1671" s="998" t="s">
        <v>4772</v>
      </c>
      <c r="J1671" s="958" t="s">
        <v>178</v>
      </c>
      <c r="K1671" s="984" t="s">
        <v>216</v>
      </c>
      <c r="L1671" s="959">
        <v>100.0</v>
      </c>
      <c r="M1671" s="960">
        <v>73.0</v>
      </c>
      <c r="N1671" s="960">
        <v>83.0</v>
      </c>
      <c r="O1671" s="960">
        <v>73.0</v>
      </c>
      <c r="P1671" s="960">
        <v>83.0</v>
      </c>
      <c r="Q1671" s="960">
        <v>55.0</v>
      </c>
      <c r="R1671" s="960">
        <v>146.0</v>
      </c>
      <c r="S1671" s="960">
        <v>209.0</v>
      </c>
      <c r="T1671" s="960">
        <v>229.0</v>
      </c>
      <c r="U1671" s="960">
        <f t="array" ref="U1671">HLOOKUP($J1671,'Type Chart'!$C$2:$T$20,2,false)*HLOOKUP($K1671,'Type Chart'!$C$2:$U$20,2,false)</f>
        <v>1</v>
      </c>
      <c r="V1671" s="960">
        <f t="array" ref="V1671">HLOOKUP($J1671,'Type Chart'!$C$2:$T$20,3,false)*HLOOKUP($K1671,'Type Chart'!$C$2:$U$20,3,false)</f>
        <v>0.5</v>
      </c>
      <c r="W1671" s="960">
        <f t="array" ref="W1671">HLOOKUP($J1671,'Type Chart'!$C$2:$T$20,4,false)*HLOOKUP($K1671,'Type Chart'!$C$2:$U$20,4,false)</f>
        <v>1</v>
      </c>
      <c r="X1671" s="960">
        <f t="array" ref="X1671">HLOOKUP($J1671,'Type Chart'!$C$2:$T$20,5,false)*HLOOKUP($K1671,'Type Chart'!$C$2:$U$20,5,false)</f>
        <v>0.5</v>
      </c>
      <c r="Y1671" s="960">
        <f t="array" ref="Y1671">HLOOKUP($J1671,'Type Chart'!$C$2:$T$20,6,false)*HLOOKUP($K1671,'Type Chart'!$C$2:$U$20,6,false)</f>
        <v>2</v>
      </c>
      <c r="Z1671" s="960">
        <f t="array" ref="Z1671">HLOOKUP($J1671,'Type Chart'!$C$2:$T$20,7,false)*HLOOKUP($K1671,'Type Chart'!$C$2:$U$20,7,false)</f>
        <v>1</v>
      </c>
      <c r="AA1671" s="960">
        <f t="array" ref="AA1671">HLOOKUP($J1671,'Type Chart'!$C$2:$T$20,8,false)*HLOOKUP($K1671,'Type Chart'!$C$2:$U$20,8,false)</f>
        <v>0.5</v>
      </c>
      <c r="AB1671" s="960">
        <f t="array" ref="AB1671">HLOOKUP($J1671,'Type Chart'!$C$2:$T$20,9,false)*HLOOKUP($K1671,'Type Chart'!$C$2:$U$20,9,false)</f>
        <v>1</v>
      </c>
      <c r="AC1671" s="960">
        <f t="array" ref="AC1671">HLOOKUP($J1671,'Type Chart'!$C$2:$T$20,10,false)*HLOOKUP($K1671,'Type Chart'!$C$2:$U$20,10,false)</f>
        <v>1</v>
      </c>
      <c r="AD1671" s="960">
        <f t="array" ref="AD1671">HLOOKUP($J1671,'Type Chart'!$C$2:$T$20,11,false)*HLOOKUP($K1671,'Type Chart'!$C$2:$U$20,11,false)</f>
        <v>1</v>
      </c>
      <c r="AE1671" s="960">
        <f t="array" ref="AE1671">HLOOKUP($J1671,'Type Chart'!$C$2:$T$20,12,false)*HLOOKUP($K1671,'Type Chart'!$C$2:$U$20,12,false)</f>
        <v>1</v>
      </c>
      <c r="AF1671" s="960">
        <f t="array" ref="AF1671">HLOOKUP($J1671,'Type Chart'!$C$2:$T$20,13,false)*HLOOKUP($K1671,'Type Chart'!$C$2:$U$20,13,false)</f>
        <v>0.5</v>
      </c>
      <c r="AG1671" s="960">
        <f t="array" ref="AG1671">HLOOKUP($J1671,'Type Chart'!$C$2:$T$20,14,false)*HLOOKUP($K1671,'Type Chart'!$C$2:$U$20,14,false)</f>
        <v>1</v>
      </c>
      <c r="AH1671" s="960">
        <f t="array" ref="AH1671">HLOOKUP($J1671,'Type Chart'!$C$2:$T$20,15,false)*HLOOKUP($K1671,'Type Chart'!$C$2:$U$20,15,false)</f>
        <v>2</v>
      </c>
      <c r="AI1671" s="960">
        <f t="array" ref="AI1671">HLOOKUP($J1671,'Type Chart'!$C$2:$T$20,16,false)*HLOOKUP($K1671,'Type Chart'!$C$2:$U$20,16,false)</f>
        <v>1</v>
      </c>
      <c r="AJ1671" s="960">
        <f t="array" ref="AJ1671">HLOOKUP($J1671,'Type Chart'!$C$2:$T$20,17,false)*HLOOKUP($K1671,'Type Chart'!$C$2:$U$20,17,false)</f>
        <v>1</v>
      </c>
      <c r="AK1671" s="960">
        <f t="array" ref="AK1671">HLOOKUP($J1671,'Type Chart'!$C$2:$T$20,18,false)*HLOOKUP($K1671,'Type Chart'!$C$2:$U$20,18,false)</f>
        <v>1</v>
      </c>
      <c r="AL1671" s="960">
        <f t="array" ref="AL1671">HLOOKUP($J1671,'Type Chart'!$C$2:$T$20,19,false)*HLOOKUP($K1671,'Type Chart'!$C$2:$U$20,19,false)</f>
        <v>0.5</v>
      </c>
      <c r="AM1671" s="964" t="s">
        <v>1325</v>
      </c>
      <c r="AN1671" s="965" t="s">
        <v>1416</v>
      </c>
      <c r="AO1671" s="966" t="s">
        <v>1044</v>
      </c>
      <c r="AP1671" s="936"/>
      <c r="AQ1671" s="1245"/>
      <c r="AR1671" s="1245"/>
      <c r="AS1671" s="936"/>
    </row>
    <row r="1672" ht="15.75" customHeight="1">
      <c r="A1672" s="1099"/>
      <c r="B1672" s="948" t="s">
        <v>2195</v>
      </c>
      <c r="C1672" s="1197" t="s">
        <v>2196</v>
      </c>
      <c r="D1672" s="1197" t="s">
        <v>2196</v>
      </c>
      <c r="E1672" s="1147" t="s">
        <v>2196</v>
      </c>
      <c r="F1672" s="940"/>
      <c r="G1672" s="953"/>
      <c r="H1672" s="969"/>
      <c r="I1672" s="998" t="s">
        <v>4773</v>
      </c>
      <c r="J1672" s="1056" t="s">
        <v>81</v>
      </c>
      <c r="K1672" s="1195" t="s">
        <v>193</v>
      </c>
      <c r="L1672" s="959">
        <v>45.0</v>
      </c>
      <c r="M1672" s="960">
        <v>90.0</v>
      </c>
      <c r="N1672" s="960">
        <v>20.0</v>
      </c>
      <c r="O1672" s="960">
        <v>65.0</v>
      </c>
      <c r="P1672" s="960">
        <v>20.0</v>
      </c>
      <c r="Q1672" s="960">
        <v>65.0</v>
      </c>
      <c r="R1672" s="960">
        <v>166.0</v>
      </c>
      <c r="S1672" s="960">
        <v>229.0</v>
      </c>
      <c r="T1672" s="960">
        <v>251.0</v>
      </c>
      <c r="U1672" s="960">
        <f t="array" ref="U1672">HLOOKUP($J1672,'Type Chart'!$C$2:$T$20,2,false)*HLOOKUP($K1672,'Type Chart'!$C$2:$U$20,2,false)</f>
        <v>1</v>
      </c>
      <c r="V1672" s="960">
        <f t="array" ref="V1672">HLOOKUP($J1672,'Type Chart'!$C$2:$T$20,3,false)*HLOOKUP($K1672,'Type Chart'!$C$2:$U$20,3,false)</f>
        <v>2</v>
      </c>
      <c r="W1672" s="960">
        <f t="array" ref="W1672">HLOOKUP($J1672,'Type Chart'!$C$2:$T$20,4,false)*HLOOKUP($K1672,'Type Chart'!$C$2:$U$20,4,false)</f>
        <v>1</v>
      </c>
      <c r="X1672" s="960">
        <f t="array" ref="X1672">HLOOKUP($J1672,'Type Chart'!$C$2:$T$20,5,false)*HLOOKUP($K1672,'Type Chart'!$C$2:$U$20,5,false)</f>
        <v>1</v>
      </c>
      <c r="Y1672" s="960">
        <f t="array" ref="Y1672">HLOOKUP($J1672,'Type Chart'!$C$2:$T$20,6,false)*HLOOKUP($K1672,'Type Chart'!$C$2:$U$20,6,false)</f>
        <v>1</v>
      </c>
      <c r="Z1672" s="960">
        <f t="array" ref="Z1672">HLOOKUP($J1672,'Type Chart'!$C$2:$T$20,7,false)*HLOOKUP($K1672,'Type Chart'!$C$2:$U$20,7,false)</f>
        <v>1</v>
      </c>
      <c r="AA1672" s="960">
        <f t="array" ref="AA1672">HLOOKUP($J1672,'Type Chart'!$C$2:$T$20,8,false)*HLOOKUP($K1672,'Type Chart'!$C$2:$U$20,8,false)</f>
        <v>2</v>
      </c>
      <c r="AB1672" s="960">
        <f t="array" ref="AB1672">HLOOKUP($J1672,'Type Chart'!$C$2:$T$20,9,false)*HLOOKUP($K1672,'Type Chart'!$C$2:$U$20,9,false)</f>
        <v>0.5</v>
      </c>
      <c r="AC1672" s="960">
        <f t="array" ref="AC1672">HLOOKUP($J1672,'Type Chart'!$C$2:$T$20,10,false)*HLOOKUP($K1672,'Type Chart'!$C$2:$U$20,10,false)</f>
        <v>0.5</v>
      </c>
      <c r="AD1672" s="960">
        <f t="array" ref="AD1672">HLOOKUP($J1672,'Type Chart'!$C$2:$T$20,11,false)*HLOOKUP($K1672,'Type Chart'!$C$2:$U$20,11,false)</f>
        <v>0.5</v>
      </c>
      <c r="AE1672" s="960">
        <f t="array" ref="AE1672">HLOOKUP($J1672,'Type Chart'!$C$2:$T$20,12,false)*HLOOKUP($K1672,'Type Chart'!$C$2:$U$20,12,false)</f>
        <v>0.5</v>
      </c>
      <c r="AF1672" s="960">
        <f t="array" ref="AF1672">HLOOKUP($J1672,'Type Chart'!$C$2:$T$20,13,false)*HLOOKUP($K1672,'Type Chart'!$C$2:$U$20,13,false)</f>
        <v>2</v>
      </c>
      <c r="AG1672" s="960">
        <f t="array" ref="AG1672">HLOOKUP($J1672,'Type Chart'!$C$2:$T$20,14,false)*HLOOKUP($K1672,'Type Chart'!$C$2:$U$20,14,false)</f>
        <v>2</v>
      </c>
      <c r="AH1672" s="960">
        <f t="array" ref="AH1672">HLOOKUP($J1672,'Type Chart'!$C$2:$T$20,15,false)*HLOOKUP($K1672,'Type Chart'!$C$2:$U$20,15,false)</f>
        <v>0</v>
      </c>
      <c r="AI1672" s="960">
        <f t="array" ref="AI1672">HLOOKUP($J1672,'Type Chart'!$C$2:$T$20,16,false)*HLOOKUP($K1672,'Type Chart'!$C$2:$U$20,16,false)</f>
        <v>0.5</v>
      </c>
      <c r="AJ1672" s="960">
        <f t="array" ref="AJ1672">HLOOKUP($J1672,'Type Chart'!$C$2:$T$20,17,false)*HLOOKUP($K1672,'Type Chart'!$C$2:$U$20,17,false)</f>
        <v>1</v>
      </c>
      <c r="AK1672" s="960">
        <f t="array" ref="AK1672">HLOOKUP($J1672,'Type Chart'!$C$2:$T$20,18,false)*HLOOKUP($K1672,'Type Chart'!$C$2:$U$20,18,false)</f>
        <v>0.5</v>
      </c>
      <c r="AL1672" s="960">
        <f t="array" ref="AL1672">HLOOKUP($J1672,'Type Chart'!$C$2:$T$20,19,false)*HLOOKUP($K1672,'Type Chart'!$C$2:$U$20,19,false)</f>
        <v>2</v>
      </c>
      <c r="AM1672" s="1145" t="s">
        <v>2198</v>
      </c>
      <c r="AN1672" s="965"/>
      <c r="AO1672" s="966" t="s">
        <v>1798</v>
      </c>
      <c r="AP1672" s="936"/>
      <c r="AQ1672" s="1245"/>
      <c r="AR1672" s="1245"/>
      <c r="AS1672" s="936"/>
    </row>
    <row r="1673" ht="15.75" customHeight="1">
      <c r="A1673" s="1099"/>
      <c r="B1673" s="948" t="s">
        <v>2199</v>
      </c>
      <c r="C1673" s="1197" t="s">
        <v>2200</v>
      </c>
      <c r="D1673" s="1197" t="s">
        <v>2200</v>
      </c>
      <c r="E1673" s="1147" t="s">
        <v>2200</v>
      </c>
      <c r="F1673" s="940"/>
      <c r="G1673" s="953"/>
      <c r="H1673" s="969"/>
      <c r="I1673" s="998" t="s">
        <v>4774</v>
      </c>
      <c r="J1673" s="1056" t="s">
        <v>81</v>
      </c>
      <c r="K1673" s="1195" t="s">
        <v>193</v>
      </c>
      <c r="L1673" s="959">
        <v>70.0</v>
      </c>
      <c r="M1673" s="960">
        <v>120.0</v>
      </c>
      <c r="N1673" s="960">
        <v>40.0</v>
      </c>
      <c r="O1673" s="960">
        <v>95.0</v>
      </c>
      <c r="P1673" s="960">
        <v>40.0</v>
      </c>
      <c r="Q1673" s="960">
        <v>95.0</v>
      </c>
      <c r="R1673" s="960">
        <v>226.0</v>
      </c>
      <c r="S1673" s="960">
        <v>289.0</v>
      </c>
      <c r="T1673" s="960">
        <v>317.0</v>
      </c>
      <c r="U1673" s="960">
        <f t="array" ref="U1673">HLOOKUP($J1673,'Type Chart'!$C$2:$T$20,2,false)*HLOOKUP($K1673,'Type Chart'!$C$2:$U$20,2,false)</f>
        <v>1</v>
      </c>
      <c r="V1673" s="960">
        <f t="array" ref="V1673">HLOOKUP($J1673,'Type Chart'!$C$2:$T$20,3,false)*HLOOKUP($K1673,'Type Chart'!$C$2:$U$20,3,false)</f>
        <v>2</v>
      </c>
      <c r="W1673" s="960">
        <f t="array" ref="W1673">HLOOKUP($J1673,'Type Chart'!$C$2:$T$20,4,false)*HLOOKUP($K1673,'Type Chart'!$C$2:$U$20,4,false)</f>
        <v>1</v>
      </c>
      <c r="X1673" s="960">
        <f t="array" ref="X1673">HLOOKUP($J1673,'Type Chart'!$C$2:$T$20,5,false)*HLOOKUP($K1673,'Type Chart'!$C$2:$U$20,5,false)</f>
        <v>1</v>
      </c>
      <c r="Y1673" s="960">
        <f t="array" ref="Y1673">HLOOKUP($J1673,'Type Chart'!$C$2:$T$20,6,false)*HLOOKUP($K1673,'Type Chart'!$C$2:$U$20,6,false)</f>
        <v>1</v>
      </c>
      <c r="Z1673" s="960">
        <f t="array" ref="Z1673">HLOOKUP($J1673,'Type Chart'!$C$2:$T$20,7,false)*HLOOKUP($K1673,'Type Chart'!$C$2:$U$20,7,false)</f>
        <v>1</v>
      </c>
      <c r="AA1673" s="960">
        <f t="array" ref="AA1673">HLOOKUP($J1673,'Type Chart'!$C$2:$T$20,8,false)*HLOOKUP($K1673,'Type Chart'!$C$2:$U$20,8,false)</f>
        <v>2</v>
      </c>
      <c r="AB1673" s="960">
        <f t="array" ref="AB1673">HLOOKUP($J1673,'Type Chart'!$C$2:$T$20,9,false)*HLOOKUP($K1673,'Type Chart'!$C$2:$U$20,9,false)</f>
        <v>0.5</v>
      </c>
      <c r="AC1673" s="960">
        <f t="array" ref="AC1673">HLOOKUP($J1673,'Type Chart'!$C$2:$T$20,10,false)*HLOOKUP($K1673,'Type Chart'!$C$2:$U$20,10,false)</f>
        <v>0.5</v>
      </c>
      <c r="AD1673" s="960">
        <f t="array" ref="AD1673">HLOOKUP($J1673,'Type Chart'!$C$2:$T$20,11,false)*HLOOKUP($K1673,'Type Chart'!$C$2:$U$20,11,false)</f>
        <v>0.5</v>
      </c>
      <c r="AE1673" s="960">
        <f t="array" ref="AE1673">HLOOKUP($J1673,'Type Chart'!$C$2:$T$20,12,false)*HLOOKUP($K1673,'Type Chart'!$C$2:$U$20,12,false)</f>
        <v>0.5</v>
      </c>
      <c r="AF1673" s="960">
        <f t="array" ref="AF1673">HLOOKUP($J1673,'Type Chart'!$C$2:$T$20,13,false)*HLOOKUP($K1673,'Type Chart'!$C$2:$U$20,13,false)</f>
        <v>2</v>
      </c>
      <c r="AG1673" s="960">
        <f t="array" ref="AG1673">HLOOKUP($J1673,'Type Chart'!$C$2:$T$20,14,false)*HLOOKUP($K1673,'Type Chart'!$C$2:$U$20,14,false)</f>
        <v>2</v>
      </c>
      <c r="AH1673" s="960">
        <f t="array" ref="AH1673">HLOOKUP($J1673,'Type Chart'!$C$2:$T$20,15,false)*HLOOKUP($K1673,'Type Chart'!$C$2:$U$20,15,false)</f>
        <v>0</v>
      </c>
      <c r="AI1673" s="960">
        <f t="array" ref="AI1673">HLOOKUP($J1673,'Type Chart'!$C$2:$T$20,16,false)*HLOOKUP($K1673,'Type Chart'!$C$2:$U$20,16,false)</f>
        <v>0.5</v>
      </c>
      <c r="AJ1673" s="960">
        <f t="array" ref="AJ1673">HLOOKUP($J1673,'Type Chart'!$C$2:$T$20,17,false)*HLOOKUP($K1673,'Type Chart'!$C$2:$U$20,17,false)</f>
        <v>1</v>
      </c>
      <c r="AK1673" s="960">
        <f t="array" ref="AK1673">HLOOKUP($J1673,'Type Chart'!$C$2:$T$20,18,false)*HLOOKUP($K1673,'Type Chart'!$C$2:$U$20,18,false)</f>
        <v>0.5</v>
      </c>
      <c r="AL1673" s="960">
        <f t="array" ref="AL1673">HLOOKUP($J1673,'Type Chart'!$C$2:$T$20,19,false)*HLOOKUP($K1673,'Type Chart'!$C$2:$U$20,19,false)</f>
        <v>2</v>
      </c>
      <c r="AM1673" s="964" t="s">
        <v>2198</v>
      </c>
      <c r="AN1673" s="965"/>
      <c r="AO1673" s="966" t="s">
        <v>1798</v>
      </c>
      <c r="AP1673" s="936"/>
      <c r="AQ1673" s="1245"/>
      <c r="AR1673" s="1245"/>
      <c r="AS1673" s="936"/>
    </row>
    <row r="1674" ht="15.75" customHeight="1">
      <c r="A1674" s="1099"/>
      <c r="B1674" s="948" t="s">
        <v>2202</v>
      </c>
      <c r="C1674" s="1197" t="s">
        <v>2203</v>
      </c>
      <c r="D1674" s="1197" t="s">
        <v>2203</v>
      </c>
      <c r="E1674" s="1147" t="s">
        <v>2203</v>
      </c>
      <c r="F1674" s="940"/>
      <c r="G1674" s="953"/>
      <c r="H1674" s="969"/>
      <c r="I1674" s="998" t="s">
        <v>4775</v>
      </c>
      <c r="J1674" s="1056" t="s">
        <v>81</v>
      </c>
      <c r="K1674" s="1195" t="s">
        <v>193</v>
      </c>
      <c r="L1674" s="959">
        <v>70.0</v>
      </c>
      <c r="M1674" s="960">
        <v>140.0</v>
      </c>
      <c r="N1674" s="960">
        <v>70.0</v>
      </c>
      <c r="O1674" s="960">
        <v>110.0</v>
      </c>
      <c r="P1674" s="960">
        <v>65.0</v>
      </c>
      <c r="Q1674" s="960">
        <v>105.0</v>
      </c>
      <c r="R1674" s="960">
        <v>246.0</v>
      </c>
      <c r="S1674" s="960">
        <v>309.0</v>
      </c>
      <c r="T1674" s="960">
        <v>339.0</v>
      </c>
      <c r="U1674" s="960">
        <f t="array" ref="U1674">HLOOKUP($J1674,'Type Chart'!$C$2:$T$20,2,false)*HLOOKUP($K1674,'Type Chart'!$C$2:$U$20,2,false)</f>
        <v>1</v>
      </c>
      <c r="V1674" s="960">
        <f t="array" ref="V1674">HLOOKUP($J1674,'Type Chart'!$C$2:$T$20,3,false)*HLOOKUP($K1674,'Type Chart'!$C$2:$U$20,3,false)</f>
        <v>2</v>
      </c>
      <c r="W1674" s="960">
        <f t="array" ref="W1674">HLOOKUP($J1674,'Type Chart'!$C$2:$T$20,4,false)*HLOOKUP($K1674,'Type Chart'!$C$2:$U$20,4,false)</f>
        <v>1</v>
      </c>
      <c r="X1674" s="960">
        <f t="array" ref="X1674">HLOOKUP($J1674,'Type Chart'!$C$2:$T$20,5,false)*HLOOKUP($K1674,'Type Chart'!$C$2:$U$20,5,false)</f>
        <v>1</v>
      </c>
      <c r="Y1674" s="960">
        <f t="array" ref="Y1674">HLOOKUP($J1674,'Type Chart'!$C$2:$T$20,6,false)*HLOOKUP($K1674,'Type Chart'!$C$2:$U$20,6,false)</f>
        <v>1</v>
      </c>
      <c r="Z1674" s="960">
        <f t="array" ref="Z1674">HLOOKUP($J1674,'Type Chart'!$C$2:$T$20,7,false)*HLOOKUP($K1674,'Type Chart'!$C$2:$U$20,7,false)</f>
        <v>1</v>
      </c>
      <c r="AA1674" s="960">
        <f t="array" ref="AA1674">HLOOKUP($J1674,'Type Chart'!$C$2:$T$20,8,false)*HLOOKUP($K1674,'Type Chart'!$C$2:$U$20,8,false)</f>
        <v>2</v>
      </c>
      <c r="AB1674" s="960">
        <f t="array" ref="AB1674">HLOOKUP($J1674,'Type Chart'!$C$2:$T$20,9,false)*HLOOKUP($K1674,'Type Chart'!$C$2:$U$20,9,false)</f>
        <v>0.5</v>
      </c>
      <c r="AC1674" s="960">
        <f t="array" ref="AC1674">HLOOKUP($J1674,'Type Chart'!$C$2:$T$20,10,false)*HLOOKUP($K1674,'Type Chart'!$C$2:$U$20,10,false)</f>
        <v>0.5</v>
      </c>
      <c r="AD1674" s="960">
        <f t="array" ref="AD1674">HLOOKUP($J1674,'Type Chart'!$C$2:$T$20,11,false)*HLOOKUP($K1674,'Type Chart'!$C$2:$U$20,11,false)</f>
        <v>0.5</v>
      </c>
      <c r="AE1674" s="960">
        <f t="array" ref="AE1674">HLOOKUP($J1674,'Type Chart'!$C$2:$T$20,12,false)*HLOOKUP($K1674,'Type Chart'!$C$2:$U$20,12,false)</f>
        <v>0.5</v>
      </c>
      <c r="AF1674" s="960">
        <f t="array" ref="AF1674">HLOOKUP($J1674,'Type Chart'!$C$2:$T$20,13,false)*HLOOKUP($K1674,'Type Chart'!$C$2:$U$20,13,false)</f>
        <v>2</v>
      </c>
      <c r="AG1674" s="960">
        <f t="array" ref="AG1674">HLOOKUP($J1674,'Type Chart'!$C$2:$T$20,14,false)*HLOOKUP($K1674,'Type Chart'!$C$2:$U$20,14,false)</f>
        <v>2</v>
      </c>
      <c r="AH1674" s="960">
        <f t="array" ref="AH1674">HLOOKUP($J1674,'Type Chart'!$C$2:$T$20,15,false)*HLOOKUP($K1674,'Type Chart'!$C$2:$U$20,15,false)</f>
        <v>0</v>
      </c>
      <c r="AI1674" s="960">
        <f t="array" ref="AI1674">HLOOKUP($J1674,'Type Chart'!$C$2:$T$20,16,false)*HLOOKUP($K1674,'Type Chart'!$C$2:$U$20,16,false)</f>
        <v>0.5</v>
      </c>
      <c r="AJ1674" s="960">
        <f t="array" ref="AJ1674">HLOOKUP($J1674,'Type Chart'!$C$2:$T$20,17,false)*HLOOKUP($K1674,'Type Chart'!$C$2:$U$20,17,false)</f>
        <v>1</v>
      </c>
      <c r="AK1674" s="960">
        <f t="array" ref="AK1674">HLOOKUP($J1674,'Type Chart'!$C$2:$T$20,18,false)*HLOOKUP($K1674,'Type Chart'!$C$2:$U$20,18,false)</f>
        <v>0.5</v>
      </c>
      <c r="AL1674" s="960">
        <f t="array" ref="AL1674">HLOOKUP($J1674,'Type Chart'!$C$2:$T$20,19,false)*HLOOKUP($K1674,'Type Chart'!$C$2:$U$20,19,false)</f>
        <v>2</v>
      </c>
      <c r="AM1674" s="964" t="s">
        <v>2205</v>
      </c>
      <c r="AN1674" s="965"/>
      <c r="AO1674" s="966"/>
      <c r="AP1674" s="936"/>
      <c r="AQ1674" s="1245"/>
      <c r="AR1674" s="1245"/>
      <c r="AS1674" s="936"/>
    </row>
    <row r="1675" ht="15.75" customHeight="1">
      <c r="A1675" s="1099"/>
      <c r="B1675" s="948" t="s">
        <v>2206</v>
      </c>
      <c r="C1675" s="1197" t="s">
        <v>2207</v>
      </c>
      <c r="D1675" s="1197" t="s">
        <v>2207</v>
      </c>
      <c r="E1675" s="1147" t="s">
        <v>2207</v>
      </c>
      <c r="F1675" s="940"/>
      <c r="G1675" s="953"/>
      <c r="H1675" s="969"/>
      <c r="I1675" s="998" t="s">
        <v>4776</v>
      </c>
      <c r="J1675" s="1056" t="s">
        <v>81</v>
      </c>
      <c r="K1675" s="984" t="s">
        <v>216</v>
      </c>
      <c r="L1675" s="959">
        <v>130.0</v>
      </c>
      <c r="M1675" s="960">
        <v>70.0</v>
      </c>
      <c r="N1675" s="960">
        <v>35.0</v>
      </c>
      <c r="O1675" s="960">
        <v>70.0</v>
      </c>
      <c r="P1675" s="960">
        <v>35.0</v>
      </c>
      <c r="Q1675" s="960">
        <v>60.0</v>
      </c>
      <c r="R1675" s="960">
        <v>156.0</v>
      </c>
      <c r="S1675" s="960">
        <v>219.0</v>
      </c>
      <c r="T1675" s="960">
        <v>240.0</v>
      </c>
      <c r="U1675" s="960">
        <f t="array" ref="U1675">HLOOKUP($J1675,'Type Chart'!$C$2:$T$20,2,false)*HLOOKUP($K1675,'Type Chart'!$C$2:$U$20,2,false)</f>
        <v>1</v>
      </c>
      <c r="V1675" s="960">
        <f t="array" ref="V1675">HLOOKUP($J1675,'Type Chart'!$C$2:$T$20,3,false)*HLOOKUP($K1675,'Type Chart'!$C$2:$U$20,3,false)</f>
        <v>1</v>
      </c>
      <c r="W1675" s="960">
        <f t="array" ref="W1675">HLOOKUP($J1675,'Type Chart'!$C$2:$T$20,4,false)*HLOOKUP($K1675,'Type Chart'!$C$2:$U$20,4,false)</f>
        <v>1</v>
      </c>
      <c r="X1675" s="960">
        <f t="array" ref="X1675">HLOOKUP($J1675,'Type Chart'!$C$2:$T$20,5,false)*HLOOKUP($K1675,'Type Chart'!$C$2:$U$20,5,false)</f>
        <v>1</v>
      </c>
      <c r="Y1675" s="960">
        <f t="array" ref="Y1675">HLOOKUP($J1675,'Type Chart'!$C$2:$T$20,6,false)*HLOOKUP($K1675,'Type Chart'!$C$2:$U$20,6,false)</f>
        <v>1</v>
      </c>
      <c r="Z1675" s="960">
        <f t="array" ref="Z1675">HLOOKUP($J1675,'Type Chart'!$C$2:$T$20,7,false)*HLOOKUP($K1675,'Type Chart'!$C$2:$U$20,7,false)</f>
        <v>1</v>
      </c>
      <c r="AA1675" s="960">
        <f t="array" ref="AA1675">HLOOKUP($J1675,'Type Chart'!$C$2:$T$20,8,false)*HLOOKUP($K1675,'Type Chart'!$C$2:$U$20,8,false)</f>
        <v>1</v>
      </c>
      <c r="AB1675" s="960">
        <f t="array" ref="AB1675">HLOOKUP($J1675,'Type Chart'!$C$2:$T$20,9,false)*HLOOKUP($K1675,'Type Chart'!$C$2:$U$20,9,false)</f>
        <v>1</v>
      </c>
      <c r="AC1675" s="960">
        <f t="array" ref="AC1675">HLOOKUP($J1675,'Type Chart'!$C$2:$T$20,10,false)*HLOOKUP($K1675,'Type Chart'!$C$2:$U$20,10,false)</f>
        <v>0.5</v>
      </c>
      <c r="AD1675" s="960">
        <f t="array" ref="AD1675">HLOOKUP($J1675,'Type Chart'!$C$2:$T$20,11,false)*HLOOKUP($K1675,'Type Chart'!$C$2:$U$20,11,false)</f>
        <v>0.5</v>
      </c>
      <c r="AE1675" s="960">
        <f t="array" ref="AE1675">HLOOKUP($J1675,'Type Chart'!$C$2:$T$20,12,false)*HLOOKUP($K1675,'Type Chart'!$C$2:$U$20,12,false)</f>
        <v>0.5</v>
      </c>
      <c r="AF1675" s="960">
        <f t="array" ref="AF1675">HLOOKUP($J1675,'Type Chart'!$C$2:$T$20,13,false)*HLOOKUP($K1675,'Type Chart'!$C$2:$U$20,13,false)</f>
        <v>2</v>
      </c>
      <c r="AG1675" s="960">
        <f t="array" ref="AG1675">HLOOKUP($J1675,'Type Chart'!$C$2:$T$20,14,false)*HLOOKUP($K1675,'Type Chart'!$C$2:$U$20,14,false)</f>
        <v>2</v>
      </c>
      <c r="AH1675" s="960">
        <f t="array" ref="AH1675">HLOOKUP($J1675,'Type Chart'!$C$2:$T$20,15,false)*HLOOKUP($K1675,'Type Chart'!$C$2:$U$20,15,false)</f>
        <v>1</v>
      </c>
      <c r="AI1675" s="960">
        <f t="array" ref="AI1675">HLOOKUP($J1675,'Type Chart'!$C$2:$T$20,16,false)*HLOOKUP($K1675,'Type Chart'!$C$2:$U$20,16,false)</f>
        <v>0.5</v>
      </c>
      <c r="AJ1675" s="960">
        <f t="array" ref="AJ1675">HLOOKUP($J1675,'Type Chart'!$C$2:$T$20,17,false)*HLOOKUP($K1675,'Type Chart'!$C$2:$U$20,17,false)</f>
        <v>1</v>
      </c>
      <c r="AK1675" s="960">
        <f t="array" ref="AK1675">HLOOKUP($J1675,'Type Chart'!$C$2:$T$20,18,false)*HLOOKUP($K1675,'Type Chart'!$C$2:$U$20,18,false)</f>
        <v>1</v>
      </c>
      <c r="AL1675" s="960">
        <f t="array" ref="AL1675">HLOOKUP($J1675,'Type Chart'!$C$2:$T$20,19,false)*HLOOKUP($K1675,'Type Chart'!$C$2:$U$20,19,false)</f>
        <v>1</v>
      </c>
      <c r="AM1675" s="964" t="s">
        <v>1542</v>
      </c>
      <c r="AN1675" s="965" t="s">
        <v>1369</v>
      </c>
      <c r="AO1675" s="966" t="s">
        <v>1636</v>
      </c>
      <c r="AP1675" s="936"/>
      <c r="AQ1675" s="1245"/>
      <c r="AR1675" s="1245"/>
      <c r="AS1675" s="936"/>
    </row>
    <row r="1676" ht="15.75" customHeight="1">
      <c r="A1676" s="1099"/>
      <c r="B1676" s="948" t="s">
        <v>2209</v>
      </c>
      <c r="C1676" s="1197" t="s">
        <v>2210</v>
      </c>
      <c r="D1676" s="1197" t="s">
        <v>2210</v>
      </c>
      <c r="E1676" s="1147" t="s">
        <v>2210</v>
      </c>
      <c r="F1676" s="940"/>
      <c r="G1676" s="953"/>
      <c r="H1676" s="969"/>
      <c r="I1676" s="998" t="s">
        <v>4777</v>
      </c>
      <c r="J1676" s="1211" t="s">
        <v>81</v>
      </c>
      <c r="K1676" s="1199" t="s">
        <v>216</v>
      </c>
      <c r="L1676" s="1200">
        <v>170.0</v>
      </c>
      <c r="M1676" s="1201">
        <v>90.0</v>
      </c>
      <c r="N1676" s="1201">
        <v>45.0</v>
      </c>
      <c r="O1676" s="1201">
        <v>90.0</v>
      </c>
      <c r="P1676" s="1201">
        <v>45.0</v>
      </c>
      <c r="Q1676" s="1201">
        <v>60.0</v>
      </c>
      <c r="R1676" s="960">
        <v>156.0</v>
      </c>
      <c r="S1676" s="960">
        <v>219.0</v>
      </c>
      <c r="T1676" s="960">
        <v>240.0</v>
      </c>
      <c r="U1676" s="960">
        <f t="array" ref="U1676">HLOOKUP($J1676,'Type Chart'!$C$2:$T$20,2,false)*HLOOKUP($K1676,'Type Chart'!$C$2:$U$20,2,false)</f>
        <v>1</v>
      </c>
      <c r="V1676" s="960">
        <f t="array" ref="V1676">HLOOKUP($J1676,'Type Chart'!$C$2:$T$20,3,false)*HLOOKUP($K1676,'Type Chart'!$C$2:$U$20,3,false)</f>
        <v>1</v>
      </c>
      <c r="W1676" s="960">
        <f t="array" ref="W1676">HLOOKUP($J1676,'Type Chart'!$C$2:$T$20,4,false)*HLOOKUP($K1676,'Type Chart'!$C$2:$U$20,4,false)</f>
        <v>1</v>
      </c>
      <c r="X1676" s="960">
        <f t="array" ref="X1676">HLOOKUP($J1676,'Type Chart'!$C$2:$T$20,5,false)*HLOOKUP($K1676,'Type Chart'!$C$2:$U$20,5,false)</f>
        <v>1</v>
      </c>
      <c r="Y1676" s="960">
        <f t="array" ref="Y1676">HLOOKUP($J1676,'Type Chart'!$C$2:$T$20,6,false)*HLOOKUP($K1676,'Type Chart'!$C$2:$U$20,6,false)</f>
        <v>1</v>
      </c>
      <c r="Z1676" s="960">
        <f t="array" ref="Z1676">HLOOKUP($J1676,'Type Chart'!$C$2:$T$20,7,false)*HLOOKUP($K1676,'Type Chart'!$C$2:$U$20,7,false)</f>
        <v>1</v>
      </c>
      <c r="AA1676" s="960">
        <f t="array" ref="AA1676">HLOOKUP($J1676,'Type Chart'!$C$2:$T$20,8,false)*HLOOKUP($K1676,'Type Chart'!$C$2:$U$20,8,false)</f>
        <v>1</v>
      </c>
      <c r="AB1676" s="960">
        <f t="array" ref="AB1676">HLOOKUP($J1676,'Type Chart'!$C$2:$T$20,9,false)*HLOOKUP($K1676,'Type Chart'!$C$2:$U$20,9,false)</f>
        <v>1</v>
      </c>
      <c r="AC1676" s="960">
        <f t="array" ref="AC1676">HLOOKUP($J1676,'Type Chart'!$C$2:$T$20,10,false)*HLOOKUP($K1676,'Type Chart'!$C$2:$U$20,10,false)</f>
        <v>0.5</v>
      </c>
      <c r="AD1676" s="960">
        <f t="array" ref="AD1676">HLOOKUP($J1676,'Type Chart'!$C$2:$T$20,11,false)*HLOOKUP($K1676,'Type Chart'!$C$2:$U$20,11,false)</f>
        <v>0.5</v>
      </c>
      <c r="AE1676" s="960">
        <f t="array" ref="AE1676">HLOOKUP($J1676,'Type Chart'!$C$2:$T$20,12,false)*HLOOKUP($K1676,'Type Chart'!$C$2:$U$20,12,false)</f>
        <v>0.5</v>
      </c>
      <c r="AF1676" s="960">
        <f t="array" ref="AF1676">HLOOKUP($J1676,'Type Chart'!$C$2:$T$20,13,false)*HLOOKUP($K1676,'Type Chart'!$C$2:$U$20,13,false)</f>
        <v>2</v>
      </c>
      <c r="AG1676" s="960">
        <f t="array" ref="AG1676">HLOOKUP($J1676,'Type Chart'!$C$2:$T$20,14,false)*HLOOKUP($K1676,'Type Chart'!$C$2:$U$20,14,false)</f>
        <v>2</v>
      </c>
      <c r="AH1676" s="960">
        <f t="array" ref="AH1676">HLOOKUP($J1676,'Type Chart'!$C$2:$T$20,15,false)*HLOOKUP($K1676,'Type Chart'!$C$2:$U$20,15,false)</f>
        <v>1</v>
      </c>
      <c r="AI1676" s="960">
        <f t="array" ref="AI1676">HLOOKUP($J1676,'Type Chart'!$C$2:$T$20,16,false)*HLOOKUP($K1676,'Type Chart'!$C$2:$U$20,16,false)</f>
        <v>0.5</v>
      </c>
      <c r="AJ1676" s="960">
        <f t="array" ref="AJ1676">HLOOKUP($J1676,'Type Chart'!$C$2:$T$20,17,false)*HLOOKUP($K1676,'Type Chart'!$C$2:$U$20,17,false)</f>
        <v>1</v>
      </c>
      <c r="AK1676" s="960">
        <f t="array" ref="AK1676">HLOOKUP($J1676,'Type Chart'!$C$2:$T$20,18,false)*HLOOKUP($K1676,'Type Chart'!$C$2:$U$20,18,false)</f>
        <v>1</v>
      </c>
      <c r="AL1676" s="960">
        <f t="array" ref="AL1676">HLOOKUP($J1676,'Type Chart'!$C$2:$T$20,19,false)*HLOOKUP($K1676,'Type Chart'!$C$2:$U$20,19,false)</f>
        <v>1</v>
      </c>
      <c r="AM1676" s="1145" t="s">
        <v>1542</v>
      </c>
      <c r="AN1676" s="965" t="s">
        <v>1369</v>
      </c>
      <c r="AO1676" s="966" t="s">
        <v>1636</v>
      </c>
      <c r="AP1676" s="936"/>
      <c r="AQ1676" s="1245"/>
      <c r="AR1676" s="1245"/>
      <c r="AS1676" s="936"/>
    </row>
    <row r="1677" ht="15.75" customHeight="1">
      <c r="A1677" s="1099"/>
      <c r="B1677" s="948" t="s">
        <v>2212</v>
      </c>
      <c r="C1677" s="1197" t="s">
        <v>2213</v>
      </c>
      <c r="D1677" s="1197" t="s">
        <v>2213</v>
      </c>
      <c r="E1677" s="1147" t="s">
        <v>2213</v>
      </c>
      <c r="F1677" s="940"/>
      <c r="G1677" s="953"/>
      <c r="H1677" s="969"/>
      <c r="I1677" s="998" t="s">
        <v>4778</v>
      </c>
      <c r="J1677" s="982" t="s">
        <v>150</v>
      </c>
      <c r="K1677" s="1204" t="s">
        <v>80</v>
      </c>
      <c r="L1677" s="959">
        <v>60.0</v>
      </c>
      <c r="M1677" s="960">
        <v>60.0</v>
      </c>
      <c r="N1677" s="960">
        <v>40.0</v>
      </c>
      <c r="O1677" s="960">
        <v>65.0</v>
      </c>
      <c r="P1677" s="960">
        <v>45.0</v>
      </c>
      <c r="Q1677" s="960">
        <v>35.0</v>
      </c>
      <c r="R1677" s="960">
        <v>106.0</v>
      </c>
      <c r="S1677" s="960">
        <v>169.0</v>
      </c>
      <c r="T1677" s="960">
        <v>185.0</v>
      </c>
      <c r="U1677" s="960">
        <f t="array" ref="U1677">HLOOKUP($J1677,'Type Chart'!$C$2:$T$20,2,false)*HLOOKUP($K1677,'Type Chart'!$C$2:$U$20,2,false)</f>
        <v>1</v>
      </c>
      <c r="V1677" s="960">
        <f t="array" ref="V1677">HLOOKUP($J1677,'Type Chart'!$C$2:$T$20,3,false)*HLOOKUP($K1677,'Type Chart'!$C$2:$U$20,3,false)</f>
        <v>1</v>
      </c>
      <c r="W1677" s="960">
        <f t="array" ref="W1677">HLOOKUP($J1677,'Type Chart'!$C$2:$T$20,4,false)*HLOOKUP($K1677,'Type Chart'!$C$2:$U$20,4,false)</f>
        <v>1</v>
      </c>
      <c r="X1677" s="960">
        <f t="array" ref="X1677">HLOOKUP($J1677,'Type Chart'!$C$2:$T$20,5,false)*HLOOKUP($K1677,'Type Chart'!$C$2:$U$20,5,false)</f>
        <v>0.5</v>
      </c>
      <c r="Y1677" s="960">
        <f t="array" ref="Y1677">HLOOKUP($J1677,'Type Chart'!$C$2:$T$20,6,false)*HLOOKUP($K1677,'Type Chart'!$C$2:$U$20,6,false)</f>
        <v>2</v>
      </c>
      <c r="Z1677" s="960">
        <f t="array" ref="Z1677">HLOOKUP($J1677,'Type Chart'!$C$2:$T$20,7,false)*HLOOKUP($K1677,'Type Chart'!$C$2:$U$20,7,false)</f>
        <v>1</v>
      </c>
      <c r="AA1677" s="960">
        <f t="array" ref="AA1677">HLOOKUP($J1677,'Type Chart'!$C$2:$T$20,8,false)*HLOOKUP($K1677,'Type Chart'!$C$2:$U$20,8,false)</f>
        <v>0.5</v>
      </c>
      <c r="AB1677" s="960">
        <f t="array" ref="AB1677">HLOOKUP($J1677,'Type Chart'!$C$2:$T$20,9,false)*HLOOKUP($K1677,'Type Chart'!$C$2:$U$20,9,false)</f>
        <v>1</v>
      </c>
      <c r="AC1677" s="960">
        <f t="array" ref="AC1677">HLOOKUP($J1677,'Type Chart'!$C$2:$T$20,10,false)*HLOOKUP($K1677,'Type Chart'!$C$2:$U$20,10,false)</f>
        <v>0.5</v>
      </c>
      <c r="AD1677" s="960">
        <f t="array" ref="AD1677">HLOOKUP($J1677,'Type Chart'!$C$2:$T$20,11,false)*HLOOKUP($K1677,'Type Chart'!$C$2:$U$20,11,false)</f>
        <v>0.5</v>
      </c>
      <c r="AE1677" s="960">
        <f t="array" ref="AE1677">HLOOKUP($J1677,'Type Chart'!$C$2:$T$20,12,false)*HLOOKUP($K1677,'Type Chart'!$C$2:$U$20,12,false)</f>
        <v>4</v>
      </c>
      <c r="AF1677" s="960">
        <f t="array" ref="AF1677">HLOOKUP($J1677,'Type Chart'!$C$2:$T$20,13,false)*HLOOKUP($K1677,'Type Chart'!$C$2:$U$20,13,false)</f>
        <v>1</v>
      </c>
      <c r="AG1677" s="960">
        <f t="array" ref="AG1677">HLOOKUP($J1677,'Type Chart'!$C$2:$T$20,14,false)*HLOOKUP($K1677,'Type Chart'!$C$2:$U$20,14,false)</f>
        <v>0</v>
      </c>
      <c r="AH1677" s="960">
        <f t="array" ref="AH1677">HLOOKUP($J1677,'Type Chart'!$C$2:$T$20,15,false)*HLOOKUP($K1677,'Type Chart'!$C$2:$U$20,15,false)</f>
        <v>1</v>
      </c>
      <c r="AI1677" s="960">
        <f t="array" ref="AI1677">HLOOKUP($J1677,'Type Chart'!$C$2:$T$20,16,false)*HLOOKUP($K1677,'Type Chart'!$C$2:$U$20,16,false)</f>
        <v>1</v>
      </c>
      <c r="AJ1677" s="960">
        <f t="array" ref="AJ1677">HLOOKUP($J1677,'Type Chart'!$C$2:$T$20,17,false)*HLOOKUP($K1677,'Type Chart'!$C$2:$U$20,17,false)</f>
        <v>1</v>
      </c>
      <c r="AK1677" s="960">
        <f t="array" ref="AK1677">HLOOKUP($J1677,'Type Chart'!$C$2:$T$20,18,false)*HLOOKUP($K1677,'Type Chart'!$C$2:$U$20,18,false)</f>
        <v>1</v>
      </c>
      <c r="AL1677" s="960">
        <f t="array" ref="AL1677">HLOOKUP($J1677,'Type Chart'!$C$2:$T$20,19,false)*HLOOKUP($K1677,'Type Chart'!$C$2:$U$20,19,false)</f>
        <v>0.5</v>
      </c>
      <c r="AM1677" s="964" t="s">
        <v>1369</v>
      </c>
      <c r="AN1677" s="965" t="s">
        <v>2215</v>
      </c>
      <c r="AO1677" s="966" t="s">
        <v>1370</v>
      </c>
      <c r="AP1677" s="936"/>
      <c r="AQ1677" s="1245"/>
      <c r="AR1677" s="1245"/>
      <c r="AS1677" s="936"/>
    </row>
    <row r="1678" ht="15.75" customHeight="1">
      <c r="A1678" s="1099"/>
      <c r="B1678" s="948" t="s">
        <v>2216</v>
      </c>
      <c r="C1678" s="1197" t="s">
        <v>2217</v>
      </c>
      <c r="D1678" s="1197" t="s">
        <v>2217</v>
      </c>
      <c r="E1678" s="1147" t="s">
        <v>2217</v>
      </c>
      <c r="F1678" s="940"/>
      <c r="G1678" s="953"/>
      <c r="H1678" s="969"/>
      <c r="I1678" s="998" t="s">
        <v>4779</v>
      </c>
      <c r="J1678" s="1208" t="s">
        <v>150</v>
      </c>
      <c r="K1678" s="1223" t="s">
        <v>80</v>
      </c>
      <c r="L1678" s="1200">
        <v>70.0</v>
      </c>
      <c r="M1678" s="1201">
        <v>100.0</v>
      </c>
      <c r="N1678" s="1201">
        <v>70.0</v>
      </c>
      <c r="O1678" s="1201">
        <v>105.0</v>
      </c>
      <c r="P1678" s="1201">
        <v>75.0</v>
      </c>
      <c r="Q1678" s="1201">
        <v>40.0</v>
      </c>
      <c r="R1678" s="960">
        <v>116.0</v>
      </c>
      <c r="S1678" s="960">
        <v>179.0</v>
      </c>
      <c r="T1678" s="960">
        <v>196.0</v>
      </c>
      <c r="U1678" s="960">
        <f t="array" ref="U1678">HLOOKUP($J1678,'Type Chart'!$C$2:$T$20,2,false)*HLOOKUP($K1678,'Type Chart'!$C$2:$U$20,2,false)</f>
        <v>1</v>
      </c>
      <c r="V1678" s="960">
        <f t="array" ref="V1678">HLOOKUP($J1678,'Type Chart'!$C$2:$T$20,3,false)*HLOOKUP($K1678,'Type Chart'!$C$2:$U$20,3,false)</f>
        <v>1</v>
      </c>
      <c r="W1678" s="960">
        <f t="array" ref="W1678">HLOOKUP($J1678,'Type Chart'!$C$2:$T$20,4,false)*HLOOKUP($K1678,'Type Chart'!$C$2:$U$20,4,false)</f>
        <v>1</v>
      </c>
      <c r="X1678" s="960">
        <f t="array" ref="X1678">HLOOKUP($J1678,'Type Chart'!$C$2:$T$20,5,false)*HLOOKUP($K1678,'Type Chart'!$C$2:$U$20,5,false)</f>
        <v>0.5</v>
      </c>
      <c r="Y1678" s="960">
        <f t="array" ref="Y1678">HLOOKUP($J1678,'Type Chart'!$C$2:$T$20,6,false)*HLOOKUP($K1678,'Type Chart'!$C$2:$U$20,6,false)</f>
        <v>2</v>
      </c>
      <c r="Z1678" s="960">
        <f t="array" ref="Z1678">HLOOKUP($J1678,'Type Chart'!$C$2:$T$20,7,false)*HLOOKUP($K1678,'Type Chart'!$C$2:$U$20,7,false)</f>
        <v>1</v>
      </c>
      <c r="AA1678" s="960">
        <f t="array" ref="AA1678">HLOOKUP($J1678,'Type Chart'!$C$2:$T$20,8,false)*HLOOKUP($K1678,'Type Chart'!$C$2:$U$20,8,false)</f>
        <v>0.5</v>
      </c>
      <c r="AB1678" s="960">
        <f t="array" ref="AB1678">HLOOKUP($J1678,'Type Chart'!$C$2:$T$20,9,false)*HLOOKUP($K1678,'Type Chart'!$C$2:$U$20,9,false)</f>
        <v>1</v>
      </c>
      <c r="AC1678" s="960">
        <f t="array" ref="AC1678">HLOOKUP($J1678,'Type Chart'!$C$2:$T$20,10,false)*HLOOKUP($K1678,'Type Chart'!$C$2:$U$20,10,false)</f>
        <v>0.5</v>
      </c>
      <c r="AD1678" s="960">
        <f t="array" ref="AD1678">HLOOKUP($J1678,'Type Chart'!$C$2:$T$20,11,false)*HLOOKUP($K1678,'Type Chart'!$C$2:$U$20,11,false)</f>
        <v>0.5</v>
      </c>
      <c r="AE1678" s="960">
        <f t="array" ref="AE1678">HLOOKUP($J1678,'Type Chart'!$C$2:$T$20,12,false)*HLOOKUP($K1678,'Type Chart'!$C$2:$U$20,12,false)</f>
        <v>4</v>
      </c>
      <c r="AF1678" s="960">
        <f t="array" ref="AF1678">HLOOKUP($J1678,'Type Chart'!$C$2:$T$20,13,false)*HLOOKUP($K1678,'Type Chart'!$C$2:$U$20,13,false)</f>
        <v>1</v>
      </c>
      <c r="AG1678" s="960">
        <f t="array" ref="AG1678">HLOOKUP($J1678,'Type Chart'!$C$2:$T$20,14,false)*HLOOKUP($K1678,'Type Chart'!$C$2:$U$20,14,false)</f>
        <v>0</v>
      </c>
      <c r="AH1678" s="960">
        <f t="array" ref="AH1678">HLOOKUP($J1678,'Type Chart'!$C$2:$T$20,15,false)*HLOOKUP($K1678,'Type Chart'!$C$2:$U$20,15,false)</f>
        <v>1</v>
      </c>
      <c r="AI1678" s="960">
        <f t="array" ref="AI1678">HLOOKUP($J1678,'Type Chart'!$C$2:$T$20,16,false)*HLOOKUP($K1678,'Type Chart'!$C$2:$U$20,16,false)</f>
        <v>1</v>
      </c>
      <c r="AJ1678" s="960">
        <f t="array" ref="AJ1678">HLOOKUP($J1678,'Type Chart'!$C$2:$T$20,17,false)*HLOOKUP($K1678,'Type Chart'!$C$2:$U$20,17,false)</f>
        <v>1</v>
      </c>
      <c r="AK1678" s="960">
        <f t="array" ref="AK1678">HLOOKUP($J1678,'Type Chart'!$C$2:$T$20,18,false)*HLOOKUP($K1678,'Type Chart'!$C$2:$U$20,18,false)</f>
        <v>1</v>
      </c>
      <c r="AL1678" s="960">
        <f t="array" ref="AL1678">HLOOKUP($J1678,'Type Chart'!$C$2:$T$20,19,false)*HLOOKUP($K1678,'Type Chart'!$C$2:$U$20,19,false)</f>
        <v>0.5</v>
      </c>
      <c r="AM1678" s="1145" t="s">
        <v>1880</v>
      </c>
      <c r="AN1678" s="1202" t="s">
        <v>2218</v>
      </c>
      <c r="AO1678" s="1146" t="s">
        <v>1266</v>
      </c>
      <c r="AP1678" s="936"/>
      <c r="AQ1678" s="1245"/>
      <c r="AR1678" s="1245"/>
      <c r="AS1678" s="936"/>
    </row>
    <row r="1679" ht="15.75" customHeight="1">
      <c r="A1679" s="1099"/>
      <c r="B1679" s="948" t="s">
        <v>2219</v>
      </c>
      <c r="C1679" s="1197" t="s">
        <v>2220</v>
      </c>
      <c r="D1679" s="1197" t="s">
        <v>2220</v>
      </c>
      <c r="E1679" s="1147" t="s">
        <v>2220</v>
      </c>
      <c r="F1679" s="940"/>
      <c r="G1679" s="953"/>
      <c r="H1679" s="969"/>
      <c r="I1679" s="998" t="s">
        <v>4780</v>
      </c>
      <c r="J1679" s="1208" t="s">
        <v>150</v>
      </c>
      <c r="K1679" s="1223" t="s">
        <v>80</v>
      </c>
      <c r="L1679" s="1200">
        <v>70.0</v>
      </c>
      <c r="M1679" s="1201">
        <v>120.0</v>
      </c>
      <c r="N1679" s="1201">
        <v>100.0</v>
      </c>
      <c r="O1679" s="1201">
        <v>145.0</v>
      </c>
      <c r="P1679" s="1201">
        <v>105.0</v>
      </c>
      <c r="Q1679" s="1201">
        <v>20.0</v>
      </c>
      <c r="R1679" s="960">
        <v>76.0</v>
      </c>
      <c r="S1679" s="960">
        <v>139.0</v>
      </c>
      <c r="T1679" s="960">
        <v>152.0</v>
      </c>
      <c r="U1679" s="960">
        <f t="array" ref="U1679">HLOOKUP($J1679,'Type Chart'!$C$2:$T$20,2,false)*HLOOKUP($K1679,'Type Chart'!$C$2:$U$20,2,false)</f>
        <v>1</v>
      </c>
      <c r="V1679" s="960">
        <f t="array" ref="V1679">HLOOKUP($J1679,'Type Chart'!$C$2:$T$20,3,false)*HLOOKUP($K1679,'Type Chart'!$C$2:$U$20,3,false)</f>
        <v>1</v>
      </c>
      <c r="W1679" s="960">
        <f t="array" ref="W1679">HLOOKUP($J1679,'Type Chart'!$C$2:$T$20,4,false)*HLOOKUP($K1679,'Type Chart'!$C$2:$U$20,4,false)</f>
        <v>1</v>
      </c>
      <c r="X1679" s="960">
        <f t="array" ref="X1679">HLOOKUP($J1679,'Type Chart'!$C$2:$T$20,5,false)*HLOOKUP($K1679,'Type Chart'!$C$2:$U$20,5,false)</f>
        <v>0.5</v>
      </c>
      <c r="Y1679" s="960">
        <f t="array" ref="Y1679">HLOOKUP($J1679,'Type Chart'!$C$2:$T$20,6,false)*HLOOKUP($K1679,'Type Chart'!$C$2:$U$20,6,false)</f>
        <v>2</v>
      </c>
      <c r="Z1679" s="960">
        <f t="array" ref="Z1679">HLOOKUP($J1679,'Type Chart'!$C$2:$T$20,7,false)*HLOOKUP($K1679,'Type Chart'!$C$2:$U$20,7,false)</f>
        <v>1</v>
      </c>
      <c r="AA1679" s="960">
        <f t="array" ref="AA1679">HLOOKUP($J1679,'Type Chart'!$C$2:$T$20,8,false)*HLOOKUP($K1679,'Type Chart'!$C$2:$U$20,8,false)</f>
        <v>0.5</v>
      </c>
      <c r="AB1679" s="960">
        <f t="array" ref="AB1679">HLOOKUP($J1679,'Type Chart'!$C$2:$T$20,9,false)*HLOOKUP($K1679,'Type Chart'!$C$2:$U$20,9,false)</f>
        <v>1</v>
      </c>
      <c r="AC1679" s="960">
        <f t="array" ref="AC1679">HLOOKUP($J1679,'Type Chart'!$C$2:$T$20,10,false)*HLOOKUP($K1679,'Type Chart'!$C$2:$U$20,10,false)</f>
        <v>0.5</v>
      </c>
      <c r="AD1679" s="960">
        <f t="array" ref="AD1679">HLOOKUP($J1679,'Type Chart'!$C$2:$T$20,11,false)*HLOOKUP($K1679,'Type Chart'!$C$2:$U$20,11,false)</f>
        <v>0.5</v>
      </c>
      <c r="AE1679" s="960">
        <f t="array" ref="AE1679">HLOOKUP($J1679,'Type Chart'!$C$2:$T$20,12,false)*HLOOKUP($K1679,'Type Chart'!$C$2:$U$20,12,false)</f>
        <v>4</v>
      </c>
      <c r="AF1679" s="960">
        <f t="array" ref="AF1679">HLOOKUP($J1679,'Type Chart'!$C$2:$T$20,13,false)*HLOOKUP($K1679,'Type Chart'!$C$2:$U$20,13,false)</f>
        <v>1</v>
      </c>
      <c r="AG1679" s="960">
        <f t="array" ref="AG1679">HLOOKUP($J1679,'Type Chart'!$C$2:$T$20,14,false)*HLOOKUP($K1679,'Type Chart'!$C$2:$U$20,14,false)</f>
        <v>0</v>
      </c>
      <c r="AH1679" s="960">
        <f t="array" ref="AH1679">HLOOKUP($J1679,'Type Chart'!$C$2:$T$20,15,false)*HLOOKUP($K1679,'Type Chart'!$C$2:$U$20,15,false)</f>
        <v>1</v>
      </c>
      <c r="AI1679" s="960">
        <f t="array" ref="AI1679">HLOOKUP($J1679,'Type Chart'!$C$2:$T$20,16,false)*HLOOKUP($K1679,'Type Chart'!$C$2:$U$20,16,false)</f>
        <v>1</v>
      </c>
      <c r="AJ1679" s="960">
        <f t="array" ref="AJ1679">HLOOKUP($J1679,'Type Chart'!$C$2:$T$20,17,false)*HLOOKUP($K1679,'Type Chart'!$C$2:$U$20,17,false)</f>
        <v>1</v>
      </c>
      <c r="AK1679" s="960">
        <f t="array" ref="AK1679">HLOOKUP($J1679,'Type Chart'!$C$2:$T$20,18,false)*HLOOKUP($K1679,'Type Chart'!$C$2:$U$20,18,false)</f>
        <v>1</v>
      </c>
      <c r="AL1679" s="960">
        <f t="array" ref="AL1679">HLOOKUP($J1679,'Type Chart'!$C$2:$T$20,19,false)*HLOOKUP($K1679,'Type Chart'!$C$2:$U$20,19,false)</f>
        <v>0.5</v>
      </c>
      <c r="AM1679" s="1145" t="s">
        <v>1153</v>
      </c>
      <c r="AN1679" s="1202"/>
      <c r="AO1679" s="1146"/>
      <c r="AP1679" s="936"/>
      <c r="AQ1679" s="1245"/>
      <c r="AR1679" s="1245"/>
      <c r="AS1679" s="936"/>
    </row>
    <row r="1680" ht="15.75" customHeight="1">
      <c r="A1680" s="1099"/>
      <c r="B1680" s="948" t="s">
        <v>2222</v>
      </c>
      <c r="C1680" s="1197" t="s">
        <v>2223</v>
      </c>
      <c r="D1680" s="1197" t="s">
        <v>2223</v>
      </c>
      <c r="E1680" s="1147" t="s">
        <v>2223</v>
      </c>
      <c r="F1680" s="940"/>
      <c r="G1680" s="953"/>
      <c r="H1680" s="969"/>
      <c r="I1680" s="998" t="s">
        <v>225</v>
      </c>
      <c r="J1680" s="982" t="s">
        <v>150</v>
      </c>
      <c r="K1680" s="984" t="s">
        <v>216</v>
      </c>
      <c r="L1680" s="959">
        <v>70.0</v>
      </c>
      <c r="M1680" s="960">
        <v>85.0</v>
      </c>
      <c r="N1680" s="960">
        <v>140.0</v>
      </c>
      <c r="O1680" s="960">
        <v>85.0</v>
      </c>
      <c r="P1680" s="960">
        <v>70.0</v>
      </c>
      <c r="Q1680" s="960">
        <v>20.0</v>
      </c>
      <c r="R1680" s="960">
        <v>76.0</v>
      </c>
      <c r="S1680" s="960">
        <v>139.0</v>
      </c>
      <c r="T1680" s="960">
        <v>152.0</v>
      </c>
      <c r="U1680" s="960">
        <f t="array" ref="U1680">HLOOKUP($J1680,'Type Chart'!$C$2:$T$20,2,false)*HLOOKUP($K1680,'Type Chart'!$C$2:$U$20,2,false)</f>
        <v>1</v>
      </c>
      <c r="V1680" s="960">
        <f t="array" ref="V1680">HLOOKUP($J1680,'Type Chart'!$C$2:$T$20,3,false)*HLOOKUP($K1680,'Type Chart'!$C$2:$U$20,3,false)</f>
        <v>1</v>
      </c>
      <c r="W1680" s="960">
        <f t="array" ref="W1680">HLOOKUP($J1680,'Type Chart'!$C$2:$T$20,4,false)*HLOOKUP($K1680,'Type Chart'!$C$2:$U$20,4,false)</f>
        <v>1</v>
      </c>
      <c r="X1680" s="960">
        <f t="array" ref="X1680">HLOOKUP($J1680,'Type Chart'!$C$2:$T$20,5,false)*HLOOKUP($K1680,'Type Chart'!$C$2:$U$20,5,false)</f>
        <v>1</v>
      </c>
      <c r="Y1680" s="960">
        <f t="array" ref="Y1680">HLOOKUP($J1680,'Type Chart'!$C$2:$T$20,6,false)*HLOOKUP($K1680,'Type Chart'!$C$2:$U$20,6,false)</f>
        <v>2</v>
      </c>
      <c r="Z1680" s="960">
        <f t="array" ref="Z1680">HLOOKUP($J1680,'Type Chart'!$C$2:$T$20,7,false)*HLOOKUP($K1680,'Type Chart'!$C$2:$U$20,7,false)</f>
        <v>2</v>
      </c>
      <c r="AA1680" s="960">
        <f t="array" ref="AA1680">HLOOKUP($J1680,'Type Chart'!$C$2:$T$20,8,false)*HLOOKUP($K1680,'Type Chart'!$C$2:$U$20,8,false)</f>
        <v>0.5</v>
      </c>
      <c r="AB1680" s="960">
        <f t="array" ref="AB1680">HLOOKUP($J1680,'Type Chart'!$C$2:$T$20,9,false)*HLOOKUP($K1680,'Type Chart'!$C$2:$U$20,9,false)</f>
        <v>1</v>
      </c>
      <c r="AC1680" s="960">
        <f t="array" ref="AC1680">HLOOKUP($J1680,'Type Chart'!$C$2:$T$20,10,false)*HLOOKUP($K1680,'Type Chart'!$C$2:$U$20,10,false)</f>
        <v>0.5</v>
      </c>
      <c r="AD1680" s="960">
        <f t="array" ref="AD1680">HLOOKUP($J1680,'Type Chart'!$C$2:$T$20,11,false)*HLOOKUP($K1680,'Type Chart'!$C$2:$U$20,11,false)</f>
        <v>0.5</v>
      </c>
      <c r="AE1680" s="960">
        <f t="array" ref="AE1680">HLOOKUP($J1680,'Type Chart'!$C$2:$T$20,12,false)*HLOOKUP($K1680,'Type Chart'!$C$2:$U$20,12,false)</f>
        <v>2</v>
      </c>
      <c r="AF1680" s="960">
        <f t="array" ref="AF1680">HLOOKUP($J1680,'Type Chart'!$C$2:$T$20,13,false)*HLOOKUP($K1680,'Type Chart'!$C$2:$U$20,13,false)</f>
        <v>0.5</v>
      </c>
      <c r="AG1680" s="960">
        <f t="array" ref="AG1680">HLOOKUP($J1680,'Type Chart'!$C$2:$T$20,14,false)*HLOOKUP($K1680,'Type Chart'!$C$2:$U$20,14,false)</f>
        <v>1</v>
      </c>
      <c r="AH1680" s="960">
        <f t="array" ref="AH1680">HLOOKUP($J1680,'Type Chart'!$C$2:$T$20,15,false)*HLOOKUP($K1680,'Type Chart'!$C$2:$U$20,15,false)</f>
        <v>1</v>
      </c>
      <c r="AI1680" s="960">
        <f t="array" ref="AI1680">HLOOKUP($J1680,'Type Chart'!$C$2:$T$20,16,false)*HLOOKUP($K1680,'Type Chart'!$C$2:$U$20,16,false)</f>
        <v>0.5</v>
      </c>
      <c r="AJ1680" s="960">
        <f t="array" ref="AJ1680">HLOOKUP($J1680,'Type Chart'!$C$2:$T$20,17,false)*HLOOKUP($K1680,'Type Chart'!$C$2:$U$20,17,false)</f>
        <v>1</v>
      </c>
      <c r="AK1680" s="960">
        <f t="array" ref="AK1680">HLOOKUP($J1680,'Type Chart'!$C$2:$T$20,18,false)*HLOOKUP($K1680,'Type Chart'!$C$2:$U$20,18,false)</f>
        <v>1</v>
      </c>
      <c r="AL1680" s="960">
        <f t="array" ref="AL1680">HLOOKUP($J1680,'Type Chart'!$C$2:$T$20,19,false)*HLOOKUP($K1680,'Type Chart'!$C$2:$U$20,19,false)</f>
        <v>0.5</v>
      </c>
      <c r="AM1680" s="964" t="s">
        <v>2224</v>
      </c>
      <c r="AN1680" s="965" t="s">
        <v>952</v>
      </c>
      <c r="AO1680" s="966" t="s">
        <v>1385</v>
      </c>
      <c r="AP1680" s="936"/>
      <c r="AQ1680" s="1245"/>
      <c r="AR1680" s="1245"/>
      <c r="AS1680" s="936"/>
    </row>
    <row r="1681" ht="15.75" customHeight="1">
      <c r="A1681" s="1099"/>
      <c r="B1681" s="948" t="s">
        <v>2225</v>
      </c>
      <c r="C1681" s="1197" t="s">
        <v>2226</v>
      </c>
      <c r="D1681" s="1197" t="s">
        <v>2226</v>
      </c>
      <c r="E1681" s="1147" t="s">
        <v>2226</v>
      </c>
      <c r="F1681" s="940"/>
      <c r="G1681" s="953"/>
      <c r="H1681" s="969"/>
      <c r="I1681" s="998" t="s">
        <v>4781</v>
      </c>
      <c r="J1681" s="1203" t="s">
        <v>344</v>
      </c>
      <c r="K1681" s="984" t="s">
        <v>216</v>
      </c>
      <c r="L1681" s="959">
        <v>60.0</v>
      </c>
      <c r="M1681" s="960">
        <v>25.0</v>
      </c>
      <c r="N1681" s="960">
        <v>35.0</v>
      </c>
      <c r="O1681" s="960">
        <v>70.0</v>
      </c>
      <c r="P1681" s="960">
        <v>80.0</v>
      </c>
      <c r="Q1681" s="960">
        <v>60.0</v>
      </c>
      <c r="R1681" s="960">
        <v>156.0</v>
      </c>
      <c r="S1681" s="960">
        <v>219.0</v>
      </c>
      <c r="T1681" s="960">
        <v>240.0</v>
      </c>
      <c r="U1681" s="960">
        <f t="array" ref="U1681">HLOOKUP($J1681,'Type Chart'!$C$2:$T$20,2,false)*HLOOKUP($K1681,'Type Chart'!$C$2:$U$20,2,false)</f>
        <v>1</v>
      </c>
      <c r="V1681" s="960">
        <f t="array" ref="V1681">HLOOKUP($J1681,'Type Chart'!$C$2:$T$20,3,false)*HLOOKUP($K1681,'Type Chart'!$C$2:$U$20,3,false)</f>
        <v>0.5</v>
      </c>
      <c r="W1681" s="960">
        <f t="array" ref="W1681">HLOOKUP($J1681,'Type Chart'!$C$2:$T$20,4,false)*HLOOKUP($K1681,'Type Chart'!$C$2:$U$20,4,false)</f>
        <v>1</v>
      </c>
      <c r="X1681" s="960">
        <f t="array" ref="X1681">HLOOKUP($J1681,'Type Chart'!$C$2:$T$20,5,false)*HLOOKUP($K1681,'Type Chart'!$C$2:$U$20,5,false)</f>
        <v>1</v>
      </c>
      <c r="Y1681" s="960">
        <f t="array" ref="Y1681">HLOOKUP($J1681,'Type Chart'!$C$2:$T$20,6,false)*HLOOKUP($K1681,'Type Chart'!$C$2:$U$20,6,false)</f>
        <v>1</v>
      </c>
      <c r="Z1681" s="960">
        <f t="array" ref="Z1681">HLOOKUP($J1681,'Type Chart'!$C$2:$T$20,7,false)*HLOOKUP($K1681,'Type Chart'!$C$2:$U$20,7,false)</f>
        <v>1</v>
      </c>
      <c r="AA1681" s="960">
        <f t="array" ref="AA1681">HLOOKUP($J1681,'Type Chart'!$C$2:$T$20,8,false)*HLOOKUP($K1681,'Type Chart'!$C$2:$U$20,8,false)</f>
        <v>2</v>
      </c>
      <c r="AB1681" s="960">
        <f t="array" ref="AB1681">HLOOKUP($J1681,'Type Chart'!$C$2:$T$20,9,false)*HLOOKUP($K1681,'Type Chart'!$C$2:$U$20,9,false)</f>
        <v>2</v>
      </c>
      <c r="AC1681" s="960">
        <f t="array" ref="AC1681">HLOOKUP($J1681,'Type Chart'!$C$2:$T$20,10,false)*HLOOKUP($K1681,'Type Chart'!$C$2:$U$20,10,false)</f>
        <v>1</v>
      </c>
      <c r="AD1681" s="960">
        <f t="array" ref="AD1681">HLOOKUP($J1681,'Type Chart'!$C$2:$T$20,11,false)*HLOOKUP($K1681,'Type Chart'!$C$2:$U$20,11,false)</f>
        <v>1</v>
      </c>
      <c r="AE1681" s="960">
        <f t="array" ref="AE1681">HLOOKUP($J1681,'Type Chart'!$C$2:$T$20,12,false)*HLOOKUP($K1681,'Type Chart'!$C$2:$U$20,12,false)</f>
        <v>1</v>
      </c>
      <c r="AF1681" s="960">
        <f t="array" ref="AF1681">HLOOKUP($J1681,'Type Chart'!$C$2:$T$20,13,false)*HLOOKUP($K1681,'Type Chart'!$C$2:$U$20,13,false)</f>
        <v>1</v>
      </c>
      <c r="AG1681" s="960">
        <f t="array" ref="AG1681">HLOOKUP($J1681,'Type Chart'!$C$2:$T$20,14,false)*HLOOKUP($K1681,'Type Chart'!$C$2:$U$20,14,false)</f>
        <v>1</v>
      </c>
      <c r="AH1681" s="960">
        <f t="array" ref="AH1681">HLOOKUP($J1681,'Type Chart'!$C$2:$T$20,15,false)*HLOOKUP($K1681,'Type Chart'!$C$2:$U$20,15,false)</f>
        <v>0.5</v>
      </c>
      <c r="AI1681" s="960">
        <f t="array" ref="AI1681">HLOOKUP($J1681,'Type Chart'!$C$2:$T$20,16,false)*HLOOKUP($K1681,'Type Chart'!$C$2:$U$20,16,false)</f>
        <v>1</v>
      </c>
      <c r="AJ1681" s="960">
        <f t="array" ref="AJ1681">HLOOKUP($J1681,'Type Chart'!$C$2:$T$20,17,false)*HLOOKUP($K1681,'Type Chart'!$C$2:$U$20,17,false)</f>
        <v>1</v>
      </c>
      <c r="AK1681" s="960">
        <f t="array" ref="AK1681">HLOOKUP($J1681,'Type Chart'!$C$2:$T$20,18,false)*HLOOKUP($K1681,'Type Chart'!$C$2:$U$20,18,false)</f>
        <v>2</v>
      </c>
      <c r="AL1681" s="960">
        <f t="array" ref="AL1681">HLOOKUP($J1681,'Type Chart'!$C$2:$T$20,19,false)*HLOOKUP($K1681,'Type Chart'!$C$2:$U$20,19,false)</f>
        <v>1</v>
      </c>
      <c r="AM1681" s="964" t="s">
        <v>760</v>
      </c>
      <c r="AN1681" s="965" t="s">
        <v>1370</v>
      </c>
      <c r="AO1681" s="966" t="s">
        <v>1044</v>
      </c>
      <c r="AP1681" s="936"/>
      <c r="AQ1681" s="1245"/>
      <c r="AR1681" s="1245"/>
      <c r="AS1681" s="936"/>
    </row>
    <row r="1682" ht="15.75" customHeight="1">
      <c r="A1682" s="1099"/>
      <c r="B1682" s="948" t="s">
        <v>2228</v>
      </c>
      <c r="C1682" s="1197" t="s">
        <v>2229</v>
      </c>
      <c r="D1682" s="1197" t="s">
        <v>2229</v>
      </c>
      <c r="E1682" s="1147" t="s">
        <v>2229</v>
      </c>
      <c r="F1682" s="940"/>
      <c r="G1682" s="953"/>
      <c r="H1682" s="969"/>
      <c r="I1682" s="998" t="s">
        <v>4782</v>
      </c>
      <c r="J1682" s="1203" t="s">
        <v>344</v>
      </c>
      <c r="K1682" s="984" t="s">
        <v>216</v>
      </c>
      <c r="L1682" s="959">
        <v>80.0</v>
      </c>
      <c r="M1682" s="960">
        <v>45.0</v>
      </c>
      <c r="N1682" s="960">
        <v>65.0</v>
      </c>
      <c r="O1682" s="960">
        <v>90.0</v>
      </c>
      <c r="P1682" s="960">
        <v>110.0</v>
      </c>
      <c r="Q1682" s="960">
        <v>80.0</v>
      </c>
      <c r="R1682" s="960">
        <v>196.0</v>
      </c>
      <c r="S1682" s="960">
        <v>259.0</v>
      </c>
      <c r="T1682" s="960">
        <v>284.0</v>
      </c>
      <c r="U1682" s="960">
        <f t="array" ref="U1682">HLOOKUP($J1682,'Type Chart'!$C$2:$T$20,2,false)*HLOOKUP($K1682,'Type Chart'!$C$2:$U$20,2,false)</f>
        <v>1</v>
      </c>
      <c r="V1682" s="960">
        <f t="array" ref="V1682">HLOOKUP($J1682,'Type Chart'!$C$2:$T$20,3,false)*HLOOKUP($K1682,'Type Chart'!$C$2:$U$20,3,false)</f>
        <v>0.5</v>
      </c>
      <c r="W1682" s="960">
        <f t="array" ref="W1682">HLOOKUP($J1682,'Type Chart'!$C$2:$T$20,4,false)*HLOOKUP($K1682,'Type Chart'!$C$2:$U$20,4,false)</f>
        <v>1</v>
      </c>
      <c r="X1682" s="960">
        <f t="array" ref="X1682">HLOOKUP($J1682,'Type Chart'!$C$2:$T$20,5,false)*HLOOKUP($K1682,'Type Chart'!$C$2:$U$20,5,false)</f>
        <v>1</v>
      </c>
      <c r="Y1682" s="960">
        <f t="array" ref="Y1682">HLOOKUP($J1682,'Type Chart'!$C$2:$T$20,6,false)*HLOOKUP($K1682,'Type Chart'!$C$2:$U$20,6,false)</f>
        <v>1</v>
      </c>
      <c r="Z1682" s="960">
        <f t="array" ref="Z1682">HLOOKUP($J1682,'Type Chart'!$C$2:$T$20,7,false)*HLOOKUP($K1682,'Type Chart'!$C$2:$U$20,7,false)</f>
        <v>1</v>
      </c>
      <c r="AA1682" s="960">
        <f t="array" ref="AA1682">HLOOKUP($J1682,'Type Chart'!$C$2:$T$20,8,false)*HLOOKUP($K1682,'Type Chart'!$C$2:$U$20,8,false)</f>
        <v>2</v>
      </c>
      <c r="AB1682" s="960">
        <f t="array" ref="AB1682">HLOOKUP($J1682,'Type Chart'!$C$2:$T$20,9,false)*HLOOKUP($K1682,'Type Chart'!$C$2:$U$20,9,false)</f>
        <v>2</v>
      </c>
      <c r="AC1682" s="960">
        <f t="array" ref="AC1682">HLOOKUP($J1682,'Type Chart'!$C$2:$T$20,10,false)*HLOOKUP($K1682,'Type Chart'!$C$2:$U$20,10,false)</f>
        <v>1</v>
      </c>
      <c r="AD1682" s="960">
        <f t="array" ref="AD1682">HLOOKUP($J1682,'Type Chart'!$C$2:$T$20,11,false)*HLOOKUP($K1682,'Type Chart'!$C$2:$U$20,11,false)</f>
        <v>1</v>
      </c>
      <c r="AE1682" s="960">
        <f t="array" ref="AE1682">HLOOKUP($J1682,'Type Chart'!$C$2:$T$20,12,false)*HLOOKUP($K1682,'Type Chart'!$C$2:$U$20,12,false)</f>
        <v>1</v>
      </c>
      <c r="AF1682" s="960">
        <f t="array" ref="AF1682">HLOOKUP($J1682,'Type Chart'!$C$2:$T$20,13,false)*HLOOKUP($K1682,'Type Chart'!$C$2:$U$20,13,false)</f>
        <v>1</v>
      </c>
      <c r="AG1682" s="960">
        <f t="array" ref="AG1682">HLOOKUP($J1682,'Type Chart'!$C$2:$T$20,14,false)*HLOOKUP($K1682,'Type Chart'!$C$2:$U$20,14,false)</f>
        <v>1</v>
      </c>
      <c r="AH1682" s="960">
        <f t="array" ref="AH1682">HLOOKUP($J1682,'Type Chart'!$C$2:$T$20,15,false)*HLOOKUP($K1682,'Type Chart'!$C$2:$U$20,15,false)</f>
        <v>0.5</v>
      </c>
      <c r="AI1682" s="960">
        <f t="array" ref="AI1682">HLOOKUP($J1682,'Type Chart'!$C$2:$T$20,16,false)*HLOOKUP($K1682,'Type Chart'!$C$2:$U$20,16,false)</f>
        <v>1</v>
      </c>
      <c r="AJ1682" s="960">
        <f t="array" ref="AJ1682">HLOOKUP($J1682,'Type Chart'!$C$2:$T$20,17,false)*HLOOKUP($K1682,'Type Chart'!$C$2:$U$20,17,false)</f>
        <v>1</v>
      </c>
      <c r="AK1682" s="960">
        <f t="array" ref="AK1682">HLOOKUP($J1682,'Type Chart'!$C$2:$T$20,18,false)*HLOOKUP($K1682,'Type Chart'!$C$2:$U$20,18,false)</f>
        <v>2</v>
      </c>
      <c r="AL1682" s="960">
        <f t="array" ref="AL1682">HLOOKUP($J1682,'Type Chart'!$C$2:$T$20,19,false)*HLOOKUP($K1682,'Type Chart'!$C$2:$U$20,19,false)</f>
        <v>1</v>
      </c>
      <c r="AM1682" s="964" t="s">
        <v>760</v>
      </c>
      <c r="AN1682" s="965" t="s">
        <v>1370</v>
      </c>
      <c r="AO1682" s="966" t="s">
        <v>1044</v>
      </c>
      <c r="AP1682" s="936"/>
      <c r="AQ1682" s="1245"/>
      <c r="AR1682" s="1245"/>
      <c r="AS1682" s="936"/>
    </row>
    <row r="1683" ht="15.75" customHeight="1">
      <c r="A1683" s="1099"/>
      <c r="B1683" s="948" t="s">
        <v>2230</v>
      </c>
      <c r="C1683" s="1197" t="s">
        <v>2231</v>
      </c>
      <c r="D1683" s="1197" t="s">
        <v>2231</v>
      </c>
      <c r="E1683" s="1147" t="s">
        <v>2231</v>
      </c>
      <c r="F1683" s="940"/>
      <c r="G1683" s="953"/>
      <c r="H1683" s="969"/>
      <c r="I1683" s="998" t="s">
        <v>4783</v>
      </c>
      <c r="J1683" s="1194" t="s">
        <v>136</v>
      </c>
      <c r="K1683" s="984" t="s">
        <v>216</v>
      </c>
      <c r="L1683" s="959">
        <v>60.0</v>
      </c>
      <c r="M1683" s="960">
        <v>60.0</v>
      </c>
      <c r="N1683" s="960">
        <v>60.0</v>
      </c>
      <c r="O1683" s="960">
        <v>60.0</v>
      </c>
      <c r="P1683" s="960">
        <v>60.0</v>
      </c>
      <c r="Q1683" s="960">
        <v>60.0</v>
      </c>
      <c r="R1683" s="960">
        <v>156.0</v>
      </c>
      <c r="S1683" s="960">
        <v>219.0</v>
      </c>
      <c r="T1683" s="960">
        <v>240.0</v>
      </c>
      <c r="U1683" s="960">
        <f t="array" ref="U1683">HLOOKUP($J1683,'Type Chart'!$C$2:$T$20,2,false)*HLOOKUP($K1683,'Type Chart'!$C$2:$U$20,2,false)</f>
        <v>1</v>
      </c>
      <c r="V1683" s="960">
        <f t="array" ref="V1683">HLOOKUP($J1683,'Type Chart'!$C$2:$T$20,3,false)*HLOOKUP($K1683,'Type Chart'!$C$2:$U$20,3,false)</f>
        <v>2</v>
      </c>
      <c r="W1683" s="960">
        <f t="array" ref="W1683">HLOOKUP($J1683,'Type Chart'!$C$2:$T$20,4,false)*HLOOKUP($K1683,'Type Chart'!$C$2:$U$20,4,false)</f>
        <v>1</v>
      </c>
      <c r="X1683" s="960">
        <f t="array" ref="X1683">HLOOKUP($J1683,'Type Chart'!$C$2:$T$20,5,false)*HLOOKUP($K1683,'Type Chart'!$C$2:$U$20,5,false)</f>
        <v>1</v>
      </c>
      <c r="Y1683" s="960">
        <f t="array" ref="Y1683">HLOOKUP($J1683,'Type Chart'!$C$2:$T$20,6,false)*HLOOKUP($K1683,'Type Chart'!$C$2:$U$20,6,false)</f>
        <v>1</v>
      </c>
      <c r="Z1683" s="960">
        <f t="array" ref="Z1683">HLOOKUP($J1683,'Type Chart'!$C$2:$T$20,7,false)*HLOOKUP($K1683,'Type Chart'!$C$2:$U$20,7,false)</f>
        <v>1</v>
      </c>
      <c r="AA1683" s="960">
        <f t="array" ref="AA1683">HLOOKUP($J1683,'Type Chart'!$C$2:$T$20,8,false)*HLOOKUP($K1683,'Type Chart'!$C$2:$U$20,8,false)</f>
        <v>1</v>
      </c>
      <c r="AB1683" s="960">
        <f t="array" ref="AB1683">HLOOKUP($J1683,'Type Chart'!$C$2:$T$20,9,false)*HLOOKUP($K1683,'Type Chart'!$C$2:$U$20,9,false)</f>
        <v>0</v>
      </c>
      <c r="AC1683" s="960">
        <f t="array" ref="AC1683">HLOOKUP($J1683,'Type Chart'!$C$2:$T$20,10,false)*HLOOKUP($K1683,'Type Chart'!$C$2:$U$20,10,false)</f>
        <v>1</v>
      </c>
      <c r="AD1683" s="960">
        <f t="array" ref="AD1683">HLOOKUP($J1683,'Type Chart'!$C$2:$T$20,11,false)*HLOOKUP($K1683,'Type Chart'!$C$2:$U$20,11,false)</f>
        <v>1</v>
      </c>
      <c r="AE1683" s="960">
        <f t="array" ref="AE1683">HLOOKUP($J1683,'Type Chart'!$C$2:$T$20,12,false)*HLOOKUP($K1683,'Type Chart'!$C$2:$U$20,12,false)</f>
        <v>1</v>
      </c>
      <c r="AF1683" s="960">
        <f t="array" ref="AF1683">HLOOKUP($J1683,'Type Chart'!$C$2:$T$20,13,false)*HLOOKUP($K1683,'Type Chart'!$C$2:$U$20,13,false)</f>
        <v>1</v>
      </c>
      <c r="AG1683" s="960">
        <f t="array" ref="AG1683">HLOOKUP($J1683,'Type Chart'!$C$2:$T$20,14,false)*HLOOKUP($K1683,'Type Chart'!$C$2:$U$20,14,false)</f>
        <v>1</v>
      </c>
      <c r="AH1683" s="960">
        <f t="array" ref="AH1683">HLOOKUP($J1683,'Type Chart'!$C$2:$T$20,15,false)*HLOOKUP($K1683,'Type Chart'!$C$2:$U$20,15,false)</f>
        <v>1</v>
      </c>
      <c r="AI1683" s="960">
        <f t="array" ref="AI1683">HLOOKUP($J1683,'Type Chart'!$C$2:$T$20,16,false)*HLOOKUP($K1683,'Type Chart'!$C$2:$U$20,16,false)</f>
        <v>1</v>
      </c>
      <c r="AJ1683" s="960">
        <f t="array" ref="AJ1683">HLOOKUP($J1683,'Type Chart'!$C$2:$T$20,17,false)*HLOOKUP($K1683,'Type Chart'!$C$2:$U$20,17,false)</f>
        <v>1</v>
      </c>
      <c r="AK1683" s="960">
        <f t="array" ref="AK1683">HLOOKUP($J1683,'Type Chart'!$C$2:$T$20,18,false)*HLOOKUP($K1683,'Type Chart'!$C$2:$U$20,18,false)</f>
        <v>1</v>
      </c>
      <c r="AL1683" s="960">
        <f t="array" ref="AL1683">HLOOKUP($J1683,'Type Chart'!$C$2:$T$20,19,false)*HLOOKUP($K1683,'Type Chart'!$C$2:$U$20,19,false)</f>
        <v>1</v>
      </c>
      <c r="AM1683" s="964" t="s">
        <v>1370</v>
      </c>
      <c r="AN1683" s="965" t="s">
        <v>1023</v>
      </c>
      <c r="AO1683" s="966" t="s">
        <v>1861</v>
      </c>
      <c r="AP1683" s="936"/>
      <c r="AQ1683" s="1245"/>
      <c r="AR1683" s="1245"/>
      <c r="AS1683" s="936"/>
    </row>
    <row r="1684" ht="15.75" customHeight="1">
      <c r="A1684" s="1099"/>
      <c r="B1684" s="948" t="s">
        <v>2233</v>
      </c>
      <c r="C1684" s="1197" t="s">
        <v>2234</v>
      </c>
      <c r="D1684" s="1197" t="s">
        <v>2234</v>
      </c>
      <c r="E1684" s="1147" t="s">
        <v>2234</v>
      </c>
      <c r="F1684" s="940"/>
      <c r="G1684" s="953"/>
      <c r="H1684" s="969"/>
      <c r="I1684" s="998" t="s">
        <v>4784</v>
      </c>
      <c r="J1684" s="1204" t="s">
        <v>80</v>
      </c>
      <c r="K1684" s="984" t="s">
        <v>216</v>
      </c>
      <c r="L1684" s="959">
        <v>45.0</v>
      </c>
      <c r="M1684" s="960">
        <v>100.0</v>
      </c>
      <c r="N1684" s="960">
        <v>45.0</v>
      </c>
      <c r="O1684" s="960">
        <v>45.0</v>
      </c>
      <c r="P1684" s="960">
        <v>45.0</v>
      </c>
      <c r="Q1684" s="960">
        <v>10.0</v>
      </c>
      <c r="R1684" s="960">
        <v>56.0</v>
      </c>
      <c r="S1684" s="960">
        <v>119.0</v>
      </c>
      <c r="T1684" s="960">
        <v>130.0</v>
      </c>
      <c r="U1684" s="960">
        <f t="array" ref="U1684">HLOOKUP($J1684,'Type Chart'!$C$2:$T$20,2,false)*HLOOKUP($K1684,'Type Chart'!$C$2:$U$20,2,false)</f>
        <v>1</v>
      </c>
      <c r="V1684" s="960">
        <f t="array" ref="V1684">HLOOKUP($J1684,'Type Chart'!$C$2:$T$20,3,false)*HLOOKUP($K1684,'Type Chart'!$C$2:$U$20,3,false)</f>
        <v>1</v>
      </c>
      <c r="W1684" s="960">
        <f t="array" ref="W1684">HLOOKUP($J1684,'Type Chart'!$C$2:$T$20,4,false)*HLOOKUP($K1684,'Type Chart'!$C$2:$U$20,4,false)</f>
        <v>1</v>
      </c>
      <c r="X1684" s="960">
        <f t="array" ref="X1684">HLOOKUP($J1684,'Type Chart'!$C$2:$T$20,5,false)*HLOOKUP($K1684,'Type Chart'!$C$2:$U$20,5,false)</f>
        <v>0.5</v>
      </c>
      <c r="Y1684" s="960">
        <f t="array" ref="Y1684">HLOOKUP($J1684,'Type Chart'!$C$2:$T$20,6,false)*HLOOKUP($K1684,'Type Chart'!$C$2:$U$20,6,false)</f>
        <v>1</v>
      </c>
      <c r="Z1684" s="960">
        <f t="array" ref="Z1684">HLOOKUP($J1684,'Type Chart'!$C$2:$T$20,7,false)*HLOOKUP($K1684,'Type Chart'!$C$2:$U$20,7,false)</f>
        <v>0.5</v>
      </c>
      <c r="AA1684" s="960">
        <f t="array" ref="AA1684">HLOOKUP($J1684,'Type Chart'!$C$2:$T$20,8,false)*HLOOKUP($K1684,'Type Chart'!$C$2:$U$20,8,false)</f>
        <v>1</v>
      </c>
      <c r="AB1684" s="960">
        <f t="array" ref="AB1684">HLOOKUP($J1684,'Type Chart'!$C$2:$T$20,9,false)*HLOOKUP($K1684,'Type Chart'!$C$2:$U$20,9,false)</f>
        <v>1</v>
      </c>
      <c r="AC1684" s="960">
        <f t="array" ref="AC1684">HLOOKUP($J1684,'Type Chart'!$C$2:$T$20,10,false)*HLOOKUP($K1684,'Type Chart'!$C$2:$U$20,10,false)</f>
        <v>1</v>
      </c>
      <c r="AD1684" s="960">
        <f t="array" ref="AD1684">HLOOKUP($J1684,'Type Chart'!$C$2:$T$20,11,false)*HLOOKUP($K1684,'Type Chart'!$C$2:$U$20,11,false)</f>
        <v>1</v>
      </c>
      <c r="AE1684" s="960">
        <f t="array" ref="AE1684">HLOOKUP($J1684,'Type Chart'!$C$2:$T$20,12,false)*HLOOKUP($K1684,'Type Chart'!$C$2:$U$20,12,false)</f>
        <v>2</v>
      </c>
      <c r="AF1684" s="960">
        <f t="array" ref="AF1684">HLOOKUP($J1684,'Type Chart'!$C$2:$T$20,13,false)*HLOOKUP($K1684,'Type Chart'!$C$2:$U$20,13,false)</f>
        <v>2</v>
      </c>
      <c r="AG1684" s="960">
        <f t="array" ref="AG1684">HLOOKUP($J1684,'Type Chart'!$C$2:$T$20,14,false)*HLOOKUP($K1684,'Type Chart'!$C$2:$U$20,14,false)</f>
        <v>0</v>
      </c>
      <c r="AH1684" s="960">
        <f t="array" ref="AH1684">HLOOKUP($J1684,'Type Chart'!$C$2:$T$20,15,false)*HLOOKUP($K1684,'Type Chart'!$C$2:$U$20,15,false)</f>
        <v>1</v>
      </c>
      <c r="AI1684" s="960">
        <f t="array" ref="AI1684">HLOOKUP($J1684,'Type Chart'!$C$2:$T$20,16,false)*HLOOKUP($K1684,'Type Chart'!$C$2:$U$20,16,false)</f>
        <v>2</v>
      </c>
      <c r="AJ1684" s="960">
        <f t="array" ref="AJ1684">HLOOKUP($J1684,'Type Chart'!$C$2:$T$20,17,false)*HLOOKUP($K1684,'Type Chart'!$C$2:$U$20,17,false)</f>
        <v>1</v>
      </c>
      <c r="AK1684" s="960">
        <f t="array" ref="AK1684">HLOOKUP($J1684,'Type Chart'!$C$2:$T$20,18,false)*HLOOKUP($K1684,'Type Chart'!$C$2:$U$20,18,false)</f>
        <v>1</v>
      </c>
      <c r="AL1684" s="960">
        <f t="array" ref="AL1684">HLOOKUP($J1684,'Type Chart'!$C$2:$T$20,19,false)*HLOOKUP($K1684,'Type Chart'!$C$2:$U$20,19,false)</f>
        <v>1</v>
      </c>
      <c r="AM1684" s="964" t="s">
        <v>1461</v>
      </c>
      <c r="AN1684" s="965" t="s">
        <v>1223</v>
      </c>
      <c r="AO1684" s="966" t="s">
        <v>1153</v>
      </c>
      <c r="AP1684" s="936"/>
      <c r="AQ1684" s="1245"/>
      <c r="AR1684" s="1245"/>
      <c r="AS1684" s="936"/>
    </row>
    <row r="1685" ht="15.75" customHeight="1">
      <c r="A1685" s="1099"/>
      <c r="B1685" s="948" t="s">
        <v>2235</v>
      </c>
      <c r="C1685" s="1197" t="s">
        <v>2236</v>
      </c>
      <c r="D1685" s="1197" t="s">
        <v>2236</v>
      </c>
      <c r="E1685" s="1147" t="s">
        <v>2236</v>
      </c>
      <c r="F1685" s="940"/>
      <c r="G1685" s="953"/>
      <c r="H1685" s="969"/>
      <c r="I1685" s="998" t="s">
        <v>4785</v>
      </c>
      <c r="J1685" s="1204" t="s">
        <v>80</v>
      </c>
      <c r="K1685" s="1006" t="s">
        <v>346</v>
      </c>
      <c r="L1685" s="959">
        <v>50.0</v>
      </c>
      <c r="M1685" s="960">
        <v>70.0</v>
      </c>
      <c r="N1685" s="960">
        <v>50.0</v>
      </c>
      <c r="O1685" s="960">
        <v>50.0</v>
      </c>
      <c r="P1685" s="960">
        <v>50.0</v>
      </c>
      <c r="Q1685" s="960">
        <v>70.0</v>
      </c>
      <c r="R1685" s="960">
        <v>176.0</v>
      </c>
      <c r="S1685" s="960">
        <v>239.0</v>
      </c>
      <c r="T1685" s="960">
        <v>262.0</v>
      </c>
      <c r="U1685" s="960">
        <f t="array" ref="U1685">HLOOKUP($J1685,'Type Chart'!$C$2:$T$20,2,false)*HLOOKUP($K1685,'Type Chart'!$C$2:$U$20,2,false)</f>
        <v>1</v>
      </c>
      <c r="V1685" s="960">
        <f t="array" ref="V1685">HLOOKUP($J1685,'Type Chart'!$C$2:$T$20,3,false)*HLOOKUP($K1685,'Type Chart'!$C$2:$U$20,3,false)</f>
        <v>1</v>
      </c>
      <c r="W1685" s="960">
        <f t="array" ref="W1685">HLOOKUP($J1685,'Type Chart'!$C$2:$T$20,4,false)*HLOOKUP($K1685,'Type Chart'!$C$2:$U$20,4,false)</f>
        <v>1</v>
      </c>
      <c r="X1685" s="960">
        <f t="array" ref="X1685">HLOOKUP($J1685,'Type Chart'!$C$2:$T$20,5,false)*HLOOKUP($K1685,'Type Chart'!$C$2:$U$20,5,false)</f>
        <v>0.5</v>
      </c>
      <c r="Y1685" s="960">
        <f t="array" ref="Y1685">HLOOKUP($J1685,'Type Chart'!$C$2:$T$20,6,false)*HLOOKUP($K1685,'Type Chart'!$C$2:$U$20,6,false)</f>
        <v>1</v>
      </c>
      <c r="Z1685" s="960">
        <f t="array" ref="Z1685">HLOOKUP($J1685,'Type Chart'!$C$2:$T$20,7,false)*HLOOKUP($K1685,'Type Chart'!$C$2:$U$20,7,false)</f>
        <v>0.5</v>
      </c>
      <c r="AA1685" s="960">
        <f t="array" ref="AA1685">HLOOKUP($J1685,'Type Chart'!$C$2:$T$20,8,false)*HLOOKUP($K1685,'Type Chart'!$C$2:$U$20,8,false)</f>
        <v>1</v>
      </c>
      <c r="AB1685" s="960">
        <f t="array" ref="AB1685">HLOOKUP($J1685,'Type Chart'!$C$2:$T$20,9,false)*HLOOKUP($K1685,'Type Chart'!$C$2:$U$20,9,false)</f>
        <v>1</v>
      </c>
      <c r="AC1685" s="960">
        <f t="array" ref="AC1685">HLOOKUP($J1685,'Type Chart'!$C$2:$T$20,10,false)*HLOOKUP($K1685,'Type Chart'!$C$2:$U$20,10,false)</f>
        <v>1</v>
      </c>
      <c r="AD1685" s="960">
        <f t="array" ref="AD1685">HLOOKUP($J1685,'Type Chart'!$C$2:$T$20,11,false)*HLOOKUP($K1685,'Type Chart'!$C$2:$U$20,11,false)</f>
        <v>0.5</v>
      </c>
      <c r="AE1685" s="960">
        <f t="array" ref="AE1685">HLOOKUP($J1685,'Type Chart'!$C$2:$T$20,12,false)*HLOOKUP($K1685,'Type Chart'!$C$2:$U$20,12,false)</f>
        <v>1</v>
      </c>
      <c r="AF1685" s="960">
        <f t="array" ref="AF1685">HLOOKUP($J1685,'Type Chart'!$C$2:$T$20,13,false)*HLOOKUP($K1685,'Type Chart'!$C$2:$U$20,13,false)</f>
        <v>1</v>
      </c>
      <c r="AG1685" s="960">
        <f t="array" ref="AG1685">HLOOKUP($J1685,'Type Chart'!$C$2:$T$20,14,false)*HLOOKUP($K1685,'Type Chart'!$C$2:$U$20,14,false)</f>
        <v>0</v>
      </c>
      <c r="AH1685" s="960">
        <f t="array" ref="AH1685">HLOOKUP($J1685,'Type Chart'!$C$2:$T$20,15,false)*HLOOKUP($K1685,'Type Chart'!$C$2:$U$20,15,false)</f>
        <v>1</v>
      </c>
      <c r="AI1685" s="960">
        <f t="array" ref="AI1685">HLOOKUP($J1685,'Type Chart'!$C$2:$T$20,16,false)*HLOOKUP($K1685,'Type Chart'!$C$2:$U$20,16,false)</f>
        <v>4</v>
      </c>
      <c r="AJ1685" s="960">
        <f t="array" ref="AJ1685">HLOOKUP($J1685,'Type Chart'!$C$2:$T$20,17,false)*HLOOKUP($K1685,'Type Chart'!$C$2:$U$20,17,false)</f>
        <v>2</v>
      </c>
      <c r="AK1685" s="960">
        <f t="array" ref="AK1685">HLOOKUP($J1685,'Type Chart'!$C$2:$T$20,18,false)*HLOOKUP($K1685,'Type Chart'!$C$2:$U$20,18,false)</f>
        <v>1</v>
      </c>
      <c r="AL1685" s="960">
        <f t="array" ref="AL1685">HLOOKUP($J1685,'Type Chart'!$C$2:$T$20,19,false)*HLOOKUP($K1685,'Type Chart'!$C$2:$U$20,19,false)</f>
        <v>2</v>
      </c>
      <c r="AM1685" s="964" t="s">
        <v>1437</v>
      </c>
      <c r="AN1685" s="965"/>
      <c r="AO1685" s="966"/>
      <c r="AP1685" s="936"/>
      <c r="AQ1685" s="1245"/>
      <c r="AR1685" s="1245"/>
      <c r="AS1685" s="936"/>
    </row>
    <row r="1686" ht="15.75" customHeight="1">
      <c r="A1686" s="1099"/>
      <c r="B1686" s="948" t="s">
        <v>2238</v>
      </c>
      <c r="C1686" s="1197" t="s">
        <v>2239</v>
      </c>
      <c r="D1686" s="1197" t="s">
        <v>2239</v>
      </c>
      <c r="E1686" s="1147" t="s">
        <v>2239</v>
      </c>
      <c r="F1686" s="940"/>
      <c r="G1686" s="953"/>
      <c r="H1686" s="969"/>
      <c r="I1686" s="998" t="s">
        <v>4786</v>
      </c>
      <c r="J1686" s="1204" t="s">
        <v>80</v>
      </c>
      <c r="K1686" s="1006" t="s">
        <v>346</v>
      </c>
      <c r="L1686" s="959">
        <v>80.0</v>
      </c>
      <c r="M1686" s="960">
        <v>100.0</v>
      </c>
      <c r="N1686" s="960">
        <v>80.0</v>
      </c>
      <c r="O1686" s="960">
        <v>80.0</v>
      </c>
      <c r="P1686" s="960">
        <v>80.0</v>
      </c>
      <c r="Q1686" s="960">
        <v>100.0</v>
      </c>
      <c r="R1686" s="960">
        <v>236.0</v>
      </c>
      <c r="S1686" s="960">
        <v>299.0</v>
      </c>
      <c r="T1686" s="960">
        <v>328.0</v>
      </c>
      <c r="U1686" s="960">
        <f t="array" ref="U1686">HLOOKUP($J1686,'Type Chart'!$C$2:$T$20,2,false)*HLOOKUP($K1686,'Type Chart'!$C$2:$U$20,2,false)</f>
        <v>1</v>
      </c>
      <c r="V1686" s="960">
        <f t="array" ref="V1686">HLOOKUP($J1686,'Type Chart'!$C$2:$T$20,3,false)*HLOOKUP($K1686,'Type Chart'!$C$2:$U$20,3,false)</f>
        <v>1</v>
      </c>
      <c r="W1686" s="960">
        <f t="array" ref="W1686">HLOOKUP($J1686,'Type Chart'!$C$2:$T$20,4,false)*HLOOKUP($K1686,'Type Chart'!$C$2:$U$20,4,false)</f>
        <v>1</v>
      </c>
      <c r="X1686" s="960">
        <f t="array" ref="X1686">HLOOKUP($J1686,'Type Chart'!$C$2:$T$20,5,false)*HLOOKUP($K1686,'Type Chart'!$C$2:$U$20,5,false)</f>
        <v>0.5</v>
      </c>
      <c r="Y1686" s="960">
        <f t="array" ref="Y1686">HLOOKUP($J1686,'Type Chart'!$C$2:$T$20,6,false)*HLOOKUP($K1686,'Type Chart'!$C$2:$U$20,6,false)</f>
        <v>1</v>
      </c>
      <c r="Z1686" s="960">
        <f t="array" ref="Z1686">HLOOKUP($J1686,'Type Chart'!$C$2:$T$20,7,false)*HLOOKUP($K1686,'Type Chart'!$C$2:$U$20,7,false)</f>
        <v>0.5</v>
      </c>
      <c r="AA1686" s="960">
        <f t="array" ref="AA1686">HLOOKUP($J1686,'Type Chart'!$C$2:$T$20,8,false)*HLOOKUP($K1686,'Type Chart'!$C$2:$U$20,8,false)</f>
        <v>1</v>
      </c>
      <c r="AB1686" s="960">
        <f t="array" ref="AB1686">HLOOKUP($J1686,'Type Chart'!$C$2:$T$20,9,false)*HLOOKUP($K1686,'Type Chart'!$C$2:$U$20,9,false)</f>
        <v>1</v>
      </c>
      <c r="AC1686" s="960">
        <f t="array" ref="AC1686">HLOOKUP($J1686,'Type Chart'!$C$2:$T$20,10,false)*HLOOKUP($K1686,'Type Chart'!$C$2:$U$20,10,false)</f>
        <v>1</v>
      </c>
      <c r="AD1686" s="960">
        <f t="array" ref="AD1686">HLOOKUP($J1686,'Type Chart'!$C$2:$T$20,11,false)*HLOOKUP($K1686,'Type Chart'!$C$2:$U$20,11,false)</f>
        <v>0.5</v>
      </c>
      <c r="AE1686" s="960">
        <f t="array" ref="AE1686">HLOOKUP($J1686,'Type Chart'!$C$2:$T$20,12,false)*HLOOKUP($K1686,'Type Chart'!$C$2:$U$20,12,false)</f>
        <v>1</v>
      </c>
      <c r="AF1686" s="960">
        <f t="array" ref="AF1686">HLOOKUP($J1686,'Type Chart'!$C$2:$T$20,13,false)*HLOOKUP($K1686,'Type Chart'!$C$2:$U$20,13,false)</f>
        <v>1</v>
      </c>
      <c r="AG1686" s="960">
        <f t="array" ref="AG1686">HLOOKUP($J1686,'Type Chart'!$C$2:$T$20,14,false)*HLOOKUP($K1686,'Type Chart'!$C$2:$U$20,14,false)</f>
        <v>0</v>
      </c>
      <c r="AH1686" s="960">
        <f t="array" ref="AH1686">HLOOKUP($J1686,'Type Chart'!$C$2:$T$20,15,false)*HLOOKUP($K1686,'Type Chart'!$C$2:$U$20,15,false)</f>
        <v>1</v>
      </c>
      <c r="AI1686" s="960">
        <f t="array" ref="AI1686">HLOOKUP($J1686,'Type Chart'!$C$2:$T$20,16,false)*HLOOKUP($K1686,'Type Chart'!$C$2:$U$20,16,false)</f>
        <v>4</v>
      </c>
      <c r="AJ1686" s="960">
        <f t="array" ref="AJ1686">HLOOKUP($J1686,'Type Chart'!$C$2:$T$20,17,false)*HLOOKUP($K1686,'Type Chart'!$C$2:$U$20,17,false)</f>
        <v>2</v>
      </c>
      <c r="AK1686" s="960">
        <f t="array" ref="AK1686">HLOOKUP($J1686,'Type Chart'!$C$2:$T$20,18,false)*HLOOKUP($K1686,'Type Chart'!$C$2:$U$20,18,false)</f>
        <v>1</v>
      </c>
      <c r="AL1686" s="960">
        <f t="array" ref="AL1686">HLOOKUP($J1686,'Type Chart'!$C$2:$T$20,19,false)*HLOOKUP($K1686,'Type Chart'!$C$2:$U$20,19,false)</f>
        <v>2</v>
      </c>
      <c r="AM1686" s="964" t="s">
        <v>1437</v>
      </c>
      <c r="AN1686" s="965"/>
      <c r="AO1686" s="966"/>
      <c r="AP1686" s="936"/>
      <c r="AQ1686" s="1245"/>
      <c r="AR1686" s="1245"/>
      <c r="AS1686" s="936"/>
    </row>
    <row r="1687" ht="15.75" customHeight="1">
      <c r="A1687" s="1099"/>
      <c r="B1687" s="948" t="s">
        <v>2240</v>
      </c>
      <c r="C1687" s="1197" t="s">
        <v>2241</v>
      </c>
      <c r="D1687" s="1197" t="s">
        <v>2241</v>
      </c>
      <c r="E1687" s="1147" t="s">
        <v>2241</v>
      </c>
      <c r="F1687" s="940"/>
      <c r="G1687" s="953"/>
      <c r="H1687" s="969"/>
      <c r="I1687" s="998" t="s">
        <v>4787</v>
      </c>
      <c r="J1687" s="957" t="s">
        <v>209</v>
      </c>
      <c r="K1687" s="984" t="s">
        <v>216</v>
      </c>
      <c r="L1687" s="959">
        <v>50.0</v>
      </c>
      <c r="M1687" s="960">
        <v>85.0</v>
      </c>
      <c r="N1687" s="960">
        <v>40.0</v>
      </c>
      <c r="O1687" s="960">
        <v>85.0</v>
      </c>
      <c r="P1687" s="960">
        <v>40.0</v>
      </c>
      <c r="Q1687" s="960">
        <v>35.0</v>
      </c>
      <c r="R1687" s="960">
        <v>106.0</v>
      </c>
      <c r="S1687" s="960">
        <v>169.0</v>
      </c>
      <c r="T1687" s="960">
        <v>185.0</v>
      </c>
      <c r="U1687" s="960">
        <f t="array" ref="U1687">HLOOKUP($J1687,'Type Chart'!$C$2:$T$20,2,false)*HLOOKUP($K1687,'Type Chart'!$C$2:$U$20,2,false)</f>
        <v>1</v>
      </c>
      <c r="V1687" s="960">
        <f t="array" ref="V1687">HLOOKUP($J1687,'Type Chart'!$C$2:$T$20,3,false)*HLOOKUP($K1687,'Type Chart'!$C$2:$U$20,3,false)</f>
        <v>1</v>
      </c>
      <c r="W1687" s="960">
        <f t="array" ref="W1687">HLOOKUP($J1687,'Type Chart'!$C$2:$T$20,4,false)*HLOOKUP($K1687,'Type Chart'!$C$2:$U$20,4,false)</f>
        <v>2</v>
      </c>
      <c r="X1687" s="960">
        <f t="array" ref="X1687">HLOOKUP($J1687,'Type Chart'!$C$2:$T$20,5,false)*HLOOKUP($K1687,'Type Chart'!$C$2:$U$20,5,false)</f>
        <v>2</v>
      </c>
      <c r="Y1687" s="960">
        <f t="array" ref="Y1687">HLOOKUP($J1687,'Type Chart'!$C$2:$T$20,6,false)*HLOOKUP($K1687,'Type Chart'!$C$2:$U$20,6,false)</f>
        <v>0.5</v>
      </c>
      <c r="Z1687" s="960">
        <f t="array" ref="Z1687">HLOOKUP($J1687,'Type Chart'!$C$2:$T$20,7,false)*HLOOKUP($K1687,'Type Chart'!$C$2:$U$20,7,false)</f>
        <v>1</v>
      </c>
      <c r="AA1687" s="960">
        <f t="array" ref="AA1687">HLOOKUP($J1687,'Type Chart'!$C$2:$T$20,8,false)*HLOOKUP($K1687,'Type Chart'!$C$2:$U$20,8,false)</f>
        <v>2</v>
      </c>
      <c r="AB1687" s="960">
        <f t="array" ref="AB1687">HLOOKUP($J1687,'Type Chart'!$C$2:$T$20,9,false)*HLOOKUP($K1687,'Type Chart'!$C$2:$U$20,9,false)</f>
        <v>1</v>
      </c>
      <c r="AC1687" s="960">
        <f t="array" ref="AC1687">HLOOKUP($J1687,'Type Chart'!$C$2:$T$20,10,false)*HLOOKUP($K1687,'Type Chart'!$C$2:$U$20,10,false)</f>
        <v>1</v>
      </c>
      <c r="AD1687" s="960">
        <f t="array" ref="AD1687">HLOOKUP($J1687,'Type Chart'!$C$2:$T$20,11,false)*HLOOKUP($K1687,'Type Chart'!$C$2:$U$20,11,false)</f>
        <v>2</v>
      </c>
      <c r="AE1687" s="960">
        <f t="array" ref="AE1687">HLOOKUP($J1687,'Type Chart'!$C$2:$T$20,12,false)*HLOOKUP($K1687,'Type Chart'!$C$2:$U$20,12,false)</f>
        <v>0.5</v>
      </c>
      <c r="AF1687" s="960">
        <f t="array" ref="AF1687">HLOOKUP($J1687,'Type Chart'!$C$2:$T$20,13,false)*HLOOKUP($K1687,'Type Chart'!$C$2:$U$20,13,false)</f>
        <v>0.5</v>
      </c>
      <c r="AG1687" s="960">
        <f t="array" ref="AG1687">HLOOKUP($J1687,'Type Chart'!$C$2:$T$20,14,false)*HLOOKUP($K1687,'Type Chart'!$C$2:$U$20,14,false)</f>
        <v>0.5</v>
      </c>
      <c r="AH1687" s="960">
        <f t="array" ref="AH1687">HLOOKUP($J1687,'Type Chart'!$C$2:$T$20,15,false)*HLOOKUP($K1687,'Type Chart'!$C$2:$U$20,15,false)</f>
        <v>1</v>
      </c>
      <c r="AI1687" s="960">
        <f t="array" ref="AI1687">HLOOKUP($J1687,'Type Chart'!$C$2:$T$20,16,false)*HLOOKUP($K1687,'Type Chart'!$C$2:$U$20,16,false)</f>
        <v>2</v>
      </c>
      <c r="AJ1687" s="960">
        <f t="array" ref="AJ1687">HLOOKUP($J1687,'Type Chart'!$C$2:$T$20,17,false)*HLOOKUP($K1687,'Type Chart'!$C$2:$U$20,17,false)</f>
        <v>1</v>
      </c>
      <c r="AK1687" s="960">
        <f t="array" ref="AK1687">HLOOKUP($J1687,'Type Chart'!$C$2:$T$20,18,false)*HLOOKUP($K1687,'Type Chart'!$C$2:$U$20,18,false)</f>
        <v>1</v>
      </c>
      <c r="AL1687" s="960">
        <f t="array" ref="AL1687">HLOOKUP($J1687,'Type Chart'!$C$2:$T$20,19,false)*HLOOKUP($K1687,'Type Chart'!$C$2:$U$20,19,false)</f>
        <v>1</v>
      </c>
      <c r="AM1687" s="964" t="s">
        <v>1129</v>
      </c>
      <c r="AN1687" s="965"/>
      <c r="AO1687" s="966" t="s">
        <v>1283</v>
      </c>
      <c r="AP1687" s="936"/>
      <c r="AQ1687" s="1245"/>
      <c r="AR1687" s="1245"/>
      <c r="AS1687" s="936"/>
    </row>
    <row r="1688" ht="15.75" customHeight="1">
      <c r="A1688" s="1099"/>
      <c r="B1688" s="948" t="s">
        <v>2242</v>
      </c>
      <c r="C1688" s="1197" t="s">
        <v>2243</v>
      </c>
      <c r="D1688" s="1197" t="s">
        <v>2243</v>
      </c>
      <c r="E1688" s="1147" t="s">
        <v>2243</v>
      </c>
      <c r="F1688" s="940"/>
      <c r="G1688" s="953"/>
      <c r="H1688" s="969"/>
      <c r="I1688" s="998" t="s">
        <v>4788</v>
      </c>
      <c r="J1688" s="957" t="s">
        <v>209</v>
      </c>
      <c r="K1688" s="1195" t="s">
        <v>193</v>
      </c>
      <c r="L1688" s="959">
        <v>70.0</v>
      </c>
      <c r="M1688" s="960">
        <v>115.0</v>
      </c>
      <c r="N1688" s="960">
        <v>60.0</v>
      </c>
      <c r="O1688" s="960">
        <v>115.0</v>
      </c>
      <c r="P1688" s="960">
        <v>60.0</v>
      </c>
      <c r="Q1688" s="960">
        <v>55.0</v>
      </c>
      <c r="R1688" s="960">
        <v>146.0</v>
      </c>
      <c r="S1688" s="960">
        <v>209.0</v>
      </c>
      <c r="T1688" s="960">
        <v>229.0</v>
      </c>
      <c r="U1688" s="960">
        <f t="array" ref="U1688">HLOOKUP($J1688,'Type Chart'!$C$2:$T$20,2,false)*HLOOKUP($K1688,'Type Chart'!$C$2:$U$20,2,false)</f>
        <v>1</v>
      </c>
      <c r="V1688" s="960">
        <f t="array" ref="V1688">HLOOKUP($J1688,'Type Chart'!$C$2:$T$20,3,false)*HLOOKUP($K1688,'Type Chart'!$C$2:$U$20,3,false)</f>
        <v>2</v>
      </c>
      <c r="W1688" s="960">
        <f t="array" ref="W1688">HLOOKUP($J1688,'Type Chart'!$C$2:$T$20,4,false)*HLOOKUP($K1688,'Type Chart'!$C$2:$U$20,4,false)</f>
        <v>2</v>
      </c>
      <c r="X1688" s="960">
        <f t="array" ref="X1688">HLOOKUP($J1688,'Type Chart'!$C$2:$T$20,5,false)*HLOOKUP($K1688,'Type Chart'!$C$2:$U$20,5,false)</f>
        <v>2</v>
      </c>
      <c r="Y1688" s="960">
        <f t="array" ref="Y1688">HLOOKUP($J1688,'Type Chart'!$C$2:$T$20,6,false)*HLOOKUP($K1688,'Type Chart'!$C$2:$U$20,6,false)</f>
        <v>0.5</v>
      </c>
      <c r="Z1688" s="960">
        <f t="array" ref="Z1688">HLOOKUP($J1688,'Type Chart'!$C$2:$T$20,7,false)*HLOOKUP($K1688,'Type Chart'!$C$2:$U$20,7,false)</f>
        <v>1</v>
      </c>
      <c r="AA1688" s="960">
        <f t="array" ref="AA1688">HLOOKUP($J1688,'Type Chart'!$C$2:$T$20,8,false)*HLOOKUP($K1688,'Type Chart'!$C$2:$U$20,8,false)</f>
        <v>4</v>
      </c>
      <c r="AB1688" s="960">
        <f t="array" ref="AB1688">HLOOKUP($J1688,'Type Chart'!$C$2:$T$20,9,false)*HLOOKUP($K1688,'Type Chart'!$C$2:$U$20,9,false)</f>
        <v>0.5</v>
      </c>
      <c r="AC1688" s="960">
        <f t="array" ref="AC1688">HLOOKUP($J1688,'Type Chart'!$C$2:$T$20,10,false)*HLOOKUP($K1688,'Type Chart'!$C$2:$U$20,10,false)</f>
        <v>1</v>
      </c>
      <c r="AD1688" s="960">
        <f t="array" ref="AD1688">HLOOKUP($J1688,'Type Chart'!$C$2:$T$20,11,false)*HLOOKUP($K1688,'Type Chart'!$C$2:$U$20,11,false)</f>
        <v>2</v>
      </c>
      <c r="AE1688" s="960">
        <f t="array" ref="AE1688">HLOOKUP($J1688,'Type Chart'!$C$2:$T$20,12,false)*HLOOKUP($K1688,'Type Chart'!$C$2:$U$20,12,false)</f>
        <v>0.5</v>
      </c>
      <c r="AF1688" s="960">
        <f t="array" ref="AF1688">HLOOKUP($J1688,'Type Chart'!$C$2:$T$20,13,false)*HLOOKUP($K1688,'Type Chart'!$C$2:$U$20,13,false)</f>
        <v>0.5</v>
      </c>
      <c r="AG1688" s="960">
        <f t="array" ref="AG1688">HLOOKUP($J1688,'Type Chart'!$C$2:$T$20,14,false)*HLOOKUP($K1688,'Type Chart'!$C$2:$U$20,14,false)</f>
        <v>0.5</v>
      </c>
      <c r="AH1688" s="960">
        <f t="array" ref="AH1688">HLOOKUP($J1688,'Type Chart'!$C$2:$T$20,15,false)*HLOOKUP($K1688,'Type Chart'!$C$2:$U$20,15,false)</f>
        <v>0</v>
      </c>
      <c r="AI1688" s="960">
        <f t="array" ref="AI1688">HLOOKUP($J1688,'Type Chart'!$C$2:$T$20,16,false)*HLOOKUP($K1688,'Type Chart'!$C$2:$U$20,16,false)</f>
        <v>2</v>
      </c>
      <c r="AJ1688" s="960">
        <f t="array" ref="AJ1688">HLOOKUP($J1688,'Type Chart'!$C$2:$T$20,17,false)*HLOOKUP($K1688,'Type Chart'!$C$2:$U$20,17,false)</f>
        <v>1</v>
      </c>
      <c r="AK1688" s="960">
        <f t="array" ref="AK1688">HLOOKUP($J1688,'Type Chart'!$C$2:$T$20,18,false)*HLOOKUP($K1688,'Type Chart'!$C$2:$U$20,18,false)</f>
        <v>0.5</v>
      </c>
      <c r="AL1688" s="960">
        <f t="array" ref="AL1688">HLOOKUP($J1688,'Type Chart'!$C$2:$T$20,19,false)*HLOOKUP($K1688,'Type Chart'!$C$2:$U$20,19,false)</f>
        <v>2</v>
      </c>
      <c r="AM1688" s="964" t="s">
        <v>1129</v>
      </c>
      <c r="AN1688" s="965"/>
      <c r="AO1688" s="966" t="s">
        <v>1283</v>
      </c>
      <c r="AP1688" s="936"/>
      <c r="AQ1688" s="1245"/>
      <c r="AR1688" s="1245"/>
      <c r="AS1688" s="936"/>
    </row>
    <row r="1689" ht="15.75" customHeight="1">
      <c r="A1689" s="1099"/>
      <c r="B1689" s="948" t="s">
        <v>2244</v>
      </c>
      <c r="C1689" s="1197" t="s">
        <v>2245</v>
      </c>
      <c r="D1689" s="1197" t="s">
        <v>2245</v>
      </c>
      <c r="E1689" s="1147" t="s">
        <v>2245</v>
      </c>
      <c r="F1689" s="940"/>
      <c r="G1689" s="953"/>
      <c r="H1689" s="969"/>
      <c r="I1689" s="998" t="s">
        <v>4789</v>
      </c>
      <c r="J1689" s="1194" t="s">
        <v>136</v>
      </c>
      <c r="K1689" s="1001" t="s">
        <v>128</v>
      </c>
      <c r="L1689" s="959">
        <v>45.0</v>
      </c>
      <c r="M1689" s="960">
        <v>40.0</v>
      </c>
      <c r="N1689" s="960">
        <v>60.0</v>
      </c>
      <c r="O1689" s="960">
        <v>40.0</v>
      </c>
      <c r="P1689" s="960">
        <v>75.0</v>
      </c>
      <c r="Q1689" s="960">
        <v>50.0</v>
      </c>
      <c r="R1689" s="960">
        <v>136.0</v>
      </c>
      <c r="S1689" s="960">
        <v>199.0</v>
      </c>
      <c r="T1689" s="960">
        <v>218.0</v>
      </c>
      <c r="U1689" s="960">
        <f t="array" ref="U1689">HLOOKUP($J1689,'Type Chart'!$C$2:$T$20,2,false)*HLOOKUP($K1689,'Type Chart'!$C$2:$U$20,2,false)</f>
        <v>1</v>
      </c>
      <c r="V1689" s="960">
        <f t="array" ref="V1689">HLOOKUP($J1689,'Type Chart'!$C$2:$T$20,3,false)*HLOOKUP($K1689,'Type Chart'!$C$2:$U$20,3,false)</f>
        <v>1</v>
      </c>
      <c r="W1689" s="960">
        <f t="array" ref="W1689">HLOOKUP($J1689,'Type Chart'!$C$2:$T$20,4,false)*HLOOKUP($K1689,'Type Chart'!$C$2:$U$20,4,false)</f>
        <v>1</v>
      </c>
      <c r="X1689" s="960">
        <f t="array" ref="X1689">HLOOKUP($J1689,'Type Chart'!$C$2:$T$20,5,false)*HLOOKUP($K1689,'Type Chart'!$C$2:$U$20,5,false)</f>
        <v>1</v>
      </c>
      <c r="Y1689" s="960">
        <f t="array" ref="Y1689">HLOOKUP($J1689,'Type Chart'!$C$2:$T$20,6,false)*HLOOKUP($K1689,'Type Chart'!$C$2:$U$20,6,false)</f>
        <v>0</v>
      </c>
      <c r="Z1689" s="960">
        <f t="array" ref="Z1689">HLOOKUP($J1689,'Type Chart'!$C$2:$T$20,7,false)*HLOOKUP($K1689,'Type Chart'!$C$2:$U$20,7,false)</f>
        <v>2</v>
      </c>
      <c r="AA1689" s="960">
        <f t="array" ref="AA1689">HLOOKUP($J1689,'Type Chart'!$C$2:$T$20,8,false)*HLOOKUP($K1689,'Type Chart'!$C$2:$U$20,8,false)</f>
        <v>0.5</v>
      </c>
      <c r="AB1689" s="960">
        <f t="array" ref="AB1689">HLOOKUP($J1689,'Type Chart'!$C$2:$T$20,9,false)*HLOOKUP($K1689,'Type Chart'!$C$2:$U$20,9,false)</f>
        <v>0</v>
      </c>
      <c r="AC1689" s="960">
        <f t="array" ref="AC1689">HLOOKUP($J1689,'Type Chart'!$C$2:$T$20,10,false)*HLOOKUP($K1689,'Type Chart'!$C$2:$U$20,10,false)</f>
        <v>1</v>
      </c>
      <c r="AD1689" s="960">
        <f t="array" ref="AD1689">HLOOKUP($J1689,'Type Chart'!$C$2:$T$20,11,false)*HLOOKUP($K1689,'Type Chart'!$C$2:$U$20,11,false)</f>
        <v>1</v>
      </c>
      <c r="AE1689" s="960">
        <f t="array" ref="AE1689">HLOOKUP($J1689,'Type Chart'!$C$2:$T$20,12,false)*HLOOKUP($K1689,'Type Chart'!$C$2:$U$20,12,false)</f>
        <v>1</v>
      </c>
      <c r="AF1689" s="960">
        <f t="array" ref="AF1689">HLOOKUP($J1689,'Type Chart'!$C$2:$T$20,13,false)*HLOOKUP($K1689,'Type Chart'!$C$2:$U$20,13,false)</f>
        <v>0.5</v>
      </c>
      <c r="AG1689" s="960">
        <f t="array" ref="AG1689">HLOOKUP($J1689,'Type Chart'!$C$2:$T$20,14,false)*HLOOKUP($K1689,'Type Chart'!$C$2:$U$20,14,false)</f>
        <v>2</v>
      </c>
      <c r="AH1689" s="960">
        <f t="array" ref="AH1689">HLOOKUP($J1689,'Type Chart'!$C$2:$T$20,15,false)*HLOOKUP($K1689,'Type Chart'!$C$2:$U$20,15,false)</f>
        <v>1</v>
      </c>
      <c r="AI1689" s="960">
        <f t="array" ref="AI1689">HLOOKUP($J1689,'Type Chart'!$C$2:$T$20,16,false)*HLOOKUP($K1689,'Type Chart'!$C$2:$U$20,16,false)</f>
        <v>2</v>
      </c>
      <c r="AJ1689" s="960">
        <f t="array" ref="AJ1689">HLOOKUP($J1689,'Type Chart'!$C$2:$T$20,17,false)*HLOOKUP($K1689,'Type Chart'!$C$2:$U$20,17,false)</f>
        <v>1</v>
      </c>
      <c r="AK1689" s="960">
        <f t="array" ref="AK1689">HLOOKUP($J1689,'Type Chart'!$C$2:$T$20,18,false)*HLOOKUP($K1689,'Type Chart'!$C$2:$U$20,18,false)</f>
        <v>1</v>
      </c>
      <c r="AL1689" s="960">
        <f t="array" ref="AL1689">HLOOKUP($J1689,'Type Chart'!$C$2:$T$20,19,false)*HLOOKUP($K1689,'Type Chart'!$C$2:$U$20,19,false)</f>
        <v>1</v>
      </c>
      <c r="AM1689" s="964" t="s">
        <v>1520</v>
      </c>
      <c r="AN1689" s="965"/>
      <c r="AO1689" s="966" t="s">
        <v>1258</v>
      </c>
      <c r="AP1689" s="936"/>
      <c r="AQ1689" s="1245"/>
      <c r="AR1689" s="1245"/>
      <c r="AS1689" s="936"/>
    </row>
    <row r="1690" ht="15.75" customHeight="1">
      <c r="A1690" s="1099"/>
      <c r="B1690" s="948" t="s">
        <v>2247</v>
      </c>
      <c r="C1690" s="1197" t="s">
        <v>2248</v>
      </c>
      <c r="D1690" s="1197" t="s">
        <v>2248</v>
      </c>
      <c r="E1690" s="1147" t="s">
        <v>2248</v>
      </c>
      <c r="F1690" s="940"/>
      <c r="G1690" s="953"/>
      <c r="H1690" s="969"/>
      <c r="I1690" s="998" t="s">
        <v>4790</v>
      </c>
      <c r="J1690" s="1006" t="s">
        <v>346</v>
      </c>
      <c r="K1690" s="1001" t="s">
        <v>128</v>
      </c>
      <c r="L1690" s="959">
        <v>75.0</v>
      </c>
      <c r="M1690" s="960">
        <v>70.0</v>
      </c>
      <c r="N1690" s="960">
        <v>90.0</v>
      </c>
      <c r="O1690" s="960">
        <v>70.0</v>
      </c>
      <c r="P1690" s="960">
        <v>105.0</v>
      </c>
      <c r="Q1690" s="960">
        <v>80.0</v>
      </c>
      <c r="R1690" s="960">
        <v>196.0</v>
      </c>
      <c r="S1690" s="960">
        <v>259.0</v>
      </c>
      <c r="T1690" s="960">
        <v>284.0</v>
      </c>
      <c r="U1690" s="960">
        <f t="array" ref="U1690">HLOOKUP($J1690,'Type Chart'!$C$2:$T$20,2,false)*HLOOKUP($K1690,'Type Chart'!$C$2:$U$20,2,false)</f>
        <v>1</v>
      </c>
      <c r="V1690" s="960">
        <f t="array" ref="V1690">HLOOKUP($J1690,'Type Chart'!$C$2:$T$20,3,false)*HLOOKUP($K1690,'Type Chart'!$C$2:$U$20,3,false)</f>
        <v>0.5</v>
      </c>
      <c r="W1690" s="960">
        <f t="array" ref="W1690">HLOOKUP($J1690,'Type Chart'!$C$2:$T$20,4,false)*HLOOKUP($K1690,'Type Chart'!$C$2:$U$20,4,false)</f>
        <v>1</v>
      </c>
      <c r="X1690" s="960">
        <f t="array" ref="X1690">HLOOKUP($J1690,'Type Chart'!$C$2:$T$20,5,false)*HLOOKUP($K1690,'Type Chart'!$C$2:$U$20,5,false)</f>
        <v>1</v>
      </c>
      <c r="Y1690" s="960">
        <f t="array" ref="Y1690">HLOOKUP($J1690,'Type Chart'!$C$2:$T$20,6,false)*HLOOKUP($K1690,'Type Chart'!$C$2:$U$20,6,false)</f>
        <v>0</v>
      </c>
      <c r="Z1690" s="960">
        <f t="array" ref="Z1690">HLOOKUP($J1690,'Type Chart'!$C$2:$T$20,7,false)*HLOOKUP($K1690,'Type Chart'!$C$2:$U$20,7,false)</f>
        <v>2</v>
      </c>
      <c r="AA1690" s="960">
        <f t="array" ref="AA1690">HLOOKUP($J1690,'Type Chart'!$C$2:$T$20,8,false)*HLOOKUP($K1690,'Type Chart'!$C$2:$U$20,8,false)</f>
        <v>0.5</v>
      </c>
      <c r="AB1690" s="960">
        <f t="array" ref="AB1690">HLOOKUP($J1690,'Type Chart'!$C$2:$T$20,9,false)*HLOOKUP($K1690,'Type Chart'!$C$2:$U$20,9,false)</f>
        <v>1</v>
      </c>
      <c r="AC1690" s="960">
        <f t="array" ref="AC1690">HLOOKUP($J1690,'Type Chart'!$C$2:$T$20,10,false)*HLOOKUP($K1690,'Type Chart'!$C$2:$U$20,10,false)</f>
        <v>1</v>
      </c>
      <c r="AD1690" s="960">
        <f t="array" ref="AD1690">HLOOKUP($J1690,'Type Chart'!$C$2:$T$20,11,false)*HLOOKUP($K1690,'Type Chart'!$C$2:$U$20,11,false)</f>
        <v>0.5</v>
      </c>
      <c r="AE1690" s="960">
        <f t="array" ref="AE1690">HLOOKUP($J1690,'Type Chart'!$C$2:$T$20,12,false)*HLOOKUP($K1690,'Type Chart'!$C$2:$U$20,12,false)</f>
        <v>0.5</v>
      </c>
      <c r="AF1690" s="960">
        <f t="array" ref="AF1690">HLOOKUP($J1690,'Type Chart'!$C$2:$T$20,13,false)*HLOOKUP($K1690,'Type Chart'!$C$2:$U$20,13,false)</f>
        <v>0.25</v>
      </c>
      <c r="AG1690" s="960">
        <f t="array" ref="AG1690">HLOOKUP($J1690,'Type Chart'!$C$2:$T$20,14,false)*HLOOKUP($K1690,'Type Chart'!$C$2:$U$20,14,false)</f>
        <v>1</v>
      </c>
      <c r="AH1690" s="960">
        <f t="array" ref="AH1690">HLOOKUP($J1690,'Type Chart'!$C$2:$T$20,15,false)*HLOOKUP($K1690,'Type Chart'!$C$2:$U$20,15,false)</f>
        <v>1</v>
      </c>
      <c r="AI1690" s="960">
        <f t="array" ref="AI1690">HLOOKUP($J1690,'Type Chart'!$C$2:$T$20,16,false)*HLOOKUP($K1690,'Type Chart'!$C$2:$U$20,16,false)</f>
        <v>4</v>
      </c>
      <c r="AJ1690" s="960">
        <f t="array" ref="AJ1690">HLOOKUP($J1690,'Type Chart'!$C$2:$T$20,17,false)*HLOOKUP($K1690,'Type Chart'!$C$2:$U$20,17,false)</f>
        <v>2</v>
      </c>
      <c r="AK1690" s="960">
        <f t="array" ref="AK1690">HLOOKUP($J1690,'Type Chart'!$C$2:$T$20,18,false)*HLOOKUP($K1690,'Type Chart'!$C$2:$U$20,18,false)</f>
        <v>1</v>
      </c>
      <c r="AL1690" s="960">
        <f t="array" ref="AL1690">HLOOKUP($J1690,'Type Chart'!$C$2:$T$20,19,false)*HLOOKUP($K1690,'Type Chart'!$C$2:$U$20,19,false)</f>
        <v>2</v>
      </c>
      <c r="AM1690" s="964" t="s">
        <v>1520</v>
      </c>
      <c r="AN1690" s="965"/>
      <c r="AO1690" s="966" t="s">
        <v>1258</v>
      </c>
      <c r="AP1690" s="936"/>
      <c r="AQ1690" s="1245"/>
      <c r="AR1690" s="1245"/>
      <c r="AS1690" s="936"/>
    </row>
    <row r="1691" ht="15.75" customHeight="1">
      <c r="A1691" s="1099"/>
      <c r="B1691" s="948" t="s">
        <v>2249</v>
      </c>
      <c r="C1691" s="1197" t="s">
        <v>2250</v>
      </c>
      <c r="D1691" s="1197" t="s">
        <v>2250</v>
      </c>
      <c r="E1691" s="1147" t="s">
        <v>2250</v>
      </c>
      <c r="F1691" s="940"/>
      <c r="G1691" s="953"/>
      <c r="H1691" s="969"/>
      <c r="I1691" s="998" t="s">
        <v>4791</v>
      </c>
      <c r="J1691" s="1006" t="s">
        <v>346</v>
      </c>
      <c r="K1691" s="1207" t="s">
        <v>127</v>
      </c>
      <c r="L1691" s="959">
        <v>75.0</v>
      </c>
      <c r="M1691" s="960">
        <v>110.0</v>
      </c>
      <c r="N1691" s="960">
        <v>110.0</v>
      </c>
      <c r="O1691" s="960">
        <v>110.0</v>
      </c>
      <c r="P1691" s="960">
        <v>105.0</v>
      </c>
      <c r="Q1691" s="960">
        <v>80.0</v>
      </c>
      <c r="R1691" s="960">
        <v>196.0</v>
      </c>
      <c r="S1691" s="960">
        <v>259.0</v>
      </c>
      <c r="T1691" s="960">
        <v>284.0</v>
      </c>
      <c r="U1691" s="960">
        <f t="array" ref="U1691">HLOOKUP($J1691,'Type Chart'!$C$2:$T$20,2,false)*HLOOKUP($K1691,'Type Chart'!$C$2:$U$20,2,false)</f>
        <v>1</v>
      </c>
      <c r="V1691" s="960">
        <f t="array" ref="V1691">HLOOKUP($J1691,'Type Chart'!$C$2:$T$20,3,false)*HLOOKUP($K1691,'Type Chart'!$C$2:$U$20,3,false)</f>
        <v>0.5</v>
      </c>
      <c r="W1691" s="960">
        <f t="array" ref="W1691">HLOOKUP($J1691,'Type Chart'!$C$2:$T$20,4,false)*HLOOKUP($K1691,'Type Chart'!$C$2:$U$20,4,false)</f>
        <v>1</v>
      </c>
      <c r="X1691" s="960">
        <f t="array" ref="X1691">HLOOKUP($J1691,'Type Chart'!$C$2:$T$20,5,false)*HLOOKUP($K1691,'Type Chart'!$C$2:$U$20,5,false)</f>
        <v>2</v>
      </c>
      <c r="Y1691" s="960">
        <f t="array" ref="Y1691">HLOOKUP($J1691,'Type Chart'!$C$2:$T$20,6,false)*HLOOKUP($K1691,'Type Chart'!$C$2:$U$20,6,false)</f>
        <v>1</v>
      </c>
      <c r="Z1691" s="960">
        <f t="array" ref="Z1691">HLOOKUP($J1691,'Type Chart'!$C$2:$T$20,7,false)*HLOOKUP($K1691,'Type Chart'!$C$2:$U$20,7,false)</f>
        <v>1</v>
      </c>
      <c r="AA1691" s="960">
        <f t="array" ref="AA1691">HLOOKUP($J1691,'Type Chart'!$C$2:$T$20,8,false)*HLOOKUP($K1691,'Type Chart'!$C$2:$U$20,8,false)</f>
        <v>0.5</v>
      </c>
      <c r="AB1691" s="960">
        <f t="array" ref="AB1691">HLOOKUP($J1691,'Type Chart'!$C$2:$T$20,9,false)*HLOOKUP($K1691,'Type Chart'!$C$2:$U$20,9,false)</f>
        <v>1</v>
      </c>
      <c r="AC1691" s="960">
        <f t="array" ref="AC1691">HLOOKUP($J1691,'Type Chart'!$C$2:$T$20,10,false)*HLOOKUP($K1691,'Type Chart'!$C$2:$U$20,10,false)</f>
        <v>2</v>
      </c>
      <c r="AD1691" s="960">
        <f t="array" ref="AD1691">HLOOKUP($J1691,'Type Chart'!$C$2:$T$20,11,false)*HLOOKUP($K1691,'Type Chart'!$C$2:$U$20,11,false)</f>
        <v>0.5</v>
      </c>
      <c r="AE1691" s="960">
        <f t="array" ref="AE1691">HLOOKUP($J1691,'Type Chart'!$C$2:$T$20,12,false)*HLOOKUP($K1691,'Type Chart'!$C$2:$U$20,12,false)</f>
        <v>0.5</v>
      </c>
      <c r="AF1691" s="960">
        <f t="array" ref="AF1691">HLOOKUP($J1691,'Type Chart'!$C$2:$T$20,13,false)*HLOOKUP($K1691,'Type Chart'!$C$2:$U$20,13,false)</f>
        <v>0.5</v>
      </c>
      <c r="AG1691" s="960">
        <f t="array" ref="AG1691">HLOOKUP($J1691,'Type Chart'!$C$2:$T$20,14,false)*HLOOKUP($K1691,'Type Chart'!$C$2:$U$20,14,false)</f>
        <v>0.5</v>
      </c>
      <c r="AH1691" s="960">
        <f t="array" ref="AH1691">HLOOKUP($J1691,'Type Chart'!$C$2:$T$20,15,false)*HLOOKUP($K1691,'Type Chart'!$C$2:$U$20,15,false)</f>
        <v>1</v>
      </c>
      <c r="AI1691" s="960">
        <f t="array" ref="AI1691">HLOOKUP($J1691,'Type Chart'!$C$2:$T$20,16,false)*HLOOKUP($K1691,'Type Chart'!$C$2:$U$20,16,false)</f>
        <v>2</v>
      </c>
      <c r="AJ1691" s="960">
        <f t="array" ref="AJ1691">HLOOKUP($J1691,'Type Chart'!$C$2:$T$20,17,false)*HLOOKUP($K1691,'Type Chart'!$C$2:$U$20,17,false)</f>
        <v>0</v>
      </c>
      <c r="AK1691" s="960">
        <f t="array" ref="AK1691">HLOOKUP($J1691,'Type Chart'!$C$2:$T$20,18,false)*HLOOKUP($K1691,'Type Chart'!$C$2:$U$20,18,false)</f>
        <v>0.5</v>
      </c>
      <c r="AL1691" s="960">
        <f t="array" ref="AL1691">HLOOKUP($J1691,'Type Chart'!$C$2:$T$20,19,false)*HLOOKUP($K1691,'Type Chart'!$C$2:$U$20,19,false)</f>
        <v>2</v>
      </c>
      <c r="AM1691" s="964" t="s">
        <v>2079</v>
      </c>
      <c r="AN1691" s="965"/>
      <c r="AO1691" s="966"/>
      <c r="AP1691" s="936"/>
      <c r="AQ1691" s="1245"/>
      <c r="AR1691" s="1245"/>
      <c r="AS1691" s="936"/>
    </row>
    <row r="1692" ht="15.75" customHeight="1">
      <c r="A1692" s="1099"/>
      <c r="B1692" s="948" t="s">
        <v>2252</v>
      </c>
      <c r="C1692" s="1197" t="s">
        <v>2253</v>
      </c>
      <c r="D1692" s="1197" t="s">
        <v>2253</v>
      </c>
      <c r="E1692" s="1147" t="s">
        <v>2253</v>
      </c>
      <c r="F1692" s="940"/>
      <c r="G1692" s="953"/>
      <c r="H1692" s="969"/>
      <c r="I1692" s="998" t="s">
        <v>4792</v>
      </c>
      <c r="J1692" s="1194" t="s">
        <v>136</v>
      </c>
      <c r="K1692" s="984" t="s">
        <v>216</v>
      </c>
      <c r="L1692" s="959">
        <v>73.0</v>
      </c>
      <c r="M1692" s="960">
        <v>115.0</v>
      </c>
      <c r="N1692" s="960">
        <v>60.0</v>
      </c>
      <c r="O1692" s="960">
        <v>60.0</v>
      </c>
      <c r="P1692" s="960">
        <v>60.0</v>
      </c>
      <c r="Q1692" s="960">
        <v>90.0</v>
      </c>
      <c r="R1692" s="960">
        <v>216.0</v>
      </c>
      <c r="S1692" s="960">
        <v>279.0</v>
      </c>
      <c r="T1692" s="960">
        <v>306.0</v>
      </c>
      <c r="U1692" s="960">
        <f t="array" ref="U1692">HLOOKUP($J1692,'Type Chart'!$C$2:$T$20,2,false)*HLOOKUP($K1692,'Type Chart'!$C$2:$U$20,2,false)</f>
        <v>1</v>
      </c>
      <c r="V1692" s="960">
        <f t="array" ref="V1692">HLOOKUP($J1692,'Type Chart'!$C$2:$T$20,3,false)*HLOOKUP($K1692,'Type Chart'!$C$2:$U$20,3,false)</f>
        <v>2</v>
      </c>
      <c r="W1692" s="960">
        <f t="array" ref="W1692">HLOOKUP($J1692,'Type Chart'!$C$2:$T$20,4,false)*HLOOKUP($K1692,'Type Chart'!$C$2:$U$20,4,false)</f>
        <v>1</v>
      </c>
      <c r="X1692" s="960">
        <f t="array" ref="X1692">HLOOKUP($J1692,'Type Chart'!$C$2:$T$20,5,false)*HLOOKUP($K1692,'Type Chart'!$C$2:$U$20,5,false)</f>
        <v>1</v>
      </c>
      <c r="Y1692" s="960">
        <f t="array" ref="Y1692">HLOOKUP($J1692,'Type Chart'!$C$2:$T$20,6,false)*HLOOKUP($K1692,'Type Chart'!$C$2:$U$20,6,false)</f>
        <v>1</v>
      </c>
      <c r="Z1692" s="960">
        <f t="array" ref="Z1692">HLOOKUP($J1692,'Type Chart'!$C$2:$T$20,7,false)*HLOOKUP($K1692,'Type Chart'!$C$2:$U$20,7,false)</f>
        <v>1</v>
      </c>
      <c r="AA1692" s="960">
        <f t="array" ref="AA1692">HLOOKUP($J1692,'Type Chart'!$C$2:$T$20,8,false)*HLOOKUP($K1692,'Type Chart'!$C$2:$U$20,8,false)</f>
        <v>1</v>
      </c>
      <c r="AB1692" s="960">
        <f t="array" ref="AB1692">HLOOKUP($J1692,'Type Chart'!$C$2:$T$20,9,false)*HLOOKUP($K1692,'Type Chart'!$C$2:$U$20,9,false)</f>
        <v>0</v>
      </c>
      <c r="AC1692" s="960">
        <f t="array" ref="AC1692">HLOOKUP($J1692,'Type Chart'!$C$2:$T$20,10,false)*HLOOKUP($K1692,'Type Chart'!$C$2:$U$20,10,false)</f>
        <v>1</v>
      </c>
      <c r="AD1692" s="960">
        <f t="array" ref="AD1692">HLOOKUP($J1692,'Type Chart'!$C$2:$T$20,11,false)*HLOOKUP($K1692,'Type Chart'!$C$2:$U$20,11,false)</f>
        <v>1</v>
      </c>
      <c r="AE1692" s="960">
        <f t="array" ref="AE1692">HLOOKUP($J1692,'Type Chart'!$C$2:$T$20,12,false)*HLOOKUP($K1692,'Type Chart'!$C$2:$U$20,12,false)</f>
        <v>1</v>
      </c>
      <c r="AF1692" s="960">
        <f t="array" ref="AF1692">HLOOKUP($J1692,'Type Chart'!$C$2:$T$20,13,false)*HLOOKUP($K1692,'Type Chart'!$C$2:$U$20,13,false)</f>
        <v>1</v>
      </c>
      <c r="AG1692" s="960">
        <f t="array" ref="AG1692">HLOOKUP($J1692,'Type Chart'!$C$2:$T$20,14,false)*HLOOKUP($K1692,'Type Chart'!$C$2:$U$20,14,false)</f>
        <v>1</v>
      </c>
      <c r="AH1692" s="960">
        <f t="array" ref="AH1692">HLOOKUP($J1692,'Type Chart'!$C$2:$T$20,15,false)*HLOOKUP($K1692,'Type Chart'!$C$2:$U$20,15,false)</f>
        <v>1</v>
      </c>
      <c r="AI1692" s="960">
        <f t="array" ref="AI1692">HLOOKUP($J1692,'Type Chart'!$C$2:$T$20,16,false)*HLOOKUP($K1692,'Type Chart'!$C$2:$U$20,16,false)</f>
        <v>1</v>
      </c>
      <c r="AJ1692" s="960">
        <f t="array" ref="AJ1692">HLOOKUP($J1692,'Type Chart'!$C$2:$T$20,17,false)*HLOOKUP($K1692,'Type Chart'!$C$2:$U$20,17,false)</f>
        <v>1</v>
      </c>
      <c r="AK1692" s="960">
        <f t="array" ref="AK1692">HLOOKUP($J1692,'Type Chart'!$C$2:$T$20,18,false)*HLOOKUP($K1692,'Type Chart'!$C$2:$U$20,18,false)</f>
        <v>1</v>
      </c>
      <c r="AL1692" s="960">
        <f t="array" ref="AL1692">HLOOKUP($J1692,'Type Chart'!$C$2:$T$20,19,false)*HLOOKUP($K1692,'Type Chart'!$C$2:$U$20,19,false)</f>
        <v>1</v>
      </c>
      <c r="AM1692" s="964" t="s">
        <v>1642</v>
      </c>
      <c r="AN1692" s="965"/>
      <c r="AO1692" s="966" t="s">
        <v>2254</v>
      </c>
      <c r="AP1692" s="936"/>
      <c r="AQ1692" s="1245"/>
      <c r="AR1692" s="1245"/>
      <c r="AS1692" s="936"/>
    </row>
    <row r="1693" ht="15.75" customHeight="1">
      <c r="A1693" s="1099"/>
      <c r="B1693" s="948" t="s">
        <v>2255</v>
      </c>
      <c r="C1693" s="1197" t="s">
        <v>2256</v>
      </c>
      <c r="D1693" s="1197" t="s">
        <v>2256</v>
      </c>
      <c r="E1693" s="1147" t="s">
        <v>2256</v>
      </c>
      <c r="F1693" s="940"/>
      <c r="G1693" s="953"/>
      <c r="H1693" s="969"/>
      <c r="I1693" s="998" t="s">
        <v>4793</v>
      </c>
      <c r="J1693" s="958" t="s">
        <v>178</v>
      </c>
      <c r="K1693" s="984" t="s">
        <v>216</v>
      </c>
      <c r="L1693" s="959">
        <v>73.0</v>
      </c>
      <c r="M1693" s="960">
        <v>100.0</v>
      </c>
      <c r="N1693" s="960">
        <v>60.0</v>
      </c>
      <c r="O1693" s="960">
        <v>100.0</v>
      </c>
      <c r="P1693" s="960">
        <v>60.0</v>
      </c>
      <c r="Q1693" s="960">
        <v>65.0</v>
      </c>
      <c r="R1693" s="960">
        <v>166.0</v>
      </c>
      <c r="S1693" s="960">
        <v>229.0</v>
      </c>
      <c r="T1693" s="960">
        <v>251.0</v>
      </c>
      <c r="U1693" s="960">
        <f t="array" ref="U1693">HLOOKUP($J1693,'Type Chart'!$C$2:$T$20,2,false)*HLOOKUP($K1693,'Type Chart'!$C$2:$U$20,2,false)</f>
        <v>1</v>
      </c>
      <c r="V1693" s="960">
        <f t="array" ref="V1693">HLOOKUP($J1693,'Type Chart'!$C$2:$T$20,3,false)*HLOOKUP($K1693,'Type Chart'!$C$2:$U$20,3,false)</f>
        <v>0.5</v>
      </c>
      <c r="W1693" s="960">
        <f t="array" ref="W1693">HLOOKUP($J1693,'Type Chart'!$C$2:$T$20,4,false)*HLOOKUP($K1693,'Type Chart'!$C$2:$U$20,4,false)</f>
        <v>1</v>
      </c>
      <c r="X1693" s="960">
        <f t="array" ref="X1693">HLOOKUP($J1693,'Type Chart'!$C$2:$T$20,5,false)*HLOOKUP($K1693,'Type Chart'!$C$2:$U$20,5,false)</f>
        <v>0.5</v>
      </c>
      <c r="Y1693" s="960">
        <f t="array" ref="Y1693">HLOOKUP($J1693,'Type Chart'!$C$2:$T$20,6,false)*HLOOKUP($K1693,'Type Chart'!$C$2:$U$20,6,false)</f>
        <v>2</v>
      </c>
      <c r="Z1693" s="960">
        <f t="array" ref="Z1693">HLOOKUP($J1693,'Type Chart'!$C$2:$T$20,7,false)*HLOOKUP($K1693,'Type Chart'!$C$2:$U$20,7,false)</f>
        <v>1</v>
      </c>
      <c r="AA1693" s="960">
        <f t="array" ref="AA1693">HLOOKUP($J1693,'Type Chart'!$C$2:$T$20,8,false)*HLOOKUP($K1693,'Type Chart'!$C$2:$U$20,8,false)</f>
        <v>0.5</v>
      </c>
      <c r="AB1693" s="960">
        <f t="array" ref="AB1693">HLOOKUP($J1693,'Type Chart'!$C$2:$T$20,9,false)*HLOOKUP($K1693,'Type Chart'!$C$2:$U$20,9,false)</f>
        <v>1</v>
      </c>
      <c r="AC1693" s="960">
        <f t="array" ref="AC1693">HLOOKUP($J1693,'Type Chart'!$C$2:$T$20,10,false)*HLOOKUP($K1693,'Type Chart'!$C$2:$U$20,10,false)</f>
        <v>1</v>
      </c>
      <c r="AD1693" s="960">
        <f t="array" ref="AD1693">HLOOKUP($J1693,'Type Chart'!$C$2:$T$20,11,false)*HLOOKUP($K1693,'Type Chart'!$C$2:$U$20,11,false)</f>
        <v>1</v>
      </c>
      <c r="AE1693" s="960">
        <f t="array" ref="AE1693">HLOOKUP($J1693,'Type Chart'!$C$2:$T$20,12,false)*HLOOKUP($K1693,'Type Chart'!$C$2:$U$20,12,false)</f>
        <v>1</v>
      </c>
      <c r="AF1693" s="960">
        <f t="array" ref="AF1693">HLOOKUP($J1693,'Type Chart'!$C$2:$T$20,13,false)*HLOOKUP($K1693,'Type Chart'!$C$2:$U$20,13,false)</f>
        <v>0.5</v>
      </c>
      <c r="AG1693" s="960">
        <f t="array" ref="AG1693">HLOOKUP($J1693,'Type Chart'!$C$2:$T$20,14,false)*HLOOKUP($K1693,'Type Chart'!$C$2:$U$20,14,false)</f>
        <v>1</v>
      </c>
      <c r="AH1693" s="960">
        <f t="array" ref="AH1693">HLOOKUP($J1693,'Type Chart'!$C$2:$T$20,15,false)*HLOOKUP($K1693,'Type Chart'!$C$2:$U$20,15,false)</f>
        <v>2</v>
      </c>
      <c r="AI1693" s="960">
        <f t="array" ref="AI1693">HLOOKUP($J1693,'Type Chart'!$C$2:$T$20,16,false)*HLOOKUP($K1693,'Type Chart'!$C$2:$U$20,16,false)</f>
        <v>1</v>
      </c>
      <c r="AJ1693" s="960">
        <f t="array" ref="AJ1693">HLOOKUP($J1693,'Type Chart'!$C$2:$T$20,17,false)*HLOOKUP($K1693,'Type Chart'!$C$2:$U$20,17,false)</f>
        <v>1</v>
      </c>
      <c r="AK1693" s="960">
        <f t="array" ref="AK1693">HLOOKUP($J1693,'Type Chart'!$C$2:$T$20,18,false)*HLOOKUP($K1693,'Type Chart'!$C$2:$U$20,18,false)</f>
        <v>1</v>
      </c>
      <c r="AL1693" s="960">
        <f t="array" ref="AL1693">HLOOKUP($J1693,'Type Chart'!$C$2:$T$20,19,false)*HLOOKUP($K1693,'Type Chart'!$C$2:$U$20,19,false)</f>
        <v>0.5</v>
      </c>
      <c r="AM1693" s="1145" t="s">
        <v>998</v>
      </c>
      <c r="AN1693" s="1202"/>
      <c r="AO1693" s="1146" t="s">
        <v>1193</v>
      </c>
      <c r="AP1693" s="936"/>
      <c r="AQ1693" s="1245"/>
      <c r="AR1693" s="1245"/>
      <c r="AS1693" s="936"/>
    </row>
    <row r="1694" ht="15.75" customHeight="1">
      <c r="A1694" s="1099"/>
      <c r="B1694" s="948" t="s">
        <v>2257</v>
      </c>
      <c r="C1694" s="1197" t="s">
        <v>2258</v>
      </c>
      <c r="D1694" s="1197" t="s">
        <v>2258</v>
      </c>
      <c r="E1694" s="1147" t="s">
        <v>2258</v>
      </c>
      <c r="F1694" s="940"/>
      <c r="G1694" s="953"/>
      <c r="H1694" s="969"/>
      <c r="I1694" s="998" t="s">
        <v>4794</v>
      </c>
      <c r="J1694" s="1214" t="s">
        <v>342</v>
      </c>
      <c r="K1694" s="1203" t="s">
        <v>344</v>
      </c>
      <c r="L1694" s="959">
        <v>90.0</v>
      </c>
      <c r="M1694" s="960">
        <v>55.0</v>
      </c>
      <c r="N1694" s="960">
        <v>65.0</v>
      </c>
      <c r="O1694" s="960">
        <v>95.0</v>
      </c>
      <c r="P1694" s="960">
        <v>85.0</v>
      </c>
      <c r="Q1694" s="960">
        <v>70.0</v>
      </c>
      <c r="R1694" s="960">
        <v>176.0</v>
      </c>
      <c r="S1694" s="960">
        <v>239.0</v>
      </c>
      <c r="T1694" s="960">
        <v>262.0</v>
      </c>
      <c r="U1694" s="960">
        <f t="array" ref="U1694">HLOOKUP($J1694,'Type Chart'!$C$2:$T$20,2,false)*HLOOKUP($K1694,'Type Chart'!$C$2:$U$20,2,false)</f>
        <v>0.5</v>
      </c>
      <c r="V1694" s="960">
        <f t="array" ref="V1694">HLOOKUP($J1694,'Type Chart'!$C$2:$T$20,3,false)*HLOOKUP($K1694,'Type Chart'!$C$2:$U$20,3,false)</f>
        <v>1</v>
      </c>
      <c r="W1694" s="960">
        <f t="array" ref="W1694">HLOOKUP($J1694,'Type Chart'!$C$2:$T$20,4,false)*HLOOKUP($K1694,'Type Chart'!$C$2:$U$20,4,false)</f>
        <v>0.5</v>
      </c>
      <c r="X1694" s="960">
        <f t="array" ref="X1694">HLOOKUP($J1694,'Type Chart'!$C$2:$T$20,5,false)*HLOOKUP($K1694,'Type Chart'!$C$2:$U$20,5,false)</f>
        <v>0.5</v>
      </c>
      <c r="Y1694" s="960">
        <f t="array" ref="Y1694">HLOOKUP($J1694,'Type Chart'!$C$2:$T$20,6,false)*HLOOKUP($K1694,'Type Chart'!$C$2:$U$20,6,false)</f>
        <v>2</v>
      </c>
      <c r="Z1694" s="960">
        <f t="array" ref="Z1694">HLOOKUP($J1694,'Type Chart'!$C$2:$T$20,7,false)*HLOOKUP($K1694,'Type Chart'!$C$2:$U$20,7,false)</f>
        <v>1</v>
      </c>
      <c r="AA1694" s="960">
        <f t="array" ref="AA1694">HLOOKUP($J1694,'Type Chart'!$C$2:$T$20,8,false)*HLOOKUP($K1694,'Type Chart'!$C$2:$U$20,8,false)</f>
        <v>2</v>
      </c>
      <c r="AB1694" s="960">
        <f t="array" ref="AB1694">HLOOKUP($J1694,'Type Chart'!$C$2:$T$20,9,false)*HLOOKUP($K1694,'Type Chart'!$C$2:$U$20,9,false)</f>
        <v>2</v>
      </c>
      <c r="AC1694" s="960">
        <f t="array" ref="AC1694">HLOOKUP($J1694,'Type Chart'!$C$2:$T$20,10,false)*HLOOKUP($K1694,'Type Chart'!$C$2:$U$20,10,false)</f>
        <v>2</v>
      </c>
      <c r="AD1694" s="960">
        <f t="array" ref="AD1694">HLOOKUP($J1694,'Type Chart'!$C$2:$T$20,11,false)*HLOOKUP($K1694,'Type Chart'!$C$2:$U$20,11,false)</f>
        <v>0.5</v>
      </c>
      <c r="AE1694" s="960">
        <f t="array" ref="AE1694">HLOOKUP($J1694,'Type Chart'!$C$2:$T$20,12,false)*HLOOKUP($K1694,'Type Chart'!$C$2:$U$20,12,false)</f>
        <v>2</v>
      </c>
      <c r="AF1694" s="960">
        <f t="array" ref="AF1694">HLOOKUP($J1694,'Type Chart'!$C$2:$T$20,13,false)*HLOOKUP($K1694,'Type Chart'!$C$2:$U$20,13,false)</f>
        <v>2</v>
      </c>
      <c r="AG1694" s="960">
        <f t="array" ref="AG1694">HLOOKUP($J1694,'Type Chart'!$C$2:$T$20,14,false)*HLOOKUP($K1694,'Type Chart'!$C$2:$U$20,14,false)</f>
        <v>1</v>
      </c>
      <c r="AH1694" s="960">
        <f t="array" ref="AH1694">HLOOKUP($J1694,'Type Chart'!$C$2:$T$20,15,false)*HLOOKUP($K1694,'Type Chart'!$C$2:$U$20,15,false)</f>
        <v>0.5</v>
      </c>
      <c r="AI1694" s="960">
        <f t="array" ref="AI1694">HLOOKUP($J1694,'Type Chart'!$C$2:$T$20,16,false)*HLOOKUP($K1694,'Type Chart'!$C$2:$U$20,16,false)</f>
        <v>1</v>
      </c>
      <c r="AJ1694" s="960">
        <f t="array" ref="AJ1694">HLOOKUP($J1694,'Type Chart'!$C$2:$T$20,17,false)*HLOOKUP($K1694,'Type Chart'!$C$2:$U$20,17,false)</f>
        <v>1</v>
      </c>
      <c r="AK1694" s="960">
        <f t="array" ref="AK1694">HLOOKUP($J1694,'Type Chart'!$C$2:$T$20,18,false)*HLOOKUP($K1694,'Type Chart'!$C$2:$U$20,18,false)</f>
        <v>2</v>
      </c>
      <c r="AL1694" s="960">
        <f t="array" ref="AL1694">HLOOKUP($J1694,'Type Chart'!$C$2:$T$20,19,false)*HLOOKUP($K1694,'Type Chart'!$C$2:$U$20,19,false)</f>
        <v>1</v>
      </c>
      <c r="AM1694" s="964" t="s">
        <v>1437</v>
      </c>
      <c r="AN1694" s="965"/>
      <c r="AO1694" s="966"/>
      <c r="AP1694" s="936"/>
      <c r="AQ1694" s="1245"/>
      <c r="AR1694" s="1245"/>
      <c r="AS1694" s="936"/>
    </row>
    <row r="1695" ht="15.75" customHeight="1">
      <c r="A1695" s="1099"/>
      <c r="B1695" s="948" t="s">
        <v>2260</v>
      </c>
      <c r="C1695" s="1197" t="s">
        <v>2261</v>
      </c>
      <c r="D1695" s="1197" t="s">
        <v>2261</v>
      </c>
      <c r="E1695" s="1147" t="s">
        <v>2261</v>
      </c>
      <c r="F1695" s="940"/>
      <c r="G1695" s="953"/>
      <c r="H1695" s="969"/>
      <c r="I1695" s="998" t="s">
        <v>4795</v>
      </c>
      <c r="J1695" s="1214" t="s">
        <v>342</v>
      </c>
      <c r="K1695" s="1203" t="s">
        <v>344</v>
      </c>
      <c r="L1695" s="959">
        <v>90.0</v>
      </c>
      <c r="M1695" s="960">
        <v>95.0</v>
      </c>
      <c r="N1695" s="960">
        <v>85.0</v>
      </c>
      <c r="O1695" s="960">
        <v>55.0</v>
      </c>
      <c r="P1695" s="960">
        <v>65.0</v>
      </c>
      <c r="Q1695" s="960">
        <v>70.0</v>
      </c>
      <c r="R1695" s="960">
        <v>176.0</v>
      </c>
      <c r="S1695" s="960">
        <v>239.0</v>
      </c>
      <c r="T1695" s="960">
        <v>262.0</v>
      </c>
      <c r="U1695" s="960">
        <f t="array" ref="U1695">HLOOKUP($J1695,'Type Chart'!$C$2:$T$20,2,false)*HLOOKUP($K1695,'Type Chart'!$C$2:$U$20,2,false)</f>
        <v>0.5</v>
      </c>
      <c r="V1695" s="960">
        <f t="array" ref="V1695">HLOOKUP($J1695,'Type Chart'!$C$2:$T$20,3,false)*HLOOKUP($K1695,'Type Chart'!$C$2:$U$20,3,false)</f>
        <v>1</v>
      </c>
      <c r="W1695" s="960">
        <f t="array" ref="W1695">HLOOKUP($J1695,'Type Chart'!$C$2:$T$20,4,false)*HLOOKUP($K1695,'Type Chart'!$C$2:$U$20,4,false)</f>
        <v>0.5</v>
      </c>
      <c r="X1695" s="960">
        <f t="array" ref="X1695">HLOOKUP($J1695,'Type Chart'!$C$2:$T$20,5,false)*HLOOKUP($K1695,'Type Chart'!$C$2:$U$20,5,false)</f>
        <v>0.5</v>
      </c>
      <c r="Y1695" s="960">
        <f t="array" ref="Y1695">HLOOKUP($J1695,'Type Chart'!$C$2:$T$20,6,false)*HLOOKUP($K1695,'Type Chart'!$C$2:$U$20,6,false)</f>
        <v>2</v>
      </c>
      <c r="Z1695" s="960">
        <f t="array" ref="Z1695">HLOOKUP($J1695,'Type Chart'!$C$2:$T$20,7,false)*HLOOKUP($K1695,'Type Chart'!$C$2:$U$20,7,false)</f>
        <v>1</v>
      </c>
      <c r="AA1695" s="960">
        <f t="array" ref="AA1695">HLOOKUP($J1695,'Type Chart'!$C$2:$T$20,8,false)*HLOOKUP($K1695,'Type Chart'!$C$2:$U$20,8,false)</f>
        <v>2</v>
      </c>
      <c r="AB1695" s="960">
        <f t="array" ref="AB1695">HLOOKUP($J1695,'Type Chart'!$C$2:$T$20,9,false)*HLOOKUP($K1695,'Type Chart'!$C$2:$U$20,9,false)</f>
        <v>2</v>
      </c>
      <c r="AC1695" s="960">
        <f t="array" ref="AC1695">HLOOKUP($J1695,'Type Chart'!$C$2:$T$20,10,false)*HLOOKUP($K1695,'Type Chart'!$C$2:$U$20,10,false)</f>
        <v>2</v>
      </c>
      <c r="AD1695" s="960">
        <f t="array" ref="AD1695">HLOOKUP($J1695,'Type Chart'!$C$2:$T$20,11,false)*HLOOKUP($K1695,'Type Chart'!$C$2:$U$20,11,false)</f>
        <v>0.5</v>
      </c>
      <c r="AE1695" s="960">
        <f t="array" ref="AE1695">HLOOKUP($J1695,'Type Chart'!$C$2:$T$20,12,false)*HLOOKUP($K1695,'Type Chart'!$C$2:$U$20,12,false)</f>
        <v>2</v>
      </c>
      <c r="AF1695" s="960">
        <f t="array" ref="AF1695">HLOOKUP($J1695,'Type Chart'!$C$2:$T$20,13,false)*HLOOKUP($K1695,'Type Chart'!$C$2:$U$20,13,false)</f>
        <v>2</v>
      </c>
      <c r="AG1695" s="960">
        <f t="array" ref="AG1695">HLOOKUP($J1695,'Type Chart'!$C$2:$T$20,14,false)*HLOOKUP($K1695,'Type Chart'!$C$2:$U$20,14,false)</f>
        <v>1</v>
      </c>
      <c r="AH1695" s="960">
        <f t="array" ref="AH1695">HLOOKUP($J1695,'Type Chart'!$C$2:$T$20,15,false)*HLOOKUP($K1695,'Type Chart'!$C$2:$U$20,15,false)</f>
        <v>0.5</v>
      </c>
      <c r="AI1695" s="960">
        <f t="array" ref="AI1695">HLOOKUP($J1695,'Type Chart'!$C$2:$T$20,16,false)*HLOOKUP($K1695,'Type Chart'!$C$2:$U$20,16,false)</f>
        <v>1</v>
      </c>
      <c r="AJ1695" s="960">
        <f t="array" ref="AJ1695">HLOOKUP($J1695,'Type Chart'!$C$2:$T$20,17,false)*HLOOKUP($K1695,'Type Chart'!$C$2:$U$20,17,false)</f>
        <v>1</v>
      </c>
      <c r="AK1695" s="960">
        <f t="array" ref="AK1695">HLOOKUP($J1695,'Type Chart'!$C$2:$T$20,18,false)*HLOOKUP($K1695,'Type Chart'!$C$2:$U$20,18,false)</f>
        <v>2</v>
      </c>
      <c r="AL1695" s="960">
        <f t="array" ref="AL1695">HLOOKUP($J1695,'Type Chart'!$C$2:$T$20,19,false)*HLOOKUP($K1695,'Type Chart'!$C$2:$U$20,19,false)</f>
        <v>1</v>
      </c>
      <c r="AM1695" s="964" t="s">
        <v>1437</v>
      </c>
      <c r="AN1695" s="965"/>
      <c r="AO1695" s="966"/>
      <c r="AP1695" s="936"/>
      <c r="AQ1695" s="1245"/>
      <c r="AR1695" s="1245"/>
      <c r="AS1695" s="936"/>
    </row>
    <row r="1696" ht="15.75" customHeight="1">
      <c r="A1696" s="1099"/>
      <c r="B1696" s="948" t="s">
        <v>2263</v>
      </c>
      <c r="C1696" s="1197" t="s">
        <v>2264</v>
      </c>
      <c r="D1696" s="1197" t="s">
        <v>2264</v>
      </c>
      <c r="E1696" s="1147" t="s">
        <v>2264</v>
      </c>
      <c r="F1696" s="940"/>
      <c r="G1696" s="953"/>
      <c r="H1696" s="969"/>
      <c r="I1696" s="998" t="s">
        <v>4796</v>
      </c>
      <c r="J1696" s="1056" t="s">
        <v>81</v>
      </c>
      <c r="K1696" s="1204" t="s">
        <v>80</v>
      </c>
      <c r="L1696" s="959">
        <v>50.0</v>
      </c>
      <c r="M1696" s="960">
        <v>48.0</v>
      </c>
      <c r="N1696" s="960">
        <v>43.0</v>
      </c>
      <c r="O1696" s="960">
        <v>46.0</v>
      </c>
      <c r="P1696" s="960">
        <v>41.0</v>
      </c>
      <c r="Q1696" s="960">
        <v>60.0</v>
      </c>
      <c r="R1696" s="960">
        <v>156.0</v>
      </c>
      <c r="S1696" s="960">
        <v>219.0</v>
      </c>
      <c r="T1696" s="960">
        <v>240.0</v>
      </c>
      <c r="U1696" s="960">
        <f t="array" ref="U1696">HLOOKUP($J1696,'Type Chart'!$C$2:$T$20,2,false)*HLOOKUP($K1696,'Type Chart'!$C$2:$U$20,2,false)</f>
        <v>1</v>
      </c>
      <c r="V1696" s="960">
        <f t="array" ref="V1696">HLOOKUP($J1696,'Type Chart'!$C$2:$T$20,3,false)*HLOOKUP($K1696,'Type Chart'!$C$2:$U$20,3,false)</f>
        <v>1</v>
      </c>
      <c r="W1696" s="960">
        <f t="array" ref="W1696">HLOOKUP($J1696,'Type Chart'!$C$2:$T$20,4,false)*HLOOKUP($K1696,'Type Chart'!$C$2:$U$20,4,false)</f>
        <v>1</v>
      </c>
      <c r="X1696" s="960">
        <f t="array" ref="X1696">HLOOKUP($J1696,'Type Chart'!$C$2:$T$20,5,false)*HLOOKUP($K1696,'Type Chart'!$C$2:$U$20,5,false)</f>
        <v>0.5</v>
      </c>
      <c r="Y1696" s="960">
        <f t="array" ref="Y1696">HLOOKUP($J1696,'Type Chart'!$C$2:$T$20,6,false)*HLOOKUP($K1696,'Type Chart'!$C$2:$U$20,6,false)</f>
        <v>1</v>
      </c>
      <c r="Z1696" s="960">
        <f t="array" ref="Z1696">HLOOKUP($J1696,'Type Chart'!$C$2:$T$20,7,false)*HLOOKUP($K1696,'Type Chart'!$C$2:$U$20,7,false)</f>
        <v>0.5</v>
      </c>
      <c r="AA1696" s="960">
        <f t="array" ref="AA1696">HLOOKUP($J1696,'Type Chart'!$C$2:$T$20,8,false)*HLOOKUP($K1696,'Type Chart'!$C$2:$U$20,8,false)</f>
        <v>1</v>
      </c>
      <c r="AB1696" s="960">
        <f t="array" ref="AB1696">HLOOKUP($J1696,'Type Chart'!$C$2:$T$20,9,false)*HLOOKUP($K1696,'Type Chart'!$C$2:$U$20,9,false)</f>
        <v>1</v>
      </c>
      <c r="AC1696" s="960">
        <f t="array" ref="AC1696">HLOOKUP($J1696,'Type Chart'!$C$2:$T$20,10,false)*HLOOKUP($K1696,'Type Chart'!$C$2:$U$20,10,false)</f>
        <v>0.5</v>
      </c>
      <c r="AD1696" s="960">
        <f t="array" ref="AD1696">HLOOKUP($J1696,'Type Chart'!$C$2:$T$20,11,false)*HLOOKUP($K1696,'Type Chart'!$C$2:$U$20,11,false)</f>
        <v>0.5</v>
      </c>
      <c r="AE1696" s="960">
        <f t="array" ref="AE1696">HLOOKUP($J1696,'Type Chart'!$C$2:$T$20,12,false)*HLOOKUP($K1696,'Type Chart'!$C$2:$U$20,12,false)</f>
        <v>1</v>
      </c>
      <c r="AF1696" s="960">
        <f t="array" ref="AF1696">HLOOKUP($J1696,'Type Chart'!$C$2:$T$20,13,false)*HLOOKUP($K1696,'Type Chart'!$C$2:$U$20,13,false)</f>
        <v>4</v>
      </c>
      <c r="AG1696" s="960">
        <f t="array" ref="AG1696">HLOOKUP($J1696,'Type Chart'!$C$2:$T$20,14,false)*HLOOKUP($K1696,'Type Chart'!$C$2:$U$20,14,false)</f>
        <v>0</v>
      </c>
      <c r="AH1696" s="960">
        <f t="array" ref="AH1696">HLOOKUP($J1696,'Type Chart'!$C$2:$T$20,15,false)*HLOOKUP($K1696,'Type Chart'!$C$2:$U$20,15,false)</f>
        <v>1</v>
      </c>
      <c r="AI1696" s="960">
        <f t="array" ref="AI1696">HLOOKUP($J1696,'Type Chart'!$C$2:$T$20,16,false)*HLOOKUP($K1696,'Type Chart'!$C$2:$U$20,16,false)</f>
        <v>1</v>
      </c>
      <c r="AJ1696" s="960">
        <f t="array" ref="AJ1696">HLOOKUP($J1696,'Type Chart'!$C$2:$T$20,17,false)*HLOOKUP($K1696,'Type Chart'!$C$2:$U$20,17,false)</f>
        <v>1</v>
      </c>
      <c r="AK1696" s="960">
        <f t="array" ref="AK1696">HLOOKUP($J1696,'Type Chart'!$C$2:$T$20,18,false)*HLOOKUP($K1696,'Type Chart'!$C$2:$U$20,18,false)</f>
        <v>1</v>
      </c>
      <c r="AL1696" s="960">
        <f t="array" ref="AL1696">HLOOKUP($J1696,'Type Chart'!$C$2:$T$20,19,false)*HLOOKUP($K1696,'Type Chart'!$C$2:$U$20,19,false)</f>
        <v>1</v>
      </c>
      <c r="AM1696" s="964" t="s">
        <v>1369</v>
      </c>
      <c r="AN1696" s="965" t="s">
        <v>1359</v>
      </c>
      <c r="AO1696" s="966" t="s">
        <v>1409</v>
      </c>
      <c r="AP1696" s="936"/>
      <c r="AQ1696" s="1245"/>
      <c r="AR1696" s="1245"/>
      <c r="AS1696" s="936"/>
    </row>
    <row r="1697" ht="15.75" customHeight="1">
      <c r="A1697" s="1099"/>
      <c r="B1697" s="948" t="s">
        <v>2266</v>
      </c>
      <c r="C1697" s="1197" t="s">
        <v>2267</v>
      </c>
      <c r="D1697" s="1197" t="s">
        <v>2267</v>
      </c>
      <c r="E1697" s="1147" t="s">
        <v>2267</v>
      </c>
      <c r="F1697" s="940"/>
      <c r="G1697" s="953"/>
      <c r="H1697" s="969"/>
      <c r="I1697" s="998" t="s">
        <v>4797</v>
      </c>
      <c r="J1697" s="1056" t="s">
        <v>81</v>
      </c>
      <c r="K1697" s="1204" t="s">
        <v>80</v>
      </c>
      <c r="L1697" s="959">
        <v>110.0</v>
      </c>
      <c r="M1697" s="960">
        <v>78.0</v>
      </c>
      <c r="N1697" s="960">
        <v>73.0</v>
      </c>
      <c r="O1697" s="960">
        <v>76.0</v>
      </c>
      <c r="P1697" s="960">
        <v>71.0</v>
      </c>
      <c r="Q1697" s="960">
        <v>60.0</v>
      </c>
      <c r="R1697" s="960">
        <v>156.0</v>
      </c>
      <c r="S1697" s="960">
        <v>219.0</v>
      </c>
      <c r="T1697" s="960">
        <v>240.0</v>
      </c>
      <c r="U1697" s="960">
        <f t="array" ref="U1697">HLOOKUP($J1697,'Type Chart'!$C$2:$T$20,2,false)*HLOOKUP($K1697,'Type Chart'!$C$2:$U$20,2,false)</f>
        <v>1</v>
      </c>
      <c r="V1697" s="960">
        <f t="array" ref="V1697">HLOOKUP($J1697,'Type Chart'!$C$2:$T$20,3,false)*HLOOKUP($K1697,'Type Chart'!$C$2:$U$20,3,false)</f>
        <v>1</v>
      </c>
      <c r="W1697" s="960">
        <f t="array" ref="W1697">HLOOKUP($J1697,'Type Chart'!$C$2:$T$20,4,false)*HLOOKUP($K1697,'Type Chart'!$C$2:$U$20,4,false)</f>
        <v>1</v>
      </c>
      <c r="X1697" s="960">
        <f t="array" ref="X1697">HLOOKUP($J1697,'Type Chart'!$C$2:$T$20,5,false)*HLOOKUP($K1697,'Type Chart'!$C$2:$U$20,5,false)</f>
        <v>0.5</v>
      </c>
      <c r="Y1697" s="960">
        <f t="array" ref="Y1697">HLOOKUP($J1697,'Type Chart'!$C$2:$T$20,6,false)*HLOOKUP($K1697,'Type Chart'!$C$2:$U$20,6,false)</f>
        <v>1</v>
      </c>
      <c r="Z1697" s="960">
        <f t="array" ref="Z1697">HLOOKUP($J1697,'Type Chart'!$C$2:$T$20,7,false)*HLOOKUP($K1697,'Type Chart'!$C$2:$U$20,7,false)</f>
        <v>0.5</v>
      </c>
      <c r="AA1697" s="960">
        <f t="array" ref="AA1697">HLOOKUP($J1697,'Type Chart'!$C$2:$T$20,8,false)*HLOOKUP($K1697,'Type Chart'!$C$2:$U$20,8,false)</f>
        <v>1</v>
      </c>
      <c r="AB1697" s="960">
        <f t="array" ref="AB1697">HLOOKUP($J1697,'Type Chart'!$C$2:$T$20,9,false)*HLOOKUP($K1697,'Type Chart'!$C$2:$U$20,9,false)</f>
        <v>1</v>
      </c>
      <c r="AC1697" s="960">
        <f t="array" ref="AC1697">HLOOKUP($J1697,'Type Chart'!$C$2:$T$20,10,false)*HLOOKUP($K1697,'Type Chart'!$C$2:$U$20,10,false)</f>
        <v>0.5</v>
      </c>
      <c r="AD1697" s="960">
        <f t="array" ref="AD1697">HLOOKUP($J1697,'Type Chart'!$C$2:$T$20,11,false)*HLOOKUP($K1697,'Type Chart'!$C$2:$U$20,11,false)</f>
        <v>0.5</v>
      </c>
      <c r="AE1697" s="960">
        <f t="array" ref="AE1697">HLOOKUP($J1697,'Type Chart'!$C$2:$T$20,12,false)*HLOOKUP($K1697,'Type Chart'!$C$2:$U$20,12,false)</f>
        <v>1</v>
      </c>
      <c r="AF1697" s="960">
        <f t="array" ref="AF1697">HLOOKUP($J1697,'Type Chart'!$C$2:$T$20,13,false)*HLOOKUP($K1697,'Type Chart'!$C$2:$U$20,13,false)</f>
        <v>4</v>
      </c>
      <c r="AG1697" s="960">
        <f t="array" ref="AG1697">HLOOKUP($J1697,'Type Chart'!$C$2:$T$20,14,false)*HLOOKUP($K1697,'Type Chart'!$C$2:$U$20,14,false)</f>
        <v>0</v>
      </c>
      <c r="AH1697" s="960">
        <f t="array" ref="AH1697">HLOOKUP($J1697,'Type Chart'!$C$2:$T$20,15,false)*HLOOKUP($K1697,'Type Chart'!$C$2:$U$20,15,false)</f>
        <v>1</v>
      </c>
      <c r="AI1697" s="960">
        <f t="array" ref="AI1697">HLOOKUP($J1697,'Type Chart'!$C$2:$T$20,16,false)*HLOOKUP($K1697,'Type Chart'!$C$2:$U$20,16,false)</f>
        <v>1</v>
      </c>
      <c r="AJ1697" s="960">
        <f t="array" ref="AJ1697">HLOOKUP($J1697,'Type Chart'!$C$2:$T$20,17,false)*HLOOKUP($K1697,'Type Chart'!$C$2:$U$20,17,false)</f>
        <v>1</v>
      </c>
      <c r="AK1697" s="960">
        <f t="array" ref="AK1697">HLOOKUP($J1697,'Type Chart'!$C$2:$T$20,18,false)*HLOOKUP($K1697,'Type Chart'!$C$2:$U$20,18,false)</f>
        <v>1</v>
      </c>
      <c r="AL1697" s="960">
        <f t="array" ref="AL1697">HLOOKUP($J1697,'Type Chart'!$C$2:$T$20,19,false)*HLOOKUP($K1697,'Type Chart'!$C$2:$U$20,19,false)</f>
        <v>1</v>
      </c>
      <c r="AM1697" s="964" t="s">
        <v>1369</v>
      </c>
      <c r="AN1697" s="965" t="s">
        <v>1359</v>
      </c>
      <c r="AO1697" s="966" t="s">
        <v>1409</v>
      </c>
      <c r="AP1697" s="936"/>
      <c r="AQ1697" s="1245"/>
      <c r="AR1697" s="1245"/>
      <c r="AS1697" s="936"/>
    </row>
    <row r="1698" ht="15.75" customHeight="1">
      <c r="A1698" s="1099"/>
      <c r="B1698" s="948" t="s">
        <v>2268</v>
      </c>
      <c r="C1698" s="1197" t="s">
        <v>2269</v>
      </c>
      <c r="D1698" s="1197" t="s">
        <v>2269</v>
      </c>
      <c r="E1698" s="1147" t="s">
        <v>2269</v>
      </c>
      <c r="F1698" s="940"/>
      <c r="G1698" s="953"/>
      <c r="H1698" s="969"/>
      <c r="I1698" s="998" t="s">
        <v>4798</v>
      </c>
      <c r="J1698" s="1056" t="s">
        <v>81</v>
      </c>
      <c r="K1698" s="984" t="s">
        <v>216</v>
      </c>
      <c r="L1698" s="959">
        <v>43.0</v>
      </c>
      <c r="M1698" s="960">
        <v>80.0</v>
      </c>
      <c r="N1698" s="960">
        <v>65.0</v>
      </c>
      <c r="O1698" s="960">
        <v>50.0</v>
      </c>
      <c r="P1698" s="960">
        <v>35.0</v>
      </c>
      <c r="Q1698" s="960">
        <v>35.0</v>
      </c>
      <c r="R1698" s="960">
        <v>106.0</v>
      </c>
      <c r="S1698" s="960">
        <v>169.0</v>
      </c>
      <c r="T1698" s="960">
        <v>185.0</v>
      </c>
      <c r="U1698" s="960">
        <f t="array" ref="U1698">HLOOKUP($J1698,'Type Chart'!$C$2:$T$20,2,false)*HLOOKUP($K1698,'Type Chart'!$C$2:$U$20,2,false)</f>
        <v>1</v>
      </c>
      <c r="V1698" s="960">
        <f t="array" ref="V1698">HLOOKUP($J1698,'Type Chart'!$C$2:$T$20,3,false)*HLOOKUP($K1698,'Type Chart'!$C$2:$U$20,3,false)</f>
        <v>1</v>
      </c>
      <c r="W1698" s="960">
        <f t="array" ref="W1698">HLOOKUP($J1698,'Type Chart'!$C$2:$T$20,4,false)*HLOOKUP($K1698,'Type Chart'!$C$2:$U$20,4,false)</f>
        <v>1</v>
      </c>
      <c r="X1698" s="960">
        <f t="array" ref="X1698">HLOOKUP($J1698,'Type Chart'!$C$2:$T$20,5,false)*HLOOKUP($K1698,'Type Chart'!$C$2:$U$20,5,false)</f>
        <v>1</v>
      </c>
      <c r="Y1698" s="960">
        <f t="array" ref="Y1698">HLOOKUP($J1698,'Type Chart'!$C$2:$T$20,6,false)*HLOOKUP($K1698,'Type Chart'!$C$2:$U$20,6,false)</f>
        <v>1</v>
      </c>
      <c r="Z1698" s="960">
        <f t="array" ref="Z1698">HLOOKUP($J1698,'Type Chart'!$C$2:$T$20,7,false)*HLOOKUP($K1698,'Type Chart'!$C$2:$U$20,7,false)</f>
        <v>1</v>
      </c>
      <c r="AA1698" s="960">
        <f t="array" ref="AA1698">HLOOKUP($J1698,'Type Chart'!$C$2:$T$20,8,false)*HLOOKUP($K1698,'Type Chart'!$C$2:$U$20,8,false)</f>
        <v>1</v>
      </c>
      <c r="AB1698" s="960">
        <f t="array" ref="AB1698">HLOOKUP($J1698,'Type Chart'!$C$2:$T$20,9,false)*HLOOKUP($K1698,'Type Chart'!$C$2:$U$20,9,false)</f>
        <v>1</v>
      </c>
      <c r="AC1698" s="960">
        <f t="array" ref="AC1698">HLOOKUP($J1698,'Type Chart'!$C$2:$T$20,10,false)*HLOOKUP($K1698,'Type Chart'!$C$2:$U$20,10,false)</f>
        <v>0.5</v>
      </c>
      <c r="AD1698" s="960">
        <f t="array" ref="AD1698">HLOOKUP($J1698,'Type Chart'!$C$2:$T$20,11,false)*HLOOKUP($K1698,'Type Chart'!$C$2:$U$20,11,false)</f>
        <v>0.5</v>
      </c>
      <c r="AE1698" s="960">
        <f t="array" ref="AE1698">HLOOKUP($J1698,'Type Chart'!$C$2:$T$20,12,false)*HLOOKUP($K1698,'Type Chart'!$C$2:$U$20,12,false)</f>
        <v>0.5</v>
      </c>
      <c r="AF1698" s="960">
        <f t="array" ref="AF1698">HLOOKUP($J1698,'Type Chart'!$C$2:$T$20,13,false)*HLOOKUP($K1698,'Type Chart'!$C$2:$U$20,13,false)</f>
        <v>2</v>
      </c>
      <c r="AG1698" s="960">
        <f t="array" ref="AG1698">HLOOKUP($J1698,'Type Chart'!$C$2:$T$20,14,false)*HLOOKUP($K1698,'Type Chart'!$C$2:$U$20,14,false)</f>
        <v>2</v>
      </c>
      <c r="AH1698" s="960">
        <f t="array" ref="AH1698">HLOOKUP($J1698,'Type Chart'!$C$2:$T$20,15,false)*HLOOKUP($K1698,'Type Chart'!$C$2:$U$20,15,false)</f>
        <v>1</v>
      </c>
      <c r="AI1698" s="960">
        <f t="array" ref="AI1698">HLOOKUP($J1698,'Type Chart'!$C$2:$T$20,16,false)*HLOOKUP($K1698,'Type Chart'!$C$2:$U$20,16,false)</f>
        <v>0.5</v>
      </c>
      <c r="AJ1698" s="960">
        <f t="array" ref="AJ1698">HLOOKUP($J1698,'Type Chart'!$C$2:$T$20,17,false)*HLOOKUP($K1698,'Type Chart'!$C$2:$U$20,17,false)</f>
        <v>1</v>
      </c>
      <c r="AK1698" s="960">
        <f t="array" ref="AK1698">HLOOKUP($J1698,'Type Chart'!$C$2:$T$20,18,false)*HLOOKUP($K1698,'Type Chart'!$C$2:$U$20,18,false)</f>
        <v>1</v>
      </c>
      <c r="AL1698" s="960">
        <f t="array" ref="AL1698">HLOOKUP($J1698,'Type Chart'!$C$2:$T$20,19,false)*HLOOKUP($K1698,'Type Chart'!$C$2:$U$20,19,false)</f>
        <v>1</v>
      </c>
      <c r="AM1698" s="964" t="s">
        <v>1461</v>
      </c>
      <c r="AN1698" s="965" t="s">
        <v>1385</v>
      </c>
      <c r="AO1698" s="966" t="s">
        <v>1018</v>
      </c>
      <c r="AP1698" s="936"/>
      <c r="AQ1698" s="1245"/>
      <c r="AR1698" s="1245"/>
      <c r="AS1698" s="936"/>
    </row>
    <row r="1699" ht="15.75" customHeight="1">
      <c r="A1699" s="1099"/>
      <c r="B1699" s="948" t="s">
        <v>2271</v>
      </c>
      <c r="C1699" s="1197" t="s">
        <v>2272</v>
      </c>
      <c r="D1699" s="1197" t="s">
        <v>2272</v>
      </c>
      <c r="E1699" s="1147" t="s">
        <v>2272</v>
      </c>
      <c r="F1699" s="940"/>
      <c r="G1699" s="953"/>
      <c r="H1699" s="969"/>
      <c r="I1699" s="998" t="s">
        <v>4799</v>
      </c>
      <c r="J1699" s="1056" t="s">
        <v>81</v>
      </c>
      <c r="K1699" s="1195" t="s">
        <v>193</v>
      </c>
      <c r="L1699" s="959">
        <v>63.0</v>
      </c>
      <c r="M1699" s="960">
        <v>120.0</v>
      </c>
      <c r="N1699" s="960">
        <v>85.0</v>
      </c>
      <c r="O1699" s="960">
        <v>90.0</v>
      </c>
      <c r="P1699" s="960">
        <v>55.0</v>
      </c>
      <c r="Q1699" s="960">
        <v>55.0</v>
      </c>
      <c r="R1699" s="960">
        <v>146.0</v>
      </c>
      <c r="S1699" s="960">
        <v>209.0</v>
      </c>
      <c r="T1699" s="960">
        <v>229.0</v>
      </c>
      <c r="U1699" s="960">
        <f t="array" ref="U1699">HLOOKUP($J1699,'Type Chart'!$C$2:$T$20,2,false)*HLOOKUP($K1699,'Type Chart'!$C$2:$U$20,2,false)</f>
        <v>1</v>
      </c>
      <c r="V1699" s="960">
        <f t="array" ref="V1699">HLOOKUP($J1699,'Type Chart'!$C$2:$T$20,3,false)*HLOOKUP($K1699,'Type Chart'!$C$2:$U$20,3,false)</f>
        <v>2</v>
      </c>
      <c r="W1699" s="960">
        <f t="array" ref="W1699">HLOOKUP($J1699,'Type Chart'!$C$2:$T$20,4,false)*HLOOKUP($K1699,'Type Chart'!$C$2:$U$20,4,false)</f>
        <v>1</v>
      </c>
      <c r="X1699" s="960">
        <f t="array" ref="X1699">HLOOKUP($J1699,'Type Chart'!$C$2:$T$20,5,false)*HLOOKUP($K1699,'Type Chart'!$C$2:$U$20,5,false)</f>
        <v>1</v>
      </c>
      <c r="Y1699" s="960">
        <f t="array" ref="Y1699">HLOOKUP($J1699,'Type Chart'!$C$2:$T$20,6,false)*HLOOKUP($K1699,'Type Chart'!$C$2:$U$20,6,false)</f>
        <v>1</v>
      </c>
      <c r="Z1699" s="960">
        <f t="array" ref="Z1699">HLOOKUP($J1699,'Type Chart'!$C$2:$T$20,7,false)*HLOOKUP($K1699,'Type Chart'!$C$2:$U$20,7,false)</f>
        <v>1</v>
      </c>
      <c r="AA1699" s="960">
        <f t="array" ref="AA1699">HLOOKUP($J1699,'Type Chart'!$C$2:$T$20,8,false)*HLOOKUP($K1699,'Type Chart'!$C$2:$U$20,8,false)</f>
        <v>2</v>
      </c>
      <c r="AB1699" s="960">
        <f t="array" ref="AB1699">HLOOKUP($J1699,'Type Chart'!$C$2:$T$20,9,false)*HLOOKUP($K1699,'Type Chart'!$C$2:$U$20,9,false)</f>
        <v>0.5</v>
      </c>
      <c r="AC1699" s="960">
        <f t="array" ref="AC1699">HLOOKUP($J1699,'Type Chart'!$C$2:$T$20,10,false)*HLOOKUP($K1699,'Type Chart'!$C$2:$U$20,10,false)</f>
        <v>0.5</v>
      </c>
      <c r="AD1699" s="960">
        <f t="array" ref="AD1699">HLOOKUP($J1699,'Type Chart'!$C$2:$T$20,11,false)*HLOOKUP($K1699,'Type Chart'!$C$2:$U$20,11,false)</f>
        <v>0.5</v>
      </c>
      <c r="AE1699" s="960">
        <f t="array" ref="AE1699">HLOOKUP($J1699,'Type Chart'!$C$2:$T$20,12,false)*HLOOKUP($K1699,'Type Chart'!$C$2:$U$20,12,false)</f>
        <v>0.5</v>
      </c>
      <c r="AF1699" s="960">
        <f t="array" ref="AF1699">HLOOKUP($J1699,'Type Chart'!$C$2:$T$20,13,false)*HLOOKUP($K1699,'Type Chart'!$C$2:$U$20,13,false)</f>
        <v>2</v>
      </c>
      <c r="AG1699" s="960">
        <f t="array" ref="AG1699">HLOOKUP($J1699,'Type Chart'!$C$2:$T$20,14,false)*HLOOKUP($K1699,'Type Chart'!$C$2:$U$20,14,false)</f>
        <v>2</v>
      </c>
      <c r="AH1699" s="960">
        <f t="array" ref="AH1699">HLOOKUP($J1699,'Type Chart'!$C$2:$T$20,15,false)*HLOOKUP($K1699,'Type Chart'!$C$2:$U$20,15,false)</f>
        <v>0</v>
      </c>
      <c r="AI1699" s="960">
        <f t="array" ref="AI1699">HLOOKUP($J1699,'Type Chart'!$C$2:$T$20,16,false)*HLOOKUP($K1699,'Type Chart'!$C$2:$U$20,16,false)</f>
        <v>0.5</v>
      </c>
      <c r="AJ1699" s="960">
        <f t="array" ref="AJ1699">HLOOKUP($J1699,'Type Chart'!$C$2:$T$20,17,false)*HLOOKUP($K1699,'Type Chart'!$C$2:$U$20,17,false)</f>
        <v>1</v>
      </c>
      <c r="AK1699" s="960">
        <f t="array" ref="AK1699">HLOOKUP($J1699,'Type Chart'!$C$2:$T$20,18,false)*HLOOKUP($K1699,'Type Chart'!$C$2:$U$20,18,false)</f>
        <v>0.5</v>
      </c>
      <c r="AL1699" s="960">
        <f t="array" ref="AL1699">HLOOKUP($J1699,'Type Chart'!$C$2:$T$20,19,false)*HLOOKUP($K1699,'Type Chart'!$C$2:$U$20,19,false)</f>
        <v>2</v>
      </c>
      <c r="AM1699" s="964" t="s">
        <v>1461</v>
      </c>
      <c r="AN1699" s="965" t="s">
        <v>1385</v>
      </c>
      <c r="AO1699" s="966" t="s">
        <v>1018</v>
      </c>
      <c r="AP1699" s="936"/>
      <c r="AQ1699" s="1245"/>
      <c r="AR1699" s="1245"/>
      <c r="AS1699" s="936"/>
    </row>
    <row r="1700" ht="15.75" customHeight="1">
      <c r="A1700" s="1099"/>
      <c r="B1700" s="948" t="s">
        <v>2273</v>
      </c>
      <c r="C1700" s="1197" t="s">
        <v>2274</v>
      </c>
      <c r="D1700" s="1197" t="s">
        <v>2274</v>
      </c>
      <c r="E1700" s="1147" t="s">
        <v>2274</v>
      </c>
      <c r="F1700" s="940"/>
      <c r="G1700" s="953"/>
      <c r="H1700" s="969"/>
      <c r="I1700" s="998" t="s">
        <v>4800</v>
      </c>
      <c r="J1700" s="1204" t="s">
        <v>80</v>
      </c>
      <c r="K1700" s="1203" t="s">
        <v>344</v>
      </c>
      <c r="L1700" s="959">
        <v>40.0</v>
      </c>
      <c r="M1700" s="960">
        <v>40.0</v>
      </c>
      <c r="N1700" s="960">
        <v>55.0</v>
      </c>
      <c r="O1700" s="960">
        <v>40.0</v>
      </c>
      <c r="P1700" s="960">
        <v>70.0</v>
      </c>
      <c r="Q1700" s="960">
        <v>55.0</v>
      </c>
      <c r="R1700" s="960">
        <v>146.0</v>
      </c>
      <c r="S1700" s="960">
        <v>209.0</v>
      </c>
      <c r="T1700" s="960">
        <v>229.0</v>
      </c>
      <c r="U1700" s="960">
        <f t="array" ref="U1700">HLOOKUP($J1700,'Type Chart'!$C$2:$T$20,2,false)*HLOOKUP($K1700,'Type Chart'!$C$2:$U$20,2,false)</f>
        <v>1</v>
      </c>
      <c r="V1700" s="960">
        <f t="array" ref="V1700">HLOOKUP($J1700,'Type Chart'!$C$2:$T$20,3,false)*HLOOKUP($K1700,'Type Chart'!$C$2:$U$20,3,false)</f>
        <v>0.5</v>
      </c>
      <c r="W1700" s="960">
        <f t="array" ref="W1700">HLOOKUP($J1700,'Type Chart'!$C$2:$T$20,4,false)*HLOOKUP($K1700,'Type Chart'!$C$2:$U$20,4,false)</f>
        <v>1</v>
      </c>
      <c r="X1700" s="960">
        <f t="array" ref="X1700">HLOOKUP($J1700,'Type Chart'!$C$2:$T$20,5,false)*HLOOKUP($K1700,'Type Chart'!$C$2:$U$20,5,false)</f>
        <v>0.5</v>
      </c>
      <c r="Y1700" s="960">
        <f t="array" ref="Y1700">HLOOKUP($J1700,'Type Chart'!$C$2:$T$20,6,false)*HLOOKUP($K1700,'Type Chart'!$C$2:$U$20,6,false)</f>
        <v>1</v>
      </c>
      <c r="Z1700" s="960">
        <f t="array" ref="Z1700">HLOOKUP($J1700,'Type Chart'!$C$2:$T$20,7,false)*HLOOKUP($K1700,'Type Chart'!$C$2:$U$20,7,false)</f>
        <v>0.5</v>
      </c>
      <c r="AA1700" s="960">
        <f t="array" ref="AA1700">HLOOKUP($J1700,'Type Chart'!$C$2:$T$20,8,false)*HLOOKUP($K1700,'Type Chart'!$C$2:$U$20,8,false)</f>
        <v>2</v>
      </c>
      <c r="AB1700" s="960">
        <f t="array" ref="AB1700">HLOOKUP($J1700,'Type Chart'!$C$2:$T$20,9,false)*HLOOKUP($K1700,'Type Chart'!$C$2:$U$20,9,false)</f>
        <v>2</v>
      </c>
      <c r="AC1700" s="960">
        <f t="array" ref="AC1700">HLOOKUP($J1700,'Type Chart'!$C$2:$T$20,10,false)*HLOOKUP($K1700,'Type Chart'!$C$2:$U$20,10,false)</f>
        <v>1</v>
      </c>
      <c r="AD1700" s="960">
        <f t="array" ref="AD1700">HLOOKUP($J1700,'Type Chart'!$C$2:$T$20,11,false)*HLOOKUP($K1700,'Type Chart'!$C$2:$U$20,11,false)</f>
        <v>1</v>
      </c>
      <c r="AE1700" s="960">
        <f t="array" ref="AE1700">HLOOKUP($J1700,'Type Chart'!$C$2:$T$20,12,false)*HLOOKUP($K1700,'Type Chart'!$C$2:$U$20,12,false)</f>
        <v>2</v>
      </c>
      <c r="AF1700" s="960">
        <f t="array" ref="AF1700">HLOOKUP($J1700,'Type Chart'!$C$2:$T$20,13,false)*HLOOKUP($K1700,'Type Chart'!$C$2:$U$20,13,false)</f>
        <v>2</v>
      </c>
      <c r="AG1700" s="960">
        <f t="array" ref="AG1700">HLOOKUP($J1700,'Type Chart'!$C$2:$T$20,14,false)*HLOOKUP($K1700,'Type Chart'!$C$2:$U$20,14,false)</f>
        <v>0</v>
      </c>
      <c r="AH1700" s="960">
        <f t="array" ref="AH1700">HLOOKUP($J1700,'Type Chart'!$C$2:$T$20,15,false)*HLOOKUP($K1700,'Type Chart'!$C$2:$U$20,15,false)</f>
        <v>0.5</v>
      </c>
      <c r="AI1700" s="960">
        <f t="array" ref="AI1700">HLOOKUP($J1700,'Type Chart'!$C$2:$T$20,16,false)*HLOOKUP($K1700,'Type Chart'!$C$2:$U$20,16,false)</f>
        <v>2</v>
      </c>
      <c r="AJ1700" s="960">
        <f t="array" ref="AJ1700">HLOOKUP($J1700,'Type Chart'!$C$2:$T$20,17,false)*HLOOKUP($K1700,'Type Chart'!$C$2:$U$20,17,false)</f>
        <v>1</v>
      </c>
      <c r="AK1700" s="960">
        <f t="array" ref="AK1700">HLOOKUP($J1700,'Type Chart'!$C$2:$T$20,18,false)*HLOOKUP($K1700,'Type Chart'!$C$2:$U$20,18,false)</f>
        <v>2</v>
      </c>
      <c r="AL1700" s="960">
        <f t="array" ref="AL1700">HLOOKUP($J1700,'Type Chart'!$C$2:$T$20,19,false)*HLOOKUP($K1700,'Type Chart'!$C$2:$U$20,19,false)</f>
        <v>1</v>
      </c>
      <c r="AM1700" s="964" t="s">
        <v>1437</v>
      </c>
      <c r="AN1700" s="965"/>
      <c r="AO1700" s="966"/>
      <c r="AP1700" s="936"/>
      <c r="AQ1700" s="1245"/>
      <c r="AR1700" s="1245"/>
      <c r="AS1700" s="936"/>
    </row>
    <row r="1701" ht="15.75" customHeight="1">
      <c r="A1701" s="1099"/>
      <c r="B1701" s="948" t="s">
        <v>2276</v>
      </c>
      <c r="C1701" s="1197" t="s">
        <v>2277</v>
      </c>
      <c r="D1701" s="1197" t="s">
        <v>2277</v>
      </c>
      <c r="E1701" s="1147" t="s">
        <v>2277</v>
      </c>
      <c r="F1701" s="940"/>
      <c r="G1701" s="953"/>
      <c r="H1701" s="969"/>
      <c r="I1701" s="998" t="s">
        <v>4801</v>
      </c>
      <c r="J1701" s="1223" t="s">
        <v>80</v>
      </c>
      <c r="K1701" s="1215" t="s">
        <v>344</v>
      </c>
      <c r="L1701" s="1200">
        <v>60.0</v>
      </c>
      <c r="M1701" s="1201">
        <v>70.0</v>
      </c>
      <c r="N1701" s="1201">
        <v>105.0</v>
      </c>
      <c r="O1701" s="1201">
        <v>70.0</v>
      </c>
      <c r="P1701" s="1201">
        <v>120.0</v>
      </c>
      <c r="Q1701" s="1201">
        <v>75.0</v>
      </c>
      <c r="R1701" s="960">
        <v>186.0</v>
      </c>
      <c r="S1701" s="960">
        <v>249.0</v>
      </c>
      <c r="T1701" s="960">
        <v>273.0</v>
      </c>
      <c r="U1701" s="960">
        <f t="array" ref="U1701">HLOOKUP($J1701,'Type Chart'!$C$2:$T$20,2,false)*HLOOKUP($K1701,'Type Chart'!$C$2:$U$20,2,false)</f>
        <v>1</v>
      </c>
      <c r="V1701" s="960">
        <f t="array" ref="V1701">HLOOKUP($J1701,'Type Chart'!$C$2:$T$20,3,false)*HLOOKUP($K1701,'Type Chart'!$C$2:$U$20,3,false)</f>
        <v>0.5</v>
      </c>
      <c r="W1701" s="960">
        <f t="array" ref="W1701">HLOOKUP($J1701,'Type Chart'!$C$2:$T$20,4,false)*HLOOKUP($K1701,'Type Chart'!$C$2:$U$20,4,false)</f>
        <v>1</v>
      </c>
      <c r="X1701" s="960">
        <f t="array" ref="X1701">HLOOKUP($J1701,'Type Chart'!$C$2:$T$20,5,false)*HLOOKUP($K1701,'Type Chart'!$C$2:$U$20,5,false)</f>
        <v>0.5</v>
      </c>
      <c r="Y1701" s="960">
        <f t="array" ref="Y1701">HLOOKUP($J1701,'Type Chart'!$C$2:$T$20,6,false)*HLOOKUP($K1701,'Type Chart'!$C$2:$U$20,6,false)</f>
        <v>1</v>
      </c>
      <c r="Z1701" s="960">
        <f t="array" ref="Z1701">HLOOKUP($J1701,'Type Chart'!$C$2:$T$20,7,false)*HLOOKUP($K1701,'Type Chart'!$C$2:$U$20,7,false)</f>
        <v>0.5</v>
      </c>
      <c r="AA1701" s="960">
        <f t="array" ref="AA1701">HLOOKUP($J1701,'Type Chart'!$C$2:$T$20,8,false)*HLOOKUP($K1701,'Type Chart'!$C$2:$U$20,8,false)</f>
        <v>2</v>
      </c>
      <c r="AB1701" s="960">
        <f t="array" ref="AB1701">HLOOKUP($J1701,'Type Chart'!$C$2:$T$20,9,false)*HLOOKUP($K1701,'Type Chart'!$C$2:$U$20,9,false)</f>
        <v>2</v>
      </c>
      <c r="AC1701" s="960">
        <f t="array" ref="AC1701">HLOOKUP($J1701,'Type Chart'!$C$2:$T$20,10,false)*HLOOKUP($K1701,'Type Chart'!$C$2:$U$20,10,false)</f>
        <v>1</v>
      </c>
      <c r="AD1701" s="960">
        <f t="array" ref="AD1701">HLOOKUP($J1701,'Type Chart'!$C$2:$T$20,11,false)*HLOOKUP($K1701,'Type Chart'!$C$2:$U$20,11,false)</f>
        <v>1</v>
      </c>
      <c r="AE1701" s="960">
        <f t="array" ref="AE1701">HLOOKUP($J1701,'Type Chart'!$C$2:$T$20,12,false)*HLOOKUP($K1701,'Type Chart'!$C$2:$U$20,12,false)</f>
        <v>2</v>
      </c>
      <c r="AF1701" s="960">
        <f t="array" ref="AF1701">HLOOKUP($J1701,'Type Chart'!$C$2:$T$20,13,false)*HLOOKUP($K1701,'Type Chart'!$C$2:$U$20,13,false)</f>
        <v>2</v>
      </c>
      <c r="AG1701" s="960">
        <f t="array" ref="AG1701">HLOOKUP($J1701,'Type Chart'!$C$2:$T$20,14,false)*HLOOKUP($K1701,'Type Chart'!$C$2:$U$20,14,false)</f>
        <v>0</v>
      </c>
      <c r="AH1701" s="960">
        <f t="array" ref="AH1701">HLOOKUP($J1701,'Type Chart'!$C$2:$T$20,15,false)*HLOOKUP($K1701,'Type Chart'!$C$2:$U$20,15,false)</f>
        <v>0.5</v>
      </c>
      <c r="AI1701" s="960">
        <f t="array" ref="AI1701">HLOOKUP($J1701,'Type Chart'!$C$2:$T$20,16,false)*HLOOKUP($K1701,'Type Chart'!$C$2:$U$20,16,false)</f>
        <v>2</v>
      </c>
      <c r="AJ1701" s="960">
        <f t="array" ref="AJ1701">HLOOKUP($J1701,'Type Chart'!$C$2:$T$20,17,false)*HLOOKUP($K1701,'Type Chart'!$C$2:$U$20,17,false)</f>
        <v>1</v>
      </c>
      <c r="AK1701" s="960">
        <f t="array" ref="AK1701">HLOOKUP($J1701,'Type Chart'!$C$2:$T$20,18,false)*HLOOKUP($K1701,'Type Chart'!$C$2:$U$20,18,false)</f>
        <v>2</v>
      </c>
      <c r="AL1701" s="960">
        <f t="array" ref="AL1701">HLOOKUP($J1701,'Type Chart'!$C$2:$T$20,19,false)*HLOOKUP($K1701,'Type Chart'!$C$2:$U$20,19,false)</f>
        <v>1</v>
      </c>
      <c r="AM1701" s="1145" t="s">
        <v>1437</v>
      </c>
      <c r="AN1701" s="1202"/>
      <c r="AO1701" s="1146"/>
      <c r="AP1701" s="936"/>
      <c r="AQ1701" s="1245"/>
      <c r="AR1701" s="1245"/>
      <c r="AS1701" s="936"/>
    </row>
    <row r="1702" ht="15.75" customHeight="1">
      <c r="A1702" s="1099"/>
      <c r="B1702" s="948" t="s">
        <v>2279</v>
      </c>
      <c r="C1702" s="1197" t="s">
        <v>2280</v>
      </c>
      <c r="D1702" s="1197" t="s">
        <v>2280</v>
      </c>
      <c r="E1702" s="1147" t="s">
        <v>2280</v>
      </c>
      <c r="F1702" s="940"/>
      <c r="G1702" s="953"/>
      <c r="H1702" s="969"/>
      <c r="I1702" s="998" t="s">
        <v>4802</v>
      </c>
      <c r="J1702" s="1214" t="s">
        <v>342</v>
      </c>
      <c r="K1702" s="957" t="s">
        <v>209</v>
      </c>
      <c r="L1702" s="959">
        <v>66.0</v>
      </c>
      <c r="M1702" s="960">
        <v>41.0</v>
      </c>
      <c r="N1702" s="960">
        <v>77.0</v>
      </c>
      <c r="O1702" s="960">
        <v>61.0</v>
      </c>
      <c r="P1702" s="960">
        <v>87.0</v>
      </c>
      <c r="Q1702" s="960">
        <v>23.0</v>
      </c>
      <c r="R1702" s="960">
        <v>82.0</v>
      </c>
      <c r="S1702" s="960">
        <v>145.0</v>
      </c>
      <c r="T1702" s="960">
        <v>159.0</v>
      </c>
      <c r="U1702" s="960">
        <f t="array" ref="U1702">HLOOKUP($J1702,'Type Chart'!$C$2:$T$20,2,false)*HLOOKUP($K1702,'Type Chart'!$C$2:$U$20,2,false)</f>
        <v>0.5</v>
      </c>
      <c r="V1702" s="960">
        <f t="array" ref="V1702">HLOOKUP($J1702,'Type Chart'!$C$2:$T$20,3,false)*HLOOKUP($K1702,'Type Chart'!$C$2:$U$20,3,false)</f>
        <v>2</v>
      </c>
      <c r="W1702" s="960">
        <f t="array" ref="W1702">HLOOKUP($J1702,'Type Chart'!$C$2:$T$20,4,false)*HLOOKUP($K1702,'Type Chart'!$C$2:$U$20,4,false)</f>
        <v>1</v>
      </c>
      <c r="X1702" s="960">
        <f t="array" ref="X1702">HLOOKUP($J1702,'Type Chart'!$C$2:$T$20,5,false)*HLOOKUP($K1702,'Type Chart'!$C$2:$U$20,5,false)</f>
        <v>1</v>
      </c>
      <c r="Y1702" s="960">
        <f t="array" ref="Y1702">HLOOKUP($J1702,'Type Chart'!$C$2:$T$20,6,false)*HLOOKUP($K1702,'Type Chart'!$C$2:$U$20,6,false)</f>
        <v>1</v>
      </c>
      <c r="Z1702" s="960">
        <f t="array" ref="Z1702">HLOOKUP($J1702,'Type Chart'!$C$2:$T$20,7,false)*HLOOKUP($K1702,'Type Chart'!$C$2:$U$20,7,false)</f>
        <v>1</v>
      </c>
      <c r="AA1702" s="960">
        <f t="array" ref="AA1702">HLOOKUP($J1702,'Type Chart'!$C$2:$T$20,8,false)*HLOOKUP($K1702,'Type Chart'!$C$2:$U$20,8,false)</f>
        <v>2</v>
      </c>
      <c r="AB1702" s="960">
        <f t="array" ref="AB1702">HLOOKUP($J1702,'Type Chart'!$C$2:$T$20,9,false)*HLOOKUP($K1702,'Type Chart'!$C$2:$U$20,9,false)</f>
        <v>1</v>
      </c>
      <c r="AC1702" s="960">
        <f t="array" ref="AC1702">HLOOKUP($J1702,'Type Chart'!$C$2:$T$20,10,false)*HLOOKUP($K1702,'Type Chart'!$C$2:$U$20,10,false)</f>
        <v>2</v>
      </c>
      <c r="AD1702" s="960">
        <f t="array" ref="AD1702">HLOOKUP($J1702,'Type Chart'!$C$2:$T$20,11,false)*HLOOKUP($K1702,'Type Chart'!$C$2:$U$20,11,false)</f>
        <v>1</v>
      </c>
      <c r="AE1702" s="960">
        <f t="array" ref="AE1702">HLOOKUP($J1702,'Type Chart'!$C$2:$T$20,12,false)*HLOOKUP($K1702,'Type Chart'!$C$2:$U$20,12,false)</f>
        <v>1</v>
      </c>
      <c r="AF1702" s="960">
        <f t="array" ref="AF1702">HLOOKUP($J1702,'Type Chart'!$C$2:$T$20,13,false)*HLOOKUP($K1702,'Type Chart'!$C$2:$U$20,13,false)</f>
        <v>1</v>
      </c>
      <c r="AG1702" s="960">
        <f t="array" ref="AG1702">HLOOKUP($J1702,'Type Chart'!$C$2:$T$20,14,false)*HLOOKUP($K1702,'Type Chart'!$C$2:$U$20,14,false)</f>
        <v>0.5</v>
      </c>
      <c r="AH1702" s="960">
        <f t="array" ref="AH1702">HLOOKUP($J1702,'Type Chart'!$C$2:$T$20,15,false)*HLOOKUP($K1702,'Type Chart'!$C$2:$U$20,15,false)</f>
        <v>1</v>
      </c>
      <c r="AI1702" s="960">
        <f t="array" ref="AI1702">HLOOKUP($J1702,'Type Chart'!$C$2:$T$20,16,false)*HLOOKUP($K1702,'Type Chart'!$C$2:$U$20,16,false)</f>
        <v>2</v>
      </c>
      <c r="AJ1702" s="960">
        <f t="array" ref="AJ1702">HLOOKUP($J1702,'Type Chart'!$C$2:$T$20,17,false)*HLOOKUP($K1702,'Type Chart'!$C$2:$U$20,17,false)</f>
        <v>1</v>
      </c>
      <c r="AK1702" s="960">
        <f t="array" ref="AK1702">HLOOKUP($J1702,'Type Chart'!$C$2:$T$20,18,false)*HLOOKUP($K1702,'Type Chart'!$C$2:$U$20,18,false)</f>
        <v>1</v>
      </c>
      <c r="AL1702" s="960">
        <f t="array" ref="AL1702">HLOOKUP($J1702,'Type Chart'!$C$2:$T$20,19,false)*HLOOKUP($K1702,'Type Chart'!$C$2:$U$20,19,false)</f>
        <v>1</v>
      </c>
      <c r="AM1702" s="964" t="s">
        <v>1902</v>
      </c>
      <c r="AN1702" s="965"/>
      <c r="AO1702" s="966" t="s">
        <v>2282</v>
      </c>
      <c r="AP1702" s="936"/>
      <c r="AQ1702" s="1245"/>
      <c r="AR1702" s="1245"/>
      <c r="AS1702" s="936"/>
    </row>
    <row r="1703" ht="15.75" customHeight="1">
      <c r="A1703" s="1099"/>
      <c r="B1703" s="948" t="s">
        <v>2283</v>
      </c>
      <c r="C1703" s="1197" t="s">
        <v>2284</v>
      </c>
      <c r="D1703" s="1197" t="s">
        <v>2284</v>
      </c>
      <c r="E1703" s="1147" t="s">
        <v>2284</v>
      </c>
      <c r="F1703" s="940"/>
      <c r="G1703" s="953"/>
      <c r="H1703" s="969"/>
      <c r="I1703" s="998" t="s">
        <v>4803</v>
      </c>
      <c r="J1703" s="1214" t="s">
        <v>342</v>
      </c>
      <c r="K1703" s="957" t="s">
        <v>209</v>
      </c>
      <c r="L1703" s="959">
        <v>86.0</v>
      </c>
      <c r="M1703" s="960">
        <v>81.0</v>
      </c>
      <c r="N1703" s="960">
        <v>97.0</v>
      </c>
      <c r="O1703" s="960">
        <v>81.0</v>
      </c>
      <c r="P1703" s="960">
        <v>107.0</v>
      </c>
      <c r="Q1703" s="960">
        <v>43.0</v>
      </c>
      <c r="R1703" s="960">
        <v>122.0</v>
      </c>
      <c r="S1703" s="960">
        <v>185.0</v>
      </c>
      <c r="T1703" s="960">
        <v>203.0</v>
      </c>
      <c r="U1703" s="960">
        <f t="array" ref="U1703">HLOOKUP($J1703,'Type Chart'!$C$2:$T$20,2,false)*HLOOKUP($K1703,'Type Chart'!$C$2:$U$20,2,false)</f>
        <v>0.5</v>
      </c>
      <c r="V1703" s="960">
        <f t="array" ref="V1703">HLOOKUP($J1703,'Type Chart'!$C$2:$T$20,3,false)*HLOOKUP($K1703,'Type Chart'!$C$2:$U$20,3,false)</f>
        <v>2</v>
      </c>
      <c r="W1703" s="960">
        <f t="array" ref="W1703">HLOOKUP($J1703,'Type Chart'!$C$2:$T$20,4,false)*HLOOKUP($K1703,'Type Chart'!$C$2:$U$20,4,false)</f>
        <v>1</v>
      </c>
      <c r="X1703" s="960">
        <f t="array" ref="X1703">HLOOKUP($J1703,'Type Chart'!$C$2:$T$20,5,false)*HLOOKUP($K1703,'Type Chart'!$C$2:$U$20,5,false)</f>
        <v>1</v>
      </c>
      <c r="Y1703" s="960">
        <f t="array" ref="Y1703">HLOOKUP($J1703,'Type Chart'!$C$2:$T$20,6,false)*HLOOKUP($K1703,'Type Chart'!$C$2:$U$20,6,false)</f>
        <v>1</v>
      </c>
      <c r="Z1703" s="960">
        <f t="array" ref="Z1703">HLOOKUP($J1703,'Type Chart'!$C$2:$T$20,7,false)*HLOOKUP($K1703,'Type Chart'!$C$2:$U$20,7,false)</f>
        <v>1</v>
      </c>
      <c r="AA1703" s="960">
        <f t="array" ref="AA1703">HLOOKUP($J1703,'Type Chart'!$C$2:$T$20,8,false)*HLOOKUP($K1703,'Type Chart'!$C$2:$U$20,8,false)</f>
        <v>2</v>
      </c>
      <c r="AB1703" s="960">
        <f t="array" ref="AB1703">HLOOKUP($J1703,'Type Chart'!$C$2:$T$20,9,false)*HLOOKUP($K1703,'Type Chart'!$C$2:$U$20,9,false)</f>
        <v>1</v>
      </c>
      <c r="AC1703" s="960">
        <f t="array" ref="AC1703">HLOOKUP($J1703,'Type Chart'!$C$2:$T$20,10,false)*HLOOKUP($K1703,'Type Chart'!$C$2:$U$20,10,false)</f>
        <v>2</v>
      </c>
      <c r="AD1703" s="960">
        <f t="array" ref="AD1703">HLOOKUP($J1703,'Type Chart'!$C$2:$T$20,11,false)*HLOOKUP($K1703,'Type Chart'!$C$2:$U$20,11,false)</f>
        <v>1</v>
      </c>
      <c r="AE1703" s="960">
        <f t="array" ref="AE1703">HLOOKUP($J1703,'Type Chart'!$C$2:$T$20,12,false)*HLOOKUP($K1703,'Type Chart'!$C$2:$U$20,12,false)</f>
        <v>1</v>
      </c>
      <c r="AF1703" s="960">
        <f t="array" ref="AF1703">HLOOKUP($J1703,'Type Chart'!$C$2:$T$20,13,false)*HLOOKUP($K1703,'Type Chart'!$C$2:$U$20,13,false)</f>
        <v>1</v>
      </c>
      <c r="AG1703" s="960">
        <f t="array" ref="AG1703">HLOOKUP($J1703,'Type Chart'!$C$2:$T$20,14,false)*HLOOKUP($K1703,'Type Chart'!$C$2:$U$20,14,false)</f>
        <v>0.5</v>
      </c>
      <c r="AH1703" s="960">
        <f t="array" ref="AH1703">HLOOKUP($J1703,'Type Chart'!$C$2:$T$20,15,false)*HLOOKUP($K1703,'Type Chart'!$C$2:$U$20,15,false)</f>
        <v>1</v>
      </c>
      <c r="AI1703" s="960">
        <f t="array" ref="AI1703">HLOOKUP($J1703,'Type Chart'!$C$2:$T$20,16,false)*HLOOKUP($K1703,'Type Chart'!$C$2:$U$20,16,false)</f>
        <v>2</v>
      </c>
      <c r="AJ1703" s="960">
        <f t="array" ref="AJ1703">HLOOKUP($J1703,'Type Chart'!$C$2:$T$20,17,false)*HLOOKUP($K1703,'Type Chart'!$C$2:$U$20,17,false)</f>
        <v>1</v>
      </c>
      <c r="AK1703" s="960">
        <f t="array" ref="AK1703">HLOOKUP($J1703,'Type Chart'!$C$2:$T$20,18,false)*HLOOKUP($K1703,'Type Chart'!$C$2:$U$20,18,false)</f>
        <v>1</v>
      </c>
      <c r="AL1703" s="960">
        <f t="array" ref="AL1703">HLOOKUP($J1703,'Type Chart'!$C$2:$T$20,19,false)*HLOOKUP($K1703,'Type Chart'!$C$2:$U$20,19,false)</f>
        <v>1</v>
      </c>
      <c r="AM1703" s="1145" t="s">
        <v>1902</v>
      </c>
      <c r="AN1703" s="965"/>
      <c r="AO1703" s="1146" t="s">
        <v>2282</v>
      </c>
      <c r="AP1703" s="936"/>
      <c r="AQ1703" s="1245"/>
      <c r="AR1703" s="1245"/>
      <c r="AS1703" s="936"/>
    </row>
    <row r="1704" ht="15.75" customHeight="1">
      <c r="A1704" s="1099"/>
      <c r="B1704" s="948" t="s">
        <v>2286</v>
      </c>
      <c r="C1704" s="1197" t="s">
        <v>2287</v>
      </c>
      <c r="D1704" s="1197" t="s">
        <v>2287</v>
      </c>
      <c r="E1704" s="1147" t="s">
        <v>2287</v>
      </c>
      <c r="F1704" s="940"/>
      <c r="G1704" s="953"/>
      <c r="H1704" s="969"/>
      <c r="I1704" s="998" t="s">
        <v>4804</v>
      </c>
      <c r="J1704" s="1214" t="s">
        <v>342</v>
      </c>
      <c r="K1704" s="1180" t="s">
        <v>343</v>
      </c>
      <c r="L1704" s="959">
        <v>45.0</v>
      </c>
      <c r="M1704" s="960">
        <v>95.0</v>
      </c>
      <c r="N1704" s="960">
        <v>50.0</v>
      </c>
      <c r="O1704" s="960">
        <v>40.0</v>
      </c>
      <c r="P1704" s="960">
        <v>50.0</v>
      </c>
      <c r="Q1704" s="960">
        <v>75.0</v>
      </c>
      <c r="R1704" s="960">
        <v>186.0</v>
      </c>
      <c r="S1704" s="960">
        <v>249.0</v>
      </c>
      <c r="T1704" s="960">
        <v>273.0</v>
      </c>
      <c r="U1704" s="960">
        <f t="array" ref="U1704">HLOOKUP($J1704,'Type Chart'!$C$2:$T$20,2,false)*HLOOKUP($K1704,'Type Chart'!$C$2:$U$20,2,false)</f>
        <v>0.5</v>
      </c>
      <c r="V1704" s="960">
        <f t="array" ref="V1704">HLOOKUP($J1704,'Type Chart'!$C$2:$T$20,3,false)*HLOOKUP($K1704,'Type Chart'!$C$2:$U$20,3,false)</f>
        <v>1</v>
      </c>
      <c r="W1704" s="960">
        <f t="array" ref="W1704">HLOOKUP($J1704,'Type Chart'!$C$2:$T$20,4,false)*HLOOKUP($K1704,'Type Chart'!$C$2:$U$20,4,false)</f>
        <v>1</v>
      </c>
      <c r="X1704" s="960">
        <f t="array" ref="X1704">HLOOKUP($J1704,'Type Chart'!$C$2:$T$20,5,false)*HLOOKUP($K1704,'Type Chart'!$C$2:$U$20,5,false)</f>
        <v>0.5</v>
      </c>
      <c r="Y1704" s="960">
        <f t="array" ref="Y1704">HLOOKUP($J1704,'Type Chart'!$C$2:$T$20,6,false)*HLOOKUP($K1704,'Type Chart'!$C$2:$U$20,6,false)</f>
        <v>1</v>
      </c>
      <c r="Z1704" s="960">
        <f t="array" ref="Z1704">HLOOKUP($J1704,'Type Chart'!$C$2:$T$20,7,false)*HLOOKUP($K1704,'Type Chart'!$C$2:$U$20,7,false)</f>
        <v>2</v>
      </c>
      <c r="AA1704" s="960">
        <f t="array" ref="AA1704">HLOOKUP($J1704,'Type Chart'!$C$2:$T$20,8,false)*HLOOKUP($K1704,'Type Chart'!$C$2:$U$20,8,false)</f>
        <v>1</v>
      </c>
      <c r="AB1704" s="960">
        <f t="array" ref="AB1704">HLOOKUP($J1704,'Type Chart'!$C$2:$T$20,9,false)*HLOOKUP($K1704,'Type Chart'!$C$2:$U$20,9,false)</f>
        <v>1</v>
      </c>
      <c r="AC1704" s="960">
        <f t="array" ref="AC1704">HLOOKUP($J1704,'Type Chart'!$C$2:$T$20,10,false)*HLOOKUP($K1704,'Type Chart'!$C$2:$U$20,10,false)</f>
        <v>2</v>
      </c>
      <c r="AD1704" s="960">
        <f t="array" ref="AD1704">HLOOKUP($J1704,'Type Chart'!$C$2:$T$20,11,false)*HLOOKUP($K1704,'Type Chart'!$C$2:$U$20,11,false)</f>
        <v>1</v>
      </c>
      <c r="AE1704" s="960">
        <f t="array" ref="AE1704">HLOOKUP($J1704,'Type Chart'!$C$2:$T$20,12,false)*HLOOKUP($K1704,'Type Chart'!$C$2:$U$20,12,false)</f>
        <v>2</v>
      </c>
      <c r="AF1704" s="960">
        <f t="array" ref="AF1704">HLOOKUP($J1704,'Type Chart'!$C$2:$T$20,13,false)*HLOOKUP($K1704,'Type Chart'!$C$2:$U$20,13,false)</f>
        <v>1</v>
      </c>
      <c r="AG1704" s="960">
        <f t="array" ref="AG1704">HLOOKUP($J1704,'Type Chart'!$C$2:$T$20,14,false)*HLOOKUP($K1704,'Type Chart'!$C$2:$U$20,14,false)</f>
        <v>1</v>
      </c>
      <c r="AH1704" s="960">
        <f t="array" ref="AH1704">HLOOKUP($J1704,'Type Chart'!$C$2:$T$20,15,false)*HLOOKUP($K1704,'Type Chart'!$C$2:$U$20,15,false)</f>
        <v>1</v>
      </c>
      <c r="AI1704" s="960">
        <f t="array" ref="AI1704">HLOOKUP($J1704,'Type Chart'!$C$2:$T$20,16,false)*HLOOKUP($K1704,'Type Chart'!$C$2:$U$20,16,false)</f>
        <v>1</v>
      </c>
      <c r="AJ1704" s="960">
        <f t="array" ref="AJ1704">HLOOKUP($J1704,'Type Chart'!$C$2:$T$20,17,false)*HLOOKUP($K1704,'Type Chart'!$C$2:$U$20,17,false)</f>
        <v>1</v>
      </c>
      <c r="AK1704" s="960">
        <f t="array" ref="AK1704">HLOOKUP($J1704,'Type Chart'!$C$2:$T$20,18,false)*HLOOKUP($K1704,'Type Chart'!$C$2:$U$20,18,false)</f>
        <v>1</v>
      </c>
      <c r="AL1704" s="960">
        <f t="array" ref="AL1704">HLOOKUP($J1704,'Type Chart'!$C$2:$T$20,19,false)*HLOOKUP($K1704,'Type Chart'!$C$2:$U$20,19,false)</f>
        <v>1</v>
      </c>
      <c r="AM1704" s="964" t="s">
        <v>1487</v>
      </c>
      <c r="AN1704" s="965"/>
      <c r="AO1704" s="966" t="s">
        <v>1259</v>
      </c>
      <c r="AP1704" s="936"/>
      <c r="AQ1704" s="1245"/>
      <c r="AR1704" s="1245"/>
      <c r="AS1704" s="936"/>
    </row>
    <row r="1705" ht="15.75" customHeight="1">
      <c r="A1705" s="1099"/>
      <c r="B1705" s="948" t="s">
        <v>2289</v>
      </c>
      <c r="C1705" s="1197" t="s">
        <v>2290</v>
      </c>
      <c r="D1705" s="1197" t="s">
        <v>2290</v>
      </c>
      <c r="E1705" s="1147" t="s">
        <v>2290</v>
      </c>
      <c r="F1705" s="940"/>
      <c r="G1705" s="953"/>
      <c r="H1705" s="969"/>
      <c r="I1705" s="998" t="s">
        <v>4805</v>
      </c>
      <c r="J1705" s="1222" t="s">
        <v>342</v>
      </c>
      <c r="K1705" s="1225" t="s">
        <v>343</v>
      </c>
      <c r="L1705" s="1200">
        <v>75.0</v>
      </c>
      <c r="M1705" s="1201">
        <v>125.0</v>
      </c>
      <c r="N1705" s="1201">
        <v>100.0</v>
      </c>
      <c r="O1705" s="1201">
        <v>70.0</v>
      </c>
      <c r="P1705" s="1201">
        <v>80.0</v>
      </c>
      <c r="Q1705" s="1201">
        <v>45.0</v>
      </c>
      <c r="R1705" s="960">
        <v>126.0</v>
      </c>
      <c r="S1705" s="960">
        <v>189.0</v>
      </c>
      <c r="T1705" s="960">
        <v>207.0</v>
      </c>
      <c r="U1705" s="960">
        <f t="array" ref="U1705">HLOOKUP($J1705,'Type Chart'!$C$2:$T$20,2,false)*HLOOKUP($K1705,'Type Chart'!$C$2:$U$20,2,false)</f>
        <v>0.5</v>
      </c>
      <c r="V1705" s="960">
        <f t="array" ref="V1705">HLOOKUP($J1705,'Type Chart'!$C$2:$T$20,3,false)*HLOOKUP($K1705,'Type Chart'!$C$2:$U$20,3,false)</f>
        <v>1</v>
      </c>
      <c r="W1705" s="960">
        <f t="array" ref="W1705">HLOOKUP($J1705,'Type Chart'!$C$2:$T$20,4,false)*HLOOKUP($K1705,'Type Chart'!$C$2:$U$20,4,false)</f>
        <v>1</v>
      </c>
      <c r="X1705" s="960">
        <f t="array" ref="X1705">HLOOKUP($J1705,'Type Chart'!$C$2:$T$20,5,false)*HLOOKUP($K1705,'Type Chart'!$C$2:$U$20,5,false)</f>
        <v>0.5</v>
      </c>
      <c r="Y1705" s="960">
        <f t="array" ref="Y1705">HLOOKUP($J1705,'Type Chart'!$C$2:$T$20,6,false)*HLOOKUP($K1705,'Type Chart'!$C$2:$U$20,6,false)</f>
        <v>1</v>
      </c>
      <c r="Z1705" s="960">
        <f t="array" ref="Z1705">HLOOKUP($J1705,'Type Chart'!$C$2:$T$20,7,false)*HLOOKUP($K1705,'Type Chart'!$C$2:$U$20,7,false)</f>
        <v>2</v>
      </c>
      <c r="AA1705" s="960">
        <f t="array" ref="AA1705">HLOOKUP($J1705,'Type Chart'!$C$2:$T$20,8,false)*HLOOKUP($K1705,'Type Chart'!$C$2:$U$20,8,false)</f>
        <v>1</v>
      </c>
      <c r="AB1705" s="960">
        <f t="array" ref="AB1705">HLOOKUP($J1705,'Type Chart'!$C$2:$T$20,9,false)*HLOOKUP($K1705,'Type Chart'!$C$2:$U$20,9,false)</f>
        <v>1</v>
      </c>
      <c r="AC1705" s="960">
        <f t="array" ref="AC1705">HLOOKUP($J1705,'Type Chart'!$C$2:$T$20,10,false)*HLOOKUP($K1705,'Type Chart'!$C$2:$U$20,10,false)</f>
        <v>2</v>
      </c>
      <c r="AD1705" s="960">
        <f t="array" ref="AD1705">HLOOKUP($J1705,'Type Chart'!$C$2:$T$20,11,false)*HLOOKUP($K1705,'Type Chart'!$C$2:$U$20,11,false)</f>
        <v>1</v>
      </c>
      <c r="AE1705" s="960">
        <f t="array" ref="AE1705">HLOOKUP($J1705,'Type Chart'!$C$2:$T$20,12,false)*HLOOKUP($K1705,'Type Chart'!$C$2:$U$20,12,false)</f>
        <v>2</v>
      </c>
      <c r="AF1705" s="960">
        <f t="array" ref="AF1705">HLOOKUP($J1705,'Type Chart'!$C$2:$T$20,13,false)*HLOOKUP($K1705,'Type Chart'!$C$2:$U$20,13,false)</f>
        <v>1</v>
      </c>
      <c r="AG1705" s="960">
        <f t="array" ref="AG1705">HLOOKUP($J1705,'Type Chart'!$C$2:$T$20,14,false)*HLOOKUP($K1705,'Type Chart'!$C$2:$U$20,14,false)</f>
        <v>1</v>
      </c>
      <c r="AH1705" s="960">
        <f t="array" ref="AH1705">HLOOKUP($J1705,'Type Chart'!$C$2:$T$20,15,false)*HLOOKUP($K1705,'Type Chart'!$C$2:$U$20,15,false)</f>
        <v>1</v>
      </c>
      <c r="AI1705" s="960">
        <f t="array" ref="AI1705">HLOOKUP($J1705,'Type Chart'!$C$2:$T$20,16,false)*HLOOKUP($K1705,'Type Chart'!$C$2:$U$20,16,false)</f>
        <v>1</v>
      </c>
      <c r="AJ1705" s="960">
        <f t="array" ref="AJ1705">HLOOKUP($J1705,'Type Chart'!$C$2:$T$20,17,false)*HLOOKUP($K1705,'Type Chart'!$C$2:$U$20,17,false)</f>
        <v>1</v>
      </c>
      <c r="AK1705" s="960">
        <f t="array" ref="AK1705">HLOOKUP($J1705,'Type Chart'!$C$2:$T$20,18,false)*HLOOKUP($K1705,'Type Chart'!$C$2:$U$20,18,false)</f>
        <v>1</v>
      </c>
      <c r="AL1705" s="960">
        <f t="array" ref="AL1705">HLOOKUP($J1705,'Type Chart'!$C$2:$T$20,19,false)*HLOOKUP($K1705,'Type Chart'!$C$2:$U$20,19,false)</f>
        <v>1</v>
      </c>
      <c r="AM1705" s="1145" t="s">
        <v>1487</v>
      </c>
      <c r="AN1705" s="965"/>
      <c r="AO1705" s="966" t="s">
        <v>1259</v>
      </c>
      <c r="AP1705" s="936"/>
      <c r="AQ1705" s="1245"/>
      <c r="AR1705" s="1245"/>
      <c r="AS1705" s="936"/>
    </row>
    <row r="1706" ht="15.75" customHeight="1">
      <c r="A1706" s="1099"/>
      <c r="B1706" s="948" t="s">
        <v>2292</v>
      </c>
      <c r="C1706" s="1197" t="s">
        <v>2293</v>
      </c>
      <c r="D1706" s="1197" t="s">
        <v>2293</v>
      </c>
      <c r="E1706" s="1147" t="s">
        <v>2293</v>
      </c>
      <c r="F1706" s="940"/>
      <c r="G1706" s="953"/>
      <c r="H1706" s="969"/>
      <c r="I1706" s="998" t="s">
        <v>4806</v>
      </c>
      <c r="J1706" s="1211" t="s">
        <v>81</v>
      </c>
      <c r="K1706" s="1199" t="s">
        <v>216</v>
      </c>
      <c r="L1706" s="1200">
        <v>20.0</v>
      </c>
      <c r="M1706" s="1201">
        <v>15.0</v>
      </c>
      <c r="N1706" s="1201">
        <v>20.0</v>
      </c>
      <c r="O1706" s="1201">
        <v>10.0</v>
      </c>
      <c r="P1706" s="1201">
        <v>55.0</v>
      </c>
      <c r="Q1706" s="1201">
        <v>80.0</v>
      </c>
      <c r="R1706" s="960">
        <v>196.0</v>
      </c>
      <c r="S1706" s="960">
        <v>259.0</v>
      </c>
      <c r="T1706" s="960">
        <v>284.0</v>
      </c>
      <c r="U1706" s="960">
        <f t="array" ref="U1706">HLOOKUP($J1706,'Type Chart'!$C$2:$T$20,2,false)*HLOOKUP($K1706,'Type Chart'!$C$2:$U$20,2,false)</f>
        <v>1</v>
      </c>
      <c r="V1706" s="960">
        <f t="array" ref="V1706">HLOOKUP($J1706,'Type Chart'!$C$2:$T$20,3,false)*HLOOKUP($K1706,'Type Chart'!$C$2:$U$20,3,false)</f>
        <v>1</v>
      </c>
      <c r="W1706" s="960">
        <f t="array" ref="W1706">HLOOKUP($J1706,'Type Chart'!$C$2:$T$20,4,false)*HLOOKUP($K1706,'Type Chart'!$C$2:$U$20,4,false)</f>
        <v>1</v>
      </c>
      <c r="X1706" s="960">
        <f t="array" ref="X1706">HLOOKUP($J1706,'Type Chart'!$C$2:$T$20,5,false)*HLOOKUP($K1706,'Type Chart'!$C$2:$U$20,5,false)</f>
        <v>1</v>
      </c>
      <c r="Y1706" s="960">
        <f t="array" ref="Y1706">HLOOKUP($J1706,'Type Chart'!$C$2:$T$20,6,false)*HLOOKUP($K1706,'Type Chart'!$C$2:$U$20,6,false)</f>
        <v>1</v>
      </c>
      <c r="Z1706" s="960">
        <f t="array" ref="Z1706">HLOOKUP($J1706,'Type Chart'!$C$2:$T$20,7,false)*HLOOKUP($K1706,'Type Chart'!$C$2:$U$20,7,false)</f>
        <v>1</v>
      </c>
      <c r="AA1706" s="960">
        <f t="array" ref="AA1706">HLOOKUP($J1706,'Type Chart'!$C$2:$T$20,8,false)*HLOOKUP($K1706,'Type Chart'!$C$2:$U$20,8,false)</f>
        <v>1</v>
      </c>
      <c r="AB1706" s="960">
        <f t="array" ref="AB1706">HLOOKUP($J1706,'Type Chart'!$C$2:$T$20,9,false)*HLOOKUP($K1706,'Type Chart'!$C$2:$U$20,9,false)</f>
        <v>1</v>
      </c>
      <c r="AC1706" s="960">
        <f t="array" ref="AC1706">HLOOKUP($J1706,'Type Chart'!$C$2:$T$20,10,false)*HLOOKUP($K1706,'Type Chart'!$C$2:$U$20,10,false)</f>
        <v>0.5</v>
      </c>
      <c r="AD1706" s="960">
        <f t="array" ref="AD1706">HLOOKUP($J1706,'Type Chart'!$C$2:$T$20,11,false)*HLOOKUP($K1706,'Type Chart'!$C$2:$U$20,11,false)</f>
        <v>0.5</v>
      </c>
      <c r="AE1706" s="960">
        <f t="array" ref="AE1706">HLOOKUP($J1706,'Type Chart'!$C$2:$T$20,12,false)*HLOOKUP($K1706,'Type Chart'!$C$2:$U$20,12,false)</f>
        <v>0.5</v>
      </c>
      <c r="AF1706" s="960">
        <f t="array" ref="AF1706">HLOOKUP($J1706,'Type Chart'!$C$2:$T$20,13,false)*HLOOKUP($K1706,'Type Chart'!$C$2:$U$20,13,false)</f>
        <v>2</v>
      </c>
      <c r="AG1706" s="960">
        <f t="array" ref="AG1706">HLOOKUP($J1706,'Type Chart'!$C$2:$T$20,14,false)*HLOOKUP($K1706,'Type Chart'!$C$2:$U$20,14,false)</f>
        <v>2</v>
      </c>
      <c r="AH1706" s="960">
        <f t="array" ref="AH1706">HLOOKUP($J1706,'Type Chart'!$C$2:$T$20,15,false)*HLOOKUP($K1706,'Type Chart'!$C$2:$U$20,15,false)</f>
        <v>1</v>
      </c>
      <c r="AI1706" s="960">
        <f t="array" ref="AI1706">HLOOKUP($J1706,'Type Chart'!$C$2:$T$20,16,false)*HLOOKUP($K1706,'Type Chart'!$C$2:$U$20,16,false)</f>
        <v>0.5</v>
      </c>
      <c r="AJ1706" s="960">
        <f t="array" ref="AJ1706">HLOOKUP($J1706,'Type Chart'!$C$2:$T$20,17,false)*HLOOKUP($K1706,'Type Chart'!$C$2:$U$20,17,false)</f>
        <v>1</v>
      </c>
      <c r="AK1706" s="960">
        <f t="array" ref="AK1706">HLOOKUP($J1706,'Type Chart'!$C$2:$T$20,18,false)*HLOOKUP($K1706,'Type Chart'!$C$2:$U$20,18,false)</f>
        <v>1</v>
      </c>
      <c r="AL1706" s="960">
        <f t="array" ref="AL1706">HLOOKUP($J1706,'Type Chart'!$C$2:$T$20,19,false)*HLOOKUP($K1706,'Type Chart'!$C$2:$U$20,19,false)</f>
        <v>1</v>
      </c>
      <c r="AM1706" s="1145" t="s">
        <v>1259</v>
      </c>
      <c r="AN1706" s="965" t="s">
        <v>1369</v>
      </c>
      <c r="AO1706" s="1146" t="s">
        <v>1018</v>
      </c>
      <c r="AP1706" s="936"/>
      <c r="AQ1706" s="1245"/>
      <c r="AR1706" s="1245"/>
      <c r="AS1706" s="936"/>
    </row>
    <row r="1707" ht="15.75" customHeight="1">
      <c r="A1707" s="1099"/>
      <c r="B1707" s="948" t="s">
        <v>2295</v>
      </c>
      <c r="C1707" s="1197" t="s">
        <v>2296</v>
      </c>
      <c r="D1707" s="1197" t="s">
        <v>2296</v>
      </c>
      <c r="E1707" s="1147" t="s">
        <v>2296</v>
      </c>
      <c r="F1707" s="940"/>
      <c r="G1707" s="953"/>
      <c r="H1707" s="969"/>
      <c r="I1707" s="998" t="s">
        <v>4807</v>
      </c>
      <c r="J1707" s="1056" t="s">
        <v>81</v>
      </c>
      <c r="K1707" s="984" t="s">
        <v>216</v>
      </c>
      <c r="L1707" s="959">
        <v>95.0</v>
      </c>
      <c r="M1707" s="960">
        <v>60.0</v>
      </c>
      <c r="N1707" s="960">
        <v>79.0</v>
      </c>
      <c r="O1707" s="960">
        <v>100.0</v>
      </c>
      <c r="P1707" s="960">
        <v>125.0</v>
      </c>
      <c r="Q1707" s="960">
        <v>81.0</v>
      </c>
      <c r="R1707" s="960">
        <v>198.0</v>
      </c>
      <c r="S1707" s="960">
        <v>261.0</v>
      </c>
      <c r="T1707" s="960">
        <v>287.0</v>
      </c>
      <c r="U1707" s="960">
        <f t="array" ref="U1707">HLOOKUP($J1707,'Type Chart'!$C$2:$T$20,2,false)*HLOOKUP($K1707,'Type Chart'!$C$2:$U$20,2,false)</f>
        <v>1</v>
      </c>
      <c r="V1707" s="960">
        <f t="array" ref="V1707">HLOOKUP($J1707,'Type Chart'!$C$2:$T$20,3,false)*HLOOKUP($K1707,'Type Chart'!$C$2:$U$20,3,false)</f>
        <v>1</v>
      </c>
      <c r="W1707" s="960">
        <f t="array" ref="W1707">HLOOKUP($J1707,'Type Chart'!$C$2:$T$20,4,false)*HLOOKUP($K1707,'Type Chart'!$C$2:$U$20,4,false)</f>
        <v>1</v>
      </c>
      <c r="X1707" s="960">
        <f t="array" ref="X1707">HLOOKUP($J1707,'Type Chart'!$C$2:$T$20,5,false)*HLOOKUP($K1707,'Type Chart'!$C$2:$U$20,5,false)</f>
        <v>1</v>
      </c>
      <c r="Y1707" s="960">
        <f t="array" ref="Y1707">HLOOKUP($J1707,'Type Chart'!$C$2:$T$20,6,false)*HLOOKUP($K1707,'Type Chart'!$C$2:$U$20,6,false)</f>
        <v>1</v>
      </c>
      <c r="Z1707" s="960">
        <f t="array" ref="Z1707">HLOOKUP($J1707,'Type Chart'!$C$2:$T$20,7,false)*HLOOKUP($K1707,'Type Chart'!$C$2:$U$20,7,false)</f>
        <v>1</v>
      </c>
      <c r="AA1707" s="960">
        <f t="array" ref="AA1707">HLOOKUP($J1707,'Type Chart'!$C$2:$T$20,8,false)*HLOOKUP($K1707,'Type Chart'!$C$2:$U$20,8,false)</f>
        <v>1</v>
      </c>
      <c r="AB1707" s="960">
        <f t="array" ref="AB1707">HLOOKUP($J1707,'Type Chart'!$C$2:$T$20,9,false)*HLOOKUP($K1707,'Type Chart'!$C$2:$U$20,9,false)</f>
        <v>1</v>
      </c>
      <c r="AC1707" s="960">
        <f t="array" ref="AC1707">HLOOKUP($J1707,'Type Chart'!$C$2:$T$20,10,false)*HLOOKUP($K1707,'Type Chart'!$C$2:$U$20,10,false)</f>
        <v>0.5</v>
      </c>
      <c r="AD1707" s="960">
        <f t="array" ref="AD1707">HLOOKUP($J1707,'Type Chart'!$C$2:$T$20,11,false)*HLOOKUP($K1707,'Type Chart'!$C$2:$U$20,11,false)</f>
        <v>0.5</v>
      </c>
      <c r="AE1707" s="960">
        <f t="array" ref="AE1707">HLOOKUP($J1707,'Type Chart'!$C$2:$T$20,12,false)*HLOOKUP($K1707,'Type Chart'!$C$2:$U$20,12,false)</f>
        <v>0.5</v>
      </c>
      <c r="AF1707" s="960">
        <f t="array" ref="AF1707">HLOOKUP($J1707,'Type Chart'!$C$2:$T$20,13,false)*HLOOKUP($K1707,'Type Chart'!$C$2:$U$20,13,false)</f>
        <v>2</v>
      </c>
      <c r="AG1707" s="960">
        <f t="array" ref="AG1707">HLOOKUP($J1707,'Type Chart'!$C$2:$T$20,14,false)*HLOOKUP($K1707,'Type Chart'!$C$2:$U$20,14,false)</f>
        <v>2</v>
      </c>
      <c r="AH1707" s="960">
        <f t="array" ref="AH1707">HLOOKUP($J1707,'Type Chart'!$C$2:$T$20,15,false)*HLOOKUP($K1707,'Type Chart'!$C$2:$U$20,15,false)</f>
        <v>1</v>
      </c>
      <c r="AI1707" s="960">
        <f t="array" ref="AI1707">HLOOKUP($J1707,'Type Chart'!$C$2:$T$20,16,false)*HLOOKUP($K1707,'Type Chart'!$C$2:$U$20,16,false)</f>
        <v>0.5</v>
      </c>
      <c r="AJ1707" s="960">
        <f t="array" ref="AJ1707">HLOOKUP($J1707,'Type Chart'!$C$2:$T$20,17,false)*HLOOKUP($K1707,'Type Chart'!$C$2:$U$20,17,false)</f>
        <v>1</v>
      </c>
      <c r="AK1707" s="960">
        <f t="array" ref="AK1707">HLOOKUP($J1707,'Type Chart'!$C$2:$T$20,18,false)*HLOOKUP($K1707,'Type Chart'!$C$2:$U$20,18,false)</f>
        <v>1</v>
      </c>
      <c r="AL1707" s="960">
        <f t="array" ref="AL1707">HLOOKUP($J1707,'Type Chart'!$C$2:$T$20,19,false)*HLOOKUP($K1707,'Type Chart'!$C$2:$U$20,19,false)</f>
        <v>1</v>
      </c>
      <c r="AM1707" s="1145" t="s">
        <v>1661</v>
      </c>
      <c r="AN1707" s="965" t="s">
        <v>1185</v>
      </c>
      <c r="AO1707" s="1146" t="s">
        <v>1165</v>
      </c>
      <c r="AP1707" s="936"/>
      <c r="AQ1707" s="1245"/>
      <c r="AR1707" s="1245"/>
      <c r="AS1707" s="936"/>
    </row>
    <row r="1708" ht="15.75" customHeight="1">
      <c r="A1708" s="1099"/>
      <c r="B1708" s="948" t="s">
        <v>2297</v>
      </c>
      <c r="C1708" s="1197" t="s">
        <v>2298</v>
      </c>
      <c r="D1708" s="1197" t="s">
        <v>2298</v>
      </c>
      <c r="E1708" s="1147" t="s">
        <v>2298</v>
      </c>
      <c r="F1708" s="940"/>
      <c r="G1708" s="953"/>
      <c r="H1708" s="969"/>
      <c r="I1708" s="998" t="s">
        <v>4808</v>
      </c>
      <c r="J1708" s="1194" t="s">
        <v>136</v>
      </c>
      <c r="K1708" s="984" t="s">
        <v>216</v>
      </c>
      <c r="L1708" s="959">
        <v>70.0</v>
      </c>
      <c r="M1708" s="960">
        <v>70.0</v>
      </c>
      <c r="N1708" s="960">
        <v>70.0</v>
      </c>
      <c r="O1708" s="960">
        <v>70.0</v>
      </c>
      <c r="P1708" s="960">
        <v>70.0</v>
      </c>
      <c r="Q1708" s="960">
        <v>70.0</v>
      </c>
      <c r="R1708" s="960">
        <v>176.0</v>
      </c>
      <c r="S1708" s="960">
        <v>239.0</v>
      </c>
      <c r="T1708" s="960">
        <v>262.0</v>
      </c>
      <c r="U1708" s="960">
        <f t="array" ref="U1708">HLOOKUP($J1708,'Type Chart'!$C$2:$T$20,2,false)*HLOOKUP($K1708,'Type Chart'!$C$2:$U$20,2,false)</f>
        <v>1</v>
      </c>
      <c r="V1708" s="960">
        <f t="array" ref="V1708">HLOOKUP($J1708,'Type Chart'!$C$2:$T$20,3,false)*HLOOKUP($K1708,'Type Chart'!$C$2:$U$20,3,false)</f>
        <v>2</v>
      </c>
      <c r="W1708" s="960">
        <f t="array" ref="W1708">HLOOKUP($J1708,'Type Chart'!$C$2:$T$20,4,false)*HLOOKUP($K1708,'Type Chart'!$C$2:$U$20,4,false)</f>
        <v>1</v>
      </c>
      <c r="X1708" s="960">
        <f t="array" ref="X1708">HLOOKUP($J1708,'Type Chart'!$C$2:$T$20,5,false)*HLOOKUP($K1708,'Type Chart'!$C$2:$U$20,5,false)</f>
        <v>1</v>
      </c>
      <c r="Y1708" s="960">
        <f t="array" ref="Y1708">HLOOKUP($J1708,'Type Chart'!$C$2:$T$20,6,false)*HLOOKUP($K1708,'Type Chart'!$C$2:$U$20,6,false)</f>
        <v>1</v>
      </c>
      <c r="Z1708" s="960">
        <f t="array" ref="Z1708">HLOOKUP($J1708,'Type Chart'!$C$2:$T$20,7,false)*HLOOKUP($K1708,'Type Chart'!$C$2:$U$20,7,false)</f>
        <v>1</v>
      </c>
      <c r="AA1708" s="960">
        <f t="array" ref="AA1708">HLOOKUP($J1708,'Type Chart'!$C$2:$T$20,8,false)*HLOOKUP($K1708,'Type Chart'!$C$2:$U$20,8,false)</f>
        <v>1</v>
      </c>
      <c r="AB1708" s="960">
        <f t="array" ref="AB1708">HLOOKUP($J1708,'Type Chart'!$C$2:$T$20,9,false)*HLOOKUP($K1708,'Type Chart'!$C$2:$U$20,9,false)</f>
        <v>0</v>
      </c>
      <c r="AC1708" s="960">
        <f t="array" ref="AC1708">HLOOKUP($J1708,'Type Chart'!$C$2:$T$20,10,false)*HLOOKUP($K1708,'Type Chart'!$C$2:$U$20,10,false)</f>
        <v>1</v>
      </c>
      <c r="AD1708" s="960">
        <f t="array" ref="AD1708">HLOOKUP($J1708,'Type Chart'!$C$2:$T$20,11,false)*HLOOKUP($K1708,'Type Chart'!$C$2:$U$20,11,false)</f>
        <v>1</v>
      </c>
      <c r="AE1708" s="960">
        <f t="array" ref="AE1708">HLOOKUP($J1708,'Type Chart'!$C$2:$T$20,12,false)*HLOOKUP($K1708,'Type Chart'!$C$2:$U$20,12,false)</f>
        <v>1</v>
      </c>
      <c r="AF1708" s="960">
        <f t="array" ref="AF1708">HLOOKUP($J1708,'Type Chart'!$C$2:$T$20,13,false)*HLOOKUP($K1708,'Type Chart'!$C$2:$U$20,13,false)</f>
        <v>1</v>
      </c>
      <c r="AG1708" s="960">
        <f t="array" ref="AG1708">HLOOKUP($J1708,'Type Chart'!$C$2:$T$20,14,false)*HLOOKUP($K1708,'Type Chart'!$C$2:$U$20,14,false)</f>
        <v>1</v>
      </c>
      <c r="AH1708" s="960">
        <f t="array" ref="AH1708">HLOOKUP($J1708,'Type Chart'!$C$2:$T$20,15,false)*HLOOKUP($K1708,'Type Chart'!$C$2:$U$20,15,false)</f>
        <v>1</v>
      </c>
      <c r="AI1708" s="960">
        <f t="array" ref="AI1708">HLOOKUP($J1708,'Type Chart'!$C$2:$T$20,16,false)*HLOOKUP($K1708,'Type Chart'!$C$2:$U$20,16,false)</f>
        <v>1</v>
      </c>
      <c r="AJ1708" s="960">
        <f t="array" ref="AJ1708">HLOOKUP($J1708,'Type Chart'!$C$2:$T$20,17,false)*HLOOKUP($K1708,'Type Chart'!$C$2:$U$20,17,false)</f>
        <v>1</v>
      </c>
      <c r="AK1708" s="960">
        <f t="array" ref="AK1708">HLOOKUP($J1708,'Type Chart'!$C$2:$T$20,18,false)*HLOOKUP($K1708,'Type Chart'!$C$2:$U$20,18,false)</f>
        <v>1</v>
      </c>
      <c r="AL1708" s="960">
        <f t="array" ref="AL1708">HLOOKUP($J1708,'Type Chart'!$C$2:$T$20,19,false)*HLOOKUP($K1708,'Type Chart'!$C$2:$U$20,19,false)</f>
        <v>1</v>
      </c>
      <c r="AM1708" s="964" t="s">
        <v>2300</v>
      </c>
      <c r="AN1708" s="965"/>
      <c r="AO1708" s="966"/>
      <c r="AP1708" s="936"/>
      <c r="AQ1708" s="1245"/>
      <c r="AR1708" s="1245"/>
      <c r="AS1708" s="936"/>
    </row>
    <row r="1709" ht="15.75" customHeight="1">
      <c r="A1709" s="1099"/>
      <c r="B1709" s="948" t="s">
        <v>2301</v>
      </c>
      <c r="C1709" s="1197" t="s">
        <v>2302</v>
      </c>
      <c r="D1709" s="1197" t="s">
        <v>2302</v>
      </c>
      <c r="E1709" s="1147" t="s">
        <v>2302</v>
      </c>
      <c r="F1709" s="940"/>
      <c r="G1709" s="953"/>
      <c r="H1709" s="969"/>
      <c r="I1709" s="998" t="s">
        <v>4809</v>
      </c>
      <c r="J1709" s="982" t="s">
        <v>150</v>
      </c>
      <c r="K1709" s="984" t="s">
        <v>216</v>
      </c>
      <c r="L1709" s="959">
        <v>70.0</v>
      </c>
      <c r="M1709" s="960">
        <v>70.0</v>
      </c>
      <c r="N1709" s="960">
        <v>70.0</v>
      </c>
      <c r="O1709" s="960">
        <v>70.0</v>
      </c>
      <c r="P1709" s="960">
        <v>70.0</v>
      </c>
      <c r="Q1709" s="960">
        <v>70.0</v>
      </c>
      <c r="R1709" s="960">
        <v>176.0</v>
      </c>
      <c r="S1709" s="960">
        <v>239.0</v>
      </c>
      <c r="T1709" s="960">
        <v>262.0</v>
      </c>
      <c r="U1709" s="960">
        <f t="array" ref="U1709">HLOOKUP($J1709,'Type Chart'!$C$2:$T$20,2,false)*HLOOKUP($K1709,'Type Chart'!$C$2:$U$20,2,false)</f>
        <v>1</v>
      </c>
      <c r="V1709" s="960">
        <f t="array" ref="V1709">HLOOKUP($J1709,'Type Chart'!$C$2:$T$20,3,false)*HLOOKUP($K1709,'Type Chart'!$C$2:$U$20,3,false)</f>
        <v>1</v>
      </c>
      <c r="W1709" s="960">
        <f t="array" ref="W1709">HLOOKUP($J1709,'Type Chart'!$C$2:$T$20,4,false)*HLOOKUP($K1709,'Type Chart'!$C$2:$U$20,4,false)</f>
        <v>1</v>
      </c>
      <c r="X1709" s="960">
        <f t="array" ref="X1709">HLOOKUP($J1709,'Type Chart'!$C$2:$T$20,5,false)*HLOOKUP($K1709,'Type Chart'!$C$2:$U$20,5,false)</f>
        <v>1</v>
      </c>
      <c r="Y1709" s="960">
        <f t="array" ref="Y1709">HLOOKUP($J1709,'Type Chart'!$C$2:$T$20,6,false)*HLOOKUP($K1709,'Type Chart'!$C$2:$U$20,6,false)</f>
        <v>2</v>
      </c>
      <c r="Z1709" s="960">
        <f t="array" ref="Z1709">HLOOKUP($J1709,'Type Chart'!$C$2:$T$20,7,false)*HLOOKUP($K1709,'Type Chart'!$C$2:$U$20,7,false)</f>
        <v>2</v>
      </c>
      <c r="AA1709" s="960">
        <f t="array" ref="AA1709">HLOOKUP($J1709,'Type Chart'!$C$2:$T$20,8,false)*HLOOKUP($K1709,'Type Chart'!$C$2:$U$20,8,false)</f>
        <v>0.5</v>
      </c>
      <c r="AB1709" s="960">
        <f t="array" ref="AB1709">HLOOKUP($J1709,'Type Chart'!$C$2:$T$20,9,false)*HLOOKUP($K1709,'Type Chart'!$C$2:$U$20,9,false)</f>
        <v>1</v>
      </c>
      <c r="AC1709" s="960">
        <f t="array" ref="AC1709">HLOOKUP($J1709,'Type Chart'!$C$2:$T$20,10,false)*HLOOKUP($K1709,'Type Chart'!$C$2:$U$20,10,false)</f>
        <v>0.5</v>
      </c>
      <c r="AD1709" s="960">
        <f t="array" ref="AD1709">HLOOKUP($J1709,'Type Chart'!$C$2:$T$20,11,false)*HLOOKUP($K1709,'Type Chart'!$C$2:$U$20,11,false)</f>
        <v>0.5</v>
      </c>
      <c r="AE1709" s="960">
        <f t="array" ref="AE1709">HLOOKUP($J1709,'Type Chart'!$C$2:$T$20,12,false)*HLOOKUP($K1709,'Type Chart'!$C$2:$U$20,12,false)</f>
        <v>2</v>
      </c>
      <c r="AF1709" s="960">
        <f t="array" ref="AF1709">HLOOKUP($J1709,'Type Chart'!$C$2:$T$20,13,false)*HLOOKUP($K1709,'Type Chart'!$C$2:$U$20,13,false)</f>
        <v>0.5</v>
      </c>
      <c r="AG1709" s="960">
        <f t="array" ref="AG1709">HLOOKUP($J1709,'Type Chart'!$C$2:$T$20,14,false)*HLOOKUP($K1709,'Type Chart'!$C$2:$U$20,14,false)</f>
        <v>1</v>
      </c>
      <c r="AH1709" s="960">
        <f t="array" ref="AH1709">HLOOKUP($J1709,'Type Chart'!$C$2:$T$20,15,false)*HLOOKUP($K1709,'Type Chart'!$C$2:$U$20,15,false)</f>
        <v>1</v>
      </c>
      <c r="AI1709" s="960">
        <f t="array" ref="AI1709">HLOOKUP($J1709,'Type Chart'!$C$2:$T$20,16,false)*HLOOKUP($K1709,'Type Chart'!$C$2:$U$20,16,false)</f>
        <v>0.5</v>
      </c>
      <c r="AJ1709" s="960">
        <f t="array" ref="AJ1709">HLOOKUP($J1709,'Type Chart'!$C$2:$T$20,17,false)*HLOOKUP($K1709,'Type Chart'!$C$2:$U$20,17,false)</f>
        <v>1</v>
      </c>
      <c r="AK1709" s="960">
        <f t="array" ref="AK1709">HLOOKUP($J1709,'Type Chart'!$C$2:$T$20,18,false)*HLOOKUP($K1709,'Type Chart'!$C$2:$U$20,18,false)</f>
        <v>1</v>
      </c>
      <c r="AL1709" s="960">
        <f t="array" ref="AL1709">HLOOKUP($J1709,'Type Chart'!$C$2:$T$20,19,false)*HLOOKUP($K1709,'Type Chart'!$C$2:$U$20,19,false)</f>
        <v>0.5</v>
      </c>
      <c r="AM1709" s="964" t="s">
        <v>2300</v>
      </c>
      <c r="AN1709" s="965"/>
      <c r="AO1709" s="966"/>
      <c r="AP1709" s="936"/>
      <c r="AQ1709" s="1245"/>
      <c r="AR1709" s="1245"/>
      <c r="AS1709" s="936"/>
    </row>
    <row r="1710" ht="15.75" customHeight="1">
      <c r="A1710" s="1099"/>
      <c r="B1710" s="948" t="s">
        <v>2304</v>
      </c>
      <c r="C1710" s="1197" t="s">
        <v>2305</v>
      </c>
      <c r="D1710" s="1197" t="s">
        <v>2305</v>
      </c>
      <c r="E1710" s="1147" t="s">
        <v>2305</v>
      </c>
      <c r="F1710" s="940"/>
      <c r="G1710" s="953"/>
      <c r="H1710" s="969"/>
      <c r="I1710" s="998" t="s">
        <v>4810</v>
      </c>
      <c r="J1710" s="1056" t="s">
        <v>81</v>
      </c>
      <c r="K1710" s="984" t="s">
        <v>216</v>
      </c>
      <c r="L1710" s="959">
        <v>70.0</v>
      </c>
      <c r="M1710" s="960">
        <v>70.0</v>
      </c>
      <c r="N1710" s="960">
        <v>70.0</v>
      </c>
      <c r="O1710" s="960">
        <v>70.0</v>
      </c>
      <c r="P1710" s="960">
        <v>70.0</v>
      </c>
      <c r="Q1710" s="960">
        <v>70.0</v>
      </c>
      <c r="R1710" s="960">
        <v>176.0</v>
      </c>
      <c r="S1710" s="960">
        <v>239.0</v>
      </c>
      <c r="T1710" s="960">
        <v>262.0</v>
      </c>
      <c r="U1710" s="960">
        <f t="array" ref="U1710">HLOOKUP($J1710,'Type Chart'!$C$2:$T$20,2,false)*HLOOKUP($K1710,'Type Chart'!$C$2:$U$20,2,false)</f>
        <v>1</v>
      </c>
      <c r="V1710" s="960">
        <f t="array" ref="V1710">HLOOKUP($J1710,'Type Chart'!$C$2:$T$20,3,false)*HLOOKUP($K1710,'Type Chart'!$C$2:$U$20,3,false)</f>
        <v>1</v>
      </c>
      <c r="W1710" s="960">
        <f t="array" ref="W1710">HLOOKUP($J1710,'Type Chart'!$C$2:$T$20,4,false)*HLOOKUP($K1710,'Type Chart'!$C$2:$U$20,4,false)</f>
        <v>1</v>
      </c>
      <c r="X1710" s="960">
        <f t="array" ref="X1710">HLOOKUP($J1710,'Type Chart'!$C$2:$T$20,5,false)*HLOOKUP($K1710,'Type Chart'!$C$2:$U$20,5,false)</f>
        <v>1</v>
      </c>
      <c r="Y1710" s="960">
        <f t="array" ref="Y1710">HLOOKUP($J1710,'Type Chart'!$C$2:$T$20,6,false)*HLOOKUP($K1710,'Type Chart'!$C$2:$U$20,6,false)</f>
        <v>1</v>
      </c>
      <c r="Z1710" s="960">
        <f t="array" ref="Z1710">HLOOKUP($J1710,'Type Chart'!$C$2:$T$20,7,false)*HLOOKUP($K1710,'Type Chart'!$C$2:$U$20,7,false)</f>
        <v>1</v>
      </c>
      <c r="AA1710" s="960">
        <f t="array" ref="AA1710">HLOOKUP($J1710,'Type Chart'!$C$2:$T$20,8,false)*HLOOKUP($K1710,'Type Chart'!$C$2:$U$20,8,false)</f>
        <v>1</v>
      </c>
      <c r="AB1710" s="960">
        <f t="array" ref="AB1710">HLOOKUP($J1710,'Type Chart'!$C$2:$T$20,9,false)*HLOOKUP($K1710,'Type Chart'!$C$2:$U$20,9,false)</f>
        <v>1</v>
      </c>
      <c r="AC1710" s="960">
        <f t="array" ref="AC1710">HLOOKUP($J1710,'Type Chart'!$C$2:$T$20,10,false)*HLOOKUP($K1710,'Type Chart'!$C$2:$U$20,10,false)</f>
        <v>0.5</v>
      </c>
      <c r="AD1710" s="960">
        <f t="array" ref="AD1710">HLOOKUP($J1710,'Type Chart'!$C$2:$T$20,11,false)*HLOOKUP($K1710,'Type Chart'!$C$2:$U$20,11,false)</f>
        <v>0.5</v>
      </c>
      <c r="AE1710" s="960">
        <f t="array" ref="AE1710">HLOOKUP($J1710,'Type Chart'!$C$2:$T$20,12,false)*HLOOKUP($K1710,'Type Chart'!$C$2:$U$20,12,false)</f>
        <v>0.5</v>
      </c>
      <c r="AF1710" s="960">
        <f t="array" ref="AF1710">HLOOKUP($J1710,'Type Chart'!$C$2:$T$20,13,false)*HLOOKUP($K1710,'Type Chart'!$C$2:$U$20,13,false)</f>
        <v>2</v>
      </c>
      <c r="AG1710" s="960">
        <f t="array" ref="AG1710">HLOOKUP($J1710,'Type Chart'!$C$2:$T$20,14,false)*HLOOKUP($K1710,'Type Chart'!$C$2:$U$20,14,false)</f>
        <v>2</v>
      </c>
      <c r="AH1710" s="960">
        <f t="array" ref="AH1710">HLOOKUP($J1710,'Type Chart'!$C$2:$T$20,15,false)*HLOOKUP($K1710,'Type Chart'!$C$2:$U$20,15,false)</f>
        <v>1</v>
      </c>
      <c r="AI1710" s="960">
        <f t="array" ref="AI1710">HLOOKUP($J1710,'Type Chart'!$C$2:$T$20,16,false)*HLOOKUP($K1710,'Type Chart'!$C$2:$U$20,16,false)</f>
        <v>0.5</v>
      </c>
      <c r="AJ1710" s="960">
        <f t="array" ref="AJ1710">HLOOKUP($J1710,'Type Chart'!$C$2:$T$20,17,false)*HLOOKUP($K1710,'Type Chart'!$C$2:$U$20,17,false)</f>
        <v>1</v>
      </c>
      <c r="AK1710" s="960">
        <f t="array" ref="AK1710">HLOOKUP($J1710,'Type Chart'!$C$2:$T$20,18,false)*HLOOKUP($K1710,'Type Chart'!$C$2:$U$20,18,false)</f>
        <v>1</v>
      </c>
      <c r="AL1710" s="960">
        <f t="array" ref="AL1710">HLOOKUP($J1710,'Type Chart'!$C$2:$T$20,19,false)*HLOOKUP($K1710,'Type Chart'!$C$2:$U$20,19,false)</f>
        <v>1</v>
      </c>
      <c r="AM1710" s="964" t="s">
        <v>2300</v>
      </c>
      <c r="AN1710" s="965"/>
      <c r="AO1710" s="966"/>
      <c r="AP1710" s="936"/>
      <c r="AQ1710" s="1245"/>
      <c r="AR1710" s="1245"/>
      <c r="AS1710" s="936"/>
    </row>
    <row r="1711" ht="15.75" customHeight="1">
      <c r="A1711" s="1099"/>
      <c r="B1711" s="948" t="s">
        <v>2307</v>
      </c>
      <c r="C1711" s="1197" t="s">
        <v>2308</v>
      </c>
      <c r="D1711" s="1197" t="s">
        <v>2308</v>
      </c>
      <c r="E1711" s="1147" t="s">
        <v>2308</v>
      </c>
      <c r="F1711" s="940"/>
      <c r="G1711" s="953"/>
      <c r="H1711" s="969"/>
      <c r="I1711" s="998" t="s">
        <v>4811</v>
      </c>
      <c r="J1711" s="1205" t="s">
        <v>345</v>
      </c>
      <c r="K1711" s="984" t="s">
        <v>216</v>
      </c>
      <c r="L1711" s="959">
        <v>70.0</v>
      </c>
      <c r="M1711" s="960">
        <v>70.0</v>
      </c>
      <c r="N1711" s="960">
        <v>70.0</v>
      </c>
      <c r="O1711" s="960">
        <v>70.0</v>
      </c>
      <c r="P1711" s="960">
        <v>70.0</v>
      </c>
      <c r="Q1711" s="960">
        <v>70.0</v>
      </c>
      <c r="R1711" s="960">
        <v>176.0</v>
      </c>
      <c r="S1711" s="960">
        <v>239.0</v>
      </c>
      <c r="T1711" s="960">
        <v>262.0</v>
      </c>
      <c r="U1711" s="960">
        <f t="array" ref="U1711">HLOOKUP($J1711,'Type Chart'!$C$2:$T$20,2,false)*HLOOKUP($K1711,'Type Chart'!$C$2:$U$20,2,false)</f>
        <v>1</v>
      </c>
      <c r="V1711" s="960">
        <f t="array" ref="V1711">HLOOKUP($J1711,'Type Chart'!$C$2:$T$20,3,false)*HLOOKUP($K1711,'Type Chart'!$C$2:$U$20,3,false)</f>
        <v>2</v>
      </c>
      <c r="W1711" s="960">
        <f t="array" ref="W1711">HLOOKUP($J1711,'Type Chart'!$C$2:$T$20,4,false)*HLOOKUP($K1711,'Type Chart'!$C$2:$U$20,4,false)</f>
        <v>1</v>
      </c>
      <c r="X1711" s="960">
        <f t="array" ref="X1711">HLOOKUP($J1711,'Type Chart'!$C$2:$T$20,5,false)*HLOOKUP($K1711,'Type Chart'!$C$2:$U$20,5,false)</f>
        <v>1</v>
      </c>
      <c r="Y1711" s="960">
        <f t="array" ref="Y1711">HLOOKUP($J1711,'Type Chart'!$C$2:$T$20,6,false)*HLOOKUP($K1711,'Type Chart'!$C$2:$U$20,6,false)</f>
        <v>1</v>
      </c>
      <c r="Z1711" s="960">
        <f t="array" ref="Z1711">HLOOKUP($J1711,'Type Chart'!$C$2:$T$20,7,false)*HLOOKUP($K1711,'Type Chart'!$C$2:$U$20,7,false)</f>
        <v>2</v>
      </c>
      <c r="AA1711" s="960">
        <f t="array" ref="AA1711">HLOOKUP($J1711,'Type Chart'!$C$2:$T$20,8,false)*HLOOKUP($K1711,'Type Chart'!$C$2:$U$20,8,false)</f>
        <v>1</v>
      </c>
      <c r="AB1711" s="960">
        <f t="array" ref="AB1711">HLOOKUP($J1711,'Type Chart'!$C$2:$T$20,9,false)*HLOOKUP($K1711,'Type Chart'!$C$2:$U$20,9,false)</f>
        <v>1</v>
      </c>
      <c r="AC1711" s="960">
        <f t="array" ref="AC1711">HLOOKUP($J1711,'Type Chart'!$C$2:$T$20,10,false)*HLOOKUP($K1711,'Type Chart'!$C$2:$U$20,10,false)</f>
        <v>2</v>
      </c>
      <c r="AD1711" s="960">
        <f t="array" ref="AD1711">HLOOKUP($J1711,'Type Chart'!$C$2:$T$20,11,false)*HLOOKUP($K1711,'Type Chart'!$C$2:$U$20,11,false)</f>
        <v>2</v>
      </c>
      <c r="AE1711" s="960">
        <f t="array" ref="AE1711">HLOOKUP($J1711,'Type Chart'!$C$2:$T$20,12,false)*HLOOKUP($K1711,'Type Chart'!$C$2:$U$20,12,false)</f>
        <v>1</v>
      </c>
      <c r="AF1711" s="960">
        <f t="array" ref="AF1711">HLOOKUP($J1711,'Type Chart'!$C$2:$T$20,13,false)*HLOOKUP($K1711,'Type Chart'!$C$2:$U$20,13,false)</f>
        <v>1</v>
      </c>
      <c r="AG1711" s="960">
        <f t="array" ref="AG1711">HLOOKUP($J1711,'Type Chart'!$C$2:$T$20,14,false)*HLOOKUP($K1711,'Type Chart'!$C$2:$U$20,14,false)</f>
        <v>1</v>
      </c>
      <c r="AH1711" s="960">
        <f t="array" ref="AH1711">HLOOKUP($J1711,'Type Chart'!$C$2:$T$20,15,false)*HLOOKUP($K1711,'Type Chart'!$C$2:$U$20,15,false)</f>
        <v>1</v>
      </c>
      <c r="AI1711" s="960">
        <f t="array" ref="AI1711">HLOOKUP($J1711,'Type Chart'!$C$2:$T$20,16,false)*HLOOKUP($K1711,'Type Chart'!$C$2:$U$20,16,false)</f>
        <v>0.5</v>
      </c>
      <c r="AJ1711" s="960">
        <f t="array" ref="AJ1711">HLOOKUP($J1711,'Type Chart'!$C$2:$T$20,17,false)*HLOOKUP($K1711,'Type Chart'!$C$2:$U$20,17,false)</f>
        <v>1</v>
      </c>
      <c r="AK1711" s="960">
        <f t="array" ref="AK1711">HLOOKUP($J1711,'Type Chart'!$C$2:$T$20,18,false)*HLOOKUP($K1711,'Type Chart'!$C$2:$U$20,18,false)</f>
        <v>1</v>
      </c>
      <c r="AL1711" s="960">
        <f t="array" ref="AL1711">HLOOKUP($J1711,'Type Chart'!$C$2:$T$20,19,false)*HLOOKUP($K1711,'Type Chart'!$C$2:$U$20,19,false)</f>
        <v>1</v>
      </c>
      <c r="AM1711" s="1145" t="s">
        <v>2300</v>
      </c>
      <c r="AN1711" s="1202"/>
      <c r="AO1711" s="1146"/>
      <c r="AP1711" s="936"/>
      <c r="AQ1711" s="1245"/>
      <c r="AR1711" s="1245"/>
      <c r="AS1711" s="936"/>
    </row>
    <row r="1712" ht="15.75" customHeight="1">
      <c r="A1712" s="1099"/>
      <c r="B1712" s="948" t="s">
        <v>2310</v>
      </c>
      <c r="C1712" s="1197" t="s">
        <v>2311</v>
      </c>
      <c r="D1712" s="1197" t="s">
        <v>2311</v>
      </c>
      <c r="E1712" s="1147" t="s">
        <v>2311</v>
      </c>
      <c r="F1712" s="940"/>
      <c r="G1712" s="953"/>
      <c r="H1712" s="969"/>
      <c r="I1712" s="998" t="s">
        <v>4812</v>
      </c>
      <c r="J1712" s="1194" t="s">
        <v>136</v>
      </c>
      <c r="K1712" s="984" t="s">
        <v>216</v>
      </c>
      <c r="L1712" s="959">
        <v>60.0</v>
      </c>
      <c r="M1712" s="960">
        <v>90.0</v>
      </c>
      <c r="N1712" s="960">
        <v>70.0</v>
      </c>
      <c r="O1712" s="960">
        <v>60.0</v>
      </c>
      <c r="P1712" s="960">
        <v>120.0</v>
      </c>
      <c r="Q1712" s="960">
        <v>40.0</v>
      </c>
      <c r="R1712" s="960">
        <v>116.0</v>
      </c>
      <c r="S1712" s="960">
        <v>179.0</v>
      </c>
      <c r="T1712" s="960">
        <v>196.0</v>
      </c>
      <c r="U1712" s="960">
        <f t="array" ref="U1712">HLOOKUP($J1712,'Type Chart'!$C$2:$T$20,2,false)*HLOOKUP($K1712,'Type Chart'!$C$2:$U$20,2,false)</f>
        <v>1</v>
      </c>
      <c r="V1712" s="960">
        <f t="array" ref="V1712">HLOOKUP($J1712,'Type Chart'!$C$2:$T$20,3,false)*HLOOKUP($K1712,'Type Chart'!$C$2:$U$20,3,false)</f>
        <v>2</v>
      </c>
      <c r="W1712" s="960">
        <f t="array" ref="W1712">HLOOKUP($J1712,'Type Chart'!$C$2:$T$20,4,false)*HLOOKUP($K1712,'Type Chart'!$C$2:$U$20,4,false)</f>
        <v>1</v>
      </c>
      <c r="X1712" s="960">
        <f t="array" ref="X1712">HLOOKUP($J1712,'Type Chart'!$C$2:$T$20,5,false)*HLOOKUP($K1712,'Type Chart'!$C$2:$U$20,5,false)</f>
        <v>1</v>
      </c>
      <c r="Y1712" s="960">
        <f t="array" ref="Y1712">HLOOKUP($J1712,'Type Chart'!$C$2:$T$20,6,false)*HLOOKUP($K1712,'Type Chart'!$C$2:$U$20,6,false)</f>
        <v>1</v>
      </c>
      <c r="Z1712" s="960">
        <f t="array" ref="Z1712">HLOOKUP($J1712,'Type Chart'!$C$2:$T$20,7,false)*HLOOKUP($K1712,'Type Chart'!$C$2:$U$20,7,false)</f>
        <v>1</v>
      </c>
      <c r="AA1712" s="960">
        <f t="array" ref="AA1712">HLOOKUP($J1712,'Type Chart'!$C$2:$T$20,8,false)*HLOOKUP($K1712,'Type Chart'!$C$2:$U$20,8,false)</f>
        <v>1</v>
      </c>
      <c r="AB1712" s="960">
        <f t="array" ref="AB1712">HLOOKUP($J1712,'Type Chart'!$C$2:$T$20,9,false)*HLOOKUP($K1712,'Type Chart'!$C$2:$U$20,9,false)</f>
        <v>0</v>
      </c>
      <c r="AC1712" s="960">
        <f t="array" ref="AC1712">HLOOKUP($J1712,'Type Chart'!$C$2:$T$20,10,false)*HLOOKUP($K1712,'Type Chart'!$C$2:$U$20,10,false)</f>
        <v>1</v>
      </c>
      <c r="AD1712" s="960">
        <f t="array" ref="AD1712">HLOOKUP($J1712,'Type Chart'!$C$2:$T$20,11,false)*HLOOKUP($K1712,'Type Chart'!$C$2:$U$20,11,false)</f>
        <v>1</v>
      </c>
      <c r="AE1712" s="960">
        <f t="array" ref="AE1712">HLOOKUP($J1712,'Type Chart'!$C$2:$T$20,12,false)*HLOOKUP($K1712,'Type Chart'!$C$2:$U$20,12,false)</f>
        <v>1</v>
      </c>
      <c r="AF1712" s="960">
        <f t="array" ref="AF1712">HLOOKUP($J1712,'Type Chart'!$C$2:$T$20,13,false)*HLOOKUP($K1712,'Type Chart'!$C$2:$U$20,13,false)</f>
        <v>1</v>
      </c>
      <c r="AG1712" s="960">
        <f t="array" ref="AG1712">HLOOKUP($J1712,'Type Chart'!$C$2:$T$20,14,false)*HLOOKUP($K1712,'Type Chart'!$C$2:$U$20,14,false)</f>
        <v>1</v>
      </c>
      <c r="AH1712" s="960">
        <f t="array" ref="AH1712">HLOOKUP($J1712,'Type Chart'!$C$2:$T$20,15,false)*HLOOKUP($K1712,'Type Chart'!$C$2:$U$20,15,false)</f>
        <v>1</v>
      </c>
      <c r="AI1712" s="960">
        <f t="array" ref="AI1712">HLOOKUP($J1712,'Type Chart'!$C$2:$T$20,16,false)*HLOOKUP($K1712,'Type Chart'!$C$2:$U$20,16,false)</f>
        <v>1</v>
      </c>
      <c r="AJ1712" s="960">
        <f t="array" ref="AJ1712">HLOOKUP($J1712,'Type Chart'!$C$2:$T$20,17,false)*HLOOKUP($K1712,'Type Chart'!$C$2:$U$20,17,false)</f>
        <v>1</v>
      </c>
      <c r="AK1712" s="960">
        <f t="array" ref="AK1712">HLOOKUP($J1712,'Type Chart'!$C$2:$T$20,18,false)*HLOOKUP($K1712,'Type Chart'!$C$2:$U$20,18,false)</f>
        <v>1</v>
      </c>
      <c r="AL1712" s="960">
        <f t="array" ref="AL1712">HLOOKUP($J1712,'Type Chart'!$C$2:$T$20,19,false)*HLOOKUP($K1712,'Type Chart'!$C$2:$U$20,19,false)</f>
        <v>1</v>
      </c>
      <c r="AM1712" s="1145" t="s">
        <v>2313</v>
      </c>
      <c r="AN1712" s="965"/>
      <c r="AO1712" s="1146" t="s">
        <v>2314</v>
      </c>
      <c r="AP1712" s="936"/>
      <c r="AQ1712" s="1245"/>
      <c r="AR1712" s="1245"/>
      <c r="AS1712" s="936"/>
    </row>
    <row r="1713" ht="15.75" customHeight="1">
      <c r="A1713" s="1099"/>
      <c r="B1713" s="948" t="s">
        <v>2315</v>
      </c>
      <c r="C1713" s="1197" t="s">
        <v>2316</v>
      </c>
      <c r="D1713" s="1197" t="s">
        <v>2316</v>
      </c>
      <c r="E1713" s="1147" t="s">
        <v>2316</v>
      </c>
      <c r="F1713" s="940"/>
      <c r="G1713" s="953"/>
      <c r="H1713" s="969"/>
      <c r="I1713" s="998" t="s">
        <v>4813</v>
      </c>
      <c r="J1713" s="1220" t="s">
        <v>215</v>
      </c>
      <c r="K1713" s="984" t="s">
        <v>216</v>
      </c>
      <c r="L1713" s="959">
        <v>44.0</v>
      </c>
      <c r="M1713" s="960">
        <v>75.0</v>
      </c>
      <c r="N1713" s="960">
        <v>35.0</v>
      </c>
      <c r="O1713" s="960">
        <v>63.0</v>
      </c>
      <c r="P1713" s="960">
        <v>33.0</v>
      </c>
      <c r="Q1713" s="960">
        <v>45.0</v>
      </c>
      <c r="R1713" s="960">
        <v>126.0</v>
      </c>
      <c r="S1713" s="960">
        <v>189.0</v>
      </c>
      <c r="T1713" s="960">
        <v>207.0</v>
      </c>
      <c r="U1713" s="960">
        <f t="array" ref="U1713">HLOOKUP($J1713,'Type Chart'!$C$2:$T$20,2,false)*HLOOKUP($K1713,'Type Chart'!$C$2:$U$20,2,false)</f>
        <v>0</v>
      </c>
      <c r="V1713" s="960">
        <f t="array" ref="V1713">HLOOKUP($J1713,'Type Chart'!$C$2:$T$20,3,false)*HLOOKUP($K1713,'Type Chart'!$C$2:$U$20,3,false)</f>
        <v>0</v>
      </c>
      <c r="W1713" s="960">
        <f t="array" ref="W1713">HLOOKUP($J1713,'Type Chart'!$C$2:$T$20,4,false)*HLOOKUP($K1713,'Type Chart'!$C$2:$U$20,4,false)</f>
        <v>1</v>
      </c>
      <c r="X1713" s="960">
        <f t="array" ref="X1713">HLOOKUP($J1713,'Type Chart'!$C$2:$T$20,5,false)*HLOOKUP($K1713,'Type Chart'!$C$2:$U$20,5,false)</f>
        <v>0.5</v>
      </c>
      <c r="Y1713" s="960">
        <f t="array" ref="Y1713">HLOOKUP($J1713,'Type Chart'!$C$2:$T$20,6,false)*HLOOKUP($K1713,'Type Chart'!$C$2:$U$20,6,false)</f>
        <v>1</v>
      </c>
      <c r="Z1713" s="960">
        <f t="array" ref="Z1713">HLOOKUP($J1713,'Type Chart'!$C$2:$T$20,7,false)*HLOOKUP($K1713,'Type Chart'!$C$2:$U$20,7,false)</f>
        <v>1</v>
      </c>
      <c r="AA1713" s="960">
        <f t="array" ref="AA1713">HLOOKUP($J1713,'Type Chart'!$C$2:$T$20,8,false)*HLOOKUP($K1713,'Type Chart'!$C$2:$U$20,8,false)</f>
        <v>0.5</v>
      </c>
      <c r="AB1713" s="960">
        <f t="array" ref="AB1713">HLOOKUP($J1713,'Type Chart'!$C$2:$T$20,9,false)*HLOOKUP($K1713,'Type Chart'!$C$2:$U$20,9,false)</f>
        <v>2</v>
      </c>
      <c r="AC1713" s="960">
        <f t="array" ref="AC1713">HLOOKUP($J1713,'Type Chart'!$C$2:$T$20,10,false)*HLOOKUP($K1713,'Type Chart'!$C$2:$U$20,10,false)</f>
        <v>1</v>
      </c>
      <c r="AD1713" s="960">
        <f t="array" ref="AD1713">HLOOKUP($J1713,'Type Chart'!$C$2:$T$20,11,false)*HLOOKUP($K1713,'Type Chart'!$C$2:$U$20,11,false)</f>
        <v>1</v>
      </c>
      <c r="AE1713" s="960">
        <f t="array" ref="AE1713">HLOOKUP($J1713,'Type Chart'!$C$2:$T$20,12,false)*HLOOKUP($K1713,'Type Chart'!$C$2:$U$20,12,false)</f>
        <v>1</v>
      </c>
      <c r="AF1713" s="960">
        <f t="array" ref="AF1713">HLOOKUP($J1713,'Type Chart'!$C$2:$T$20,13,false)*HLOOKUP($K1713,'Type Chart'!$C$2:$U$20,13,false)</f>
        <v>1</v>
      </c>
      <c r="AG1713" s="960">
        <f t="array" ref="AG1713">HLOOKUP($J1713,'Type Chart'!$C$2:$T$20,14,false)*HLOOKUP($K1713,'Type Chart'!$C$2:$U$20,14,false)</f>
        <v>1</v>
      </c>
      <c r="AH1713" s="960">
        <f t="array" ref="AH1713">HLOOKUP($J1713,'Type Chart'!$C$2:$T$20,15,false)*HLOOKUP($K1713,'Type Chart'!$C$2:$U$20,15,false)</f>
        <v>1</v>
      </c>
      <c r="AI1713" s="960">
        <f t="array" ref="AI1713">HLOOKUP($J1713,'Type Chart'!$C$2:$T$20,16,false)*HLOOKUP($K1713,'Type Chart'!$C$2:$U$20,16,false)</f>
        <v>1</v>
      </c>
      <c r="AJ1713" s="960">
        <f t="array" ref="AJ1713">HLOOKUP($J1713,'Type Chart'!$C$2:$T$20,17,false)*HLOOKUP($K1713,'Type Chart'!$C$2:$U$20,17,false)</f>
        <v>1</v>
      </c>
      <c r="AK1713" s="960">
        <f t="array" ref="AK1713">HLOOKUP($J1713,'Type Chart'!$C$2:$T$20,18,false)*HLOOKUP($K1713,'Type Chart'!$C$2:$U$20,18,false)</f>
        <v>2</v>
      </c>
      <c r="AL1713" s="960">
        <f t="array" ref="AL1713">HLOOKUP($J1713,'Type Chart'!$C$2:$T$20,19,false)*HLOOKUP($K1713,'Type Chart'!$C$2:$U$20,19,false)</f>
        <v>1</v>
      </c>
      <c r="AM1713" s="964" t="s">
        <v>1454</v>
      </c>
      <c r="AN1713" s="965" t="s">
        <v>1188</v>
      </c>
      <c r="AO1713" s="966" t="s">
        <v>1442</v>
      </c>
      <c r="AP1713" s="936"/>
      <c r="AQ1713" s="1245"/>
      <c r="AR1713" s="1245"/>
      <c r="AS1713" s="936"/>
    </row>
    <row r="1714" ht="15.75" customHeight="1">
      <c r="A1714" s="1099"/>
      <c r="B1714" s="948" t="s">
        <v>2318</v>
      </c>
      <c r="C1714" s="1197" t="s">
        <v>2319</v>
      </c>
      <c r="D1714" s="1197" t="s">
        <v>2319</v>
      </c>
      <c r="E1714" s="1147" t="s">
        <v>2319</v>
      </c>
      <c r="F1714" s="940"/>
      <c r="G1714" s="953"/>
      <c r="H1714" s="969"/>
      <c r="I1714" s="998" t="s">
        <v>4814</v>
      </c>
      <c r="J1714" s="1220" t="s">
        <v>215</v>
      </c>
      <c r="K1714" s="984" t="s">
        <v>216</v>
      </c>
      <c r="L1714" s="959">
        <v>64.0</v>
      </c>
      <c r="M1714" s="960">
        <v>115.0</v>
      </c>
      <c r="N1714" s="960">
        <v>65.0</v>
      </c>
      <c r="O1714" s="960">
        <v>83.0</v>
      </c>
      <c r="P1714" s="960">
        <v>63.0</v>
      </c>
      <c r="Q1714" s="960">
        <v>65.0</v>
      </c>
      <c r="R1714" s="960">
        <v>166.0</v>
      </c>
      <c r="S1714" s="960">
        <v>229.0</v>
      </c>
      <c r="T1714" s="960">
        <v>251.0</v>
      </c>
      <c r="U1714" s="960">
        <f t="array" ref="U1714">HLOOKUP($J1714,'Type Chart'!$C$2:$T$20,2,false)*HLOOKUP($K1714,'Type Chart'!$C$2:$U$20,2,false)</f>
        <v>0</v>
      </c>
      <c r="V1714" s="960">
        <f t="array" ref="V1714">HLOOKUP($J1714,'Type Chart'!$C$2:$T$20,3,false)*HLOOKUP($K1714,'Type Chart'!$C$2:$U$20,3,false)</f>
        <v>0</v>
      </c>
      <c r="W1714" s="960">
        <f t="array" ref="W1714">HLOOKUP($J1714,'Type Chart'!$C$2:$T$20,4,false)*HLOOKUP($K1714,'Type Chart'!$C$2:$U$20,4,false)</f>
        <v>1</v>
      </c>
      <c r="X1714" s="960">
        <f t="array" ref="X1714">HLOOKUP($J1714,'Type Chart'!$C$2:$T$20,5,false)*HLOOKUP($K1714,'Type Chart'!$C$2:$U$20,5,false)</f>
        <v>0.5</v>
      </c>
      <c r="Y1714" s="960">
        <f t="array" ref="Y1714">HLOOKUP($J1714,'Type Chart'!$C$2:$T$20,6,false)*HLOOKUP($K1714,'Type Chart'!$C$2:$U$20,6,false)</f>
        <v>1</v>
      </c>
      <c r="Z1714" s="960">
        <f t="array" ref="Z1714">HLOOKUP($J1714,'Type Chart'!$C$2:$T$20,7,false)*HLOOKUP($K1714,'Type Chart'!$C$2:$U$20,7,false)</f>
        <v>1</v>
      </c>
      <c r="AA1714" s="960">
        <f t="array" ref="AA1714">HLOOKUP($J1714,'Type Chart'!$C$2:$T$20,8,false)*HLOOKUP($K1714,'Type Chart'!$C$2:$U$20,8,false)</f>
        <v>0.5</v>
      </c>
      <c r="AB1714" s="960">
        <f t="array" ref="AB1714">HLOOKUP($J1714,'Type Chart'!$C$2:$T$20,9,false)*HLOOKUP($K1714,'Type Chart'!$C$2:$U$20,9,false)</f>
        <v>2</v>
      </c>
      <c r="AC1714" s="960">
        <f t="array" ref="AC1714">HLOOKUP($J1714,'Type Chart'!$C$2:$T$20,10,false)*HLOOKUP($K1714,'Type Chart'!$C$2:$U$20,10,false)</f>
        <v>1</v>
      </c>
      <c r="AD1714" s="960">
        <f t="array" ref="AD1714">HLOOKUP($J1714,'Type Chart'!$C$2:$T$20,11,false)*HLOOKUP($K1714,'Type Chart'!$C$2:$U$20,11,false)</f>
        <v>1</v>
      </c>
      <c r="AE1714" s="960">
        <f t="array" ref="AE1714">HLOOKUP($J1714,'Type Chart'!$C$2:$T$20,12,false)*HLOOKUP($K1714,'Type Chart'!$C$2:$U$20,12,false)</f>
        <v>1</v>
      </c>
      <c r="AF1714" s="960">
        <f t="array" ref="AF1714">HLOOKUP($J1714,'Type Chart'!$C$2:$T$20,13,false)*HLOOKUP($K1714,'Type Chart'!$C$2:$U$20,13,false)</f>
        <v>1</v>
      </c>
      <c r="AG1714" s="960">
        <f t="array" ref="AG1714">HLOOKUP($J1714,'Type Chart'!$C$2:$T$20,14,false)*HLOOKUP($K1714,'Type Chart'!$C$2:$U$20,14,false)</f>
        <v>1</v>
      </c>
      <c r="AH1714" s="960">
        <f t="array" ref="AH1714">HLOOKUP($J1714,'Type Chart'!$C$2:$T$20,15,false)*HLOOKUP($K1714,'Type Chart'!$C$2:$U$20,15,false)</f>
        <v>1</v>
      </c>
      <c r="AI1714" s="960">
        <f t="array" ref="AI1714">HLOOKUP($J1714,'Type Chart'!$C$2:$T$20,16,false)*HLOOKUP($K1714,'Type Chart'!$C$2:$U$20,16,false)</f>
        <v>1</v>
      </c>
      <c r="AJ1714" s="960">
        <f t="array" ref="AJ1714">HLOOKUP($J1714,'Type Chart'!$C$2:$T$20,17,false)*HLOOKUP($K1714,'Type Chart'!$C$2:$U$20,17,false)</f>
        <v>1</v>
      </c>
      <c r="AK1714" s="960">
        <f t="array" ref="AK1714">HLOOKUP($J1714,'Type Chart'!$C$2:$T$20,18,false)*HLOOKUP($K1714,'Type Chart'!$C$2:$U$20,18,false)</f>
        <v>2</v>
      </c>
      <c r="AL1714" s="960">
        <f t="array" ref="AL1714">HLOOKUP($J1714,'Type Chart'!$C$2:$T$20,19,false)*HLOOKUP($K1714,'Type Chart'!$C$2:$U$20,19,false)</f>
        <v>1</v>
      </c>
      <c r="AM1714" s="964" t="s">
        <v>1454</v>
      </c>
      <c r="AN1714" s="965" t="s">
        <v>1188</v>
      </c>
      <c r="AO1714" s="966" t="s">
        <v>1442</v>
      </c>
      <c r="AP1714" s="936"/>
      <c r="AQ1714" s="1245"/>
      <c r="AR1714" s="1245"/>
      <c r="AS1714" s="936"/>
    </row>
    <row r="1715" ht="15.75" customHeight="1">
      <c r="A1715" s="1099"/>
      <c r="B1715" s="948" t="s">
        <v>2320</v>
      </c>
      <c r="C1715" s="1197" t="s">
        <v>2321</v>
      </c>
      <c r="D1715" s="1197" t="s">
        <v>2321</v>
      </c>
      <c r="E1715" s="1147" t="s">
        <v>2321</v>
      </c>
      <c r="F1715" s="940"/>
      <c r="G1715" s="953"/>
      <c r="H1715" s="969"/>
      <c r="I1715" s="998" t="s">
        <v>4815</v>
      </c>
      <c r="J1715" s="1220" t="s">
        <v>215</v>
      </c>
      <c r="K1715" s="984" t="s">
        <v>216</v>
      </c>
      <c r="L1715" s="959">
        <v>64.0</v>
      </c>
      <c r="M1715" s="960">
        <v>165.0</v>
      </c>
      <c r="N1715" s="960">
        <v>75.0</v>
      </c>
      <c r="O1715" s="960">
        <v>93.0</v>
      </c>
      <c r="P1715" s="960">
        <v>83.0</v>
      </c>
      <c r="Q1715" s="960">
        <v>75.0</v>
      </c>
      <c r="R1715" s="960">
        <v>186.0</v>
      </c>
      <c r="S1715" s="960">
        <v>249.0</v>
      </c>
      <c r="T1715" s="960">
        <v>273.0</v>
      </c>
      <c r="U1715" s="960">
        <f t="array" ref="U1715">HLOOKUP($J1715,'Type Chart'!$C$2:$T$20,2,false)*HLOOKUP($K1715,'Type Chart'!$C$2:$U$20,2,false)</f>
        <v>0</v>
      </c>
      <c r="V1715" s="960">
        <f t="array" ref="V1715">HLOOKUP($J1715,'Type Chart'!$C$2:$T$20,3,false)*HLOOKUP($K1715,'Type Chart'!$C$2:$U$20,3,false)</f>
        <v>0</v>
      </c>
      <c r="W1715" s="960">
        <f t="array" ref="W1715">HLOOKUP($J1715,'Type Chart'!$C$2:$T$20,4,false)*HLOOKUP($K1715,'Type Chart'!$C$2:$U$20,4,false)</f>
        <v>1</v>
      </c>
      <c r="X1715" s="960">
        <f t="array" ref="X1715">HLOOKUP($J1715,'Type Chart'!$C$2:$T$20,5,false)*HLOOKUP($K1715,'Type Chart'!$C$2:$U$20,5,false)</f>
        <v>0.5</v>
      </c>
      <c r="Y1715" s="960">
        <f t="array" ref="Y1715">HLOOKUP($J1715,'Type Chart'!$C$2:$T$20,6,false)*HLOOKUP($K1715,'Type Chart'!$C$2:$U$20,6,false)</f>
        <v>1</v>
      </c>
      <c r="Z1715" s="960">
        <f t="array" ref="Z1715">HLOOKUP($J1715,'Type Chart'!$C$2:$T$20,7,false)*HLOOKUP($K1715,'Type Chart'!$C$2:$U$20,7,false)</f>
        <v>1</v>
      </c>
      <c r="AA1715" s="960">
        <f t="array" ref="AA1715">HLOOKUP($J1715,'Type Chart'!$C$2:$T$20,8,false)*HLOOKUP($K1715,'Type Chart'!$C$2:$U$20,8,false)</f>
        <v>0.5</v>
      </c>
      <c r="AB1715" s="960">
        <f t="array" ref="AB1715">HLOOKUP($J1715,'Type Chart'!$C$2:$T$20,9,false)*HLOOKUP($K1715,'Type Chart'!$C$2:$U$20,9,false)</f>
        <v>2</v>
      </c>
      <c r="AC1715" s="960">
        <f t="array" ref="AC1715">HLOOKUP($J1715,'Type Chart'!$C$2:$T$20,10,false)*HLOOKUP($K1715,'Type Chart'!$C$2:$U$20,10,false)</f>
        <v>1</v>
      </c>
      <c r="AD1715" s="960">
        <f t="array" ref="AD1715">HLOOKUP($J1715,'Type Chart'!$C$2:$T$20,11,false)*HLOOKUP($K1715,'Type Chart'!$C$2:$U$20,11,false)</f>
        <v>1</v>
      </c>
      <c r="AE1715" s="960">
        <f t="array" ref="AE1715">HLOOKUP($J1715,'Type Chart'!$C$2:$T$20,12,false)*HLOOKUP($K1715,'Type Chart'!$C$2:$U$20,12,false)</f>
        <v>1</v>
      </c>
      <c r="AF1715" s="960">
        <f t="array" ref="AF1715">HLOOKUP($J1715,'Type Chart'!$C$2:$T$20,13,false)*HLOOKUP($K1715,'Type Chart'!$C$2:$U$20,13,false)</f>
        <v>1</v>
      </c>
      <c r="AG1715" s="960">
        <f t="array" ref="AG1715">HLOOKUP($J1715,'Type Chart'!$C$2:$T$20,14,false)*HLOOKUP($K1715,'Type Chart'!$C$2:$U$20,14,false)</f>
        <v>1</v>
      </c>
      <c r="AH1715" s="960">
        <f t="array" ref="AH1715">HLOOKUP($J1715,'Type Chart'!$C$2:$T$20,15,false)*HLOOKUP($K1715,'Type Chart'!$C$2:$U$20,15,false)</f>
        <v>1</v>
      </c>
      <c r="AI1715" s="960">
        <f t="array" ref="AI1715">HLOOKUP($J1715,'Type Chart'!$C$2:$T$20,16,false)*HLOOKUP($K1715,'Type Chart'!$C$2:$U$20,16,false)</f>
        <v>1</v>
      </c>
      <c r="AJ1715" s="960">
        <f t="array" ref="AJ1715">HLOOKUP($J1715,'Type Chart'!$C$2:$T$20,17,false)*HLOOKUP($K1715,'Type Chart'!$C$2:$U$20,17,false)</f>
        <v>1</v>
      </c>
      <c r="AK1715" s="960">
        <f t="array" ref="AK1715">HLOOKUP($J1715,'Type Chart'!$C$2:$T$20,18,false)*HLOOKUP($K1715,'Type Chart'!$C$2:$U$20,18,false)</f>
        <v>2</v>
      </c>
      <c r="AL1715" s="960">
        <f t="array" ref="AL1715">HLOOKUP($J1715,'Type Chart'!$C$2:$T$20,19,false)*HLOOKUP($K1715,'Type Chart'!$C$2:$U$20,19,false)</f>
        <v>1</v>
      </c>
      <c r="AM1715" s="964" t="s">
        <v>1813</v>
      </c>
      <c r="AN1715" s="965"/>
      <c r="AO1715" s="966"/>
      <c r="AP1715" s="936"/>
      <c r="AQ1715" s="1245"/>
      <c r="AR1715" s="1245"/>
      <c r="AS1715" s="936"/>
    </row>
    <row r="1716" ht="15.75" customHeight="1">
      <c r="A1716" s="1099"/>
      <c r="B1716" s="948" t="s">
        <v>2323</v>
      </c>
      <c r="C1716" s="1197" t="s">
        <v>2324</v>
      </c>
      <c r="D1716" s="1197" t="s">
        <v>2324</v>
      </c>
      <c r="E1716" s="1147" t="s">
        <v>2324</v>
      </c>
      <c r="F1716" s="940"/>
      <c r="G1716" s="953"/>
      <c r="H1716" s="969"/>
      <c r="I1716" s="998" t="s">
        <v>4816</v>
      </c>
      <c r="J1716" s="1220" t="s">
        <v>215</v>
      </c>
      <c r="K1716" s="984" t="s">
        <v>216</v>
      </c>
      <c r="L1716" s="959">
        <v>20.0</v>
      </c>
      <c r="M1716" s="960">
        <v>40.0</v>
      </c>
      <c r="N1716" s="960">
        <v>90.0</v>
      </c>
      <c r="O1716" s="960">
        <v>30.0</v>
      </c>
      <c r="P1716" s="960">
        <v>90.0</v>
      </c>
      <c r="Q1716" s="960">
        <v>25.0</v>
      </c>
      <c r="R1716" s="960">
        <v>86.0</v>
      </c>
      <c r="S1716" s="960">
        <v>149.0</v>
      </c>
      <c r="T1716" s="960">
        <v>163.0</v>
      </c>
      <c r="U1716" s="960">
        <f t="array" ref="U1716">HLOOKUP($J1716,'Type Chart'!$C$2:$T$20,2,false)*HLOOKUP($K1716,'Type Chart'!$C$2:$U$20,2,false)</f>
        <v>0</v>
      </c>
      <c r="V1716" s="960">
        <f t="array" ref="V1716">HLOOKUP($J1716,'Type Chart'!$C$2:$T$20,3,false)*HLOOKUP($K1716,'Type Chart'!$C$2:$U$20,3,false)</f>
        <v>0</v>
      </c>
      <c r="W1716" s="960">
        <f t="array" ref="W1716">HLOOKUP($J1716,'Type Chart'!$C$2:$T$20,4,false)*HLOOKUP($K1716,'Type Chart'!$C$2:$U$20,4,false)</f>
        <v>1</v>
      </c>
      <c r="X1716" s="960">
        <f t="array" ref="X1716">HLOOKUP($J1716,'Type Chart'!$C$2:$T$20,5,false)*HLOOKUP($K1716,'Type Chart'!$C$2:$U$20,5,false)</f>
        <v>0.5</v>
      </c>
      <c r="Y1716" s="960">
        <f t="array" ref="Y1716">HLOOKUP($J1716,'Type Chart'!$C$2:$T$20,6,false)*HLOOKUP($K1716,'Type Chart'!$C$2:$U$20,6,false)</f>
        <v>1</v>
      </c>
      <c r="Z1716" s="960">
        <f t="array" ref="Z1716">HLOOKUP($J1716,'Type Chart'!$C$2:$T$20,7,false)*HLOOKUP($K1716,'Type Chart'!$C$2:$U$20,7,false)</f>
        <v>1</v>
      </c>
      <c r="AA1716" s="960">
        <f t="array" ref="AA1716">HLOOKUP($J1716,'Type Chart'!$C$2:$T$20,8,false)*HLOOKUP($K1716,'Type Chart'!$C$2:$U$20,8,false)</f>
        <v>0.5</v>
      </c>
      <c r="AB1716" s="960">
        <f t="array" ref="AB1716">HLOOKUP($J1716,'Type Chart'!$C$2:$T$20,9,false)*HLOOKUP($K1716,'Type Chart'!$C$2:$U$20,9,false)</f>
        <v>2</v>
      </c>
      <c r="AC1716" s="960">
        <f t="array" ref="AC1716">HLOOKUP($J1716,'Type Chart'!$C$2:$T$20,10,false)*HLOOKUP($K1716,'Type Chart'!$C$2:$U$20,10,false)</f>
        <v>1</v>
      </c>
      <c r="AD1716" s="960">
        <f t="array" ref="AD1716">HLOOKUP($J1716,'Type Chart'!$C$2:$T$20,11,false)*HLOOKUP($K1716,'Type Chart'!$C$2:$U$20,11,false)</f>
        <v>1</v>
      </c>
      <c r="AE1716" s="960">
        <f t="array" ref="AE1716">HLOOKUP($J1716,'Type Chart'!$C$2:$T$20,12,false)*HLOOKUP($K1716,'Type Chart'!$C$2:$U$20,12,false)</f>
        <v>1</v>
      </c>
      <c r="AF1716" s="960">
        <f t="array" ref="AF1716">HLOOKUP($J1716,'Type Chart'!$C$2:$T$20,13,false)*HLOOKUP($K1716,'Type Chart'!$C$2:$U$20,13,false)</f>
        <v>1</v>
      </c>
      <c r="AG1716" s="960">
        <f t="array" ref="AG1716">HLOOKUP($J1716,'Type Chart'!$C$2:$T$20,14,false)*HLOOKUP($K1716,'Type Chart'!$C$2:$U$20,14,false)</f>
        <v>1</v>
      </c>
      <c r="AH1716" s="960">
        <f t="array" ref="AH1716">HLOOKUP($J1716,'Type Chart'!$C$2:$T$20,15,false)*HLOOKUP($K1716,'Type Chart'!$C$2:$U$20,15,false)</f>
        <v>1</v>
      </c>
      <c r="AI1716" s="960">
        <f t="array" ref="AI1716">HLOOKUP($J1716,'Type Chart'!$C$2:$T$20,16,false)*HLOOKUP($K1716,'Type Chart'!$C$2:$U$20,16,false)</f>
        <v>1</v>
      </c>
      <c r="AJ1716" s="960">
        <f t="array" ref="AJ1716">HLOOKUP($J1716,'Type Chart'!$C$2:$T$20,17,false)*HLOOKUP($K1716,'Type Chart'!$C$2:$U$20,17,false)</f>
        <v>1</v>
      </c>
      <c r="AK1716" s="960">
        <f t="array" ref="AK1716">HLOOKUP($J1716,'Type Chart'!$C$2:$T$20,18,false)*HLOOKUP($K1716,'Type Chart'!$C$2:$U$20,18,false)</f>
        <v>2</v>
      </c>
      <c r="AL1716" s="960">
        <f t="array" ref="AL1716">HLOOKUP($J1716,'Type Chart'!$C$2:$T$20,19,false)*HLOOKUP($K1716,'Type Chart'!$C$2:$U$20,19,false)</f>
        <v>1</v>
      </c>
      <c r="AM1716" s="964" t="s">
        <v>1437</v>
      </c>
      <c r="AN1716" s="965"/>
      <c r="AO1716" s="966" t="s">
        <v>1188</v>
      </c>
      <c r="AP1716" s="936"/>
      <c r="AQ1716" s="1245"/>
      <c r="AR1716" s="1245"/>
      <c r="AS1716" s="936"/>
    </row>
    <row r="1717" ht="15.75" customHeight="1">
      <c r="A1717" s="1099"/>
      <c r="B1717" s="948" t="s">
        <v>2326</v>
      </c>
      <c r="C1717" s="1197" t="s">
        <v>120</v>
      </c>
      <c r="D1717" s="1197" t="s">
        <v>120</v>
      </c>
      <c r="E1717" s="1147" t="s">
        <v>120</v>
      </c>
      <c r="F1717" s="940"/>
      <c r="G1717" s="953"/>
      <c r="H1717" s="969"/>
      <c r="I1717" s="998" t="s">
        <v>4817</v>
      </c>
      <c r="J1717" s="1220" t="s">
        <v>215</v>
      </c>
      <c r="K1717" s="984" t="s">
        <v>216</v>
      </c>
      <c r="L1717" s="959">
        <v>40.0</v>
      </c>
      <c r="M1717" s="960">
        <v>70.0</v>
      </c>
      <c r="N1717" s="960">
        <v>130.0</v>
      </c>
      <c r="O1717" s="960">
        <v>60.0</v>
      </c>
      <c r="P1717" s="960">
        <v>130.0</v>
      </c>
      <c r="Q1717" s="960">
        <v>25.0</v>
      </c>
      <c r="R1717" s="960">
        <v>86.0</v>
      </c>
      <c r="S1717" s="960">
        <v>149.0</v>
      </c>
      <c r="T1717" s="960">
        <v>163.0</v>
      </c>
      <c r="U1717" s="960">
        <f t="array" ref="U1717">HLOOKUP($J1717,'Type Chart'!$C$2:$T$20,2,false)*HLOOKUP($K1717,'Type Chart'!$C$2:$U$20,2,false)</f>
        <v>0</v>
      </c>
      <c r="V1717" s="960">
        <f t="array" ref="V1717">HLOOKUP($J1717,'Type Chart'!$C$2:$T$20,3,false)*HLOOKUP($K1717,'Type Chart'!$C$2:$U$20,3,false)</f>
        <v>0</v>
      </c>
      <c r="W1717" s="960">
        <f t="array" ref="W1717">HLOOKUP($J1717,'Type Chart'!$C$2:$T$20,4,false)*HLOOKUP($K1717,'Type Chart'!$C$2:$U$20,4,false)</f>
        <v>1</v>
      </c>
      <c r="X1717" s="960">
        <f t="array" ref="X1717">HLOOKUP($J1717,'Type Chart'!$C$2:$T$20,5,false)*HLOOKUP($K1717,'Type Chart'!$C$2:$U$20,5,false)</f>
        <v>0.5</v>
      </c>
      <c r="Y1717" s="960">
        <f t="array" ref="Y1717">HLOOKUP($J1717,'Type Chart'!$C$2:$T$20,6,false)*HLOOKUP($K1717,'Type Chart'!$C$2:$U$20,6,false)</f>
        <v>1</v>
      </c>
      <c r="Z1717" s="960">
        <f t="array" ref="Z1717">HLOOKUP($J1717,'Type Chart'!$C$2:$T$20,7,false)*HLOOKUP($K1717,'Type Chart'!$C$2:$U$20,7,false)</f>
        <v>1</v>
      </c>
      <c r="AA1717" s="960">
        <f t="array" ref="AA1717">HLOOKUP($J1717,'Type Chart'!$C$2:$T$20,8,false)*HLOOKUP($K1717,'Type Chart'!$C$2:$U$20,8,false)</f>
        <v>0.5</v>
      </c>
      <c r="AB1717" s="960">
        <f t="array" ref="AB1717">HLOOKUP($J1717,'Type Chart'!$C$2:$T$20,9,false)*HLOOKUP($K1717,'Type Chart'!$C$2:$U$20,9,false)</f>
        <v>2</v>
      </c>
      <c r="AC1717" s="960">
        <f t="array" ref="AC1717">HLOOKUP($J1717,'Type Chart'!$C$2:$T$20,10,false)*HLOOKUP($K1717,'Type Chart'!$C$2:$U$20,10,false)</f>
        <v>1</v>
      </c>
      <c r="AD1717" s="960">
        <f t="array" ref="AD1717">HLOOKUP($J1717,'Type Chart'!$C$2:$T$20,11,false)*HLOOKUP($K1717,'Type Chart'!$C$2:$U$20,11,false)</f>
        <v>1</v>
      </c>
      <c r="AE1717" s="960">
        <f t="array" ref="AE1717">HLOOKUP($J1717,'Type Chart'!$C$2:$T$20,12,false)*HLOOKUP($K1717,'Type Chart'!$C$2:$U$20,12,false)</f>
        <v>1</v>
      </c>
      <c r="AF1717" s="960">
        <f t="array" ref="AF1717">HLOOKUP($J1717,'Type Chart'!$C$2:$T$20,13,false)*HLOOKUP($K1717,'Type Chart'!$C$2:$U$20,13,false)</f>
        <v>1</v>
      </c>
      <c r="AG1717" s="960">
        <f t="array" ref="AG1717">HLOOKUP($J1717,'Type Chart'!$C$2:$T$20,14,false)*HLOOKUP($K1717,'Type Chart'!$C$2:$U$20,14,false)</f>
        <v>1</v>
      </c>
      <c r="AH1717" s="960">
        <f t="array" ref="AH1717">HLOOKUP($J1717,'Type Chart'!$C$2:$T$20,15,false)*HLOOKUP($K1717,'Type Chart'!$C$2:$U$20,15,false)</f>
        <v>1</v>
      </c>
      <c r="AI1717" s="960">
        <f t="array" ref="AI1717">HLOOKUP($J1717,'Type Chart'!$C$2:$T$20,16,false)*HLOOKUP($K1717,'Type Chart'!$C$2:$U$20,16,false)</f>
        <v>1</v>
      </c>
      <c r="AJ1717" s="960">
        <f t="array" ref="AJ1717">HLOOKUP($J1717,'Type Chart'!$C$2:$T$20,17,false)*HLOOKUP($K1717,'Type Chart'!$C$2:$U$20,17,false)</f>
        <v>1</v>
      </c>
      <c r="AK1717" s="960">
        <f t="array" ref="AK1717">HLOOKUP($J1717,'Type Chart'!$C$2:$T$20,18,false)*HLOOKUP($K1717,'Type Chart'!$C$2:$U$20,18,false)</f>
        <v>2</v>
      </c>
      <c r="AL1717" s="960">
        <f t="array" ref="AL1717">HLOOKUP($J1717,'Type Chart'!$C$2:$T$20,19,false)*HLOOKUP($K1717,'Type Chart'!$C$2:$U$20,19,false)</f>
        <v>1</v>
      </c>
      <c r="AM1717" s="964" t="s">
        <v>1636</v>
      </c>
      <c r="AN1717" s="965"/>
      <c r="AO1717" s="966" t="s">
        <v>1188</v>
      </c>
      <c r="AP1717" s="936"/>
      <c r="AQ1717" s="1245"/>
      <c r="AR1717" s="1245"/>
      <c r="AS1717" s="936"/>
    </row>
    <row r="1718" ht="15.75" customHeight="1">
      <c r="A1718" s="1099"/>
      <c r="B1718" s="948" t="s">
        <v>2327</v>
      </c>
      <c r="C1718" s="1197" t="s">
        <v>2328</v>
      </c>
      <c r="D1718" s="1197" t="s">
        <v>2328</v>
      </c>
      <c r="E1718" s="1147" t="s">
        <v>2328</v>
      </c>
      <c r="F1718" s="940"/>
      <c r="G1718" s="953"/>
      <c r="H1718" s="969"/>
      <c r="I1718" s="998" t="s">
        <v>4818</v>
      </c>
      <c r="J1718" s="957" t="s">
        <v>209</v>
      </c>
      <c r="K1718" s="1001" t="s">
        <v>128</v>
      </c>
      <c r="L1718" s="959">
        <v>99.0</v>
      </c>
      <c r="M1718" s="960">
        <v>68.0</v>
      </c>
      <c r="N1718" s="960">
        <v>83.0</v>
      </c>
      <c r="O1718" s="960">
        <v>72.0</v>
      </c>
      <c r="P1718" s="960">
        <v>87.0</v>
      </c>
      <c r="Q1718" s="960">
        <v>51.0</v>
      </c>
      <c r="R1718" s="960">
        <v>138.0</v>
      </c>
      <c r="S1718" s="960">
        <v>201.0</v>
      </c>
      <c r="T1718" s="960">
        <v>221.0</v>
      </c>
      <c r="U1718" s="960">
        <f t="array" ref="U1718">HLOOKUP($J1718,'Type Chart'!$C$2:$T$20,2,false)*HLOOKUP($K1718,'Type Chart'!$C$2:$U$20,2,false)</f>
        <v>1</v>
      </c>
      <c r="V1718" s="960">
        <f t="array" ref="V1718">HLOOKUP($J1718,'Type Chart'!$C$2:$T$20,3,false)*HLOOKUP($K1718,'Type Chart'!$C$2:$U$20,3,false)</f>
        <v>0.5</v>
      </c>
      <c r="W1718" s="960">
        <f t="array" ref="W1718">HLOOKUP($J1718,'Type Chart'!$C$2:$T$20,4,false)*HLOOKUP($K1718,'Type Chart'!$C$2:$U$20,4,false)</f>
        <v>2</v>
      </c>
      <c r="X1718" s="960">
        <f t="array" ref="X1718">HLOOKUP($J1718,'Type Chart'!$C$2:$T$20,5,false)*HLOOKUP($K1718,'Type Chart'!$C$2:$U$20,5,false)</f>
        <v>2</v>
      </c>
      <c r="Y1718" s="960">
        <f t="array" ref="Y1718">HLOOKUP($J1718,'Type Chart'!$C$2:$T$20,6,false)*HLOOKUP($K1718,'Type Chart'!$C$2:$U$20,6,false)</f>
        <v>0</v>
      </c>
      <c r="Z1718" s="960">
        <f t="array" ref="Z1718">HLOOKUP($J1718,'Type Chart'!$C$2:$T$20,7,false)*HLOOKUP($K1718,'Type Chart'!$C$2:$U$20,7,false)</f>
        <v>2</v>
      </c>
      <c r="AA1718" s="960">
        <f t="array" ref="AA1718">HLOOKUP($J1718,'Type Chart'!$C$2:$T$20,8,false)*HLOOKUP($K1718,'Type Chart'!$C$2:$U$20,8,false)</f>
        <v>1</v>
      </c>
      <c r="AB1718" s="960">
        <f t="array" ref="AB1718">HLOOKUP($J1718,'Type Chart'!$C$2:$T$20,9,false)*HLOOKUP($K1718,'Type Chart'!$C$2:$U$20,9,false)</f>
        <v>1</v>
      </c>
      <c r="AC1718" s="960">
        <f t="array" ref="AC1718">HLOOKUP($J1718,'Type Chart'!$C$2:$T$20,10,false)*HLOOKUP($K1718,'Type Chart'!$C$2:$U$20,10,false)</f>
        <v>1</v>
      </c>
      <c r="AD1718" s="960">
        <f t="array" ref="AD1718">HLOOKUP($J1718,'Type Chart'!$C$2:$T$20,11,false)*HLOOKUP($K1718,'Type Chart'!$C$2:$U$20,11,false)</f>
        <v>2</v>
      </c>
      <c r="AE1718" s="960">
        <f t="array" ref="AE1718">HLOOKUP($J1718,'Type Chart'!$C$2:$T$20,12,false)*HLOOKUP($K1718,'Type Chart'!$C$2:$U$20,12,false)</f>
        <v>0.5</v>
      </c>
      <c r="AF1718" s="960">
        <f t="array" ref="AF1718">HLOOKUP($J1718,'Type Chart'!$C$2:$T$20,13,false)*HLOOKUP($K1718,'Type Chart'!$C$2:$U$20,13,false)</f>
        <v>0.25</v>
      </c>
      <c r="AG1718" s="960">
        <f t="array" ref="AG1718">HLOOKUP($J1718,'Type Chart'!$C$2:$T$20,14,false)*HLOOKUP($K1718,'Type Chart'!$C$2:$U$20,14,false)</f>
        <v>1</v>
      </c>
      <c r="AH1718" s="960">
        <f t="array" ref="AH1718">HLOOKUP($J1718,'Type Chart'!$C$2:$T$20,15,false)*HLOOKUP($K1718,'Type Chart'!$C$2:$U$20,15,false)</f>
        <v>1</v>
      </c>
      <c r="AI1718" s="960">
        <f t="array" ref="AI1718">HLOOKUP($J1718,'Type Chart'!$C$2:$T$20,16,false)*HLOOKUP($K1718,'Type Chart'!$C$2:$U$20,16,false)</f>
        <v>4</v>
      </c>
      <c r="AJ1718" s="960">
        <f t="array" ref="AJ1718">HLOOKUP($J1718,'Type Chart'!$C$2:$T$20,17,false)*HLOOKUP($K1718,'Type Chart'!$C$2:$U$20,17,false)</f>
        <v>1</v>
      </c>
      <c r="AK1718" s="960">
        <f t="array" ref="AK1718">HLOOKUP($J1718,'Type Chart'!$C$2:$T$20,18,false)*HLOOKUP($K1718,'Type Chart'!$C$2:$U$20,18,false)</f>
        <v>1</v>
      </c>
      <c r="AL1718" s="960">
        <f t="array" ref="AL1718">HLOOKUP($J1718,'Type Chart'!$C$2:$T$20,19,false)*HLOOKUP($K1718,'Type Chart'!$C$2:$U$20,19,false)</f>
        <v>1</v>
      </c>
      <c r="AM1718" s="964" t="s">
        <v>524</v>
      </c>
      <c r="AN1718" s="965" t="s">
        <v>831</v>
      </c>
      <c r="AO1718" s="966" t="s">
        <v>1478</v>
      </c>
      <c r="AP1718" s="936"/>
      <c r="AQ1718" s="1245"/>
      <c r="AR1718" s="1245"/>
      <c r="AS1718" s="936"/>
    </row>
    <row r="1719" ht="15.75" customHeight="1">
      <c r="A1719" s="1099"/>
      <c r="B1719" s="948" t="s">
        <v>2329</v>
      </c>
      <c r="C1719" s="1197" t="s">
        <v>2330</v>
      </c>
      <c r="D1719" s="1197" t="s">
        <v>2330</v>
      </c>
      <c r="E1719" s="1147" t="s">
        <v>2330</v>
      </c>
      <c r="F1719" s="940"/>
      <c r="G1719" s="953"/>
      <c r="H1719" s="969"/>
      <c r="I1719" s="998" t="s">
        <v>4819</v>
      </c>
      <c r="J1719" s="1203" t="s">
        <v>344</v>
      </c>
      <c r="K1719" s="984" t="s">
        <v>216</v>
      </c>
      <c r="L1719" s="959">
        <v>75.0</v>
      </c>
      <c r="M1719" s="960">
        <v>50.0</v>
      </c>
      <c r="N1719" s="960">
        <v>80.0</v>
      </c>
      <c r="O1719" s="960">
        <v>95.0</v>
      </c>
      <c r="P1719" s="960">
        <v>90.0</v>
      </c>
      <c r="Q1719" s="960">
        <v>65.0</v>
      </c>
      <c r="R1719" s="960">
        <v>166.0</v>
      </c>
      <c r="S1719" s="960">
        <v>229.0</v>
      </c>
      <c r="T1719" s="960">
        <v>251.0</v>
      </c>
      <c r="U1719" s="960">
        <f t="array" ref="U1719">HLOOKUP($J1719,'Type Chart'!$C$2:$T$20,2,false)*HLOOKUP($K1719,'Type Chart'!$C$2:$U$20,2,false)</f>
        <v>1</v>
      </c>
      <c r="V1719" s="960">
        <f t="array" ref="V1719">HLOOKUP($J1719,'Type Chart'!$C$2:$T$20,3,false)*HLOOKUP($K1719,'Type Chart'!$C$2:$U$20,3,false)</f>
        <v>0.5</v>
      </c>
      <c r="W1719" s="960">
        <f t="array" ref="W1719">HLOOKUP($J1719,'Type Chart'!$C$2:$T$20,4,false)*HLOOKUP($K1719,'Type Chart'!$C$2:$U$20,4,false)</f>
        <v>1</v>
      </c>
      <c r="X1719" s="960">
        <f t="array" ref="X1719">HLOOKUP($J1719,'Type Chart'!$C$2:$T$20,5,false)*HLOOKUP($K1719,'Type Chart'!$C$2:$U$20,5,false)</f>
        <v>1</v>
      </c>
      <c r="Y1719" s="960">
        <f t="array" ref="Y1719">HLOOKUP($J1719,'Type Chart'!$C$2:$T$20,6,false)*HLOOKUP($K1719,'Type Chart'!$C$2:$U$20,6,false)</f>
        <v>1</v>
      </c>
      <c r="Z1719" s="960">
        <f t="array" ref="Z1719">HLOOKUP($J1719,'Type Chart'!$C$2:$T$20,7,false)*HLOOKUP($K1719,'Type Chart'!$C$2:$U$20,7,false)</f>
        <v>1</v>
      </c>
      <c r="AA1719" s="960">
        <f t="array" ref="AA1719">HLOOKUP($J1719,'Type Chart'!$C$2:$T$20,8,false)*HLOOKUP($K1719,'Type Chart'!$C$2:$U$20,8,false)</f>
        <v>2</v>
      </c>
      <c r="AB1719" s="960">
        <f t="array" ref="AB1719">HLOOKUP($J1719,'Type Chart'!$C$2:$T$20,9,false)*HLOOKUP($K1719,'Type Chart'!$C$2:$U$20,9,false)</f>
        <v>2</v>
      </c>
      <c r="AC1719" s="960">
        <f t="array" ref="AC1719">HLOOKUP($J1719,'Type Chart'!$C$2:$T$20,10,false)*HLOOKUP($K1719,'Type Chart'!$C$2:$U$20,10,false)</f>
        <v>1</v>
      </c>
      <c r="AD1719" s="960">
        <f t="array" ref="AD1719">HLOOKUP($J1719,'Type Chart'!$C$2:$T$20,11,false)*HLOOKUP($K1719,'Type Chart'!$C$2:$U$20,11,false)</f>
        <v>1</v>
      </c>
      <c r="AE1719" s="960">
        <f t="array" ref="AE1719">HLOOKUP($J1719,'Type Chart'!$C$2:$T$20,12,false)*HLOOKUP($K1719,'Type Chart'!$C$2:$U$20,12,false)</f>
        <v>1</v>
      </c>
      <c r="AF1719" s="960">
        <f t="array" ref="AF1719">HLOOKUP($J1719,'Type Chart'!$C$2:$T$20,13,false)*HLOOKUP($K1719,'Type Chart'!$C$2:$U$20,13,false)</f>
        <v>1</v>
      </c>
      <c r="AG1719" s="960">
        <f t="array" ref="AG1719">HLOOKUP($J1719,'Type Chart'!$C$2:$T$20,14,false)*HLOOKUP($K1719,'Type Chart'!$C$2:$U$20,14,false)</f>
        <v>1</v>
      </c>
      <c r="AH1719" s="960">
        <f t="array" ref="AH1719">HLOOKUP($J1719,'Type Chart'!$C$2:$T$20,15,false)*HLOOKUP($K1719,'Type Chart'!$C$2:$U$20,15,false)</f>
        <v>0.5</v>
      </c>
      <c r="AI1719" s="960">
        <f t="array" ref="AI1719">HLOOKUP($J1719,'Type Chart'!$C$2:$T$20,16,false)*HLOOKUP($K1719,'Type Chart'!$C$2:$U$20,16,false)</f>
        <v>1</v>
      </c>
      <c r="AJ1719" s="960">
        <f t="array" ref="AJ1719">HLOOKUP($J1719,'Type Chart'!$C$2:$T$20,17,false)*HLOOKUP($K1719,'Type Chart'!$C$2:$U$20,17,false)</f>
        <v>1</v>
      </c>
      <c r="AK1719" s="960">
        <f t="array" ref="AK1719">HLOOKUP($J1719,'Type Chart'!$C$2:$T$20,18,false)*HLOOKUP($K1719,'Type Chart'!$C$2:$U$20,18,false)</f>
        <v>2</v>
      </c>
      <c r="AL1719" s="960">
        <f t="array" ref="AL1719">HLOOKUP($J1719,'Type Chart'!$C$2:$T$20,19,false)*HLOOKUP($K1719,'Type Chart'!$C$2:$U$20,19,false)</f>
        <v>1</v>
      </c>
      <c r="AM1719" s="964" t="s">
        <v>1437</v>
      </c>
      <c r="AN1719" s="965"/>
      <c r="AO1719" s="966"/>
      <c r="AP1719" s="936"/>
      <c r="AQ1719" s="1245"/>
      <c r="AR1719" s="1245"/>
      <c r="AS1719" s="936"/>
    </row>
    <row r="1720" ht="15.75" customHeight="1">
      <c r="A1720" s="1099"/>
      <c r="B1720" s="948" t="s">
        <v>2331</v>
      </c>
      <c r="C1720" s="1197" t="s">
        <v>2332</v>
      </c>
      <c r="D1720" s="1197" t="s">
        <v>2332</v>
      </c>
      <c r="E1720" s="1147" t="s">
        <v>2332</v>
      </c>
      <c r="F1720" s="940"/>
      <c r="G1720" s="953"/>
      <c r="H1720" s="969"/>
      <c r="I1720" s="998" t="s">
        <v>4820</v>
      </c>
      <c r="J1720" s="1195" t="s">
        <v>193</v>
      </c>
      <c r="K1720" s="984" t="s">
        <v>216</v>
      </c>
      <c r="L1720" s="959">
        <v>65.0</v>
      </c>
      <c r="M1720" s="960">
        <v>130.0</v>
      </c>
      <c r="N1720" s="960">
        <v>60.0</v>
      </c>
      <c r="O1720" s="960">
        <v>75.0</v>
      </c>
      <c r="P1720" s="960">
        <v>60.0</v>
      </c>
      <c r="Q1720" s="960">
        <v>75.0</v>
      </c>
      <c r="R1720" s="960">
        <v>186.0</v>
      </c>
      <c r="S1720" s="960">
        <v>249.0</v>
      </c>
      <c r="T1720" s="960">
        <v>273.0</v>
      </c>
      <c r="U1720" s="960">
        <f t="array" ref="U1720">HLOOKUP($J1720,'Type Chart'!$C$2:$T$20,2,false)*HLOOKUP($K1720,'Type Chart'!$C$2:$U$20,2,false)</f>
        <v>1</v>
      </c>
      <c r="V1720" s="960">
        <f t="array" ref="V1720">HLOOKUP($J1720,'Type Chart'!$C$2:$T$20,3,false)*HLOOKUP($K1720,'Type Chart'!$C$2:$U$20,3,false)</f>
        <v>2</v>
      </c>
      <c r="W1720" s="960">
        <f t="array" ref="W1720">HLOOKUP($J1720,'Type Chart'!$C$2:$T$20,4,false)*HLOOKUP($K1720,'Type Chart'!$C$2:$U$20,4,false)</f>
        <v>1</v>
      </c>
      <c r="X1720" s="960">
        <f t="array" ref="X1720">HLOOKUP($J1720,'Type Chart'!$C$2:$T$20,5,false)*HLOOKUP($K1720,'Type Chart'!$C$2:$U$20,5,false)</f>
        <v>1</v>
      </c>
      <c r="Y1720" s="960">
        <f t="array" ref="Y1720">HLOOKUP($J1720,'Type Chart'!$C$2:$T$20,6,false)*HLOOKUP($K1720,'Type Chart'!$C$2:$U$20,6,false)</f>
        <v>1</v>
      </c>
      <c r="Z1720" s="960">
        <f t="array" ref="Z1720">HLOOKUP($J1720,'Type Chart'!$C$2:$T$20,7,false)*HLOOKUP($K1720,'Type Chart'!$C$2:$U$20,7,false)</f>
        <v>1</v>
      </c>
      <c r="AA1720" s="960">
        <f t="array" ref="AA1720">HLOOKUP($J1720,'Type Chart'!$C$2:$T$20,8,false)*HLOOKUP($K1720,'Type Chart'!$C$2:$U$20,8,false)</f>
        <v>2</v>
      </c>
      <c r="AB1720" s="960">
        <f t="array" ref="AB1720">HLOOKUP($J1720,'Type Chart'!$C$2:$T$20,9,false)*HLOOKUP($K1720,'Type Chart'!$C$2:$U$20,9,false)</f>
        <v>0.5</v>
      </c>
      <c r="AC1720" s="960">
        <f t="array" ref="AC1720">HLOOKUP($J1720,'Type Chart'!$C$2:$T$20,10,false)*HLOOKUP($K1720,'Type Chart'!$C$2:$U$20,10,false)</f>
        <v>1</v>
      </c>
      <c r="AD1720" s="960">
        <f t="array" ref="AD1720">HLOOKUP($J1720,'Type Chart'!$C$2:$T$20,11,false)*HLOOKUP($K1720,'Type Chart'!$C$2:$U$20,11,false)</f>
        <v>1</v>
      </c>
      <c r="AE1720" s="960">
        <f t="array" ref="AE1720">HLOOKUP($J1720,'Type Chart'!$C$2:$T$20,12,false)*HLOOKUP($K1720,'Type Chart'!$C$2:$U$20,12,false)</f>
        <v>1</v>
      </c>
      <c r="AF1720" s="960">
        <f t="array" ref="AF1720">HLOOKUP($J1720,'Type Chart'!$C$2:$T$20,13,false)*HLOOKUP($K1720,'Type Chart'!$C$2:$U$20,13,false)</f>
        <v>1</v>
      </c>
      <c r="AG1720" s="960">
        <f t="array" ref="AG1720">HLOOKUP($J1720,'Type Chart'!$C$2:$T$20,14,false)*HLOOKUP($K1720,'Type Chart'!$C$2:$U$20,14,false)</f>
        <v>1</v>
      </c>
      <c r="AH1720" s="960">
        <f t="array" ref="AH1720">HLOOKUP($J1720,'Type Chart'!$C$2:$T$20,15,false)*HLOOKUP($K1720,'Type Chart'!$C$2:$U$20,15,false)</f>
        <v>0</v>
      </c>
      <c r="AI1720" s="960">
        <f t="array" ref="AI1720">HLOOKUP($J1720,'Type Chart'!$C$2:$T$20,16,false)*HLOOKUP($K1720,'Type Chart'!$C$2:$U$20,16,false)</f>
        <v>1</v>
      </c>
      <c r="AJ1720" s="960">
        <f t="array" ref="AJ1720">HLOOKUP($J1720,'Type Chart'!$C$2:$T$20,17,false)*HLOOKUP($K1720,'Type Chart'!$C$2:$U$20,17,false)</f>
        <v>1</v>
      </c>
      <c r="AK1720" s="960">
        <f t="array" ref="AK1720">HLOOKUP($J1720,'Type Chart'!$C$2:$T$20,18,false)*HLOOKUP($K1720,'Type Chart'!$C$2:$U$20,18,false)</f>
        <v>0.5</v>
      </c>
      <c r="AL1720" s="960">
        <f t="array" ref="AL1720">HLOOKUP($J1720,'Type Chart'!$C$2:$T$20,19,false)*HLOOKUP($K1720,'Type Chart'!$C$2:$U$20,19,false)</f>
        <v>2</v>
      </c>
      <c r="AM1720" s="964" t="s">
        <v>1636</v>
      </c>
      <c r="AN1720" s="965" t="s">
        <v>1745</v>
      </c>
      <c r="AO1720" s="966" t="s">
        <v>1273</v>
      </c>
      <c r="AP1720" s="936"/>
      <c r="AQ1720" s="1245"/>
      <c r="AR1720" s="1245"/>
      <c r="AS1720" s="936"/>
    </row>
    <row r="1721" ht="15.75" customHeight="1">
      <c r="A1721" s="1099"/>
      <c r="B1721" s="948" t="s">
        <v>2334</v>
      </c>
      <c r="C1721" s="1197" t="s">
        <v>2335</v>
      </c>
      <c r="D1721" s="1197" t="s">
        <v>2335</v>
      </c>
      <c r="E1721" s="1147" t="s">
        <v>2335</v>
      </c>
      <c r="F1721" s="940"/>
      <c r="G1721" s="953"/>
      <c r="H1721" s="969"/>
      <c r="I1721" s="998" t="s">
        <v>4821</v>
      </c>
      <c r="J1721" s="1195" t="s">
        <v>193</v>
      </c>
      <c r="K1721" s="984" t="s">
        <v>216</v>
      </c>
      <c r="L1721" s="959">
        <v>65.0</v>
      </c>
      <c r="M1721" s="960">
        <v>150.0</v>
      </c>
      <c r="N1721" s="960">
        <v>60.0</v>
      </c>
      <c r="O1721" s="960">
        <v>115.0</v>
      </c>
      <c r="P1721" s="960">
        <v>60.0</v>
      </c>
      <c r="Q1721" s="960">
        <v>115.0</v>
      </c>
      <c r="R1721" s="960">
        <v>266.0</v>
      </c>
      <c r="S1721" s="960">
        <v>329.0</v>
      </c>
      <c r="T1721" s="960">
        <v>361.0</v>
      </c>
      <c r="U1721" s="960">
        <f t="array" ref="U1721">HLOOKUP($J1721,'Type Chart'!$C$2:$T$20,2,false)*HLOOKUP($K1721,'Type Chart'!$C$2:$U$20,2,false)</f>
        <v>1</v>
      </c>
      <c r="V1721" s="960">
        <f t="array" ref="V1721">HLOOKUP($J1721,'Type Chart'!$C$2:$T$20,3,false)*HLOOKUP($K1721,'Type Chart'!$C$2:$U$20,3,false)</f>
        <v>2</v>
      </c>
      <c r="W1721" s="960">
        <f t="array" ref="W1721">HLOOKUP($J1721,'Type Chart'!$C$2:$T$20,4,false)*HLOOKUP($K1721,'Type Chart'!$C$2:$U$20,4,false)</f>
        <v>1</v>
      </c>
      <c r="X1721" s="960">
        <f t="array" ref="X1721">HLOOKUP($J1721,'Type Chart'!$C$2:$T$20,5,false)*HLOOKUP($K1721,'Type Chart'!$C$2:$U$20,5,false)</f>
        <v>1</v>
      </c>
      <c r="Y1721" s="960">
        <f t="array" ref="Y1721">HLOOKUP($J1721,'Type Chart'!$C$2:$T$20,6,false)*HLOOKUP($K1721,'Type Chart'!$C$2:$U$20,6,false)</f>
        <v>1</v>
      </c>
      <c r="Z1721" s="960">
        <f t="array" ref="Z1721">HLOOKUP($J1721,'Type Chart'!$C$2:$T$20,7,false)*HLOOKUP($K1721,'Type Chart'!$C$2:$U$20,7,false)</f>
        <v>1</v>
      </c>
      <c r="AA1721" s="960">
        <f t="array" ref="AA1721">HLOOKUP($J1721,'Type Chart'!$C$2:$T$20,8,false)*HLOOKUP($K1721,'Type Chart'!$C$2:$U$20,8,false)</f>
        <v>2</v>
      </c>
      <c r="AB1721" s="960">
        <f t="array" ref="AB1721">HLOOKUP($J1721,'Type Chart'!$C$2:$T$20,9,false)*HLOOKUP($K1721,'Type Chart'!$C$2:$U$20,9,false)</f>
        <v>0.5</v>
      </c>
      <c r="AC1721" s="960">
        <f t="array" ref="AC1721">HLOOKUP($J1721,'Type Chart'!$C$2:$T$20,10,false)*HLOOKUP($K1721,'Type Chart'!$C$2:$U$20,10,false)</f>
        <v>1</v>
      </c>
      <c r="AD1721" s="960">
        <f t="array" ref="AD1721">HLOOKUP($J1721,'Type Chart'!$C$2:$T$20,11,false)*HLOOKUP($K1721,'Type Chart'!$C$2:$U$20,11,false)</f>
        <v>1</v>
      </c>
      <c r="AE1721" s="960">
        <f t="array" ref="AE1721">HLOOKUP($J1721,'Type Chart'!$C$2:$T$20,12,false)*HLOOKUP($K1721,'Type Chart'!$C$2:$U$20,12,false)</f>
        <v>1</v>
      </c>
      <c r="AF1721" s="960">
        <f t="array" ref="AF1721">HLOOKUP($J1721,'Type Chart'!$C$2:$T$20,13,false)*HLOOKUP($K1721,'Type Chart'!$C$2:$U$20,13,false)</f>
        <v>1</v>
      </c>
      <c r="AG1721" s="960">
        <f t="array" ref="AG1721">HLOOKUP($J1721,'Type Chart'!$C$2:$T$20,14,false)*HLOOKUP($K1721,'Type Chart'!$C$2:$U$20,14,false)</f>
        <v>1</v>
      </c>
      <c r="AH1721" s="960">
        <f t="array" ref="AH1721">HLOOKUP($J1721,'Type Chart'!$C$2:$T$20,15,false)*HLOOKUP($K1721,'Type Chart'!$C$2:$U$20,15,false)</f>
        <v>0</v>
      </c>
      <c r="AI1721" s="960">
        <f t="array" ref="AI1721">HLOOKUP($J1721,'Type Chart'!$C$2:$T$20,16,false)*HLOOKUP($K1721,'Type Chart'!$C$2:$U$20,16,false)</f>
        <v>1</v>
      </c>
      <c r="AJ1721" s="960">
        <f t="array" ref="AJ1721">HLOOKUP($J1721,'Type Chart'!$C$2:$T$20,17,false)*HLOOKUP($K1721,'Type Chart'!$C$2:$U$20,17,false)</f>
        <v>1</v>
      </c>
      <c r="AK1721" s="960">
        <f t="array" ref="AK1721">HLOOKUP($J1721,'Type Chart'!$C$2:$T$20,18,false)*HLOOKUP($K1721,'Type Chart'!$C$2:$U$20,18,false)</f>
        <v>0.5</v>
      </c>
      <c r="AL1721" s="960">
        <f t="array" ref="AL1721">HLOOKUP($J1721,'Type Chart'!$C$2:$T$20,19,false)*HLOOKUP($K1721,'Type Chart'!$C$2:$U$20,19,false)</f>
        <v>2</v>
      </c>
      <c r="AM1721" s="964" t="s">
        <v>1752</v>
      </c>
      <c r="AN1721" s="965"/>
      <c r="AO1721" s="966"/>
      <c r="AP1721" s="936"/>
      <c r="AQ1721" s="1245"/>
      <c r="AR1721" s="1245"/>
      <c r="AS1721" s="936"/>
    </row>
    <row r="1722" ht="15.75" customHeight="1">
      <c r="A1722" s="1099"/>
      <c r="B1722" s="948" t="s">
        <v>2337</v>
      </c>
      <c r="C1722" s="1197" t="s">
        <v>2338</v>
      </c>
      <c r="D1722" s="1197" t="s">
        <v>2338</v>
      </c>
      <c r="E1722" s="1147" t="s">
        <v>2338</v>
      </c>
      <c r="F1722" s="940"/>
      <c r="G1722" s="953"/>
      <c r="H1722" s="969"/>
      <c r="I1722" s="998" t="s">
        <v>4822</v>
      </c>
      <c r="J1722" s="1203" t="s">
        <v>344</v>
      </c>
      <c r="K1722" s="984" t="s">
        <v>216</v>
      </c>
      <c r="L1722" s="959">
        <v>95.0</v>
      </c>
      <c r="M1722" s="960">
        <v>23.0</v>
      </c>
      <c r="N1722" s="960">
        <v>48.0</v>
      </c>
      <c r="O1722" s="960">
        <v>23.0</v>
      </c>
      <c r="P1722" s="960">
        <v>48.0</v>
      </c>
      <c r="Q1722" s="960">
        <v>23.0</v>
      </c>
      <c r="R1722" s="960">
        <v>82.0</v>
      </c>
      <c r="S1722" s="960">
        <v>145.0</v>
      </c>
      <c r="T1722" s="960">
        <v>159.0</v>
      </c>
      <c r="U1722" s="960">
        <f t="array" ref="U1722">HLOOKUP($J1722,'Type Chart'!$C$2:$T$20,2,false)*HLOOKUP($K1722,'Type Chart'!$C$2:$U$20,2,false)</f>
        <v>1</v>
      </c>
      <c r="V1722" s="960">
        <f t="array" ref="V1722">HLOOKUP($J1722,'Type Chart'!$C$2:$T$20,3,false)*HLOOKUP($K1722,'Type Chart'!$C$2:$U$20,3,false)</f>
        <v>0.5</v>
      </c>
      <c r="W1722" s="960">
        <f t="array" ref="W1722">HLOOKUP($J1722,'Type Chart'!$C$2:$T$20,4,false)*HLOOKUP($K1722,'Type Chart'!$C$2:$U$20,4,false)</f>
        <v>1</v>
      </c>
      <c r="X1722" s="960">
        <f t="array" ref="X1722">HLOOKUP($J1722,'Type Chart'!$C$2:$T$20,5,false)*HLOOKUP($K1722,'Type Chart'!$C$2:$U$20,5,false)</f>
        <v>1</v>
      </c>
      <c r="Y1722" s="960">
        <f t="array" ref="Y1722">HLOOKUP($J1722,'Type Chart'!$C$2:$T$20,6,false)*HLOOKUP($K1722,'Type Chart'!$C$2:$U$20,6,false)</f>
        <v>1</v>
      </c>
      <c r="Z1722" s="960">
        <f t="array" ref="Z1722">HLOOKUP($J1722,'Type Chart'!$C$2:$T$20,7,false)*HLOOKUP($K1722,'Type Chart'!$C$2:$U$20,7,false)</f>
        <v>1</v>
      </c>
      <c r="AA1722" s="960">
        <f t="array" ref="AA1722">HLOOKUP($J1722,'Type Chart'!$C$2:$T$20,8,false)*HLOOKUP($K1722,'Type Chart'!$C$2:$U$20,8,false)</f>
        <v>2</v>
      </c>
      <c r="AB1722" s="960">
        <f t="array" ref="AB1722">HLOOKUP($J1722,'Type Chart'!$C$2:$T$20,9,false)*HLOOKUP($K1722,'Type Chart'!$C$2:$U$20,9,false)</f>
        <v>2</v>
      </c>
      <c r="AC1722" s="960">
        <f t="array" ref="AC1722">HLOOKUP($J1722,'Type Chart'!$C$2:$T$20,10,false)*HLOOKUP($K1722,'Type Chart'!$C$2:$U$20,10,false)</f>
        <v>1</v>
      </c>
      <c r="AD1722" s="960">
        <f t="array" ref="AD1722">HLOOKUP($J1722,'Type Chart'!$C$2:$T$20,11,false)*HLOOKUP($K1722,'Type Chart'!$C$2:$U$20,11,false)</f>
        <v>1</v>
      </c>
      <c r="AE1722" s="960">
        <f t="array" ref="AE1722">HLOOKUP($J1722,'Type Chart'!$C$2:$T$20,12,false)*HLOOKUP($K1722,'Type Chart'!$C$2:$U$20,12,false)</f>
        <v>1</v>
      </c>
      <c r="AF1722" s="960">
        <f t="array" ref="AF1722">HLOOKUP($J1722,'Type Chart'!$C$2:$T$20,13,false)*HLOOKUP($K1722,'Type Chart'!$C$2:$U$20,13,false)</f>
        <v>1</v>
      </c>
      <c r="AG1722" s="960">
        <f t="array" ref="AG1722">HLOOKUP($J1722,'Type Chart'!$C$2:$T$20,14,false)*HLOOKUP($K1722,'Type Chart'!$C$2:$U$20,14,false)</f>
        <v>1</v>
      </c>
      <c r="AH1722" s="960">
        <f t="array" ref="AH1722">HLOOKUP($J1722,'Type Chart'!$C$2:$T$20,15,false)*HLOOKUP($K1722,'Type Chart'!$C$2:$U$20,15,false)</f>
        <v>0.5</v>
      </c>
      <c r="AI1722" s="960">
        <f t="array" ref="AI1722">HLOOKUP($J1722,'Type Chart'!$C$2:$T$20,16,false)*HLOOKUP($K1722,'Type Chart'!$C$2:$U$20,16,false)</f>
        <v>1</v>
      </c>
      <c r="AJ1722" s="960">
        <f t="array" ref="AJ1722">HLOOKUP($J1722,'Type Chart'!$C$2:$T$20,17,false)*HLOOKUP($K1722,'Type Chart'!$C$2:$U$20,17,false)</f>
        <v>1</v>
      </c>
      <c r="AK1722" s="960">
        <f t="array" ref="AK1722">HLOOKUP($J1722,'Type Chart'!$C$2:$T$20,18,false)*HLOOKUP($K1722,'Type Chart'!$C$2:$U$20,18,false)</f>
        <v>2</v>
      </c>
      <c r="AL1722" s="960">
        <f t="array" ref="AL1722">HLOOKUP($J1722,'Type Chart'!$C$2:$T$20,19,false)*HLOOKUP($K1722,'Type Chart'!$C$2:$U$20,19,false)</f>
        <v>1</v>
      </c>
      <c r="AM1722" s="964" t="s">
        <v>1446</v>
      </c>
      <c r="AN1722" s="965"/>
      <c r="AO1722" s="966" t="s">
        <v>1828</v>
      </c>
      <c r="AP1722" s="936"/>
      <c r="AQ1722" s="1245"/>
      <c r="AR1722" s="1245"/>
      <c r="AS1722" s="936"/>
    </row>
    <row r="1723" ht="15.75" customHeight="1">
      <c r="A1723" s="1099"/>
      <c r="B1723" s="948" t="s">
        <v>2340</v>
      </c>
      <c r="C1723" s="1197" t="s">
        <v>2341</v>
      </c>
      <c r="D1723" s="1197" t="s">
        <v>2341</v>
      </c>
      <c r="E1723" s="1147" t="s">
        <v>2341</v>
      </c>
      <c r="F1723" s="940"/>
      <c r="G1723" s="953"/>
      <c r="H1723" s="969"/>
      <c r="I1723" s="998" t="s">
        <v>4823</v>
      </c>
      <c r="J1723" s="1205" t="s">
        <v>345</v>
      </c>
      <c r="K1723" s="984" t="s">
        <v>216</v>
      </c>
      <c r="L1723" s="959">
        <v>50.0</v>
      </c>
      <c r="M1723" s="960">
        <v>50.0</v>
      </c>
      <c r="N1723" s="960">
        <v>50.0</v>
      </c>
      <c r="O1723" s="960">
        <v>50.0</v>
      </c>
      <c r="P1723" s="960">
        <v>50.0</v>
      </c>
      <c r="Q1723" s="960">
        <v>50.0</v>
      </c>
      <c r="R1723" s="960">
        <v>136.0</v>
      </c>
      <c r="S1723" s="960">
        <v>199.0</v>
      </c>
      <c r="T1723" s="960">
        <v>218.0</v>
      </c>
      <c r="U1723" s="960">
        <f t="array" ref="U1723">HLOOKUP($J1723,'Type Chart'!$C$2:$T$20,2,false)*HLOOKUP($K1723,'Type Chart'!$C$2:$U$20,2,false)</f>
        <v>1</v>
      </c>
      <c r="V1723" s="960">
        <f t="array" ref="V1723">HLOOKUP($J1723,'Type Chart'!$C$2:$T$20,3,false)*HLOOKUP($K1723,'Type Chart'!$C$2:$U$20,3,false)</f>
        <v>2</v>
      </c>
      <c r="W1723" s="960">
        <f t="array" ref="W1723">HLOOKUP($J1723,'Type Chart'!$C$2:$T$20,4,false)*HLOOKUP($K1723,'Type Chart'!$C$2:$U$20,4,false)</f>
        <v>1</v>
      </c>
      <c r="X1723" s="960">
        <f t="array" ref="X1723">HLOOKUP($J1723,'Type Chart'!$C$2:$T$20,5,false)*HLOOKUP($K1723,'Type Chart'!$C$2:$U$20,5,false)</f>
        <v>1</v>
      </c>
      <c r="Y1723" s="960">
        <f t="array" ref="Y1723">HLOOKUP($J1723,'Type Chart'!$C$2:$T$20,6,false)*HLOOKUP($K1723,'Type Chart'!$C$2:$U$20,6,false)</f>
        <v>1</v>
      </c>
      <c r="Z1723" s="960">
        <f t="array" ref="Z1723">HLOOKUP($J1723,'Type Chart'!$C$2:$T$20,7,false)*HLOOKUP($K1723,'Type Chart'!$C$2:$U$20,7,false)</f>
        <v>2</v>
      </c>
      <c r="AA1723" s="960">
        <f t="array" ref="AA1723">HLOOKUP($J1723,'Type Chart'!$C$2:$T$20,8,false)*HLOOKUP($K1723,'Type Chart'!$C$2:$U$20,8,false)</f>
        <v>1</v>
      </c>
      <c r="AB1723" s="960">
        <f t="array" ref="AB1723">HLOOKUP($J1723,'Type Chart'!$C$2:$T$20,9,false)*HLOOKUP($K1723,'Type Chart'!$C$2:$U$20,9,false)</f>
        <v>1</v>
      </c>
      <c r="AC1723" s="960">
        <f t="array" ref="AC1723">HLOOKUP($J1723,'Type Chart'!$C$2:$T$20,10,false)*HLOOKUP($K1723,'Type Chart'!$C$2:$U$20,10,false)</f>
        <v>2</v>
      </c>
      <c r="AD1723" s="960">
        <f t="array" ref="AD1723">HLOOKUP($J1723,'Type Chart'!$C$2:$T$20,11,false)*HLOOKUP($K1723,'Type Chart'!$C$2:$U$20,11,false)</f>
        <v>2</v>
      </c>
      <c r="AE1723" s="960">
        <f t="array" ref="AE1723">HLOOKUP($J1723,'Type Chart'!$C$2:$T$20,12,false)*HLOOKUP($K1723,'Type Chart'!$C$2:$U$20,12,false)</f>
        <v>1</v>
      </c>
      <c r="AF1723" s="960">
        <f t="array" ref="AF1723">HLOOKUP($J1723,'Type Chart'!$C$2:$T$20,13,false)*HLOOKUP($K1723,'Type Chart'!$C$2:$U$20,13,false)</f>
        <v>1</v>
      </c>
      <c r="AG1723" s="960">
        <f t="array" ref="AG1723">HLOOKUP($J1723,'Type Chart'!$C$2:$T$20,14,false)*HLOOKUP($K1723,'Type Chart'!$C$2:$U$20,14,false)</f>
        <v>1</v>
      </c>
      <c r="AH1723" s="960">
        <f t="array" ref="AH1723">HLOOKUP($J1723,'Type Chart'!$C$2:$T$20,15,false)*HLOOKUP($K1723,'Type Chart'!$C$2:$U$20,15,false)</f>
        <v>1</v>
      </c>
      <c r="AI1723" s="960">
        <f t="array" ref="AI1723">HLOOKUP($J1723,'Type Chart'!$C$2:$T$20,16,false)*HLOOKUP($K1723,'Type Chart'!$C$2:$U$20,16,false)</f>
        <v>0.5</v>
      </c>
      <c r="AJ1723" s="960">
        <f t="array" ref="AJ1723">HLOOKUP($J1723,'Type Chart'!$C$2:$T$20,17,false)*HLOOKUP($K1723,'Type Chart'!$C$2:$U$20,17,false)</f>
        <v>1</v>
      </c>
      <c r="AK1723" s="960">
        <f t="array" ref="AK1723">HLOOKUP($J1723,'Type Chart'!$C$2:$T$20,18,false)*HLOOKUP($K1723,'Type Chart'!$C$2:$U$20,18,false)</f>
        <v>1</v>
      </c>
      <c r="AL1723" s="960">
        <f t="array" ref="AL1723">HLOOKUP($J1723,'Type Chart'!$C$2:$T$20,19,false)*HLOOKUP($K1723,'Type Chart'!$C$2:$U$20,19,false)</f>
        <v>1</v>
      </c>
      <c r="AM1723" s="964" t="s">
        <v>1192</v>
      </c>
      <c r="AN1723" s="965" t="s">
        <v>1410</v>
      </c>
      <c r="AO1723" s="966" t="s">
        <v>1898</v>
      </c>
      <c r="AP1723" s="936"/>
      <c r="AQ1723" s="1245"/>
      <c r="AR1723" s="1245"/>
      <c r="AS1723" s="936"/>
    </row>
    <row r="1724" ht="15.75" customHeight="1">
      <c r="A1724" s="1099"/>
      <c r="B1724" s="948" t="s">
        <v>2343</v>
      </c>
      <c r="C1724" s="1197" t="s">
        <v>2344</v>
      </c>
      <c r="D1724" s="1197" t="s">
        <v>2344</v>
      </c>
      <c r="E1724" s="1147" t="s">
        <v>2344</v>
      </c>
      <c r="F1724" s="940"/>
      <c r="G1724" s="953"/>
      <c r="H1724" s="969"/>
      <c r="I1724" s="998" t="s">
        <v>4824</v>
      </c>
      <c r="J1724" s="1205" t="s">
        <v>345</v>
      </c>
      <c r="K1724" s="984" t="s">
        <v>216</v>
      </c>
      <c r="L1724" s="959">
        <v>80.0</v>
      </c>
      <c r="M1724" s="960">
        <v>80.0</v>
      </c>
      <c r="N1724" s="960">
        <v>80.0</v>
      </c>
      <c r="O1724" s="960">
        <v>80.0</v>
      </c>
      <c r="P1724" s="960">
        <v>80.0</v>
      </c>
      <c r="Q1724" s="960">
        <v>80.0</v>
      </c>
      <c r="R1724" s="960">
        <v>196.0</v>
      </c>
      <c r="S1724" s="960">
        <v>259.0</v>
      </c>
      <c r="T1724" s="960">
        <v>284.0</v>
      </c>
      <c r="U1724" s="960">
        <f t="array" ref="U1724">HLOOKUP($J1724,'Type Chart'!$C$2:$T$20,2,false)*HLOOKUP($K1724,'Type Chart'!$C$2:$U$20,2,false)</f>
        <v>1</v>
      </c>
      <c r="V1724" s="960">
        <f t="array" ref="V1724">HLOOKUP($J1724,'Type Chart'!$C$2:$T$20,3,false)*HLOOKUP($K1724,'Type Chart'!$C$2:$U$20,3,false)</f>
        <v>2</v>
      </c>
      <c r="W1724" s="960">
        <f t="array" ref="W1724">HLOOKUP($J1724,'Type Chart'!$C$2:$T$20,4,false)*HLOOKUP($K1724,'Type Chart'!$C$2:$U$20,4,false)</f>
        <v>1</v>
      </c>
      <c r="X1724" s="960">
        <f t="array" ref="X1724">HLOOKUP($J1724,'Type Chart'!$C$2:$T$20,5,false)*HLOOKUP($K1724,'Type Chart'!$C$2:$U$20,5,false)</f>
        <v>1</v>
      </c>
      <c r="Y1724" s="960">
        <f t="array" ref="Y1724">HLOOKUP($J1724,'Type Chart'!$C$2:$T$20,6,false)*HLOOKUP($K1724,'Type Chart'!$C$2:$U$20,6,false)</f>
        <v>1</v>
      </c>
      <c r="Z1724" s="960">
        <f t="array" ref="Z1724">HLOOKUP($J1724,'Type Chart'!$C$2:$T$20,7,false)*HLOOKUP($K1724,'Type Chart'!$C$2:$U$20,7,false)</f>
        <v>2</v>
      </c>
      <c r="AA1724" s="960">
        <f t="array" ref="AA1724">HLOOKUP($J1724,'Type Chart'!$C$2:$T$20,8,false)*HLOOKUP($K1724,'Type Chart'!$C$2:$U$20,8,false)</f>
        <v>1</v>
      </c>
      <c r="AB1724" s="960">
        <f t="array" ref="AB1724">HLOOKUP($J1724,'Type Chart'!$C$2:$T$20,9,false)*HLOOKUP($K1724,'Type Chart'!$C$2:$U$20,9,false)</f>
        <v>1</v>
      </c>
      <c r="AC1724" s="960">
        <f t="array" ref="AC1724">HLOOKUP($J1724,'Type Chart'!$C$2:$T$20,10,false)*HLOOKUP($K1724,'Type Chart'!$C$2:$U$20,10,false)</f>
        <v>2</v>
      </c>
      <c r="AD1724" s="960">
        <f t="array" ref="AD1724">HLOOKUP($J1724,'Type Chart'!$C$2:$T$20,11,false)*HLOOKUP($K1724,'Type Chart'!$C$2:$U$20,11,false)</f>
        <v>2</v>
      </c>
      <c r="AE1724" s="960">
        <f t="array" ref="AE1724">HLOOKUP($J1724,'Type Chart'!$C$2:$T$20,12,false)*HLOOKUP($K1724,'Type Chart'!$C$2:$U$20,12,false)</f>
        <v>1</v>
      </c>
      <c r="AF1724" s="960">
        <f t="array" ref="AF1724">HLOOKUP($J1724,'Type Chart'!$C$2:$T$20,13,false)*HLOOKUP($K1724,'Type Chart'!$C$2:$U$20,13,false)</f>
        <v>1</v>
      </c>
      <c r="AG1724" s="960">
        <f t="array" ref="AG1724">HLOOKUP($J1724,'Type Chart'!$C$2:$T$20,14,false)*HLOOKUP($K1724,'Type Chart'!$C$2:$U$20,14,false)</f>
        <v>1</v>
      </c>
      <c r="AH1724" s="960">
        <f t="array" ref="AH1724">HLOOKUP($J1724,'Type Chart'!$C$2:$T$20,15,false)*HLOOKUP($K1724,'Type Chart'!$C$2:$U$20,15,false)</f>
        <v>1</v>
      </c>
      <c r="AI1724" s="960">
        <f t="array" ref="AI1724">HLOOKUP($J1724,'Type Chart'!$C$2:$T$20,16,false)*HLOOKUP($K1724,'Type Chart'!$C$2:$U$20,16,false)</f>
        <v>0.5</v>
      </c>
      <c r="AJ1724" s="960">
        <f t="array" ref="AJ1724">HLOOKUP($J1724,'Type Chart'!$C$2:$T$20,17,false)*HLOOKUP($K1724,'Type Chart'!$C$2:$U$20,17,false)</f>
        <v>1</v>
      </c>
      <c r="AK1724" s="960">
        <f t="array" ref="AK1724">HLOOKUP($J1724,'Type Chart'!$C$2:$T$20,18,false)*HLOOKUP($K1724,'Type Chart'!$C$2:$U$20,18,false)</f>
        <v>1</v>
      </c>
      <c r="AL1724" s="960">
        <f t="array" ref="AL1724">HLOOKUP($J1724,'Type Chart'!$C$2:$T$20,19,false)*HLOOKUP($K1724,'Type Chart'!$C$2:$U$20,19,false)</f>
        <v>1</v>
      </c>
      <c r="AM1724" s="964" t="s">
        <v>1192</v>
      </c>
      <c r="AN1724" s="965" t="s">
        <v>1410</v>
      </c>
      <c r="AO1724" s="966" t="s">
        <v>1898</v>
      </c>
      <c r="AP1724" s="936"/>
      <c r="AQ1724" s="1245"/>
      <c r="AR1724" s="1245"/>
      <c r="AS1724" s="936"/>
    </row>
    <row r="1725" ht="15.75" customHeight="1">
      <c r="A1725" s="1099"/>
      <c r="B1725" s="948" t="s">
        <v>2345</v>
      </c>
      <c r="C1725" s="1197" t="s">
        <v>2346</v>
      </c>
      <c r="D1725" s="1197" t="s">
        <v>2346</v>
      </c>
      <c r="E1725" s="1147" t="s">
        <v>2346</v>
      </c>
      <c r="F1725" s="940"/>
      <c r="G1725" s="953"/>
      <c r="H1725" s="969"/>
      <c r="I1725" s="998" t="s">
        <v>4825</v>
      </c>
      <c r="J1725" s="1205" t="s">
        <v>345</v>
      </c>
      <c r="K1725" s="984" t="s">
        <v>216</v>
      </c>
      <c r="L1725" s="959">
        <v>80.0</v>
      </c>
      <c r="M1725" s="960">
        <v>120.0</v>
      </c>
      <c r="N1725" s="960">
        <v>80.0</v>
      </c>
      <c r="O1725" s="960">
        <v>120.0</v>
      </c>
      <c r="P1725" s="960">
        <v>80.0</v>
      </c>
      <c r="Q1725" s="960">
        <v>100.0</v>
      </c>
      <c r="R1725" s="960">
        <v>236.0</v>
      </c>
      <c r="S1725" s="960">
        <v>299.0</v>
      </c>
      <c r="T1725" s="960">
        <v>328.0</v>
      </c>
      <c r="U1725" s="960">
        <f t="array" ref="U1725">HLOOKUP($J1725,'Type Chart'!$C$2:$T$20,2,false)*HLOOKUP($K1725,'Type Chart'!$C$2:$U$20,2,false)</f>
        <v>1</v>
      </c>
      <c r="V1725" s="960">
        <f t="array" ref="V1725">HLOOKUP($J1725,'Type Chart'!$C$2:$T$20,3,false)*HLOOKUP($K1725,'Type Chart'!$C$2:$U$20,3,false)</f>
        <v>2</v>
      </c>
      <c r="W1725" s="960">
        <f t="array" ref="W1725">HLOOKUP($J1725,'Type Chart'!$C$2:$T$20,4,false)*HLOOKUP($K1725,'Type Chart'!$C$2:$U$20,4,false)</f>
        <v>1</v>
      </c>
      <c r="X1725" s="960">
        <f t="array" ref="X1725">HLOOKUP($J1725,'Type Chart'!$C$2:$T$20,5,false)*HLOOKUP($K1725,'Type Chart'!$C$2:$U$20,5,false)</f>
        <v>1</v>
      </c>
      <c r="Y1725" s="960">
        <f t="array" ref="Y1725">HLOOKUP($J1725,'Type Chart'!$C$2:$T$20,6,false)*HLOOKUP($K1725,'Type Chart'!$C$2:$U$20,6,false)</f>
        <v>1</v>
      </c>
      <c r="Z1725" s="960">
        <f t="array" ref="Z1725">HLOOKUP($J1725,'Type Chart'!$C$2:$T$20,7,false)*HLOOKUP($K1725,'Type Chart'!$C$2:$U$20,7,false)</f>
        <v>2</v>
      </c>
      <c r="AA1725" s="960">
        <f t="array" ref="AA1725">HLOOKUP($J1725,'Type Chart'!$C$2:$T$20,8,false)*HLOOKUP($K1725,'Type Chart'!$C$2:$U$20,8,false)</f>
        <v>1</v>
      </c>
      <c r="AB1725" s="960">
        <f t="array" ref="AB1725">HLOOKUP($J1725,'Type Chart'!$C$2:$T$20,9,false)*HLOOKUP($K1725,'Type Chart'!$C$2:$U$20,9,false)</f>
        <v>1</v>
      </c>
      <c r="AC1725" s="960">
        <f t="array" ref="AC1725">HLOOKUP($J1725,'Type Chart'!$C$2:$T$20,10,false)*HLOOKUP($K1725,'Type Chart'!$C$2:$U$20,10,false)</f>
        <v>2</v>
      </c>
      <c r="AD1725" s="960">
        <f t="array" ref="AD1725">HLOOKUP($J1725,'Type Chart'!$C$2:$T$20,11,false)*HLOOKUP($K1725,'Type Chart'!$C$2:$U$20,11,false)</f>
        <v>2</v>
      </c>
      <c r="AE1725" s="960">
        <f t="array" ref="AE1725">HLOOKUP($J1725,'Type Chart'!$C$2:$T$20,12,false)*HLOOKUP($K1725,'Type Chart'!$C$2:$U$20,12,false)</f>
        <v>1</v>
      </c>
      <c r="AF1725" s="960">
        <f t="array" ref="AF1725">HLOOKUP($J1725,'Type Chart'!$C$2:$T$20,13,false)*HLOOKUP($K1725,'Type Chart'!$C$2:$U$20,13,false)</f>
        <v>1</v>
      </c>
      <c r="AG1725" s="960">
        <f t="array" ref="AG1725">HLOOKUP($J1725,'Type Chart'!$C$2:$T$20,14,false)*HLOOKUP($K1725,'Type Chart'!$C$2:$U$20,14,false)</f>
        <v>1</v>
      </c>
      <c r="AH1725" s="960">
        <f t="array" ref="AH1725">HLOOKUP($J1725,'Type Chart'!$C$2:$T$20,15,false)*HLOOKUP($K1725,'Type Chart'!$C$2:$U$20,15,false)</f>
        <v>1</v>
      </c>
      <c r="AI1725" s="960">
        <f t="array" ref="AI1725">HLOOKUP($J1725,'Type Chart'!$C$2:$T$20,16,false)*HLOOKUP($K1725,'Type Chart'!$C$2:$U$20,16,false)</f>
        <v>0.5</v>
      </c>
      <c r="AJ1725" s="960">
        <f t="array" ref="AJ1725">HLOOKUP($J1725,'Type Chart'!$C$2:$T$20,17,false)*HLOOKUP($K1725,'Type Chart'!$C$2:$U$20,17,false)</f>
        <v>1</v>
      </c>
      <c r="AK1725" s="960">
        <f t="array" ref="AK1725">HLOOKUP($J1725,'Type Chart'!$C$2:$T$20,18,false)*HLOOKUP($K1725,'Type Chart'!$C$2:$U$20,18,false)</f>
        <v>1</v>
      </c>
      <c r="AL1725" s="960">
        <f t="array" ref="AL1725">HLOOKUP($J1725,'Type Chart'!$C$2:$T$20,19,false)*HLOOKUP($K1725,'Type Chart'!$C$2:$U$20,19,false)</f>
        <v>1</v>
      </c>
      <c r="AM1725" s="964" t="s">
        <v>2348</v>
      </c>
      <c r="AN1725" s="965"/>
      <c r="AO1725" s="966"/>
      <c r="AP1725" s="936"/>
      <c r="AQ1725" s="1245"/>
      <c r="AR1725" s="1245"/>
      <c r="AS1725" s="936"/>
    </row>
    <row r="1726" ht="15.75" customHeight="1">
      <c r="A1726" s="1099"/>
      <c r="B1726" s="948" t="s">
        <v>2349</v>
      </c>
      <c r="C1726" s="1197" t="s">
        <v>2350</v>
      </c>
      <c r="D1726" s="1197" t="s">
        <v>2350</v>
      </c>
      <c r="E1726" s="1147" t="s">
        <v>2350</v>
      </c>
      <c r="F1726" s="940"/>
      <c r="G1726" s="953"/>
      <c r="H1726" s="969"/>
      <c r="I1726" s="998" t="s">
        <v>4826</v>
      </c>
      <c r="J1726" s="1205" t="s">
        <v>345</v>
      </c>
      <c r="K1726" s="1056" t="s">
        <v>81</v>
      </c>
      <c r="L1726" s="959">
        <v>70.0</v>
      </c>
      <c r="M1726" s="960">
        <v>40.0</v>
      </c>
      <c r="N1726" s="960">
        <v>50.0</v>
      </c>
      <c r="O1726" s="960">
        <v>55.0</v>
      </c>
      <c r="P1726" s="960">
        <v>50.0</v>
      </c>
      <c r="Q1726" s="960">
        <v>25.0</v>
      </c>
      <c r="R1726" s="960">
        <v>86.0</v>
      </c>
      <c r="S1726" s="960">
        <v>149.0</v>
      </c>
      <c r="T1726" s="960">
        <v>163.0</v>
      </c>
      <c r="U1726" s="960">
        <f t="array" ref="U1726">HLOOKUP($J1726,'Type Chart'!$C$2:$T$20,2,false)*HLOOKUP($K1726,'Type Chart'!$C$2:$U$20,2,false)</f>
        <v>1</v>
      </c>
      <c r="V1726" s="960">
        <f t="array" ref="V1726">HLOOKUP($J1726,'Type Chart'!$C$2:$T$20,3,false)*HLOOKUP($K1726,'Type Chart'!$C$2:$U$20,3,false)</f>
        <v>2</v>
      </c>
      <c r="W1726" s="960">
        <f t="array" ref="W1726">HLOOKUP($J1726,'Type Chart'!$C$2:$T$20,4,false)*HLOOKUP($K1726,'Type Chart'!$C$2:$U$20,4,false)</f>
        <v>1</v>
      </c>
      <c r="X1726" s="960">
        <f t="array" ref="X1726">HLOOKUP($J1726,'Type Chart'!$C$2:$T$20,5,false)*HLOOKUP($K1726,'Type Chart'!$C$2:$U$20,5,false)</f>
        <v>1</v>
      </c>
      <c r="Y1726" s="960">
        <f t="array" ref="Y1726">HLOOKUP($J1726,'Type Chart'!$C$2:$T$20,6,false)*HLOOKUP($K1726,'Type Chart'!$C$2:$U$20,6,false)</f>
        <v>1</v>
      </c>
      <c r="Z1726" s="960">
        <f t="array" ref="Z1726">HLOOKUP($J1726,'Type Chart'!$C$2:$T$20,7,false)*HLOOKUP($K1726,'Type Chart'!$C$2:$U$20,7,false)</f>
        <v>2</v>
      </c>
      <c r="AA1726" s="960">
        <f t="array" ref="AA1726">HLOOKUP($J1726,'Type Chart'!$C$2:$T$20,8,false)*HLOOKUP($K1726,'Type Chart'!$C$2:$U$20,8,false)</f>
        <v>1</v>
      </c>
      <c r="AB1726" s="960">
        <f t="array" ref="AB1726">HLOOKUP($J1726,'Type Chart'!$C$2:$T$20,9,false)*HLOOKUP($K1726,'Type Chart'!$C$2:$U$20,9,false)</f>
        <v>1</v>
      </c>
      <c r="AC1726" s="960">
        <f t="array" ref="AC1726">HLOOKUP($J1726,'Type Chart'!$C$2:$T$20,10,false)*HLOOKUP($K1726,'Type Chart'!$C$2:$U$20,10,false)</f>
        <v>1</v>
      </c>
      <c r="AD1726" s="960">
        <f t="array" ref="AD1726">HLOOKUP($J1726,'Type Chart'!$C$2:$T$20,11,false)*HLOOKUP($K1726,'Type Chart'!$C$2:$U$20,11,false)</f>
        <v>1</v>
      </c>
      <c r="AE1726" s="960">
        <f t="array" ref="AE1726">HLOOKUP($J1726,'Type Chart'!$C$2:$T$20,12,false)*HLOOKUP($K1726,'Type Chart'!$C$2:$U$20,12,false)</f>
        <v>0.5</v>
      </c>
      <c r="AF1726" s="960">
        <f t="array" ref="AF1726">HLOOKUP($J1726,'Type Chart'!$C$2:$T$20,13,false)*HLOOKUP($K1726,'Type Chart'!$C$2:$U$20,13,false)</f>
        <v>2</v>
      </c>
      <c r="AG1726" s="960">
        <f t="array" ref="AG1726">HLOOKUP($J1726,'Type Chart'!$C$2:$T$20,14,false)*HLOOKUP($K1726,'Type Chart'!$C$2:$U$20,14,false)</f>
        <v>2</v>
      </c>
      <c r="AH1726" s="960">
        <f t="array" ref="AH1726">HLOOKUP($J1726,'Type Chart'!$C$2:$T$20,15,false)*HLOOKUP($K1726,'Type Chart'!$C$2:$U$20,15,false)</f>
        <v>1</v>
      </c>
      <c r="AI1726" s="960">
        <f t="array" ref="AI1726">HLOOKUP($J1726,'Type Chart'!$C$2:$T$20,16,false)*HLOOKUP($K1726,'Type Chart'!$C$2:$U$20,16,false)</f>
        <v>0.25</v>
      </c>
      <c r="AJ1726" s="960">
        <f t="array" ref="AJ1726">HLOOKUP($J1726,'Type Chart'!$C$2:$T$20,17,false)*HLOOKUP($K1726,'Type Chart'!$C$2:$U$20,17,false)</f>
        <v>1</v>
      </c>
      <c r="AK1726" s="960">
        <f t="array" ref="AK1726">HLOOKUP($J1726,'Type Chart'!$C$2:$T$20,18,false)*HLOOKUP($K1726,'Type Chart'!$C$2:$U$20,18,false)</f>
        <v>1</v>
      </c>
      <c r="AL1726" s="960">
        <f t="array" ref="AL1726">HLOOKUP($J1726,'Type Chart'!$C$2:$T$20,19,false)*HLOOKUP($K1726,'Type Chart'!$C$2:$U$20,19,false)</f>
        <v>1</v>
      </c>
      <c r="AM1726" s="964" t="s">
        <v>760</v>
      </c>
      <c r="AN1726" s="965" t="s">
        <v>1410</v>
      </c>
      <c r="AO1726" s="966" t="s">
        <v>1369</v>
      </c>
      <c r="AP1726" s="936"/>
      <c r="AQ1726" s="1245"/>
      <c r="AR1726" s="1245"/>
      <c r="AS1726" s="936"/>
    </row>
    <row r="1727" ht="15.75" customHeight="1">
      <c r="A1727" s="1099"/>
      <c r="B1727" s="948" t="s">
        <v>2352</v>
      </c>
      <c r="C1727" s="1197" t="s">
        <v>2353</v>
      </c>
      <c r="D1727" s="1197" t="s">
        <v>2353</v>
      </c>
      <c r="E1727" s="1147" t="s">
        <v>2353</v>
      </c>
      <c r="F1727" s="940"/>
      <c r="G1727" s="953"/>
      <c r="H1727" s="969"/>
      <c r="I1727" s="998" t="s">
        <v>4827</v>
      </c>
      <c r="J1727" s="1205" t="s">
        <v>345</v>
      </c>
      <c r="K1727" s="1056" t="s">
        <v>81</v>
      </c>
      <c r="L1727" s="959">
        <v>90.0</v>
      </c>
      <c r="M1727" s="960">
        <v>60.0</v>
      </c>
      <c r="N1727" s="960">
        <v>70.0</v>
      </c>
      <c r="O1727" s="960">
        <v>75.0</v>
      </c>
      <c r="P1727" s="960">
        <v>70.0</v>
      </c>
      <c r="Q1727" s="960">
        <v>45.0</v>
      </c>
      <c r="R1727" s="960">
        <v>126.0</v>
      </c>
      <c r="S1727" s="960">
        <v>189.0</v>
      </c>
      <c r="T1727" s="960">
        <v>207.0</v>
      </c>
      <c r="U1727" s="960">
        <f t="array" ref="U1727">HLOOKUP($J1727,'Type Chart'!$C$2:$T$20,2,false)*HLOOKUP($K1727,'Type Chart'!$C$2:$U$20,2,false)</f>
        <v>1</v>
      </c>
      <c r="V1727" s="960">
        <f t="array" ref="V1727">HLOOKUP($J1727,'Type Chart'!$C$2:$T$20,3,false)*HLOOKUP($K1727,'Type Chart'!$C$2:$U$20,3,false)</f>
        <v>2</v>
      </c>
      <c r="W1727" s="960">
        <f t="array" ref="W1727">HLOOKUP($J1727,'Type Chart'!$C$2:$T$20,4,false)*HLOOKUP($K1727,'Type Chart'!$C$2:$U$20,4,false)</f>
        <v>1</v>
      </c>
      <c r="X1727" s="960">
        <f t="array" ref="X1727">HLOOKUP($J1727,'Type Chart'!$C$2:$T$20,5,false)*HLOOKUP($K1727,'Type Chart'!$C$2:$U$20,5,false)</f>
        <v>1</v>
      </c>
      <c r="Y1727" s="960">
        <f t="array" ref="Y1727">HLOOKUP($J1727,'Type Chart'!$C$2:$T$20,6,false)*HLOOKUP($K1727,'Type Chart'!$C$2:$U$20,6,false)</f>
        <v>1</v>
      </c>
      <c r="Z1727" s="960">
        <f t="array" ref="Z1727">HLOOKUP($J1727,'Type Chart'!$C$2:$T$20,7,false)*HLOOKUP($K1727,'Type Chart'!$C$2:$U$20,7,false)</f>
        <v>2</v>
      </c>
      <c r="AA1727" s="960">
        <f t="array" ref="AA1727">HLOOKUP($J1727,'Type Chart'!$C$2:$T$20,8,false)*HLOOKUP($K1727,'Type Chart'!$C$2:$U$20,8,false)</f>
        <v>1</v>
      </c>
      <c r="AB1727" s="960">
        <f t="array" ref="AB1727">HLOOKUP($J1727,'Type Chart'!$C$2:$T$20,9,false)*HLOOKUP($K1727,'Type Chart'!$C$2:$U$20,9,false)</f>
        <v>1</v>
      </c>
      <c r="AC1727" s="960">
        <f t="array" ref="AC1727">HLOOKUP($J1727,'Type Chart'!$C$2:$T$20,10,false)*HLOOKUP($K1727,'Type Chart'!$C$2:$U$20,10,false)</f>
        <v>1</v>
      </c>
      <c r="AD1727" s="960">
        <f t="array" ref="AD1727">HLOOKUP($J1727,'Type Chart'!$C$2:$T$20,11,false)*HLOOKUP($K1727,'Type Chart'!$C$2:$U$20,11,false)</f>
        <v>1</v>
      </c>
      <c r="AE1727" s="960">
        <f t="array" ref="AE1727">HLOOKUP($J1727,'Type Chart'!$C$2:$T$20,12,false)*HLOOKUP($K1727,'Type Chart'!$C$2:$U$20,12,false)</f>
        <v>0.5</v>
      </c>
      <c r="AF1727" s="960">
        <f t="array" ref="AF1727">HLOOKUP($J1727,'Type Chart'!$C$2:$T$20,13,false)*HLOOKUP($K1727,'Type Chart'!$C$2:$U$20,13,false)</f>
        <v>2</v>
      </c>
      <c r="AG1727" s="960">
        <f t="array" ref="AG1727">HLOOKUP($J1727,'Type Chart'!$C$2:$T$20,14,false)*HLOOKUP($K1727,'Type Chart'!$C$2:$U$20,14,false)</f>
        <v>2</v>
      </c>
      <c r="AH1727" s="960">
        <f t="array" ref="AH1727">HLOOKUP($J1727,'Type Chart'!$C$2:$T$20,15,false)*HLOOKUP($K1727,'Type Chart'!$C$2:$U$20,15,false)</f>
        <v>1</v>
      </c>
      <c r="AI1727" s="960">
        <f t="array" ref="AI1727">HLOOKUP($J1727,'Type Chart'!$C$2:$T$20,16,false)*HLOOKUP($K1727,'Type Chart'!$C$2:$U$20,16,false)</f>
        <v>0.25</v>
      </c>
      <c r="AJ1727" s="960">
        <f t="array" ref="AJ1727">HLOOKUP($J1727,'Type Chart'!$C$2:$T$20,17,false)*HLOOKUP($K1727,'Type Chart'!$C$2:$U$20,17,false)</f>
        <v>1</v>
      </c>
      <c r="AK1727" s="960">
        <f t="array" ref="AK1727">HLOOKUP($J1727,'Type Chart'!$C$2:$T$20,18,false)*HLOOKUP($K1727,'Type Chart'!$C$2:$U$20,18,false)</f>
        <v>1</v>
      </c>
      <c r="AL1727" s="960">
        <f t="array" ref="AL1727">HLOOKUP($J1727,'Type Chart'!$C$2:$T$20,19,false)*HLOOKUP($K1727,'Type Chart'!$C$2:$U$20,19,false)</f>
        <v>1</v>
      </c>
      <c r="AM1727" s="1145" t="s">
        <v>760</v>
      </c>
      <c r="AN1727" s="1202" t="s">
        <v>1410</v>
      </c>
      <c r="AO1727" s="1146" t="s">
        <v>1369</v>
      </c>
      <c r="AP1727" s="936"/>
      <c r="AQ1727" s="1245"/>
      <c r="AR1727" s="1245"/>
      <c r="AS1727" s="936"/>
    </row>
    <row r="1728" ht="15.75" customHeight="1">
      <c r="A1728" s="1099"/>
      <c r="B1728" s="948" t="s">
        <v>2355</v>
      </c>
      <c r="C1728" s="1197" t="s">
        <v>2356</v>
      </c>
      <c r="D1728" s="1197" t="s">
        <v>2356</v>
      </c>
      <c r="E1728" s="1147" t="s">
        <v>2356</v>
      </c>
      <c r="F1728" s="940"/>
      <c r="G1728" s="953"/>
      <c r="H1728" s="969"/>
      <c r="I1728" s="998" t="s">
        <v>4828</v>
      </c>
      <c r="J1728" s="1205" t="s">
        <v>345</v>
      </c>
      <c r="K1728" s="1056" t="s">
        <v>81</v>
      </c>
      <c r="L1728" s="959">
        <v>110.0</v>
      </c>
      <c r="M1728" s="960">
        <v>80.0</v>
      </c>
      <c r="N1728" s="960">
        <v>90.0</v>
      </c>
      <c r="O1728" s="960">
        <v>95.0</v>
      </c>
      <c r="P1728" s="960">
        <v>90.0</v>
      </c>
      <c r="Q1728" s="960">
        <v>65.0</v>
      </c>
      <c r="R1728" s="960">
        <v>166.0</v>
      </c>
      <c r="S1728" s="960">
        <v>229.0</v>
      </c>
      <c r="T1728" s="960">
        <v>251.0</v>
      </c>
      <c r="U1728" s="960">
        <f t="array" ref="U1728">HLOOKUP($J1728,'Type Chart'!$C$2:$T$20,2,false)*HLOOKUP($K1728,'Type Chart'!$C$2:$U$20,2,false)</f>
        <v>1</v>
      </c>
      <c r="V1728" s="960">
        <f t="array" ref="V1728">HLOOKUP($J1728,'Type Chart'!$C$2:$T$20,3,false)*HLOOKUP($K1728,'Type Chart'!$C$2:$U$20,3,false)</f>
        <v>2</v>
      </c>
      <c r="W1728" s="960">
        <f t="array" ref="W1728">HLOOKUP($J1728,'Type Chart'!$C$2:$T$20,4,false)*HLOOKUP($K1728,'Type Chart'!$C$2:$U$20,4,false)</f>
        <v>1</v>
      </c>
      <c r="X1728" s="960">
        <f t="array" ref="X1728">HLOOKUP($J1728,'Type Chart'!$C$2:$T$20,5,false)*HLOOKUP($K1728,'Type Chart'!$C$2:$U$20,5,false)</f>
        <v>1</v>
      </c>
      <c r="Y1728" s="960">
        <f t="array" ref="Y1728">HLOOKUP($J1728,'Type Chart'!$C$2:$T$20,6,false)*HLOOKUP($K1728,'Type Chart'!$C$2:$U$20,6,false)</f>
        <v>1</v>
      </c>
      <c r="Z1728" s="960">
        <f t="array" ref="Z1728">HLOOKUP($J1728,'Type Chart'!$C$2:$T$20,7,false)*HLOOKUP($K1728,'Type Chart'!$C$2:$U$20,7,false)</f>
        <v>2</v>
      </c>
      <c r="AA1728" s="960">
        <f t="array" ref="AA1728">HLOOKUP($J1728,'Type Chart'!$C$2:$T$20,8,false)*HLOOKUP($K1728,'Type Chart'!$C$2:$U$20,8,false)</f>
        <v>1</v>
      </c>
      <c r="AB1728" s="960">
        <f t="array" ref="AB1728">HLOOKUP($J1728,'Type Chart'!$C$2:$T$20,9,false)*HLOOKUP($K1728,'Type Chart'!$C$2:$U$20,9,false)</f>
        <v>1</v>
      </c>
      <c r="AC1728" s="960">
        <f t="array" ref="AC1728">HLOOKUP($J1728,'Type Chart'!$C$2:$T$20,10,false)*HLOOKUP($K1728,'Type Chart'!$C$2:$U$20,10,false)</f>
        <v>1</v>
      </c>
      <c r="AD1728" s="960">
        <f t="array" ref="AD1728">HLOOKUP($J1728,'Type Chart'!$C$2:$T$20,11,false)*HLOOKUP($K1728,'Type Chart'!$C$2:$U$20,11,false)</f>
        <v>1</v>
      </c>
      <c r="AE1728" s="960">
        <f t="array" ref="AE1728">HLOOKUP($J1728,'Type Chart'!$C$2:$T$20,12,false)*HLOOKUP($K1728,'Type Chart'!$C$2:$U$20,12,false)</f>
        <v>0.5</v>
      </c>
      <c r="AF1728" s="960">
        <f t="array" ref="AF1728">HLOOKUP($J1728,'Type Chart'!$C$2:$T$20,13,false)*HLOOKUP($K1728,'Type Chart'!$C$2:$U$20,13,false)</f>
        <v>2</v>
      </c>
      <c r="AG1728" s="960">
        <f t="array" ref="AG1728">HLOOKUP($J1728,'Type Chart'!$C$2:$T$20,14,false)*HLOOKUP($K1728,'Type Chart'!$C$2:$U$20,14,false)</f>
        <v>2</v>
      </c>
      <c r="AH1728" s="960">
        <f t="array" ref="AH1728">HLOOKUP($J1728,'Type Chart'!$C$2:$T$20,15,false)*HLOOKUP($K1728,'Type Chart'!$C$2:$U$20,15,false)</f>
        <v>1</v>
      </c>
      <c r="AI1728" s="960">
        <f t="array" ref="AI1728">HLOOKUP($J1728,'Type Chart'!$C$2:$T$20,16,false)*HLOOKUP($K1728,'Type Chart'!$C$2:$U$20,16,false)</f>
        <v>0.25</v>
      </c>
      <c r="AJ1728" s="960">
        <f t="array" ref="AJ1728">HLOOKUP($J1728,'Type Chart'!$C$2:$T$20,17,false)*HLOOKUP($K1728,'Type Chart'!$C$2:$U$20,17,false)</f>
        <v>1</v>
      </c>
      <c r="AK1728" s="960">
        <f t="array" ref="AK1728">HLOOKUP($J1728,'Type Chart'!$C$2:$T$20,18,false)*HLOOKUP($K1728,'Type Chart'!$C$2:$U$20,18,false)</f>
        <v>1</v>
      </c>
      <c r="AL1728" s="960">
        <f t="array" ref="AL1728">HLOOKUP($J1728,'Type Chart'!$C$2:$T$20,19,false)*HLOOKUP($K1728,'Type Chart'!$C$2:$U$20,19,false)</f>
        <v>1</v>
      </c>
      <c r="AM1728" s="1145" t="s">
        <v>760</v>
      </c>
      <c r="AN1728" s="1202" t="s">
        <v>1410</v>
      </c>
      <c r="AO1728" s="1146" t="s">
        <v>1369</v>
      </c>
      <c r="AP1728" s="936"/>
      <c r="AQ1728" s="1245"/>
      <c r="AR1728" s="1245"/>
      <c r="AS1728" s="936"/>
    </row>
    <row r="1729" ht="15.75" customHeight="1">
      <c r="A1729" s="1099"/>
      <c r="B1729" s="948" t="s">
        <v>2358</v>
      </c>
      <c r="C1729" s="1197" t="s">
        <v>2359</v>
      </c>
      <c r="D1729" s="1197" t="s">
        <v>2359</v>
      </c>
      <c r="E1729" s="1147" t="s">
        <v>2359</v>
      </c>
      <c r="F1729" s="940"/>
      <c r="G1729" s="953"/>
      <c r="H1729" s="969"/>
      <c r="I1729" s="998" t="s">
        <v>4829</v>
      </c>
      <c r="J1729" s="1056" t="s">
        <v>81</v>
      </c>
      <c r="K1729" s="984" t="s">
        <v>216</v>
      </c>
      <c r="L1729" s="959">
        <v>35.0</v>
      </c>
      <c r="M1729" s="960">
        <v>64.0</v>
      </c>
      <c r="N1729" s="960">
        <v>85.0</v>
      </c>
      <c r="O1729" s="960">
        <v>74.0</v>
      </c>
      <c r="P1729" s="960">
        <v>55.0</v>
      </c>
      <c r="Q1729" s="960">
        <v>32.0</v>
      </c>
      <c r="R1729" s="960">
        <v>100.0</v>
      </c>
      <c r="S1729" s="960">
        <v>163.0</v>
      </c>
      <c r="T1729" s="960">
        <v>179.0</v>
      </c>
      <c r="U1729" s="960">
        <f t="array" ref="U1729">HLOOKUP($J1729,'Type Chart'!$C$2:$T$20,2,false)*HLOOKUP($K1729,'Type Chart'!$C$2:$U$20,2,false)</f>
        <v>1</v>
      </c>
      <c r="V1729" s="960">
        <f t="array" ref="V1729">HLOOKUP($J1729,'Type Chart'!$C$2:$T$20,3,false)*HLOOKUP($K1729,'Type Chart'!$C$2:$U$20,3,false)</f>
        <v>1</v>
      </c>
      <c r="W1729" s="960">
        <f t="array" ref="W1729">HLOOKUP($J1729,'Type Chart'!$C$2:$T$20,4,false)*HLOOKUP($K1729,'Type Chart'!$C$2:$U$20,4,false)</f>
        <v>1</v>
      </c>
      <c r="X1729" s="960">
        <f t="array" ref="X1729">HLOOKUP($J1729,'Type Chart'!$C$2:$T$20,5,false)*HLOOKUP($K1729,'Type Chart'!$C$2:$U$20,5,false)</f>
        <v>1</v>
      </c>
      <c r="Y1729" s="960">
        <f t="array" ref="Y1729">HLOOKUP($J1729,'Type Chart'!$C$2:$T$20,6,false)*HLOOKUP($K1729,'Type Chart'!$C$2:$U$20,6,false)</f>
        <v>1</v>
      </c>
      <c r="Z1729" s="960">
        <f t="array" ref="Z1729">HLOOKUP($J1729,'Type Chart'!$C$2:$T$20,7,false)*HLOOKUP($K1729,'Type Chart'!$C$2:$U$20,7,false)</f>
        <v>1</v>
      </c>
      <c r="AA1729" s="960">
        <f t="array" ref="AA1729">HLOOKUP($J1729,'Type Chart'!$C$2:$T$20,8,false)*HLOOKUP($K1729,'Type Chart'!$C$2:$U$20,8,false)</f>
        <v>1</v>
      </c>
      <c r="AB1729" s="960">
        <f t="array" ref="AB1729">HLOOKUP($J1729,'Type Chart'!$C$2:$T$20,9,false)*HLOOKUP($K1729,'Type Chart'!$C$2:$U$20,9,false)</f>
        <v>1</v>
      </c>
      <c r="AC1729" s="960">
        <f t="array" ref="AC1729">HLOOKUP($J1729,'Type Chart'!$C$2:$T$20,10,false)*HLOOKUP($K1729,'Type Chart'!$C$2:$U$20,10,false)</f>
        <v>0.5</v>
      </c>
      <c r="AD1729" s="960">
        <f t="array" ref="AD1729">HLOOKUP($J1729,'Type Chart'!$C$2:$T$20,11,false)*HLOOKUP($K1729,'Type Chart'!$C$2:$U$20,11,false)</f>
        <v>0.5</v>
      </c>
      <c r="AE1729" s="960">
        <f t="array" ref="AE1729">HLOOKUP($J1729,'Type Chart'!$C$2:$T$20,12,false)*HLOOKUP($K1729,'Type Chart'!$C$2:$U$20,12,false)</f>
        <v>0.5</v>
      </c>
      <c r="AF1729" s="960">
        <f t="array" ref="AF1729">HLOOKUP($J1729,'Type Chart'!$C$2:$T$20,13,false)*HLOOKUP($K1729,'Type Chart'!$C$2:$U$20,13,false)</f>
        <v>2</v>
      </c>
      <c r="AG1729" s="960">
        <f t="array" ref="AG1729">HLOOKUP($J1729,'Type Chart'!$C$2:$T$20,14,false)*HLOOKUP($K1729,'Type Chart'!$C$2:$U$20,14,false)</f>
        <v>2</v>
      </c>
      <c r="AH1729" s="960">
        <f t="array" ref="AH1729">HLOOKUP($J1729,'Type Chart'!$C$2:$T$20,15,false)*HLOOKUP($K1729,'Type Chart'!$C$2:$U$20,15,false)</f>
        <v>1</v>
      </c>
      <c r="AI1729" s="960">
        <f t="array" ref="AI1729">HLOOKUP($J1729,'Type Chart'!$C$2:$T$20,16,false)*HLOOKUP($K1729,'Type Chart'!$C$2:$U$20,16,false)</f>
        <v>0.5</v>
      </c>
      <c r="AJ1729" s="960">
        <f t="array" ref="AJ1729">HLOOKUP($J1729,'Type Chart'!$C$2:$T$20,17,false)*HLOOKUP($K1729,'Type Chart'!$C$2:$U$20,17,false)</f>
        <v>1</v>
      </c>
      <c r="AK1729" s="960">
        <f t="array" ref="AK1729">HLOOKUP($J1729,'Type Chart'!$C$2:$T$20,18,false)*HLOOKUP($K1729,'Type Chart'!$C$2:$U$20,18,false)</f>
        <v>1</v>
      </c>
      <c r="AL1729" s="960">
        <f t="array" ref="AL1729">HLOOKUP($J1729,'Type Chart'!$C$2:$T$20,19,false)*HLOOKUP($K1729,'Type Chart'!$C$2:$U$20,19,false)</f>
        <v>1</v>
      </c>
      <c r="AM1729" s="1145" t="s">
        <v>1385</v>
      </c>
      <c r="AN1729" s="1202"/>
      <c r="AO1729" s="1146" t="s">
        <v>1243</v>
      </c>
      <c r="AP1729" s="936"/>
      <c r="AQ1729" s="1245"/>
      <c r="AR1729" s="1245"/>
      <c r="AS1729" s="936"/>
    </row>
    <row r="1730" ht="15.75" customHeight="1">
      <c r="A1730" s="1099"/>
      <c r="B1730" s="948" t="s">
        <v>2361</v>
      </c>
      <c r="C1730" s="1197" t="s">
        <v>2362</v>
      </c>
      <c r="D1730" s="1197" t="s">
        <v>2362</v>
      </c>
      <c r="E1730" s="1147" t="s">
        <v>2362</v>
      </c>
      <c r="F1730" s="940"/>
      <c r="G1730" s="953"/>
      <c r="H1730" s="969"/>
      <c r="I1730" s="998" t="s">
        <v>4830</v>
      </c>
      <c r="J1730" s="1056" t="s">
        <v>81</v>
      </c>
      <c r="K1730" s="984" t="s">
        <v>216</v>
      </c>
      <c r="L1730" s="959">
        <v>55.0</v>
      </c>
      <c r="M1730" s="960">
        <v>104.0</v>
      </c>
      <c r="N1730" s="960">
        <v>105.0</v>
      </c>
      <c r="O1730" s="960">
        <v>94.0</v>
      </c>
      <c r="P1730" s="960">
        <v>75.0</v>
      </c>
      <c r="Q1730" s="960">
        <v>52.0</v>
      </c>
      <c r="R1730" s="960">
        <v>140.0</v>
      </c>
      <c r="S1730" s="960">
        <v>203.0</v>
      </c>
      <c r="T1730" s="960">
        <v>223.0</v>
      </c>
      <c r="U1730" s="960">
        <f t="array" ref="U1730">HLOOKUP($J1730,'Type Chart'!$C$2:$T$20,2,false)*HLOOKUP($K1730,'Type Chart'!$C$2:$U$20,2,false)</f>
        <v>1</v>
      </c>
      <c r="V1730" s="960">
        <f t="array" ref="V1730">HLOOKUP($J1730,'Type Chart'!$C$2:$T$20,3,false)*HLOOKUP($K1730,'Type Chart'!$C$2:$U$20,3,false)</f>
        <v>1</v>
      </c>
      <c r="W1730" s="960">
        <f t="array" ref="W1730">HLOOKUP($J1730,'Type Chart'!$C$2:$T$20,4,false)*HLOOKUP($K1730,'Type Chart'!$C$2:$U$20,4,false)</f>
        <v>1</v>
      </c>
      <c r="X1730" s="960">
        <f t="array" ref="X1730">HLOOKUP($J1730,'Type Chart'!$C$2:$T$20,5,false)*HLOOKUP($K1730,'Type Chart'!$C$2:$U$20,5,false)</f>
        <v>1</v>
      </c>
      <c r="Y1730" s="960">
        <f t="array" ref="Y1730">HLOOKUP($J1730,'Type Chart'!$C$2:$T$20,6,false)*HLOOKUP($K1730,'Type Chart'!$C$2:$U$20,6,false)</f>
        <v>1</v>
      </c>
      <c r="Z1730" s="960">
        <f t="array" ref="Z1730">HLOOKUP($J1730,'Type Chart'!$C$2:$T$20,7,false)*HLOOKUP($K1730,'Type Chart'!$C$2:$U$20,7,false)</f>
        <v>1</v>
      </c>
      <c r="AA1730" s="960">
        <f t="array" ref="AA1730">HLOOKUP($J1730,'Type Chart'!$C$2:$T$20,8,false)*HLOOKUP($K1730,'Type Chart'!$C$2:$U$20,8,false)</f>
        <v>1</v>
      </c>
      <c r="AB1730" s="960">
        <f t="array" ref="AB1730">HLOOKUP($J1730,'Type Chart'!$C$2:$T$20,9,false)*HLOOKUP($K1730,'Type Chart'!$C$2:$U$20,9,false)</f>
        <v>1</v>
      </c>
      <c r="AC1730" s="960">
        <f t="array" ref="AC1730">HLOOKUP($J1730,'Type Chart'!$C$2:$T$20,10,false)*HLOOKUP($K1730,'Type Chart'!$C$2:$U$20,10,false)</f>
        <v>0.5</v>
      </c>
      <c r="AD1730" s="960">
        <f t="array" ref="AD1730">HLOOKUP($J1730,'Type Chart'!$C$2:$T$20,11,false)*HLOOKUP($K1730,'Type Chart'!$C$2:$U$20,11,false)</f>
        <v>0.5</v>
      </c>
      <c r="AE1730" s="960">
        <f t="array" ref="AE1730">HLOOKUP($J1730,'Type Chart'!$C$2:$T$20,12,false)*HLOOKUP($K1730,'Type Chart'!$C$2:$U$20,12,false)</f>
        <v>0.5</v>
      </c>
      <c r="AF1730" s="960">
        <f t="array" ref="AF1730">HLOOKUP($J1730,'Type Chart'!$C$2:$T$20,13,false)*HLOOKUP($K1730,'Type Chart'!$C$2:$U$20,13,false)</f>
        <v>2</v>
      </c>
      <c r="AG1730" s="960">
        <f t="array" ref="AG1730">HLOOKUP($J1730,'Type Chart'!$C$2:$T$20,14,false)*HLOOKUP($K1730,'Type Chart'!$C$2:$U$20,14,false)</f>
        <v>2</v>
      </c>
      <c r="AH1730" s="960">
        <f t="array" ref="AH1730">HLOOKUP($J1730,'Type Chart'!$C$2:$T$20,15,false)*HLOOKUP($K1730,'Type Chart'!$C$2:$U$20,15,false)</f>
        <v>1</v>
      </c>
      <c r="AI1730" s="960">
        <f t="array" ref="AI1730">HLOOKUP($J1730,'Type Chart'!$C$2:$T$20,16,false)*HLOOKUP($K1730,'Type Chart'!$C$2:$U$20,16,false)</f>
        <v>0.5</v>
      </c>
      <c r="AJ1730" s="960">
        <f t="array" ref="AJ1730">HLOOKUP($J1730,'Type Chart'!$C$2:$T$20,17,false)*HLOOKUP($K1730,'Type Chart'!$C$2:$U$20,17,false)</f>
        <v>1</v>
      </c>
      <c r="AK1730" s="960">
        <f t="array" ref="AK1730">HLOOKUP($J1730,'Type Chart'!$C$2:$T$20,18,false)*HLOOKUP($K1730,'Type Chart'!$C$2:$U$20,18,false)</f>
        <v>1</v>
      </c>
      <c r="AL1730" s="960">
        <f t="array" ref="AL1730">HLOOKUP($J1730,'Type Chart'!$C$2:$T$20,19,false)*HLOOKUP($K1730,'Type Chart'!$C$2:$U$20,19,false)</f>
        <v>1</v>
      </c>
      <c r="AM1730" s="964" t="s">
        <v>1259</v>
      </c>
      <c r="AN1730" s="965"/>
      <c r="AO1730" s="966" t="s">
        <v>1542</v>
      </c>
      <c r="AP1730" s="936"/>
      <c r="AQ1730" s="1245"/>
      <c r="AR1730" s="1245"/>
      <c r="AS1730" s="936"/>
    </row>
    <row r="1731" ht="15.75" customHeight="1">
      <c r="A1731" s="1099"/>
      <c r="B1731" s="948" t="s">
        <v>2364</v>
      </c>
      <c r="C1731" s="1197" t="s">
        <v>2365</v>
      </c>
      <c r="D1731" s="1197" t="s">
        <v>2365</v>
      </c>
      <c r="E1731" s="1147" t="s">
        <v>2365</v>
      </c>
      <c r="F1731" s="940"/>
      <c r="G1731" s="953"/>
      <c r="H1731" s="969"/>
      <c r="I1731" s="998" t="s">
        <v>4831</v>
      </c>
      <c r="J1731" s="1056" t="s">
        <v>81</v>
      </c>
      <c r="K1731" s="984" t="s">
        <v>216</v>
      </c>
      <c r="L1731" s="959">
        <v>55.0</v>
      </c>
      <c r="M1731" s="960">
        <v>84.0</v>
      </c>
      <c r="N1731" s="960">
        <v>105.0</v>
      </c>
      <c r="O1731" s="960">
        <v>114.0</v>
      </c>
      <c r="P1731" s="960">
        <v>75.0</v>
      </c>
      <c r="Q1731" s="960">
        <v>52.0</v>
      </c>
      <c r="R1731" s="960">
        <v>140.0</v>
      </c>
      <c r="S1731" s="960">
        <v>203.0</v>
      </c>
      <c r="T1731" s="960">
        <v>223.0</v>
      </c>
      <c r="U1731" s="960">
        <f t="array" ref="U1731">HLOOKUP($J1731,'Type Chart'!$C$2:$T$20,2,false)*HLOOKUP($K1731,'Type Chart'!$C$2:$U$20,2,false)</f>
        <v>1</v>
      </c>
      <c r="V1731" s="960">
        <f t="array" ref="V1731">HLOOKUP($J1731,'Type Chart'!$C$2:$T$20,3,false)*HLOOKUP($K1731,'Type Chart'!$C$2:$U$20,3,false)</f>
        <v>1</v>
      </c>
      <c r="W1731" s="960">
        <f t="array" ref="W1731">HLOOKUP($J1731,'Type Chart'!$C$2:$T$20,4,false)*HLOOKUP($K1731,'Type Chart'!$C$2:$U$20,4,false)</f>
        <v>1</v>
      </c>
      <c r="X1731" s="960">
        <f t="array" ref="X1731">HLOOKUP($J1731,'Type Chart'!$C$2:$T$20,5,false)*HLOOKUP($K1731,'Type Chart'!$C$2:$U$20,5,false)</f>
        <v>1</v>
      </c>
      <c r="Y1731" s="960">
        <f t="array" ref="Y1731">HLOOKUP($J1731,'Type Chart'!$C$2:$T$20,6,false)*HLOOKUP($K1731,'Type Chart'!$C$2:$U$20,6,false)</f>
        <v>1</v>
      </c>
      <c r="Z1731" s="960">
        <f t="array" ref="Z1731">HLOOKUP($J1731,'Type Chart'!$C$2:$T$20,7,false)*HLOOKUP($K1731,'Type Chart'!$C$2:$U$20,7,false)</f>
        <v>1</v>
      </c>
      <c r="AA1731" s="960">
        <f t="array" ref="AA1731">HLOOKUP($J1731,'Type Chart'!$C$2:$T$20,8,false)*HLOOKUP($K1731,'Type Chart'!$C$2:$U$20,8,false)</f>
        <v>1</v>
      </c>
      <c r="AB1731" s="960">
        <f t="array" ref="AB1731">HLOOKUP($J1731,'Type Chart'!$C$2:$T$20,9,false)*HLOOKUP($K1731,'Type Chart'!$C$2:$U$20,9,false)</f>
        <v>1</v>
      </c>
      <c r="AC1731" s="960">
        <f t="array" ref="AC1731">HLOOKUP($J1731,'Type Chart'!$C$2:$T$20,10,false)*HLOOKUP($K1731,'Type Chart'!$C$2:$U$20,10,false)</f>
        <v>0.5</v>
      </c>
      <c r="AD1731" s="960">
        <f t="array" ref="AD1731">HLOOKUP($J1731,'Type Chart'!$C$2:$T$20,11,false)*HLOOKUP($K1731,'Type Chart'!$C$2:$U$20,11,false)</f>
        <v>0.5</v>
      </c>
      <c r="AE1731" s="960">
        <f t="array" ref="AE1731">HLOOKUP($J1731,'Type Chart'!$C$2:$T$20,12,false)*HLOOKUP($K1731,'Type Chart'!$C$2:$U$20,12,false)</f>
        <v>0.5</v>
      </c>
      <c r="AF1731" s="960">
        <f t="array" ref="AF1731">HLOOKUP($J1731,'Type Chart'!$C$2:$T$20,13,false)*HLOOKUP($K1731,'Type Chart'!$C$2:$U$20,13,false)</f>
        <v>2</v>
      </c>
      <c r="AG1731" s="960">
        <f t="array" ref="AG1731">HLOOKUP($J1731,'Type Chart'!$C$2:$T$20,14,false)*HLOOKUP($K1731,'Type Chart'!$C$2:$U$20,14,false)</f>
        <v>2</v>
      </c>
      <c r="AH1731" s="960">
        <f t="array" ref="AH1731">HLOOKUP($J1731,'Type Chart'!$C$2:$T$20,15,false)*HLOOKUP($K1731,'Type Chart'!$C$2:$U$20,15,false)</f>
        <v>1</v>
      </c>
      <c r="AI1731" s="960">
        <f t="array" ref="AI1731">HLOOKUP($J1731,'Type Chart'!$C$2:$T$20,16,false)*HLOOKUP($K1731,'Type Chart'!$C$2:$U$20,16,false)</f>
        <v>0.5</v>
      </c>
      <c r="AJ1731" s="960">
        <f t="array" ref="AJ1731">HLOOKUP($J1731,'Type Chart'!$C$2:$T$20,17,false)*HLOOKUP($K1731,'Type Chart'!$C$2:$U$20,17,false)</f>
        <v>1</v>
      </c>
      <c r="AK1731" s="960">
        <f t="array" ref="AK1731">HLOOKUP($J1731,'Type Chart'!$C$2:$T$20,18,false)*HLOOKUP($K1731,'Type Chart'!$C$2:$U$20,18,false)</f>
        <v>1</v>
      </c>
      <c r="AL1731" s="960">
        <f t="array" ref="AL1731">HLOOKUP($J1731,'Type Chart'!$C$2:$T$20,19,false)*HLOOKUP($K1731,'Type Chart'!$C$2:$U$20,19,false)</f>
        <v>1</v>
      </c>
      <c r="AM1731" s="964" t="s">
        <v>1259</v>
      </c>
      <c r="AN1731" s="965"/>
      <c r="AO1731" s="966" t="s">
        <v>1409</v>
      </c>
      <c r="AP1731" s="936"/>
      <c r="AQ1731" s="1245"/>
      <c r="AR1731" s="1245"/>
      <c r="AS1731" s="936"/>
    </row>
    <row r="1732" ht="15.75" customHeight="1">
      <c r="A1732" s="1099"/>
      <c r="B1732" s="948" t="s">
        <v>2367</v>
      </c>
      <c r="C1732" s="1197" t="s">
        <v>2368</v>
      </c>
      <c r="D1732" s="1197" t="s">
        <v>2368</v>
      </c>
      <c r="E1732" s="1147" t="s">
        <v>2368</v>
      </c>
      <c r="F1732" s="940"/>
      <c r="G1732" s="953"/>
      <c r="H1732" s="969"/>
      <c r="I1732" s="998" t="s">
        <v>4832</v>
      </c>
      <c r="J1732" s="1056" t="s">
        <v>81</v>
      </c>
      <c r="K1732" s="1214" t="s">
        <v>342</v>
      </c>
      <c r="L1732" s="959">
        <v>100.0</v>
      </c>
      <c r="M1732" s="960">
        <v>90.0</v>
      </c>
      <c r="N1732" s="960">
        <v>130.0</v>
      </c>
      <c r="O1732" s="960">
        <v>45.0</v>
      </c>
      <c r="P1732" s="960">
        <v>65.0</v>
      </c>
      <c r="Q1732" s="960">
        <v>55.0</v>
      </c>
      <c r="R1732" s="960">
        <v>146.0</v>
      </c>
      <c r="S1732" s="960">
        <v>209.0</v>
      </c>
      <c r="T1732" s="960">
        <v>229.0</v>
      </c>
      <c r="U1732" s="960">
        <f t="array" ref="U1732">HLOOKUP($J1732,'Type Chart'!$C$2:$T$20,2,false)*HLOOKUP($K1732,'Type Chart'!$C$2:$U$20,2,false)</f>
        <v>0.5</v>
      </c>
      <c r="V1732" s="960">
        <f t="array" ref="V1732">HLOOKUP($J1732,'Type Chart'!$C$2:$T$20,3,false)*HLOOKUP($K1732,'Type Chart'!$C$2:$U$20,3,false)</f>
        <v>2</v>
      </c>
      <c r="W1732" s="960">
        <f t="array" ref="W1732">HLOOKUP($J1732,'Type Chart'!$C$2:$T$20,4,false)*HLOOKUP($K1732,'Type Chart'!$C$2:$U$20,4,false)</f>
        <v>0.5</v>
      </c>
      <c r="X1732" s="960">
        <f t="array" ref="X1732">HLOOKUP($J1732,'Type Chart'!$C$2:$T$20,5,false)*HLOOKUP($K1732,'Type Chart'!$C$2:$U$20,5,false)</f>
        <v>0.5</v>
      </c>
      <c r="Y1732" s="960">
        <f t="array" ref="Y1732">HLOOKUP($J1732,'Type Chart'!$C$2:$T$20,6,false)*HLOOKUP($K1732,'Type Chart'!$C$2:$U$20,6,false)</f>
        <v>2</v>
      </c>
      <c r="Z1732" s="960">
        <f t="array" ref="Z1732">HLOOKUP($J1732,'Type Chart'!$C$2:$T$20,7,false)*HLOOKUP($K1732,'Type Chart'!$C$2:$U$20,7,false)</f>
        <v>1</v>
      </c>
      <c r="AA1732" s="960">
        <f t="array" ref="AA1732">HLOOKUP($J1732,'Type Chart'!$C$2:$T$20,8,false)*HLOOKUP($K1732,'Type Chart'!$C$2:$U$20,8,false)</f>
        <v>1</v>
      </c>
      <c r="AB1732" s="960">
        <f t="array" ref="AB1732">HLOOKUP($J1732,'Type Chart'!$C$2:$T$20,9,false)*HLOOKUP($K1732,'Type Chart'!$C$2:$U$20,9,false)</f>
        <v>1</v>
      </c>
      <c r="AC1732" s="960">
        <f t="array" ref="AC1732">HLOOKUP($J1732,'Type Chart'!$C$2:$T$20,10,false)*HLOOKUP($K1732,'Type Chart'!$C$2:$U$20,10,false)</f>
        <v>1</v>
      </c>
      <c r="AD1732" s="960">
        <f t="array" ref="AD1732">HLOOKUP($J1732,'Type Chart'!$C$2:$T$20,11,false)*HLOOKUP($K1732,'Type Chart'!$C$2:$U$20,11,false)</f>
        <v>0.25</v>
      </c>
      <c r="AE1732" s="960">
        <f t="array" ref="AE1732">HLOOKUP($J1732,'Type Chart'!$C$2:$T$20,12,false)*HLOOKUP($K1732,'Type Chart'!$C$2:$U$20,12,false)</f>
        <v>1</v>
      </c>
      <c r="AF1732" s="960">
        <f t="array" ref="AF1732">HLOOKUP($J1732,'Type Chart'!$C$2:$T$20,13,false)*HLOOKUP($K1732,'Type Chart'!$C$2:$U$20,13,false)</f>
        <v>4</v>
      </c>
      <c r="AG1732" s="960">
        <f t="array" ref="AG1732">HLOOKUP($J1732,'Type Chart'!$C$2:$T$20,14,false)*HLOOKUP($K1732,'Type Chart'!$C$2:$U$20,14,false)</f>
        <v>2</v>
      </c>
      <c r="AH1732" s="960">
        <f t="array" ref="AH1732">HLOOKUP($J1732,'Type Chart'!$C$2:$T$20,15,false)*HLOOKUP($K1732,'Type Chart'!$C$2:$U$20,15,false)</f>
        <v>1</v>
      </c>
      <c r="AI1732" s="960">
        <f t="array" ref="AI1732">HLOOKUP($J1732,'Type Chart'!$C$2:$T$20,16,false)*HLOOKUP($K1732,'Type Chart'!$C$2:$U$20,16,false)</f>
        <v>0.5</v>
      </c>
      <c r="AJ1732" s="960">
        <f t="array" ref="AJ1732">HLOOKUP($J1732,'Type Chart'!$C$2:$T$20,17,false)*HLOOKUP($K1732,'Type Chart'!$C$2:$U$20,17,false)</f>
        <v>1</v>
      </c>
      <c r="AK1732" s="960">
        <f t="array" ref="AK1732">HLOOKUP($J1732,'Type Chart'!$C$2:$T$20,18,false)*HLOOKUP($K1732,'Type Chart'!$C$2:$U$20,18,false)</f>
        <v>1</v>
      </c>
      <c r="AL1732" s="960">
        <f t="array" ref="AL1732">HLOOKUP($J1732,'Type Chart'!$C$2:$T$20,19,false)*HLOOKUP($K1732,'Type Chart'!$C$2:$U$20,19,false)</f>
        <v>1</v>
      </c>
      <c r="AM1732" s="964" t="s">
        <v>1259</v>
      </c>
      <c r="AN1732" s="965" t="s">
        <v>1276</v>
      </c>
      <c r="AO1732" s="966" t="s">
        <v>1331</v>
      </c>
      <c r="AP1732" s="936"/>
      <c r="AQ1732" s="1245"/>
      <c r="AR1732" s="1245"/>
      <c r="AS1732" s="936"/>
    </row>
    <row r="1733" ht="15.75" customHeight="1">
      <c r="A1733" s="1099"/>
      <c r="B1733" s="948" t="s">
        <v>2370</v>
      </c>
      <c r="C1733" s="1197" t="s">
        <v>2371</v>
      </c>
      <c r="D1733" s="1197" t="s">
        <v>2371</v>
      </c>
      <c r="E1733" s="1147" t="s">
        <v>2371</v>
      </c>
      <c r="F1733" s="940"/>
      <c r="G1733" s="953"/>
      <c r="H1733" s="969"/>
      <c r="I1733" s="998" t="s">
        <v>4833</v>
      </c>
      <c r="J1733" s="1056" t="s">
        <v>81</v>
      </c>
      <c r="K1733" s="984" t="s">
        <v>216</v>
      </c>
      <c r="L1733" s="959">
        <v>43.0</v>
      </c>
      <c r="M1733" s="960">
        <v>30.0</v>
      </c>
      <c r="N1733" s="960">
        <v>55.0</v>
      </c>
      <c r="O1733" s="960">
        <v>40.0</v>
      </c>
      <c r="P1733" s="960">
        <v>65.0</v>
      </c>
      <c r="Q1733" s="960">
        <v>97.0</v>
      </c>
      <c r="R1733" s="960">
        <v>230.0</v>
      </c>
      <c r="S1733" s="960">
        <v>293.0</v>
      </c>
      <c r="T1733" s="960">
        <v>322.0</v>
      </c>
      <c r="U1733" s="960">
        <f t="array" ref="U1733">HLOOKUP($J1733,'Type Chart'!$C$2:$T$20,2,false)*HLOOKUP($K1733,'Type Chart'!$C$2:$U$20,2,false)</f>
        <v>1</v>
      </c>
      <c r="V1733" s="960">
        <f t="array" ref="V1733">HLOOKUP($J1733,'Type Chart'!$C$2:$T$20,3,false)*HLOOKUP($K1733,'Type Chart'!$C$2:$U$20,3,false)</f>
        <v>1</v>
      </c>
      <c r="W1733" s="960">
        <f t="array" ref="W1733">HLOOKUP($J1733,'Type Chart'!$C$2:$T$20,4,false)*HLOOKUP($K1733,'Type Chart'!$C$2:$U$20,4,false)</f>
        <v>1</v>
      </c>
      <c r="X1733" s="960">
        <f t="array" ref="X1733">HLOOKUP($J1733,'Type Chart'!$C$2:$T$20,5,false)*HLOOKUP($K1733,'Type Chart'!$C$2:$U$20,5,false)</f>
        <v>1</v>
      </c>
      <c r="Y1733" s="960">
        <f t="array" ref="Y1733">HLOOKUP($J1733,'Type Chart'!$C$2:$T$20,6,false)*HLOOKUP($K1733,'Type Chart'!$C$2:$U$20,6,false)</f>
        <v>1</v>
      </c>
      <c r="Z1733" s="960">
        <f t="array" ref="Z1733">HLOOKUP($J1733,'Type Chart'!$C$2:$T$20,7,false)*HLOOKUP($K1733,'Type Chart'!$C$2:$U$20,7,false)</f>
        <v>1</v>
      </c>
      <c r="AA1733" s="960">
        <f t="array" ref="AA1733">HLOOKUP($J1733,'Type Chart'!$C$2:$T$20,8,false)*HLOOKUP($K1733,'Type Chart'!$C$2:$U$20,8,false)</f>
        <v>1</v>
      </c>
      <c r="AB1733" s="960">
        <f t="array" ref="AB1733">HLOOKUP($J1733,'Type Chart'!$C$2:$T$20,9,false)*HLOOKUP($K1733,'Type Chart'!$C$2:$U$20,9,false)</f>
        <v>1</v>
      </c>
      <c r="AC1733" s="960">
        <f t="array" ref="AC1733">HLOOKUP($J1733,'Type Chart'!$C$2:$T$20,10,false)*HLOOKUP($K1733,'Type Chart'!$C$2:$U$20,10,false)</f>
        <v>0.5</v>
      </c>
      <c r="AD1733" s="960">
        <f t="array" ref="AD1733">HLOOKUP($J1733,'Type Chart'!$C$2:$T$20,11,false)*HLOOKUP($K1733,'Type Chart'!$C$2:$U$20,11,false)</f>
        <v>0.5</v>
      </c>
      <c r="AE1733" s="960">
        <f t="array" ref="AE1733">HLOOKUP($J1733,'Type Chart'!$C$2:$T$20,12,false)*HLOOKUP($K1733,'Type Chart'!$C$2:$U$20,12,false)</f>
        <v>0.5</v>
      </c>
      <c r="AF1733" s="960">
        <f t="array" ref="AF1733">HLOOKUP($J1733,'Type Chart'!$C$2:$T$20,13,false)*HLOOKUP($K1733,'Type Chart'!$C$2:$U$20,13,false)</f>
        <v>2</v>
      </c>
      <c r="AG1733" s="960">
        <f t="array" ref="AG1733">HLOOKUP($J1733,'Type Chart'!$C$2:$T$20,14,false)*HLOOKUP($K1733,'Type Chart'!$C$2:$U$20,14,false)</f>
        <v>2</v>
      </c>
      <c r="AH1733" s="960">
        <f t="array" ref="AH1733">HLOOKUP($J1733,'Type Chart'!$C$2:$T$20,15,false)*HLOOKUP($K1733,'Type Chart'!$C$2:$U$20,15,false)</f>
        <v>1</v>
      </c>
      <c r="AI1733" s="960">
        <f t="array" ref="AI1733">HLOOKUP($J1733,'Type Chart'!$C$2:$T$20,16,false)*HLOOKUP($K1733,'Type Chart'!$C$2:$U$20,16,false)</f>
        <v>0.5</v>
      </c>
      <c r="AJ1733" s="960">
        <f t="array" ref="AJ1733">HLOOKUP($J1733,'Type Chart'!$C$2:$T$20,17,false)*HLOOKUP($K1733,'Type Chart'!$C$2:$U$20,17,false)</f>
        <v>1</v>
      </c>
      <c r="AK1733" s="960">
        <f t="array" ref="AK1733">HLOOKUP($J1733,'Type Chart'!$C$2:$T$20,18,false)*HLOOKUP($K1733,'Type Chart'!$C$2:$U$20,18,false)</f>
        <v>1</v>
      </c>
      <c r="AL1733" s="960">
        <f t="array" ref="AL1733">HLOOKUP($J1733,'Type Chart'!$C$2:$T$20,19,false)*HLOOKUP($K1733,'Type Chart'!$C$2:$U$20,19,false)</f>
        <v>1</v>
      </c>
      <c r="AM1733" s="964" t="s">
        <v>1259</v>
      </c>
      <c r="AN1733" s="965"/>
      <c r="AO1733" s="966" t="s">
        <v>1409</v>
      </c>
      <c r="AP1733" s="936"/>
      <c r="AQ1733" s="1245"/>
      <c r="AR1733" s="1245"/>
      <c r="AS1733" s="936"/>
    </row>
    <row r="1734" ht="15.75" customHeight="1">
      <c r="A1734" s="1099"/>
      <c r="B1734" s="948" t="s">
        <v>2373</v>
      </c>
      <c r="C1734" s="1197" t="s">
        <v>2374</v>
      </c>
      <c r="D1734" s="1197" t="s">
        <v>2374</v>
      </c>
      <c r="E1734" s="1147" t="s">
        <v>2374</v>
      </c>
      <c r="F1734" s="940"/>
      <c r="G1734" s="953"/>
      <c r="H1734" s="969"/>
      <c r="I1734" s="998" t="s">
        <v>4834</v>
      </c>
      <c r="J1734" s="1006" t="s">
        <v>346</v>
      </c>
      <c r="K1734" s="984" t="s">
        <v>216</v>
      </c>
      <c r="L1734" s="959">
        <v>45.0</v>
      </c>
      <c r="M1734" s="960">
        <v>75.0</v>
      </c>
      <c r="N1734" s="960">
        <v>60.0</v>
      </c>
      <c r="O1734" s="960">
        <v>40.0</v>
      </c>
      <c r="P1734" s="960">
        <v>30.0</v>
      </c>
      <c r="Q1734" s="960">
        <v>50.0</v>
      </c>
      <c r="R1734" s="960">
        <v>136.0</v>
      </c>
      <c r="S1734" s="960">
        <v>199.0</v>
      </c>
      <c r="T1734" s="960">
        <v>218.0</v>
      </c>
      <c r="U1734" s="960">
        <f t="array" ref="U1734">HLOOKUP($J1734,'Type Chart'!$C$2:$T$20,2,false)*HLOOKUP($K1734,'Type Chart'!$C$2:$U$20,2,false)</f>
        <v>1</v>
      </c>
      <c r="V1734" s="960">
        <f t="array" ref="V1734">HLOOKUP($J1734,'Type Chart'!$C$2:$T$20,3,false)*HLOOKUP($K1734,'Type Chart'!$C$2:$U$20,3,false)</f>
        <v>1</v>
      </c>
      <c r="W1734" s="960">
        <f t="array" ref="W1734">HLOOKUP($J1734,'Type Chart'!$C$2:$T$20,4,false)*HLOOKUP($K1734,'Type Chart'!$C$2:$U$20,4,false)</f>
        <v>1</v>
      </c>
      <c r="X1734" s="960">
        <f t="array" ref="X1734">HLOOKUP($J1734,'Type Chart'!$C$2:$T$20,5,false)*HLOOKUP($K1734,'Type Chart'!$C$2:$U$20,5,false)</f>
        <v>1</v>
      </c>
      <c r="Y1734" s="960">
        <f t="array" ref="Y1734">HLOOKUP($J1734,'Type Chart'!$C$2:$T$20,6,false)*HLOOKUP($K1734,'Type Chart'!$C$2:$U$20,6,false)</f>
        <v>1</v>
      </c>
      <c r="Z1734" s="960">
        <f t="array" ref="Z1734">HLOOKUP($J1734,'Type Chart'!$C$2:$T$20,7,false)*HLOOKUP($K1734,'Type Chart'!$C$2:$U$20,7,false)</f>
        <v>1</v>
      </c>
      <c r="AA1734" s="960">
        <f t="array" ref="AA1734">HLOOKUP($J1734,'Type Chart'!$C$2:$T$20,8,false)*HLOOKUP($K1734,'Type Chart'!$C$2:$U$20,8,false)</f>
        <v>1</v>
      </c>
      <c r="AB1734" s="960">
        <f t="array" ref="AB1734">HLOOKUP($J1734,'Type Chart'!$C$2:$T$20,9,false)*HLOOKUP($K1734,'Type Chart'!$C$2:$U$20,9,false)</f>
        <v>1</v>
      </c>
      <c r="AC1734" s="960">
        <f t="array" ref="AC1734">HLOOKUP($J1734,'Type Chart'!$C$2:$T$20,10,false)*HLOOKUP($K1734,'Type Chart'!$C$2:$U$20,10,false)</f>
        <v>1</v>
      </c>
      <c r="AD1734" s="960">
        <f t="array" ref="AD1734">HLOOKUP($J1734,'Type Chart'!$C$2:$T$20,11,false)*HLOOKUP($K1734,'Type Chart'!$C$2:$U$20,11,false)</f>
        <v>0.5</v>
      </c>
      <c r="AE1734" s="960">
        <f t="array" ref="AE1734">HLOOKUP($J1734,'Type Chart'!$C$2:$T$20,12,false)*HLOOKUP($K1734,'Type Chart'!$C$2:$U$20,12,false)</f>
        <v>0.5</v>
      </c>
      <c r="AF1734" s="960">
        <f t="array" ref="AF1734">HLOOKUP($J1734,'Type Chart'!$C$2:$T$20,13,false)*HLOOKUP($K1734,'Type Chart'!$C$2:$U$20,13,false)</f>
        <v>0.5</v>
      </c>
      <c r="AG1734" s="960">
        <f t="array" ref="AG1734">HLOOKUP($J1734,'Type Chart'!$C$2:$T$20,14,false)*HLOOKUP($K1734,'Type Chart'!$C$2:$U$20,14,false)</f>
        <v>0.5</v>
      </c>
      <c r="AH1734" s="960">
        <f t="array" ref="AH1734">HLOOKUP($J1734,'Type Chart'!$C$2:$T$20,15,false)*HLOOKUP($K1734,'Type Chart'!$C$2:$U$20,15,false)</f>
        <v>1</v>
      </c>
      <c r="AI1734" s="960">
        <f t="array" ref="AI1734">HLOOKUP($J1734,'Type Chart'!$C$2:$T$20,16,false)*HLOOKUP($K1734,'Type Chart'!$C$2:$U$20,16,false)</f>
        <v>2</v>
      </c>
      <c r="AJ1734" s="960">
        <f t="array" ref="AJ1734">HLOOKUP($J1734,'Type Chart'!$C$2:$T$20,17,false)*HLOOKUP($K1734,'Type Chart'!$C$2:$U$20,17,false)</f>
        <v>2</v>
      </c>
      <c r="AK1734" s="960">
        <f t="array" ref="AK1734">HLOOKUP($J1734,'Type Chart'!$C$2:$T$20,18,false)*HLOOKUP($K1734,'Type Chart'!$C$2:$U$20,18,false)</f>
        <v>1</v>
      </c>
      <c r="AL1734" s="960">
        <f t="array" ref="AL1734">HLOOKUP($J1734,'Type Chart'!$C$2:$T$20,19,false)*HLOOKUP($K1734,'Type Chart'!$C$2:$U$20,19,false)</f>
        <v>2</v>
      </c>
      <c r="AM1734" s="964" t="s">
        <v>1276</v>
      </c>
      <c r="AN1734" s="965"/>
      <c r="AO1734" s="966" t="s">
        <v>1153</v>
      </c>
      <c r="AP1734" s="936"/>
      <c r="AQ1734" s="1245"/>
      <c r="AR1734" s="1245"/>
      <c r="AS1734" s="936"/>
    </row>
    <row r="1735" ht="15.75" customHeight="1">
      <c r="A1735" s="1099"/>
      <c r="B1735" s="948" t="s">
        <v>2376</v>
      </c>
      <c r="C1735" s="1197" t="s">
        <v>2377</v>
      </c>
      <c r="D1735" s="1197" t="s">
        <v>2377</v>
      </c>
      <c r="E1735" s="1147" t="s">
        <v>2377</v>
      </c>
      <c r="F1735" s="940"/>
      <c r="G1735" s="953"/>
      <c r="H1735" s="969"/>
      <c r="I1735" s="998" t="s">
        <v>4835</v>
      </c>
      <c r="J1735" s="1006" t="s">
        <v>346</v>
      </c>
      <c r="K1735" s="984" t="s">
        <v>216</v>
      </c>
      <c r="L1735" s="959">
        <v>65.0</v>
      </c>
      <c r="M1735" s="960">
        <v>95.0</v>
      </c>
      <c r="N1735" s="960">
        <v>100.0</v>
      </c>
      <c r="O1735" s="960">
        <v>60.0</v>
      </c>
      <c r="P1735" s="960">
        <v>50.0</v>
      </c>
      <c r="Q1735" s="960">
        <v>50.0</v>
      </c>
      <c r="R1735" s="960">
        <v>136.0</v>
      </c>
      <c r="S1735" s="960">
        <v>199.0</v>
      </c>
      <c r="T1735" s="960">
        <v>218.0</v>
      </c>
      <c r="U1735" s="960">
        <f t="array" ref="U1735">HLOOKUP($J1735,'Type Chart'!$C$2:$T$20,2,false)*HLOOKUP($K1735,'Type Chart'!$C$2:$U$20,2,false)</f>
        <v>1</v>
      </c>
      <c r="V1735" s="960">
        <f t="array" ref="V1735">HLOOKUP($J1735,'Type Chart'!$C$2:$T$20,3,false)*HLOOKUP($K1735,'Type Chart'!$C$2:$U$20,3,false)</f>
        <v>1</v>
      </c>
      <c r="W1735" s="960">
        <f t="array" ref="W1735">HLOOKUP($J1735,'Type Chart'!$C$2:$T$20,4,false)*HLOOKUP($K1735,'Type Chart'!$C$2:$U$20,4,false)</f>
        <v>1</v>
      </c>
      <c r="X1735" s="960">
        <f t="array" ref="X1735">HLOOKUP($J1735,'Type Chart'!$C$2:$T$20,5,false)*HLOOKUP($K1735,'Type Chart'!$C$2:$U$20,5,false)</f>
        <v>1</v>
      </c>
      <c r="Y1735" s="960">
        <f t="array" ref="Y1735">HLOOKUP($J1735,'Type Chart'!$C$2:$T$20,6,false)*HLOOKUP($K1735,'Type Chart'!$C$2:$U$20,6,false)</f>
        <v>1</v>
      </c>
      <c r="Z1735" s="960">
        <f t="array" ref="Z1735">HLOOKUP($J1735,'Type Chart'!$C$2:$T$20,7,false)*HLOOKUP($K1735,'Type Chart'!$C$2:$U$20,7,false)</f>
        <v>1</v>
      </c>
      <c r="AA1735" s="960">
        <f t="array" ref="AA1735">HLOOKUP($J1735,'Type Chart'!$C$2:$T$20,8,false)*HLOOKUP($K1735,'Type Chart'!$C$2:$U$20,8,false)</f>
        <v>1</v>
      </c>
      <c r="AB1735" s="960">
        <f t="array" ref="AB1735">HLOOKUP($J1735,'Type Chart'!$C$2:$T$20,9,false)*HLOOKUP($K1735,'Type Chart'!$C$2:$U$20,9,false)</f>
        <v>1</v>
      </c>
      <c r="AC1735" s="960">
        <f t="array" ref="AC1735">HLOOKUP($J1735,'Type Chart'!$C$2:$T$20,10,false)*HLOOKUP($K1735,'Type Chart'!$C$2:$U$20,10,false)</f>
        <v>1</v>
      </c>
      <c r="AD1735" s="960">
        <f t="array" ref="AD1735">HLOOKUP($J1735,'Type Chart'!$C$2:$T$20,11,false)*HLOOKUP($K1735,'Type Chart'!$C$2:$U$20,11,false)</f>
        <v>0.5</v>
      </c>
      <c r="AE1735" s="960">
        <f t="array" ref="AE1735">HLOOKUP($J1735,'Type Chart'!$C$2:$T$20,12,false)*HLOOKUP($K1735,'Type Chart'!$C$2:$U$20,12,false)</f>
        <v>0.5</v>
      </c>
      <c r="AF1735" s="960">
        <f t="array" ref="AF1735">HLOOKUP($J1735,'Type Chart'!$C$2:$T$20,13,false)*HLOOKUP($K1735,'Type Chart'!$C$2:$U$20,13,false)</f>
        <v>0.5</v>
      </c>
      <c r="AG1735" s="960">
        <f t="array" ref="AG1735">HLOOKUP($J1735,'Type Chart'!$C$2:$T$20,14,false)*HLOOKUP($K1735,'Type Chart'!$C$2:$U$20,14,false)</f>
        <v>0.5</v>
      </c>
      <c r="AH1735" s="960">
        <f t="array" ref="AH1735">HLOOKUP($J1735,'Type Chart'!$C$2:$T$20,15,false)*HLOOKUP($K1735,'Type Chart'!$C$2:$U$20,15,false)</f>
        <v>1</v>
      </c>
      <c r="AI1735" s="960">
        <f t="array" ref="AI1735">HLOOKUP($J1735,'Type Chart'!$C$2:$T$20,16,false)*HLOOKUP($K1735,'Type Chart'!$C$2:$U$20,16,false)</f>
        <v>2</v>
      </c>
      <c r="AJ1735" s="960">
        <f t="array" ref="AJ1735">HLOOKUP($J1735,'Type Chart'!$C$2:$T$20,17,false)*HLOOKUP($K1735,'Type Chart'!$C$2:$U$20,17,false)</f>
        <v>2</v>
      </c>
      <c r="AK1735" s="960">
        <f t="array" ref="AK1735">HLOOKUP($J1735,'Type Chart'!$C$2:$T$20,18,false)*HLOOKUP($K1735,'Type Chart'!$C$2:$U$20,18,false)</f>
        <v>1</v>
      </c>
      <c r="AL1735" s="960">
        <f t="array" ref="AL1735">HLOOKUP($J1735,'Type Chart'!$C$2:$T$20,19,false)*HLOOKUP($K1735,'Type Chart'!$C$2:$U$20,19,false)</f>
        <v>2</v>
      </c>
      <c r="AM1735" s="964" t="s">
        <v>1276</v>
      </c>
      <c r="AN1735" s="965"/>
      <c r="AO1735" s="966" t="s">
        <v>1431</v>
      </c>
      <c r="AP1735" s="936"/>
      <c r="AQ1735" s="1245"/>
      <c r="AR1735" s="1245"/>
      <c r="AS1735" s="936"/>
    </row>
    <row r="1736" ht="15.75" customHeight="1">
      <c r="A1736" s="1099"/>
      <c r="B1736" s="948" t="s">
        <v>2378</v>
      </c>
      <c r="C1736" s="1197" t="s">
        <v>2379</v>
      </c>
      <c r="D1736" s="1197" t="s">
        <v>2379</v>
      </c>
      <c r="E1736" s="1147" t="s">
        <v>2379</v>
      </c>
      <c r="F1736" s="940"/>
      <c r="G1736" s="953"/>
      <c r="H1736" s="969"/>
      <c r="I1736" s="998" t="s">
        <v>4836</v>
      </c>
      <c r="J1736" s="1006" t="s">
        <v>346</v>
      </c>
      <c r="K1736" s="1001" t="s">
        <v>128</v>
      </c>
      <c r="L1736" s="959">
        <v>95.0</v>
      </c>
      <c r="M1736" s="960">
        <v>135.0</v>
      </c>
      <c r="N1736" s="960">
        <v>80.0</v>
      </c>
      <c r="O1736" s="960">
        <v>110.0</v>
      </c>
      <c r="P1736" s="960">
        <v>80.0</v>
      </c>
      <c r="Q1736" s="960">
        <v>100.0</v>
      </c>
      <c r="R1736" s="960">
        <v>236.0</v>
      </c>
      <c r="S1736" s="960">
        <v>299.0</v>
      </c>
      <c r="T1736" s="960">
        <v>328.0</v>
      </c>
      <c r="U1736" s="960">
        <f t="array" ref="U1736">HLOOKUP($J1736,'Type Chart'!$C$2:$T$20,2,false)*HLOOKUP($K1736,'Type Chart'!$C$2:$U$20,2,false)</f>
        <v>1</v>
      </c>
      <c r="V1736" s="960">
        <f t="array" ref="V1736">HLOOKUP($J1736,'Type Chart'!$C$2:$T$20,3,false)*HLOOKUP($K1736,'Type Chart'!$C$2:$U$20,3,false)</f>
        <v>0.5</v>
      </c>
      <c r="W1736" s="960">
        <f t="array" ref="W1736">HLOOKUP($J1736,'Type Chart'!$C$2:$T$20,4,false)*HLOOKUP($K1736,'Type Chart'!$C$2:$U$20,4,false)</f>
        <v>1</v>
      </c>
      <c r="X1736" s="960">
        <f t="array" ref="X1736">HLOOKUP($J1736,'Type Chart'!$C$2:$T$20,5,false)*HLOOKUP($K1736,'Type Chart'!$C$2:$U$20,5,false)</f>
        <v>1</v>
      </c>
      <c r="Y1736" s="960">
        <f t="array" ref="Y1736">HLOOKUP($J1736,'Type Chart'!$C$2:$T$20,6,false)*HLOOKUP($K1736,'Type Chart'!$C$2:$U$20,6,false)</f>
        <v>0</v>
      </c>
      <c r="Z1736" s="960">
        <f t="array" ref="Z1736">HLOOKUP($J1736,'Type Chart'!$C$2:$T$20,7,false)*HLOOKUP($K1736,'Type Chart'!$C$2:$U$20,7,false)</f>
        <v>2</v>
      </c>
      <c r="AA1736" s="960">
        <f t="array" ref="AA1736">HLOOKUP($J1736,'Type Chart'!$C$2:$T$20,8,false)*HLOOKUP($K1736,'Type Chart'!$C$2:$U$20,8,false)</f>
        <v>0.5</v>
      </c>
      <c r="AB1736" s="960">
        <f t="array" ref="AB1736">HLOOKUP($J1736,'Type Chart'!$C$2:$T$20,9,false)*HLOOKUP($K1736,'Type Chart'!$C$2:$U$20,9,false)</f>
        <v>1</v>
      </c>
      <c r="AC1736" s="960">
        <f t="array" ref="AC1736">HLOOKUP($J1736,'Type Chart'!$C$2:$T$20,10,false)*HLOOKUP($K1736,'Type Chart'!$C$2:$U$20,10,false)</f>
        <v>1</v>
      </c>
      <c r="AD1736" s="960">
        <f t="array" ref="AD1736">HLOOKUP($J1736,'Type Chart'!$C$2:$T$20,11,false)*HLOOKUP($K1736,'Type Chart'!$C$2:$U$20,11,false)</f>
        <v>0.5</v>
      </c>
      <c r="AE1736" s="960">
        <f t="array" ref="AE1736">HLOOKUP($J1736,'Type Chart'!$C$2:$T$20,12,false)*HLOOKUP($K1736,'Type Chart'!$C$2:$U$20,12,false)</f>
        <v>0.5</v>
      </c>
      <c r="AF1736" s="960">
        <f t="array" ref="AF1736">HLOOKUP($J1736,'Type Chart'!$C$2:$T$20,13,false)*HLOOKUP($K1736,'Type Chart'!$C$2:$U$20,13,false)</f>
        <v>0.25</v>
      </c>
      <c r="AG1736" s="960">
        <f t="array" ref="AG1736">HLOOKUP($J1736,'Type Chart'!$C$2:$T$20,14,false)*HLOOKUP($K1736,'Type Chart'!$C$2:$U$20,14,false)</f>
        <v>1</v>
      </c>
      <c r="AH1736" s="960">
        <f t="array" ref="AH1736">HLOOKUP($J1736,'Type Chart'!$C$2:$T$20,15,false)*HLOOKUP($K1736,'Type Chart'!$C$2:$U$20,15,false)</f>
        <v>1</v>
      </c>
      <c r="AI1736" s="960">
        <f t="array" ref="AI1736">HLOOKUP($J1736,'Type Chart'!$C$2:$T$20,16,false)*HLOOKUP($K1736,'Type Chart'!$C$2:$U$20,16,false)</f>
        <v>4</v>
      </c>
      <c r="AJ1736" s="960">
        <f t="array" ref="AJ1736">HLOOKUP($J1736,'Type Chart'!$C$2:$T$20,17,false)*HLOOKUP($K1736,'Type Chart'!$C$2:$U$20,17,false)</f>
        <v>2</v>
      </c>
      <c r="AK1736" s="960">
        <f t="array" ref="AK1736">HLOOKUP($J1736,'Type Chart'!$C$2:$T$20,18,false)*HLOOKUP($K1736,'Type Chart'!$C$2:$U$20,18,false)</f>
        <v>1</v>
      </c>
      <c r="AL1736" s="960">
        <f t="array" ref="AL1736">HLOOKUP($J1736,'Type Chart'!$C$2:$T$20,19,false)*HLOOKUP($K1736,'Type Chart'!$C$2:$U$20,19,false)</f>
        <v>2</v>
      </c>
      <c r="AM1736" s="964" t="s">
        <v>1061</v>
      </c>
      <c r="AN1736" s="965"/>
      <c r="AO1736" s="966" t="s">
        <v>1577</v>
      </c>
      <c r="AP1736" s="936"/>
      <c r="AQ1736" s="1245"/>
      <c r="AR1736" s="1245"/>
      <c r="AS1736" s="936"/>
    </row>
    <row r="1737" ht="15.75" customHeight="1">
      <c r="A1737" s="1099"/>
      <c r="B1737" s="948" t="s">
        <v>2380</v>
      </c>
      <c r="C1737" s="1197" t="s">
        <v>2381</v>
      </c>
      <c r="D1737" s="1197" t="s">
        <v>2381</v>
      </c>
      <c r="E1737" s="1147" t="s">
        <v>2381</v>
      </c>
      <c r="F1737" s="940"/>
      <c r="G1737" s="953"/>
      <c r="H1737" s="969"/>
      <c r="I1737" s="998" t="s">
        <v>4837</v>
      </c>
      <c r="J1737" s="1006" t="s">
        <v>346</v>
      </c>
      <c r="K1737" s="1001" t="s">
        <v>128</v>
      </c>
      <c r="L1737" s="959">
        <v>95.0</v>
      </c>
      <c r="M1737" s="960">
        <v>145.0</v>
      </c>
      <c r="N1737" s="960">
        <v>130.0</v>
      </c>
      <c r="O1737" s="960">
        <v>120.0</v>
      </c>
      <c r="P1737" s="960">
        <v>90.0</v>
      </c>
      <c r="Q1737" s="960">
        <v>120.0</v>
      </c>
      <c r="R1737" s="960">
        <v>276.0</v>
      </c>
      <c r="S1737" s="960">
        <v>339.0</v>
      </c>
      <c r="T1737" s="960">
        <v>372.0</v>
      </c>
      <c r="U1737" s="960">
        <f t="array" ref="U1737">HLOOKUP($J1737,'Type Chart'!$C$2:$T$20,2,false)*HLOOKUP($K1737,'Type Chart'!$C$2:$U$20,2,false)</f>
        <v>1</v>
      </c>
      <c r="V1737" s="960">
        <f t="array" ref="V1737">HLOOKUP($J1737,'Type Chart'!$C$2:$T$20,3,false)*HLOOKUP($K1737,'Type Chart'!$C$2:$U$20,3,false)</f>
        <v>0.5</v>
      </c>
      <c r="W1737" s="960">
        <f t="array" ref="W1737">HLOOKUP($J1737,'Type Chart'!$C$2:$T$20,4,false)*HLOOKUP($K1737,'Type Chart'!$C$2:$U$20,4,false)</f>
        <v>1</v>
      </c>
      <c r="X1737" s="960">
        <f t="array" ref="X1737">HLOOKUP($J1737,'Type Chart'!$C$2:$T$20,5,false)*HLOOKUP($K1737,'Type Chart'!$C$2:$U$20,5,false)</f>
        <v>1</v>
      </c>
      <c r="Y1737" s="960">
        <f t="array" ref="Y1737">HLOOKUP($J1737,'Type Chart'!$C$2:$T$20,6,false)*HLOOKUP($K1737,'Type Chart'!$C$2:$U$20,6,false)</f>
        <v>0</v>
      </c>
      <c r="Z1737" s="960">
        <f t="array" ref="Z1737">HLOOKUP($J1737,'Type Chart'!$C$2:$T$20,7,false)*HLOOKUP($K1737,'Type Chart'!$C$2:$U$20,7,false)</f>
        <v>2</v>
      </c>
      <c r="AA1737" s="960">
        <f t="array" ref="AA1737">HLOOKUP($J1737,'Type Chart'!$C$2:$T$20,8,false)*HLOOKUP($K1737,'Type Chart'!$C$2:$U$20,8,false)</f>
        <v>0.5</v>
      </c>
      <c r="AB1737" s="960">
        <f t="array" ref="AB1737">HLOOKUP($J1737,'Type Chart'!$C$2:$T$20,9,false)*HLOOKUP($K1737,'Type Chart'!$C$2:$U$20,9,false)</f>
        <v>1</v>
      </c>
      <c r="AC1737" s="960">
        <f t="array" ref="AC1737">HLOOKUP($J1737,'Type Chart'!$C$2:$T$20,10,false)*HLOOKUP($K1737,'Type Chart'!$C$2:$U$20,10,false)</f>
        <v>1</v>
      </c>
      <c r="AD1737" s="960">
        <f t="array" ref="AD1737">HLOOKUP($J1737,'Type Chart'!$C$2:$T$20,11,false)*HLOOKUP($K1737,'Type Chart'!$C$2:$U$20,11,false)</f>
        <v>0.5</v>
      </c>
      <c r="AE1737" s="960">
        <f t="array" ref="AE1737">HLOOKUP($J1737,'Type Chart'!$C$2:$T$20,12,false)*HLOOKUP($K1737,'Type Chart'!$C$2:$U$20,12,false)</f>
        <v>0.5</v>
      </c>
      <c r="AF1737" s="960">
        <f t="array" ref="AF1737">HLOOKUP($J1737,'Type Chart'!$C$2:$T$20,13,false)*HLOOKUP($K1737,'Type Chart'!$C$2:$U$20,13,false)</f>
        <v>0.25</v>
      </c>
      <c r="AG1737" s="960">
        <f t="array" ref="AG1737">HLOOKUP($J1737,'Type Chart'!$C$2:$T$20,14,false)*HLOOKUP($K1737,'Type Chart'!$C$2:$U$20,14,false)</f>
        <v>1</v>
      </c>
      <c r="AH1737" s="960">
        <f t="array" ref="AH1737">HLOOKUP($J1737,'Type Chart'!$C$2:$T$20,15,false)*HLOOKUP($K1737,'Type Chart'!$C$2:$U$20,15,false)</f>
        <v>1</v>
      </c>
      <c r="AI1737" s="960">
        <f t="array" ref="AI1737">HLOOKUP($J1737,'Type Chart'!$C$2:$T$20,16,false)*HLOOKUP($K1737,'Type Chart'!$C$2:$U$20,16,false)</f>
        <v>4</v>
      </c>
      <c r="AJ1737" s="960">
        <f t="array" ref="AJ1737">HLOOKUP($J1737,'Type Chart'!$C$2:$T$20,17,false)*HLOOKUP($K1737,'Type Chart'!$C$2:$U$20,17,false)</f>
        <v>2</v>
      </c>
      <c r="AK1737" s="960">
        <f t="array" ref="AK1737">HLOOKUP($J1737,'Type Chart'!$C$2:$T$20,18,false)*HLOOKUP($K1737,'Type Chart'!$C$2:$U$20,18,false)</f>
        <v>1</v>
      </c>
      <c r="AL1737" s="960">
        <f t="array" ref="AL1737">HLOOKUP($J1737,'Type Chart'!$C$2:$T$20,19,false)*HLOOKUP($K1737,'Type Chart'!$C$2:$U$20,19,false)</f>
        <v>2</v>
      </c>
      <c r="AM1737" s="964" t="s">
        <v>1581</v>
      </c>
      <c r="AN1737" s="965"/>
      <c r="AO1737" s="966"/>
      <c r="AP1737" s="936"/>
      <c r="AQ1737" s="1245"/>
      <c r="AR1737" s="1245"/>
      <c r="AS1737" s="936"/>
    </row>
    <row r="1738" ht="15.75" customHeight="1">
      <c r="A1738" s="1099"/>
      <c r="B1738" s="948" t="s">
        <v>2383</v>
      </c>
      <c r="C1738" s="1197" t="s">
        <v>2384</v>
      </c>
      <c r="D1738" s="1197" t="s">
        <v>2384</v>
      </c>
      <c r="E1738" s="1147" t="s">
        <v>2384</v>
      </c>
      <c r="F1738" s="940"/>
      <c r="G1738" s="953"/>
      <c r="H1738" s="969"/>
      <c r="I1738" s="998" t="s">
        <v>4838</v>
      </c>
      <c r="J1738" s="1206" t="s">
        <v>82</v>
      </c>
      <c r="K1738" s="1203" t="s">
        <v>344</v>
      </c>
      <c r="L1738" s="959">
        <v>40.0</v>
      </c>
      <c r="M1738" s="960">
        <v>55.0</v>
      </c>
      <c r="N1738" s="960">
        <v>80.0</v>
      </c>
      <c r="O1738" s="960">
        <v>35.0</v>
      </c>
      <c r="P1738" s="960">
        <v>60.0</v>
      </c>
      <c r="Q1738" s="960">
        <v>30.0</v>
      </c>
      <c r="R1738" s="960">
        <v>96.0</v>
      </c>
      <c r="S1738" s="960">
        <v>159.0</v>
      </c>
      <c r="T1738" s="960">
        <v>174.0</v>
      </c>
      <c r="U1738" s="960">
        <f t="array" ref="U1738">HLOOKUP($J1738,'Type Chart'!$C$2:$T$20,2,false)*HLOOKUP($K1738,'Type Chart'!$C$2:$U$20,2,false)</f>
        <v>0.5</v>
      </c>
      <c r="V1738" s="960">
        <f t="array" ref="V1738">HLOOKUP($J1738,'Type Chart'!$C$2:$T$20,3,false)*HLOOKUP($K1738,'Type Chart'!$C$2:$U$20,3,false)</f>
        <v>1</v>
      </c>
      <c r="W1738" s="960">
        <f t="array" ref="W1738">HLOOKUP($J1738,'Type Chart'!$C$2:$T$20,4,false)*HLOOKUP($K1738,'Type Chart'!$C$2:$U$20,4,false)</f>
        <v>0.5</v>
      </c>
      <c r="X1738" s="960">
        <f t="array" ref="X1738">HLOOKUP($J1738,'Type Chart'!$C$2:$T$20,5,false)*HLOOKUP($K1738,'Type Chart'!$C$2:$U$20,5,false)</f>
        <v>0</v>
      </c>
      <c r="Y1738" s="960">
        <f t="array" ref="Y1738">HLOOKUP($J1738,'Type Chart'!$C$2:$T$20,6,false)*HLOOKUP($K1738,'Type Chart'!$C$2:$U$20,6,false)</f>
        <v>2</v>
      </c>
      <c r="Z1738" s="960">
        <f t="array" ref="Z1738">HLOOKUP($J1738,'Type Chart'!$C$2:$T$20,7,false)*HLOOKUP($K1738,'Type Chart'!$C$2:$U$20,7,false)</f>
        <v>0.5</v>
      </c>
      <c r="AA1738" s="960">
        <f t="array" ref="AA1738">HLOOKUP($J1738,'Type Chart'!$C$2:$T$20,8,false)*HLOOKUP($K1738,'Type Chart'!$C$2:$U$20,8,false)</f>
        <v>1</v>
      </c>
      <c r="AB1738" s="960">
        <f t="array" ref="AB1738">HLOOKUP($J1738,'Type Chart'!$C$2:$T$20,9,false)*HLOOKUP($K1738,'Type Chart'!$C$2:$U$20,9,false)</f>
        <v>2</v>
      </c>
      <c r="AC1738" s="960">
        <f t="array" ref="AC1738">HLOOKUP($J1738,'Type Chart'!$C$2:$T$20,10,false)*HLOOKUP($K1738,'Type Chart'!$C$2:$U$20,10,false)</f>
        <v>0.5</v>
      </c>
      <c r="AD1738" s="960">
        <f t="array" ref="AD1738">HLOOKUP($J1738,'Type Chart'!$C$2:$T$20,11,false)*HLOOKUP($K1738,'Type Chart'!$C$2:$U$20,11,false)</f>
        <v>2</v>
      </c>
      <c r="AE1738" s="960">
        <f t="array" ref="AE1738">HLOOKUP($J1738,'Type Chart'!$C$2:$T$20,12,false)*HLOOKUP($K1738,'Type Chart'!$C$2:$U$20,12,false)</f>
        <v>1</v>
      </c>
      <c r="AF1738" s="960">
        <f t="array" ref="AF1738">HLOOKUP($J1738,'Type Chart'!$C$2:$T$20,13,false)*HLOOKUP($K1738,'Type Chart'!$C$2:$U$20,13,false)</f>
        <v>0.5</v>
      </c>
      <c r="AG1738" s="960">
        <f t="array" ref="AG1738">HLOOKUP($J1738,'Type Chart'!$C$2:$T$20,14,false)*HLOOKUP($K1738,'Type Chart'!$C$2:$U$20,14,false)</f>
        <v>1</v>
      </c>
      <c r="AH1738" s="960">
        <f t="array" ref="AH1738">HLOOKUP($J1738,'Type Chart'!$C$2:$T$20,15,false)*HLOOKUP($K1738,'Type Chart'!$C$2:$U$20,15,false)</f>
        <v>0.25</v>
      </c>
      <c r="AI1738" s="960">
        <f t="array" ref="AI1738">HLOOKUP($J1738,'Type Chart'!$C$2:$T$20,16,false)*HLOOKUP($K1738,'Type Chart'!$C$2:$U$20,16,false)</f>
        <v>0.5</v>
      </c>
      <c r="AJ1738" s="960">
        <f t="array" ref="AJ1738">HLOOKUP($J1738,'Type Chart'!$C$2:$T$20,17,false)*HLOOKUP($K1738,'Type Chart'!$C$2:$U$20,17,false)</f>
        <v>0.5</v>
      </c>
      <c r="AK1738" s="960">
        <f t="array" ref="AK1738">HLOOKUP($J1738,'Type Chart'!$C$2:$T$20,18,false)*HLOOKUP($K1738,'Type Chart'!$C$2:$U$20,18,false)</f>
        <v>2</v>
      </c>
      <c r="AL1738" s="960">
        <f t="array" ref="AL1738">HLOOKUP($J1738,'Type Chart'!$C$2:$T$20,19,false)*HLOOKUP($K1738,'Type Chart'!$C$2:$U$20,19,false)</f>
        <v>0.5</v>
      </c>
      <c r="AM1738" s="964" t="s">
        <v>1324</v>
      </c>
      <c r="AN1738" s="965"/>
      <c r="AO1738" s="966" t="s">
        <v>1854</v>
      </c>
      <c r="AP1738" s="936"/>
      <c r="AQ1738" s="1245"/>
      <c r="AR1738" s="1245"/>
      <c r="AS1738" s="936"/>
    </row>
    <row r="1739" ht="15.75" customHeight="1">
      <c r="A1739" s="1099"/>
      <c r="B1739" s="948" t="s">
        <v>2386</v>
      </c>
      <c r="C1739" s="1197" t="s">
        <v>2387</v>
      </c>
      <c r="D1739" s="1197" t="s">
        <v>2387</v>
      </c>
      <c r="E1739" s="1147" t="s">
        <v>2387</v>
      </c>
      <c r="F1739" s="940"/>
      <c r="G1739" s="953"/>
      <c r="H1739" s="969"/>
      <c r="I1739" s="998" t="s">
        <v>4839</v>
      </c>
      <c r="J1739" s="1206" t="s">
        <v>82</v>
      </c>
      <c r="K1739" s="1203" t="s">
        <v>344</v>
      </c>
      <c r="L1739" s="959">
        <v>60.0</v>
      </c>
      <c r="M1739" s="960">
        <v>75.0</v>
      </c>
      <c r="N1739" s="960">
        <v>100.0</v>
      </c>
      <c r="O1739" s="960">
        <v>55.0</v>
      </c>
      <c r="P1739" s="960">
        <v>80.0</v>
      </c>
      <c r="Q1739" s="960">
        <v>50.0</v>
      </c>
      <c r="R1739" s="960">
        <v>136.0</v>
      </c>
      <c r="S1739" s="960">
        <v>199.0</v>
      </c>
      <c r="T1739" s="960">
        <v>218.0</v>
      </c>
      <c r="U1739" s="960">
        <f t="array" ref="U1739">HLOOKUP($J1739,'Type Chart'!$C$2:$T$20,2,false)*HLOOKUP($K1739,'Type Chart'!$C$2:$U$20,2,false)</f>
        <v>0.5</v>
      </c>
      <c r="V1739" s="960">
        <f t="array" ref="V1739">HLOOKUP($J1739,'Type Chart'!$C$2:$T$20,3,false)*HLOOKUP($K1739,'Type Chart'!$C$2:$U$20,3,false)</f>
        <v>1</v>
      </c>
      <c r="W1739" s="960">
        <f t="array" ref="W1739">HLOOKUP($J1739,'Type Chart'!$C$2:$T$20,4,false)*HLOOKUP($K1739,'Type Chart'!$C$2:$U$20,4,false)</f>
        <v>0.5</v>
      </c>
      <c r="X1739" s="960">
        <f t="array" ref="X1739">HLOOKUP($J1739,'Type Chart'!$C$2:$T$20,5,false)*HLOOKUP($K1739,'Type Chart'!$C$2:$U$20,5,false)</f>
        <v>0</v>
      </c>
      <c r="Y1739" s="960">
        <f t="array" ref="Y1739">HLOOKUP($J1739,'Type Chart'!$C$2:$T$20,6,false)*HLOOKUP($K1739,'Type Chart'!$C$2:$U$20,6,false)</f>
        <v>2</v>
      </c>
      <c r="Z1739" s="960">
        <f t="array" ref="Z1739">HLOOKUP($J1739,'Type Chart'!$C$2:$T$20,7,false)*HLOOKUP($K1739,'Type Chart'!$C$2:$U$20,7,false)</f>
        <v>0.5</v>
      </c>
      <c r="AA1739" s="960">
        <f t="array" ref="AA1739">HLOOKUP($J1739,'Type Chart'!$C$2:$T$20,8,false)*HLOOKUP($K1739,'Type Chart'!$C$2:$U$20,8,false)</f>
        <v>1</v>
      </c>
      <c r="AB1739" s="960">
        <f t="array" ref="AB1739">HLOOKUP($J1739,'Type Chart'!$C$2:$T$20,9,false)*HLOOKUP($K1739,'Type Chart'!$C$2:$U$20,9,false)</f>
        <v>2</v>
      </c>
      <c r="AC1739" s="960">
        <f t="array" ref="AC1739">HLOOKUP($J1739,'Type Chart'!$C$2:$T$20,10,false)*HLOOKUP($K1739,'Type Chart'!$C$2:$U$20,10,false)</f>
        <v>0.5</v>
      </c>
      <c r="AD1739" s="960">
        <f t="array" ref="AD1739">HLOOKUP($J1739,'Type Chart'!$C$2:$T$20,11,false)*HLOOKUP($K1739,'Type Chart'!$C$2:$U$20,11,false)</f>
        <v>2</v>
      </c>
      <c r="AE1739" s="960">
        <f t="array" ref="AE1739">HLOOKUP($J1739,'Type Chart'!$C$2:$T$20,12,false)*HLOOKUP($K1739,'Type Chart'!$C$2:$U$20,12,false)</f>
        <v>1</v>
      </c>
      <c r="AF1739" s="960">
        <f t="array" ref="AF1739">HLOOKUP($J1739,'Type Chart'!$C$2:$T$20,13,false)*HLOOKUP($K1739,'Type Chart'!$C$2:$U$20,13,false)</f>
        <v>0.5</v>
      </c>
      <c r="AG1739" s="960">
        <f t="array" ref="AG1739">HLOOKUP($J1739,'Type Chart'!$C$2:$T$20,14,false)*HLOOKUP($K1739,'Type Chart'!$C$2:$U$20,14,false)</f>
        <v>1</v>
      </c>
      <c r="AH1739" s="960">
        <f t="array" ref="AH1739">HLOOKUP($J1739,'Type Chart'!$C$2:$T$20,15,false)*HLOOKUP($K1739,'Type Chart'!$C$2:$U$20,15,false)</f>
        <v>0.25</v>
      </c>
      <c r="AI1739" s="960">
        <f t="array" ref="AI1739">HLOOKUP($J1739,'Type Chart'!$C$2:$T$20,16,false)*HLOOKUP($K1739,'Type Chart'!$C$2:$U$20,16,false)</f>
        <v>0.5</v>
      </c>
      <c r="AJ1739" s="960">
        <f t="array" ref="AJ1739">HLOOKUP($J1739,'Type Chart'!$C$2:$T$20,17,false)*HLOOKUP($K1739,'Type Chart'!$C$2:$U$20,17,false)</f>
        <v>0.5</v>
      </c>
      <c r="AK1739" s="960">
        <f t="array" ref="AK1739">HLOOKUP($J1739,'Type Chart'!$C$2:$T$20,18,false)*HLOOKUP($K1739,'Type Chart'!$C$2:$U$20,18,false)</f>
        <v>2</v>
      </c>
      <c r="AL1739" s="960">
        <f t="array" ref="AL1739">HLOOKUP($J1739,'Type Chart'!$C$2:$T$20,19,false)*HLOOKUP($K1739,'Type Chart'!$C$2:$U$20,19,false)</f>
        <v>0.5</v>
      </c>
      <c r="AM1739" s="964" t="s">
        <v>1324</v>
      </c>
      <c r="AN1739" s="965"/>
      <c r="AO1739" s="966" t="s">
        <v>1854</v>
      </c>
      <c r="AP1739" s="936"/>
      <c r="AQ1739" s="1245"/>
      <c r="AR1739" s="1245"/>
      <c r="AS1739" s="936"/>
    </row>
    <row r="1740" ht="15.75" customHeight="1">
      <c r="A1740" s="1099"/>
      <c r="B1740" s="948" t="s">
        <v>2388</v>
      </c>
      <c r="C1740" s="1197" t="s">
        <v>2389</v>
      </c>
      <c r="D1740" s="1197" t="s">
        <v>2389</v>
      </c>
      <c r="E1740" s="1147" t="s">
        <v>2389</v>
      </c>
      <c r="F1740" s="940"/>
      <c r="G1740" s="953"/>
      <c r="H1740" s="969"/>
      <c r="I1740" s="998" t="s">
        <v>4840</v>
      </c>
      <c r="J1740" s="1206" t="s">
        <v>82</v>
      </c>
      <c r="K1740" s="1203" t="s">
        <v>344</v>
      </c>
      <c r="L1740" s="959">
        <v>80.0</v>
      </c>
      <c r="M1740" s="960">
        <v>135.0</v>
      </c>
      <c r="N1740" s="960">
        <v>130.0</v>
      </c>
      <c r="O1740" s="960">
        <v>95.0</v>
      </c>
      <c r="P1740" s="960">
        <v>90.0</v>
      </c>
      <c r="Q1740" s="960">
        <v>70.0</v>
      </c>
      <c r="R1740" s="960">
        <v>176.0</v>
      </c>
      <c r="S1740" s="960">
        <v>239.0</v>
      </c>
      <c r="T1740" s="960">
        <v>262.0</v>
      </c>
      <c r="U1740" s="960">
        <f t="array" ref="U1740">HLOOKUP($J1740,'Type Chart'!$C$2:$T$20,2,false)*HLOOKUP($K1740,'Type Chart'!$C$2:$U$20,2,false)</f>
        <v>0.5</v>
      </c>
      <c r="V1740" s="960">
        <f t="array" ref="V1740">HLOOKUP($J1740,'Type Chart'!$C$2:$T$20,3,false)*HLOOKUP($K1740,'Type Chart'!$C$2:$U$20,3,false)</f>
        <v>1</v>
      </c>
      <c r="W1740" s="960">
        <f t="array" ref="W1740">HLOOKUP($J1740,'Type Chart'!$C$2:$T$20,4,false)*HLOOKUP($K1740,'Type Chart'!$C$2:$U$20,4,false)</f>
        <v>0.5</v>
      </c>
      <c r="X1740" s="960">
        <f t="array" ref="X1740">HLOOKUP($J1740,'Type Chart'!$C$2:$T$20,5,false)*HLOOKUP($K1740,'Type Chart'!$C$2:$U$20,5,false)</f>
        <v>0</v>
      </c>
      <c r="Y1740" s="960">
        <f t="array" ref="Y1740">HLOOKUP($J1740,'Type Chart'!$C$2:$T$20,6,false)*HLOOKUP($K1740,'Type Chart'!$C$2:$U$20,6,false)</f>
        <v>2</v>
      </c>
      <c r="Z1740" s="960">
        <f t="array" ref="Z1740">HLOOKUP($J1740,'Type Chart'!$C$2:$T$20,7,false)*HLOOKUP($K1740,'Type Chart'!$C$2:$U$20,7,false)</f>
        <v>0.5</v>
      </c>
      <c r="AA1740" s="960">
        <f t="array" ref="AA1740">HLOOKUP($J1740,'Type Chart'!$C$2:$T$20,8,false)*HLOOKUP($K1740,'Type Chart'!$C$2:$U$20,8,false)</f>
        <v>1</v>
      </c>
      <c r="AB1740" s="960">
        <f t="array" ref="AB1740">HLOOKUP($J1740,'Type Chart'!$C$2:$T$20,9,false)*HLOOKUP($K1740,'Type Chart'!$C$2:$U$20,9,false)</f>
        <v>2</v>
      </c>
      <c r="AC1740" s="960">
        <f t="array" ref="AC1740">HLOOKUP($J1740,'Type Chart'!$C$2:$T$20,10,false)*HLOOKUP($K1740,'Type Chart'!$C$2:$U$20,10,false)</f>
        <v>0.5</v>
      </c>
      <c r="AD1740" s="960">
        <f t="array" ref="AD1740">HLOOKUP($J1740,'Type Chart'!$C$2:$T$20,11,false)*HLOOKUP($K1740,'Type Chart'!$C$2:$U$20,11,false)</f>
        <v>2</v>
      </c>
      <c r="AE1740" s="960">
        <f t="array" ref="AE1740">HLOOKUP($J1740,'Type Chart'!$C$2:$T$20,12,false)*HLOOKUP($K1740,'Type Chart'!$C$2:$U$20,12,false)</f>
        <v>1</v>
      </c>
      <c r="AF1740" s="960">
        <f t="array" ref="AF1740">HLOOKUP($J1740,'Type Chart'!$C$2:$T$20,13,false)*HLOOKUP($K1740,'Type Chart'!$C$2:$U$20,13,false)</f>
        <v>0.5</v>
      </c>
      <c r="AG1740" s="960">
        <f t="array" ref="AG1740">HLOOKUP($J1740,'Type Chart'!$C$2:$T$20,14,false)*HLOOKUP($K1740,'Type Chart'!$C$2:$U$20,14,false)</f>
        <v>1</v>
      </c>
      <c r="AH1740" s="960">
        <f t="array" ref="AH1740">HLOOKUP($J1740,'Type Chart'!$C$2:$T$20,15,false)*HLOOKUP($K1740,'Type Chart'!$C$2:$U$20,15,false)</f>
        <v>0.25</v>
      </c>
      <c r="AI1740" s="960">
        <f t="array" ref="AI1740">HLOOKUP($J1740,'Type Chart'!$C$2:$T$20,16,false)*HLOOKUP($K1740,'Type Chart'!$C$2:$U$20,16,false)</f>
        <v>0.5</v>
      </c>
      <c r="AJ1740" s="960">
        <f t="array" ref="AJ1740">HLOOKUP($J1740,'Type Chart'!$C$2:$T$20,17,false)*HLOOKUP($K1740,'Type Chart'!$C$2:$U$20,17,false)</f>
        <v>0.5</v>
      </c>
      <c r="AK1740" s="960">
        <f t="array" ref="AK1740">HLOOKUP($J1740,'Type Chart'!$C$2:$T$20,18,false)*HLOOKUP($K1740,'Type Chart'!$C$2:$U$20,18,false)</f>
        <v>2</v>
      </c>
      <c r="AL1740" s="960">
        <f t="array" ref="AL1740">HLOOKUP($J1740,'Type Chart'!$C$2:$T$20,19,false)*HLOOKUP($K1740,'Type Chart'!$C$2:$U$20,19,false)</f>
        <v>0.5</v>
      </c>
      <c r="AM1740" s="964" t="s">
        <v>1324</v>
      </c>
      <c r="AN1740" s="965"/>
      <c r="AO1740" s="966" t="s">
        <v>1854</v>
      </c>
      <c r="AP1740" s="936"/>
      <c r="AQ1740" s="1245"/>
      <c r="AR1740" s="1245"/>
      <c r="AS1740" s="936"/>
    </row>
    <row r="1741" ht="15.75" customHeight="1">
      <c r="A1741" s="1099"/>
      <c r="B1741" s="948" t="s">
        <v>2390</v>
      </c>
      <c r="C1741" s="1197" t="s">
        <v>2391</v>
      </c>
      <c r="D1741" s="1197" t="s">
        <v>2391</v>
      </c>
      <c r="E1741" s="1147" t="s">
        <v>2391</v>
      </c>
      <c r="F1741" s="940"/>
      <c r="G1741" s="953"/>
      <c r="H1741" s="969"/>
      <c r="I1741" s="998" t="s">
        <v>4841</v>
      </c>
      <c r="J1741" s="1233" t="s">
        <v>82</v>
      </c>
      <c r="K1741" s="1215" t="s">
        <v>344</v>
      </c>
      <c r="L1741" s="1200">
        <v>80.0</v>
      </c>
      <c r="M1741" s="1201">
        <v>145.0</v>
      </c>
      <c r="N1741" s="1201">
        <v>150.0</v>
      </c>
      <c r="O1741" s="1201">
        <v>105.0</v>
      </c>
      <c r="P1741" s="1201">
        <v>110.0</v>
      </c>
      <c r="Q1741" s="1201">
        <v>110.0</v>
      </c>
      <c r="R1741" s="960">
        <v>256.0</v>
      </c>
      <c r="S1741" s="960">
        <v>319.0</v>
      </c>
      <c r="T1741" s="960">
        <v>350.0</v>
      </c>
      <c r="U1741" s="960">
        <f t="array" ref="U1741">HLOOKUP($J1741,'Type Chart'!$C$2:$T$20,2,false)*HLOOKUP($K1741,'Type Chart'!$C$2:$U$20,2,false)</f>
        <v>0.5</v>
      </c>
      <c r="V1741" s="960">
        <f t="array" ref="V1741">HLOOKUP($J1741,'Type Chart'!$C$2:$T$20,3,false)*HLOOKUP($K1741,'Type Chart'!$C$2:$U$20,3,false)</f>
        <v>1</v>
      </c>
      <c r="W1741" s="960">
        <f t="array" ref="W1741">HLOOKUP($J1741,'Type Chart'!$C$2:$T$20,4,false)*HLOOKUP($K1741,'Type Chart'!$C$2:$U$20,4,false)</f>
        <v>0.5</v>
      </c>
      <c r="X1741" s="960">
        <f t="array" ref="X1741">HLOOKUP($J1741,'Type Chart'!$C$2:$T$20,5,false)*HLOOKUP($K1741,'Type Chart'!$C$2:$U$20,5,false)</f>
        <v>0</v>
      </c>
      <c r="Y1741" s="960">
        <f t="array" ref="Y1741">HLOOKUP($J1741,'Type Chart'!$C$2:$T$20,6,false)*HLOOKUP($K1741,'Type Chart'!$C$2:$U$20,6,false)</f>
        <v>2</v>
      </c>
      <c r="Z1741" s="960">
        <f t="array" ref="Z1741">HLOOKUP($J1741,'Type Chart'!$C$2:$T$20,7,false)*HLOOKUP($K1741,'Type Chart'!$C$2:$U$20,7,false)</f>
        <v>0.5</v>
      </c>
      <c r="AA1741" s="960">
        <f t="array" ref="AA1741">HLOOKUP($J1741,'Type Chart'!$C$2:$T$20,8,false)*HLOOKUP($K1741,'Type Chart'!$C$2:$U$20,8,false)</f>
        <v>1</v>
      </c>
      <c r="AB1741" s="960">
        <f t="array" ref="AB1741">HLOOKUP($J1741,'Type Chart'!$C$2:$T$20,9,false)*HLOOKUP($K1741,'Type Chart'!$C$2:$U$20,9,false)</f>
        <v>2</v>
      </c>
      <c r="AC1741" s="960">
        <f t="array" ref="AC1741">HLOOKUP($J1741,'Type Chart'!$C$2:$T$20,10,false)*HLOOKUP($K1741,'Type Chart'!$C$2:$U$20,10,false)</f>
        <v>0.5</v>
      </c>
      <c r="AD1741" s="960">
        <f t="array" ref="AD1741">HLOOKUP($J1741,'Type Chart'!$C$2:$T$20,11,false)*HLOOKUP($K1741,'Type Chart'!$C$2:$U$20,11,false)</f>
        <v>2</v>
      </c>
      <c r="AE1741" s="960">
        <f t="array" ref="AE1741">HLOOKUP($J1741,'Type Chart'!$C$2:$T$20,12,false)*HLOOKUP($K1741,'Type Chart'!$C$2:$U$20,12,false)</f>
        <v>1</v>
      </c>
      <c r="AF1741" s="960">
        <f t="array" ref="AF1741">HLOOKUP($J1741,'Type Chart'!$C$2:$T$20,13,false)*HLOOKUP($K1741,'Type Chart'!$C$2:$U$20,13,false)</f>
        <v>0.5</v>
      </c>
      <c r="AG1741" s="960">
        <f t="array" ref="AG1741">HLOOKUP($J1741,'Type Chart'!$C$2:$T$20,14,false)*HLOOKUP($K1741,'Type Chart'!$C$2:$U$20,14,false)</f>
        <v>1</v>
      </c>
      <c r="AH1741" s="960">
        <f t="array" ref="AH1741">HLOOKUP($J1741,'Type Chart'!$C$2:$T$20,15,false)*HLOOKUP($K1741,'Type Chart'!$C$2:$U$20,15,false)</f>
        <v>0.25</v>
      </c>
      <c r="AI1741" s="960">
        <f t="array" ref="AI1741">HLOOKUP($J1741,'Type Chart'!$C$2:$T$20,16,false)*HLOOKUP($K1741,'Type Chart'!$C$2:$U$20,16,false)</f>
        <v>0.5</v>
      </c>
      <c r="AJ1741" s="960">
        <f t="array" ref="AJ1741">HLOOKUP($J1741,'Type Chart'!$C$2:$T$20,17,false)*HLOOKUP($K1741,'Type Chart'!$C$2:$U$20,17,false)</f>
        <v>0.5</v>
      </c>
      <c r="AK1741" s="960">
        <f t="array" ref="AK1741">HLOOKUP($J1741,'Type Chart'!$C$2:$T$20,18,false)*HLOOKUP($K1741,'Type Chart'!$C$2:$U$20,18,false)</f>
        <v>2</v>
      </c>
      <c r="AL1741" s="960">
        <f t="array" ref="AL1741">HLOOKUP($J1741,'Type Chart'!$C$2:$T$20,19,false)*HLOOKUP($K1741,'Type Chart'!$C$2:$U$20,19,false)</f>
        <v>0.5</v>
      </c>
      <c r="AM1741" s="964" t="s">
        <v>932</v>
      </c>
      <c r="AN1741" s="965"/>
      <c r="AO1741" s="1146"/>
      <c r="AP1741" s="936"/>
      <c r="AQ1741" s="1245"/>
      <c r="AR1741" s="1245"/>
      <c r="AS1741" s="936"/>
    </row>
    <row r="1742" ht="15.75" customHeight="1">
      <c r="A1742" s="1099"/>
      <c r="B1742" s="948" t="s">
        <v>2393</v>
      </c>
      <c r="C1742" s="1197" t="s">
        <v>2394</v>
      </c>
      <c r="D1742" s="1197" t="s">
        <v>2394</v>
      </c>
      <c r="E1742" s="1147" t="s">
        <v>2394</v>
      </c>
      <c r="F1742" s="940"/>
      <c r="G1742" s="953"/>
      <c r="H1742" s="969"/>
      <c r="I1742" s="998" t="s">
        <v>4842</v>
      </c>
      <c r="J1742" s="1214" t="s">
        <v>342</v>
      </c>
      <c r="K1742" s="984" t="s">
        <v>216</v>
      </c>
      <c r="L1742" s="959">
        <v>80.0</v>
      </c>
      <c r="M1742" s="960">
        <v>100.0</v>
      </c>
      <c r="N1742" s="960">
        <v>200.0</v>
      </c>
      <c r="O1742" s="960">
        <v>50.0</v>
      </c>
      <c r="P1742" s="960">
        <v>100.0</v>
      </c>
      <c r="Q1742" s="960">
        <v>50.0</v>
      </c>
      <c r="R1742" s="960">
        <v>136.0</v>
      </c>
      <c r="S1742" s="960">
        <v>199.0</v>
      </c>
      <c r="T1742" s="960">
        <v>218.0</v>
      </c>
      <c r="U1742" s="960">
        <f t="array" ref="U1742">HLOOKUP($J1742,'Type Chart'!$C$2:$T$20,2,false)*HLOOKUP($K1742,'Type Chart'!$C$2:$U$20,2,false)</f>
        <v>0.5</v>
      </c>
      <c r="V1742" s="960">
        <f t="array" ref="V1742">HLOOKUP($J1742,'Type Chart'!$C$2:$T$20,3,false)*HLOOKUP($K1742,'Type Chart'!$C$2:$U$20,3,false)</f>
        <v>2</v>
      </c>
      <c r="W1742" s="960">
        <f t="array" ref="W1742">HLOOKUP($J1742,'Type Chart'!$C$2:$T$20,4,false)*HLOOKUP($K1742,'Type Chart'!$C$2:$U$20,4,false)</f>
        <v>0.5</v>
      </c>
      <c r="X1742" s="960">
        <f t="array" ref="X1742">HLOOKUP($J1742,'Type Chart'!$C$2:$T$20,5,false)*HLOOKUP($K1742,'Type Chart'!$C$2:$U$20,5,false)</f>
        <v>0.5</v>
      </c>
      <c r="Y1742" s="960">
        <f t="array" ref="Y1742">HLOOKUP($J1742,'Type Chart'!$C$2:$T$20,6,false)*HLOOKUP($K1742,'Type Chart'!$C$2:$U$20,6,false)</f>
        <v>2</v>
      </c>
      <c r="Z1742" s="960">
        <f t="array" ref="Z1742">HLOOKUP($J1742,'Type Chart'!$C$2:$T$20,7,false)*HLOOKUP($K1742,'Type Chart'!$C$2:$U$20,7,false)</f>
        <v>1</v>
      </c>
      <c r="AA1742" s="960">
        <f t="array" ref="AA1742">HLOOKUP($J1742,'Type Chart'!$C$2:$T$20,8,false)*HLOOKUP($K1742,'Type Chart'!$C$2:$U$20,8,false)</f>
        <v>1</v>
      </c>
      <c r="AB1742" s="960">
        <f t="array" ref="AB1742">HLOOKUP($J1742,'Type Chart'!$C$2:$T$20,9,false)*HLOOKUP($K1742,'Type Chart'!$C$2:$U$20,9,false)</f>
        <v>1</v>
      </c>
      <c r="AC1742" s="960">
        <f t="array" ref="AC1742">HLOOKUP($J1742,'Type Chart'!$C$2:$T$20,10,false)*HLOOKUP($K1742,'Type Chart'!$C$2:$U$20,10,false)</f>
        <v>2</v>
      </c>
      <c r="AD1742" s="960">
        <f t="array" ref="AD1742">HLOOKUP($J1742,'Type Chart'!$C$2:$T$20,11,false)*HLOOKUP($K1742,'Type Chart'!$C$2:$U$20,11,false)</f>
        <v>0.5</v>
      </c>
      <c r="AE1742" s="960">
        <f t="array" ref="AE1742">HLOOKUP($J1742,'Type Chart'!$C$2:$T$20,12,false)*HLOOKUP($K1742,'Type Chart'!$C$2:$U$20,12,false)</f>
        <v>2</v>
      </c>
      <c r="AF1742" s="960">
        <f t="array" ref="AF1742">HLOOKUP($J1742,'Type Chart'!$C$2:$T$20,13,false)*HLOOKUP($K1742,'Type Chart'!$C$2:$U$20,13,false)</f>
        <v>2</v>
      </c>
      <c r="AG1742" s="960">
        <f t="array" ref="AG1742">HLOOKUP($J1742,'Type Chart'!$C$2:$T$20,14,false)*HLOOKUP($K1742,'Type Chart'!$C$2:$U$20,14,false)</f>
        <v>1</v>
      </c>
      <c r="AH1742" s="960">
        <f t="array" ref="AH1742">HLOOKUP($J1742,'Type Chart'!$C$2:$T$20,15,false)*HLOOKUP($K1742,'Type Chart'!$C$2:$U$20,15,false)</f>
        <v>1</v>
      </c>
      <c r="AI1742" s="960">
        <f t="array" ref="AI1742">HLOOKUP($J1742,'Type Chart'!$C$2:$T$20,16,false)*HLOOKUP($K1742,'Type Chart'!$C$2:$U$20,16,false)</f>
        <v>1</v>
      </c>
      <c r="AJ1742" s="960">
        <f t="array" ref="AJ1742">HLOOKUP($J1742,'Type Chart'!$C$2:$T$20,17,false)*HLOOKUP($K1742,'Type Chart'!$C$2:$U$20,17,false)</f>
        <v>1</v>
      </c>
      <c r="AK1742" s="960">
        <f t="array" ref="AK1742">HLOOKUP($J1742,'Type Chart'!$C$2:$T$20,18,false)*HLOOKUP($K1742,'Type Chart'!$C$2:$U$20,18,false)</f>
        <v>1</v>
      </c>
      <c r="AL1742" s="960">
        <f t="array" ref="AL1742">HLOOKUP($J1742,'Type Chart'!$C$2:$T$20,19,false)*HLOOKUP($K1742,'Type Chart'!$C$2:$U$20,19,false)</f>
        <v>1</v>
      </c>
      <c r="AM1742" s="964" t="s">
        <v>1324</v>
      </c>
      <c r="AN1742" s="965"/>
      <c r="AO1742" s="966" t="s">
        <v>1331</v>
      </c>
      <c r="AP1742" s="936"/>
      <c r="AQ1742" s="1245"/>
      <c r="AR1742" s="1245"/>
      <c r="AS1742" s="936"/>
    </row>
    <row r="1743" ht="15.75" customHeight="1">
      <c r="A1743" s="1099"/>
      <c r="B1743" s="948" t="s">
        <v>2395</v>
      </c>
      <c r="C1743" s="1197" t="s">
        <v>2396</v>
      </c>
      <c r="D1743" s="1197" t="s">
        <v>2396</v>
      </c>
      <c r="E1743" s="1147" t="s">
        <v>2396</v>
      </c>
      <c r="F1743" s="940"/>
      <c r="G1743" s="953"/>
      <c r="H1743" s="969"/>
      <c r="I1743" s="998" t="s">
        <v>4843</v>
      </c>
      <c r="J1743" s="1224" t="s">
        <v>345</v>
      </c>
      <c r="K1743" s="984" t="s">
        <v>216</v>
      </c>
      <c r="L1743" s="1200">
        <v>80.0</v>
      </c>
      <c r="M1743" s="1201">
        <v>50.0</v>
      </c>
      <c r="N1743" s="1201">
        <v>100.0</v>
      </c>
      <c r="O1743" s="1201">
        <v>100.0</v>
      </c>
      <c r="P1743" s="1201">
        <v>200.0</v>
      </c>
      <c r="Q1743" s="1201">
        <v>50.0</v>
      </c>
      <c r="R1743" s="960">
        <v>136.0</v>
      </c>
      <c r="S1743" s="960">
        <v>199.0</v>
      </c>
      <c r="T1743" s="960">
        <v>218.0</v>
      </c>
      <c r="U1743" s="960">
        <f t="array" ref="U1743">HLOOKUP($J1743,'Type Chart'!$C$2:$T$20,2,false)*HLOOKUP($K1743,'Type Chart'!$C$2:$U$20,2,false)</f>
        <v>1</v>
      </c>
      <c r="V1743" s="960">
        <f t="array" ref="V1743">HLOOKUP($J1743,'Type Chart'!$C$2:$T$20,3,false)*HLOOKUP($K1743,'Type Chart'!$C$2:$U$20,3,false)</f>
        <v>2</v>
      </c>
      <c r="W1743" s="960">
        <f t="array" ref="W1743">HLOOKUP($J1743,'Type Chart'!$C$2:$T$20,4,false)*HLOOKUP($K1743,'Type Chart'!$C$2:$U$20,4,false)</f>
        <v>1</v>
      </c>
      <c r="X1743" s="960">
        <f t="array" ref="X1743">HLOOKUP($J1743,'Type Chart'!$C$2:$T$20,5,false)*HLOOKUP($K1743,'Type Chart'!$C$2:$U$20,5,false)</f>
        <v>1</v>
      </c>
      <c r="Y1743" s="960">
        <f t="array" ref="Y1743">HLOOKUP($J1743,'Type Chart'!$C$2:$T$20,6,false)*HLOOKUP($K1743,'Type Chart'!$C$2:$U$20,6,false)</f>
        <v>1</v>
      </c>
      <c r="Z1743" s="960">
        <f t="array" ref="Z1743">HLOOKUP($J1743,'Type Chart'!$C$2:$T$20,7,false)*HLOOKUP($K1743,'Type Chart'!$C$2:$U$20,7,false)</f>
        <v>2</v>
      </c>
      <c r="AA1743" s="960">
        <f t="array" ref="AA1743">HLOOKUP($J1743,'Type Chart'!$C$2:$T$20,8,false)*HLOOKUP($K1743,'Type Chart'!$C$2:$U$20,8,false)</f>
        <v>1</v>
      </c>
      <c r="AB1743" s="960">
        <f t="array" ref="AB1743">HLOOKUP($J1743,'Type Chart'!$C$2:$T$20,9,false)*HLOOKUP($K1743,'Type Chart'!$C$2:$U$20,9,false)</f>
        <v>1</v>
      </c>
      <c r="AC1743" s="960">
        <f t="array" ref="AC1743">HLOOKUP($J1743,'Type Chart'!$C$2:$T$20,10,false)*HLOOKUP($K1743,'Type Chart'!$C$2:$U$20,10,false)</f>
        <v>2</v>
      </c>
      <c r="AD1743" s="960">
        <f t="array" ref="AD1743">HLOOKUP($J1743,'Type Chart'!$C$2:$T$20,11,false)*HLOOKUP($K1743,'Type Chart'!$C$2:$U$20,11,false)</f>
        <v>2</v>
      </c>
      <c r="AE1743" s="960">
        <f t="array" ref="AE1743">HLOOKUP($J1743,'Type Chart'!$C$2:$T$20,12,false)*HLOOKUP($K1743,'Type Chart'!$C$2:$U$20,12,false)</f>
        <v>1</v>
      </c>
      <c r="AF1743" s="960">
        <f t="array" ref="AF1743">HLOOKUP($J1743,'Type Chart'!$C$2:$T$20,13,false)*HLOOKUP($K1743,'Type Chart'!$C$2:$U$20,13,false)</f>
        <v>1</v>
      </c>
      <c r="AG1743" s="960">
        <f t="array" ref="AG1743">HLOOKUP($J1743,'Type Chart'!$C$2:$T$20,14,false)*HLOOKUP($K1743,'Type Chart'!$C$2:$U$20,14,false)</f>
        <v>1</v>
      </c>
      <c r="AH1743" s="960">
        <f t="array" ref="AH1743">HLOOKUP($J1743,'Type Chart'!$C$2:$T$20,15,false)*HLOOKUP($K1743,'Type Chart'!$C$2:$U$20,15,false)</f>
        <v>1</v>
      </c>
      <c r="AI1743" s="960">
        <f t="array" ref="AI1743">HLOOKUP($J1743,'Type Chart'!$C$2:$T$20,16,false)*HLOOKUP($K1743,'Type Chart'!$C$2:$U$20,16,false)</f>
        <v>0.5</v>
      </c>
      <c r="AJ1743" s="960">
        <f t="array" ref="AJ1743">HLOOKUP($J1743,'Type Chart'!$C$2:$T$20,17,false)*HLOOKUP($K1743,'Type Chart'!$C$2:$U$20,17,false)</f>
        <v>1</v>
      </c>
      <c r="AK1743" s="960">
        <f t="array" ref="AK1743">HLOOKUP($J1743,'Type Chart'!$C$2:$T$20,18,false)*HLOOKUP($K1743,'Type Chart'!$C$2:$U$20,18,false)</f>
        <v>1</v>
      </c>
      <c r="AL1743" s="960">
        <f t="array" ref="AL1743">HLOOKUP($J1743,'Type Chart'!$C$2:$T$20,19,false)*HLOOKUP($K1743,'Type Chart'!$C$2:$U$20,19,false)</f>
        <v>1</v>
      </c>
      <c r="AM1743" s="964" t="s">
        <v>1324</v>
      </c>
      <c r="AN1743" s="965"/>
      <c r="AO1743" s="1146" t="s">
        <v>1410</v>
      </c>
      <c r="AP1743" s="936"/>
      <c r="AQ1743" s="1245"/>
      <c r="AR1743" s="1245"/>
      <c r="AS1743" s="936"/>
    </row>
    <row r="1744" ht="15.75" customHeight="1">
      <c r="A1744" s="1099"/>
      <c r="B1744" s="948" t="s">
        <v>2397</v>
      </c>
      <c r="C1744" s="1197" t="s">
        <v>2398</v>
      </c>
      <c r="D1744" s="1197" t="s">
        <v>2398</v>
      </c>
      <c r="E1744" s="1147" t="s">
        <v>2398</v>
      </c>
      <c r="F1744" s="940"/>
      <c r="G1744" s="953"/>
      <c r="H1744" s="969"/>
      <c r="I1744" s="998" t="s">
        <v>4844</v>
      </c>
      <c r="J1744" s="1206" t="s">
        <v>82</v>
      </c>
      <c r="K1744" s="984" t="s">
        <v>216</v>
      </c>
      <c r="L1744" s="959">
        <v>80.0</v>
      </c>
      <c r="M1744" s="960">
        <v>75.0</v>
      </c>
      <c r="N1744" s="960">
        <v>150.0</v>
      </c>
      <c r="O1744" s="960">
        <v>75.0</v>
      </c>
      <c r="P1744" s="960">
        <v>150.0</v>
      </c>
      <c r="Q1744" s="960">
        <v>50.0</v>
      </c>
      <c r="R1744" s="960">
        <v>136.0</v>
      </c>
      <c r="S1744" s="960">
        <v>199.0</v>
      </c>
      <c r="T1744" s="960">
        <v>218.0</v>
      </c>
      <c r="U1744" s="960">
        <f t="array" ref="U1744">HLOOKUP($J1744,'Type Chart'!$C$2:$T$20,2,false)*HLOOKUP($K1744,'Type Chart'!$C$2:$U$20,2,false)</f>
        <v>0.5</v>
      </c>
      <c r="V1744" s="960">
        <f t="array" ref="V1744">HLOOKUP($J1744,'Type Chart'!$C$2:$T$20,3,false)*HLOOKUP($K1744,'Type Chart'!$C$2:$U$20,3,false)</f>
        <v>2</v>
      </c>
      <c r="W1744" s="960">
        <f t="array" ref="W1744">HLOOKUP($J1744,'Type Chart'!$C$2:$T$20,4,false)*HLOOKUP($K1744,'Type Chart'!$C$2:$U$20,4,false)</f>
        <v>0.5</v>
      </c>
      <c r="X1744" s="960">
        <f t="array" ref="X1744">HLOOKUP($J1744,'Type Chart'!$C$2:$T$20,5,false)*HLOOKUP($K1744,'Type Chart'!$C$2:$U$20,5,false)</f>
        <v>0</v>
      </c>
      <c r="Y1744" s="960">
        <f t="array" ref="Y1744">HLOOKUP($J1744,'Type Chart'!$C$2:$T$20,6,false)*HLOOKUP($K1744,'Type Chart'!$C$2:$U$20,6,false)</f>
        <v>2</v>
      </c>
      <c r="Z1744" s="960">
        <f t="array" ref="Z1744">HLOOKUP($J1744,'Type Chart'!$C$2:$T$20,7,false)*HLOOKUP($K1744,'Type Chart'!$C$2:$U$20,7,false)</f>
        <v>0.5</v>
      </c>
      <c r="AA1744" s="960">
        <f t="array" ref="AA1744">HLOOKUP($J1744,'Type Chart'!$C$2:$T$20,8,false)*HLOOKUP($K1744,'Type Chart'!$C$2:$U$20,8,false)</f>
        <v>0.5</v>
      </c>
      <c r="AB1744" s="960">
        <f t="array" ref="AB1744">HLOOKUP($J1744,'Type Chart'!$C$2:$T$20,9,false)*HLOOKUP($K1744,'Type Chart'!$C$2:$U$20,9,false)</f>
        <v>1</v>
      </c>
      <c r="AC1744" s="960">
        <f t="array" ref="AC1744">HLOOKUP($J1744,'Type Chart'!$C$2:$T$20,10,false)*HLOOKUP($K1744,'Type Chart'!$C$2:$U$20,10,false)</f>
        <v>0.5</v>
      </c>
      <c r="AD1744" s="960">
        <f t="array" ref="AD1744">HLOOKUP($J1744,'Type Chart'!$C$2:$T$20,11,false)*HLOOKUP($K1744,'Type Chart'!$C$2:$U$20,11,false)</f>
        <v>2</v>
      </c>
      <c r="AE1744" s="960">
        <f t="array" ref="AE1744">HLOOKUP($J1744,'Type Chart'!$C$2:$T$20,12,false)*HLOOKUP($K1744,'Type Chart'!$C$2:$U$20,12,false)</f>
        <v>1</v>
      </c>
      <c r="AF1744" s="960">
        <f t="array" ref="AF1744">HLOOKUP($J1744,'Type Chart'!$C$2:$T$20,13,false)*HLOOKUP($K1744,'Type Chart'!$C$2:$U$20,13,false)</f>
        <v>0.5</v>
      </c>
      <c r="AG1744" s="960">
        <f t="array" ref="AG1744">HLOOKUP($J1744,'Type Chart'!$C$2:$T$20,14,false)*HLOOKUP($K1744,'Type Chart'!$C$2:$U$20,14,false)</f>
        <v>1</v>
      </c>
      <c r="AH1744" s="960">
        <f t="array" ref="AH1744">HLOOKUP($J1744,'Type Chart'!$C$2:$T$20,15,false)*HLOOKUP($K1744,'Type Chart'!$C$2:$U$20,15,false)</f>
        <v>0.5</v>
      </c>
      <c r="AI1744" s="960">
        <f t="array" ref="AI1744">HLOOKUP($J1744,'Type Chart'!$C$2:$T$20,16,false)*HLOOKUP($K1744,'Type Chart'!$C$2:$U$20,16,false)</f>
        <v>0.5</v>
      </c>
      <c r="AJ1744" s="960">
        <f t="array" ref="AJ1744">HLOOKUP($J1744,'Type Chart'!$C$2:$T$20,17,false)*HLOOKUP($K1744,'Type Chart'!$C$2:$U$20,17,false)</f>
        <v>0.5</v>
      </c>
      <c r="AK1744" s="960">
        <f t="array" ref="AK1744">HLOOKUP($J1744,'Type Chart'!$C$2:$T$20,18,false)*HLOOKUP($K1744,'Type Chart'!$C$2:$U$20,18,false)</f>
        <v>1</v>
      </c>
      <c r="AL1744" s="960">
        <f t="array" ref="AL1744">HLOOKUP($J1744,'Type Chart'!$C$2:$T$20,19,false)*HLOOKUP($K1744,'Type Chart'!$C$2:$U$20,19,false)</f>
        <v>0.5</v>
      </c>
      <c r="AM1744" s="964" t="s">
        <v>1324</v>
      </c>
      <c r="AN1744" s="965"/>
      <c r="AO1744" s="966" t="s">
        <v>1854</v>
      </c>
      <c r="AP1744" s="936"/>
      <c r="AQ1744" s="1245"/>
      <c r="AR1744" s="1245"/>
      <c r="AS1744" s="936"/>
    </row>
    <row r="1745" ht="15.75" customHeight="1">
      <c r="A1745" s="1099"/>
      <c r="B1745" s="948" t="s">
        <v>2399</v>
      </c>
      <c r="C1745" s="1197" t="s">
        <v>169</v>
      </c>
      <c r="D1745" s="1197" t="s">
        <v>169</v>
      </c>
      <c r="E1745" s="1147" t="s">
        <v>169</v>
      </c>
      <c r="F1745" s="940"/>
      <c r="G1745" s="953"/>
      <c r="H1745" s="969"/>
      <c r="I1745" s="998" t="s">
        <v>4845</v>
      </c>
      <c r="J1745" s="1231" t="s">
        <v>346</v>
      </c>
      <c r="K1745" s="1203" t="s">
        <v>344</v>
      </c>
      <c r="L1745" s="1200">
        <v>80.0</v>
      </c>
      <c r="M1745" s="1201">
        <v>80.0</v>
      </c>
      <c r="N1745" s="1201">
        <v>90.0</v>
      </c>
      <c r="O1745" s="1201">
        <v>110.0</v>
      </c>
      <c r="P1745" s="1201">
        <v>130.0</v>
      </c>
      <c r="Q1745" s="1201">
        <v>110.0</v>
      </c>
      <c r="R1745" s="960">
        <v>256.0</v>
      </c>
      <c r="S1745" s="960">
        <v>319.0</v>
      </c>
      <c r="T1745" s="960">
        <v>350.0</v>
      </c>
      <c r="U1745" s="960">
        <f t="array" ref="U1745">HLOOKUP($J1745,'Type Chart'!$C$2:$T$20,2,false)*HLOOKUP($K1745,'Type Chart'!$C$2:$U$20,2,false)</f>
        <v>1</v>
      </c>
      <c r="V1745" s="960">
        <f t="array" ref="V1745">HLOOKUP($J1745,'Type Chart'!$C$2:$T$20,3,false)*HLOOKUP($K1745,'Type Chart'!$C$2:$U$20,3,false)</f>
        <v>0.5</v>
      </c>
      <c r="W1745" s="960">
        <f t="array" ref="W1745">HLOOKUP($J1745,'Type Chart'!$C$2:$T$20,4,false)*HLOOKUP($K1745,'Type Chart'!$C$2:$U$20,4,false)</f>
        <v>1</v>
      </c>
      <c r="X1745" s="960">
        <f t="array" ref="X1745">HLOOKUP($J1745,'Type Chart'!$C$2:$T$20,5,false)*HLOOKUP($K1745,'Type Chart'!$C$2:$U$20,5,false)</f>
        <v>1</v>
      </c>
      <c r="Y1745" s="960">
        <f t="array" ref="Y1745">HLOOKUP($J1745,'Type Chart'!$C$2:$T$20,6,false)*HLOOKUP($K1745,'Type Chart'!$C$2:$U$20,6,false)</f>
        <v>1</v>
      </c>
      <c r="Z1745" s="960">
        <f t="array" ref="Z1745">HLOOKUP($J1745,'Type Chart'!$C$2:$T$20,7,false)*HLOOKUP($K1745,'Type Chart'!$C$2:$U$20,7,false)</f>
        <v>1</v>
      </c>
      <c r="AA1745" s="960">
        <f t="array" ref="AA1745">HLOOKUP($J1745,'Type Chart'!$C$2:$T$20,8,false)*HLOOKUP($K1745,'Type Chart'!$C$2:$U$20,8,false)</f>
        <v>2</v>
      </c>
      <c r="AB1745" s="960">
        <f t="array" ref="AB1745">HLOOKUP($J1745,'Type Chart'!$C$2:$T$20,9,false)*HLOOKUP($K1745,'Type Chart'!$C$2:$U$20,9,false)</f>
        <v>2</v>
      </c>
      <c r="AC1745" s="960">
        <f t="array" ref="AC1745">HLOOKUP($J1745,'Type Chart'!$C$2:$T$20,10,false)*HLOOKUP($K1745,'Type Chart'!$C$2:$U$20,10,false)</f>
        <v>1</v>
      </c>
      <c r="AD1745" s="960">
        <f t="array" ref="AD1745">HLOOKUP($J1745,'Type Chart'!$C$2:$T$20,11,false)*HLOOKUP($K1745,'Type Chart'!$C$2:$U$20,11,false)</f>
        <v>0.5</v>
      </c>
      <c r="AE1745" s="960">
        <f t="array" ref="AE1745">HLOOKUP($J1745,'Type Chart'!$C$2:$T$20,12,false)*HLOOKUP($K1745,'Type Chart'!$C$2:$U$20,12,false)</f>
        <v>0.5</v>
      </c>
      <c r="AF1745" s="960">
        <f t="array" ref="AF1745">HLOOKUP($J1745,'Type Chart'!$C$2:$T$20,13,false)*HLOOKUP($K1745,'Type Chart'!$C$2:$U$20,13,false)</f>
        <v>0.5</v>
      </c>
      <c r="AG1745" s="960">
        <f t="array" ref="AG1745">HLOOKUP($J1745,'Type Chart'!$C$2:$T$20,14,false)*HLOOKUP($K1745,'Type Chart'!$C$2:$U$20,14,false)</f>
        <v>0.5</v>
      </c>
      <c r="AH1745" s="960">
        <f t="array" ref="AH1745">HLOOKUP($J1745,'Type Chart'!$C$2:$T$20,15,false)*HLOOKUP($K1745,'Type Chart'!$C$2:$U$20,15,false)</f>
        <v>0.5</v>
      </c>
      <c r="AI1745" s="960">
        <f t="array" ref="AI1745">HLOOKUP($J1745,'Type Chart'!$C$2:$T$20,16,false)*HLOOKUP($K1745,'Type Chart'!$C$2:$U$20,16,false)</f>
        <v>2</v>
      </c>
      <c r="AJ1745" s="960">
        <f t="array" ref="AJ1745">HLOOKUP($J1745,'Type Chart'!$C$2:$T$20,17,false)*HLOOKUP($K1745,'Type Chart'!$C$2:$U$20,17,false)</f>
        <v>2</v>
      </c>
      <c r="AK1745" s="960">
        <f t="array" ref="AK1745">HLOOKUP($J1745,'Type Chart'!$C$2:$T$20,18,false)*HLOOKUP($K1745,'Type Chart'!$C$2:$U$20,18,false)</f>
        <v>2</v>
      </c>
      <c r="AL1745" s="960">
        <f t="array" ref="AL1745">HLOOKUP($J1745,'Type Chart'!$C$2:$T$20,19,false)*HLOOKUP($K1745,'Type Chart'!$C$2:$U$20,19,false)</f>
        <v>2</v>
      </c>
      <c r="AM1745" s="964" t="s">
        <v>1437</v>
      </c>
      <c r="AN1745" s="965"/>
      <c r="AO1745" s="966"/>
      <c r="AP1745" s="936"/>
      <c r="AQ1745" s="1245"/>
      <c r="AR1745" s="1245"/>
      <c r="AS1745" s="936"/>
    </row>
    <row r="1746" ht="15.75" customHeight="1">
      <c r="A1746" s="1099"/>
      <c r="B1746" s="948" t="s">
        <v>2400</v>
      </c>
      <c r="C1746" s="1197" t="s">
        <v>2401</v>
      </c>
      <c r="D1746" s="1197" t="s">
        <v>2401</v>
      </c>
      <c r="E1746" s="1147" t="s">
        <v>2401</v>
      </c>
      <c r="F1746" s="940"/>
      <c r="G1746" s="953"/>
      <c r="H1746" s="969"/>
      <c r="I1746" s="998" t="s">
        <v>4846</v>
      </c>
      <c r="J1746" s="1231" t="s">
        <v>346</v>
      </c>
      <c r="K1746" s="1203" t="s">
        <v>344</v>
      </c>
      <c r="L1746" s="1200">
        <v>80.0</v>
      </c>
      <c r="M1746" s="1201">
        <v>100.0</v>
      </c>
      <c r="N1746" s="1201">
        <v>120.0</v>
      </c>
      <c r="O1746" s="1201">
        <v>140.0</v>
      </c>
      <c r="P1746" s="1201">
        <v>150.0</v>
      </c>
      <c r="Q1746" s="1201">
        <v>110.0</v>
      </c>
      <c r="R1746" s="960">
        <v>256.0</v>
      </c>
      <c r="S1746" s="960">
        <v>319.0</v>
      </c>
      <c r="T1746" s="960">
        <v>350.0</v>
      </c>
      <c r="U1746" s="960">
        <f t="array" ref="U1746">HLOOKUP($J1746,'Type Chart'!$C$2:$T$20,2,false)*HLOOKUP($K1746,'Type Chart'!$C$2:$U$20,2,false)</f>
        <v>1</v>
      </c>
      <c r="V1746" s="960">
        <f t="array" ref="V1746">HLOOKUP($J1746,'Type Chart'!$C$2:$T$20,3,false)*HLOOKUP($K1746,'Type Chart'!$C$2:$U$20,3,false)</f>
        <v>0.5</v>
      </c>
      <c r="W1746" s="960">
        <f t="array" ref="W1746">HLOOKUP($J1746,'Type Chart'!$C$2:$T$20,4,false)*HLOOKUP($K1746,'Type Chart'!$C$2:$U$20,4,false)</f>
        <v>1</v>
      </c>
      <c r="X1746" s="960">
        <f t="array" ref="X1746">HLOOKUP($J1746,'Type Chart'!$C$2:$T$20,5,false)*HLOOKUP($K1746,'Type Chart'!$C$2:$U$20,5,false)</f>
        <v>1</v>
      </c>
      <c r="Y1746" s="960">
        <f t="array" ref="Y1746">HLOOKUP($J1746,'Type Chart'!$C$2:$T$20,6,false)*HLOOKUP($K1746,'Type Chart'!$C$2:$U$20,6,false)</f>
        <v>1</v>
      </c>
      <c r="Z1746" s="960">
        <f t="array" ref="Z1746">HLOOKUP($J1746,'Type Chart'!$C$2:$T$20,7,false)*HLOOKUP($K1746,'Type Chart'!$C$2:$U$20,7,false)</f>
        <v>1</v>
      </c>
      <c r="AA1746" s="960">
        <f t="array" ref="AA1746">HLOOKUP($J1746,'Type Chart'!$C$2:$T$20,8,false)*HLOOKUP($K1746,'Type Chart'!$C$2:$U$20,8,false)</f>
        <v>2</v>
      </c>
      <c r="AB1746" s="960">
        <f t="array" ref="AB1746">HLOOKUP($J1746,'Type Chart'!$C$2:$T$20,9,false)*HLOOKUP($K1746,'Type Chart'!$C$2:$U$20,9,false)</f>
        <v>2</v>
      </c>
      <c r="AC1746" s="960">
        <f t="array" ref="AC1746">HLOOKUP($J1746,'Type Chart'!$C$2:$T$20,10,false)*HLOOKUP($K1746,'Type Chart'!$C$2:$U$20,10,false)</f>
        <v>1</v>
      </c>
      <c r="AD1746" s="960">
        <f t="array" ref="AD1746">HLOOKUP($J1746,'Type Chart'!$C$2:$T$20,11,false)*HLOOKUP($K1746,'Type Chart'!$C$2:$U$20,11,false)</f>
        <v>0.5</v>
      </c>
      <c r="AE1746" s="960">
        <f t="array" ref="AE1746">HLOOKUP($J1746,'Type Chart'!$C$2:$T$20,12,false)*HLOOKUP($K1746,'Type Chart'!$C$2:$U$20,12,false)</f>
        <v>0.5</v>
      </c>
      <c r="AF1746" s="960">
        <f t="array" ref="AF1746">HLOOKUP($J1746,'Type Chart'!$C$2:$T$20,13,false)*HLOOKUP($K1746,'Type Chart'!$C$2:$U$20,13,false)</f>
        <v>0.5</v>
      </c>
      <c r="AG1746" s="960">
        <f t="array" ref="AG1746">HLOOKUP($J1746,'Type Chart'!$C$2:$T$20,14,false)*HLOOKUP($K1746,'Type Chart'!$C$2:$U$20,14,false)</f>
        <v>0.5</v>
      </c>
      <c r="AH1746" s="960">
        <f t="array" ref="AH1746">HLOOKUP($J1746,'Type Chart'!$C$2:$T$20,15,false)*HLOOKUP($K1746,'Type Chart'!$C$2:$U$20,15,false)</f>
        <v>0.5</v>
      </c>
      <c r="AI1746" s="960">
        <f t="array" ref="AI1746">HLOOKUP($J1746,'Type Chart'!$C$2:$T$20,16,false)*HLOOKUP($K1746,'Type Chart'!$C$2:$U$20,16,false)</f>
        <v>2</v>
      </c>
      <c r="AJ1746" s="960">
        <f t="array" ref="AJ1746">HLOOKUP($J1746,'Type Chart'!$C$2:$T$20,17,false)*HLOOKUP($K1746,'Type Chart'!$C$2:$U$20,17,false)</f>
        <v>2</v>
      </c>
      <c r="AK1746" s="960">
        <f t="array" ref="AK1746">HLOOKUP($J1746,'Type Chart'!$C$2:$T$20,18,false)*HLOOKUP($K1746,'Type Chart'!$C$2:$U$20,18,false)</f>
        <v>2</v>
      </c>
      <c r="AL1746" s="960">
        <f t="array" ref="AL1746">HLOOKUP($J1746,'Type Chart'!$C$2:$T$20,19,false)*HLOOKUP($K1746,'Type Chart'!$C$2:$U$20,19,false)</f>
        <v>2</v>
      </c>
      <c r="AM1746" s="964" t="s">
        <v>1437</v>
      </c>
      <c r="AN1746" s="1202"/>
      <c r="AO1746" s="966"/>
      <c r="AP1746" s="936"/>
      <c r="AQ1746" s="1245"/>
      <c r="AR1746" s="1245"/>
      <c r="AS1746" s="936"/>
    </row>
    <row r="1747" ht="15.75" customHeight="1">
      <c r="A1747" s="1099"/>
      <c r="B1747" s="948" t="s">
        <v>2403</v>
      </c>
      <c r="C1747" s="1197" t="s">
        <v>2404</v>
      </c>
      <c r="D1747" s="1197" t="s">
        <v>2404</v>
      </c>
      <c r="E1747" s="1147" t="s">
        <v>2404</v>
      </c>
      <c r="F1747" s="940"/>
      <c r="G1747" s="953"/>
      <c r="H1747" s="969"/>
      <c r="I1747" s="998" t="s">
        <v>4847</v>
      </c>
      <c r="J1747" s="1231" t="s">
        <v>346</v>
      </c>
      <c r="K1747" s="1215" t="s">
        <v>344</v>
      </c>
      <c r="L1747" s="1200">
        <v>80.0</v>
      </c>
      <c r="M1747" s="1201">
        <v>90.0</v>
      </c>
      <c r="N1747" s="1201">
        <v>80.0</v>
      </c>
      <c r="O1747" s="1201">
        <v>130.0</v>
      </c>
      <c r="P1747" s="1201">
        <v>110.0</v>
      </c>
      <c r="Q1747" s="1201">
        <v>110.0</v>
      </c>
      <c r="R1747" s="960">
        <v>256.0</v>
      </c>
      <c r="S1747" s="960">
        <v>319.0</v>
      </c>
      <c r="T1747" s="960">
        <v>350.0</v>
      </c>
      <c r="U1747" s="960">
        <f t="array" ref="U1747">HLOOKUP($J1747,'Type Chart'!$C$2:$T$20,2,false)*HLOOKUP($K1747,'Type Chart'!$C$2:$U$20,2,false)</f>
        <v>1</v>
      </c>
      <c r="V1747" s="960">
        <f t="array" ref="V1747">HLOOKUP($J1747,'Type Chart'!$C$2:$T$20,3,false)*HLOOKUP($K1747,'Type Chart'!$C$2:$U$20,3,false)</f>
        <v>0.5</v>
      </c>
      <c r="W1747" s="960">
        <f t="array" ref="W1747">HLOOKUP($J1747,'Type Chart'!$C$2:$T$20,4,false)*HLOOKUP($K1747,'Type Chart'!$C$2:$U$20,4,false)</f>
        <v>1</v>
      </c>
      <c r="X1747" s="960">
        <f t="array" ref="X1747">HLOOKUP($J1747,'Type Chart'!$C$2:$T$20,5,false)*HLOOKUP($K1747,'Type Chart'!$C$2:$U$20,5,false)</f>
        <v>1</v>
      </c>
      <c r="Y1747" s="960">
        <f t="array" ref="Y1747">HLOOKUP($J1747,'Type Chart'!$C$2:$T$20,6,false)*HLOOKUP($K1747,'Type Chart'!$C$2:$U$20,6,false)</f>
        <v>1</v>
      </c>
      <c r="Z1747" s="960">
        <f t="array" ref="Z1747">HLOOKUP($J1747,'Type Chart'!$C$2:$T$20,7,false)*HLOOKUP($K1747,'Type Chart'!$C$2:$U$20,7,false)</f>
        <v>1</v>
      </c>
      <c r="AA1747" s="960">
        <f t="array" ref="AA1747">HLOOKUP($J1747,'Type Chart'!$C$2:$T$20,8,false)*HLOOKUP($K1747,'Type Chart'!$C$2:$U$20,8,false)</f>
        <v>2</v>
      </c>
      <c r="AB1747" s="960">
        <f t="array" ref="AB1747">HLOOKUP($J1747,'Type Chart'!$C$2:$T$20,9,false)*HLOOKUP($K1747,'Type Chart'!$C$2:$U$20,9,false)</f>
        <v>2</v>
      </c>
      <c r="AC1747" s="960">
        <f t="array" ref="AC1747">HLOOKUP($J1747,'Type Chart'!$C$2:$T$20,10,false)*HLOOKUP($K1747,'Type Chart'!$C$2:$U$20,10,false)</f>
        <v>1</v>
      </c>
      <c r="AD1747" s="960">
        <f t="array" ref="AD1747">HLOOKUP($J1747,'Type Chart'!$C$2:$T$20,11,false)*HLOOKUP($K1747,'Type Chart'!$C$2:$U$20,11,false)</f>
        <v>0.5</v>
      </c>
      <c r="AE1747" s="960">
        <f t="array" ref="AE1747">HLOOKUP($J1747,'Type Chart'!$C$2:$T$20,12,false)*HLOOKUP($K1747,'Type Chart'!$C$2:$U$20,12,false)</f>
        <v>0.5</v>
      </c>
      <c r="AF1747" s="960">
        <f t="array" ref="AF1747">HLOOKUP($J1747,'Type Chart'!$C$2:$T$20,13,false)*HLOOKUP($K1747,'Type Chart'!$C$2:$U$20,13,false)</f>
        <v>0.5</v>
      </c>
      <c r="AG1747" s="960">
        <f t="array" ref="AG1747">HLOOKUP($J1747,'Type Chart'!$C$2:$T$20,14,false)*HLOOKUP($K1747,'Type Chart'!$C$2:$U$20,14,false)</f>
        <v>0.5</v>
      </c>
      <c r="AH1747" s="960">
        <f t="array" ref="AH1747">HLOOKUP($J1747,'Type Chart'!$C$2:$T$20,15,false)*HLOOKUP($K1747,'Type Chart'!$C$2:$U$20,15,false)</f>
        <v>0.5</v>
      </c>
      <c r="AI1747" s="960">
        <f t="array" ref="AI1747">HLOOKUP($J1747,'Type Chart'!$C$2:$T$20,16,false)*HLOOKUP($K1747,'Type Chart'!$C$2:$U$20,16,false)</f>
        <v>2</v>
      </c>
      <c r="AJ1747" s="960">
        <f t="array" ref="AJ1747">HLOOKUP($J1747,'Type Chart'!$C$2:$T$20,17,false)*HLOOKUP($K1747,'Type Chart'!$C$2:$U$20,17,false)</f>
        <v>2</v>
      </c>
      <c r="AK1747" s="960">
        <f t="array" ref="AK1747">HLOOKUP($J1747,'Type Chart'!$C$2:$T$20,18,false)*HLOOKUP($K1747,'Type Chart'!$C$2:$U$20,18,false)</f>
        <v>2</v>
      </c>
      <c r="AL1747" s="960">
        <f t="array" ref="AL1747">HLOOKUP($J1747,'Type Chart'!$C$2:$T$20,19,false)*HLOOKUP($K1747,'Type Chart'!$C$2:$U$20,19,false)</f>
        <v>2</v>
      </c>
      <c r="AM1747" s="1145" t="s">
        <v>1437</v>
      </c>
      <c r="AN1747" s="1202"/>
      <c r="AO1747" s="1146"/>
      <c r="AP1747" s="936"/>
      <c r="AQ1747" s="1245"/>
      <c r="AR1747" s="1245"/>
      <c r="AS1747" s="936"/>
    </row>
    <row r="1748" ht="15.75" customHeight="1">
      <c r="A1748" s="1099"/>
      <c r="B1748" s="948" t="s">
        <v>2405</v>
      </c>
      <c r="C1748" s="1197" t="s">
        <v>2406</v>
      </c>
      <c r="D1748" s="1197" t="s">
        <v>2406</v>
      </c>
      <c r="E1748" s="1147" t="s">
        <v>2406</v>
      </c>
      <c r="F1748" s="940"/>
      <c r="G1748" s="953"/>
      <c r="H1748" s="969"/>
      <c r="I1748" s="998" t="s">
        <v>4848</v>
      </c>
      <c r="J1748" s="1006" t="s">
        <v>346</v>
      </c>
      <c r="K1748" s="1203" t="s">
        <v>344</v>
      </c>
      <c r="L1748" s="959">
        <v>80.0</v>
      </c>
      <c r="M1748" s="960">
        <v>130.0</v>
      </c>
      <c r="N1748" s="960">
        <v>100.0</v>
      </c>
      <c r="O1748" s="960">
        <v>160.0</v>
      </c>
      <c r="P1748" s="960">
        <v>120.0</v>
      </c>
      <c r="Q1748" s="960">
        <v>110.0</v>
      </c>
      <c r="R1748" s="960">
        <v>256.0</v>
      </c>
      <c r="S1748" s="960">
        <v>319.0</v>
      </c>
      <c r="T1748" s="960">
        <v>350.0</v>
      </c>
      <c r="U1748" s="960">
        <f t="array" ref="U1748">HLOOKUP($J1748,'Type Chart'!$C$2:$T$20,2,false)*HLOOKUP($K1748,'Type Chart'!$C$2:$U$20,2,false)</f>
        <v>1</v>
      </c>
      <c r="V1748" s="960">
        <f t="array" ref="V1748">HLOOKUP($J1748,'Type Chart'!$C$2:$T$20,3,false)*HLOOKUP($K1748,'Type Chart'!$C$2:$U$20,3,false)</f>
        <v>0.5</v>
      </c>
      <c r="W1748" s="960">
        <f t="array" ref="W1748">HLOOKUP($J1748,'Type Chart'!$C$2:$T$20,4,false)*HLOOKUP($K1748,'Type Chart'!$C$2:$U$20,4,false)</f>
        <v>1</v>
      </c>
      <c r="X1748" s="960">
        <f t="array" ref="X1748">HLOOKUP($J1748,'Type Chart'!$C$2:$T$20,5,false)*HLOOKUP($K1748,'Type Chart'!$C$2:$U$20,5,false)</f>
        <v>1</v>
      </c>
      <c r="Y1748" s="960">
        <f t="array" ref="Y1748">HLOOKUP($J1748,'Type Chart'!$C$2:$T$20,6,false)*HLOOKUP($K1748,'Type Chart'!$C$2:$U$20,6,false)</f>
        <v>1</v>
      </c>
      <c r="Z1748" s="960">
        <f t="array" ref="Z1748">HLOOKUP($J1748,'Type Chart'!$C$2:$T$20,7,false)*HLOOKUP($K1748,'Type Chart'!$C$2:$U$20,7,false)</f>
        <v>1</v>
      </c>
      <c r="AA1748" s="960">
        <f t="array" ref="AA1748">HLOOKUP($J1748,'Type Chart'!$C$2:$T$20,8,false)*HLOOKUP($K1748,'Type Chart'!$C$2:$U$20,8,false)</f>
        <v>2</v>
      </c>
      <c r="AB1748" s="960">
        <f t="array" ref="AB1748">HLOOKUP($J1748,'Type Chart'!$C$2:$T$20,9,false)*HLOOKUP($K1748,'Type Chart'!$C$2:$U$20,9,false)</f>
        <v>2</v>
      </c>
      <c r="AC1748" s="960">
        <f t="array" ref="AC1748">HLOOKUP($J1748,'Type Chart'!$C$2:$T$20,10,false)*HLOOKUP($K1748,'Type Chart'!$C$2:$U$20,10,false)</f>
        <v>1</v>
      </c>
      <c r="AD1748" s="960">
        <f t="array" ref="AD1748">HLOOKUP($J1748,'Type Chart'!$C$2:$T$20,11,false)*HLOOKUP($K1748,'Type Chart'!$C$2:$U$20,11,false)</f>
        <v>0.5</v>
      </c>
      <c r="AE1748" s="960">
        <f t="array" ref="AE1748">HLOOKUP($J1748,'Type Chart'!$C$2:$T$20,12,false)*HLOOKUP($K1748,'Type Chart'!$C$2:$U$20,12,false)</f>
        <v>0.5</v>
      </c>
      <c r="AF1748" s="960">
        <f t="array" ref="AF1748">HLOOKUP($J1748,'Type Chart'!$C$2:$T$20,13,false)*HLOOKUP($K1748,'Type Chart'!$C$2:$U$20,13,false)</f>
        <v>0.5</v>
      </c>
      <c r="AG1748" s="960">
        <f t="array" ref="AG1748">HLOOKUP($J1748,'Type Chart'!$C$2:$T$20,14,false)*HLOOKUP($K1748,'Type Chart'!$C$2:$U$20,14,false)</f>
        <v>0.5</v>
      </c>
      <c r="AH1748" s="960">
        <f t="array" ref="AH1748">HLOOKUP($J1748,'Type Chart'!$C$2:$T$20,15,false)*HLOOKUP($K1748,'Type Chart'!$C$2:$U$20,15,false)</f>
        <v>0.5</v>
      </c>
      <c r="AI1748" s="960">
        <f t="array" ref="AI1748">HLOOKUP($J1748,'Type Chart'!$C$2:$T$20,16,false)*HLOOKUP($K1748,'Type Chart'!$C$2:$U$20,16,false)</f>
        <v>2</v>
      </c>
      <c r="AJ1748" s="960">
        <f t="array" ref="AJ1748">HLOOKUP($J1748,'Type Chart'!$C$2:$T$20,17,false)*HLOOKUP($K1748,'Type Chart'!$C$2:$U$20,17,false)</f>
        <v>2</v>
      </c>
      <c r="AK1748" s="960">
        <f t="array" ref="AK1748">HLOOKUP($J1748,'Type Chart'!$C$2:$T$20,18,false)*HLOOKUP($K1748,'Type Chart'!$C$2:$U$20,18,false)</f>
        <v>2</v>
      </c>
      <c r="AL1748" s="960">
        <f t="array" ref="AL1748">HLOOKUP($J1748,'Type Chart'!$C$2:$T$20,19,false)*HLOOKUP($K1748,'Type Chart'!$C$2:$U$20,19,false)</f>
        <v>2</v>
      </c>
      <c r="AM1748" s="964" t="s">
        <v>1437</v>
      </c>
      <c r="AN1748" s="965"/>
      <c r="AO1748" s="966"/>
      <c r="AP1748" s="936"/>
      <c r="AQ1748" s="1245"/>
      <c r="AR1748" s="1245"/>
      <c r="AS1748" s="936"/>
    </row>
    <row r="1749" ht="15.75" customHeight="1">
      <c r="A1749" s="1099"/>
      <c r="B1749" s="948" t="s">
        <v>2408</v>
      </c>
      <c r="C1749" s="1197" t="s">
        <v>2409</v>
      </c>
      <c r="D1749" s="1197" t="s">
        <v>2409</v>
      </c>
      <c r="E1749" s="1147" t="s">
        <v>2409</v>
      </c>
      <c r="F1749" s="940"/>
      <c r="G1749" s="953"/>
      <c r="H1749" s="969"/>
      <c r="I1749" s="998" t="s">
        <v>4849</v>
      </c>
      <c r="J1749" s="1056" t="s">
        <v>81</v>
      </c>
      <c r="K1749" s="984" t="s">
        <v>216</v>
      </c>
      <c r="L1749" s="959">
        <v>100.0</v>
      </c>
      <c r="M1749" s="960">
        <v>100.0</v>
      </c>
      <c r="N1749" s="960">
        <v>90.0</v>
      </c>
      <c r="O1749" s="960">
        <v>150.0</v>
      </c>
      <c r="P1749" s="960">
        <v>140.0</v>
      </c>
      <c r="Q1749" s="960">
        <v>90.0</v>
      </c>
      <c r="R1749" s="960">
        <v>216.0</v>
      </c>
      <c r="S1749" s="960">
        <v>279.0</v>
      </c>
      <c r="T1749" s="960">
        <v>306.0</v>
      </c>
      <c r="U1749" s="960">
        <f t="array" ref="U1749">HLOOKUP($J1749,'Type Chart'!$C$2:$T$20,2,false)*HLOOKUP($K1749,'Type Chart'!$C$2:$U$20,2,false)</f>
        <v>1</v>
      </c>
      <c r="V1749" s="960">
        <f t="array" ref="V1749">HLOOKUP($J1749,'Type Chart'!$C$2:$T$20,3,false)*HLOOKUP($K1749,'Type Chart'!$C$2:$U$20,3,false)</f>
        <v>1</v>
      </c>
      <c r="W1749" s="960">
        <f t="array" ref="W1749">HLOOKUP($J1749,'Type Chart'!$C$2:$T$20,4,false)*HLOOKUP($K1749,'Type Chart'!$C$2:$U$20,4,false)</f>
        <v>1</v>
      </c>
      <c r="X1749" s="960">
        <f t="array" ref="X1749">HLOOKUP($J1749,'Type Chart'!$C$2:$T$20,5,false)*HLOOKUP($K1749,'Type Chart'!$C$2:$U$20,5,false)</f>
        <v>1</v>
      </c>
      <c r="Y1749" s="960">
        <f t="array" ref="Y1749">HLOOKUP($J1749,'Type Chart'!$C$2:$T$20,6,false)*HLOOKUP($K1749,'Type Chart'!$C$2:$U$20,6,false)</f>
        <v>1</v>
      </c>
      <c r="Z1749" s="960">
        <f t="array" ref="Z1749">HLOOKUP($J1749,'Type Chart'!$C$2:$T$20,7,false)*HLOOKUP($K1749,'Type Chart'!$C$2:$U$20,7,false)</f>
        <v>1</v>
      </c>
      <c r="AA1749" s="960">
        <f t="array" ref="AA1749">HLOOKUP($J1749,'Type Chart'!$C$2:$T$20,8,false)*HLOOKUP($K1749,'Type Chart'!$C$2:$U$20,8,false)</f>
        <v>1</v>
      </c>
      <c r="AB1749" s="960">
        <f t="array" ref="AB1749">HLOOKUP($J1749,'Type Chart'!$C$2:$T$20,9,false)*HLOOKUP($K1749,'Type Chart'!$C$2:$U$20,9,false)</f>
        <v>1</v>
      </c>
      <c r="AC1749" s="960">
        <f t="array" ref="AC1749">HLOOKUP($J1749,'Type Chart'!$C$2:$T$20,10,false)*HLOOKUP($K1749,'Type Chart'!$C$2:$U$20,10,false)</f>
        <v>0.5</v>
      </c>
      <c r="AD1749" s="960">
        <f t="array" ref="AD1749">HLOOKUP($J1749,'Type Chart'!$C$2:$T$20,11,false)*HLOOKUP($K1749,'Type Chart'!$C$2:$U$20,11,false)</f>
        <v>0.5</v>
      </c>
      <c r="AE1749" s="960">
        <f t="array" ref="AE1749">HLOOKUP($J1749,'Type Chart'!$C$2:$T$20,12,false)*HLOOKUP($K1749,'Type Chart'!$C$2:$U$20,12,false)</f>
        <v>0.5</v>
      </c>
      <c r="AF1749" s="960">
        <f t="array" ref="AF1749">HLOOKUP($J1749,'Type Chart'!$C$2:$T$20,13,false)*HLOOKUP($K1749,'Type Chart'!$C$2:$U$20,13,false)</f>
        <v>2</v>
      </c>
      <c r="AG1749" s="960">
        <f t="array" ref="AG1749">HLOOKUP($J1749,'Type Chart'!$C$2:$T$20,14,false)*HLOOKUP($K1749,'Type Chart'!$C$2:$U$20,14,false)</f>
        <v>2</v>
      </c>
      <c r="AH1749" s="960">
        <f t="array" ref="AH1749">HLOOKUP($J1749,'Type Chart'!$C$2:$T$20,15,false)*HLOOKUP($K1749,'Type Chart'!$C$2:$U$20,15,false)</f>
        <v>1</v>
      </c>
      <c r="AI1749" s="960">
        <f t="array" ref="AI1749">HLOOKUP($J1749,'Type Chart'!$C$2:$T$20,16,false)*HLOOKUP($K1749,'Type Chart'!$C$2:$U$20,16,false)</f>
        <v>0.5</v>
      </c>
      <c r="AJ1749" s="960">
        <f t="array" ref="AJ1749">HLOOKUP($J1749,'Type Chart'!$C$2:$T$20,17,false)*HLOOKUP($K1749,'Type Chart'!$C$2:$U$20,17,false)</f>
        <v>1</v>
      </c>
      <c r="AK1749" s="960">
        <f t="array" ref="AK1749">HLOOKUP($J1749,'Type Chart'!$C$2:$T$20,18,false)*HLOOKUP($K1749,'Type Chart'!$C$2:$U$20,18,false)</f>
        <v>1</v>
      </c>
      <c r="AL1749" s="960">
        <f t="array" ref="AL1749">HLOOKUP($J1749,'Type Chart'!$C$2:$T$20,19,false)*HLOOKUP($K1749,'Type Chart'!$C$2:$U$20,19,false)</f>
        <v>1</v>
      </c>
      <c r="AM1749" s="964" t="s">
        <v>349</v>
      </c>
      <c r="AN1749" s="965"/>
      <c r="AO1749" s="966"/>
      <c r="AP1749" s="936"/>
      <c r="AQ1749" s="1245"/>
      <c r="AR1749" s="1245"/>
      <c r="AS1749" s="936"/>
    </row>
    <row r="1750" ht="15.75" customHeight="1">
      <c r="A1750" s="1099"/>
      <c r="B1750" s="948" t="s">
        <v>2410</v>
      </c>
      <c r="C1750" s="1197" t="s">
        <v>2411</v>
      </c>
      <c r="D1750" s="1197" t="s">
        <v>2411</v>
      </c>
      <c r="E1750" s="1147" t="s">
        <v>2411</v>
      </c>
      <c r="F1750" s="940"/>
      <c r="G1750" s="953"/>
      <c r="H1750" s="969"/>
      <c r="I1750" s="998" t="s">
        <v>4850</v>
      </c>
      <c r="J1750" s="1211" t="s">
        <v>81</v>
      </c>
      <c r="K1750" s="1199" t="s">
        <v>216</v>
      </c>
      <c r="L1750" s="1200">
        <v>100.0</v>
      </c>
      <c r="M1750" s="1201">
        <v>150.0</v>
      </c>
      <c r="N1750" s="1201">
        <v>90.0</v>
      </c>
      <c r="O1750" s="1201">
        <v>180.0</v>
      </c>
      <c r="P1750" s="1201">
        <v>160.0</v>
      </c>
      <c r="Q1750" s="1201">
        <v>90.0</v>
      </c>
      <c r="R1750" s="960">
        <v>216.0</v>
      </c>
      <c r="S1750" s="960">
        <v>279.0</v>
      </c>
      <c r="T1750" s="960">
        <v>306.0</v>
      </c>
      <c r="U1750" s="960">
        <f t="array" ref="U1750">HLOOKUP($J1750,'Type Chart'!$C$2:$T$20,2,false)*HLOOKUP($K1750,'Type Chart'!$C$2:$U$20,2,false)</f>
        <v>1</v>
      </c>
      <c r="V1750" s="960">
        <f t="array" ref="V1750">HLOOKUP($J1750,'Type Chart'!$C$2:$T$20,3,false)*HLOOKUP($K1750,'Type Chart'!$C$2:$U$20,3,false)</f>
        <v>1</v>
      </c>
      <c r="W1750" s="960">
        <f t="array" ref="W1750">HLOOKUP($J1750,'Type Chart'!$C$2:$T$20,4,false)*HLOOKUP($K1750,'Type Chart'!$C$2:$U$20,4,false)</f>
        <v>1</v>
      </c>
      <c r="X1750" s="960">
        <f t="array" ref="X1750">HLOOKUP($J1750,'Type Chart'!$C$2:$T$20,5,false)*HLOOKUP($K1750,'Type Chart'!$C$2:$U$20,5,false)</f>
        <v>1</v>
      </c>
      <c r="Y1750" s="960">
        <f t="array" ref="Y1750">HLOOKUP($J1750,'Type Chart'!$C$2:$T$20,6,false)*HLOOKUP($K1750,'Type Chart'!$C$2:$U$20,6,false)</f>
        <v>1</v>
      </c>
      <c r="Z1750" s="960">
        <f t="array" ref="Z1750">HLOOKUP($J1750,'Type Chart'!$C$2:$T$20,7,false)*HLOOKUP($K1750,'Type Chart'!$C$2:$U$20,7,false)</f>
        <v>1</v>
      </c>
      <c r="AA1750" s="960">
        <f t="array" ref="AA1750">HLOOKUP($J1750,'Type Chart'!$C$2:$T$20,8,false)*HLOOKUP($K1750,'Type Chart'!$C$2:$U$20,8,false)</f>
        <v>1</v>
      </c>
      <c r="AB1750" s="960">
        <f t="array" ref="AB1750">HLOOKUP($J1750,'Type Chart'!$C$2:$T$20,9,false)*HLOOKUP($K1750,'Type Chart'!$C$2:$U$20,9,false)</f>
        <v>1</v>
      </c>
      <c r="AC1750" s="960">
        <f t="array" ref="AC1750">HLOOKUP($J1750,'Type Chart'!$C$2:$T$20,10,false)*HLOOKUP($K1750,'Type Chart'!$C$2:$U$20,10,false)</f>
        <v>0.5</v>
      </c>
      <c r="AD1750" s="960">
        <f t="array" ref="AD1750">HLOOKUP($J1750,'Type Chart'!$C$2:$T$20,11,false)*HLOOKUP($K1750,'Type Chart'!$C$2:$U$20,11,false)</f>
        <v>0.5</v>
      </c>
      <c r="AE1750" s="960">
        <f t="array" ref="AE1750">HLOOKUP($J1750,'Type Chart'!$C$2:$T$20,12,false)*HLOOKUP($K1750,'Type Chart'!$C$2:$U$20,12,false)</f>
        <v>0.5</v>
      </c>
      <c r="AF1750" s="960">
        <f t="array" ref="AF1750">HLOOKUP($J1750,'Type Chart'!$C$2:$T$20,13,false)*HLOOKUP($K1750,'Type Chart'!$C$2:$U$20,13,false)</f>
        <v>2</v>
      </c>
      <c r="AG1750" s="960">
        <f t="array" ref="AG1750">HLOOKUP($J1750,'Type Chart'!$C$2:$T$20,14,false)*HLOOKUP($K1750,'Type Chart'!$C$2:$U$20,14,false)</f>
        <v>2</v>
      </c>
      <c r="AH1750" s="960">
        <f t="array" ref="AH1750">HLOOKUP($J1750,'Type Chart'!$C$2:$T$20,15,false)*HLOOKUP($K1750,'Type Chart'!$C$2:$U$20,15,false)</f>
        <v>1</v>
      </c>
      <c r="AI1750" s="960">
        <f t="array" ref="AI1750">HLOOKUP($J1750,'Type Chart'!$C$2:$T$20,16,false)*HLOOKUP($K1750,'Type Chart'!$C$2:$U$20,16,false)</f>
        <v>0.5</v>
      </c>
      <c r="AJ1750" s="960">
        <f t="array" ref="AJ1750">HLOOKUP($J1750,'Type Chart'!$C$2:$T$20,17,false)*HLOOKUP($K1750,'Type Chart'!$C$2:$U$20,17,false)</f>
        <v>1</v>
      </c>
      <c r="AK1750" s="960">
        <f t="array" ref="AK1750">HLOOKUP($J1750,'Type Chart'!$C$2:$T$20,18,false)*HLOOKUP($K1750,'Type Chart'!$C$2:$U$20,18,false)</f>
        <v>1</v>
      </c>
      <c r="AL1750" s="960">
        <f t="array" ref="AL1750">HLOOKUP($J1750,'Type Chart'!$C$2:$T$20,19,false)*HLOOKUP($K1750,'Type Chart'!$C$2:$U$20,19,false)</f>
        <v>1</v>
      </c>
      <c r="AM1750" s="1145" t="s">
        <v>2412</v>
      </c>
      <c r="AN1750" s="965"/>
      <c r="AO1750" s="1146"/>
      <c r="AP1750" s="936"/>
      <c r="AQ1750" s="1245"/>
      <c r="AR1750" s="1245"/>
      <c r="AS1750" s="936"/>
    </row>
    <row r="1751" ht="15.75" customHeight="1">
      <c r="A1751" s="1099"/>
      <c r="B1751" s="948" t="s">
        <v>2413</v>
      </c>
      <c r="C1751" s="1197" t="s">
        <v>2414</v>
      </c>
      <c r="D1751" s="1197" t="s">
        <v>2414</v>
      </c>
      <c r="E1751" s="1147" t="s">
        <v>2414</v>
      </c>
      <c r="F1751" s="940"/>
      <c r="G1751" s="953"/>
      <c r="H1751" s="969"/>
      <c r="I1751" s="998" t="s">
        <v>4851</v>
      </c>
      <c r="J1751" s="1223" t="s">
        <v>80</v>
      </c>
      <c r="K1751" s="984" t="s">
        <v>216</v>
      </c>
      <c r="L1751" s="1200">
        <v>100.0</v>
      </c>
      <c r="M1751" s="1201">
        <v>150.0</v>
      </c>
      <c r="N1751" s="1201">
        <v>140.0</v>
      </c>
      <c r="O1751" s="1201">
        <v>100.0</v>
      </c>
      <c r="P1751" s="1201">
        <v>90.0</v>
      </c>
      <c r="Q1751" s="1201">
        <v>90.0</v>
      </c>
      <c r="R1751" s="960">
        <v>216.0</v>
      </c>
      <c r="S1751" s="960">
        <v>279.0</v>
      </c>
      <c r="T1751" s="960">
        <v>306.0</v>
      </c>
      <c r="U1751" s="960">
        <f t="array" ref="U1751">HLOOKUP($J1751,'Type Chart'!$C$2:$T$20,2,false)*HLOOKUP($K1751,'Type Chart'!$C$2:$U$20,2,false)</f>
        <v>1</v>
      </c>
      <c r="V1751" s="960">
        <f t="array" ref="V1751">HLOOKUP($J1751,'Type Chart'!$C$2:$T$20,3,false)*HLOOKUP($K1751,'Type Chart'!$C$2:$U$20,3,false)</f>
        <v>1</v>
      </c>
      <c r="W1751" s="960">
        <f t="array" ref="W1751">HLOOKUP($J1751,'Type Chart'!$C$2:$T$20,4,false)*HLOOKUP($K1751,'Type Chart'!$C$2:$U$20,4,false)</f>
        <v>1</v>
      </c>
      <c r="X1751" s="960">
        <f t="array" ref="X1751">HLOOKUP($J1751,'Type Chart'!$C$2:$T$20,5,false)*HLOOKUP($K1751,'Type Chart'!$C$2:$U$20,5,false)</f>
        <v>0.5</v>
      </c>
      <c r="Y1751" s="960">
        <f t="array" ref="Y1751">HLOOKUP($J1751,'Type Chart'!$C$2:$T$20,6,false)*HLOOKUP($K1751,'Type Chart'!$C$2:$U$20,6,false)</f>
        <v>1</v>
      </c>
      <c r="Z1751" s="960">
        <f t="array" ref="Z1751">HLOOKUP($J1751,'Type Chart'!$C$2:$T$20,7,false)*HLOOKUP($K1751,'Type Chart'!$C$2:$U$20,7,false)</f>
        <v>0.5</v>
      </c>
      <c r="AA1751" s="960">
        <f t="array" ref="AA1751">HLOOKUP($J1751,'Type Chart'!$C$2:$T$20,8,false)*HLOOKUP($K1751,'Type Chart'!$C$2:$U$20,8,false)</f>
        <v>1</v>
      </c>
      <c r="AB1751" s="960">
        <f t="array" ref="AB1751">HLOOKUP($J1751,'Type Chart'!$C$2:$T$20,9,false)*HLOOKUP($K1751,'Type Chart'!$C$2:$U$20,9,false)</f>
        <v>1</v>
      </c>
      <c r="AC1751" s="960">
        <f t="array" ref="AC1751">HLOOKUP($J1751,'Type Chart'!$C$2:$T$20,10,false)*HLOOKUP($K1751,'Type Chart'!$C$2:$U$20,10,false)</f>
        <v>1</v>
      </c>
      <c r="AD1751" s="960">
        <f t="array" ref="AD1751">HLOOKUP($J1751,'Type Chart'!$C$2:$T$20,11,false)*HLOOKUP($K1751,'Type Chart'!$C$2:$U$20,11,false)</f>
        <v>1</v>
      </c>
      <c r="AE1751" s="960">
        <f t="array" ref="AE1751">HLOOKUP($J1751,'Type Chart'!$C$2:$T$20,12,false)*HLOOKUP($K1751,'Type Chart'!$C$2:$U$20,12,false)</f>
        <v>2</v>
      </c>
      <c r="AF1751" s="960">
        <f t="array" ref="AF1751">HLOOKUP($J1751,'Type Chart'!$C$2:$T$20,13,false)*HLOOKUP($K1751,'Type Chart'!$C$2:$U$20,13,false)</f>
        <v>2</v>
      </c>
      <c r="AG1751" s="960">
        <f t="array" ref="AG1751">HLOOKUP($J1751,'Type Chart'!$C$2:$T$20,14,false)*HLOOKUP($K1751,'Type Chart'!$C$2:$U$20,14,false)</f>
        <v>0</v>
      </c>
      <c r="AH1751" s="960">
        <f t="array" ref="AH1751">HLOOKUP($J1751,'Type Chart'!$C$2:$T$20,15,false)*HLOOKUP($K1751,'Type Chart'!$C$2:$U$20,15,false)</f>
        <v>1</v>
      </c>
      <c r="AI1751" s="960">
        <f t="array" ref="AI1751">HLOOKUP($J1751,'Type Chart'!$C$2:$T$20,16,false)*HLOOKUP($K1751,'Type Chart'!$C$2:$U$20,16,false)</f>
        <v>2</v>
      </c>
      <c r="AJ1751" s="960">
        <f t="array" ref="AJ1751">HLOOKUP($J1751,'Type Chart'!$C$2:$T$20,17,false)*HLOOKUP($K1751,'Type Chart'!$C$2:$U$20,17,false)</f>
        <v>1</v>
      </c>
      <c r="AK1751" s="960">
        <f t="array" ref="AK1751">HLOOKUP($J1751,'Type Chart'!$C$2:$T$20,18,false)*HLOOKUP($K1751,'Type Chart'!$C$2:$U$20,18,false)</f>
        <v>1</v>
      </c>
      <c r="AL1751" s="960">
        <f t="array" ref="AL1751">HLOOKUP($J1751,'Type Chart'!$C$2:$T$20,19,false)*HLOOKUP($K1751,'Type Chart'!$C$2:$U$20,19,false)</f>
        <v>1</v>
      </c>
      <c r="AM1751" s="964" t="s">
        <v>952</v>
      </c>
      <c r="AN1751" s="1202"/>
      <c r="AO1751" s="966"/>
      <c r="AP1751" s="936"/>
      <c r="AQ1751" s="1245"/>
      <c r="AR1751" s="1245"/>
      <c r="AS1751" s="936"/>
    </row>
    <row r="1752" ht="15.75" customHeight="1">
      <c r="A1752" s="1099"/>
      <c r="B1752" s="948" t="s">
        <v>2415</v>
      </c>
      <c r="C1752" s="1197" t="s">
        <v>2416</v>
      </c>
      <c r="D1752" s="1197" t="s">
        <v>2416</v>
      </c>
      <c r="E1752" s="1147" t="s">
        <v>2416</v>
      </c>
      <c r="F1752" s="940"/>
      <c r="G1752" s="953"/>
      <c r="H1752" s="969"/>
      <c r="I1752" s="998" t="s">
        <v>4852</v>
      </c>
      <c r="J1752" s="1204" t="s">
        <v>80</v>
      </c>
      <c r="K1752" s="982" t="s">
        <v>150</v>
      </c>
      <c r="L1752" s="959">
        <v>100.0</v>
      </c>
      <c r="M1752" s="960">
        <v>180.0</v>
      </c>
      <c r="N1752" s="960">
        <v>160.0</v>
      </c>
      <c r="O1752" s="960">
        <v>150.0</v>
      </c>
      <c r="P1752" s="960">
        <v>90.0</v>
      </c>
      <c r="Q1752" s="960">
        <v>90.0</v>
      </c>
      <c r="R1752" s="960">
        <v>216.0</v>
      </c>
      <c r="S1752" s="960">
        <v>279.0</v>
      </c>
      <c r="T1752" s="960">
        <v>306.0</v>
      </c>
      <c r="U1752" s="960">
        <f t="array" ref="U1752">HLOOKUP($J1752,'Type Chart'!$C$2:$T$20,2,false)*HLOOKUP($K1752,'Type Chart'!$C$2:$U$20,2,false)</f>
        <v>1</v>
      </c>
      <c r="V1752" s="960">
        <f t="array" ref="V1752">HLOOKUP($J1752,'Type Chart'!$C$2:$T$20,3,false)*HLOOKUP($K1752,'Type Chart'!$C$2:$U$20,3,false)</f>
        <v>1</v>
      </c>
      <c r="W1752" s="960">
        <f t="array" ref="W1752">HLOOKUP($J1752,'Type Chart'!$C$2:$T$20,4,false)*HLOOKUP($K1752,'Type Chart'!$C$2:$U$20,4,false)</f>
        <v>1</v>
      </c>
      <c r="X1752" s="960">
        <f t="array" ref="X1752">HLOOKUP($J1752,'Type Chart'!$C$2:$T$20,5,false)*HLOOKUP($K1752,'Type Chart'!$C$2:$U$20,5,false)</f>
        <v>0.5</v>
      </c>
      <c r="Y1752" s="960">
        <f t="array" ref="Y1752">HLOOKUP($J1752,'Type Chart'!$C$2:$T$20,6,false)*HLOOKUP($K1752,'Type Chart'!$C$2:$U$20,6,false)</f>
        <v>2</v>
      </c>
      <c r="Z1752" s="960">
        <f t="array" ref="Z1752">HLOOKUP($J1752,'Type Chart'!$C$2:$T$20,7,false)*HLOOKUP($K1752,'Type Chart'!$C$2:$U$20,7,false)</f>
        <v>1</v>
      </c>
      <c r="AA1752" s="960">
        <f t="array" ref="AA1752">HLOOKUP($J1752,'Type Chart'!$C$2:$T$20,8,false)*HLOOKUP($K1752,'Type Chart'!$C$2:$U$20,8,false)</f>
        <v>0.5</v>
      </c>
      <c r="AB1752" s="960">
        <f t="array" ref="AB1752">HLOOKUP($J1752,'Type Chart'!$C$2:$T$20,9,false)*HLOOKUP($K1752,'Type Chart'!$C$2:$U$20,9,false)</f>
        <v>1</v>
      </c>
      <c r="AC1752" s="960">
        <f t="array" ref="AC1752">HLOOKUP($J1752,'Type Chart'!$C$2:$T$20,10,false)*HLOOKUP($K1752,'Type Chart'!$C$2:$U$20,10,false)</f>
        <v>0.5</v>
      </c>
      <c r="AD1752" s="960">
        <f t="array" ref="AD1752">HLOOKUP($J1752,'Type Chart'!$C$2:$T$20,11,false)*HLOOKUP($K1752,'Type Chart'!$C$2:$U$20,11,false)</f>
        <v>0.5</v>
      </c>
      <c r="AE1752" s="960">
        <f t="array" ref="AE1752">HLOOKUP($J1752,'Type Chart'!$C$2:$T$20,12,false)*HLOOKUP($K1752,'Type Chart'!$C$2:$U$20,12,false)</f>
        <v>4</v>
      </c>
      <c r="AF1752" s="960">
        <f t="array" ref="AF1752">HLOOKUP($J1752,'Type Chart'!$C$2:$T$20,13,false)*HLOOKUP($K1752,'Type Chart'!$C$2:$U$20,13,false)</f>
        <v>1</v>
      </c>
      <c r="AG1752" s="960">
        <f t="array" ref="AG1752">HLOOKUP($J1752,'Type Chart'!$C$2:$T$20,14,false)*HLOOKUP($K1752,'Type Chart'!$C$2:$U$20,14,false)</f>
        <v>0</v>
      </c>
      <c r="AH1752" s="960">
        <f t="array" ref="AH1752">HLOOKUP($J1752,'Type Chart'!$C$2:$T$20,15,false)*HLOOKUP($K1752,'Type Chart'!$C$2:$U$20,15,false)</f>
        <v>1</v>
      </c>
      <c r="AI1752" s="960">
        <f t="array" ref="AI1752">HLOOKUP($J1752,'Type Chart'!$C$2:$T$20,16,false)*HLOOKUP($K1752,'Type Chart'!$C$2:$U$20,16,false)</f>
        <v>1</v>
      </c>
      <c r="AJ1752" s="960">
        <f t="array" ref="AJ1752">HLOOKUP($J1752,'Type Chart'!$C$2:$T$20,17,false)*HLOOKUP($K1752,'Type Chart'!$C$2:$U$20,17,false)</f>
        <v>1</v>
      </c>
      <c r="AK1752" s="960">
        <f t="array" ref="AK1752">HLOOKUP($J1752,'Type Chart'!$C$2:$T$20,18,false)*HLOOKUP($K1752,'Type Chart'!$C$2:$U$20,18,false)</f>
        <v>1</v>
      </c>
      <c r="AL1752" s="960">
        <f t="array" ref="AL1752">HLOOKUP($J1752,'Type Chart'!$C$2:$T$20,19,false)*HLOOKUP($K1752,'Type Chart'!$C$2:$U$20,19,false)</f>
        <v>0.5</v>
      </c>
      <c r="AM1752" s="964" t="s">
        <v>2417</v>
      </c>
      <c r="AN1752" s="965"/>
      <c r="AO1752" s="966"/>
      <c r="AP1752" s="936"/>
      <c r="AQ1752" s="1245"/>
      <c r="AR1752" s="1245"/>
      <c r="AS1752" s="936"/>
    </row>
    <row r="1753" ht="15.75" customHeight="1">
      <c r="A1753" s="1099"/>
      <c r="B1753" s="948" t="s">
        <v>2418</v>
      </c>
      <c r="C1753" s="1197" t="s">
        <v>2419</v>
      </c>
      <c r="D1753" s="1197" t="s">
        <v>2419</v>
      </c>
      <c r="E1753" s="1147" t="s">
        <v>2419</v>
      </c>
      <c r="F1753" s="940"/>
      <c r="G1753" s="953"/>
      <c r="H1753" s="969"/>
      <c r="I1753" s="998" t="s">
        <v>4853</v>
      </c>
      <c r="J1753" s="1006" t="s">
        <v>346</v>
      </c>
      <c r="K1753" s="1001" t="s">
        <v>128</v>
      </c>
      <c r="L1753" s="1200">
        <v>105.0</v>
      </c>
      <c r="M1753" s="960">
        <v>150.0</v>
      </c>
      <c r="N1753" s="960">
        <v>90.0</v>
      </c>
      <c r="O1753" s="1201">
        <v>150.0</v>
      </c>
      <c r="P1753" s="960">
        <v>90.0</v>
      </c>
      <c r="Q1753" s="1201">
        <v>95.0</v>
      </c>
      <c r="R1753" s="960">
        <v>226.0</v>
      </c>
      <c r="S1753" s="960">
        <v>289.0</v>
      </c>
      <c r="T1753" s="960">
        <v>317.0</v>
      </c>
      <c r="U1753" s="960">
        <f t="array" ref="U1753">HLOOKUP($J1753,'Type Chart'!$C$2:$T$20,2,false)*HLOOKUP($K1753,'Type Chart'!$C$2:$U$20,2,false)</f>
        <v>1</v>
      </c>
      <c r="V1753" s="960">
        <f t="array" ref="V1753">HLOOKUP($J1753,'Type Chart'!$C$2:$T$20,3,false)*HLOOKUP($K1753,'Type Chart'!$C$2:$U$20,3,false)</f>
        <v>0.5</v>
      </c>
      <c r="W1753" s="960">
        <f t="array" ref="W1753">HLOOKUP($J1753,'Type Chart'!$C$2:$T$20,4,false)*HLOOKUP($K1753,'Type Chart'!$C$2:$U$20,4,false)</f>
        <v>1</v>
      </c>
      <c r="X1753" s="960">
        <f t="array" ref="X1753">HLOOKUP($J1753,'Type Chart'!$C$2:$T$20,5,false)*HLOOKUP($K1753,'Type Chart'!$C$2:$U$20,5,false)</f>
        <v>1</v>
      </c>
      <c r="Y1753" s="960">
        <f t="array" ref="Y1753">HLOOKUP($J1753,'Type Chart'!$C$2:$T$20,6,false)*HLOOKUP($K1753,'Type Chart'!$C$2:$U$20,6,false)</f>
        <v>0</v>
      </c>
      <c r="Z1753" s="960">
        <f t="array" ref="Z1753">HLOOKUP($J1753,'Type Chart'!$C$2:$T$20,7,false)*HLOOKUP($K1753,'Type Chart'!$C$2:$U$20,7,false)</f>
        <v>2</v>
      </c>
      <c r="AA1753" s="960">
        <f t="array" ref="AA1753">HLOOKUP($J1753,'Type Chart'!$C$2:$T$20,8,false)*HLOOKUP($K1753,'Type Chart'!$C$2:$U$20,8,false)</f>
        <v>0.5</v>
      </c>
      <c r="AB1753" s="960">
        <f t="array" ref="AB1753">HLOOKUP($J1753,'Type Chart'!$C$2:$T$20,9,false)*HLOOKUP($K1753,'Type Chart'!$C$2:$U$20,9,false)</f>
        <v>1</v>
      </c>
      <c r="AC1753" s="960">
        <f t="array" ref="AC1753">HLOOKUP($J1753,'Type Chart'!$C$2:$T$20,10,false)*HLOOKUP($K1753,'Type Chart'!$C$2:$U$20,10,false)</f>
        <v>1</v>
      </c>
      <c r="AD1753" s="960">
        <f t="array" ref="AD1753">HLOOKUP($J1753,'Type Chart'!$C$2:$T$20,11,false)*HLOOKUP($K1753,'Type Chart'!$C$2:$U$20,11,false)</f>
        <v>0.5</v>
      </c>
      <c r="AE1753" s="960">
        <f t="array" ref="AE1753">HLOOKUP($J1753,'Type Chart'!$C$2:$T$20,12,false)*HLOOKUP($K1753,'Type Chart'!$C$2:$U$20,12,false)</f>
        <v>0.5</v>
      </c>
      <c r="AF1753" s="960">
        <f t="array" ref="AF1753">HLOOKUP($J1753,'Type Chart'!$C$2:$T$20,13,false)*HLOOKUP($K1753,'Type Chart'!$C$2:$U$20,13,false)</f>
        <v>0.25</v>
      </c>
      <c r="AG1753" s="960">
        <f t="array" ref="AG1753">HLOOKUP($J1753,'Type Chart'!$C$2:$T$20,14,false)*HLOOKUP($K1753,'Type Chart'!$C$2:$U$20,14,false)</f>
        <v>1</v>
      </c>
      <c r="AH1753" s="960">
        <f t="array" ref="AH1753">HLOOKUP($J1753,'Type Chart'!$C$2:$T$20,15,false)*HLOOKUP($K1753,'Type Chart'!$C$2:$U$20,15,false)</f>
        <v>1</v>
      </c>
      <c r="AI1753" s="960">
        <f t="array" ref="AI1753">HLOOKUP($J1753,'Type Chart'!$C$2:$T$20,16,false)*HLOOKUP($K1753,'Type Chart'!$C$2:$U$20,16,false)</f>
        <v>4</v>
      </c>
      <c r="AJ1753" s="960">
        <f t="array" ref="AJ1753">HLOOKUP($J1753,'Type Chart'!$C$2:$T$20,17,false)*HLOOKUP($K1753,'Type Chart'!$C$2:$U$20,17,false)</f>
        <v>2</v>
      </c>
      <c r="AK1753" s="960">
        <f t="array" ref="AK1753">HLOOKUP($J1753,'Type Chart'!$C$2:$T$20,18,false)*HLOOKUP($K1753,'Type Chart'!$C$2:$U$20,18,false)</f>
        <v>1</v>
      </c>
      <c r="AL1753" s="960">
        <f t="array" ref="AL1753">HLOOKUP($J1753,'Type Chart'!$C$2:$T$20,19,false)*HLOOKUP($K1753,'Type Chart'!$C$2:$U$20,19,false)</f>
        <v>2</v>
      </c>
      <c r="AM1753" s="964" t="s">
        <v>2420</v>
      </c>
      <c r="AN1753" s="965"/>
      <c r="AO1753" s="1146"/>
      <c r="AP1753" s="936"/>
      <c r="AQ1753" s="1245"/>
      <c r="AR1753" s="1245"/>
      <c r="AS1753" s="936"/>
    </row>
    <row r="1754" ht="15.75" customHeight="1">
      <c r="A1754" s="1099"/>
      <c r="B1754" s="948" t="s">
        <v>2421</v>
      </c>
      <c r="C1754" s="1197" t="s">
        <v>2422</v>
      </c>
      <c r="D1754" s="1197" t="s">
        <v>2422</v>
      </c>
      <c r="E1754" s="1147" t="s">
        <v>2422</v>
      </c>
      <c r="F1754" s="940"/>
      <c r="G1754" s="953"/>
      <c r="H1754" s="969"/>
      <c r="I1754" s="998" t="s">
        <v>4854</v>
      </c>
      <c r="J1754" s="1231" t="s">
        <v>346</v>
      </c>
      <c r="K1754" s="1210" t="s">
        <v>128</v>
      </c>
      <c r="L1754" s="1200">
        <v>105.0</v>
      </c>
      <c r="M1754" s="1201">
        <v>180.0</v>
      </c>
      <c r="N1754" s="1201">
        <v>100.0</v>
      </c>
      <c r="O1754" s="1201">
        <v>180.0</v>
      </c>
      <c r="P1754" s="1201">
        <v>100.0</v>
      </c>
      <c r="Q1754" s="1201">
        <v>115.0</v>
      </c>
      <c r="R1754" s="960">
        <v>266.0</v>
      </c>
      <c r="S1754" s="960">
        <v>329.0</v>
      </c>
      <c r="T1754" s="960">
        <v>361.0</v>
      </c>
      <c r="U1754" s="960">
        <f t="array" ref="U1754">HLOOKUP($J1754,'Type Chart'!$C$2:$T$20,2,false)*HLOOKUP($K1754,'Type Chart'!$C$2:$U$20,2,false)</f>
        <v>1</v>
      </c>
      <c r="V1754" s="960">
        <f t="array" ref="V1754">HLOOKUP($J1754,'Type Chart'!$C$2:$T$20,3,false)*HLOOKUP($K1754,'Type Chart'!$C$2:$U$20,3,false)</f>
        <v>0.5</v>
      </c>
      <c r="W1754" s="960">
        <f t="array" ref="W1754">HLOOKUP($J1754,'Type Chart'!$C$2:$T$20,4,false)*HLOOKUP($K1754,'Type Chart'!$C$2:$U$20,4,false)</f>
        <v>1</v>
      </c>
      <c r="X1754" s="960">
        <f t="array" ref="X1754">HLOOKUP($J1754,'Type Chart'!$C$2:$T$20,5,false)*HLOOKUP($K1754,'Type Chart'!$C$2:$U$20,5,false)</f>
        <v>1</v>
      </c>
      <c r="Y1754" s="960">
        <f t="array" ref="Y1754">HLOOKUP($J1754,'Type Chart'!$C$2:$T$20,6,false)*HLOOKUP($K1754,'Type Chart'!$C$2:$U$20,6,false)</f>
        <v>0</v>
      </c>
      <c r="Z1754" s="960">
        <f t="array" ref="Z1754">HLOOKUP($J1754,'Type Chart'!$C$2:$T$20,7,false)*HLOOKUP($K1754,'Type Chart'!$C$2:$U$20,7,false)</f>
        <v>2</v>
      </c>
      <c r="AA1754" s="960">
        <f t="array" ref="AA1754">HLOOKUP($J1754,'Type Chart'!$C$2:$T$20,8,false)*HLOOKUP($K1754,'Type Chart'!$C$2:$U$20,8,false)</f>
        <v>0.5</v>
      </c>
      <c r="AB1754" s="960">
        <f t="array" ref="AB1754">HLOOKUP($J1754,'Type Chart'!$C$2:$T$20,9,false)*HLOOKUP($K1754,'Type Chart'!$C$2:$U$20,9,false)</f>
        <v>1</v>
      </c>
      <c r="AC1754" s="960">
        <f t="array" ref="AC1754">HLOOKUP($J1754,'Type Chart'!$C$2:$T$20,10,false)*HLOOKUP($K1754,'Type Chart'!$C$2:$U$20,10,false)</f>
        <v>1</v>
      </c>
      <c r="AD1754" s="960">
        <f t="array" ref="AD1754">HLOOKUP($J1754,'Type Chart'!$C$2:$T$20,11,false)*HLOOKUP($K1754,'Type Chart'!$C$2:$U$20,11,false)</f>
        <v>0.5</v>
      </c>
      <c r="AE1754" s="960">
        <f t="array" ref="AE1754">HLOOKUP($J1754,'Type Chart'!$C$2:$T$20,12,false)*HLOOKUP($K1754,'Type Chart'!$C$2:$U$20,12,false)</f>
        <v>0.5</v>
      </c>
      <c r="AF1754" s="960">
        <f t="array" ref="AF1754">HLOOKUP($J1754,'Type Chart'!$C$2:$T$20,13,false)*HLOOKUP($K1754,'Type Chart'!$C$2:$U$20,13,false)</f>
        <v>0.25</v>
      </c>
      <c r="AG1754" s="960">
        <f t="array" ref="AG1754">HLOOKUP($J1754,'Type Chart'!$C$2:$T$20,14,false)*HLOOKUP($K1754,'Type Chart'!$C$2:$U$20,14,false)</f>
        <v>1</v>
      </c>
      <c r="AH1754" s="960">
        <f t="array" ref="AH1754">HLOOKUP($J1754,'Type Chart'!$C$2:$T$20,15,false)*HLOOKUP($K1754,'Type Chart'!$C$2:$U$20,15,false)</f>
        <v>1</v>
      </c>
      <c r="AI1754" s="960">
        <f t="array" ref="AI1754">HLOOKUP($J1754,'Type Chart'!$C$2:$T$20,16,false)*HLOOKUP($K1754,'Type Chart'!$C$2:$U$20,16,false)</f>
        <v>4</v>
      </c>
      <c r="AJ1754" s="960">
        <f t="array" ref="AJ1754">HLOOKUP($J1754,'Type Chart'!$C$2:$T$20,17,false)*HLOOKUP($K1754,'Type Chart'!$C$2:$U$20,17,false)</f>
        <v>2</v>
      </c>
      <c r="AK1754" s="960">
        <f t="array" ref="AK1754">HLOOKUP($J1754,'Type Chart'!$C$2:$T$20,18,false)*HLOOKUP($K1754,'Type Chart'!$C$2:$U$20,18,false)</f>
        <v>1</v>
      </c>
      <c r="AL1754" s="960">
        <f t="array" ref="AL1754">HLOOKUP($J1754,'Type Chart'!$C$2:$T$20,19,false)*HLOOKUP($K1754,'Type Chart'!$C$2:$U$20,19,false)</f>
        <v>2</v>
      </c>
      <c r="AM1754" s="964" t="s">
        <v>2424</v>
      </c>
      <c r="AN1754" s="965"/>
      <c r="AO1754" s="966"/>
      <c r="AP1754" s="936"/>
      <c r="AQ1754" s="1245"/>
      <c r="AR1754" s="1245"/>
      <c r="AS1754" s="936"/>
    </row>
    <row r="1755" ht="15.75" customHeight="1">
      <c r="A1755" s="1099"/>
      <c r="B1755" s="948" t="s">
        <v>2425</v>
      </c>
      <c r="C1755" s="1197" t="s">
        <v>108</v>
      </c>
      <c r="D1755" s="1197" t="s">
        <v>108</v>
      </c>
      <c r="E1755" s="1147" t="s">
        <v>108</v>
      </c>
      <c r="F1755" s="940"/>
      <c r="G1755" s="953"/>
      <c r="H1755" s="969"/>
      <c r="I1755" s="998" t="s">
        <v>4855</v>
      </c>
      <c r="J1755" s="1233" t="s">
        <v>82</v>
      </c>
      <c r="K1755" s="1215" t="s">
        <v>344</v>
      </c>
      <c r="L1755" s="959">
        <v>100.0</v>
      </c>
      <c r="M1755" s="960">
        <v>100.0</v>
      </c>
      <c r="N1755" s="960">
        <v>100.0</v>
      </c>
      <c r="O1755" s="960">
        <v>100.0</v>
      </c>
      <c r="P1755" s="960">
        <v>100.0</v>
      </c>
      <c r="Q1755" s="960">
        <v>100.0</v>
      </c>
      <c r="R1755" s="960">
        <v>236.0</v>
      </c>
      <c r="S1755" s="960">
        <v>299.0</v>
      </c>
      <c r="T1755" s="960">
        <v>328.0</v>
      </c>
      <c r="U1755" s="960">
        <f t="array" ref="U1755">HLOOKUP($J1755,'Type Chart'!$C$2:$T$20,2,false)*HLOOKUP($K1755,'Type Chart'!$C$2:$U$20,2,false)</f>
        <v>0.5</v>
      </c>
      <c r="V1755" s="960">
        <f t="array" ref="V1755">HLOOKUP($J1755,'Type Chart'!$C$2:$T$20,3,false)*HLOOKUP($K1755,'Type Chart'!$C$2:$U$20,3,false)</f>
        <v>1</v>
      </c>
      <c r="W1755" s="960">
        <f t="array" ref="W1755">HLOOKUP($J1755,'Type Chart'!$C$2:$T$20,4,false)*HLOOKUP($K1755,'Type Chart'!$C$2:$U$20,4,false)</f>
        <v>0.5</v>
      </c>
      <c r="X1755" s="960">
        <f t="array" ref="X1755">HLOOKUP($J1755,'Type Chart'!$C$2:$T$20,5,false)*HLOOKUP($K1755,'Type Chart'!$C$2:$U$20,5,false)</f>
        <v>0</v>
      </c>
      <c r="Y1755" s="960">
        <f t="array" ref="Y1755">HLOOKUP($J1755,'Type Chart'!$C$2:$T$20,6,false)*HLOOKUP($K1755,'Type Chart'!$C$2:$U$20,6,false)</f>
        <v>2</v>
      </c>
      <c r="Z1755" s="960">
        <f t="array" ref="Z1755">HLOOKUP($J1755,'Type Chart'!$C$2:$T$20,7,false)*HLOOKUP($K1755,'Type Chart'!$C$2:$U$20,7,false)</f>
        <v>0.5</v>
      </c>
      <c r="AA1755" s="960">
        <f t="array" ref="AA1755">HLOOKUP($J1755,'Type Chart'!$C$2:$T$20,8,false)*HLOOKUP($K1755,'Type Chart'!$C$2:$U$20,8,false)</f>
        <v>1</v>
      </c>
      <c r="AB1755" s="960">
        <f t="array" ref="AB1755">HLOOKUP($J1755,'Type Chart'!$C$2:$T$20,9,false)*HLOOKUP($K1755,'Type Chart'!$C$2:$U$20,9,false)</f>
        <v>2</v>
      </c>
      <c r="AC1755" s="960">
        <f t="array" ref="AC1755">HLOOKUP($J1755,'Type Chart'!$C$2:$T$20,10,false)*HLOOKUP($K1755,'Type Chart'!$C$2:$U$20,10,false)</f>
        <v>0.5</v>
      </c>
      <c r="AD1755" s="960">
        <f t="array" ref="AD1755">HLOOKUP($J1755,'Type Chart'!$C$2:$T$20,11,false)*HLOOKUP($K1755,'Type Chart'!$C$2:$U$20,11,false)</f>
        <v>2</v>
      </c>
      <c r="AE1755" s="960">
        <f t="array" ref="AE1755">HLOOKUP($J1755,'Type Chart'!$C$2:$T$20,12,false)*HLOOKUP($K1755,'Type Chart'!$C$2:$U$20,12,false)</f>
        <v>1</v>
      </c>
      <c r="AF1755" s="960">
        <f t="array" ref="AF1755">HLOOKUP($J1755,'Type Chart'!$C$2:$T$20,13,false)*HLOOKUP($K1755,'Type Chart'!$C$2:$U$20,13,false)</f>
        <v>0.5</v>
      </c>
      <c r="AG1755" s="960">
        <f t="array" ref="AG1755">HLOOKUP($J1755,'Type Chart'!$C$2:$T$20,14,false)*HLOOKUP($K1755,'Type Chart'!$C$2:$U$20,14,false)</f>
        <v>1</v>
      </c>
      <c r="AH1755" s="960">
        <f t="array" ref="AH1755">HLOOKUP($J1755,'Type Chart'!$C$2:$T$20,15,false)*HLOOKUP($K1755,'Type Chart'!$C$2:$U$20,15,false)</f>
        <v>0.25</v>
      </c>
      <c r="AI1755" s="960">
        <f t="array" ref="AI1755">HLOOKUP($J1755,'Type Chart'!$C$2:$T$20,16,false)*HLOOKUP($K1755,'Type Chart'!$C$2:$U$20,16,false)</f>
        <v>0.5</v>
      </c>
      <c r="AJ1755" s="960">
        <f t="array" ref="AJ1755">HLOOKUP($J1755,'Type Chart'!$C$2:$T$20,17,false)*HLOOKUP($K1755,'Type Chart'!$C$2:$U$20,17,false)</f>
        <v>0.5</v>
      </c>
      <c r="AK1755" s="960">
        <f t="array" ref="AK1755">HLOOKUP($J1755,'Type Chart'!$C$2:$T$20,18,false)*HLOOKUP($K1755,'Type Chart'!$C$2:$U$20,18,false)</f>
        <v>2</v>
      </c>
      <c r="AL1755" s="960">
        <f t="array" ref="AL1755">HLOOKUP($J1755,'Type Chart'!$C$2:$T$20,19,false)*HLOOKUP($K1755,'Type Chart'!$C$2:$U$20,19,false)</f>
        <v>0.5</v>
      </c>
      <c r="AM1755" s="964" t="s">
        <v>1521</v>
      </c>
      <c r="AN1755" s="965"/>
      <c r="AO1755" s="966"/>
      <c r="AP1755" s="936"/>
      <c r="AQ1755" s="1245"/>
      <c r="AR1755" s="1245"/>
      <c r="AS1755" s="936"/>
    </row>
    <row r="1756" ht="15.75" customHeight="1">
      <c r="A1756" s="1099"/>
      <c r="B1756" s="948" t="s">
        <v>2426</v>
      </c>
      <c r="C1756" s="1197" t="s">
        <v>2427</v>
      </c>
      <c r="D1756" s="1197" t="s">
        <v>2427</v>
      </c>
      <c r="E1756" s="1147" t="s">
        <v>2427</v>
      </c>
      <c r="F1756" s="940"/>
      <c r="G1756" s="953"/>
      <c r="H1756" s="969"/>
      <c r="I1756" s="998" t="s">
        <v>4856</v>
      </c>
      <c r="J1756" s="1215" t="s">
        <v>344</v>
      </c>
      <c r="K1756" s="1199" t="s">
        <v>216</v>
      </c>
      <c r="L1756" s="1200">
        <v>50.0</v>
      </c>
      <c r="M1756" s="1201">
        <v>150.0</v>
      </c>
      <c r="N1756" s="1201">
        <v>50.0</v>
      </c>
      <c r="O1756" s="1201">
        <v>150.0</v>
      </c>
      <c r="P1756" s="1201">
        <v>50.0</v>
      </c>
      <c r="Q1756" s="1201">
        <v>150.0</v>
      </c>
      <c r="R1756" s="960">
        <v>336.0</v>
      </c>
      <c r="S1756" s="960">
        <v>399.0</v>
      </c>
      <c r="T1756" s="960">
        <v>438.0</v>
      </c>
      <c r="U1756" s="960">
        <f t="array" ref="U1756">HLOOKUP($J1756,'Type Chart'!$C$2:$T$20,2,false)*HLOOKUP($K1756,'Type Chart'!$C$2:$U$20,2,false)</f>
        <v>1</v>
      </c>
      <c r="V1756" s="960">
        <f t="array" ref="V1756">HLOOKUP($J1756,'Type Chart'!$C$2:$T$20,3,false)*HLOOKUP($K1756,'Type Chart'!$C$2:$U$20,3,false)</f>
        <v>0.5</v>
      </c>
      <c r="W1756" s="960">
        <f t="array" ref="W1756">HLOOKUP($J1756,'Type Chart'!$C$2:$T$20,4,false)*HLOOKUP($K1756,'Type Chart'!$C$2:$U$20,4,false)</f>
        <v>1</v>
      </c>
      <c r="X1756" s="960">
        <f t="array" ref="X1756">HLOOKUP($J1756,'Type Chart'!$C$2:$T$20,5,false)*HLOOKUP($K1756,'Type Chart'!$C$2:$U$20,5,false)</f>
        <v>1</v>
      </c>
      <c r="Y1756" s="960">
        <f t="array" ref="Y1756">HLOOKUP($J1756,'Type Chart'!$C$2:$T$20,6,false)*HLOOKUP($K1756,'Type Chart'!$C$2:$U$20,6,false)</f>
        <v>1</v>
      </c>
      <c r="Z1756" s="960">
        <f t="array" ref="Z1756">HLOOKUP($J1756,'Type Chart'!$C$2:$T$20,7,false)*HLOOKUP($K1756,'Type Chart'!$C$2:$U$20,7,false)</f>
        <v>1</v>
      </c>
      <c r="AA1756" s="960">
        <f t="array" ref="AA1756">HLOOKUP($J1756,'Type Chart'!$C$2:$T$20,8,false)*HLOOKUP($K1756,'Type Chart'!$C$2:$U$20,8,false)</f>
        <v>2</v>
      </c>
      <c r="AB1756" s="960">
        <f t="array" ref="AB1756">HLOOKUP($J1756,'Type Chart'!$C$2:$T$20,9,false)*HLOOKUP($K1756,'Type Chart'!$C$2:$U$20,9,false)</f>
        <v>2</v>
      </c>
      <c r="AC1756" s="960">
        <f t="array" ref="AC1756">HLOOKUP($J1756,'Type Chart'!$C$2:$T$20,10,false)*HLOOKUP($K1756,'Type Chart'!$C$2:$U$20,10,false)</f>
        <v>1</v>
      </c>
      <c r="AD1756" s="960">
        <f t="array" ref="AD1756">HLOOKUP($J1756,'Type Chart'!$C$2:$T$20,11,false)*HLOOKUP($K1756,'Type Chart'!$C$2:$U$20,11,false)</f>
        <v>1</v>
      </c>
      <c r="AE1756" s="960">
        <f t="array" ref="AE1756">HLOOKUP($J1756,'Type Chart'!$C$2:$T$20,12,false)*HLOOKUP($K1756,'Type Chart'!$C$2:$U$20,12,false)</f>
        <v>1</v>
      </c>
      <c r="AF1756" s="960">
        <f t="array" ref="AF1756">HLOOKUP($J1756,'Type Chart'!$C$2:$T$20,13,false)*HLOOKUP($K1756,'Type Chart'!$C$2:$U$20,13,false)</f>
        <v>1</v>
      </c>
      <c r="AG1756" s="960">
        <f t="array" ref="AG1756">HLOOKUP($J1756,'Type Chart'!$C$2:$T$20,14,false)*HLOOKUP($K1756,'Type Chart'!$C$2:$U$20,14,false)</f>
        <v>1</v>
      </c>
      <c r="AH1756" s="960">
        <f t="array" ref="AH1756">HLOOKUP($J1756,'Type Chart'!$C$2:$T$20,15,false)*HLOOKUP($K1756,'Type Chart'!$C$2:$U$20,15,false)</f>
        <v>0.5</v>
      </c>
      <c r="AI1756" s="960">
        <f t="array" ref="AI1756">HLOOKUP($J1756,'Type Chart'!$C$2:$T$20,16,false)*HLOOKUP($K1756,'Type Chart'!$C$2:$U$20,16,false)</f>
        <v>1</v>
      </c>
      <c r="AJ1756" s="960">
        <f t="array" ref="AJ1756">HLOOKUP($J1756,'Type Chart'!$C$2:$T$20,17,false)*HLOOKUP($K1756,'Type Chart'!$C$2:$U$20,17,false)</f>
        <v>1</v>
      </c>
      <c r="AK1756" s="960">
        <f t="array" ref="AK1756">HLOOKUP($J1756,'Type Chart'!$C$2:$T$20,18,false)*HLOOKUP($K1756,'Type Chart'!$C$2:$U$20,18,false)</f>
        <v>2</v>
      </c>
      <c r="AL1756" s="960">
        <f t="array" ref="AL1756">HLOOKUP($J1756,'Type Chart'!$C$2:$T$20,19,false)*HLOOKUP($K1756,'Type Chart'!$C$2:$U$20,19,false)</f>
        <v>1</v>
      </c>
      <c r="AM1756" s="964" t="s">
        <v>1636</v>
      </c>
      <c r="AN1756" s="965"/>
      <c r="AO1756" s="966"/>
      <c r="AP1756" s="936"/>
      <c r="AQ1756" s="1245"/>
      <c r="AR1756" s="1245"/>
      <c r="AS1756" s="936"/>
    </row>
    <row r="1757" ht="15.75" customHeight="1">
      <c r="A1757" s="1099"/>
      <c r="B1757" s="948" t="s">
        <v>2429</v>
      </c>
      <c r="C1757" s="1197" t="s">
        <v>2430</v>
      </c>
      <c r="D1757" s="1197" t="s">
        <v>2430</v>
      </c>
      <c r="E1757" s="1147" t="s">
        <v>2430</v>
      </c>
      <c r="F1757" s="940"/>
      <c r="G1757" s="953"/>
      <c r="H1757" s="969"/>
      <c r="I1757" s="998" t="s">
        <v>4857</v>
      </c>
      <c r="J1757" s="1203" t="s">
        <v>344</v>
      </c>
      <c r="K1757" s="984" t="s">
        <v>216</v>
      </c>
      <c r="L1757" s="959">
        <v>50.0</v>
      </c>
      <c r="M1757" s="960">
        <v>180.0</v>
      </c>
      <c r="N1757" s="960">
        <v>20.0</v>
      </c>
      <c r="O1757" s="960">
        <v>180.0</v>
      </c>
      <c r="P1757" s="960">
        <v>20.0</v>
      </c>
      <c r="Q1757" s="960">
        <v>150.0</v>
      </c>
      <c r="R1757" s="960">
        <v>336.0</v>
      </c>
      <c r="S1757" s="960">
        <v>399.0</v>
      </c>
      <c r="T1757" s="960">
        <v>438.0</v>
      </c>
      <c r="U1757" s="960">
        <f t="array" ref="U1757">HLOOKUP($J1757,'Type Chart'!$C$2:$T$20,2,false)*HLOOKUP($K1757,'Type Chart'!$C$2:$U$20,2,false)</f>
        <v>1</v>
      </c>
      <c r="V1757" s="960">
        <f t="array" ref="V1757">HLOOKUP($J1757,'Type Chart'!$C$2:$T$20,3,false)*HLOOKUP($K1757,'Type Chart'!$C$2:$U$20,3,false)</f>
        <v>0.5</v>
      </c>
      <c r="W1757" s="960">
        <f t="array" ref="W1757">HLOOKUP($J1757,'Type Chart'!$C$2:$T$20,4,false)*HLOOKUP($K1757,'Type Chart'!$C$2:$U$20,4,false)</f>
        <v>1</v>
      </c>
      <c r="X1757" s="960">
        <f t="array" ref="X1757">HLOOKUP($J1757,'Type Chart'!$C$2:$T$20,5,false)*HLOOKUP($K1757,'Type Chart'!$C$2:$U$20,5,false)</f>
        <v>1</v>
      </c>
      <c r="Y1757" s="960">
        <f t="array" ref="Y1757">HLOOKUP($J1757,'Type Chart'!$C$2:$T$20,6,false)*HLOOKUP($K1757,'Type Chart'!$C$2:$U$20,6,false)</f>
        <v>1</v>
      </c>
      <c r="Z1757" s="960">
        <f t="array" ref="Z1757">HLOOKUP($J1757,'Type Chart'!$C$2:$T$20,7,false)*HLOOKUP($K1757,'Type Chart'!$C$2:$U$20,7,false)</f>
        <v>1</v>
      </c>
      <c r="AA1757" s="960">
        <f t="array" ref="AA1757">HLOOKUP($J1757,'Type Chart'!$C$2:$T$20,8,false)*HLOOKUP($K1757,'Type Chart'!$C$2:$U$20,8,false)</f>
        <v>2</v>
      </c>
      <c r="AB1757" s="960">
        <f t="array" ref="AB1757">HLOOKUP($J1757,'Type Chart'!$C$2:$T$20,9,false)*HLOOKUP($K1757,'Type Chart'!$C$2:$U$20,9,false)</f>
        <v>2</v>
      </c>
      <c r="AC1757" s="960">
        <f t="array" ref="AC1757">HLOOKUP($J1757,'Type Chart'!$C$2:$T$20,10,false)*HLOOKUP($K1757,'Type Chart'!$C$2:$U$20,10,false)</f>
        <v>1</v>
      </c>
      <c r="AD1757" s="960">
        <f t="array" ref="AD1757">HLOOKUP($J1757,'Type Chart'!$C$2:$T$20,11,false)*HLOOKUP($K1757,'Type Chart'!$C$2:$U$20,11,false)</f>
        <v>1</v>
      </c>
      <c r="AE1757" s="960">
        <f t="array" ref="AE1757">HLOOKUP($J1757,'Type Chart'!$C$2:$T$20,12,false)*HLOOKUP($K1757,'Type Chart'!$C$2:$U$20,12,false)</f>
        <v>1</v>
      </c>
      <c r="AF1757" s="960">
        <f t="array" ref="AF1757">HLOOKUP($J1757,'Type Chart'!$C$2:$T$20,13,false)*HLOOKUP($K1757,'Type Chart'!$C$2:$U$20,13,false)</f>
        <v>1</v>
      </c>
      <c r="AG1757" s="960">
        <f t="array" ref="AG1757">HLOOKUP($J1757,'Type Chart'!$C$2:$T$20,14,false)*HLOOKUP($K1757,'Type Chart'!$C$2:$U$20,14,false)</f>
        <v>1</v>
      </c>
      <c r="AH1757" s="960">
        <f t="array" ref="AH1757">HLOOKUP($J1757,'Type Chart'!$C$2:$T$20,15,false)*HLOOKUP($K1757,'Type Chart'!$C$2:$U$20,15,false)</f>
        <v>0.5</v>
      </c>
      <c r="AI1757" s="960">
        <f t="array" ref="AI1757">HLOOKUP($J1757,'Type Chart'!$C$2:$T$20,16,false)*HLOOKUP($K1757,'Type Chart'!$C$2:$U$20,16,false)</f>
        <v>1</v>
      </c>
      <c r="AJ1757" s="960">
        <f t="array" ref="AJ1757">HLOOKUP($J1757,'Type Chart'!$C$2:$T$20,17,false)*HLOOKUP($K1757,'Type Chart'!$C$2:$U$20,17,false)</f>
        <v>1</v>
      </c>
      <c r="AK1757" s="960">
        <f t="array" ref="AK1757">HLOOKUP($J1757,'Type Chart'!$C$2:$T$20,18,false)*HLOOKUP($K1757,'Type Chart'!$C$2:$U$20,18,false)</f>
        <v>2</v>
      </c>
      <c r="AL1757" s="960">
        <f t="array" ref="AL1757">HLOOKUP($J1757,'Type Chart'!$C$2:$T$20,19,false)*HLOOKUP($K1757,'Type Chart'!$C$2:$U$20,19,false)</f>
        <v>1</v>
      </c>
      <c r="AM1757" s="964" t="s">
        <v>1636</v>
      </c>
      <c r="AN1757" s="965"/>
      <c r="AO1757" s="966"/>
      <c r="AP1757" s="936"/>
      <c r="AQ1757" s="1245"/>
      <c r="AR1757" s="1245"/>
      <c r="AS1757" s="936"/>
    </row>
    <row r="1758" ht="15.75" customHeight="1">
      <c r="A1758" s="1099"/>
      <c r="B1758" s="948" t="s">
        <v>2432</v>
      </c>
      <c r="C1758" s="1197" t="s">
        <v>2433</v>
      </c>
      <c r="D1758" s="1197" t="s">
        <v>2433</v>
      </c>
      <c r="E1758" s="1147" t="s">
        <v>2433</v>
      </c>
      <c r="F1758" s="940"/>
      <c r="G1758" s="953"/>
      <c r="H1758" s="969"/>
      <c r="I1758" s="998" t="s">
        <v>4858</v>
      </c>
      <c r="J1758" s="1203" t="s">
        <v>344</v>
      </c>
      <c r="K1758" s="984" t="s">
        <v>216</v>
      </c>
      <c r="L1758" s="959">
        <v>50.0</v>
      </c>
      <c r="M1758" s="960">
        <v>70.0</v>
      </c>
      <c r="N1758" s="960">
        <v>160.0</v>
      </c>
      <c r="O1758" s="960">
        <v>70.0</v>
      </c>
      <c r="P1758" s="960">
        <v>160.0</v>
      </c>
      <c r="Q1758" s="960">
        <v>90.0</v>
      </c>
      <c r="R1758" s="960">
        <v>216.0</v>
      </c>
      <c r="S1758" s="960">
        <v>279.0</v>
      </c>
      <c r="T1758" s="960">
        <v>306.0</v>
      </c>
      <c r="U1758" s="960">
        <f t="array" ref="U1758">HLOOKUP($J1758,'Type Chart'!$C$2:$T$20,2,false)*HLOOKUP($K1758,'Type Chart'!$C$2:$U$20,2,false)</f>
        <v>1</v>
      </c>
      <c r="V1758" s="960">
        <f t="array" ref="V1758">HLOOKUP($J1758,'Type Chart'!$C$2:$T$20,3,false)*HLOOKUP($K1758,'Type Chart'!$C$2:$U$20,3,false)</f>
        <v>0.5</v>
      </c>
      <c r="W1758" s="960">
        <f t="array" ref="W1758">HLOOKUP($J1758,'Type Chart'!$C$2:$T$20,4,false)*HLOOKUP($K1758,'Type Chart'!$C$2:$U$20,4,false)</f>
        <v>1</v>
      </c>
      <c r="X1758" s="960">
        <f t="array" ref="X1758">HLOOKUP($J1758,'Type Chart'!$C$2:$T$20,5,false)*HLOOKUP($K1758,'Type Chart'!$C$2:$U$20,5,false)</f>
        <v>1</v>
      </c>
      <c r="Y1758" s="960">
        <f t="array" ref="Y1758">HLOOKUP($J1758,'Type Chart'!$C$2:$T$20,6,false)*HLOOKUP($K1758,'Type Chart'!$C$2:$U$20,6,false)</f>
        <v>1</v>
      </c>
      <c r="Z1758" s="960">
        <f t="array" ref="Z1758">HLOOKUP($J1758,'Type Chart'!$C$2:$T$20,7,false)*HLOOKUP($K1758,'Type Chart'!$C$2:$U$20,7,false)</f>
        <v>1</v>
      </c>
      <c r="AA1758" s="960">
        <f t="array" ref="AA1758">HLOOKUP($J1758,'Type Chart'!$C$2:$T$20,8,false)*HLOOKUP($K1758,'Type Chart'!$C$2:$U$20,8,false)</f>
        <v>2</v>
      </c>
      <c r="AB1758" s="960">
        <f t="array" ref="AB1758">HLOOKUP($J1758,'Type Chart'!$C$2:$T$20,9,false)*HLOOKUP($K1758,'Type Chart'!$C$2:$U$20,9,false)</f>
        <v>2</v>
      </c>
      <c r="AC1758" s="960">
        <f t="array" ref="AC1758">HLOOKUP($J1758,'Type Chart'!$C$2:$T$20,10,false)*HLOOKUP($K1758,'Type Chart'!$C$2:$U$20,10,false)</f>
        <v>1</v>
      </c>
      <c r="AD1758" s="960">
        <f t="array" ref="AD1758">HLOOKUP($J1758,'Type Chart'!$C$2:$T$20,11,false)*HLOOKUP($K1758,'Type Chart'!$C$2:$U$20,11,false)</f>
        <v>1</v>
      </c>
      <c r="AE1758" s="960">
        <f t="array" ref="AE1758">HLOOKUP($J1758,'Type Chart'!$C$2:$T$20,12,false)*HLOOKUP($K1758,'Type Chart'!$C$2:$U$20,12,false)</f>
        <v>1</v>
      </c>
      <c r="AF1758" s="960">
        <f t="array" ref="AF1758">HLOOKUP($J1758,'Type Chart'!$C$2:$T$20,13,false)*HLOOKUP($K1758,'Type Chart'!$C$2:$U$20,13,false)</f>
        <v>1</v>
      </c>
      <c r="AG1758" s="960">
        <f t="array" ref="AG1758">HLOOKUP($J1758,'Type Chart'!$C$2:$T$20,14,false)*HLOOKUP($K1758,'Type Chart'!$C$2:$U$20,14,false)</f>
        <v>1</v>
      </c>
      <c r="AH1758" s="960">
        <f t="array" ref="AH1758">HLOOKUP($J1758,'Type Chart'!$C$2:$T$20,15,false)*HLOOKUP($K1758,'Type Chart'!$C$2:$U$20,15,false)</f>
        <v>0.5</v>
      </c>
      <c r="AI1758" s="960">
        <f t="array" ref="AI1758">HLOOKUP($J1758,'Type Chart'!$C$2:$T$20,16,false)*HLOOKUP($K1758,'Type Chart'!$C$2:$U$20,16,false)</f>
        <v>1</v>
      </c>
      <c r="AJ1758" s="960">
        <f t="array" ref="AJ1758">HLOOKUP($J1758,'Type Chart'!$C$2:$T$20,17,false)*HLOOKUP($K1758,'Type Chart'!$C$2:$U$20,17,false)</f>
        <v>1</v>
      </c>
      <c r="AK1758" s="960">
        <f t="array" ref="AK1758">HLOOKUP($J1758,'Type Chart'!$C$2:$T$20,18,false)*HLOOKUP($K1758,'Type Chart'!$C$2:$U$20,18,false)</f>
        <v>2</v>
      </c>
      <c r="AL1758" s="960">
        <f t="array" ref="AL1758">HLOOKUP($J1758,'Type Chart'!$C$2:$T$20,19,false)*HLOOKUP($K1758,'Type Chart'!$C$2:$U$20,19,false)</f>
        <v>1</v>
      </c>
      <c r="AM1758" s="964" t="s">
        <v>1636</v>
      </c>
      <c r="AN1758" s="965"/>
      <c r="AO1758" s="966"/>
      <c r="AP1758" s="936"/>
      <c r="AQ1758" s="1245"/>
      <c r="AR1758" s="1245"/>
      <c r="AS1758" s="936"/>
    </row>
    <row r="1759" ht="15.75" customHeight="1">
      <c r="A1759" s="1099"/>
      <c r="B1759" s="948" t="s">
        <v>2434</v>
      </c>
      <c r="C1759" s="1197" t="s">
        <v>2435</v>
      </c>
      <c r="D1759" s="1197" t="s">
        <v>2435</v>
      </c>
      <c r="E1759" s="1147" t="s">
        <v>2435</v>
      </c>
      <c r="F1759" s="940"/>
      <c r="G1759" s="953"/>
      <c r="H1759" s="969"/>
      <c r="I1759" s="998" t="s">
        <v>4859</v>
      </c>
      <c r="J1759" s="1203" t="s">
        <v>344</v>
      </c>
      <c r="K1759" s="984" t="s">
        <v>216</v>
      </c>
      <c r="L1759" s="959">
        <v>50.0</v>
      </c>
      <c r="M1759" s="960">
        <v>95.0</v>
      </c>
      <c r="N1759" s="960">
        <v>90.0</v>
      </c>
      <c r="O1759" s="960">
        <v>95.0</v>
      </c>
      <c r="P1759" s="960">
        <v>90.0</v>
      </c>
      <c r="Q1759" s="960">
        <v>180.0</v>
      </c>
      <c r="R1759" s="960">
        <v>396.0</v>
      </c>
      <c r="S1759" s="960">
        <v>459.0</v>
      </c>
      <c r="T1759" s="960">
        <v>504.0</v>
      </c>
      <c r="U1759" s="960">
        <f t="array" ref="U1759">HLOOKUP($J1759,'Type Chart'!$C$2:$T$20,2,false)*HLOOKUP($K1759,'Type Chart'!$C$2:$U$20,2,false)</f>
        <v>1</v>
      </c>
      <c r="V1759" s="960">
        <f t="array" ref="V1759">HLOOKUP($J1759,'Type Chart'!$C$2:$T$20,3,false)*HLOOKUP($K1759,'Type Chart'!$C$2:$U$20,3,false)</f>
        <v>0.5</v>
      </c>
      <c r="W1759" s="960">
        <f t="array" ref="W1759">HLOOKUP($J1759,'Type Chart'!$C$2:$T$20,4,false)*HLOOKUP($K1759,'Type Chart'!$C$2:$U$20,4,false)</f>
        <v>1</v>
      </c>
      <c r="X1759" s="960">
        <f t="array" ref="X1759">HLOOKUP($J1759,'Type Chart'!$C$2:$T$20,5,false)*HLOOKUP($K1759,'Type Chart'!$C$2:$U$20,5,false)</f>
        <v>1</v>
      </c>
      <c r="Y1759" s="960">
        <f t="array" ref="Y1759">HLOOKUP($J1759,'Type Chart'!$C$2:$T$20,6,false)*HLOOKUP($K1759,'Type Chart'!$C$2:$U$20,6,false)</f>
        <v>1</v>
      </c>
      <c r="Z1759" s="960">
        <f t="array" ref="Z1759">HLOOKUP($J1759,'Type Chart'!$C$2:$T$20,7,false)*HLOOKUP($K1759,'Type Chart'!$C$2:$U$20,7,false)</f>
        <v>1</v>
      </c>
      <c r="AA1759" s="960">
        <f t="array" ref="AA1759">HLOOKUP($J1759,'Type Chart'!$C$2:$T$20,8,false)*HLOOKUP($K1759,'Type Chart'!$C$2:$U$20,8,false)</f>
        <v>2</v>
      </c>
      <c r="AB1759" s="960">
        <f t="array" ref="AB1759">HLOOKUP($J1759,'Type Chart'!$C$2:$T$20,9,false)*HLOOKUP($K1759,'Type Chart'!$C$2:$U$20,9,false)</f>
        <v>2</v>
      </c>
      <c r="AC1759" s="960">
        <f t="array" ref="AC1759">HLOOKUP($J1759,'Type Chart'!$C$2:$T$20,10,false)*HLOOKUP($K1759,'Type Chart'!$C$2:$U$20,10,false)</f>
        <v>1</v>
      </c>
      <c r="AD1759" s="960">
        <f t="array" ref="AD1759">HLOOKUP($J1759,'Type Chart'!$C$2:$T$20,11,false)*HLOOKUP($K1759,'Type Chart'!$C$2:$U$20,11,false)</f>
        <v>1</v>
      </c>
      <c r="AE1759" s="960">
        <f t="array" ref="AE1759">HLOOKUP($J1759,'Type Chart'!$C$2:$T$20,12,false)*HLOOKUP($K1759,'Type Chart'!$C$2:$U$20,12,false)</f>
        <v>1</v>
      </c>
      <c r="AF1759" s="960">
        <f t="array" ref="AF1759">HLOOKUP($J1759,'Type Chart'!$C$2:$T$20,13,false)*HLOOKUP($K1759,'Type Chart'!$C$2:$U$20,13,false)</f>
        <v>1</v>
      </c>
      <c r="AG1759" s="960">
        <f t="array" ref="AG1759">HLOOKUP($J1759,'Type Chart'!$C$2:$T$20,14,false)*HLOOKUP($K1759,'Type Chart'!$C$2:$U$20,14,false)</f>
        <v>1</v>
      </c>
      <c r="AH1759" s="960">
        <f t="array" ref="AH1759">HLOOKUP($J1759,'Type Chart'!$C$2:$T$20,15,false)*HLOOKUP($K1759,'Type Chart'!$C$2:$U$20,15,false)</f>
        <v>0.5</v>
      </c>
      <c r="AI1759" s="960">
        <f t="array" ref="AI1759">HLOOKUP($J1759,'Type Chart'!$C$2:$T$20,16,false)*HLOOKUP($K1759,'Type Chart'!$C$2:$U$20,16,false)</f>
        <v>1</v>
      </c>
      <c r="AJ1759" s="960">
        <f t="array" ref="AJ1759">HLOOKUP($J1759,'Type Chart'!$C$2:$T$20,17,false)*HLOOKUP($K1759,'Type Chart'!$C$2:$U$20,17,false)</f>
        <v>1</v>
      </c>
      <c r="AK1759" s="960">
        <f t="array" ref="AK1759">HLOOKUP($J1759,'Type Chart'!$C$2:$T$20,18,false)*HLOOKUP($K1759,'Type Chart'!$C$2:$U$20,18,false)</f>
        <v>2</v>
      </c>
      <c r="AL1759" s="960">
        <f t="array" ref="AL1759">HLOOKUP($J1759,'Type Chart'!$C$2:$T$20,19,false)*HLOOKUP($K1759,'Type Chart'!$C$2:$U$20,19,false)</f>
        <v>1</v>
      </c>
      <c r="AM1759" s="964" t="s">
        <v>1636</v>
      </c>
      <c r="AN1759" s="965"/>
      <c r="AO1759" s="966"/>
      <c r="AP1759" s="936"/>
      <c r="AQ1759" s="1245"/>
      <c r="AR1759" s="1245"/>
      <c r="AS1759" s="936"/>
    </row>
    <row r="1760" ht="15.75" customHeight="1">
      <c r="A1760" s="1099"/>
      <c r="B1760" s="948" t="s">
        <v>2436</v>
      </c>
      <c r="C1760" s="1197" t="s">
        <v>2437</v>
      </c>
      <c r="D1760" s="1197" t="s">
        <v>2437</v>
      </c>
      <c r="E1760" s="1147" t="s">
        <v>2437</v>
      </c>
      <c r="F1760" s="940"/>
      <c r="G1760" s="953"/>
      <c r="H1760" s="969"/>
      <c r="I1760" s="998" t="s">
        <v>4860</v>
      </c>
      <c r="J1760" s="957" t="s">
        <v>209</v>
      </c>
      <c r="K1760" s="984" t="s">
        <v>216</v>
      </c>
      <c r="L1760" s="959">
        <v>55.0</v>
      </c>
      <c r="M1760" s="960">
        <v>68.0</v>
      </c>
      <c r="N1760" s="960">
        <v>64.0</v>
      </c>
      <c r="O1760" s="960">
        <v>45.0</v>
      </c>
      <c r="P1760" s="960">
        <v>55.0</v>
      </c>
      <c r="Q1760" s="960">
        <v>31.0</v>
      </c>
      <c r="R1760" s="960">
        <v>98.0</v>
      </c>
      <c r="S1760" s="960">
        <v>161.0</v>
      </c>
      <c r="T1760" s="960">
        <v>177.0</v>
      </c>
      <c r="U1760" s="960">
        <f t="array" ref="U1760">HLOOKUP($J1760,'Type Chart'!$C$2:$T$20,2,false)*HLOOKUP($K1760,'Type Chart'!$C$2:$U$20,2,false)</f>
        <v>1</v>
      </c>
      <c r="V1760" s="960">
        <f t="array" ref="V1760">HLOOKUP($J1760,'Type Chart'!$C$2:$T$20,3,false)*HLOOKUP($K1760,'Type Chart'!$C$2:$U$20,3,false)</f>
        <v>1</v>
      </c>
      <c r="W1760" s="960">
        <f t="array" ref="W1760">HLOOKUP($J1760,'Type Chart'!$C$2:$T$20,4,false)*HLOOKUP($K1760,'Type Chart'!$C$2:$U$20,4,false)</f>
        <v>2</v>
      </c>
      <c r="X1760" s="960">
        <f t="array" ref="X1760">HLOOKUP($J1760,'Type Chart'!$C$2:$T$20,5,false)*HLOOKUP($K1760,'Type Chart'!$C$2:$U$20,5,false)</f>
        <v>2</v>
      </c>
      <c r="Y1760" s="960">
        <f t="array" ref="Y1760">HLOOKUP($J1760,'Type Chart'!$C$2:$T$20,6,false)*HLOOKUP($K1760,'Type Chart'!$C$2:$U$20,6,false)</f>
        <v>0.5</v>
      </c>
      <c r="Z1760" s="960">
        <f t="array" ref="Z1760">HLOOKUP($J1760,'Type Chart'!$C$2:$T$20,7,false)*HLOOKUP($K1760,'Type Chart'!$C$2:$U$20,7,false)</f>
        <v>1</v>
      </c>
      <c r="AA1760" s="960">
        <f t="array" ref="AA1760">HLOOKUP($J1760,'Type Chart'!$C$2:$T$20,8,false)*HLOOKUP($K1760,'Type Chart'!$C$2:$U$20,8,false)</f>
        <v>2</v>
      </c>
      <c r="AB1760" s="960">
        <f t="array" ref="AB1760">HLOOKUP($J1760,'Type Chart'!$C$2:$T$20,9,false)*HLOOKUP($K1760,'Type Chart'!$C$2:$U$20,9,false)</f>
        <v>1</v>
      </c>
      <c r="AC1760" s="960">
        <f t="array" ref="AC1760">HLOOKUP($J1760,'Type Chart'!$C$2:$T$20,10,false)*HLOOKUP($K1760,'Type Chart'!$C$2:$U$20,10,false)</f>
        <v>1</v>
      </c>
      <c r="AD1760" s="960">
        <f t="array" ref="AD1760">HLOOKUP($J1760,'Type Chart'!$C$2:$T$20,11,false)*HLOOKUP($K1760,'Type Chart'!$C$2:$U$20,11,false)</f>
        <v>2</v>
      </c>
      <c r="AE1760" s="960">
        <f t="array" ref="AE1760">HLOOKUP($J1760,'Type Chart'!$C$2:$T$20,12,false)*HLOOKUP($K1760,'Type Chart'!$C$2:$U$20,12,false)</f>
        <v>0.5</v>
      </c>
      <c r="AF1760" s="960">
        <f t="array" ref="AF1760">HLOOKUP($J1760,'Type Chart'!$C$2:$T$20,13,false)*HLOOKUP($K1760,'Type Chart'!$C$2:$U$20,13,false)</f>
        <v>0.5</v>
      </c>
      <c r="AG1760" s="960">
        <f t="array" ref="AG1760">HLOOKUP($J1760,'Type Chart'!$C$2:$T$20,14,false)*HLOOKUP($K1760,'Type Chart'!$C$2:$U$20,14,false)</f>
        <v>0.5</v>
      </c>
      <c r="AH1760" s="960">
        <f t="array" ref="AH1760">HLOOKUP($J1760,'Type Chart'!$C$2:$T$20,15,false)*HLOOKUP($K1760,'Type Chart'!$C$2:$U$20,15,false)</f>
        <v>1</v>
      </c>
      <c r="AI1760" s="960">
        <f t="array" ref="AI1760">HLOOKUP($J1760,'Type Chart'!$C$2:$T$20,16,false)*HLOOKUP($K1760,'Type Chart'!$C$2:$U$20,16,false)</f>
        <v>2</v>
      </c>
      <c r="AJ1760" s="960">
        <f t="array" ref="AJ1760">HLOOKUP($J1760,'Type Chart'!$C$2:$T$20,17,false)*HLOOKUP($K1760,'Type Chart'!$C$2:$U$20,17,false)</f>
        <v>1</v>
      </c>
      <c r="AK1760" s="960">
        <f t="array" ref="AK1760">HLOOKUP($J1760,'Type Chart'!$C$2:$T$20,18,false)*HLOOKUP($K1760,'Type Chart'!$C$2:$U$20,18,false)</f>
        <v>1</v>
      </c>
      <c r="AL1760" s="960">
        <f t="array" ref="AL1760">HLOOKUP($J1760,'Type Chart'!$C$2:$T$20,19,false)*HLOOKUP($K1760,'Type Chart'!$C$2:$U$20,19,false)</f>
        <v>1</v>
      </c>
      <c r="AM1760" s="964" t="s">
        <v>522</v>
      </c>
      <c r="AN1760" s="965"/>
      <c r="AO1760" s="966" t="s">
        <v>1385</v>
      </c>
      <c r="AP1760" s="936"/>
      <c r="AQ1760" s="1245"/>
      <c r="AR1760" s="1245"/>
      <c r="AS1760" s="936"/>
    </row>
    <row r="1761" ht="15.75" customHeight="1">
      <c r="A1761" s="1099"/>
      <c r="B1761" s="948" t="s">
        <v>2439</v>
      </c>
      <c r="C1761" s="1197" t="s">
        <v>2440</v>
      </c>
      <c r="D1761" s="1197" t="s">
        <v>2440</v>
      </c>
      <c r="E1761" s="1147" t="s">
        <v>2440</v>
      </c>
      <c r="F1761" s="940"/>
      <c r="G1761" s="953"/>
      <c r="H1761" s="969"/>
      <c r="I1761" s="998" t="s">
        <v>4861</v>
      </c>
      <c r="J1761" s="957" t="s">
        <v>209</v>
      </c>
      <c r="K1761" s="984" t="s">
        <v>216</v>
      </c>
      <c r="L1761" s="959">
        <v>75.0</v>
      </c>
      <c r="M1761" s="960">
        <v>89.0</v>
      </c>
      <c r="N1761" s="960">
        <v>85.0</v>
      </c>
      <c r="O1761" s="960">
        <v>55.0</v>
      </c>
      <c r="P1761" s="960">
        <v>65.0</v>
      </c>
      <c r="Q1761" s="960">
        <v>36.0</v>
      </c>
      <c r="R1761" s="960">
        <v>108.0</v>
      </c>
      <c r="S1761" s="960">
        <v>171.0</v>
      </c>
      <c r="T1761" s="960">
        <v>188.0</v>
      </c>
      <c r="U1761" s="960">
        <f t="array" ref="U1761">HLOOKUP($J1761,'Type Chart'!$C$2:$T$20,2,false)*HLOOKUP($K1761,'Type Chart'!$C$2:$U$20,2,false)</f>
        <v>1</v>
      </c>
      <c r="V1761" s="960">
        <f t="array" ref="V1761">HLOOKUP($J1761,'Type Chart'!$C$2:$T$20,3,false)*HLOOKUP($K1761,'Type Chart'!$C$2:$U$20,3,false)</f>
        <v>1</v>
      </c>
      <c r="W1761" s="960">
        <f t="array" ref="W1761">HLOOKUP($J1761,'Type Chart'!$C$2:$T$20,4,false)*HLOOKUP($K1761,'Type Chart'!$C$2:$U$20,4,false)</f>
        <v>2</v>
      </c>
      <c r="X1761" s="960">
        <f t="array" ref="X1761">HLOOKUP($J1761,'Type Chart'!$C$2:$T$20,5,false)*HLOOKUP($K1761,'Type Chart'!$C$2:$U$20,5,false)</f>
        <v>2</v>
      </c>
      <c r="Y1761" s="960">
        <f t="array" ref="Y1761">HLOOKUP($J1761,'Type Chart'!$C$2:$T$20,6,false)*HLOOKUP($K1761,'Type Chart'!$C$2:$U$20,6,false)</f>
        <v>0.5</v>
      </c>
      <c r="Z1761" s="960">
        <f t="array" ref="Z1761">HLOOKUP($J1761,'Type Chart'!$C$2:$T$20,7,false)*HLOOKUP($K1761,'Type Chart'!$C$2:$U$20,7,false)</f>
        <v>1</v>
      </c>
      <c r="AA1761" s="960">
        <f t="array" ref="AA1761">HLOOKUP($J1761,'Type Chart'!$C$2:$T$20,8,false)*HLOOKUP($K1761,'Type Chart'!$C$2:$U$20,8,false)</f>
        <v>2</v>
      </c>
      <c r="AB1761" s="960">
        <f t="array" ref="AB1761">HLOOKUP($J1761,'Type Chart'!$C$2:$T$20,9,false)*HLOOKUP($K1761,'Type Chart'!$C$2:$U$20,9,false)</f>
        <v>1</v>
      </c>
      <c r="AC1761" s="960">
        <f t="array" ref="AC1761">HLOOKUP($J1761,'Type Chart'!$C$2:$T$20,10,false)*HLOOKUP($K1761,'Type Chart'!$C$2:$U$20,10,false)</f>
        <v>1</v>
      </c>
      <c r="AD1761" s="960">
        <f t="array" ref="AD1761">HLOOKUP($J1761,'Type Chart'!$C$2:$T$20,11,false)*HLOOKUP($K1761,'Type Chart'!$C$2:$U$20,11,false)</f>
        <v>2</v>
      </c>
      <c r="AE1761" s="960">
        <f t="array" ref="AE1761">HLOOKUP($J1761,'Type Chart'!$C$2:$T$20,12,false)*HLOOKUP($K1761,'Type Chart'!$C$2:$U$20,12,false)</f>
        <v>0.5</v>
      </c>
      <c r="AF1761" s="960">
        <f t="array" ref="AF1761">HLOOKUP($J1761,'Type Chart'!$C$2:$T$20,13,false)*HLOOKUP($K1761,'Type Chart'!$C$2:$U$20,13,false)</f>
        <v>0.5</v>
      </c>
      <c r="AG1761" s="960">
        <f t="array" ref="AG1761">HLOOKUP($J1761,'Type Chart'!$C$2:$T$20,14,false)*HLOOKUP($K1761,'Type Chart'!$C$2:$U$20,14,false)</f>
        <v>0.5</v>
      </c>
      <c r="AH1761" s="960">
        <f t="array" ref="AH1761">HLOOKUP($J1761,'Type Chart'!$C$2:$T$20,15,false)*HLOOKUP($K1761,'Type Chart'!$C$2:$U$20,15,false)</f>
        <v>1</v>
      </c>
      <c r="AI1761" s="960">
        <f t="array" ref="AI1761">HLOOKUP($J1761,'Type Chart'!$C$2:$T$20,16,false)*HLOOKUP($K1761,'Type Chart'!$C$2:$U$20,16,false)</f>
        <v>2</v>
      </c>
      <c r="AJ1761" s="960">
        <f t="array" ref="AJ1761">HLOOKUP($J1761,'Type Chart'!$C$2:$T$20,17,false)*HLOOKUP($K1761,'Type Chart'!$C$2:$U$20,17,false)</f>
        <v>1</v>
      </c>
      <c r="AK1761" s="960">
        <f t="array" ref="AK1761">HLOOKUP($J1761,'Type Chart'!$C$2:$T$20,18,false)*HLOOKUP($K1761,'Type Chart'!$C$2:$U$20,18,false)</f>
        <v>1</v>
      </c>
      <c r="AL1761" s="960">
        <f t="array" ref="AL1761">HLOOKUP($J1761,'Type Chart'!$C$2:$T$20,19,false)*HLOOKUP($K1761,'Type Chart'!$C$2:$U$20,19,false)</f>
        <v>1</v>
      </c>
      <c r="AM1761" s="964" t="s">
        <v>522</v>
      </c>
      <c r="AN1761" s="965"/>
      <c r="AO1761" s="966" t="s">
        <v>1385</v>
      </c>
      <c r="AP1761" s="936"/>
      <c r="AQ1761" s="1245"/>
      <c r="AR1761" s="1245"/>
      <c r="AS1761" s="936"/>
    </row>
    <row r="1762" ht="15.75" customHeight="1">
      <c r="A1762" s="1099"/>
      <c r="B1762" s="948" t="s">
        <v>2441</v>
      </c>
      <c r="C1762" s="1197" t="s">
        <v>2442</v>
      </c>
      <c r="D1762" s="1197" t="s">
        <v>2442</v>
      </c>
      <c r="E1762" s="1147" t="s">
        <v>2442</v>
      </c>
      <c r="F1762" s="940"/>
      <c r="G1762" s="953"/>
      <c r="H1762" s="969"/>
      <c r="I1762" s="998" t="s">
        <v>4862</v>
      </c>
      <c r="J1762" s="957" t="s">
        <v>209</v>
      </c>
      <c r="K1762" s="1204" t="s">
        <v>80</v>
      </c>
      <c r="L1762" s="959">
        <v>95.0</v>
      </c>
      <c r="M1762" s="960">
        <v>109.0</v>
      </c>
      <c r="N1762" s="960">
        <v>105.0</v>
      </c>
      <c r="O1762" s="960">
        <v>75.0</v>
      </c>
      <c r="P1762" s="960">
        <v>85.0</v>
      </c>
      <c r="Q1762" s="960">
        <v>56.0</v>
      </c>
      <c r="R1762" s="960">
        <v>148.0</v>
      </c>
      <c r="S1762" s="960">
        <v>211.0</v>
      </c>
      <c r="T1762" s="960">
        <v>232.0</v>
      </c>
      <c r="U1762" s="960">
        <f t="array" ref="U1762">HLOOKUP($J1762,'Type Chart'!$C$2:$T$20,2,false)*HLOOKUP($K1762,'Type Chart'!$C$2:$U$20,2,false)</f>
        <v>1</v>
      </c>
      <c r="V1762" s="960">
        <f t="array" ref="V1762">HLOOKUP($J1762,'Type Chart'!$C$2:$T$20,3,false)*HLOOKUP($K1762,'Type Chart'!$C$2:$U$20,3,false)</f>
        <v>1</v>
      </c>
      <c r="W1762" s="960">
        <f t="array" ref="W1762">HLOOKUP($J1762,'Type Chart'!$C$2:$T$20,4,false)*HLOOKUP($K1762,'Type Chart'!$C$2:$U$20,4,false)</f>
        <v>2</v>
      </c>
      <c r="X1762" s="960">
        <f t="array" ref="X1762">HLOOKUP($J1762,'Type Chart'!$C$2:$T$20,5,false)*HLOOKUP($K1762,'Type Chart'!$C$2:$U$20,5,false)</f>
        <v>1</v>
      </c>
      <c r="Y1762" s="960">
        <f t="array" ref="Y1762">HLOOKUP($J1762,'Type Chart'!$C$2:$T$20,6,false)*HLOOKUP($K1762,'Type Chart'!$C$2:$U$20,6,false)</f>
        <v>0.5</v>
      </c>
      <c r="Z1762" s="960">
        <f t="array" ref="Z1762">HLOOKUP($J1762,'Type Chart'!$C$2:$T$20,7,false)*HLOOKUP($K1762,'Type Chart'!$C$2:$U$20,7,false)</f>
        <v>0.5</v>
      </c>
      <c r="AA1762" s="960">
        <f t="array" ref="AA1762">HLOOKUP($J1762,'Type Chart'!$C$2:$T$20,8,false)*HLOOKUP($K1762,'Type Chart'!$C$2:$U$20,8,false)</f>
        <v>2</v>
      </c>
      <c r="AB1762" s="960">
        <f t="array" ref="AB1762">HLOOKUP($J1762,'Type Chart'!$C$2:$T$20,9,false)*HLOOKUP($K1762,'Type Chart'!$C$2:$U$20,9,false)</f>
        <v>1</v>
      </c>
      <c r="AC1762" s="960">
        <f t="array" ref="AC1762">HLOOKUP($J1762,'Type Chart'!$C$2:$T$20,10,false)*HLOOKUP($K1762,'Type Chart'!$C$2:$U$20,10,false)</f>
        <v>1</v>
      </c>
      <c r="AD1762" s="960">
        <f t="array" ref="AD1762">HLOOKUP($J1762,'Type Chart'!$C$2:$T$20,11,false)*HLOOKUP($K1762,'Type Chart'!$C$2:$U$20,11,false)</f>
        <v>2</v>
      </c>
      <c r="AE1762" s="960">
        <f t="array" ref="AE1762">HLOOKUP($J1762,'Type Chart'!$C$2:$T$20,12,false)*HLOOKUP($K1762,'Type Chart'!$C$2:$U$20,12,false)</f>
        <v>1</v>
      </c>
      <c r="AF1762" s="960">
        <f t="array" ref="AF1762">HLOOKUP($J1762,'Type Chart'!$C$2:$T$20,13,false)*HLOOKUP($K1762,'Type Chart'!$C$2:$U$20,13,false)</f>
        <v>1</v>
      </c>
      <c r="AG1762" s="960">
        <f t="array" ref="AG1762">HLOOKUP($J1762,'Type Chart'!$C$2:$T$20,14,false)*HLOOKUP($K1762,'Type Chart'!$C$2:$U$20,14,false)</f>
        <v>0</v>
      </c>
      <c r="AH1762" s="960">
        <f t="array" ref="AH1762">HLOOKUP($J1762,'Type Chart'!$C$2:$T$20,15,false)*HLOOKUP($K1762,'Type Chart'!$C$2:$U$20,15,false)</f>
        <v>1</v>
      </c>
      <c r="AI1762" s="960">
        <f t="array" ref="AI1762">HLOOKUP($J1762,'Type Chart'!$C$2:$T$20,16,false)*HLOOKUP($K1762,'Type Chart'!$C$2:$U$20,16,false)</f>
        <v>4</v>
      </c>
      <c r="AJ1762" s="960">
        <f t="array" ref="AJ1762">HLOOKUP($J1762,'Type Chart'!$C$2:$T$20,17,false)*HLOOKUP($K1762,'Type Chart'!$C$2:$U$20,17,false)</f>
        <v>1</v>
      </c>
      <c r="AK1762" s="960">
        <f t="array" ref="AK1762">HLOOKUP($J1762,'Type Chart'!$C$2:$T$20,18,false)*HLOOKUP($K1762,'Type Chart'!$C$2:$U$20,18,false)</f>
        <v>1</v>
      </c>
      <c r="AL1762" s="960">
        <f t="array" ref="AL1762">HLOOKUP($J1762,'Type Chart'!$C$2:$T$20,19,false)*HLOOKUP($K1762,'Type Chart'!$C$2:$U$20,19,false)</f>
        <v>1</v>
      </c>
      <c r="AM1762" s="964" t="s">
        <v>522</v>
      </c>
      <c r="AN1762" s="965"/>
      <c r="AO1762" s="966" t="s">
        <v>1385</v>
      </c>
      <c r="AP1762" s="936"/>
      <c r="AQ1762" s="1245"/>
      <c r="AR1762" s="1245"/>
      <c r="AS1762" s="936"/>
    </row>
    <row r="1763" ht="15.75" customHeight="1">
      <c r="A1763" s="1099"/>
      <c r="B1763" s="948" t="s">
        <v>2443</v>
      </c>
      <c r="C1763" s="1197" t="s">
        <v>2444</v>
      </c>
      <c r="D1763" s="1197" t="s">
        <v>2444</v>
      </c>
      <c r="E1763" s="1147" t="s">
        <v>2444</v>
      </c>
      <c r="F1763" s="940"/>
      <c r="G1763" s="953"/>
      <c r="H1763" s="969"/>
      <c r="I1763" s="998" t="s">
        <v>4863</v>
      </c>
      <c r="J1763" s="982" t="s">
        <v>150</v>
      </c>
      <c r="K1763" s="984" t="s">
        <v>216</v>
      </c>
      <c r="L1763" s="959">
        <v>44.0</v>
      </c>
      <c r="M1763" s="960">
        <v>58.0</v>
      </c>
      <c r="N1763" s="960">
        <v>44.0</v>
      </c>
      <c r="O1763" s="960">
        <v>58.0</v>
      </c>
      <c r="P1763" s="960">
        <v>44.0</v>
      </c>
      <c r="Q1763" s="960">
        <v>61.0</v>
      </c>
      <c r="R1763" s="960">
        <v>158.0</v>
      </c>
      <c r="S1763" s="960">
        <v>221.0</v>
      </c>
      <c r="T1763" s="960">
        <v>243.0</v>
      </c>
      <c r="U1763" s="960">
        <f t="array" ref="U1763">HLOOKUP($J1763,'Type Chart'!$C$2:$T$20,2,false)*HLOOKUP($K1763,'Type Chart'!$C$2:$U$20,2,false)</f>
        <v>1</v>
      </c>
      <c r="V1763" s="960">
        <f t="array" ref="V1763">HLOOKUP($J1763,'Type Chart'!$C$2:$T$20,3,false)*HLOOKUP($K1763,'Type Chart'!$C$2:$U$20,3,false)</f>
        <v>1</v>
      </c>
      <c r="W1763" s="960">
        <f t="array" ref="W1763">HLOOKUP($J1763,'Type Chart'!$C$2:$T$20,4,false)*HLOOKUP($K1763,'Type Chart'!$C$2:$U$20,4,false)</f>
        <v>1</v>
      </c>
      <c r="X1763" s="960">
        <f t="array" ref="X1763">HLOOKUP($J1763,'Type Chart'!$C$2:$T$20,5,false)*HLOOKUP($K1763,'Type Chart'!$C$2:$U$20,5,false)</f>
        <v>1</v>
      </c>
      <c r="Y1763" s="960">
        <f t="array" ref="Y1763">HLOOKUP($J1763,'Type Chart'!$C$2:$T$20,6,false)*HLOOKUP($K1763,'Type Chart'!$C$2:$U$20,6,false)</f>
        <v>2</v>
      </c>
      <c r="Z1763" s="960">
        <f t="array" ref="Z1763">HLOOKUP($J1763,'Type Chart'!$C$2:$T$20,7,false)*HLOOKUP($K1763,'Type Chart'!$C$2:$U$20,7,false)</f>
        <v>2</v>
      </c>
      <c r="AA1763" s="960">
        <f t="array" ref="AA1763">HLOOKUP($J1763,'Type Chart'!$C$2:$T$20,8,false)*HLOOKUP($K1763,'Type Chart'!$C$2:$U$20,8,false)</f>
        <v>0.5</v>
      </c>
      <c r="AB1763" s="960">
        <f t="array" ref="AB1763">HLOOKUP($J1763,'Type Chart'!$C$2:$T$20,9,false)*HLOOKUP($K1763,'Type Chart'!$C$2:$U$20,9,false)</f>
        <v>1</v>
      </c>
      <c r="AC1763" s="960">
        <f t="array" ref="AC1763">HLOOKUP($J1763,'Type Chart'!$C$2:$T$20,10,false)*HLOOKUP($K1763,'Type Chart'!$C$2:$U$20,10,false)</f>
        <v>0.5</v>
      </c>
      <c r="AD1763" s="960">
        <f t="array" ref="AD1763">HLOOKUP($J1763,'Type Chart'!$C$2:$T$20,11,false)*HLOOKUP($K1763,'Type Chart'!$C$2:$U$20,11,false)</f>
        <v>0.5</v>
      </c>
      <c r="AE1763" s="960">
        <f t="array" ref="AE1763">HLOOKUP($J1763,'Type Chart'!$C$2:$T$20,12,false)*HLOOKUP($K1763,'Type Chart'!$C$2:$U$20,12,false)</f>
        <v>2</v>
      </c>
      <c r="AF1763" s="960">
        <f t="array" ref="AF1763">HLOOKUP($J1763,'Type Chart'!$C$2:$T$20,13,false)*HLOOKUP($K1763,'Type Chart'!$C$2:$U$20,13,false)</f>
        <v>0.5</v>
      </c>
      <c r="AG1763" s="960">
        <f t="array" ref="AG1763">HLOOKUP($J1763,'Type Chart'!$C$2:$T$20,14,false)*HLOOKUP($K1763,'Type Chart'!$C$2:$U$20,14,false)</f>
        <v>1</v>
      </c>
      <c r="AH1763" s="960">
        <f t="array" ref="AH1763">HLOOKUP($J1763,'Type Chart'!$C$2:$T$20,15,false)*HLOOKUP($K1763,'Type Chart'!$C$2:$U$20,15,false)</f>
        <v>1</v>
      </c>
      <c r="AI1763" s="960">
        <f t="array" ref="AI1763">HLOOKUP($J1763,'Type Chart'!$C$2:$T$20,16,false)*HLOOKUP($K1763,'Type Chart'!$C$2:$U$20,16,false)</f>
        <v>0.5</v>
      </c>
      <c r="AJ1763" s="960">
        <f t="array" ref="AJ1763">HLOOKUP($J1763,'Type Chart'!$C$2:$T$20,17,false)*HLOOKUP($K1763,'Type Chart'!$C$2:$U$20,17,false)</f>
        <v>1</v>
      </c>
      <c r="AK1763" s="960">
        <f t="array" ref="AK1763">HLOOKUP($J1763,'Type Chart'!$C$2:$T$20,18,false)*HLOOKUP($K1763,'Type Chart'!$C$2:$U$20,18,false)</f>
        <v>1</v>
      </c>
      <c r="AL1763" s="960">
        <f t="array" ref="AL1763">HLOOKUP($J1763,'Type Chart'!$C$2:$T$20,19,false)*HLOOKUP($K1763,'Type Chart'!$C$2:$U$20,19,false)</f>
        <v>0.5</v>
      </c>
      <c r="AM1763" s="964" t="s">
        <v>830</v>
      </c>
      <c r="AN1763" s="965"/>
      <c r="AO1763" s="966" t="s">
        <v>1501</v>
      </c>
      <c r="AP1763" s="936"/>
      <c r="AQ1763" s="1245"/>
      <c r="AR1763" s="1245"/>
      <c r="AS1763" s="936"/>
    </row>
    <row r="1764" ht="15.75" customHeight="1">
      <c r="A1764" s="1099"/>
      <c r="B1764" s="948" t="s">
        <v>2446</v>
      </c>
      <c r="C1764" s="1197" t="s">
        <v>2447</v>
      </c>
      <c r="D1764" s="1197" t="s">
        <v>2447</v>
      </c>
      <c r="E1764" s="1147" t="s">
        <v>2447</v>
      </c>
      <c r="F1764" s="940"/>
      <c r="G1764" s="953"/>
      <c r="H1764" s="969"/>
      <c r="I1764" s="998" t="s">
        <v>4864</v>
      </c>
      <c r="J1764" s="982" t="s">
        <v>150</v>
      </c>
      <c r="K1764" s="1213" t="s">
        <v>341</v>
      </c>
      <c r="L1764" s="959">
        <v>64.0</v>
      </c>
      <c r="M1764" s="960">
        <v>78.0</v>
      </c>
      <c r="N1764" s="960">
        <v>52.0</v>
      </c>
      <c r="O1764" s="960">
        <v>78.0</v>
      </c>
      <c r="P1764" s="960">
        <v>52.0</v>
      </c>
      <c r="Q1764" s="960">
        <v>81.0</v>
      </c>
      <c r="R1764" s="960">
        <v>198.0</v>
      </c>
      <c r="S1764" s="960">
        <v>261.0</v>
      </c>
      <c r="T1764" s="960">
        <v>287.0</v>
      </c>
      <c r="U1764" s="960">
        <f t="array" ref="U1764">HLOOKUP($J1764,'Type Chart'!$C$2:$T$20,2,false)*HLOOKUP($K1764,'Type Chart'!$C$2:$U$20,2,false)</f>
        <v>1</v>
      </c>
      <c r="V1764" s="960">
        <f t="array" ref="V1764">HLOOKUP($J1764,'Type Chart'!$C$2:$T$20,3,false)*HLOOKUP($K1764,'Type Chart'!$C$2:$U$20,3,false)</f>
        <v>1</v>
      </c>
      <c r="W1764" s="960">
        <f t="array" ref="W1764">HLOOKUP($J1764,'Type Chart'!$C$2:$T$20,4,false)*HLOOKUP($K1764,'Type Chart'!$C$2:$U$20,4,false)</f>
        <v>2</v>
      </c>
      <c r="X1764" s="960">
        <f t="array" ref="X1764">HLOOKUP($J1764,'Type Chart'!$C$2:$T$20,5,false)*HLOOKUP($K1764,'Type Chart'!$C$2:$U$20,5,false)</f>
        <v>1</v>
      </c>
      <c r="Y1764" s="960">
        <f t="array" ref="Y1764">HLOOKUP($J1764,'Type Chart'!$C$2:$T$20,6,false)*HLOOKUP($K1764,'Type Chart'!$C$2:$U$20,6,false)</f>
        <v>2</v>
      </c>
      <c r="Z1764" s="960">
        <f t="array" ref="Z1764">HLOOKUP($J1764,'Type Chart'!$C$2:$T$20,7,false)*HLOOKUP($K1764,'Type Chart'!$C$2:$U$20,7,false)</f>
        <v>1</v>
      </c>
      <c r="AA1764" s="960">
        <f t="array" ref="AA1764">HLOOKUP($J1764,'Type Chart'!$C$2:$T$20,8,false)*HLOOKUP($K1764,'Type Chart'!$C$2:$U$20,8,false)</f>
        <v>0.25</v>
      </c>
      <c r="AB1764" s="960">
        <f t="array" ref="AB1764">HLOOKUP($J1764,'Type Chart'!$C$2:$T$20,9,false)*HLOOKUP($K1764,'Type Chart'!$C$2:$U$20,9,false)</f>
        <v>1</v>
      </c>
      <c r="AC1764" s="960">
        <f t="array" ref="AC1764">HLOOKUP($J1764,'Type Chart'!$C$2:$T$20,10,false)*HLOOKUP($K1764,'Type Chart'!$C$2:$U$20,10,false)</f>
        <v>0.5</v>
      </c>
      <c r="AD1764" s="960">
        <f t="array" ref="AD1764">HLOOKUP($J1764,'Type Chart'!$C$2:$T$20,11,false)*HLOOKUP($K1764,'Type Chart'!$C$2:$U$20,11,false)</f>
        <v>0.5</v>
      </c>
      <c r="AE1764" s="960">
        <f t="array" ref="AE1764">HLOOKUP($J1764,'Type Chart'!$C$2:$T$20,12,false)*HLOOKUP($K1764,'Type Chart'!$C$2:$U$20,12,false)</f>
        <v>2</v>
      </c>
      <c r="AF1764" s="960">
        <f t="array" ref="AF1764">HLOOKUP($J1764,'Type Chart'!$C$2:$T$20,13,false)*HLOOKUP($K1764,'Type Chart'!$C$2:$U$20,13,false)</f>
        <v>0.5</v>
      </c>
      <c r="AG1764" s="960">
        <f t="array" ref="AG1764">HLOOKUP($J1764,'Type Chart'!$C$2:$T$20,14,false)*HLOOKUP($K1764,'Type Chart'!$C$2:$U$20,14,false)</f>
        <v>1</v>
      </c>
      <c r="AH1764" s="960">
        <f t="array" ref="AH1764">HLOOKUP($J1764,'Type Chart'!$C$2:$T$20,15,false)*HLOOKUP($K1764,'Type Chart'!$C$2:$U$20,15,false)</f>
        <v>2</v>
      </c>
      <c r="AI1764" s="960">
        <f t="array" ref="AI1764">HLOOKUP($J1764,'Type Chart'!$C$2:$T$20,16,false)*HLOOKUP($K1764,'Type Chart'!$C$2:$U$20,16,false)</f>
        <v>0.5</v>
      </c>
      <c r="AJ1764" s="960">
        <f t="array" ref="AJ1764">HLOOKUP($J1764,'Type Chart'!$C$2:$T$20,17,false)*HLOOKUP($K1764,'Type Chart'!$C$2:$U$20,17,false)</f>
        <v>1</v>
      </c>
      <c r="AK1764" s="960">
        <f t="array" ref="AK1764">HLOOKUP($J1764,'Type Chart'!$C$2:$T$20,18,false)*HLOOKUP($K1764,'Type Chart'!$C$2:$U$20,18,false)</f>
        <v>0.5</v>
      </c>
      <c r="AL1764" s="960">
        <f t="array" ref="AL1764">HLOOKUP($J1764,'Type Chart'!$C$2:$T$20,19,false)*HLOOKUP($K1764,'Type Chart'!$C$2:$U$20,19,false)</f>
        <v>1</v>
      </c>
      <c r="AM1764" s="964" t="s">
        <v>830</v>
      </c>
      <c r="AN1764" s="965"/>
      <c r="AO1764" s="966" t="s">
        <v>1501</v>
      </c>
      <c r="AP1764" s="936"/>
      <c r="AQ1764" s="1245"/>
      <c r="AR1764" s="1245"/>
      <c r="AS1764" s="936"/>
    </row>
    <row r="1765" ht="15.75" customHeight="1">
      <c r="A1765" s="1099"/>
      <c r="B1765" s="948" t="s">
        <v>2448</v>
      </c>
      <c r="C1765" s="1197" t="s">
        <v>2449</v>
      </c>
      <c r="D1765" s="1197" t="s">
        <v>2449</v>
      </c>
      <c r="E1765" s="1147" t="s">
        <v>2449</v>
      </c>
      <c r="F1765" s="940"/>
      <c r="G1765" s="953"/>
      <c r="H1765" s="969"/>
      <c r="I1765" s="998" t="s">
        <v>4865</v>
      </c>
      <c r="J1765" s="982" t="s">
        <v>150</v>
      </c>
      <c r="K1765" s="1213" t="s">
        <v>341</v>
      </c>
      <c r="L1765" s="959">
        <v>76.0</v>
      </c>
      <c r="M1765" s="960">
        <v>104.0</v>
      </c>
      <c r="N1765" s="960">
        <v>71.0</v>
      </c>
      <c r="O1765" s="960">
        <v>104.0</v>
      </c>
      <c r="P1765" s="960">
        <v>71.0</v>
      </c>
      <c r="Q1765" s="960">
        <v>108.0</v>
      </c>
      <c r="R1765" s="960">
        <v>252.0</v>
      </c>
      <c r="S1765" s="960">
        <v>315.0</v>
      </c>
      <c r="T1765" s="960">
        <v>346.0</v>
      </c>
      <c r="U1765" s="960">
        <f t="array" ref="U1765">HLOOKUP($J1765,'Type Chart'!$C$2:$T$20,2,false)*HLOOKUP($K1765,'Type Chart'!$C$2:$U$20,2,false)</f>
        <v>1</v>
      </c>
      <c r="V1765" s="960">
        <f t="array" ref="V1765">HLOOKUP($J1765,'Type Chart'!$C$2:$T$20,3,false)*HLOOKUP($K1765,'Type Chart'!$C$2:$U$20,3,false)</f>
        <v>1</v>
      </c>
      <c r="W1765" s="960">
        <f t="array" ref="W1765">HLOOKUP($J1765,'Type Chart'!$C$2:$T$20,4,false)*HLOOKUP($K1765,'Type Chart'!$C$2:$U$20,4,false)</f>
        <v>2</v>
      </c>
      <c r="X1765" s="960">
        <f t="array" ref="X1765">HLOOKUP($J1765,'Type Chart'!$C$2:$T$20,5,false)*HLOOKUP($K1765,'Type Chart'!$C$2:$U$20,5,false)</f>
        <v>1</v>
      </c>
      <c r="Y1765" s="960">
        <f t="array" ref="Y1765">HLOOKUP($J1765,'Type Chart'!$C$2:$T$20,6,false)*HLOOKUP($K1765,'Type Chart'!$C$2:$U$20,6,false)</f>
        <v>2</v>
      </c>
      <c r="Z1765" s="960">
        <f t="array" ref="Z1765">HLOOKUP($J1765,'Type Chart'!$C$2:$T$20,7,false)*HLOOKUP($K1765,'Type Chart'!$C$2:$U$20,7,false)</f>
        <v>1</v>
      </c>
      <c r="AA1765" s="960">
        <f t="array" ref="AA1765">HLOOKUP($J1765,'Type Chart'!$C$2:$T$20,8,false)*HLOOKUP($K1765,'Type Chart'!$C$2:$U$20,8,false)</f>
        <v>0.25</v>
      </c>
      <c r="AB1765" s="960">
        <f t="array" ref="AB1765">HLOOKUP($J1765,'Type Chart'!$C$2:$T$20,9,false)*HLOOKUP($K1765,'Type Chart'!$C$2:$U$20,9,false)</f>
        <v>1</v>
      </c>
      <c r="AC1765" s="960">
        <f t="array" ref="AC1765">HLOOKUP($J1765,'Type Chart'!$C$2:$T$20,10,false)*HLOOKUP($K1765,'Type Chart'!$C$2:$U$20,10,false)</f>
        <v>0.5</v>
      </c>
      <c r="AD1765" s="960">
        <f t="array" ref="AD1765">HLOOKUP($J1765,'Type Chart'!$C$2:$T$20,11,false)*HLOOKUP($K1765,'Type Chart'!$C$2:$U$20,11,false)</f>
        <v>0.5</v>
      </c>
      <c r="AE1765" s="960">
        <f t="array" ref="AE1765">HLOOKUP($J1765,'Type Chart'!$C$2:$T$20,12,false)*HLOOKUP($K1765,'Type Chart'!$C$2:$U$20,12,false)</f>
        <v>2</v>
      </c>
      <c r="AF1765" s="960">
        <f t="array" ref="AF1765">HLOOKUP($J1765,'Type Chart'!$C$2:$T$20,13,false)*HLOOKUP($K1765,'Type Chart'!$C$2:$U$20,13,false)</f>
        <v>0.5</v>
      </c>
      <c r="AG1765" s="960">
        <f t="array" ref="AG1765">HLOOKUP($J1765,'Type Chart'!$C$2:$T$20,14,false)*HLOOKUP($K1765,'Type Chart'!$C$2:$U$20,14,false)</f>
        <v>1</v>
      </c>
      <c r="AH1765" s="960">
        <f t="array" ref="AH1765">HLOOKUP($J1765,'Type Chart'!$C$2:$T$20,15,false)*HLOOKUP($K1765,'Type Chart'!$C$2:$U$20,15,false)</f>
        <v>2</v>
      </c>
      <c r="AI1765" s="960">
        <f t="array" ref="AI1765">HLOOKUP($J1765,'Type Chart'!$C$2:$T$20,16,false)*HLOOKUP($K1765,'Type Chart'!$C$2:$U$20,16,false)</f>
        <v>0.5</v>
      </c>
      <c r="AJ1765" s="960">
        <f t="array" ref="AJ1765">HLOOKUP($J1765,'Type Chart'!$C$2:$T$20,17,false)*HLOOKUP($K1765,'Type Chart'!$C$2:$U$20,17,false)</f>
        <v>1</v>
      </c>
      <c r="AK1765" s="960">
        <f t="array" ref="AK1765">HLOOKUP($J1765,'Type Chart'!$C$2:$T$20,18,false)*HLOOKUP($K1765,'Type Chart'!$C$2:$U$20,18,false)</f>
        <v>0.5</v>
      </c>
      <c r="AL1765" s="960">
        <f t="array" ref="AL1765">HLOOKUP($J1765,'Type Chart'!$C$2:$T$20,19,false)*HLOOKUP($K1765,'Type Chart'!$C$2:$U$20,19,false)</f>
        <v>1</v>
      </c>
      <c r="AM1765" s="964" t="s">
        <v>830</v>
      </c>
      <c r="AN1765" s="965"/>
      <c r="AO1765" s="966" t="s">
        <v>1501</v>
      </c>
      <c r="AP1765" s="936"/>
      <c r="AQ1765" s="1245"/>
      <c r="AR1765" s="1245"/>
      <c r="AS1765" s="936"/>
    </row>
    <row r="1766" ht="15.75" customHeight="1">
      <c r="A1766" s="1099"/>
      <c r="B1766" s="948" t="s">
        <v>2450</v>
      </c>
      <c r="C1766" s="1197" t="s">
        <v>2451</v>
      </c>
      <c r="D1766" s="1197" t="s">
        <v>2451</v>
      </c>
      <c r="E1766" s="1147" t="s">
        <v>2451</v>
      </c>
      <c r="F1766" s="940"/>
      <c r="G1766" s="953"/>
      <c r="H1766" s="969"/>
      <c r="I1766" s="998" t="s">
        <v>4866</v>
      </c>
      <c r="J1766" s="1056" t="s">
        <v>81</v>
      </c>
      <c r="K1766" s="984" t="s">
        <v>216</v>
      </c>
      <c r="L1766" s="959">
        <v>53.0</v>
      </c>
      <c r="M1766" s="960">
        <v>51.0</v>
      </c>
      <c r="N1766" s="960">
        <v>53.0</v>
      </c>
      <c r="O1766" s="960">
        <v>61.0</v>
      </c>
      <c r="P1766" s="960">
        <v>56.0</v>
      </c>
      <c r="Q1766" s="960">
        <v>40.0</v>
      </c>
      <c r="R1766" s="960">
        <v>116.0</v>
      </c>
      <c r="S1766" s="960">
        <v>179.0</v>
      </c>
      <c r="T1766" s="960">
        <v>196.0</v>
      </c>
      <c r="U1766" s="960">
        <f t="array" ref="U1766">HLOOKUP($J1766,'Type Chart'!$C$2:$T$20,2,false)*HLOOKUP($K1766,'Type Chart'!$C$2:$U$20,2,false)</f>
        <v>1</v>
      </c>
      <c r="V1766" s="960">
        <f t="array" ref="V1766">HLOOKUP($J1766,'Type Chart'!$C$2:$T$20,3,false)*HLOOKUP($K1766,'Type Chart'!$C$2:$U$20,3,false)</f>
        <v>1</v>
      </c>
      <c r="W1766" s="960">
        <f t="array" ref="W1766">HLOOKUP($J1766,'Type Chart'!$C$2:$T$20,4,false)*HLOOKUP($K1766,'Type Chart'!$C$2:$U$20,4,false)</f>
        <v>1</v>
      </c>
      <c r="X1766" s="960">
        <f t="array" ref="X1766">HLOOKUP($J1766,'Type Chart'!$C$2:$T$20,5,false)*HLOOKUP($K1766,'Type Chart'!$C$2:$U$20,5,false)</f>
        <v>1</v>
      </c>
      <c r="Y1766" s="960">
        <f t="array" ref="Y1766">HLOOKUP($J1766,'Type Chart'!$C$2:$T$20,6,false)*HLOOKUP($K1766,'Type Chart'!$C$2:$U$20,6,false)</f>
        <v>1</v>
      </c>
      <c r="Z1766" s="960">
        <f t="array" ref="Z1766">HLOOKUP($J1766,'Type Chart'!$C$2:$T$20,7,false)*HLOOKUP($K1766,'Type Chart'!$C$2:$U$20,7,false)</f>
        <v>1</v>
      </c>
      <c r="AA1766" s="960">
        <f t="array" ref="AA1766">HLOOKUP($J1766,'Type Chart'!$C$2:$T$20,8,false)*HLOOKUP($K1766,'Type Chart'!$C$2:$U$20,8,false)</f>
        <v>1</v>
      </c>
      <c r="AB1766" s="960">
        <f t="array" ref="AB1766">HLOOKUP($J1766,'Type Chart'!$C$2:$T$20,9,false)*HLOOKUP($K1766,'Type Chart'!$C$2:$U$20,9,false)</f>
        <v>1</v>
      </c>
      <c r="AC1766" s="960">
        <f t="array" ref="AC1766">HLOOKUP($J1766,'Type Chart'!$C$2:$T$20,10,false)*HLOOKUP($K1766,'Type Chart'!$C$2:$U$20,10,false)</f>
        <v>0.5</v>
      </c>
      <c r="AD1766" s="960">
        <f t="array" ref="AD1766">HLOOKUP($J1766,'Type Chart'!$C$2:$T$20,11,false)*HLOOKUP($K1766,'Type Chart'!$C$2:$U$20,11,false)</f>
        <v>0.5</v>
      </c>
      <c r="AE1766" s="960">
        <f t="array" ref="AE1766">HLOOKUP($J1766,'Type Chart'!$C$2:$T$20,12,false)*HLOOKUP($K1766,'Type Chart'!$C$2:$U$20,12,false)</f>
        <v>0.5</v>
      </c>
      <c r="AF1766" s="960">
        <f t="array" ref="AF1766">HLOOKUP($J1766,'Type Chart'!$C$2:$T$20,13,false)*HLOOKUP($K1766,'Type Chart'!$C$2:$U$20,13,false)</f>
        <v>2</v>
      </c>
      <c r="AG1766" s="960">
        <f t="array" ref="AG1766">HLOOKUP($J1766,'Type Chart'!$C$2:$T$20,14,false)*HLOOKUP($K1766,'Type Chart'!$C$2:$U$20,14,false)</f>
        <v>2</v>
      </c>
      <c r="AH1766" s="960">
        <f t="array" ref="AH1766">HLOOKUP($J1766,'Type Chart'!$C$2:$T$20,15,false)*HLOOKUP($K1766,'Type Chart'!$C$2:$U$20,15,false)</f>
        <v>1</v>
      </c>
      <c r="AI1766" s="960">
        <f t="array" ref="AI1766">HLOOKUP($J1766,'Type Chart'!$C$2:$T$20,16,false)*HLOOKUP($K1766,'Type Chart'!$C$2:$U$20,16,false)</f>
        <v>0.5</v>
      </c>
      <c r="AJ1766" s="960">
        <f t="array" ref="AJ1766">HLOOKUP($J1766,'Type Chart'!$C$2:$T$20,17,false)*HLOOKUP($K1766,'Type Chart'!$C$2:$U$20,17,false)</f>
        <v>1</v>
      </c>
      <c r="AK1766" s="960">
        <f t="array" ref="AK1766">HLOOKUP($J1766,'Type Chart'!$C$2:$T$20,18,false)*HLOOKUP($K1766,'Type Chart'!$C$2:$U$20,18,false)</f>
        <v>1</v>
      </c>
      <c r="AL1766" s="960">
        <f t="array" ref="AL1766">HLOOKUP($J1766,'Type Chart'!$C$2:$T$20,19,false)*HLOOKUP($K1766,'Type Chart'!$C$2:$U$20,19,false)</f>
        <v>1</v>
      </c>
      <c r="AM1766" s="964" t="s">
        <v>959</v>
      </c>
      <c r="AN1766" s="965"/>
      <c r="AO1766" s="966" t="s">
        <v>1267</v>
      </c>
      <c r="AP1766" s="936"/>
      <c r="AQ1766" s="1245"/>
      <c r="AR1766" s="1245"/>
      <c r="AS1766" s="936"/>
    </row>
    <row r="1767" ht="15.75" customHeight="1">
      <c r="A1767" s="1099"/>
      <c r="B1767" s="948" t="s">
        <v>2453</v>
      </c>
      <c r="C1767" s="1197" t="s">
        <v>2454</v>
      </c>
      <c r="D1767" s="1197" t="s">
        <v>2454</v>
      </c>
      <c r="E1767" s="1147" t="s">
        <v>2454</v>
      </c>
      <c r="F1767" s="940"/>
      <c r="G1767" s="953"/>
      <c r="H1767" s="969"/>
      <c r="I1767" s="998" t="s">
        <v>4867</v>
      </c>
      <c r="J1767" s="1056" t="s">
        <v>81</v>
      </c>
      <c r="K1767" s="984" t="s">
        <v>216</v>
      </c>
      <c r="L1767" s="959">
        <v>64.0</v>
      </c>
      <c r="M1767" s="960">
        <v>66.0</v>
      </c>
      <c r="N1767" s="960">
        <v>68.0</v>
      </c>
      <c r="O1767" s="960">
        <v>81.0</v>
      </c>
      <c r="P1767" s="960">
        <v>76.0</v>
      </c>
      <c r="Q1767" s="960">
        <v>50.0</v>
      </c>
      <c r="R1767" s="960">
        <v>136.0</v>
      </c>
      <c r="S1767" s="960">
        <v>199.0</v>
      </c>
      <c r="T1767" s="960">
        <v>218.0</v>
      </c>
      <c r="U1767" s="960">
        <f t="array" ref="U1767">HLOOKUP($J1767,'Type Chart'!$C$2:$T$20,2,false)*HLOOKUP($K1767,'Type Chart'!$C$2:$U$20,2,false)</f>
        <v>1</v>
      </c>
      <c r="V1767" s="960">
        <f t="array" ref="V1767">HLOOKUP($J1767,'Type Chart'!$C$2:$T$20,3,false)*HLOOKUP($K1767,'Type Chart'!$C$2:$U$20,3,false)</f>
        <v>1</v>
      </c>
      <c r="W1767" s="960">
        <f t="array" ref="W1767">HLOOKUP($J1767,'Type Chart'!$C$2:$T$20,4,false)*HLOOKUP($K1767,'Type Chart'!$C$2:$U$20,4,false)</f>
        <v>1</v>
      </c>
      <c r="X1767" s="960">
        <f t="array" ref="X1767">HLOOKUP($J1767,'Type Chart'!$C$2:$T$20,5,false)*HLOOKUP($K1767,'Type Chart'!$C$2:$U$20,5,false)</f>
        <v>1</v>
      </c>
      <c r="Y1767" s="960">
        <f t="array" ref="Y1767">HLOOKUP($J1767,'Type Chart'!$C$2:$T$20,6,false)*HLOOKUP($K1767,'Type Chart'!$C$2:$U$20,6,false)</f>
        <v>1</v>
      </c>
      <c r="Z1767" s="960">
        <f t="array" ref="Z1767">HLOOKUP($J1767,'Type Chart'!$C$2:$T$20,7,false)*HLOOKUP($K1767,'Type Chart'!$C$2:$U$20,7,false)</f>
        <v>1</v>
      </c>
      <c r="AA1767" s="960">
        <f t="array" ref="AA1767">HLOOKUP($J1767,'Type Chart'!$C$2:$T$20,8,false)*HLOOKUP($K1767,'Type Chart'!$C$2:$U$20,8,false)</f>
        <v>1</v>
      </c>
      <c r="AB1767" s="960">
        <f t="array" ref="AB1767">HLOOKUP($J1767,'Type Chart'!$C$2:$T$20,9,false)*HLOOKUP($K1767,'Type Chart'!$C$2:$U$20,9,false)</f>
        <v>1</v>
      </c>
      <c r="AC1767" s="960">
        <f t="array" ref="AC1767">HLOOKUP($J1767,'Type Chart'!$C$2:$T$20,10,false)*HLOOKUP($K1767,'Type Chart'!$C$2:$U$20,10,false)</f>
        <v>0.5</v>
      </c>
      <c r="AD1767" s="960">
        <f t="array" ref="AD1767">HLOOKUP($J1767,'Type Chart'!$C$2:$T$20,11,false)*HLOOKUP($K1767,'Type Chart'!$C$2:$U$20,11,false)</f>
        <v>0.5</v>
      </c>
      <c r="AE1767" s="960">
        <f t="array" ref="AE1767">HLOOKUP($J1767,'Type Chart'!$C$2:$T$20,12,false)*HLOOKUP($K1767,'Type Chart'!$C$2:$U$20,12,false)</f>
        <v>0.5</v>
      </c>
      <c r="AF1767" s="960">
        <f t="array" ref="AF1767">HLOOKUP($J1767,'Type Chart'!$C$2:$T$20,13,false)*HLOOKUP($K1767,'Type Chart'!$C$2:$U$20,13,false)</f>
        <v>2</v>
      </c>
      <c r="AG1767" s="960">
        <f t="array" ref="AG1767">HLOOKUP($J1767,'Type Chart'!$C$2:$T$20,14,false)*HLOOKUP($K1767,'Type Chart'!$C$2:$U$20,14,false)</f>
        <v>2</v>
      </c>
      <c r="AH1767" s="960">
        <f t="array" ref="AH1767">HLOOKUP($J1767,'Type Chart'!$C$2:$T$20,15,false)*HLOOKUP($K1767,'Type Chart'!$C$2:$U$20,15,false)</f>
        <v>1</v>
      </c>
      <c r="AI1767" s="960">
        <f t="array" ref="AI1767">HLOOKUP($J1767,'Type Chart'!$C$2:$T$20,16,false)*HLOOKUP($K1767,'Type Chart'!$C$2:$U$20,16,false)</f>
        <v>0.5</v>
      </c>
      <c r="AJ1767" s="960">
        <f t="array" ref="AJ1767">HLOOKUP($J1767,'Type Chart'!$C$2:$T$20,17,false)*HLOOKUP($K1767,'Type Chart'!$C$2:$U$20,17,false)</f>
        <v>1</v>
      </c>
      <c r="AK1767" s="960">
        <f t="array" ref="AK1767">HLOOKUP($J1767,'Type Chart'!$C$2:$T$20,18,false)*HLOOKUP($K1767,'Type Chart'!$C$2:$U$20,18,false)</f>
        <v>1</v>
      </c>
      <c r="AL1767" s="960">
        <f t="array" ref="AL1767">HLOOKUP($J1767,'Type Chart'!$C$2:$T$20,19,false)*HLOOKUP($K1767,'Type Chart'!$C$2:$U$20,19,false)</f>
        <v>1</v>
      </c>
      <c r="AM1767" s="964" t="s">
        <v>959</v>
      </c>
      <c r="AN1767" s="965"/>
      <c r="AO1767" s="966" t="s">
        <v>1267</v>
      </c>
      <c r="AP1767" s="936"/>
      <c r="AQ1767" s="1245"/>
      <c r="AR1767" s="1245"/>
      <c r="AS1767" s="936"/>
    </row>
    <row r="1768" ht="15.75" customHeight="1">
      <c r="A1768" s="1099"/>
      <c r="B1768" s="948" t="s">
        <v>2455</v>
      </c>
      <c r="C1768" s="1197" t="s">
        <v>2456</v>
      </c>
      <c r="D1768" s="1197" t="s">
        <v>2456</v>
      </c>
      <c r="E1768" s="1147" t="s">
        <v>2456</v>
      </c>
      <c r="F1768" s="940"/>
      <c r="G1768" s="953"/>
      <c r="H1768" s="969"/>
      <c r="I1768" s="998" t="s">
        <v>4868</v>
      </c>
      <c r="J1768" s="1056" t="s">
        <v>81</v>
      </c>
      <c r="K1768" s="1206" t="s">
        <v>82</v>
      </c>
      <c r="L1768" s="959">
        <v>84.0</v>
      </c>
      <c r="M1768" s="960">
        <v>86.0</v>
      </c>
      <c r="N1768" s="960">
        <v>88.0</v>
      </c>
      <c r="O1768" s="960">
        <v>111.0</v>
      </c>
      <c r="P1768" s="960">
        <v>101.0</v>
      </c>
      <c r="Q1768" s="960">
        <v>60.0</v>
      </c>
      <c r="R1768" s="960">
        <v>156.0</v>
      </c>
      <c r="S1768" s="960">
        <v>219.0</v>
      </c>
      <c r="T1768" s="960">
        <v>240.0</v>
      </c>
      <c r="U1768" s="960">
        <f t="array" ref="U1768">HLOOKUP($J1768,'Type Chart'!$C$2:$T$20,2,false)*HLOOKUP($K1768,'Type Chart'!$C$2:$U$20,2,false)</f>
        <v>0.5</v>
      </c>
      <c r="V1768" s="960">
        <f t="array" ref="V1768">HLOOKUP($J1768,'Type Chart'!$C$2:$T$20,3,false)*HLOOKUP($K1768,'Type Chart'!$C$2:$U$20,3,false)</f>
        <v>2</v>
      </c>
      <c r="W1768" s="960">
        <f t="array" ref="W1768">HLOOKUP($J1768,'Type Chart'!$C$2:$T$20,4,false)*HLOOKUP($K1768,'Type Chart'!$C$2:$U$20,4,false)</f>
        <v>0.5</v>
      </c>
      <c r="X1768" s="960">
        <f t="array" ref="X1768">HLOOKUP($J1768,'Type Chart'!$C$2:$T$20,5,false)*HLOOKUP($K1768,'Type Chart'!$C$2:$U$20,5,false)</f>
        <v>0</v>
      </c>
      <c r="Y1768" s="960">
        <f t="array" ref="Y1768">HLOOKUP($J1768,'Type Chart'!$C$2:$T$20,6,false)*HLOOKUP($K1768,'Type Chart'!$C$2:$U$20,6,false)</f>
        <v>2</v>
      </c>
      <c r="Z1768" s="960">
        <f t="array" ref="Z1768">HLOOKUP($J1768,'Type Chart'!$C$2:$T$20,7,false)*HLOOKUP($K1768,'Type Chart'!$C$2:$U$20,7,false)</f>
        <v>0.5</v>
      </c>
      <c r="AA1768" s="960">
        <f t="array" ref="AA1768">HLOOKUP($J1768,'Type Chart'!$C$2:$T$20,8,false)*HLOOKUP($K1768,'Type Chart'!$C$2:$U$20,8,false)</f>
        <v>0.5</v>
      </c>
      <c r="AB1768" s="960">
        <f t="array" ref="AB1768">HLOOKUP($J1768,'Type Chart'!$C$2:$T$20,9,false)*HLOOKUP($K1768,'Type Chart'!$C$2:$U$20,9,false)</f>
        <v>1</v>
      </c>
      <c r="AC1768" s="960">
        <f t="array" ref="AC1768">HLOOKUP($J1768,'Type Chart'!$C$2:$T$20,10,false)*HLOOKUP($K1768,'Type Chart'!$C$2:$U$20,10,false)</f>
        <v>0.25</v>
      </c>
      <c r="AD1768" s="960">
        <f t="array" ref="AD1768">HLOOKUP($J1768,'Type Chart'!$C$2:$T$20,11,false)*HLOOKUP($K1768,'Type Chart'!$C$2:$U$20,11,false)</f>
        <v>1</v>
      </c>
      <c r="AE1768" s="960">
        <f t="array" ref="AE1768">HLOOKUP($J1768,'Type Chart'!$C$2:$T$20,12,false)*HLOOKUP($K1768,'Type Chart'!$C$2:$U$20,12,false)</f>
        <v>0.5</v>
      </c>
      <c r="AF1768" s="960">
        <f t="array" ref="AF1768">HLOOKUP($J1768,'Type Chart'!$C$2:$T$20,13,false)*HLOOKUP($K1768,'Type Chart'!$C$2:$U$20,13,false)</f>
        <v>1</v>
      </c>
      <c r="AG1768" s="960">
        <f t="array" ref="AG1768">HLOOKUP($J1768,'Type Chart'!$C$2:$T$20,14,false)*HLOOKUP($K1768,'Type Chart'!$C$2:$U$20,14,false)</f>
        <v>2</v>
      </c>
      <c r="AH1768" s="960">
        <f t="array" ref="AH1768">HLOOKUP($J1768,'Type Chart'!$C$2:$T$20,15,false)*HLOOKUP($K1768,'Type Chart'!$C$2:$U$20,15,false)</f>
        <v>0.5</v>
      </c>
      <c r="AI1768" s="960">
        <f t="array" ref="AI1768">HLOOKUP($J1768,'Type Chart'!$C$2:$T$20,16,false)*HLOOKUP($K1768,'Type Chart'!$C$2:$U$20,16,false)</f>
        <v>0.25</v>
      </c>
      <c r="AJ1768" s="960">
        <f t="array" ref="AJ1768">HLOOKUP($J1768,'Type Chart'!$C$2:$T$20,17,false)*HLOOKUP($K1768,'Type Chart'!$C$2:$U$20,17,false)</f>
        <v>0.5</v>
      </c>
      <c r="AK1768" s="960">
        <f t="array" ref="AK1768">HLOOKUP($J1768,'Type Chart'!$C$2:$T$20,18,false)*HLOOKUP($K1768,'Type Chart'!$C$2:$U$20,18,false)</f>
        <v>1</v>
      </c>
      <c r="AL1768" s="960">
        <f t="array" ref="AL1768">HLOOKUP($J1768,'Type Chart'!$C$2:$T$20,19,false)*HLOOKUP($K1768,'Type Chart'!$C$2:$U$20,19,false)</f>
        <v>0.5</v>
      </c>
      <c r="AM1768" s="964" t="s">
        <v>959</v>
      </c>
      <c r="AN1768" s="965"/>
      <c r="AO1768" s="966" t="s">
        <v>1267</v>
      </c>
      <c r="AP1768" s="936"/>
      <c r="AQ1768" s="1245"/>
      <c r="AR1768" s="1245"/>
      <c r="AS1768" s="936"/>
    </row>
    <row r="1769" ht="15.75" customHeight="1">
      <c r="A1769" s="1099"/>
      <c r="B1769" s="948" t="s">
        <v>2457</v>
      </c>
      <c r="C1769" s="1197" t="s">
        <v>2458</v>
      </c>
      <c r="D1769" s="1197" t="s">
        <v>2458</v>
      </c>
      <c r="E1769" s="1147" t="s">
        <v>2458</v>
      </c>
      <c r="F1769" s="940"/>
      <c r="G1769" s="953"/>
      <c r="H1769" s="969"/>
      <c r="I1769" s="998" t="s">
        <v>4869</v>
      </c>
      <c r="J1769" s="1194" t="s">
        <v>136</v>
      </c>
      <c r="K1769" s="1001" t="s">
        <v>128</v>
      </c>
      <c r="L1769" s="959">
        <v>40.0</v>
      </c>
      <c r="M1769" s="960">
        <v>55.0</v>
      </c>
      <c r="N1769" s="960">
        <v>30.0</v>
      </c>
      <c r="O1769" s="960">
        <v>30.0</v>
      </c>
      <c r="P1769" s="960">
        <v>30.0</v>
      </c>
      <c r="Q1769" s="960">
        <v>60.0</v>
      </c>
      <c r="R1769" s="960">
        <v>156.0</v>
      </c>
      <c r="S1769" s="960">
        <v>219.0</v>
      </c>
      <c r="T1769" s="960">
        <v>240.0</v>
      </c>
      <c r="U1769" s="960">
        <f t="array" ref="U1769">HLOOKUP($J1769,'Type Chart'!$C$2:$T$20,2,false)*HLOOKUP($K1769,'Type Chart'!$C$2:$U$20,2,false)</f>
        <v>1</v>
      </c>
      <c r="V1769" s="960">
        <f t="array" ref="V1769">HLOOKUP($J1769,'Type Chart'!$C$2:$T$20,3,false)*HLOOKUP($K1769,'Type Chart'!$C$2:$U$20,3,false)</f>
        <v>1</v>
      </c>
      <c r="W1769" s="960">
        <f t="array" ref="W1769">HLOOKUP($J1769,'Type Chart'!$C$2:$T$20,4,false)*HLOOKUP($K1769,'Type Chart'!$C$2:$U$20,4,false)</f>
        <v>1</v>
      </c>
      <c r="X1769" s="960">
        <f t="array" ref="X1769">HLOOKUP($J1769,'Type Chart'!$C$2:$T$20,5,false)*HLOOKUP($K1769,'Type Chart'!$C$2:$U$20,5,false)</f>
        <v>1</v>
      </c>
      <c r="Y1769" s="960">
        <f t="array" ref="Y1769">HLOOKUP($J1769,'Type Chart'!$C$2:$T$20,6,false)*HLOOKUP($K1769,'Type Chart'!$C$2:$U$20,6,false)</f>
        <v>0</v>
      </c>
      <c r="Z1769" s="960">
        <f t="array" ref="Z1769">HLOOKUP($J1769,'Type Chart'!$C$2:$T$20,7,false)*HLOOKUP($K1769,'Type Chart'!$C$2:$U$20,7,false)</f>
        <v>2</v>
      </c>
      <c r="AA1769" s="960">
        <f t="array" ref="AA1769">HLOOKUP($J1769,'Type Chart'!$C$2:$T$20,8,false)*HLOOKUP($K1769,'Type Chart'!$C$2:$U$20,8,false)</f>
        <v>0.5</v>
      </c>
      <c r="AB1769" s="960">
        <f t="array" ref="AB1769">HLOOKUP($J1769,'Type Chart'!$C$2:$T$20,9,false)*HLOOKUP($K1769,'Type Chart'!$C$2:$U$20,9,false)</f>
        <v>0</v>
      </c>
      <c r="AC1769" s="960">
        <f t="array" ref="AC1769">HLOOKUP($J1769,'Type Chart'!$C$2:$T$20,10,false)*HLOOKUP($K1769,'Type Chart'!$C$2:$U$20,10,false)</f>
        <v>1</v>
      </c>
      <c r="AD1769" s="960">
        <f t="array" ref="AD1769">HLOOKUP($J1769,'Type Chart'!$C$2:$T$20,11,false)*HLOOKUP($K1769,'Type Chart'!$C$2:$U$20,11,false)</f>
        <v>1</v>
      </c>
      <c r="AE1769" s="960">
        <f t="array" ref="AE1769">HLOOKUP($J1769,'Type Chart'!$C$2:$T$20,12,false)*HLOOKUP($K1769,'Type Chart'!$C$2:$U$20,12,false)</f>
        <v>1</v>
      </c>
      <c r="AF1769" s="960">
        <f t="array" ref="AF1769">HLOOKUP($J1769,'Type Chart'!$C$2:$T$20,13,false)*HLOOKUP($K1769,'Type Chart'!$C$2:$U$20,13,false)</f>
        <v>0.5</v>
      </c>
      <c r="AG1769" s="960">
        <f t="array" ref="AG1769">HLOOKUP($J1769,'Type Chart'!$C$2:$T$20,14,false)*HLOOKUP($K1769,'Type Chart'!$C$2:$U$20,14,false)</f>
        <v>2</v>
      </c>
      <c r="AH1769" s="960">
        <f t="array" ref="AH1769">HLOOKUP($J1769,'Type Chart'!$C$2:$T$20,15,false)*HLOOKUP($K1769,'Type Chart'!$C$2:$U$20,15,false)</f>
        <v>1</v>
      </c>
      <c r="AI1769" s="960">
        <f t="array" ref="AI1769">HLOOKUP($J1769,'Type Chart'!$C$2:$T$20,16,false)*HLOOKUP($K1769,'Type Chart'!$C$2:$U$20,16,false)</f>
        <v>2</v>
      </c>
      <c r="AJ1769" s="960">
        <f t="array" ref="AJ1769">HLOOKUP($J1769,'Type Chart'!$C$2:$T$20,17,false)*HLOOKUP($K1769,'Type Chart'!$C$2:$U$20,17,false)</f>
        <v>1</v>
      </c>
      <c r="AK1769" s="960">
        <f t="array" ref="AK1769">HLOOKUP($J1769,'Type Chart'!$C$2:$T$20,18,false)*HLOOKUP($K1769,'Type Chart'!$C$2:$U$20,18,false)</f>
        <v>1</v>
      </c>
      <c r="AL1769" s="960">
        <f t="array" ref="AL1769">HLOOKUP($J1769,'Type Chart'!$C$2:$T$20,19,false)*HLOOKUP($K1769,'Type Chart'!$C$2:$U$20,19,false)</f>
        <v>1</v>
      </c>
      <c r="AM1769" s="964" t="s">
        <v>1022</v>
      </c>
      <c r="AN1769" s="965"/>
      <c r="AO1769" s="966" t="s">
        <v>1497</v>
      </c>
      <c r="AP1769" s="936"/>
      <c r="AQ1769" s="1245"/>
      <c r="AR1769" s="1245"/>
      <c r="AS1769" s="936"/>
    </row>
    <row r="1770" ht="15.75" customHeight="1">
      <c r="A1770" s="1099"/>
      <c r="B1770" s="948" t="s">
        <v>2460</v>
      </c>
      <c r="C1770" s="1197" t="s">
        <v>2461</v>
      </c>
      <c r="D1770" s="1197" t="s">
        <v>2461</v>
      </c>
      <c r="E1770" s="1147" t="s">
        <v>2461</v>
      </c>
      <c r="F1770" s="940"/>
      <c r="G1770" s="953"/>
      <c r="H1770" s="969"/>
      <c r="I1770" s="998" t="s">
        <v>4870</v>
      </c>
      <c r="J1770" s="1216" t="s">
        <v>136</v>
      </c>
      <c r="K1770" s="1210" t="s">
        <v>128</v>
      </c>
      <c r="L1770" s="1200">
        <v>55.0</v>
      </c>
      <c r="M1770" s="1201">
        <v>75.0</v>
      </c>
      <c r="N1770" s="1201">
        <v>50.0</v>
      </c>
      <c r="O1770" s="1201">
        <v>40.0</v>
      </c>
      <c r="P1770" s="1201">
        <v>40.0</v>
      </c>
      <c r="Q1770" s="1201">
        <v>80.0</v>
      </c>
      <c r="R1770" s="960">
        <v>196.0</v>
      </c>
      <c r="S1770" s="960">
        <v>259.0</v>
      </c>
      <c r="T1770" s="960">
        <v>284.0</v>
      </c>
      <c r="U1770" s="960">
        <f t="array" ref="U1770">HLOOKUP($J1770,'Type Chart'!$C$2:$T$20,2,false)*HLOOKUP($K1770,'Type Chart'!$C$2:$U$20,2,false)</f>
        <v>1</v>
      </c>
      <c r="V1770" s="960">
        <f t="array" ref="V1770">HLOOKUP($J1770,'Type Chart'!$C$2:$T$20,3,false)*HLOOKUP($K1770,'Type Chart'!$C$2:$U$20,3,false)</f>
        <v>1</v>
      </c>
      <c r="W1770" s="960">
        <f t="array" ref="W1770">HLOOKUP($J1770,'Type Chart'!$C$2:$T$20,4,false)*HLOOKUP($K1770,'Type Chart'!$C$2:$U$20,4,false)</f>
        <v>1</v>
      </c>
      <c r="X1770" s="960">
        <f t="array" ref="X1770">HLOOKUP($J1770,'Type Chart'!$C$2:$T$20,5,false)*HLOOKUP($K1770,'Type Chart'!$C$2:$U$20,5,false)</f>
        <v>1</v>
      </c>
      <c r="Y1770" s="960">
        <f t="array" ref="Y1770">HLOOKUP($J1770,'Type Chart'!$C$2:$T$20,6,false)*HLOOKUP($K1770,'Type Chart'!$C$2:$U$20,6,false)</f>
        <v>0</v>
      </c>
      <c r="Z1770" s="960">
        <f t="array" ref="Z1770">HLOOKUP($J1770,'Type Chart'!$C$2:$T$20,7,false)*HLOOKUP($K1770,'Type Chart'!$C$2:$U$20,7,false)</f>
        <v>2</v>
      </c>
      <c r="AA1770" s="960">
        <f t="array" ref="AA1770">HLOOKUP($J1770,'Type Chart'!$C$2:$T$20,8,false)*HLOOKUP($K1770,'Type Chart'!$C$2:$U$20,8,false)</f>
        <v>0.5</v>
      </c>
      <c r="AB1770" s="960">
        <f t="array" ref="AB1770">HLOOKUP($J1770,'Type Chart'!$C$2:$T$20,9,false)*HLOOKUP($K1770,'Type Chart'!$C$2:$U$20,9,false)</f>
        <v>0</v>
      </c>
      <c r="AC1770" s="960">
        <f t="array" ref="AC1770">HLOOKUP($J1770,'Type Chart'!$C$2:$T$20,10,false)*HLOOKUP($K1770,'Type Chart'!$C$2:$U$20,10,false)</f>
        <v>1</v>
      </c>
      <c r="AD1770" s="960">
        <f t="array" ref="AD1770">HLOOKUP($J1770,'Type Chart'!$C$2:$T$20,11,false)*HLOOKUP($K1770,'Type Chart'!$C$2:$U$20,11,false)</f>
        <v>1</v>
      </c>
      <c r="AE1770" s="960">
        <f t="array" ref="AE1770">HLOOKUP($J1770,'Type Chart'!$C$2:$T$20,12,false)*HLOOKUP($K1770,'Type Chart'!$C$2:$U$20,12,false)</f>
        <v>1</v>
      </c>
      <c r="AF1770" s="960">
        <f t="array" ref="AF1770">HLOOKUP($J1770,'Type Chart'!$C$2:$T$20,13,false)*HLOOKUP($K1770,'Type Chart'!$C$2:$U$20,13,false)</f>
        <v>0.5</v>
      </c>
      <c r="AG1770" s="960">
        <f t="array" ref="AG1770">HLOOKUP($J1770,'Type Chart'!$C$2:$T$20,14,false)*HLOOKUP($K1770,'Type Chart'!$C$2:$U$20,14,false)</f>
        <v>2</v>
      </c>
      <c r="AH1770" s="960">
        <f t="array" ref="AH1770">HLOOKUP($J1770,'Type Chart'!$C$2:$T$20,15,false)*HLOOKUP($K1770,'Type Chart'!$C$2:$U$20,15,false)</f>
        <v>1</v>
      </c>
      <c r="AI1770" s="960">
        <f t="array" ref="AI1770">HLOOKUP($J1770,'Type Chart'!$C$2:$T$20,16,false)*HLOOKUP($K1770,'Type Chart'!$C$2:$U$20,16,false)</f>
        <v>2</v>
      </c>
      <c r="AJ1770" s="960">
        <f t="array" ref="AJ1770">HLOOKUP($J1770,'Type Chart'!$C$2:$T$20,17,false)*HLOOKUP($K1770,'Type Chart'!$C$2:$U$20,17,false)</f>
        <v>1</v>
      </c>
      <c r="AK1770" s="960">
        <f t="array" ref="AK1770">HLOOKUP($J1770,'Type Chart'!$C$2:$T$20,18,false)*HLOOKUP($K1770,'Type Chart'!$C$2:$U$20,18,false)</f>
        <v>1</v>
      </c>
      <c r="AL1770" s="960">
        <f t="array" ref="AL1770">HLOOKUP($J1770,'Type Chart'!$C$2:$T$20,19,false)*HLOOKUP($K1770,'Type Chart'!$C$2:$U$20,19,false)</f>
        <v>1</v>
      </c>
      <c r="AM1770" s="1145" t="s">
        <v>1061</v>
      </c>
      <c r="AN1770" s="965"/>
      <c r="AO1770" s="1146" t="s">
        <v>1497</v>
      </c>
      <c r="AP1770" s="936"/>
      <c r="AQ1770" s="1245"/>
      <c r="AR1770" s="1245"/>
      <c r="AS1770" s="936"/>
    </row>
    <row r="1771" ht="15.75" customHeight="1">
      <c r="A1771" s="1099"/>
      <c r="B1771" s="948" t="s">
        <v>2462</v>
      </c>
      <c r="C1771" s="1197" t="s">
        <v>2463</v>
      </c>
      <c r="D1771" s="1197" t="s">
        <v>2463</v>
      </c>
      <c r="E1771" s="1147" t="s">
        <v>2463</v>
      </c>
      <c r="F1771" s="940"/>
      <c r="G1771" s="953"/>
      <c r="H1771" s="969"/>
      <c r="I1771" s="998" t="s">
        <v>4871</v>
      </c>
      <c r="J1771" s="1194" t="s">
        <v>136</v>
      </c>
      <c r="K1771" s="1001" t="s">
        <v>128</v>
      </c>
      <c r="L1771" s="959">
        <v>85.0</v>
      </c>
      <c r="M1771" s="960">
        <v>120.0</v>
      </c>
      <c r="N1771" s="960">
        <v>70.0</v>
      </c>
      <c r="O1771" s="960">
        <v>50.0</v>
      </c>
      <c r="P1771" s="960">
        <v>60.0</v>
      </c>
      <c r="Q1771" s="960">
        <v>100.0</v>
      </c>
      <c r="R1771" s="960">
        <v>236.0</v>
      </c>
      <c r="S1771" s="960">
        <v>299.0</v>
      </c>
      <c r="T1771" s="960">
        <v>328.0</v>
      </c>
      <c r="U1771" s="960">
        <f t="array" ref="U1771">HLOOKUP($J1771,'Type Chart'!$C$2:$T$20,2,false)*HLOOKUP($K1771,'Type Chart'!$C$2:$U$20,2,false)</f>
        <v>1</v>
      </c>
      <c r="V1771" s="960">
        <f t="array" ref="V1771">HLOOKUP($J1771,'Type Chart'!$C$2:$T$20,3,false)*HLOOKUP($K1771,'Type Chart'!$C$2:$U$20,3,false)</f>
        <v>1</v>
      </c>
      <c r="W1771" s="960">
        <f t="array" ref="W1771">HLOOKUP($J1771,'Type Chart'!$C$2:$T$20,4,false)*HLOOKUP($K1771,'Type Chart'!$C$2:$U$20,4,false)</f>
        <v>1</v>
      </c>
      <c r="X1771" s="960">
        <f t="array" ref="X1771">HLOOKUP($J1771,'Type Chart'!$C$2:$T$20,5,false)*HLOOKUP($K1771,'Type Chart'!$C$2:$U$20,5,false)</f>
        <v>1</v>
      </c>
      <c r="Y1771" s="960">
        <f t="array" ref="Y1771">HLOOKUP($J1771,'Type Chart'!$C$2:$T$20,6,false)*HLOOKUP($K1771,'Type Chart'!$C$2:$U$20,6,false)</f>
        <v>0</v>
      </c>
      <c r="Z1771" s="960">
        <f t="array" ref="Z1771">HLOOKUP($J1771,'Type Chart'!$C$2:$T$20,7,false)*HLOOKUP($K1771,'Type Chart'!$C$2:$U$20,7,false)</f>
        <v>2</v>
      </c>
      <c r="AA1771" s="960">
        <f t="array" ref="AA1771">HLOOKUP($J1771,'Type Chart'!$C$2:$T$20,8,false)*HLOOKUP($K1771,'Type Chart'!$C$2:$U$20,8,false)</f>
        <v>0.5</v>
      </c>
      <c r="AB1771" s="960">
        <f t="array" ref="AB1771">HLOOKUP($J1771,'Type Chart'!$C$2:$T$20,9,false)*HLOOKUP($K1771,'Type Chart'!$C$2:$U$20,9,false)</f>
        <v>0</v>
      </c>
      <c r="AC1771" s="960">
        <f t="array" ref="AC1771">HLOOKUP($J1771,'Type Chart'!$C$2:$T$20,10,false)*HLOOKUP($K1771,'Type Chart'!$C$2:$U$20,10,false)</f>
        <v>1</v>
      </c>
      <c r="AD1771" s="960">
        <f t="array" ref="AD1771">HLOOKUP($J1771,'Type Chart'!$C$2:$T$20,11,false)*HLOOKUP($K1771,'Type Chart'!$C$2:$U$20,11,false)</f>
        <v>1</v>
      </c>
      <c r="AE1771" s="960">
        <f t="array" ref="AE1771">HLOOKUP($J1771,'Type Chart'!$C$2:$T$20,12,false)*HLOOKUP($K1771,'Type Chart'!$C$2:$U$20,12,false)</f>
        <v>1</v>
      </c>
      <c r="AF1771" s="960">
        <f t="array" ref="AF1771">HLOOKUP($J1771,'Type Chart'!$C$2:$T$20,13,false)*HLOOKUP($K1771,'Type Chart'!$C$2:$U$20,13,false)</f>
        <v>0.5</v>
      </c>
      <c r="AG1771" s="960">
        <f t="array" ref="AG1771">HLOOKUP($J1771,'Type Chart'!$C$2:$T$20,14,false)*HLOOKUP($K1771,'Type Chart'!$C$2:$U$20,14,false)</f>
        <v>2</v>
      </c>
      <c r="AH1771" s="960">
        <f t="array" ref="AH1771">HLOOKUP($J1771,'Type Chart'!$C$2:$T$20,15,false)*HLOOKUP($K1771,'Type Chart'!$C$2:$U$20,15,false)</f>
        <v>1</v>
      </c>
      <c r="AI1771" s="960">
        <f t="array" ref="AI1771">HLOOKUP($J1771,'Type Chart'!$C$2:$T$20,16,false)*HLOOKUP($K1771,'Type Chart'!$C$2:$U$20,16,false)</f>
        <v>2</v>
      </c>
      <c r="AJ1771" s="960">
        <f t="array" ref="AJ1771">HLOOKUP($J1771,'Type Chart'!$C$2:$T$20,17,false)*HLOOKUP($K1771,'Type Chart'!$C$2:$U$20,17,false)</f>
        <v>1</v>
      </c>
      <c r="AK1771" s="960">
        <f t="array" ref="AK1771">HLOOKUP($J1771,'Type Chart'!$C$2:$T$20,18,false)*HLOOKUP($K1771,'Type Chart'!$C$2:$U$20,18,false)</f>
        <v>1</v>
      </c>
      <c r="AL1771" s="960">
        <f t="array" ref="AL1771">HLOOKUP($J1771,'Type Chart'!$C$2:$T$20,19,false)*HLOOKUP($K1771,'Type Chart'!$C$2:$U$20,19,false)</f>
        <v>1</v>
      </c>
      <c r="AM1771" s="964" t="s">
        <v>1061</v>
      </c>
      <c r="AN1771" s="965"/>
      <c r="AO1771" s="966" t="s">
        <v>1497</v>
      </c>
      <c r="AP1771" s="936"/>
      <c r="AQ1771" s="1245"/>
      <c r="AR1771" s="1245"/>
      <c r="AS1771" s="936"/>
    </row>
    <row r="1772" ht="15.75" customHeight="1">
      <c r="A1772" s="1099"/>
      <c r="B1772" s="948" t="s">
        <v>2464</v>
      </c>
      <c r="C1772" s="1197" t="s">
        <v>2465</v>
      </c>
      <c r="D1772" s="1197" t="s">
        <v>2465</v>
      </c>
      <c r="E1772" s="1147" t="s">
        <v>2465</v>
      </c>
      <c r="F1772" s="940"/>
      <c r="G1772" s="953"/>
      <c r="H1772" s="969"/>
      <c r="I1772" s="998" t="s">
        <v>4872</v>
      </c>
      <c r="J1772" s="1194" t="s">
        <v>136</v>
      </c>
      <c r="K1772" s="984" t="s">
        <v>216</v>
      </c>
      <c r="L1772" s="959">
        <v>59.0</v>
      </c>
      <c r="M1772" s="960">
        <v>45.0</v>
      </c>
      <c r="N1772" s="960">
        <v>40.0</v>
      </c>
      <c r="O1772" s="960">
        <v>35.0</v>
      </c>
      <c r="P1772" s="960">
        <v>40.0</v>
      </c>
      <c r="Q1772" s="960">
        <v>31.0</v>
      </c>
      <c r="R1772" s="960">
        <v>98.0</v>
      </c>
      <c r="S1772" s="960">
        <v>161.0</v>
      </c>
      <c r="T1772" s="960">
        <v>177.0</v>
      </c>
      <c r="U1772" s="960">
        <f t="array" ref="U1772">HLOOKUP($J1772,'Type Chart'!$C$2:$T$20,2,false)*HLOOKUP($K1772,'Type Chart'!$C$2:$U$20,2,false)</f>
        <v>1</v>
      </c>
      <c r="V1772" s="960">
        <f t="array" ref="V1772">HLOOKUP($J1772,'Type Chart'!$C$2:$T$20,3,false)*HLOOKUP($K1772,'Type Chart'!$C$2:$U$20,3,false)</f>
        <v>2</v>
      </c>
      <c r="W1772" s="960">
        <f t="array" ref="W1772">HLOOKUP($J1772,'Type Chart'!$C$2:$T$20,4,false)*HLOOKUP($K1772,'Type Chart'!$C$2:$U$20,4,false)</f>
        <v>1</v>
      </c>
      <c r="X1772" s="960">
        <f t="array" ref="X1772">HLOOKUP($J1772,'Type Chart'!$C$2:$T$20,5,false)*HLOOKUP($K1772,'Type Chart'!$C$2:$U$20,5,false)</f>
        <v>1</v>
      </c>
      <c r="Y1772" s="960">
        <f t="array" ref="Y1772">HLOOKUP($J1772,'Type Chart'!$C$2:$T$20,6,false)*HLOOKUP($K1772,'Type Chart'!$C$2:$U$20,6,false)</f>
        <v>1</v>
      </c>
      <c r="Z1772" s="960">
        <f t="array" ref="Z1772">HLOOKUP($J1772,'Type Chart'!$C$2:$T$20,7,false)*HLOOKUP($K1772,'Type Chart'!$C$2:$U$20,7,false)</f>
        <v>1</v>
      </c>
      <c r="AA1772" s="960">
        <f t="array" ref="AA1772">HLOOKUP($J1772,'Type Chart'!$C$2:$T$20,8,false)*HLOOKUP($K1772,'Type Chart'!$C$2:$U$20,8,false)</f>
        <v>1</v>
      </c>
      <c r="AB1772" s="960">
        <f t="array" ref="AB1772">HLOOKUP($J1772,'Type Chart'!$C$2:$T$20,9,false)*HLOOKUP($K1772,'Type Chart'!$C$2:$U$20,9,false)</f>
        <v>0</v>
      </c>
      <c r="AC1772" s="960">
        <f t="array" ref="AC1772">HLOOKUP($J1772,'Type Chart'!$C$2:$T$20,10,false)*HLOOKUP($K1772,'Type Chart'!$C$2:$U$20,10,false)</f>
        <v>1</v>
      </c>
      <c r="AD1772" s="960">
        <f t="array" ref="AD1772">HLOOKUP($J1772,'Type Chart'!$C$2:$T$20,11,false)*HLOOKUP($K1772,'Type Chart'!$C$2:$U$20,11,false)</f>
        <v>1</v>
      </c>
      <c r="AE1772" s="960">
        <f t="array" ref="AE1772">HLOOKUP($J1772,'Type Chart'!$C$2:$T$20,12,false)*HLOOKUP($K1772,'Type Chart'!$C$2:$U$20,12,false)</f>
        <v>1</v>
      </c>
      <c r="AF1772" s="960">
        <f t="array" ref="AF1772">HLOOKUP($J1772,'Type Chart'!$C$2:$T$20,13,false)*HLOOKUP($K1772,'Type Chart'!$C$2:$U$20,13,false)</f>
        <v>1</v>
      </c>
      <c r="AG1772" s="960">
        <f t="array" ref="AG1772">HLOOKUP($J1772,'Type Chart'!$C$2:$T$20,14,false)*HLOOKUP($K1772,'Type Chart'!$C$2:$U$20,14,false)</f>
        <v>1</v>
      </c>
      <c r="AH1772" s="960">
        <f t="array" ref="AH1772">HLOOKUP($J1772,'Type Chart'!$C$2:$T$20,15,false)*HLOOKUP($K1772,'Type Chart'!$C$2:$U$20,15,false)</f>
        <v>1</v>
      </c>
      <c r="AI1772" s="960">
        <f t="array" ref="AI1772">HLOOKUP($J1772,'Type Chart'!$C$2:$T$20,16,false)*HLOOKUP($K1772,'Type Chart'!$C$2:$U$20,16,false)</f>
        <v>1</v>
      </c>
      <c r="AJ1772" s="960">
        <f t="array" ref="AJ1772">HLOOKUP($J1772,'Type Chart'!$C$2:$T$20,17,false)*HLOOKUP($K1772,'Type Chart'!$C$2:$U$20,17,false)</f>
        <v>1</v>
      </c>
      <c r="AK1772" s="960">
        <f t="array" ref="AK1772">HLOOKUP($J1772,'Type Chart'!$C$2:$T$20,18,false)*HLOOKUP($K1772,'Type Chart'!$C$2:$U$20,18,false)</f>
        <v>1</v>
      </c>
      <c r="AL1772" s="960">
        <f t="array" ref="AL1772">HLOOKUP($J1772,'Type Chart'!$C$2:$T$20,19,false)*HLOOKUP($K1772,'Type Chart'!$C$2:$U$20,19,false)</f>
        <v>1</v>
      </c>
      <c r="AM1772" s="964" t="s">
        <v>2215</v>
      </c>
      <c r="AN1772" s="965" t="s">
        <v>1169</v>
      </c>
      <c r="AO1772" s="966" t="s">
        <v>1898</v>
      </c>
      <c r="AP1772" s="936"/>
      <c r="AQ1772" s="1245"/>
      <c r="AR1772" s="1245"/>
      <c r="AS1772" s="936"/>
    </row>
    <row r="1773" ht="15.75" customHeight="1">
      <c r="A1773" s="1099"/>
      <c r="B1773" s="948" t="s">
        <v>2467</v>
      </c>
      <c r="C1773" s="1197" t="s">
        <v>2468</v>
      </c>
      <c r="D1773" s="1197" t="s">
        <v>2468</v>
      </c>
      <c r="E1773" s="1147" t="s">
        <v>2468</v>
      </c>
      <c r="F1773" s="940"/>
      <c r="G1773" s="953"/>
      <c r="H1773" s="969"/>
      <c r="I1773" s="998" t="s">
        <v>4873</v>
      </c>
      <c r="J1773" s="1194" t="s">
        <v>136</v>
      </c>
      <c r="K1773" s="1056" t="s">
        <v>81</v>
      </c>
      <c r="L1773" s="959">
        <v>79.0</v>
      </c>
      <c r="M1773" s="960">
        <v>85.0</v>
      </c>
      <c r="N1773" s="960">
        <v>60.0</v>
      </c>
      <c r="O1773" s="960">
        <v>55.0</v>
      </c>
      <c r="P1773" s="960">
        <v>60.0</v>
      </c>
      <c r="Q1773" s="960">
        <v>71.0</v>
      </c>
      <c r="R1773" s="960">
        <v>178.0</v>
      </c>
      <c r="S1773" s="960">
        <v>241.0</v>
      </c>
      <c r="T1773" s="960">
        <v>265.0</v>
      </c>
      <c r="U1773" s="960">
        <f t="array" ref="U1773">HLOOKUP($J1773,'Type Chart'!$C$2:$T$20,2,false)*HLOOKUP($K1773,'Type Chart'!$C$2:$U$20,2,false)</f>
        <v>1</v>
      </c>
      <c r="V1773" s="960">
        <f t="array" ref="V1773">HLOOKUP($J1773,'Type Chart'!$C$2:$T$20,3,false)*HLOOKUP($K1773,'Type Chart'!$C$2:$U$20,3,false)</f>
        <v>2</v>
      </c>
      <c r="W1773" s="960">
        <f t="array" ref="W1773">HLOOKUP($J1773,'Type Chart'!$C$2:$T$20,4,false)*HLOOKUP($K1773,'Type Chart'!$C$2:$U$20,4,false)</f>
        <v>1</v>
      </c>
      <c r="X1773" s="960">
        <f t="array" ref="X1773">HLOOKUP($J1773,'Type Chart'!$C$2:$T$20,5,false)*HLOOKUP($K1773,'Type Chart'!$C$2:$U$20,5,false)</f>
        <v>1</v>
      </c>
      <c r="Y1773" s="960">
        <f t="array" ref="Y1773">HLOOKUP($J1773,'Type Chart'!$C$2:$T$20,6,false)*HLOOKUP($K1773,'Type Chart'!$C$2:$U$20,6,false)</f>
        <v>1</v>
      </c>
      <c r="Z1773" s="960">
        <f t="array" ref="Z1773">HLOOKUP($J1773,'Type Chart'!$C$2:$T$20,7,false)*HLOOKUP($K1773,'Type Chart'!$C$2:$U$20,7,false)</f>
        <v>1</v>
      </c>
      <c r="AA1773" s="960">
        <f t="array" ref="AA1773">HLOOKUP($J1773,'Type Chart'!$C$2:$T$20,8,false)*HLOOKUP($K1773,'Type Chart'!$C$2:$U$20,8,false)</f>
        <v>1</v>
      </c>
      <c r="AB1773" s="960">
        <f t="array" ref="AB1773">HLOOKUP($J1773,'Type Chart'!$C$2:$T$20,9,false)*HLOOKUP($K1773,'Type Chart'!$C$2:$U$20,9,false)</f>
        <v>0</v>
      </c>
      <c r="AC1773" s="960">
        <f t="array" ref="AC1773">HLOOKUP($J1773,'Type Chart'!$C$2:$T$20,10,false)*HLOOKUP($K1773,'Type Chart'!$C$2:$U$20,10,false)</f>
        <v>0.5</v>
      </c>
      <c r="AD1773" s="960">
        <f t="array" ref="AD1773">HLOOKUP($J1773,'Type Chart'!$C$2:$T$20,11,false)*HLOOKUP($K1773,'Type Chart'!$C$2:$U$20,11,false)</f>
        <v>0.5</v>
      </c>
      <c r="AE1773" s="960">
        <f t="array" ref="AE1773">HLOOKUP($J1773,'Type Chart'!$C$2:$T$20,12,false)*HLOOKUP($K1773,'Type Chart'!$C$2:$U$20,12,false)</f>
        <v>0.5</v>
      </c>
      <c r="AF1773" s="960">
        <f t="array" ref="AF1773">HLOOKUP($J1773,'Type Chart'!$C$2:$T$20,13,false)*HLOOKUP($K1773,'Type Chart'!$C$2:$U$20,13,false)</f>
        <v>2</v>
      </c>
      <c r="AG1773" s="960">
        <f t="array" ref="AG1773">HLOOKUP($J1773,'Type Chart'!$C$2:$T$20,14,false)*HLOOKUP($K1773,'Type Chart'!$C$2:$U$20,14,false)</f>
        <v>2</v>
      </c>
      <c r="AH1773" s="960">
        <f t="array" ref="AH1773">HLOOKUP($J1773,'Type Chart'!$C$2:$T$20,15,false)*HLOOKUP($K1773,'Type Chart'!$C$2:$U$20,15,false)</f>
        <v>1</v>
      </c>
      <c r="AI1773" s="960">
        <f t="array" ref="AI1773">HLOOKUP($J1773,'Type Chart'!$C$2:$T$20,16,false)*HLOOKUP($K1773,'Type Chart'!$C$2:$U$20,16,false)</f>
        <v>0.5</v>
      </c>
      <c r="AJ1773" s="960">
        <f t="array" ref="AJ1773">HLOOKUP($J1773,'Type Chart'!$C$2:$T$20,17,false)*HLOOKUP($K1773,'Type Chart'!$C$2:$U$20,17,false)</f>
        <v>1</v>
      </c>
      <c r="AK1773" s="960">
        <f t="array" ref="AK1773">HLOOKUP($J1773,'Type Chart'!$C$2:$T$20,18,false)*HLOOKUP($K1773,'Type Chart'!$C$2:$U$20,18,false)</f>
        <v>1</v>
      </c>
      <c r="AL1773" s="960">
        <f t="array" ref="AL1773">HLOOKUP($J1773,'Type Chart'!$C$2:$T$20,19,false)*HLOOKUP($K1773,'Type Chart'!$C$2:$U$20,19,false)</f>
        <v>1</v>
      </c>
      <c r="AM1773" s="964" t="s">
        <v>2215</v>
      </c>
      <c r="AN1773" s="965" t="s">
        <v>1169</v>
      </c>
      <c r="AO1773" s="966" t="s">
        <v>1898</v>
      </c>
      <c r="AP1773" s="936"/>
      <c r="AQ1773" s="1245"/>
      <c r="AR1773" s="1245"/>
      <c r="AS1773" s="936"/>
    </row>
    <row r="1774" ht="15.75" customHeight="1">
      <c r="A1774" s="1099"/>
      <c r="B1774" s="948" t="s">
        <v>2470</v>
      </c>
      <c r="C1774" s="1197" t="s">
        <v>2471</v>
      </c>
      <c r="D1774" s="1197" t="s">
        <v>2471</v>
      </c>
      <c r="E1774" s="1147" t="s">
        <v>2471</v>
      </c>
      <c r="F1774" s="940"/>
      <c r="G1774" s="953"/>
      <c r="H1774" s="969"/>
      <c r="I1774" s="998" t="s">
        <v>4874</v>
      </c>
      <c r="J1774" s="1180" t="s">
        <v>343</v>
      </c>
      <c r="K1774" s="984" t="s">
        <v>216</v>
      </c>
      <c r="L1774" s="959">
        <v>37.0</v>
      </c>
      <c r="M1774" s="960">
        <v>25.0</v>
      </c>
      <c r="N1774" s="960">
        <v>41.0</v>
      </c>
      <c r="O1774" s="960">
        <v>25.0</v>
      </c>
      <c r="P1774" s="960">
        <v>41.0</v>
      </c>
      <c r="Q1774" s="960">
        <v>25.0</v>
      </c>
      <c r="R1774" s="960">
        <v>86.0</v>
      </c>
      <c r="S1774" s="960">
        <v>149.0</v>
      </c>
      <c r="T1774" s="960">
        <v>163.0</v>
      </c>
      <c r="U1774" s="960">
        <f t="array" ref="U1774">HLOOKUP($J1774,'Type Chart'!$C$2:$T$20,2,false)*HLOOKUP($K1774,'Type Chart'!$C$2:$U$20,2,false)</f>
        <v>1</v>
      </c>
      <c r="V1774" s="960">
        <f t="array" ref="V1774">HLOOKUP($J1774,'Type Chart'!$C$2:$T$20,3,false)*HLOOKUP($K1774,'Type Chart'!$C$2:$U$20,3,false)</f>
        <v>0.5</v>
      </c>
      <c r="W1774" s="960">
        <f t="array" ref="W1774">HLOOKUP($J1774,'Type Chart'!$C$2:$T$20,4,false)*HLOOKUP($K1774,'Type Chart'!$C$2:$U$20,4,false)</f>
        <v>2</v>
      </c>
      <c r="X1774" s="960">
        <f t="array" ref="X1774">HLOOKUP($J1774,'Type Chart'!$C$2:$T$20,5,false)*HLOOKUP($K1774,'Type Chart'!$C$2:$U$20,5,false)</f>
        <v>1</v>
      </c>
      <c r="Y1774" s="960">
        <f t="array" ref="Y1774">HLOOKUP($J1774,'Type Chart'!$C$2:$T$20,6,false)*HLOOKUP($K1774,'Type Chart'!$C$2:$U$20,6,false)</f>
        <v>0.5</v>
      </c>
      <c r="Z1774" s="960">
        <f t="array" ref="Z1774">HLOOKUP($J1774,'Type Chart'!$C$2:$T$20,7,false)*HLOOKUP($K1774,'Type Chart'!$C$2:$U$20,7,false)</f>
        <v>2</v>
      </c>
      <c r="AA1774" s="960">
        <f t="array" ref="AA1774">HLOOKUP($J1774,'Type Chart'!$C$2:$T$20,8,false)*HLOOKUP($K1774,'Type Chart'!$C$2:$U$20,8,false)</f>
        <v>1</v>
      </c>
      <c r="AB1774" s="960">
        <f t="array" ref="AB1774">HLOOKUP($J1774,'Type Chart'!$C$2:$T$20,9,false)*HLOOKUP($K1774,'Type Chart'!$C$2:$U$20,9,false)</f>
        <v>1</v>
      </c>
      <c r="AC1774" s="960">
        <f t="array" ref="AC1774">HLOOKUP($J1774,'Type Chart'!$C$2:$T$20,10,false)*HLOOKUP($K1774,'Type Chart'!$C$2:$U$20,10,false)</f>
        <v>1</v>
      </c>
      <c r="AD1774" s="960">
        <f t="array" ref="AD1774">HLOOKUP($J1774,'Type Chart'!$C$2:$T$20,11,false)*HLOOKUP($K1774,'Type Chart'!$C$2:$U$20,11,false)</f>
        <v>2</v>
      </c>
      <c r="AE1774" s="960">
        <f t="array" ref="AE1774">HLOOKUP($J1774,'Type Chart'!$C$2:$T$20,12,false)*HLOOKUP($K1774,'Type Chart'!$C$2:$U$20,12,false)</f>
        <v>1</v>
      </c>
      <c r="AF1774" s="960">
        <f t="array" ref="AF1774">HLOOKUP($J1774,'Type Chart'!$C$2:$T$20,13,false)*HLOOKUP($K1774,'Type Chart'!$C$2:$U$20,13,false)</f>
        <v>0.5</v>
      </c>
      <c r="AG1774" s="960">
        <f t="array" ref="AG1774">HLOOKUP($J1774,'Type Chart'!$C$2:$T$20,14,false)*HLOOKUP($K1774,'Type Chart'!$C$2:$U$20,14,false)</f>
        <v>1</v>
      </c>
      <c r="AH1774" s="960">
        <f t="array" ref="AH1774">HLOOKUP($J1774,'Type Chart'!$C$2:$T$20,15,false)*HLOOKUP($K1774,'Type Chart'!$C$2:$U$20,15,false)</f>
        <v>1</v>
      </c>
      <c r="AI1774" s="960">
        <f t="array" ref="AI1774">HLOOKUP($J1774,'Type Chart'!$C$2:$T$20,16,false)*HLOOKUP($K1774,'Type Chart'!$C$2:$U$20,16,false)</f>
        <v>1</v>
      </c>
      <c r="AJ1774" s="960">
        <f t="array" ref="AJ1774">HLOOKUP($J1774,'Type Chart'!$C$2:$T$20,17,false)*HLOOKUP($K1774,'Type Chart'!$C$2:$U$20,17,false)</f>
        <v>1</v>
      </c>
      <c r="AK1774" s="960">
        <f t="array" ref="AK1774">HLOOKUP($J1774,'Type Chart'!$C$2:$T$20,18,false)*HLOOKUP($K1774,'Type Chart'!$C$2:$U$20,18,false)</f>
        <v>1</v>
      </c>
      <c r="AL1774" s="960">
        <f t="array" ref="AL1774">HLOOKUP($J1774,'Type Chart'!$C$2:$T$20,19,false)*HLOOKUP($K1774,'Type Chart'!$C$2:$U$20,19,false)</f>
        <v>1</v>
      </c>
      <c r="AM1774" s="964" t="s">
        <v>998</v>
      </c>
      <c r="AN1774" s="965"/>
      <c r="AO1774" s="966" t="s">
        <v>988</v>
      </c>
      <c r="AP1774" s="936"/>
      <c r="AQ1774" s="1245"/>
      <c r="AR1774" s="1245"/>
      <c r="AS1774" s="936"/>
    </row>
    <row r="1775" ht="15.75" customHeight="1">
      <c r="A1775" s="1099"/>
      <c r="B1775" s="948" t="s">
        <v>2473</v>
      </c>
      <c r="C1775" s="1197" t="s">
        <v>2474</v>
      </c>
      <c r="D1775" s="1197" t="s">
        <v>2474</v>
      </c>
      <c r="E1775" s="1147" t="s">
        <v>2474</v>
      </c>
      <c r="F1775" s="940"/>
      <c r="G1775" s="953"/>
      <c r="H1775" s="969"/>
      <c r="I1775" s="998" t="s">
        <v>4875</v>
      </c>
      <c r="J1775" s="1180" t="s">
        <v>343</v>
      </c>
      <c r="K1775" s="984" t="s">
        <v>216</v>
      </c>
      <c r="L1775" s="959">
        <v>77.0</v>
      </c>
      <c r="M1775" s="960">
        <v>85.0</v>
      </c>
      <c r="N1775" s="960">
        <v>51.0</v>
      </c>
      <c r="O1775" s="960">
        <v>55.0</v>
      </c>
      <c r="P1775" s="960">
        <v>51.0</v>
      </c>
      <c r="Q1775" s="960">
        <v>65.0</v>
      </c>
      <c r="R1775" s="960">
        <v>166.0</v>
      </c>
      <c r="S1775" s="960">
        <v>229.0</v>
      </c>
      <c r="T1775" s="960">
        <v>251.0</v>
      </c>
      <c r="U1775" s="960">
        <f t="array" ref="U1775">HLOOKUP($J1775,'Type Chart'!$C$2:$T$20,2,false)*HLOOKUP($K1775,'Type Chart'!$C$2:$U$20,2,false)</f>
        <v>1</v>
      </c>
      <c r="V1775" s="960">
        <f t="array" ref="V1775">HLOOKUP($J1775,'Type Chart'!$C$2:$T$20,3,false)*HLOOKUP($K1775,'Type Chart'!$C$2:$U$20,3,false)</f>
        <v>0.5</v>
      </c>
      <c r="W1775" s="960">
        <f t="array" ref="W1775">HLOOKUP($J1775,'Type Chart'!$C$2:$T$20,4,false)*HLOOKUP($K1775,'Type Chart'!$C$2:$U$20,4,false)</f>
        <v>2</v>
      </c>
      <c r="X1775" s="960">
        <f t="array" ref="X1775">HLOOKUP($J1775,'Type Chart'!$C$2:$T$20,5,false)*HLOOKUP($K1775,'Type Chart'!$C$2:$U$20,5,false)</f>
        <v>1</v>
      </c>
      <c r="Y1775" s="960">
        <f t="array" ref="Y1775">HLOOKUP($J1775,'Type Chart'!$C$2:$T$20,6,false)*HLOOKUP($K1775,'Type Chart'!$C$2:$U$20,6,false)</f>
        <v>0.5</v>
      </c>
      <c r="Z1775" s="960">
        <f t="array" ref="Z1775">HLOOKUP($J1775,'Type Chart'!$C$2:$T$20,7,false)*HLOOKUP($K1775,'Type Chart'!$C$2:$U$20,7,false)</f>
        <v>2</v>
      </c>
      <c r="AA1775" s="960">
        <f t="array" ref="AA1775">HLOOKUP($J1775,'Type Chart'!$C$2:$T$20,8,false)*HLOOKUP($K1775,'Type Chart'!$C$2:$U$20,8,false)</f>
        <v>1</v>
      </c>
      <c r="AB1775" s="960">
        <f t="array" ref="AB1775">HLOOKUP($J1775,'Type Chart'!$C$2:$T$20,9,false)*HLOOKUP($K1775,'Type Chart'!$C$2:$U$20,9,false)</f>
        <v>1</v>
      </c>
      <c r="AC1775" s="960">
        <f t="array" ref="AC1775">HLOOKUP($J1775,'Type Chart'!$C$2:$T$20,10,false)*HLOOKUP($K1775,'Type Chart'!$C$2:$U$20,10,false)</f>
        <v>1</v>
      </c>
      <c r="AD1775" s="960">
        <f t="array" ref="AD1775">HLOOKUP($J1775,'Type Chart'!$C$2:$T$20,11,false)*HLOOKUP($K1775,'Type Chart'!$C$2:$U$20,11,false)</f>
        <v>2</v>
      </c>
      <c r="AE1775" s="960">
        <f t="array" ref="AE1775">HLOOKUP($J1775,'Type Chart'!$C$2:$T$20,12,false)*HLOOKUP($K1775,'Type Chart'!$C$2:$U$20,12,false)</f>
        <v>1</v>
      </c>
      <c r="AF1775" s="960">
        <f t="array" ref="AF1775">HLOOKUP($J1775,'Type Chart'!$C$2:$T$20,13,false)*HLOOKUP($K1775,'Type Chart'!$C$2:$U$20,13,false)</f>
        <v>0.5</v>
      </c>
      <c r="AG1775" s="960">
        <f t="array" ref="AG1775">HLOOKUP($J1775,'Type Chart'!$C$2:$T$20,14,false)*HLOOKUP($K1775,'Type Chart'!$C$2:$U$20,14,false)</f>
        <v>1</v>
      </c>
      <c r="AH1775" s="960">
        <f t="array" ref="AH1775">HLOOKUP($J1775,'Type Chart'!$C$2:$T$20,15,false)*HLOOKUP($K1775,'Type Chart'!$C$2:$U$20,15,false)</f>
        <v>1</v>
      </c>
      <c r="AI1775" s="960">
        <f t="array" ref="AI1775">HLOOKUP($J1775,'Type Chart'!$C$2:$T$20,16,false)*HLOOKUP($K1775,'Type Chart'!$C$2:$U$20,16,false)</f>
        <v>1</v>
      </c>
      <c r="AJ1775" s="960">
        <f t="array" ref="AJ1775">HLOOKUP($J1775,'Type Chart'!$C$2:$T$20,17,false)*HLOOKUP($K1775,'Type Chart'!$C$2:$U$20,17,false)</f>
        <v>1</v>
      </c>
      <c r="AK1775" s="960">
        <f t="array" ref="AK1775">HLOOKUP($J1775,'Type Chart'!$C$2:$T$20,18,false)*HLOOKUP($K1775,'Type Chart'!$C$2:$U$20,18,false)</f>
        <v>1</v>
      </c>
      <c r="AL1775" s="960">
        <f t="array" ref="AL1775">HLOOKUP($J1775,'Type Chart'!$C$2:$T$20,19,false)*HLOOKUP($K1775,'Type Chart'!$C$2:$U$20,19,false)</f>
        <v>1</v>
      </c>
      <c r="AM1775" s="964" t="s">
        <v>1013</v>
      </c>
      <c r="AN1775" s="965"/>
      <c r="AO1775" s="966" t="s">
        <v>1239</v>
      </c>
      <c r="AP1775" s="936"/>
      <c r="AQ1775" s="1245"/>
      <c r="AR1775" s="1245"/>
      <c r="AS1775" s="936"/>
    </row>
    <row r="1776" ht="15.75" customHeight="1">
      <c r="A1776" s="1099"/>
      <c r="B1776" s="948" t="s">
        <v>2475</v>
      </c>
      <c r="C1776" s="1197" t="s">
        <v>2476</v>
      </c>
      <c r="D1776" s="1197" t="s">
        <v>2476</v>
      </c>
      <c r="E1776" s="1147" t="s">
        <v>2476</v>
      </c>
      <c r="F1776" s="940"/>
      <c r="G1776" s="953"/>
      <c r="H1776" s="969"/>
      <c r="I1776" s="998" t="s">
        <v>4876</v>
      </c>
      <c r="J1776" s="1196" t="s">
        <v>203</v>
      </c>
      <c r="K1776" s="984" t="s">
        <v>216</v>
      </c>
      <c r="L1776" s="959">
        <v>45.0</v>
      </c>
      <c r="M1776" s="960">
        <v>65.0</v>
      </c>
      <c r="N1776" s="960">
        <v>34.0</v>
      </c>
      <c r="O1776" s="960">
        <v>40.0</v>
      </c>
      <c r="P1776" s="960">
        <v>34.0</v>
      </c>
      <c r="Q1776" s="960">
        <v>45.0</v>
      </c>
      <c r="R1776" s="960">
        <v>126.0</v>
      </c>
      <c r="S1776" s="960">
        <v>189.0</v>
      </c>
      <c r="T1776" s="960">
        <v>207.0</v>
      </c>
      <c r="U1776" s="960">
        <f t="array" ref="U1776">HLOOKUP($J1776,'Type Chart'!$C$2:$T$20,2,false)*HLOOKUP($K1776,'Type Chart'!$C$2:$U$20,2,false)</f>
        <v>1</v>
      </c>
      <c r="V1776" s="960">
        <f t="array" ref="V1776">HLOOKUP($J1776,'Type Chart'!$C$2:$T$20,3,false)*HLOOKUP($K1776,'Type Chart'!$C$2:$U$20,3,false)</f>
        <v>1</v>
      </c>
      <c r="W1776" s="960">
        <f t="array" ref="W1776">HLOOKUP($J1776,'Type Chart'!$C$2:$T$20,4,false)*HLOOKUP($K1776,'Type Chart'!$C$2:$U$20,4,false)</f>
        <v>0.5</v>
      </c>
      <c r="X1776" s="960">
        <f t="array" ref="X1776">HLOOKUP($J1776,'Type Chart'!$C$2:$T$20,5,false)*HLOOKUP($K1776,'Type Chart'!$C$2:$U$20,5,false)</f>
        <v>1</v>
      </c>
      <c r="Y1776" s="960">
        <f t="array" ref="Y1776">HLOOKUP($J1776,'Type Chart'!$C$2:$T$20,6,false)*HLOOKUP($K1776,'Type Chart'!$C$2:$U$20,6,false)</f>
        <v>2</v>
      </c>
      <c r="Z1776" s="960">
        <f t="array" ref="Z1776">HLOOKUP($J1776,'Type Chart'!$C$2:$T$20,7,false)*HLOOKUP($K1776,'Type Chart'!$C$2:$U$20,7,false)</f>
        <v>1</v>
      </c>
      <c r="AA1776" s="960">
        <f t="array" ref="AA1776">HLOOKUP($J1776,'Type Chart'!$C$2:$T$20,8,false)*HLOOKUP($K1776,'Type Chart'!$C$2:$U$20,8,false)</f>
        <v>1</v>
      </c>
      <c r="AB1776" s="960">
        <f t="array" ref="AB1776">HLOOKUP($J1776,'Type Chart'!$C$2:$T$20,9,false)*HLOOKUP($K1776,'Type Chart'!$C$2:$U$20,9,false)</f>
        <v>1</v>
      </c>
      <c r="AC1776" s="960">
        <f t="array" ref="AC1776">HLOOKUP($J1776,'Type Chart'!$C$2:$T$20,10,false)*HLOOKUP($K1776,'Type Chart'!$C$2:$U$20,10,false)</f>
        <v>0.5</v>
      </c>
      <c r="AD1776" s="960">
        <f t="array" ref="AD1776">HLOOKUP($J1776,'Type Chart'!$C$2:$T$20,11,false)*HLOOKUP($K1776,'Type Chart'!$C$2:$U$20,11,false)</f>
        <v>1</v>
      </c>
      <c r="AE1776" s="960">
        <f t="array" ref="AE1776">HLOOKUP($J1776,'Type Chart'!$C$2:$T$20,12,false)*HLOOKUP($K1776,'Type Chart'!$C$2:$U$20,12,false)</f>
        <v>1</v>
      </c>
      <c r="AF1776" s="960">
        <f t="array" ref="AF1776">HLOOKUP($J1776,'Type Chart'!$C$2:$T$20,13,false)*HLOOKUP($K1776,'Type Chart'!$C$2:$U$20,13,false)</f>
        <v>1</v>
      </c>
      <c r="AG1776" s="960">
        <f t="array" ref="AG1776">HLOOKUP($J1776,'Type Chart'!$C$2:$T$20,14,false)*HLOOKUP($K1776,'Type Chart'!$C$2:$U$20,14,false)</f>
        <v>0.5</v>
      </c>
      <c r="AH1776" s="960">
        <f t="array" ref="AH1776">HLOOKUP($J1776,'Type Chart'!$C$2:$T$20,15,false)*HLOOKUP($K1776,'Type Chart'!$C$2:$U$20,15,false)</f>
        <v>1</v>
      </c>
      <c r="AI1776" s="960">
        <f t="array" ref="AI1776">HLOOKUP($J1776,'Type Chart'!$C$2:$T$20,16,false)*HLOOKUP($K1776,'Type Chart'!$C$2:$U$20,16,false)</f>
        <v>1</v>
      </c>
      <c r="AJ1776" s="960">
        <f t="array" ref="AJ1776">HLOOKUP($J1776,'Type Chart'!$C$2:$T$20,17,false)*HLOOKUP($K1776,'Type Chart'!$C$2:$U$20,17,false)</f>
        <v>1</v>
      </c>
      <c r="AK1776" s="960">
        <f t="array" ref="AK1776">HLOOKUP($J1776,'Type Chart'!$C$2:$T$20,18,false)*HLOOKUP($K1776,'Type Chart'!$C$2:$U$20,18,false)</f>
        <v>1</v>
      </c>
      <c r="AL1776" s="960">
        <f t="array" ref="AL1776">HLOOKUP($J1776,'Type Chart'!$C$2:$T$20,19,false)*HLOOKUP($K1776,'Type Chart'!$C$2:$U$20,19,false)</f>
        <v>1</v>
      </c>
      <c r="AM1776" s="1145" t="s">
        <v>1147</v>
      </c>
      <c r="AN1776" s="1202" t="s">
        <v>1061</v>
      </c>
      <c r="AO1776" s="1146" t="s">
        <v>1038</v>
      </c>
      <c r="AP1776" s="936"/>
      <c r="AQ1776" s="1245"/>
      <c r="AR1776" s="1245"/>
      <c r="AS1776" s="936"/>
    </row>
    <row r="1777" ht="15.75" customHeight="1">
      <c r="A1777" s="1099"/>
      <c r="B1777" s="948" t="s">
        <v>2478</v>
      </c>
      <c r="C1777" s="1197" t="s">
        <v>2479</v>
      </c>
      <c r="D1777" s="1197" t="s">
        <v>2479</v>
      </c>
      <c r="E1777" s="1147" t="s">
        <v>2479</v>
      </c>
      <c r="F1777" s="940"/>
      <c r="G1777" s="953"/>
      <c r="H1777" s="969"/>
      <c r="I1777" s="998" t="s">
        <v>4877</v>
      </c>
      <c r="J1777" s="1196" t="s">
        <v>203</v>
      </c>
      <c r="K1777" s="984" t="s">
        <v>216</v>
      </c>
      <c r="L1777" s="959">
        <v>60.0</v>
      </c>
      <c r="M1777" s="960">
        <v>85.0</v>
      </c>
      <c r="N1777" s="960">
        <v>49.0</v>
      </c>
      <c r="O1777" s="960">
        <v>60.0</v>
      </c>
      <c r="P1777" s="960">
        <v>49.0</v>
      </c>
      <c r="Q1777" s="960">
        <v>60.0</v>
      </c>
      <c r="R1777" s="960">
        <v>156.0</v>
      </c>
      <c r="S1777" s="960">
        <v>219.0</v>
      </c>
      <c r="T1777" s="960">
        <v>240.0</v>
      </c>
      <c r="U1777" s="960">
        <f t="array" ref="U1777">HLOOKUP($J1777,'Type Chart'!$C$2:$T$20,2,false)*HLOOKUP($K1777,'Type Chart'!$C$2:$U$20,2,false)</f>
        <v>1</v>
      </c>
      <c r="V1777" s="960">
        <f t="array" ref="V1777">HLOOKUP($J1777,'Type Chart'!$C$2:$T$20,3,false)*HLOOKUP($K1777,'Type Chart'!$C$2:$U$20,3,false)</f>
        <v>1</v>
      </c>
      <c r="W1777" s="960">
        <f t="array" ref="W1777">HLOOKUP($J1777,'Type Chart'!$C$2:$T$20,4,false)*HLOOKUP($K1777,'Type Chart'!$C$2:$U$20,4,false)</f>
        <v>0.5</v>
      </c>
      <c r="X1777" s="960">
        <f t="array" ref="X1777">HLOOKUP($J1777,'Type Chart'!$C$2:$T$20,5,false)*HLOOKUP($K1777,'Type Chart'!$C$2:$U$20,5,false)</f>
        <v>1</v>
      </c>
      <c r="Y1777" s="960">
        <f t="array" ref="Y1777">HLOOKUP($J1777,'Type Chart'!$C$2:$T$20,6,false)*HLOOKUP($K1777,'Type Chart'!$C$2:$U$20,6,false)</f>
        <v>2</v>
      </c>
      <c r="Z1777" s="960">
        <f t="array" ref="Z1777">HLOOKUP($J1777,'Type Chart'!$C$2:$T$20,7,false)*HLOOKUP($K1777,'Type Chart'!$C$2:$U$20,7,false)</f>
        <v>1</v>
      </c>
      <c r="AA1777" s="960">
        <f t="array" ref="AA1777">HLOOKUP($J1777,'Type Chart'!$C$2:$T$20,8,false)*HLOOKUP($K1777,'Type Chart'!$C$2:$U$20,8,false)</f>
        <v>1</v>
      </c>
      <c r="AB1777" s="960">
        <f t="array" ref="AB1777">HLOOKUP($J1777,'Type Chart'!$C$2:$T$20,9,false)*HLOOKUP($K1777,'Type Chart'!$C$2:$U$20,9,false)</f>
        <v>1</v>
      </c>
      <c r="AC1777" s="960">
        <f t="array" ref="AC1777">HLOOKUP($J1777,'Type Chart'!$C$2:$T$20,10,false)*HLOOKUP($K1777,'Type Chart'!$C$2:$U$20,10,false)</f>
        <v>0.5</v>
      </c>
      <c r="AD1777" s="960">
        <f t="array" ref="AD1777">HLOOKUP($J1777,'Type Chart'!$C$2:$T$20,11,false)*HLOOKUP($K1777,'Type Chart'!$C$2:$U$20,11,false)</f>
        <v>1</v>
      </c>
      <c r="AE1777" s="960">
        <f t="array" ref="AE1777">HLOOKUP($J1777,'Type Chart'!$C$2:$T$20,12,false)*HLOOKUP($K1777,'Type Chart'!$C$2:$U$20,12,false)</f>
        <v>1</v>
      </c>
      <c r="AF1777" s="960">
        <f t="array" ref="AF1777">HLOOKUP($J1777,'Type Chart'!$C$2:$T$20,13,false)*HLOOKUP($K1777,'Type Chart'!$C$2:$U$20,13,false)</f>
        <v>1</v>
      </c>
      <c r="AG1777" s="960">
        <f t="array" ref="AG1777">HLOOKUP($J1777,'Type Chart'!$C$2:$T$20,14,false)*HLOOKUP($K1777,'Type Chart'!$C$2:$U$20,14,false)</f>
        <v>0.5</v>
      </c>
      <c r="AH1777" s="960">
        <f t="array" ref="AH1777">HLOOKUP($J1777,'Type Chart'!$C$2:$T$20,15,false)*HLOOKUP($K1777,'Type Chart'!$C$2:$U$20,15,false)</f>
        <v>1</v>
      </c>
      <c r="AI1777" s="960">
        <f t="array" ref="AI1777">HLOOKUP($J1777,'Type Chart'!$C$2:$T$20,16,false)*HLOOKUP($K1777,'Type Chart'!$C$2:$U$20,16,false)</f>
        <v>1</v>
      </c>
      <c r="AJ1777" s="960">
        <f t="array" ref="AJ1777">HLOOKUP($J1777,'Type Chart'!$C$2:$T$20,17,false)*HLOOKUP($K1777,'Type Chart'!$C$2:$U$20,17,false)</f>
        <v>1</v>
      </c>
      <c r="AK1777" s="960">
        <f t="array" ref="AK1777">HLOOKUP($J1777,'Type Chart'!$C$2:$T$20,18,false)*HLOOKUP($K1777,'Type Chart'!$C$2:$U$20,18,false)</f>
        <v>1</v>
      </c>
      <c r="AL1777" s="960">
        <f t="array" ref="AL1777">HLOOKUP($J1777,'Type Chart'!$C$2:$T$20,19,false)*HLOOKUP($K1777,'Type Chart'!$C$2:$U$20,19,false)</f>
        <v>1</v>
      </c>
      <c r="AM1777" s="964" t="s">
        <v>1147</v>
      </c>
      <c r="AN1777" s="965" t="s">
        <v>1061</v>
      </c>
      <c r="AO1777" s="966" t="s">
        <v>1038</v>
      </c>
      <c r="AP1777" s="936"/>
      <c r="AQ1777" s="1245"/>
      <c r="AR1777" s="1245"/>
      <c r="AS1777" s="936"/>
    </row>
    <row r="1778" ht="15.75" customHeight="1">
      <c r="A1778" s="1099"/>
      <c r="B1778" s="948" t="s">
        <v>2481</v>
      </c>
      <c r="C1778" s="1197" t="s">
        <v>2482</v>
      </c>
      <c r="D1778" s="1197" t="s">
        <v>2482</v>
      </c>
      <c r="E1778" s="1147" t="s">
        <v>2482</v>
      </c>
      <c r="F1778" s="940"/>
      <c r="G1778" s="953"/>
      <c r="H1778" s="969"/>
      <c r="I1778" s="998" t="s">
        <v>4878</v>
      </c>
      <c r="J1778" s="1196" t="s">
        <v>203</v>
      </c>
      <c r="K1778" s="984" t="s">
        <v>216</v>
      </c>
      <c r="L1778" s="959">
        <v>80.0</v>
      </c>
      <c r="M1778" s="960">
        <v>120.0</v>
      </c>
      <c r="N1778" s="960">
        <v>79.0</v>
      </c>
      <c r="O1778" s="960">
        <v>95.0</v>
      </c>
      <c r="P1778" s="960">
        <v>79.0</v>
      </c>
      <c r="Q1778" s="960">
        <v>70.0</v>
      </c>
      <c r="R1778" s="960">
        <v>176.0</v>
      </c>
      <c r="S1778" s="960">
        <v>239.0</v>
      </c>
      <c r="T1778" s="960">
        <v>262.0</v>
      </c>
      <c r="U1778" s="960">
        <f t="array" ref="U1778">HLOOKUP($J1778,'Type Chart'!$C$2:$T$20,2,false)*HLOOKUP($K1778,'Type Chart'!$C$2:$U$20,2,false)</f>
        <v>1</v>
      </c>
      <c r="V1778" s="960">
        <f t="array" ref="V1778">HLOOKUP($J1778,'Type Chart'!$C$2:$T$20,3,false)*HLOOKUP($K1778,'Type Chart'!$C$2:$U$20,3,false)</f>
        <v>1</v>
      </c>
      <c r="W1778" s="960">
        <f t="array" ref="W1778">HLOOKUP($J1778,'Type Chart'!$C$2:$T$20,4,false)*HLOOKUP($K1778,'Type Chart'!$C$2:$U$20,4,false)</f>
        <v>0.5</v>
      </c>
      <c r="X1778" s="960">
        <f t="array" ref="X1778">HLOOKUP($J1778,'Type Chart'!$C$2:$T$20,5,false)*HLOOKUP($K1778,'Type Chart'!$C$2:$U$20,5,false)</f>
        <v>1</v>
      </c>
      <c r="Y1778" s="960">
        <f t="array" ref="Y1778">HLOOKUP($J1778,'Type Chart'!$C$2:$T$20,6,false)*HLOOKUP($K1778,'Type Chart'!$C$2:$U$20,6,false)</f>
        <v>2</v>
      </c>
      <c r="Z1778" s="960">
        <f t="array" ref="Z1778">HLOOKUP($J1778,'Type Chart'!$C$2:$T$20,7,false)*HLOOKUP($K1778,'Type Chart'!$C$2:$U$20,7,false)</f>
        <v>1</v>
      </c>
      <c r="AA1778" s="960">
        <f t="array" ref="AA1778">HLOOKUP($J1778,'Type Chart'!$C$2:$T$20,8,false)*HLOOKUP($K1778,'Type Chart'!$C$2:$U$20,8,false)</f>
        <v>1</v>
      </c>
      <c r="AB1778" s="960">
        <f t="array" ref="AB1778">HLOOKUP($J1778,'Type Chart'!$C$2:$T$20,9,false)*HLOOKUP($K1778,'Type Chart'!$C$2:$U$20,9,false)</f>
        <v>1</v>
      </c>
      <c r="AC1778" s="960">
        <f t="array" ref="AC1778">HLOOKUP($J1778,'Type Chart'!$C$2:$T$20,10,false)*HLOOKUP($K1778,'Type Chart'!$C$2:$U$20,10,false)</f>
        <v>0.5</v>
      </c>
      <c r="AD1778" s="960">
        <f t="array" ref="AD1778">HLOOKUP($J1778,'Type Chart'!$C$2:$T$20,11,false)*HLOOKUP($K1778,'Type Chart'!$C$2:$U$20,11,false)</f>
        <v>1</v>
      </c>
      <c r="AE1778" s="960">
        <f t="array" ref="AE1778">HLOOKUP($J1778,'Type Chart'!$C$2:$T$20,12,false)*HLOOKUP($K1778,'Type Chart'!$C$2:$U$20,12,false)</f>
        <v>1</v>
      </c>
      <c r="AF1778" s="960">
        <f t="array" ref="AF1778">HLOOKUP($J1778,'Type Chart'!$C$2:$T$20,13,false)*HLOOKUP($K1778,'Type Chart'!$C$2:$U$20,13,false)</f>
        <v>1</v>
      </c>
      <c r="AG1778" s="960">
        <f t="array" ref="AG1778">HLOOKUP($J1778,'Type Chart'!$C$2:$T$20,14,false)*HLOOKUP($K1778,'Type Chart'!$C$2:$U$20,14,false)</f>
        <v>0.5</v>
      </c>
      <c r="AH1778" s="960">
        <f t="array" ref="AH1778">HLOOKUP($J1778,'Type Chart'!$C$2:$T$20,15,false)*HLOOKUP($K1778,'Type Chart'!$C$2:$U$20,15,false)</f>
        <v>1</v>
      </c>
      <c r="AI1778" s="960">
        <f t="array" ref="AI1778">HLOOKUP($J1778,'Type Chart'!$C$2:$T$20,16,false)*HLOOKUP($K1778,'Type Chart'!$C$2:$U$20,16,false)</f>
        <v>1</v>
      </c>
      <c r="AJ1778" s="960">
        <f t="array" ref="AJ1778">HLOOKUP($J1778,'Type Chart'!$C$2:$T$20,17,false)*HLOOKUP($K1778,'Type Chart'!$C$2:$U$20,17,false)</f>
        <v>1</v>
      </c>
      <c r="AK1778" s="960">
        <f t="array" ref="AK1778">HLOOKUP($J1778,'Type Chart'!$C$2:$T$20,18,false)*HLOOKUP($K1778,'Type Chart'!$C$2:$U$20,18,false)</f>
        <v>1</v>
      </c>
      <c r="AL1778" s="960">
        <f t="array" ref="AL1778">HLOOKUP($J1778,'Type Chart'!$C$2:$T$20,19,false)*HLOOKUP($K1778,'Type Chart'!$C$2:$U$20,19,false)</f>
        <v>1</v>
      </c>
      <c r="AM1778" s="1145" t="s">
        <v>1147</v>
      </c>
      <c r="AN1778" s="1202" t="s">
        <v>1061</v>
      </c>
      <c r="AO1778" s="1146" t="s">
        <v>1038</v>
      </c>
      <c r="AP1778" s="936"/>
      <c r="AQ1778" s="1245"/>
      <c r="AR1778" s="1245"/>
      <c r="AS1778" s="936"/>
    </row>
    <row r="1779" ht="15.75" customHeight="1">
      <c r="A1779" s="1099"/>
      <c r="B1779" s="948" t="s">
        <v>2483</v>
      </c>
      <c r="C1779" s="1197" t="s">
        <v>2484</v>
      </c>
      <c r="D1779" s="1197" t="s">
        <v>2484</v>
      </c>
      <c r="E1779" s="1147" t="s">
        <v>2484</v>
      </c>
      <c r="F1779" s="940"/>
      <c r="G1779" s="953"/>
      <c r="H1779" s="969"/>
      <c r="I1779" s="998" t="s">
        <v>4879</v>
      </c>
      <c r="J1779" s="957" t="s">
        <v>209</v>
      </c>
      <c r="K1779" s="958" t="s">
        <v>178</v>
      </c>
      <c r="L1779" s="959">
        <v>40.0</v>
      </c>
      <c r="M1779" s="960">
        <v>30.0</v>
      </c>
      <c r="N1779" s="960">
        <v>35.0</v>
      </c>
      <c r="O1779" s="960">
        <v>50.0</v>
      </c>
      <c r="P1779" s="960">
        <v>70.0</v>
      </c>
      <c r="Q1779" s="960">
        <v>55.0</v>
      </c>
      <c r="R1779" s="960">
        <v>146.0</v>
      </c>
      <c r="S1779" s="960">
        <v>209.0</v>
      </c>
      <c r="T1779" s="960">
        <v>229.0</v>
      </c>
      <c r="U1779" s="960">
        <f t="array" ref="U1779">HLOOKUP($J1779,'Type Chart'!$C$2:$T$20,2,false)*HLOOKUP($K1779,'Type Chart'!$C$2:$U$20,2,false)</f>
        <v>1</v>
      </c>
      <c r="V1779" s="960">
        <f t="array" ref="V1779">HLOOKUP($J1779,'Type Chart'!$C$2:$T$20,3,false)*HLOOKUP($K1779,'Type Chart'!$C$2:$U$20,3,false)</f>
        <v>0.5</v>
      </c>
      <c r="W1779" s="960">
        <f t="array" ref="W1779">HLOOKUP($J1779,'Type Chart'!$C$2:$T$20,4,false)*HLOOKUP($K1779,'Type Chart'!$C$2:$U$20,4,false)</f>
        <v>2</v>
      </c>
      <c r="X1779" s="960">
        <f t="array" ref="X1779">HLOOKUP($J1779,'Type Chart'!$C$2:$T$20,5,false)*HLOOKUP($K1779,'Type Chart'!$C$2:$U$20,5,false)</f>
        <v>1</v>
      </c>
      <c r="Y1779" s="960">
        <f t="array" ref="Y1779">HLOOKUP($J1779,'Type Chart'!$C$2:$T$20,6,false)*HLOOKUP($K1779,'Type Chart'!$C$2:$U$20,6,false)</f>
        <v>1</v>
      </c>
      <c r="Z1779" s="960">
        <f t="array" ref="Z1779">HLOOKUP($J1779,'Type Chart'!$C$2:$T$20,7,false)*HLOOKUP($K1779,'Type Chart'!$C$2:$U$20,7,false)</f>
        <v>1</v>
      </c>
      <c r="AA1779" s="960">
        <f t="array" ref="AA1779">HLOOKUP($J1779,'Type Chart'!$C$2:$T$20,8,false)*HLOOKUP($K1779,'Type Chart'!$C$2:$U$20,8,false)</f>
        <v>1</v>
      </c>
      <c r="AB1779" s="960">
        <f t="array" ref="AB1779">HLOOKUP($J1779,'Type Chart'!$C$2:$T$20,9,false)*HLOOKUP($K1779,'Type Chart'!$C$2:$U$20,9,false)</f>
        <v>1</v>
      </c>
      <c r="AC1779" s="960">
        <f t="array" ref="AC1779">HLOOKUP($J1779,'Type Chart'!$C$2:$T$20,10,false)*HLOOKUP($K1779,'Type Chart'!$C$2:$U$20,10,false)</f>
        <v>1</v>
      </c>
      <c r="AD1779" s="960">
        <f t="array" ref="AD1779">HLOOKUP($J1779,'Type Chart'!$C$2:$T$20,11,false)*HLOOKUP($K1779,'Type Chart'!$C$2:$U$20,11,false)</f>
        <v>2</v>
      </c>
      <c r="AE1779" s="960">
        <f t="array" ref="AE1779">HLOOKUP($J1779,'Type Chart'!$C$2:$T$20,12,false)*HLOOKUP($K1779,'Type Chart'!$C$2:$U$20,12,false)</f>
        <v>0.5</v>
      </c>
      <c r="AF1779" s="960">
        <f t="array" ref="AF1779">HLOOKUP($J1779,'Type Chart'!$C$2:$T$20,13,false)*HLOOKUP($K1779,'Type Chart'!$C$2:$U$20,13,false)</f>
        <v>0.25</v>
      </c>
      <c r="AG1779" s="960">
        <f t="array" ref="AG1779">HLOOKUP($J1779,'Type Chart'!$C$2:$T$20,14,false)*HLOOKUP($K1779,'Type Chart'!$C$2:$U$20,14,false)</f>
        <v>0.5</v>
      </c>
      <c r="AH1779" s="960">
        <f t="array" ref="AH1779">HLOOKUP($J1779,'Type Chart'!$C$2:$T$20,15,false)*HLOOKUP($K1779,'Type Chart'!$C$2:$U$20,15,false)</f>
        <v>2</v>
      </c>
      <c r="AI1779" s="960">
        <f t="array" ref="AI1779">HLOOKUP($J1779,'Type Chart'!$C$2:$T$20,16,false)*HLOOKUP($K1779,'Type Chart'!$C$2:$U$20,16,false)</f>
        <v>2</v>
      </c>
      <c r="AJ1779" s="960">
        <f t="array" ref="AJ1779">HLOOKUP($J1779,'Type Chart'!$C$2:$T$20,17,false)*HLOOKUP($K1779,'Type Chart'!$C$2:$U$20,17,false)</f>
        <v>1</v>
      </c>
      <c r="AK1779" s="960">
        <f t="array" ref="AK1779">HLOOKUP($J1779,'Type Chart'!$C$2:$T$20,18,false)*HLOOKUP($K1779,'Type Chart'!$C$2:$U$20,18,false)</f>
        <v>1</v>
      </c>
      <c r="AL1779" s="960">
        <f t="array" ref="AL1779">HLOOKUP($J1779,'Type Chart'!$C$2:$T$20,19,false)*HLOOKUP($K1779,'Type Chart'!$C$2:$U$20,19,false)</f>
        <v>0.5</v>
      </c>
      <c r="AM1779" s="1145" t="s">
        <v>1520</v>
      </c>
      <c r="AN1779" s="1202" t="s">
        <v>1146</v>
      </c>
      <c r="AO1779" s="1146" t="s">
        <v>1526</v>
      </c>
      <c r="AP1779" s="936"/>
      <c r="AQ1779" s="1245"/>
      <c r="AR1779" s="1245"/>
      <c r="AS1779" s="936"/>
    </row>
    <row r="1780" ht="15.75" customHeight="1">
      <c r="A1780" s="1099"/>
      <c r="B1780" s="948" t="s">
        <v>2486</v>
      </c>
      <c r="C1780" s="1197" t="s">
        <v>2487</v>
      </c>
      <c r="D1780" s="1197" t="s">
        <v>2487</v>
      </c>
      <c r="E1780" s="1147" t="s">
        <v>2487</v>
      </c>
      <c r="F1780" s="940"/>
      <c r="G1780" s="953"/>
      <c r="H1780" s="969"/>
      <c r="I1780" s="998" t="s">
        <v>4880</v>
      </c>
      <c r="J1780" s="957" t="s">
        <v>209</v>
      </c>
      <c r="K1780" s="958" t="s">
        <v>178</v>
      </c>
      <c r="L1780" s="959">
        <v>60.0</v>
      </c>
      <c r="M1780" s="960">
        <v>70.0</v>
      </c>
      <c r="N1780" s="960">
        <v>65.0</v>
      </c>
      <c r="O1780" s="960">
        <v>125.0</v>
      </c>
      <c r="P1780" s="960">
        <v>105.0</v>
      </c>
      <c r="Q1780" s="960">
        <v>90.0</v>
      </c>
      <c r="R1780" s="960">
        <v>216.0</v>
      </c>
      <c r="S1780" s="960">
        <v>279.0</v>
      </c>
      <c r="T1780" s="960">
        <v>306.0</v>
      </c>
      <c r="U1780" s="960">
        <f t="array" ref="U1780">HLOOKUP($J1780,'Type Chart'!$C$2:$T$20,2,false)*HLOOKUP($K1780,'Type Chart'!$C$2:$U$20,2,false)</f>
        <v>1</v>
      </c>
      <c r="V1780" s="960">
        <f t="array" ref="V1780">HLOOKUP($J1780,'Type Chart'!$C$2:$T$20,3,false)*HLOOKUP($K1780,'Type Chart'!$C$2:$U$20,3,false)</f>
        <v>0.5</v>
      </c>
      <c r="W1780" s="960">
        <f t="array" ref="W1780">HLOOKUP($J1780,'Type Chart'!$C$2:$T$20,4,false)*HLOOKUP($K1780,'Type Chart'!$C$2:$U$20,4,false)</f>
        <v>2</v>
      </c>
      <c r="X1780" s="960">
        <f t="array" ref="X1780">HLOOKUP($J1780,'Type Chart'!$C$2:$T$20,5,false)*HLOOKUP($K1780,'Type Chart'!$C$2:$U$20,5,false)</f>
        <v>1</v>
      </c>
      <c r="Y1780" s="960">
        <f t="array" ref="Y1780">HLOOKUP($J1780,'Type Chart'!$C$2:$T$20,6,false)*HLOOKUP($K1780,'Type Chart'!$C$2:$U$20,6,false)</f>
        <v>1</v>
      </c>
      <c r="Z1780" s="960">
        <f t="array" ref="Z1780">HLOOKUP($J1780,'Type Chart'!$C$2:$T$20,7,false)*HLOOKUP($K1780,'Type Chart'!$C$2:$U$20,7,false)</f>
        <v>1</v>
      </c>
      <c r="AA1780" s="960">
        <f t="array" ref="AA1780">HLOOKUP($J1780,'Type Chart'!$C$2:$T$20,8,false)*HLOOKUP($K1780,'Type Chart'!$C$2:$U$20,8,false)</f>
        <v>1</v>
      </c>
      <c r="AB1780" s="960">
        <f t="array" ref="AB1780">HLOOKUP($J1780,'Type Chart'!$C$2:$T$20,9,false)*HLOOKUP($K1780,'Type Chart'!$C$2:$U$20,9,false)</f>
        <v>1</v>
      </c>
      <c r="AC1780" s="960">
        <f t="array" ref="AC1780">HLOOKUP($J1780,'Type Chart'!$C$2:$T$20,10,false)*HLOOKUP($K1780,'Type Chart'!$C$2:$U$20,10,false)</f>
        <v>1</v>
      </c>
      <c r="AD1780" s="960">
        <f t="array" ref="AD1780">HLOOKUP($J1780,'Type Chart'!$C$2:$T$20,11,false)*HLOOKUP($K1780,'Type Chart'!$C$2:$U$20,11,false)</f>
        <v>2</v>
      </c>
      <c r="AE1780" s="960">
        <f t="array" ref="AE1780">HLOOKUP($J1780,'Type Chart'!$C$2:$T$20,12,false)*HLOOKUP($K1780,'Type Chart'!$C$2:$U$20,12,false)</f>
        <v>0.5</v>
      </c>
      <c r="AF1780" s="960">
        <f t="array" ref="AF1780">HLOOKUP($J1780,'Type Chart'!$C$2:$T$20,13,false)*HLOOKUP($K1780,'Type Chart'!$C$2:$U$20,13,false)</f>
        <v>0.25</v>
      </c>
      <c r="AG1780" s="960">
        <f t="array" ref="AG1780">HLOOKUP($J1780,'Type Chart'!$C$2:$T$20,14,false)*HLOOKUP($K1780,'Type Chart'!$C$2:$U$20,14,false)</f>
        <v>0.5</v>
      </c>
      <c r="AH1780" s="960">
        <f t="array" ref="AH1780">HLOOKUP($J1780,'Type Chart'!$C$2:$T$20,15,false)*HLOOKUP($K1780,'Type Chart'!$C$2:$U$20,15,false)</f>
        <v>2</v>
      </c>
      <c r="AI1780" s="960">
        <f t="array" ref="AI1780">HLOOKUP($J1780,'Type Chart'!$C$2:$T$20,16,false)*HLOOKUP($K1780,'Type Chart'!$C$2:$U$20,16,false)</f>
        <v>2</v>
      </c>
      <c r="AJ1780" s="960">
        <f t="array" ref="AJ1780">HLOOKUP($J1780,'Type Chart'!$C$2:$T$20,17,false)*HLOOKUP($K1780,'Type Chart'!$C$2:$U$20,17,false)</f>
        <v>1</v>
      </c>
      <c r="AK1780" s="960">
        <f t="array" ref="AK1780">HLOOKUP($J1780,'Type Chart'!$C$2:$T$20,18,false)*HLOOKUP($K1780,'Type Chart'!$C$2:$U$20,18,false)</f>
        <v>1</v>
      </c>
      <c r="AL1780" s="960">
        <f t="array" ref="AL1780">HLOOKUP($J1780,'Type Chart'!$C$2:$T$20,19,false)*HLOOKUP($K1780,'Type Chart'!$C$2:$U$20,19,false)</f>
        <v>0.5</v>
      </c>
      <c r="AM1780" s="964" t="s">
        <v>1520</v>
      </c>
      <c r="AN1780" s="965" t="s">
        <v>1146</v>
      </c>
      <c r="AO1780" s="966" t="s">
        <v>1239</v>
      </c>
      <c r="AP1780" s="936"/>
      <c r="AQ1780" s="1245"/>
      <c r="AR1780" s="1245"/>
      <c r="AS1780" s="936"/>
    </row>
    <row r="1781" ht="15.75" customHeight="1">
      <c r="A1781" s="1099"/>
      <c r="B1781" s="948" t="s">
        <v>2489</v>
      </c>
      <c r="C1781" s="1197" t="s">
        <v>2490</v>
      </c>
      <c r="D1781" s="1197" t="s">
        <v>2490</v>
      </c>
      <c r="E1781" s="1147" t="s">
        <v>2490</v>
      </c>
      <c r="F1781" s="940"/>
      <c r="G1781" s="953"/>
      <c r="H1781" s="969"/>
      <c r="I1781" s="998" t="s">
        <v>4881</v>
      </c>
      <c r="J1781" s="1214" t="s">
        <v>342</v>
      </c>
      <c r="K1781" s="984" t="s">
        <v>216</v>
      </c>
      <c r="L1781" s="959">
        <v>67.0</v>
      </c>
      <c r="M1781" s="960">
        <v>125.0</v>
      </c>
      <c r="N1781" s="960">
        <v>40.0</v>
      </c>
      <c r="O1781" s="960">
        <v>30.0</v>
      </c>
      <c r="P1781" s="960">
        <v>30.0</v>
      </c>
      <c r="Q1781" s="960">
        <v>58.0</v>
      </c>
      <c r="R1781" s="960">
        <v>152.0</v>
      </c>
      <c r="S1781" s="960">
        <v>215.0</v>
      </c>
      <c r="T1781" s="960">
        <v>236.0</v>
      </c>
      <c r="U1781" s="960">
        <f t="array" ref="U1781">HLOOKUP($J1781,'Type Chart'!$C$2:$T$20,2,false)*HLOOKUP($K1781,'Type Chart'!$C$2:$U$20,2,false)</f>
        <v>0.5</v>
      </c>
      <c r="V1781" s="960">
        <f t="array" ref="V1781">HLOOKUP($J1781,'Type Chart'!$C$2:$T$20,3,false)*HLOOKUP($K1781,'Type Chart'!$C$2:$U$20,3,false)</f>
        <v>2</v>
      </c>
      <c r="W1781" s="960">
        <f t="array" ref="W1781">HLOOKUP($J1781,'Type Chart'!$C$2:$T$20,4,false)*HLOOKUP($K1781,'Type Chart'!$C$2:$U$20,4,false)</f>
        <v>0.5</v>
      </c>
      <c r="X1781" s="960">
        <f t="array" ref="X1781">HLOOKUP($J1781,'Type Chart'!$C$2:$T$20,5,false)*HLOOKUP($K1781,'Type Chart'!$C$2:$U$20,5,false)</f>
        <v>0.5</v>
      </c>
      <c r="Y1781" s="960">
        <f t="array" ref="Y1781">HLOOKUP($J1781,'Type Chart'!$C$2:$T$20,6,false)*HLOOKUP($K1781,'Type Chart'!$C$2:$U$20,6,false)</f>
        <v>2</v>
      </c>
      <c r="Z1781" s="960">
        <f t="array" ref="Z1781">HLOOKUP($J1781,'Type Chart'!$C$2:$T$20,7,false)*HLOOKUP($K1781,'Type Chart'!$C$2:$U$20,7,false)</f>
        <v>1</v>
      </c>
      <c r="AA1781" s="960">
        <f t="array" ref="AA1781">HLOOKUP($J1781,'Type Chart'!$C$2:$T$20,8,false)*HLOOKUP($K1781,'Type Chart'!$C$2:$U$20,8,false)</f>
        <v>1</v>
      </c>
      <c r="AB1781" s="960">
        <f t="array" ref="AB1781">HLOOKUP($J1781,'Type Chart'!$C$2:$T$20,9,false)*HLOOKUP($K1781,'Type Chart'!$C$2:$U$20,9,false)</f>
        <v>1</v>
      </c>
      <c r="AC1781" s="960">
        <f t="array" ref="AC1781">HLOOKUP($J1781,'Type Chart'!$C$2:$T$20,10,false)*HLOOKUP($K1781,'Type Chart'!$C$2:$U$20,10,false)</f>
        <v>2</v>
      </c>
      <c r="AD1781" s="960">
        <f t="array" ref="AD1781">HLOOKUP($J1781,'Type Chart'!$C$2:$T$20,11,false)*HLOOKUP($K1781,'Type Chart'!$C$2:$U$20,11,false)</f>
        <v>0.5</v>
      </c>
      <c r="AE1781" s="960">
        <f t="array" ref="AE1781">HLOOKUP($J1781,'Type Chart'!$C$2:$T$20,12,false)*HLOOKUP($K1781,'Type Chart'!$C$2:$U$20,12,false)</f>
        <v>2</v>
      </c>
      <c r="AF1781" s="960">
        <f t="array" ref="AF1781">HLOOKUP($J1781,'Type Chart'!$C$2:$T$20,13,false)*HLOOKUP($K1781,'Type Chart'!$C$2:$U$20,13,false)</f>
        <v>2</v>
      </c>
      <c r="AG1781" s="960">
        <f t="array" ref="AG1781">HLOOKUP($J1781,'Type Chart'!$C$2:$T$20,14,false)*HLOOKUP($K1781,'Type Chart'!$C$2:$U$20,14,false)</f>
        <v>1</v>
      </c>
      <c r="AH1781" s="960">
        <f t="array" ref="AH1781">HLOOKUP($J1781,'Type Chart'!$C$2:$T$20,15,false)*HLOOKUP($K1781,'Type Chart'!$C$2:$U$20,15,false)</f>
        <v>1</v>
      </c>
      <c r="AI1781" s="960">
        <f t="array" ref="AI1781">HLOOKUP($J1781,'Type Chart'!$C$2:$T$20,16,false)*HLOOKUP($K1781,'Type Chart'!$C$2:$U$20,16,false)</f>
        <v>1</v>
      </c>
      <c r="AJ1781" s="960">
        <f t="array" ref="AJ1781">HLOOKUP($J1781,'Type Chart'!$C$2:$T$20,17,false)*HLOOKUP($K1781,'Type Chart'!$C$2:$U$20,17,false)</f>
        <v>1</v>
      </c>
      <c r="AK1781" s="960">
        <f t="array" ref="AK1781">HLOOKUP($J1781,'Type Chart'!$C$2:$T$20,18,false)*HLOOKUP($K1781,'Type Chart'!$C$2:$U$20,18,false)</f>
        <v>1</v>
      </c>
      <c r="AL1781" s="960">
        <f t="array" ref="AL1781">HLOOKUP($J1781,'Type Chart'!$C$2:$T$20,19,false)*HLOOKUP($K1781,'Type Chart'!$C$2:$U$20,19,false)</f>
        <v>1</v>
      </c>
      <c r="AM1781" s="964" t="s">
        <v>1576</v>
      </c>
      <c r="AN1781" s="965"/>
      <c r="AO1781" s="966" t="s">
        <v>1153</v>
      </c>
      <c r="AP1781" s="936"/>
      <c r="AQ1781" s="1245"/>
      <c r="AR1781" s="1245"/>
      <c r="AS1781" s="936"/>
    </row>
    <row r="1782" ht="15.75" customHeight="1">
      <c r="A1782" s="1099"/>
      <c r="B1782" s="948" t="s">
        <v>2492</v>
      </c>
      <c r="C1782" s="1197" t="s">
        <v>2493</v>
      </c>
      <c r="D1782" s="1197" t="s">
        <v>2493</v>
      </c>
      <c r="E1782" s="1147" t="s">
        <v>2493</v>
      </c>
      <c r="F1782" s="940"/>
      <c r="G1782" s="953"/>
      <c r="H1782" s="969"/>
      <c r="I1782" s="998" t="s">
        <v>4882</v>
      </c>
      <c r="J1782" s="1214" t="s">
        <v>342</v>
      </c>
      <c r="K1782" s="984" t="s">
        <v>216</v>
      </c>
      <c r="L1782" s="959">
        <v>97.0</v>
      </c>
      <c r="M1782" s="960">
        <v>165.0</v>
      </c>
      <c r="N1782" s="960">
        <v>60.0</v>
      </c>
      <c r="O1782" s="960">
        <v>65.0</v>
      </c>
      <c r="P1782" s="960">
        <v>50.0</v>
      </c>
      <c r="Q1782" s="960">
        <v>58.0</v>
      </c>
      <c r="R1782" s="960">
        <v>152.0</v>
      </c>
      <c r="S1782" s="960">
        <v>215.0</v>
      </c>
      <c r="T1782" s="960">
        <v>236.0</v>
      </c>
      <c r="U1782" s="960">
        <f t="array" ref="U1782">HLOOKUP($J1782,'Type Chart'!$C$2:$T$20,2,false)*HLOOKUP($K1782,'Type Chart'!$C$2:$U$20,2,false)</f>
        <v>0.5</v>
      </c>
      <c r="V1782" s="960">
        <f t="array" ref="V1782">HLOOKUP($J1782,'Type Chart'!$C$2:$T$20,3,false)*HLOOKUP($K1782,'Type Chart'!$C$2:$U$20,3,false)</f>
        <v>2</v>
      </c>
      <c r="W1782" s="960">
        <f t="array" ref="W1782">HLOOKUP($J1782,'Type Chart'!$C$2:$T$20,4,false)*HLOOKUP($K1782,'Type Chart'!$C$2:$U$20,4,false)</f>
        <v>0.5</v>
      </c>
      <c r="X1782" s="960">
        <f t="array" ref="X1782">HLOOKUP($J1782,'Type Chart'!$C$2:$T$20,5,false)*HLOOKUP($K1782,'Type Chart'!$C$2:$U$20,5,false)</f>
        <v>0.5</v>
      </c>
      <c r="Y1782" s="960">
        <f t="array" ref="Y1782">HLOOKUP($J1782,'Type Chart'!$C$2:$T$20,6,false)*HLOOKUP($K1782,'Type Chart'!$C$2:$U$20,6,false)</f>
        <v>2</v>
      </c>
      <c r="Z1782" s="960">
        <f t="array" ref="Z1782">HLOOKUP($J1782,'Type Chart'!$C$2:$T$20,7,false)*HLOOKUP($K1782,'Type Chart'!$C$2:$U$20,7,false)</f>
        <v>1</v>
      </c>
      <c r="AA1782" s="960">
        <f t="array" ref="AA1782">HLOOKUP($J1782,'Type Chart'!$C$2:$T$20,8,false)*HLOOKUP($K1782,'Type Chart'!$C$2:$U$20,8,false)</f>
        <v>1</v>
      </c>
      <c r="AB1782" s="960">
        <f t="array" ref="AB1782">HLOOKUP($J1782,'Type Chart'!$C$2:$T$20,9,false)*HLOOKUP($K1782,'Type Chart'!$C$2:$U$20,9,false)</f>
        <v>1</v>
      </c>
      <c r="AC1782" s="960">
        <f t="array" ref="AC1782">HLOOKUP($J1782,'Type Chart'!$C$2:$T$20,10,false)*HLOOKUP($K1782,'Type Chart'!$C$2:$U$20,10,false)</f>
        <v>2</v>
      </c>
      <c r="AD1782" s="960">
        <f t="array" ref="AD1782">HLOOKUP($J1782,'Type Chart'!$C$2:$T$20,11,false)*HLOOKUP($K1782,'Type Chart'!$C$2:$U$20,11,false)</f>
        <v>0.5</v>
      </c>
      <c r="AE1782" s="960">
        <f t="array" ref="AE1782">HLOOKUP($J1782,'Type Chart'!$C$2:$T$20,12,false)*HLOOKUP($K1782,'Type Chart'!$C$2:$U$20,12,false)</f>
        <v>2</v>
      </c>
      <c r="AF1782" s="960">
        <f t="array" ref="AF1782">HLOOKUP($J1782,'Type Chart'!$C$2:$T$20,13,false)*HLOOKUP($K1782,'Type Chart'!$C$2:$U$20,13,false)</f>
        <v>2</v>
      </c>
      <c r="AG1782" s="960">
        <f t="array" ref="AG1782">HLOOKUP($J1782,'Type Chart'!$C$2:$T$20,14,false)*HLOOKUP($K1782,'Type Chart'!$C$2:$U$20,14,false)</f>
        <v>1</v>
      </c>
      <c r="AH1782" s="960">
        <f t="array" ref="AH1782">HLOOKUP($J1782,'Type Chart'!$C$2:$T$20,15,false)*HLOOKUP($K1782,'Type Chart'!$C$2:$U$20,15,false)</f>
        <v>1</v>
      </c>
      <c r="AI1782" s="960">
        <f t="array" ref="AI1782">HLOOKUP($J1782,'Type Chart'!$C$2:$T$20,16,false)*HLOOKUP($K1782,'Type Chart'!$C$2:$U$20,16,false)</f>
        <v>1</v>
      </c>
      <c r="AJ1782" s="960">
        <f t="array" ref="AJ1782">HLOOKUP($J1782,'Type Chart'!$C$2:$T$20,17,false)*HLOOKUP($K1782,'Type Chart'!$C$2:$U$20,17,false)</f>
        <v>1</v>
      </c>
      <c r="AK1782" s="960">
        <f t="array" ref="AK1782">HLOOKUP($J1782,'Type Chart'!$C$2:$T$20,18,false)*HLOOKUP($K1782,'Type Chart'!$C$2:$U$20,18,false)</f>
        <v>1</v>
      </c>
      <c r="AL1782" s="960">
        <f t="array" ref="AL1782">HLOOKUP($J1782,'Type Chart'!$C$2:$T$20,19,false)*HLOOKUP($K1782,'Type Chart'!$C$2:$U$20,19,false)</f>
        <v>1</v>
      </c>
      <c r="AM1782" s="1145" t="s">
        <v>1576</v>
      </c>
      <c r="AN1782" s="965"/>
      <c r="AO1782" s="1146" t="s">
        <v>1153</v>
      </c>
      <c r="AP1782" s="936"/>
      <c r="AQ1782" s="1245"/>
      <c r="AR1782" s="1245"/>
      <c r="AS1782" s="936"/>
    </row>
    <row r="1783" ht="15.75" customHeight="1">
      <c r="A1783" s="1099"/>
      <c r="B1783" s="948" t="s">
        <v>2494</v>
      </c>
      <c r="C1783" s="1197" t="s">
        <v>2495</v>
      </c>
      <c r="D1783" s="1197" t="s">
        <v>2495</v>
      </c>
      <c r="E1783" s="1147" t="s">
        <v>2495</v>
      </c>
      <c r="F1783" s="940"/>
      <c r="G1783" s="953"/>
      <c r="H1783" s="969"/>
      <c r="I1783" s="998" t="s">
        <v>4883</v>
      </c>
      <c r="J1783" s="1222" t="s">
        <v>342</v>
      </c>
      <c r="K1783" s="1233" t="s">
        <v>82</v>
      </c>
      <c r="L1783" s="1200">
        <v>30.0</v>
      </c>
      <c r="M1783" s="1201">
        <v>42.0</v>
      </c>
      <c r="N1783" s="1201">
        <v>118.0</v>
      </c>
      <c r="O1783" s="1201">
        <v>42.0</v>
      </c>
      <c r="P1783" s="1201">
        <v>88.0</v>
      </c>
      <c r="Q1783" s="1201">
        <v>30.0</v>
      </c>
      <c r="R1783" s="960">
        <v>96.0</v>
      </c>
      <c r="S1783" s="960">
        <v>159.0</v>
      </c>
      <c r="T1783" s="960">
        <v>174.0</v>
      </c>
      <c r="U1783" s="960">
        <f t="array" ref="U1783">HLOOKUP($J1783,'Type Chart'!$C$2:$T$20,2,false)*HLOOKUP($K1783,'Type Chart'!$C$2:$U$20,2,false)</f>
        <v>0.25</v>
      </c>
      <c r="V1783" s="960">
        <f t="array" ref="V1783">HLOOKUP($J1783,'Type Chart'!$C$2:$T$20,3,false)*HLOOKUP($K1783,'Type Chart'!$C$2:$U$20,3,false)</f>
        <v>4</v>
      </c>
      <c r="W1783" s="960">
        <f t="array" ref="W1783">HLOOKUP($J1783,'Type Chart'!$C$2:$T$20,4,false)*HLOOKUP($K1783,'Type Chart'!$C$2:$U$20,4,false)</f>
        <v>0.25</v>
      </c>
      <c r="X1783" s="960">
        <f t="array" ref="X1783">HLOOKUP($J1783,'Type Chart'!$C$2:$T$20,5,false)*HLOOKUP($K1783,'Type Chart'!$C$2:$U$20,5,false)</f>
        <v>0</v>
      </c>
      <c r="Y1783" s="960">
        <f t="array" ref="Y1783">HLOOKUP($J1783,'Type Chart'!$C$2:$T$20,6,false)*HLOOKUP($K1783,'Type Chart'!$C$2:$U$20,6,false)</f>
        <v>4</v>
      </c>
      <c r="Z1783" s="960">
        <f t="array" ref="Z1783">HLOOKUP($J1783,'Type Chart'!$C$2:$T$20,7,false)*HLOOKUP($K1783,'Type Chart'!$C$2:$U$20,7,false)</f>
        <v>0.5</v>
      </c>
      <c r="AA1783" s="960">
        <f t="array" ref="AA1783">HLOOKUP($J1783,'Type Chart'!$C$2:$T$20,8,false)*HLOOKUP($K1783,'Type Chart'!$C$2:$U$20,8,false)</f>
        <v>0.5</v>
      </c>
      <c r="AB1783" s="960">
        <f t="array" ref="AB1783">HLOOKUP($J1783,'Type Chart'!$C$2:$T$20,9,false)*HLOOKUP($K1783,'Type Chart'!$C$2:$U$20,9,false)</f>
        <v>1</v>
      </c>
      <c r="AC1783" s="960">
        <f t="array" ref="AC1783">HLOOKUP($J1783,'Type Chart'!$C$2:$T$20,10,false)*HLOOKUP($K1783,'Type Chart'!$C$2:$U$20,10,false)</f>
        <v>1</v>
      </c>
      <c r="AD1783" s="960">
        <f t="array" ref="AD1783">HLOOKUP($J1783,'Type Chart'!$C$2:$T$20,11,false)*HLOOKUP($K1783,'Type Chart'!$C$2:$U$20,11,false)</f>
        <v>1</v>
      </c>
      <c r="AE1783" s="960">
        <f t="array" ref="AE1783">HLOOKUP($J1783,'Type Chart'!$C$2:$T$20,12,false)*HLOOKUP($K1783,'Type Chart'!$C$2:$U$20,12,false)</f>
        <v>2</v>
      </c>
      <c r="AF1783" s="960">
        <f t="array" ref="AF1783">HLOOKUP($J1783,'Type Chart'!$C$2:$T$20,13,false)*HLOOKUP($K1783,'Type Chart'!$C$2:$U$20,13,false)</f>
        <v>1</v>
      </c>
      <c r="AG1783" s="960">
        <f t="array" ref="AG1783">HLOOKUP($J1783,'Type Chart'!$C$2:$T$20,14,false)*HLOOKUP($K1783,'Type Chart'!$C$2:$U$20,14,false)</f>
        <v>1</v>
      </c>
      <c r="AH1783" s="960">
        <f t="array" ref="AH1783">HLOOKUP($J1783,'Type Chart'!$C$2:$T$20,15,false)*HLOOKUP($K1783,'Type Chart'!$C$2:$U$20,15,false)</f>
        <v>0.5</v>
      </c>
      <c r="AI1783" s="960">
        <f t="array" ref="AI1783">HLOOKUP($J1783,'Type Chart'!$C$2:$T$20,16,false)*HLOOKUP($K1783,'Type Chart'!$C$2:$U$20,16,false)</f>
        <v>0.5</v>
      </c>
      <c r="AJ1783" s="960">
        <f t="array" ref="AJ1783">HLOOKUP($J1783,'Type Chart'!$C$2:$T$20,17,false)*HLOOKUP($K1783,'Type Chart'!$C$2:$U$20,17,false)</f>
        <v>0.5</v>
      </c>
      <c r="AK1783" s="960">
        <f t="array" ref="AK1783">HLOOKUP($J1783,'Type Chart'!$C$2:$T$20,18,false)*HLOOKUP($K1783,'Type Chart'!$C$2:$U$20,18,false)</f>
        <v>1</v>
      </c>
      <c r="AL1783" s="960">
        <f t="array" ref="AL1783">HLOOKUP($J1783,'Type Chart'!$C$2:$T$20,19,false)*HLOOKUP($K1783,'Type Chart'!$C$2:$U$20,19,false)</f>
        <v>0.5</v>
      </c>
      <c r="AM1783" s="1145" t="s">
        <v>1331</v>
      </c>
      <c r="AN1783" s="965"/>
      <c r="AO1783" s="966" t="s">
        <v>1468</v>
      </c>
      <c r="AP1783" s="936"/>
      <c r="AQ1783" s="1245"/>
      <c r="AR1783" s="1245"/>
      <c r="AS1783" s="936"/>
    </row>
    <row r="1784" ht="15.75" customHeight="1">
      <c r="A1784" s="1099"/>
      <c r="B1784" s="948" t="s">
        <v>2497</v>
      </c>
      <c r="C1784" s="1197" t="s">
        <v>2498</v>
      </c>
      <c r="D1784" s="1197" t="s">
        <v>2498</v>
      </c>
      <c r="E1784" s="1147" t="s">
        <v>2498</v>
      </c>
      <c r="F1784" s="940"/>
      <c r="G1784" s="953"/>
      <c r="H1784" s="969"/>
      <c r="I1784" s="998" t="s">
        <v>4884</v>
      </c>
      <c r="J1784" s="1222" t="s">
        <v>342</v>
      </c>
      <c r="K1784" s="1233" t="s">
        <v>82</v>
      </c>
      <c r="L1784" s="1200">
        <v>60.0</v>
      </c>
      <c r="M1784" s="1201">
        <v>52.0</v>
      </c>
      <c r="N1784" s="1201">
        <v>168.0</v>
      </c>
      <c r="O1784" s="1201">
        <v>47.0</v>
      </c>
      <c r="P1784" s="1201">
        <v>138.0</v>
      </c>
      <c r="Q1784" s="1201">
        <v>30.0</v>
      </c>
      <c r="R1784" s="960">
        <v>96.0</v>
      </c>
      <c r="S1784" s="960">
        <v>159.0</v>
      </c>
      <c r="T1784" s="960">
        <v>174.0</v>
      </c>
      <c r="U1784" s="960">
        <f t="array" ref="U1784">HLOOKUP($J1784,'Type Chart'!$C$2:$T$20,2,false)*HLOOKUP($K1784,'Type Chart'!$C$2:$U$20,2,false)</f>
        <v>0.25</v>
      </c>
      <c r="V1784" s="960">
        <f t="array" ref="V1784">HLOOKUP($J1784,'Type Chart'!$C$2:$T$20,3,false)*HLOOKUP($K1784,'Type Chart'!$C$2:$U$20,3,false)</f>
        <v>4</v>
      </c>
      <c r="W1784" s="960">
        <f t="array" ref="W1784">HLOOKUP($J1784,'Type Chart'!$C$2:$T$20,4,false)*HLOOKUP($K1784,'Type Chart'!$C$2:$U$20,4,false)</f>
        <v>0.25</v>
      </c>
      <c r="X1784" s="960">
        <f t="array" ref="X1784">HLOOKUP($J1784,'Type Chart'!$C$2:$T$20,5,false)*HLOOKUP($K1784,'Type Chart'!$C$2:$U$20,5,false)</f>
        <v>0</v>
      </c>
      <c r="Y1784" s="960">
        <f t="array" ref="Y1784">HLOOKUP($J1784,'Type Chart'!$C$2:$T$20,6,false)*HLOOKUP($K1784,'Type Chart'!$C$2:$U$20,6,false)</f>
        <v>4</v>
      </c>
      <c r="Z1784" s="960">
        <f t="array" ref="Z1784">HLOOKUP($J1784,'Type Chart'!$C$2:$T$20,7,false)*HLOOKUP($K1784,'Type Chart'!$C$2:$U$20,7,false)</f>
        <v>0.5</v>
      </c>
      <c r="AA1784" s="960">
        <f t="array" ref="AA1784">HLOOKUP($J1784,'Type Chart'!$C$2:$T$20,8,false)*HLOOKUP($K1784,'Type Chart'!$C$2:$U$20,8,false)</f>
        <v>0.5</v>
      </c>
      <c r="AB1784" s="960">
        <f t="array" ref="AB1784">HLOOKUP($J1784,'Type Chart'!$C$2:$T$20,9,false)*HLOOKUP($K1784,'Type Chart'!$C$2:$U$20,9,false)</f>
        <v>1</v>
      </c>
      <c r="AC1784" s="960">
        <f t="array" ref="AC1784">HLOOKUP($J1784,'Type Chart'!$C$2:$T$20,10,false)*HLOOKUP($K1784,'Type Chart'!$C$2:$U$20,10,false)</f>
        <v>1</v>
      </c>
      <c r="AD1784" s="960">
        <f t="array" ref="AD1784">HLOOKUP($J1784,'Type Chart'!$C$2:$T$20,11,false)*HLOOKUP($K1784,'Type Chart'!$C$2:$U$20,11,false)</f>
        <v>1</v>
      </c>
      <c r="AE1784" s="960">
        <f t="array" ref="AE1784">HLOOKUP($J1784,'Type Chart'!$C$2:$T$20,12,false)*HLOOKUP($K1784,'Type Chart'!$C$2:$U$20,12,false)</f>
        <v>2</v>
      </c>
      <c r="AF1784" s="960">
        <f t="array" ref="AF1784">HLOOKUP($J1784,'Type Chart'!$C$2:$T$20,13,false)*HLOOKUP($K1784,'Type Chart'!$C$2:$U$20,13,false)</f>
        <v>1</v>
      </c>
      <c r="AG1784" s="960">
        <f t="array" ref="AG1784">HLOOKUP($J1784,'Type Chart'!$C$2:$T$20,14,false)*HLOOKUP($K1784,'Type Chart'!$C$2:$U$20,14,false)</f>
        <v>1</v>
      </c>
      <c r="AH1784" s="960">
        <f t="array" ref="AH1784">HLOOKUP($J1784,'Type Chart'!$C$2:$T$20,15,false)*HLOOKUP($K1784,'Type Chart'!$C$2:$U$20,15,false)</f>
        <v>0.5</v>
      </c>
      <c r="AI1784" s="960">
        <f t="array" ref="AI1784">HLOOKUP($J1784,'Type Chart'!$C$2:$T$20,16,false)*HLOOKUP($K1784,'Type Chart'!$C$2:$U$20,16,false)</f>
        <v>0.5</v>
      </c>
      <c r="AJ1784" s="960">
        <f t="array" ref="AJ1784">HLOOKUP($J1784,'Type Chart'!$C$2:$T$20,17,false)*HLOOKUP($K1784,'Type Chart'!$C$2:$U$20,17,false)</f>
        <v>0.5</v>
      </c>
      <c r="AK1784" s="960">
        <f t="array" ref="AK1784">HLOOKUP($J1784,'Type Chart'!$C$2:$T$20,18,false)*HLOOKUP($K1784,'Type Chart'!$C$2:$U$20,18,false)</f>
        <v>1</v>
      </c>
      <c r="AL1784" s="960">
        <f t="array" ref="AL1784">HLOOKUP($J1784,'Type Chart'!$C$2:$T$20,19,false)*HLOOKUP($K1784,'Type Chart'!$C$2:$U$20,19,false)</f>
        <v>0.5</v>
      </c>
      <c r="AM1784" s="1145" t="s">
        <v>1331</v>
      </c>
      <c r="AN1784" s="965"/>
      <c r="AO1784" s="966" t="s">
        <v>1468</v>
      </c>
      <c r="AP1784" s="936"/>
      <c r="AQ1784" s="1245"/>
      <c r="AR1784" s="1245"/>
      <c r="AS1784" s="936"/>
    </row>
    <row r="1785" ht="15.75" customHeight="1">
      <c r="A1785" s="1099"/>
      <c r="B1785" s="948" t="s">
        <v>2499</v>
      </c>
      <c r="C1785" s="1197" t="s">
        <v>2500</v>
      </c>
      <c r="D1785" s="1197" t="s">
        <v>2500</v>
      </c>
      <c r="E1785" s="1147" t="s">
        <v>2500</v>
      </c>
      <c r="F1785" s="940"/>
      <c r="G1785" s="953"/>
      <c r="H1785" s="969"/>
      <c r="I1785" s="998" t="s">
        <v>4885</v>
      </c>
      <c r="J1785" s="1225" t="s">
        <v>343</v>
      </c>
      <c r="K1785" s="1199" t="s">
        <v>216</v>
      </c>
      <c r="L1785" s="1200">
        <v>40.0</v>
      </c>
      <c r="M1785" s="1201">
        <v>29.0</v>
      </c>
      <c r="N1785" s="1201">
        <v>45.0</v>
      </c>
      <c r="O1785" s="1201">
        <v>29.0</v>
      </c>
      <c r="P1785" s="1201">
        <v>45.0</v>
      </c>
      <c r="Q1785" s="1201">
        <v>36.0</v>
      </c>
      <c r="R1785" s="960">
        <v>108.0</v>
      </c>
      <c r="S1785" s="960">
        <v>171.0</v>
      </c>
      <c r="T1785" s="960">
        <v>188.0</v>
      </c>
      <c r="U1785" s="960">
        <f t="array" ref="U1785">HLOOKUP($J1785,'Type Chart'!$C$2:$T$20,2,false)*HLOOKUP($K1785,'Type Chart'!$C$2:$U$20,2,false)</f>
        <v>1</v>
      </c>
      <c r="V1785" s="960">
        <f t="array" ref="V1785">HLOOKUP($J1785,'Type Chart'!$C$2:$T$20,3,false)*HLOOKUP($K1785,'Type Chart'!$C$2:$U$20,3,false)</f>
        <v>0.5</v>
      </c>
      <c r="W1785" s="960">
        <f t="array" ref="W1785">HLOOKUP($J1785,'Type Chart'!$C$2:$T$20,4,false)*HLOOKUP($K1785,'Type Chart'!$C$2:$U$20,4,false)</f>
        <v>2</v>
      </c>
      <c r="X1785" s="960">
        <f t="array" ref="X1785">HLOOKUP($J1785,'Type Chart'!$C$2:$T$20,5,false)*HLOOKUP($K1785,'Type Chart'!$C$2:$U$20,5,false)</f>
        <v>1</v>
      </c>
      <c r="Y1785" s="960">
        <f t="array" ref="Y1785">HLOOKUP($J1785,'Type Chart'!$C$2:$T$20,6,false)*HLOOKUP($K1785,'Type Chart'!$C$2:$U$20,6,false)</f>
        <v>0.5</v>
      </c>
      <c r="Z1785" s="960">
        <f t="array" ref="Z1785">HLOOKUP($J1785,'Type Chart'!$C$2:$T$20,7,false)*HLOOKUP($K1785,'Type Chart'!$C$2:$U$20,7,false)</f>
        <v>2</v>
      </c>
      <c r="AA1785" s="960">
        <f t="array" ref="AA1785">HLOOKUP($J1785,'Type Chart'!$C$2:$T$20,8,false)*HLOOKUP($K1785,'Type Chart'!$C$2:$U$20,8,false)</f>
        <v>1</v>
      </c>
      <c r="AB1785" s="960">
        <f t="array" ref="AB1785">HLOOKUP($J1785,'Type Chart'!$C$2:$T$20,9,false)*HLOOKUP($K1785,'Type Chart'!$C$2:$U$20,9,false)</f>
        <v>1</v>
      </c>
      <c r="AC1785" s="960">
        <f t="array" ref="AC1785">HLOOKUP($J1785,'Type Chart'!$C$2:$T$20,10,false)*HLOOKUP($K1785,'Type Chart'!$C$2:$U$20,10,false)</f>
        <v>1</v>
      </c>
      <c r="AD1785" s="960">
        <f t="array" ref="AD1785">HLOOKUP($J1785,'Type Chart'!$C$2:$T$20,11,false)*HLOOKUP($K1785,'Type Chart'!$C$2:$U$20,11,false)</f>
        <v>2</v>
      </c>
      <c r="AE1785" s="960">
        <f t="array" ref="AE1785">HLOOKUP($J1785,'Type Chart'!$C$2:$T$20,12,false)*HLOOKUP($K1785,'Type Chart'!$C$2:$U$20,12,false)</f>
        <v>1</v>
      </c>
      <c r="AF1785" s="960">
        <f t="array" ref="AF1785">HLOOKUP($J1785,'Type Chart'!$C$2:$T$20,13,false)*HLOOKUP($K1785,'Type Chart'!$C$2:$U$20,13,false)</f>
        <v>0.5</v>
      </c>
      <c r="AG1785" s="960">
        <f t="array" ref="AG1785">HLOOKUP($J1785,'Type Chart'!$C$2:$T$20,14,false)*HLOOKUP($K1785,'Type Chart'!$C$2:$U$20,14,false)</f>
        <v>1</v>
      </c>
      <c r="AH1785" s="960">
        <f t="array" ref="AH1785">HLOOKUP($J1785,'Type Chart'!$C$2:$T$20,15,false)*HLOOKUP($K1785,'Type Chart'!$C$2:$U$20,15,false)</f>
        <v>1</v>
      </c>
      <c r="AI1785" s="960">
        <f t="array" ref="AI1785">HLOOKUP($J1785,'Type Chart'!$C$2:$T$20,16,false)*HLOOKUP($K1785,'Type Chart'!$C$2:$U$20,16,false)</f>
        <v>1</v>
      </c>
      <c r="AJ1785" s="960">
        <f t="array" ref="AJ1785">HLOOKUP($J1785,'Type Chart'!$C$2:$T$20,17,false)*HLOOKUP($K1785,'Type Chart'!$C$2:$U$20,17,false)</f>
        <v>1</v>
      </c>
      <c r="AK1785" s="960">
        <f t="array" ref="AK1785">HLOOKUP($J1785,'Type Chart'!$C$2:$T$20,18,false)*HLOOKUP($K1785,'Type Chart'!$C$2:$U$20,18,false)</f>
        <v>1</v>
      </c>
      <c r="AL1785" s="960">
        <f t="array" ref="AL1785">HLOOKUP($J1785,'Type Chart'!$C$2:$T$20,19,false)*HLOOKUP($K1785,'Type Chart'!$C$2:$U$20,19,false)</f>
        <v>1</v>
      </c>
      <c r="AM1785" s="1145" t="s">
        <v>998</v>
      </c>
      <c r="AN1785" s="965"/>
      <c r="AO1785" s="966" t="s">
        <v>1431</v>
      </c>
      <c r="AP1785" s="936"/>
      <c r="AQ1785" s="1245"/>
      <c r="AR1785" s="1245"/>
      <c r="AS1785" s="936"/>
    </row>
    <row r="1786" ht="15.75" customHeight="1">
      <c r="A1786" s="1099"/>
      <c r="B1786" s="948" t="s">
        <v>2502</v>
      </c>
      <c r="C1786" s="1197" t="s">
        <v>2503</v>
      </c>
      <c r="D1786" s="1197" t="s">
        <v>2503</v>
      </c>
      <c r="E1786" s="1147" t="s">
        <v>2503</v>
      </c>
      <c r="F1786" s="940"/>
      <c r="G1786" s="953"/>
      <c r="H1786" s="969"/>
      <c r="I1786" s="998" t="s">
        <v>4886</v>
      </c>
      <c r="J1786" s="1225" t="s">
        <v>343</v>
      </c>
      <c r="K1786" s="1228" t="s">
        <v>209</v>
      </c>
      <c r="L1786" s="1200">
        <v>60.0</v>
      </c>
      <c r="M1786" s="1201">
        <v>59.0</v>
      </c>
      <c r="N1786" s="1201">
        <v>85.0</v>
      </c>
      <c r="O1786" s="1201">
        <v>79.0</v>
      </c>
      <c r="P1786" s="1201">
        <v>105.0</v>
      </c>
      <c r="Q1786" s="1201">
        <v>36.0</v>
      </c>
      <c r="R1786" s="960">
        <v>108.0</v>
      </c>
      <c r="S1786" s="960">
        <v>171.0</v>
      </c>
      <c r="T1786" s="960">
        <v>188.0</v>
      </c>
      <c r="U1786" s="960">
        <f t="array" ref="U1786">HLOOKUP($J1786,'Type Chart'!$C$2:$T$20,2,false)*HLOOKUP($K1786,'Type Chart'!$C$2:$U$20,2,false)</f>
        <v>1</v>
      </c>
      <c r="V1786" s="960">
        <f t="array" ref="V1786">HLOOKUP($J1786,'Type Chart'!$C$2:$T$20,3,false)*HLOOKUP($K1786,'Type Chart'!$C$2:$U$20,3,false)</f>
        <v>0.5</v>
      </c>
      <c r="W1786" s="960">
        <f t="array" ref="W1786">HLOOKUP($J1786,'Type Chart'!$C$2:$T$20,4,false)*HLOOKUP($K1786,'Type Chart'!$C$2:$U$20,4,false)</f>
        <v>4</v>
      </c>
      <c r="X1786" s="960">
        <f t="array" ref="X1786">HLOOKUP($J1786,'Type Chart'!$C$2:$T$20,5,false)*HLOOKUP($K1786,'Type Chart'!$C$2:$U$20,5,false)</f>
        <v>2</v>
      </c>
      <c r="Y1786" s="960">
        <f t="array" ref="Y1786">HLOOKUP($J1786,'Type Chart'!$C$2:$T$20,6,false)*HLOOKUP($K1786,'Type Chart'!$C$2:$U$20,6,false)</f>
        <v>0.25</v>
      </c>
      <c r="Z1786" s="960">
        <f t="array" ref="Z1786">HLOOKUP($J1786,'Type Chart'!$C$2:$T$20,7,false)*HLOOKUP($K1786,'Type Chart'!$C$2:$U$20,7,false)</f>
        <v>2</v>
      </c>
      <c r="AA1786" s="960">
        <f t="array" ref="AA1786">HLOOKUP($J1786,'Type Chart'!$C$2:$T$20,8,false)*HLOOKUP($K1786,'Type Chart'!$C$2:$U$20,8,false)</f>
        <v>2</v>
      </c>
      <c r="AB1786" s="960">
        <f t="array" ref="AB1786">HLOOKUP($J1786,'Type Chart'!$C$2:$T$20,9,false)*HLOOKUP($K1786,'Type Chart'!$C$2:$U$20,9,false)</f>
        <v>1</v>
      </c>
      <c r="AC1786" s="960">
        <f t="array" ref="AC1786">HLOOKUP($J1786,'Type Chart'!$C$2:$T$20,10,false)*HLOOKUP($K1786,'Type Chart'!$C$2:$U$20,10,false)</f>
        <v>1</v>
      </c>
      <c r="AD1786" s="960">
        <f t="array" ref="AD1786">HLOOKUP($J1786,'Type Chart'!$C$2:$T$20,11,false)*HLOOKUP($K1786,'Type Chart'!$C$2:$U$20,11,false)</f>
        <v>4</v>
      </c>
      <c r="AE1786" s="960">
        <f t="array" ref="AE1786">HLOOKUP($J1786,'Type Chart'!$C$2:$T$20,12,false)*HLOOKUP($K1786,'Type Chart'!$C$2:$U$20,12,false)</f>
        <v>0.5</v>
      </c>
      <c r="AF1786" s="960">
        <f t="array" ref="AF1786">HLOOKUP($J1786,'Type Chart'!$C$2:$T$20,13,false)*HLOOKUP($K1786,'Type Chart'!$C$2:$U$20,13,false)</f>
        <v>0.25</v>
      </c>
      <c r="AG1786" s="960">
        <f t="array" ref="AG1786">HLOOKUP($J1786,'Type Chart'!$C$2:$T$20,14,false)*HLOOKUP($K1786,'Type Chart'!$C$2:$U$20,14,false)</f>
        <v>0.5</v>
      </c>
      <c r="AH1786" s="960">
        <f t="array" ref="AH1786">HLOOKUP($J1786,'Type Chart'!$C$2:$T$20,15,false)*HLOOKUP($K1786,'Type Chart'!$C$2:$U$20,15,false)</f>
        <v>1</v>
      </c>
      <c r="AI1786" s="960">
        <f t="array" ref="AI1786">HLOOKUP($J1786,'Type Chart'!$C$2:$T$20,16,false)*HLOOKUP($K1786,'Type Chart'!$C$2:$U$20,16,false)</f>
        <v>2</v>
      </c>
      <c r="AJ1786" s="960">
        <f t="array" ref="AJ1786">HLOOKUP($J1786,'Type Chart'!$C$2:$T$20,17,false)*HLOOKUP($K1786,'Type Chart'!$C$2:$U$20,17,false)</f>
        <v>1</v>
      </c>
      <c r="AK1786" s="960">
        <f t="array" ref="AK1786">HLOOKUP($J1786,'Type Chart'!$C$2:$T$20,18,false)*HLOOKUP($K1786,'Type Chart'!$C$2:$U$20,18,false)</f>
        <v>1</v>
      </c>
      <c r="AL1786" s="960">
        <f t="array" ref="AL1786">HLOOKUP($J1786,'Type Chart'!$C$2:$T$20,19,false)*HLOOKUP($K1786,'Type Chart'!$C$2:$U$20,19,false)</f>
        <v>1</v>
      </c>
      <c r="AM1786" s="1145" t="s">
        <v>998</v>
      </c>
      <c r="AN1786" s="965"/>
      <c r="AO1786" s="966" t="s">
        <v>1431</v>
      </c>
      <c r="AP1786" s="936"/>
      <c r="AQ1786" s="1245"/>
      <c r="AR1786" s="1245"/>
      <c r="AS1786" s="936"/>
    </row>
    <row r="1787" ht="15.75" customHeight="1">
      <c r="A1787" s="1099"/>
      <c r="B1787" s="948" t="s">
        <v>2505</v>
      </c>
      <c r="C1787" s="1197" t="s">
        <v>2506</v>
      </c>
      <c r="D1787" s="1197" t="s">
        <v>2506</v>
      </c>
      <c r="E1787" s="1147" t="s">
        <v>2506</v>
      </c>
      <c r="F1787" s="940"/>
      <c r="G1787" s="953"/>
      <c r="H1787" s="969"/>
      <c r="I1787" s="998" t="s">
        <v>4887</v>
      </c>
      <c r="J1787" s="1225" t="s">
        <v>343</v>
      </c>
      <c r="K1787" s="1223" t="s">
        <v>80</v>
      </c>
      <c r="L1787" s="1200">
        <v>60.0</v>
      </c>
      <c r="M1787" s="1201">
        <v>79.0</v>
      </c>
      <c r="N1787" s="1201">
        <v>105.0</v>
      </c>
      <c r="O1787" s="1201">
        <v>59.0</v>
      </c>
      <c r="P1787" s="1201">
        <v>85.0</v>
      </c>
      <c r="Q1787" s="1201">
        <v>36.0</v>
      </c>
      <c r="R1787" s="960">
        <v>108.0</v>
      </c>
      <c r="S1787" s="960">
        <v>171.0</v>
      </c>
      <c r="T1787" s="960">
        <v>188.0</v>
      </c>
      <c r="U1787" s="960">
        <f t="array" ref="U1787">HLOOKUP($J1787,'Type Chart'!$C$2:$T$20,2,false)*HLOOKUP($K1787,'Type Chart'!$C$2:$U$20,2,false)</f>
        <v>1</v>
      </c>
      <c r="V1787" s="960">
        <f t="array" ref="V1787">HLOOKUP($J1787,'Type Chart'!$C$2:$T$20,3,false)*HLOOKUP($K1787,'Type Chart'!$C$2:$U$20,3,false)</f>
        <v>0.5</v>
      </c>
      <c r="W1787" s="960">
        <f t="array" ref="W1787">HLOOKUP($J1787,'Type Chart'!$C$2:$T$20,4,false)*HLOOKUP($K1787,'Type Chart'!$C$2:$U$20,4,false)</f>
        <v>2</v>
      </c>
      <c r="X1787" s="960">
        <f t="array" ref="X1787">HLOOKUP($J1787,'Type Chart'!$C$2:$T$20,5,false)*HLOOKUP($K1787,'Type Chart'!$C$2:$U$20,5,false)</f>
        <v>0.5</v>
      </c>
      <c r="Y1787" s="960">
        <f t="array" ref="Y1787">HLOOKUP($J1787,'Type Chart'!$C$2:$T$20,6,false)*HLOOKUP($K1787,'Type Chart'!$C$2:$U$20,6,false)</f>
        <v>0.5</v>
      </c>
      <c r="Z1787" s="960">
        <f t="array" ref="Z1787">HLOOKUP($J1787,'Type Chart'!$C$2:$T$20,7,false)*HLOOKUP($K1787,'Type Chart'!$C$2:$U$20,7,false)</f>
        <v>1</v>
      </c>
      <c r="AA1787" s="960">
        <f t="array" ref="AA1787">HLOOKUP($J1787,'Type Chart'!$C$2:$T$20,8,false)*HLOOKUP($K1787,'Type Chart'!$C$2:$U$20,8,false)</f>
        <v>1</v>
      </c>
      <c r="AB1787" s="960">
        <f t="array" ref="AB1787">HLOOKUP($J1787,'Type Chart'!$C$2:$T$20,9,false)*HLOOKUP($K1787,'Type Chart'!$C$2:$U$20,9,false)</f>
        <v>1</v>
      </c>
      <c r="AC1787" s="960">
        <f t="array" ref="AC1787">HLOOKUP($J1787,'Type Chart'!$C$2:$T$20,10,false)*HLOOKUP($K1787,'Type Chart'!$C$2:$U$20,10,false)</f>
        <v>1</v>
      </c>
      <c r="AD1787" s="960">
        <f t="array" ref="AD1787">HLOOKUP($J1787,'Type Chart'!$C$2:$T$20,11,false)*HLOOKUP($K1787,'Type Chart'!$C$2:$U$20,11,false)</f>
        <v>2</v>
      </c>
      <c r="AE1787" s="960">
        <f t="array" ref="AE1787">HLOOKUP($J1787,'Type Chart'!$C$2:$T$20,12,false)*HLOOKUP($K1787,'Type Chart'!$C$2:$U$20,12,false)</f>
        <v>2</v>
      </c>
      <c r="AF1787" s="960">
        <f t="array" ref="AF1787">HLOOKUP($J1787,'Type Chart'!$C$2:$T$20,13,false)*HLOOKUP($K1787,'Type Chart'!$C$2:$U$20,13,false)</f>
        <v>1</v>
      </c>
      <c r="AG1787" s="960">
        <f t="array" ref="AG1787">HLOOKUP($J1787,'Type Chart'!$C$2:$T$20,14,false)*HLOOKUP($K1787,'Type Chart'!$C$2:$U$20,14,false)</f>
        <v>0</v>
      </c>
      <c r="AH1787" s="960">
        <f t="array" ref="AH1787">HLOOKUP($J1787,'Type Chart'!$C$2:$T$20,15,false)*HLOOKUP($K1787,'Type Chart'!$C$2:$U$20,15,false)</f>
        <v>1</v>
      </c>
      <c r="AI1787" s="960">
        <f t="array" ref="AI1787">HLOOKUP($J1787,'Type Chart'!$C$2:$T$20,16,false)*HLOOKUP($K1787,'Type Chart'!$C$2:$U$20,16,false)</f>
        <v>2</v>
      </c>
      <c r="AJ1787" s="960">
        <f t="array" ref="AJ1787">HLOOKUP($J1787,'Type Chart'!$C$2:$T$20,17,false)*HLOOKUP($K1787,'Type Chart'!$C$2:$U$20,17,false)</f>
        <v>1</v>
      </c>
      <c r="AK1787" s="960">
        <f t="array" ref="AK1787">HLOOKUP($J1787,'Type Chart'!$C$2:$T$20,18,false)*HLOOKUP($K1787,'Type Chart'!$C$2:$U$20,18,false)</f>
        <v>1</v>
      </c>
      <c r="AL1787" s="960">
        <f t="array" ref="AL1787">HLOOKUP($J1787,'Type Chart'!$C$2:$T$20,19,false)*HLOOKUP($K1787,'Type Chart'!$C$2:$U$20,19,false)</f>
        <v>1</v>
      </c>
      <c r="AM1787" s="1145" t="s">
        <v>998</v>
      </c>
      <c r="AN1787" s="965"/>
      <c r="AO1787" s="966" t="s">
        <v>1431</v>
      </c>
      <c r="AP1787" s="936"/>
      <c r="AQ1787" s="1245"/>
      <c r="AR1787" s="1245"/>
      <c r="AS1787" s="936"/>
    </row>
    <row r="1788" ht="15.75" customHeight="1">
      <c r="A1788" s="1099"/>
      <c r="B1788" s="948" t="s">
        <v>2508</v>
      </c>
      <c r="C1788" s="1197" t="s">
        <v>2509</v>
      </c>
      <c r="D1788" s="1197" t="s">
        <v>2509</v>
      </c>
      <c r="E1788" s="1147" t="s">
        <v>2509</v>
      </c>
      <c r="F1788" s="940"/>
      <c r="G1788" s="953"/>
      <c r="H1788" s="969"/>
      <c r="I1788" s="998" t="s">
        <v>4888</v>
      </c>
      <c r="J1788" s="1225" t="s">
        <v>343</v>
      </c>
      <c r="K1788" s="1233" t="s">
        <v>82</v>
      </c>
      <c r="L1788" s="1200">
        <v>60.0</v>
      </c>
      <c r="M1788" s="1201">
        <v>69.0</v>
      </c>
      <c r="N1788" s="1201">
        <v>95.0</v>
      </c>
      <c r="O1788" s="1201">
        <v>69.0</v>
      </c>
      <c r="P1788" s="1201">
        <v>95.0</v>
      </c>
      <c r="Q1788" s="1201">
        <v>36.0</v>
      </c>
      <c r="R1788" s="960">
        <v>108.0</v>
      </c>
      <c r="S1788" s="960">
        <v>171.0</v>
      </c>
      <c r="T1788" s="960">
        <v>188.0</v>
      </c>
      <c r="U1788" s="960">
        <f t="array" ref="U1788">HLOOKUP($J1788,'Type Chart'!$C$2:$T$20,2,false)*HLOOKUP($K1788,'Type Chart'!$C$2:$U$20,2,false)</f>
        <v>0.5</v>
      </c>
      <c r="V1788" s="960">
        <f t="array" ref="V1788">HLOOKUP($J1788,'Type Chart'!$C$2:$T$20,3,false)*HLOOKUP($K1788,'Type Chart'!$C$2:$U$20,3,false)</f>
        <v>1</v>
      </c>
      <c r="W1788" s="960">
        <f t="array" ref="W1788">HLOOKUP($J1788,'Type Chart'!$C$2:$T$20,4,false)*HLOOKUP($K1788,'Type Chart'!$C$2:$U$20,4,false)</f>
        <v>1</v>
      </c>
      <c r="X1788" s="960">
        <f t="array" ref="X1788">HLOOKUP($J1788,'Type Chart'!$C$2:$T$20,5,false)*HLOOKUP($K1788,'Type Chart'!$C$2:$U$20,5,false)</f>
        <v>0</v>
      </c>
      <c r="Y1788" s="960">
        <f t="array" ref="Y1788">HLOOKUP($J1788,'Type Chart'!$C$2:$T$20,6,false)*HLOOKUP($K1788,'Type Chart'!$C$2:$U$20,6,false)</f>
        <v>1</v>
      </c>
      <c r="Z1788" s="960">
        <f t="array" ref="Z1788">HLOOKUP($J1788,'Type Chart'!$C$2:$T$20,7,false)*HLOOKUP($K1788,'Type Chart'!$C$2:$U$20,7,false)</f>
        <v>1</v>
      </c>
      <c r="AA1788" s="960">
        <f t="array" ref="AA1788">HLOOKUP($J1788,'Type Chart'!$C$2:$T$20,8,false)*HLOOKUP($K1788,'Type Chart'!$C$2:$U$20,8,false)</f>
        <v>0.5</v>
      </c>
      <c r="AB1788" s="960">
        <f t="array" ref="AB1788">HLOOKUP($J1788,'Type Chart'!$C$2:$T$20,9,false)*HLOOKUP($K1788,'Type Chart'!$C$2:$U$20,9,false)</f>
        <v>1</v>
      </c>
      <c r="AC1788" s="960">
        <f t="array" ref="AC1788">HLOOKUP($J1788,'Type Chart'!$C$2:$T$20,10,false)*HLOOKUP($K1788,'Type Chart'!$C$2:$U$20,10,false)</f>
        <v>0.5</v>
      </c>
      <c r="AD1788" s="960">
        <f t="array" ref="AD1788">HLOOKUP($J1788,'Type Chart'!$C$2:$T$20,11,false)*HLOOKUP($K1788,'Type Chart'!$C$2:$U$20,11,false)</f>
        <v>4</v>
      </c>
      <c r="AE1788" s="960">
        <f t="array" ref="AE1788">HLOOKUP($J1788,'Type Chart'!$C$2:$T$20,12,false)*HLOOKUP($K1788,'Type Chart'!$C$2:$U$20,12,false)</f>
        <v>1</v>
      </c>
      <c r="AF1788" s="960">
        <f t="array" ref="AF1788">HLOOKUP($J1788,'Type Chart'!$C$2:$T$20,13,false)*HLOOKUP($K1788,'Type Chart'!$C$2:$U$20,13,false)</f>
        <v>0.25</v>
      </c>
      <c r="AG1788" s="960">
        <f t="array" ref="AG1788">HLOOKUP($J1788,'Type Chart'!$C$2:$T$20,14,false)*HLOOKUP($K1788,'Type Chart'!$C$2:$U$20,14,false)</f>
        <v>1</v>
      </c>
      <c r="AH1788" s="960">
        <f t="array" ref="AH1788">HLOOKUP($J1788,'Type Chart'!$C$2:$T$20,15,false)*HLOOKUP($K1788,'Type Chart'!$C$2:$U$20,15,false)</f>
        <v>0.5</v>
      </c>
      <c r="AI1788" s="960">
        <f t="array" ref="AI1788">HLOOKUP($J1788,'Type Chart'!$C$2:$T$20,16,false)*HLOOKUP($K1788,'Type Chart'!$C$2:$U$20,16,false)</f>
        <v>0.5</v>
      </c>
      <c r="AJ1788" s="960">
        <f t="array" ref="AJ1788">HLOOKUP($J1788,'Type Chart'!$C$2:$T$20,17,false)*HLOOKUP($K1788,'Type Chart'!$C$2:$U$20,17,false)</f>
        <v>0.5</v>
      </c>
      <c r="AK1788" s="960">
        <f t="array" ref="AK1788">HLOOKUP($J1788,'Type Chart'!$C$2:$T$20,18,false)*HLOOKUP($K1788,'Type Chart'!$C$2:$U$20,18,false)</f>
        <v>1</v>
      </c>
      <c r="AL1788" s="960">
        <f t="array" ref="AL1788">HLOOKUP($J1788,'Type Chart'!$C$2:$T$20,19,false)*HLOOKUP($K1788,'Type Chart'!$C$2:$U$20,19,false)</f>
        <v>0.5</v>
      </c>
      <c r="AM1788" s="1145" t="s">
        <v>998</v>
      </c>
      <c r="AN1788" s="965"/>
      <c r="AO1788" s="966" t="s">
        <v>1431</v>
      </c>
      <c r="AP1788" s="936"/>
      <c r="AQ1788" s="1245"/>
      <c r="AR1788" s="1245"/>
      <c r="AS1788" s="936"/>
    </row>
    <row r="1789" ht="15.75" customHeight="1">
      <c r="A1789" s="1099"/>
      <c r="B1789" s="948" t="s">
        <v>2511</v>
      </c>
      <c r="C1789" s="1197" t="s">
        <v>2512</v>
      </c>
      <c r="D1789" s="1197" t="s">
        <v>2512</v>
      </c>
      <c r="E1789" s="1147" t="s">
        <v>2512</v>
      </c>
      <c r="F1789" s="940"/>
      <c r="G1789" s="953"/>
      <c r="H1789" s="969"/>
      <c r="I1789" s="998" t="s">
        <v>4889</v>
      </c>
      <c r="J1789" s="1225" t="s">
        <v>343</v>
      </c>
      <c r="K1789" s="1210" t="s">
        <v>128</v>
      </c>
      <c r="L1789" s="1200">
        <v>70.0</v>
      </c>
      <c r="M1789" s="1201">
        <v>94.0</v>
      </c>
      <c r="N1789" s="1201">
        <v>50.0</v>
      </c>
      <c r="O1789" s="1201">
        <v>94.0</v>
      </c>
      <c r="P1789" s="1201">
        <v>50.0</v>
      </c>
      <c r="Q1789" s="1201">
        <v>66.0</v>
      </c>
      <c r="R1789" s="960">
        <v>168.0</v>
      </c>
      <c r="S1789" s="960">
        <v>231.0</v>
      </c>
      <c r="T1789" s="960">
        <v>254.0</v>
      </c>
      <c r="U1789" s="960">
        <f t="array" ref="U1789">HLOOKUP($J1789,'Type Chart'!$C$2:$T$20,2,false)*HLOOKUP($K1789,'Type Chart'!$C$2:$U$20,2,false)</f>
        <v>1</v>
      </c>
      <c r="V1789" s="960">
        <f t="array" ref="V1789">HLOOKUP($J1789,'Type Chart'!$C$2:$T$20,3,false)*HLOOKUP($K1789,'Type Chart'!$C$2:$U$20,3,false)</f>
        <v>0.25</v>
      </c>
      <c r="W1789" s="960">
        <f t="array" ref="W1789">HLOOKUP($J1789,'Type Chart'!$C$2:$T$20,4,false)*HLOOKUP($K1789,'Type Chart'!$C$2:$U$20,4,false)</f>
        <v>2</v>
      </c>
      <c r="X1789" s="960">
        <f t="array" ref="X1789">HLOOKUP($J1789,'Type Chart'!$C$2:$T$20,5,false)*HLOOKUP($K1789,'Type Chart'!$C$2:$U$20,5,false)</f>
        <v>1</v>
      </c>
      <c r="Y1789" s="960">
        <f t="array" ref="Y1789">HLOOKUP($J1789,'Type Chart'!$C$2:$T$20,6,false)*HLOOKUP($K1789,'Type Chart'!$C$2:$U$20,6,false)</f>
        <v>0</v>
      </c>
      <c r="Z1789" s="960">
        <f t="array" ref="Z1789">HLOOKUP($J1789,'Type Chart'!$C$2:$T$20,7,false)*HLOOKUP($K1789,'Type Chart'!$C$2:$U$20,7,false)</f>
        <v>4</v>
      </c>
      <c r="AA1789" s="960">
        <f t="array" ref="AA1789">HLOOKUP($J1789,'Type Chart'!$C$2:$T$20,8,false)*HLOOKUP($K1789,'Type Chart'!$C$2:$U$20,8,false)</f>
        <v>0.5</v>
      </c>
      <c r="AB1789" s="960">
        <f t="array" ref="AB1789">HLOOKUP($J1789,'Type Chart'!$C$2:$T$20,9,false)*HLOOKUP($K1789,'Type Chart'!$C$2:$U$20,9,false)</f>
        <v>1</v>
      </c>
      <c r="AC1789" s="960">
        <f t="array" ref="AC1789">HLOOKUP($J1789,'Type Chart'!$C$2:$T$20,10,false)*HLOOKUP($K1789,'Type Chart'!$C$2:$U$20,10,false)</f>
        <v>1</v>
      </c>
      <c r="AD1789" s="960">
        <f t="array" ref="AD1789">HLOOKUP($J1789,'Type Chart'!$C$2:$T$20,11,false)*HLOOKUP($K1789,'Type Chart'!$C$2:$U$20,11,false)</f>
        <v>2</v>
      </c>
      <c r="AE1789" s="960">
        <f t="array" ref="AE1789">HLOOKUP($J1789,'Type Chart'!$C$2:$T$20,12,false)*HLOOKUP($K1789,'Type Chart'!$C$2:$U$20,12,false)</f>
        <v>1</v>
      </c>
      <c r="AF1789" s="960">
        <f t="array" ref="AF1789">HLOOKUP($J1789,'Type Chart'!$C$2:$T$20,13,false)*HLOOKUP($K1789,'Type Chart'!$C$2:$U$20,13,false)</f>
        <v>0.25</v>
      </c>
      <c r="AG1789" s="960">
        <f t="array" ref="AG1789">HLOOKUP($J1789,'Type Chart'!$C$2:$T$20,14,false)*HLOOKUP($K1789,'Type Chart'!$C$2:$U$20,14,false)</f>
        <v>2</v>
      </c>
      <c r="AH1789" s="960">
        <f t="array" ref="AH1789">HLOOKUP($J1789,'Type Chart'!$C$2:$T$20,15,false)*HLOOKUP($K1789,'Type Chart'!$C$2:$U$20,15,false)</f>
        <v>1</v>
      </c>
      <c r="AI1789" s="960">
        <f t="array" ref="AI1789">HLOOKUP($J1789,'Type Chart'!$C$2:$T$20,16,false)*HLOOKUP($K1789,'Type Chart'!$C$2:$U$20,16,false)</f>
        <v>2</v>
      </c>
      <c r="AJ1789" s="960">
        <f t="array" ref="AJ1789">HLOOKUP($J1789,'Type Chart'!$C$2:$T$20,17,false)*HLOOKUP($K1789,'Type Chart'!$C$2:$U$20,17,false)</f>
        <v>1</v>
      </c>
      <c r="AK1789" s="960">
        <f t="array" ref="AK1789">HLOOKUP($J1789,'Type Chart'!$C$2:$T$20,18,false)*HLOOKUP($K1789,'Type Chart'!$C$2:$U$20,18,false)</f>
        <v>1</v>
      </c>
      <c r="AL1789" s="960">
        <f t="array" ref="AL1789">HLOOKUP($J1789,'Type Chart'!$C$2:$T$20,19,false)*HLOOKUP($K1789,'Type Chart'!$C$2:$U$20,19,false)</f>
        <v>1</v>
      </c>
      <c r="AM1789" s="1145" t="s">
        <v>1013</v>
      </c>
      <c r="AN1789" s="965"/>
      <c r="AO1789" s="966" t="s">
        <v>1003</v>
      </c>
      <c r="AP1789" s="936"/>
      <c r="AQ1789" s="1245"/>
      <c r="AR1789" s="1245"/>
      <c r="AS1789" s="936"/>
    </row>
    <row r="1790" ht="15.75" customHeight="1">
      <c r="A1790" s="1099"/>
      <c r="B1790" s="948" t="s">
        <v>2514</v>
      </c>
      <c r="C1790" s="1197" t="s">
        <v>2515</v>
      </c>
      <c r="D1790" s="1197" t="s">
        <v>2515</v>
      </c>
      <c r="E1790" s="1147" t="s">
        <v>2515</v>
      </c>
      <c r="F1790" s="940"/>
      <c r="G1790" s="953"/>
      <c r="H1790" s="969"/>
      <c r="I1790" s="998" t="s">
        <v>4890</v>
      </c>
      <c r="J1790" s="1180" t="s">
        <v>343</v>
      </c>
      <c r="K1790" s="1001" t="s">
        <v>128</v>
      </c>
      <c r="L1790" s="959">
        <v>30.0</v>
      </c>
      <c r="M1790" s="960">
        <v>30.0</v>
      </c>
      <c r="N1790" s="960">
        <v>42.0</v>
      </c>
      <c r="O1790" s="960">
        <v>30.0</v>
      </c>
      <c r="P1790" s="960">
        <v>42.0</v>
      </c>
      <c r="Q1790" s="960">
        <v>70.0</v>
      </c>
      <c r="R1790" s="960">
        <v>176.0</v>
      </c>
      <c r="S1790" s="960">
        <v>239.0</v>
      </c>
      <c r="T1790" s="960">
        <v>262.0</v>
      </c>
      <c r="U1790" s="960">
        <f t="array" ref="U1790">HLOOKUP($J1790,'Type Chart'!$C$2:$T$20,2,false)*HLOOKUP($K1790,'Type Chart'!$C$2:$U$20,2,false)</f>
        <v>1</v>
      </c>
      <c r="V1790" s="960">
        <f t="array" ref="V1790">HLOOKUP($J1790,'Type Chart'!$C$2:$T$20,3,false)*HLOOKUP($K1790,'Type Chart'!$C$2:$U$20,3,false)</f>
        <v>0.25</v>
      </c>
      <c r="W1790" s="960">
        <f t="array" ref="W1790">HLOOKUP($J1790,'Type Chart'!$C$2:$T$20,4,false)*HLOOKUP($K1790,'Type Chart'!$C$2:$U$20,4,false)</f>
        <v>2</v>
      </c>
      <c r="X1790" s="960">
        <f t="array" ref="X1790">HLOOKUP($J1790,'Type Chart'!$C$2:$T$20,5,false)*HLOOKUP($K1790,'Type Chart'!$C$2:$U$20,5,false)</f>
        <v>1</v>
      </c>
      <c r="Y1790" s="960">
        <f t="array" ref="Y1790">HLOOKUP($J1790,'Type Chart'!$C$2:$T$20,6,false)*HLOOKUP($K1790,'Type Chart'!$C$2:$U$20,6,false)</f>
        <v>0</v>
      </c>
      <c r="Z1790" s="960">
        <f t="array" ref="Z1790">HLOOKUP($J1790,'Type Chart'!$C$2:$T$20,7,false)*HLOOKUP($K1790,'Type Chart'!$C$2:$U$20,7,false)</f>
        <v>4</v>
      </c>
      <c r="AA1790" s="960">
        <f t="array" ref="AA1790">HLOOKUP($J1790,'Type Chart'!$C$2:$T$20,8,false)*HLOOKUP($K1790,'Type Chart'!$C$2:$U$20,8,false)</f>
        <v>0.5</v>
      </c>
      <c r="AB1790" s="960">
        <f t="array" ref="AB1790">HLOOKUP($J1790,'Type Chart'!$C$2:$T$20,9,false)*HLOOKUP($K1790,'Type Chart'!$C$2:$U$20,9,false)</f>
        <v>1</v>
      </c>
      <c r="AC1790" s="960">
        <f t="array" ref="AC1790">HLOOKUP($J1790,'Type Chart'!$C$2:$T$20,10,false)*HLOOKUP($K1790,'Type Chart'!$C$2:$U$20,10,false)</f>
        <v>1</v>
      </c>
      <c r="AD1790" s="960">
        <f t="array" ref="AD1790">HLOOKUP($J1790,'Type Chart'!$C$2:$T$20,11,false)*HLOOKUP($K1790,'Type Chart'!$C$2:$U$20,11,false)</f>
        <v>2</v>
      </c>
      <c r="AE1790" s="960">
        <f t="array" ref="AE1790">HLOOKUP($J1790,'Type Chart'!$C$2:$T$20,12,false)*HLOOKUP($K1790,'Type Chart'!$C$2:$U$20,12,false)</f>
        <v>1</v>
      </c>
      <c r="AF1790" s="960">
        <f t="array" ref="AF1790">HLOOKUP($J1790,'Type Chart'!$C$2:$T$20,13,false)*HLOOKUP($K1790,'Type Chart'!$C$2:$U$20,13,false)</f>
        <v>0.25</v>
      </c>
      <c r="AG1790" s="960">
        <f t="array" ref="AG1790">HLOOKUP($J1790,'Type Chart'!$C$2:$T$20,14,false)*HLOOKUP($K1790,'Type Chart'!$C$2:$U$20,14,false)</f>
        <v>2</v>
      </c>
      <c r="AH1790" s="960">
        <f t="array" ref="AH1790">HLOOKUP($J1790,'Type Chart'!$C$2:$T$20,15,false)*HLOOKUP($K1790,'Type Chart'!$C$2:$U$20,15,false)</f>
        <v>1</v>
      </c>
      <c r="AI1790" s="960">
        <f t="array" ref="AI1790">HLOOKUP($J1790,'Type Chart'!$C$2:$T$20,16,false)*HLOOKUP($K1790,'Type Chart'!$C$2:$U$20,16,false)</f>
        <v>2</v>
      </c>
      <c r="AJ1790" s="960">
        <f t="array" ref="AJ1790">HLOOKUP($J1790,'Type Chart'!$C$2:$T$20,17,false)*HLOOKUP($K1790,'Type Chart'!$C$2:$U$20,17,false)</f>
        <v>1</v>
      </c>
      <c r="AK1790" s="960">
        <f t="array" ref="AK1790">HLOOKUP($J1790,'Type Chart'!$C$2:$T$20,18,false)*HLOOKUP($K1790,'Type Chart'!$C$2:$U$20,18,false)</f>
        <v>1</v>
      </c>
      <c r="AL1790" s="960">
        <f t="array" ref="AL1790">HLOOKUP($J1790,'Type Chart'!$C$2:$T$20,19,false)*HLOOKUP($K1790,'Type Chart'!$C$2:$U$20,19,false)</f>
        <v>1</v>
      </c>
      <c r="AM1790" s="964" t="s">
        <v>1874</v>
      </c>
      <c r="AN1790" s="965"/>
      <c r="AO1790" s="966" t="s">
        <v>1039</v>
      </c>
      <c r="AP1790" s="936"/>
      <c r="AQ1790" s="1245"/>
      <c r="AR1790" s="1245"/>
      <c r="AS1790" s="936"/>
    </row>
    <row r="1791" ht="15.75" customHeight="1">
      <c r="A1791" s="1099"/>
      <c r="B1791" s="948" t="s">
        <v>2517</v>
      </c>
      <c r="C1791" s="1197" t="s">
        <v>2518</v>
      </c>
      <c r="D1791" s="1197" t="s">
        <v>2518</v>
      </c>
      <c r="E1791" s="1147" t="s">
        <v>2518</v>
      </c>
      <c r="F1791" s="940"/>
      <c r="G1791" s="953"/>
      <c r="H1791" s="969"/>
      <c r="I1791" s="998" t="s">
        <v>4891</v>
      </c>
      <c r="J1791" s="1180" t="s">
        <v>343</v>
      </c>
      <c r="K1791" s="1001" t="s">
        <v>128</v>
      </c>
      <c r="L1791" s="959">
        <v>70.0</v>
      </c>
      <c r="M1791" s="960">
        <v>80.0</v>
      </c>
      <c r="N1791" s="960">
        <v>102.0</v>
      </c>
      <c r="O1791" s="960">
        <v>80.0</v>
      </c>
      <c r="P1791" s="960">
        <v>102.0</v>
      </c>
      <c r="Q1791" s="960">
        <v>40.0</v>
      </c>
      <c r="R1791" s="960">
        <v>116.0</v>
      </c>
      <c r="S1791" s="960">
        <v>179.0</v>
      </c>
      <c r="T1791" s="960">
        <v>196.0</v>
      </c>
      <c r="U1791" s="960">
        <f t="array" ref="U1791">HLOOKUP($J1791,'Type Chart'!$C$2:$T$20,2,false)*HLOOKUP($K1791,'Type Chart'!$C$2:$U$20,2,false)</f>
        <v>1</v>
      </c>
      <c r="V1791" s="960">
        <f t="array" ref="V1791">HLOOKUP($J1791,'Type Chart'!$C$2:$T$20,3,false)*HLOOKUP($K1791,'Type Chart'!$C$2:$U$20,3,false)</f>
        <v>0.25</v>
      </c>
      <c r="W1791" s="960">
        <f t="array" ref="W1791">HLOOKUP($J1791,'Type Chart'!$C$2:$T$20,4,false)*HLOOKUP($K1791,'Type Chart'!$C$2:$U$20,4,false)</f>
        <v>2</v>
      </c>
      <c r="X1791" s="960">
        <f t="array" ref="X1791">HLOOKUP($J1791,'Type Chart'!$C$2:$T$20,5,false)*HLOOKUP($K1791,'Type Chart'!$C$2:$U$20,5,false)</f>
        <v>1</v>
      </c>
      <c r="Y1791" s="960">
        <f t="array" ref="Y1791">HLOOKUP($J1791,'Type Chart'!$C$2:$T$20,6,false)*HLOOKUP($K1791,'Type Chart'!$C$2:$U$20,6,false)</f>
        <v>0</v>
      </c>
      <c r="Z1791" s="960">
        <f t="array" ref="Z1791">HLOOKUP($J1791,'Type Chart'!$C$2:$T$20,7,false)*HLOOKUP($K1791,'Type Chart'!$C$2:$U$20,7,false)</f>
        <v>4</v>
      </c>
      <c r="AA1791" s="960">
        <f t="array" ref="AA1791">HLOOKUP($J1791,'Type Chart'!$C$2:$T$20,8,false)*HLOOKUP($K1791,'Type Chart'!$C$2:$U$20,8,false)</f>
        <v>0.5</v>
      </c>
      <c r="AB1791" s="960">
        <f t="array" ref="AB1791">HLOOKUP($J1791,'Type Chart'!$C$2:$T$20,9,false)*HLOOKUP($K1791,'Type Chart'!$C$2:$U$20,9,false)</f>
        <v>1</v>
      </c>
      <c r="AC1791" s="960">
        <f t="array" ref="AC1791">HLOOKUP($J1791,'Type Chart'!$C$2:$T$20,10,false)*HLOOKUP($K1791,'Type Chart'!$C$2:$U$20,10,false)</f>
        <v>1</v>
      </c>
      <c r="AD1791" s="960">
        <f t="array" ref="AD1791">HLOOKUP($J1791,'Type Chart'!$C$2:$T$20,11,false)*HLOOKUP($K1791,'Type Chart'!$C$2:$U$20,11,false)</f>
        <v>2</v>
      </c>
      <c r="AE1791" s="960">
        <f t="array" ref="AE1791">HLOOKUP($J1791,'Type Chart'!$C$2:$T$20,12,false)*HLOOKUP($K1791,'Type Chart'!$C$2:$U$20,12,false)</f>
        <v>1</v>
      </c>
      <c r="AF1791" s="960">
        <f t="array" ref="AF1791">HLOOKUP($J1791,'Type Chart'!$C$2:$T$20,13,false)*HLOOKUP($K1791,'Type Chart'!$C$2:$U$20,13,false)</f>
        <v>0.25</v>
      </c>
      <c r="AG1791" s="960">
        <f t="array" ref="AG1791">HLOOKUP($J1791,'Type Chart'!$C$2:$T$20,14,false)*HLOOKUP($K1791,'Type Chart'!$C$2:$U$20,14,false)</f>
        <v>2</v>
      </c>
      <c r="AH1791" s="960">
        <f t="array" ref="AH1791">HLOOKUP($J1791,'Type Chart'!$C$2:$T$20,15,false)*HLOOKUP($K1791,'Type Chart'!$C$2:$U$20,15,false)</f>
        <v>1</v>
      </c>
      <c r="AI1791" s="960">
        <f t="array" ref="AI1791">HLOOKUP($J1791,'Type Chart'!$C$2:$T$20,16,false)*HLOOKUP($K1791,'Type Chart'!$C$2:$U$20,16,false)</f>
        <v>2</v>
      </c>
      <c r="AJ1791" s="960">
        <f t="array" ref="AJ1791">HLOOKUP($J1791,'Type Chart'!$C$2:$T$20,17,false)*HLOOKUP($K1791,'Type Chart'!$C$2:$U$20,17,false)</f>
        <v>1</v>
      </c>
      <c r="AK1791" s="960">
        <f t="array" ref="AK1791">HLOOKUP($J1791,'Type Chart'!$C$2:$T$20,18,false)*HLOOKUP($K1791,'Type Chart'!$C$2:$U$20,18,false)</f>
        <v>1</v>
      </c>
      <c r="AL1791" s="960">
        <f t="array" ref="AL1791">HLOOKUP($J1791,'Type Chart'!$C$2:$T$20,19,false)*HLOOKUP($K1791,'Type Chart'!$C$2:$U$20,19,false)</f>
        <v>1</v>
      </c>
      <c r="AM1791" s="964" t="s">
        <v>1636</v>
      </c>
      <c r="AN1791" s="965"/>
      <c r="AO1791" s="966" t="s">
        <v>1062</v>
      </c>
      <c r="AP1791" s="936"/>
      <c r="AQ1791" s="1245"/>
      <c r="AR1791" s="1245"/>
      <c r="AS1791" s="936"/>
    </row>
    <row r="1792" ht="15.75" customHeight="1">
      <c r="A1792" s="1099"/>
      <c r="B1792" s="948" t="s">
        <v>2519</v>
      </c>
      <c r="C1792" s="1197" t="s">
        <v>2520</v>
      </c>
      <c r="D1792" s="1197" t="s">
        <v>2520</v>
      </c>
      <c r="E1792" s="1147" t="s">
        <v>2520</v>
      </c>
      <c r="F1792" s="940"/>
      <c r="G1792" s="953"/>
      <c r="H1792" s="969"/>
      <c r="I1792" s="998" t="s">
        <v>4892</v>
      </c>
      <c r="J1792" s="1196" t="s">
        <v>203</v>
      </c>
      <c r="K1792" s="984" t="s">
        <v>216</v>
      </c>
      <c r="L1792" s="959">
        <v>60.0</v>
      </c>
      <c r="M1792" s="960">
        <v>45.0</v>
      </c>
      <c r="N1792" s="960">
        <v>70.0</v>
      </c>
      <c r="O1792" s="960">
        <v>45.0</v>
      </c>
      <c r="P1792" s="960">
        <v>90.0</v>
      </c>
      <c r="Q1792" s="960">
        <v>95.0</v>
      </c>
      <c r="R1792" s="960">
        <v>226.0</v>
      </c>
      <c r="S1792" s="960">
        <v>289.0</v>
      </c>
      <c r="T1792" s="960">
        <v>317.0</v>
      </c>
      <c r="U1792" s="960">
        <f t="array" ref="U1792">HLOOKUP($J1792,'Type Chart'!$C$2:$T$20,2,false)*HLOOKUP($K1792,'Type Chart'!$C$2:$U$20,2,false)</f>
        <v>1</v>
      </c>
      <c r="V1792" s="960">
        <f t="array" ref="V1792">HLOOKUP($J1792,'Type Chart'!$C$2:$T$20,3,false)*HLOOKUP($K1792,'Type Chart'!$C$2:$U$20,3,false)</f>
        <v>1</v>
      </c>
      <c r="W1792" s="960">
        <f t="array" ref="W1792">HLOOKUP($J1792,'Type Chart'!$C$2:$T$20,4,false)*HLOOKUP($K1792,'Type Chart'!$C$2:$U$20,4,false)</f>
        <v>0.5</v>
      </c>
      <c r="X1792" s="960">
        <f t="array" ref="X1792">HLOOKUP($J1792,'Type Chart'!$C$2:$T$20,5,false)*HLOOKUP($K1792,'Type Chart'!$C$2:$U$20,5,false)</f>
        <v>1</v>
      </c>
      <c r="Y1792" s="960">
        <f t="array" ref="Y1792">HLOOKUP($J1792,'Type Chart'!$C$2:$T$20,6,false)*HLOOKUP($K1792,'Type Chart'!$C$2:$U$20,6,false)</f>
        <v>2</v>
      </c>
      <c r="Z1792" s="960">
        <f t="array" ref="Z1792">HLOOKUP($J1792,'Type Chart'!$C$2:$T$20,7,false)*HLOOKUP($K1792,'Type Chart'!$C$2:$U$20,7,false)</f>
        <v>1</v>
      </c>
      <c r="AA1792" s="960">
        <f t="array" ref="AA1792">HLOOKUP($J1792,'Type Chart'!$C$2:$T$20,8,false)*HLOOKUP($K1792,'Type Chart'!$C$2:$U$20,8,false)</f>
        <v>1</v>
      </c>
      <c r="AB1792" s="960">
        <f t="array" ref="AB1792">HLOOKUP($J1792,'Type Chart'!$C$2:$T$20,9,false)*HLOOKUP($K1792,'Type Chart'!$C$2:$U$20,9,false)</f>
        <v>1</v>
      </c>
      <c r="AC1792" s="960">
        <f t="array" ref="AC1792">HLOOKUP($J1792,'Type Chart'!$C$2:$T$20,10,false)*HLOOKUP($K1792,'Type Chart'!$C$2:$U$20,10,false)</f>
        <v>0.5</v>
      </c>
      <c r="AD1792" s="960">
        <f t="array" ref="AD1792">HLOOKUP($J1792,'Type Chart'!$C$2:$T$20,11,false)*HLOOKUP($K1792,'Type Chart'!$C$2:$U$20,11,false)</f>
        <v>1</v>
      </c>
      <c r="AE1792" s="960">
        <f t="array" ref="AE1792">HLOOKUP($J1792,'Type Chart'!$C$2:$T$20,12,false)*HLOOKUP($K1792,'Type Chart'!$C$2:$U$20,12,false)</f>
        <v>1</v>
      </c>
      <c r="AF1792" s="960">
        <f t="array" ref="AF1792">HLOOKUP($J1792,'Type Chart'!$C$2:$T$20,13,false)*HLOOKUP($K1792,'Type Chart'!$C$2:$U$20,13,false)</f>
        <v>1</v>
      </c>
      <c r="AG1792" s="960">
        <f t="array" ref="AG1792">HLOOKUP($J1792,'Type Chart'!$C$2:$T$20,14,false)*HLOOKUP($K1792,'Type Chart'!$C$2:$U$20,14,false)</f>
        <v>0.5</v>
      </c>
      <c r="AH1792" s="960">
        <f t="array" ref="AH1792">HLOOKUP($J1792,'Type Chart'!$C$2:$T$20,15,false)*HLOOKUP($K1792,'Type Chart'!$C$2:$U$20,15,false)</f>
        <v>1</v>
      </c>
      <c r="AI1792" s="960">
        <f t="array" ref="AI1792">HLOOKUP($J1792,'Type Chart'!$C$2:$T$20,16,false)*HLOOKUP($K1792,'Type Chart'!$C$2:$U$20,16,false)</f>
        <v>1</v>
      </c>
      <c r="AJ1792" s="960">
        <f t="array" ref="AJ1792">HLOOKUP($J1792,'Type Chart'!$C$2:$T$20,17,false)*HLOOKUP($K1792,'Type Chart'!$C$2:$U$20,17,false)</f>
        <v>1</v>
      </c>
      <c r="AK1792" s="960">
        <f t="array" ref="AK1792">HLOOKUP($J1792,'Type Chart'!$C$2:$T$20,18,false)*HLOOKUP($K1792,'Type Chart'!$C$2:$U$20,18,false)</f>
        <v>1</v>
      </c>
      <c r="AL1792" s="960">
        <f t="array" ref="AL1792">HLOOKUP($J1792,'Type Chart'!$C$2:$T$20,19,false)*HLOOKUP($K1792,'Type Chart'!$C$2:$U$20,19,false)</f>
        <v>1</v>
      </c>
      <c r="AM1792" s="964" t="s">
        <v>988</v>
      </c>
      <c r="AN1792" s="965" t="s">
        <v>1238</v>
      </c>
      <c r="AO1792" s="966" t="s">
        <v>1614</v>
      </c>
      <c r="AP1792" s="936"/>
      <c r="AQ1792" s="1245"/>
      <c r="AR1792" s="1245"/>
      <c r="AS1792" s="936"/>
    </row>
    <row r="1793" ht="15.75" customHeight="1">
      <c r="A1793" s="1099"/>
      <c r="B1793" s="948" t="s">
        <v>2521</v>
      </c>
      <c r="C1793" s="1197" t="s">
        <v>2522</v>
      </c>
      <c r="D1793" s="1197" t="s">
        <v>2522</v>
      </c>
      <c r="E1793" s="1147" t="s">
        <v>2522</v>
      </c>
      <c r="F1793" s="940"/>
      <c r="G1793" s="953"/>
      <c r="H1793" s="969"/>
      <c r="I1793" s="998" t="s">
        <v>4893</v>
      </c>
      <c r="J1793" s="1056" t="s">
        <v>81</v>
      </c>
      <c r="K1793" s="984" t="s">
        <v>216</v>
      </c>
      <c r="L1793" s="959">
        <v>55.0</v>
      </c>
      <c r="M1793" s="960">
        <v>65.0</v>
      </c>
      <c r="N1793" s="960">
        <v>35.0</v>
      </c>
      <c r="O1793" s="960">
        <v>60.0</v>
      </c>
      <c r="P1793" s="960">
        <v>30.0</v>
      </c>
      <c r="Q1793" s="960">
        <v>85.0</v>
      </c>
      <c r="R1793" s="960">
        <v>206.0</v>
      </c>
      <c r="S1793" s="960">
        <v>269.0</v>
      </c>
      <c r="T1793" s="960">
        <v>295.0</v>
      </c>
      <c r="U1793" s="960">
        <f t="array" ref="U1793">HLOOKUP($J1793,'Type Chart'!$C$2:$T$20,2,false)*HLOOKUP($K1793,'Type Chart'!$C$2:$U$20,2,false)</f>
        <v>1</v>
      </c>
      <c r="V1793" s="960">
        <f t="array" ref="V1793">HLOOKUP($J1793,'Type Chart'!$C$2:$T$20,3,false)*HLOOKUP($K1793,'Type Chart'!$C$2:$U$20,3,false)</f>
        <v>1</v>
      </c>
      <c r="W1793" s="960">
        <f t="array" ref="W1793">HLOOKUP($J1793,'Type Chart'!$C$2:$T$20,4,false)*HLOOKUP($K1793,'Type Chart'!$C$2:$U$20,4,false)</f>
        <v>1</v>
      </c>
      <c r="X1793" s="960">
        <f t="array" ref="X1793">HLOOKUP($J1793,'Type Chart'!$C$2:$T$20,5,false)*HLOOKUP($K1793,'Type Chart'!$C$2:$U$20,5,false)</f>
        <v>1</v>
      </c>
      <c r="Y1793" s="960">
        <f t="array" ref="Y1793">HLOOKUP($J1793,'Type Chart'!$C$2:$T$20,6,false)*HLOOKUP($K1793,'Type Chart'!$C$2:$U$20,6,false)</f>
        <v>1</v>
      </c>
      <c r="Z1793" s="960">
        <f t="array" ref="Z1793">HLOOKUP($J1793,'Type Chart'!$C$2:$T$20,7,false)*HLOOKUP($K1793,'Type Chart'!$C$2:$U$20,7,false)</f>
        <v>1</v>
      </c>
      <c r="AA1793" s="960">
        <f t="array" ref="AA1793">HLOOKUP($J1793,'Type Chart'!$C$2:$T$20,8,false)*HLOOKUP($K1793,'Type Chart'!$C$2:$U$20,8,false)</f>
        <v>1</v>
      </c>
      <c r="AB1793" s="960">
        <f t="array" ref="AB1793">HLOOKUP($J1793,'Type Chart'!$C$2:$T$20,9,false)*HLOOKUP($K1793,'Type Chart'!$C$2:$U$20,9,false)</f>
        <v>1</v>
      </c>
      <c r="AC1793" s="960">
        <f t="array" ref="AC1793">HLOOKUP($J1793,'Type Chart'!$C$2:$T$20,10,false)*HLOOKUP($K1793,'Type Chart'!$C$2:$U$20,10,false)</f>
        <v>0.5</v>
      </c>
      <c r="AD1793" s="960">
        <f t="array" ref="AD1793">HLOOKUP($J1793,'Type Chart'!$C$2:$T$20,11,false)*HLOOKUP($K1793,'Type Chart'!$C$2:$U$20,11,false)</f>
        <v>0.5</v>
      </c>
      <c r="AE1793" s="960">
        <f t="array" ref="AE1793">HLOOKUP($J1793,'Type Chart'!$C$2:$T$20,12,false)*HLOOKUP($K1793,'Type Chart'!$C$2:$U$20,12,false)</f>
        <v>0.5</v>
      </c>
      <c r="AF1793" s="960">
        <f t="array" ref="AF1793">HLOOKUP($J1793,'Type Chart'!$C$2:$T$20,13,false)*HLOOKUP($K1793,'Type Chart'!$C$2:$U$20,13,false)</f>
        <v>2</v>
      </c>
      <c r="AG1793" s="960">
        <f t="array" ref="AG1793">HLOOKUP($J1793,'Type Chart'!$C$2:$T$20,14,false)*HLOOKUP($K1793,'Type Chart'!$C$2:$U$20,14,false)</f>
        <v>2</v>
      </c>
      <c r="AH1793" s="960">
        <f t="array" ref="AH1793">HLOOKUP($J1793,'Type Chart'!$C$2:$T$20,15,false)*HLOOKUP($K1793,'Type Chart'!$C$2:$U$20,15,false)</f>
        <v>1</v>
      </c>
      <c r="AI1793" s="960">
        <f t="array" ref="AI1793">HLOOKUP($J1793,'Type Chart'!$C$2:$T$20,16,false)*HLOOKUP($K1793,'Type Chart'!$C$2:$U$20,16,false)</f>
        <v>0.5</v>
      </c>
      <c r="AJ1793" s="960">
        <f t="array" ref="AJ1793">HLOOKUP($J1793,'Type Chart'!$C$2:$T$20,17,false)*HLOOKUP($K1793,'Type Chart'!$C$2:$U$20,17,false)</f>
        <v>1</v>
      </c>
      <c r="AK1793" s="960">
        <f t="array" ref="AK1793">HLOOKUP($J1793,'Type Chart'!$C$2:$T$20,18,false)*HLOOKUP($K1793,'Type Chart'!$C$2:$U$20,18,false)</f>
        <v>1</v>
      </c>
      <c r="AL1793" s="960">
        <f t="array" ref="AL1793">HLOOKUP($J1793,'Type Chart'!$C$2:$T$20,19,false)*HLOOKUP($K1793,'Type Chart'!$C$2:$U$20,19,false)</f>
        <v>1</v>
      </c>
      <c r="AM1793" s="964" t="s">
        <v>1259</v>
      </c>
      <c r="AN1793" s="965"/>
      <c r="AO1793" s="966" t="s">
        <v>1542</v>
      </c>
      <c r="AP1793" s="936"/>
      <c r="AQ1793" s="1245"/>
      <c r="AR1793" s="1245"/>
      <c r="AS1793" s="936"/>
    </row>
    <row r="1794" ht="15.75" customHeight="1">
      <c r="A1794" s="1099"/>
      <c r="B1794" s="948" t="s">
        <v>2524</v>
      </c>
      <c r="C1794" s="1197" t="s">
        <v>2525</v>
      </c>
      <c r="D1794" s="1197" t="s">
        <v>2525</v>
      </c>
      <c r="E1794" s="1147" t="s">
        <v>2525</v>
      </c>
      <c r="F1794" s="940"/>
      <c r="G1794" s="953"/>
      <c r="H1794" s="969"/>
      <c r="I1794" s="998" t="s">
        <v>4894</v>
      </c>
      <c r="J1794" s="1056" t="s">
        <v>81</v>
      </c>
      <c r="K1794" s="984" t="s">
        <v>216</v>
      </c>
      <c r="L1794" s="959">
        <v>85.0</v>
      </c>
      <c r="M1794" s="960">
        <v>105.0</v>
      </c>
      <c r="N1794" s="960">
        <v>55.0</v>
      </c>
      <c r="O1794" s="960">
        <v>85.0</v>
      </c>
      <c r="P1794" s="960">
        <v>50.0</v>
      </c>
      <c r="Q1794" s="960">
        <v>115.0</v>
      </c>
      <c r="R1794" s="960">
        <v>266.0</v>
      </c>
      <c r="S1794" s="960">
        <v>329.0</v>
      </c>
      <c r="T1794" s="960">
        <v>361.0</v>
      </c>
      <c r="U1794" s="960">
        <f t="array" ref="U1794">HLOOKUP($J1794,'Type Chart'!$C$2:$T$20,2,false)*HLOOKUP($K1794,'Type Chart'!$C$2:$U$20,2,false)</f>
        <v>1</v>
      </c>
      <c r="V1794" s="960">
        <f t="array" ref="V1794">HLOOKUP($J1794,'Type Chart'!$C$2:$T$20,3,false)*HLOOKUP($K1794,'Type Chart'!$C$2:$U$20,3,false)</f>
        <v>1</v>
      </c>
      <c r="W1794" s="960">
        <f t="array" ref="W1794">HLOOKUP($J1794,'Type Chart'!$C$2:$T$20,4,false)*HLOOKUP($K1794,'Type Chart'!$C$2:$U$20,4,false)</f>
        <v>1</v>
      </c>
      <c r="X1794" s="960">
        <f t="array" ref="X1794">HLOOKUP($J1794,'Type Chart'!$C$2:$T$20,5,false)*HLOOKUP($K1794,'Type Chart'!$C$2:$U$20,5,false)</f>
        <v>1</v>
      </c>
      <c r="Y1794" s="960">
        <f t="array" ref="Y1794">HLOOKUP($J1794,'Type Chart'!$C$2:$T$20,6,false)*HLOOKUP($K1794,'Type Chart'!$C$2:$U$20,6,false)</f>
        <v>1</v>
      </c>
      <c r="Z1794" s="960">
        <f t="array" ref="Z1794">HLOOKUP($J1794,'Type Chart'!$C$2:$T$20,7,false)*HLOOKUP($K1794,'Type Chart'!$C$2:$U$20,7,false)</f>
        <v>1</v>
      </c>
      <c r="AA1794" s="960">
        <f t="array" ref="AA1794">HLOOKUP($J1794,'Type Chart'!$C$2:$T$20,8,false)*HLOOKUP($K1794,'Type Chart'!$C$2:$U$20,8,false)</f>
        <v>1</v>
      </c>
      <c r="AB1794" s="960">
        <f t="array" ref="AB1794">HLOOKUP($J1794,'Type Chart'!$C$2:$T$20,9,false)*HLOOKUP($K1794,'Type Chart'!$C$2:$U$20,9,false)</f>
        <v>1</v>
      </c>
      <c r="AC1794" s="960">
        <f t="array" ref="AC1794">HLOOKUP($J1794,'Type Chart'!$C$2:$T$20,10,false)*HLOOKUP($K1794,'Type Chart'!$C$2:$U$20,10,false)</f>
        <v>0.5</v>
      </c>
      <c r="AD1794" s="960">
        <f t="array" ref="AD1794">HLOOKUP($J1794,'Type Chart'!$C$2:$T$20,11,false)*HLOOKUP($K1794,'Type Chart'!$C$2:$U$20,11,false)</f>
        <v>0.5</v>
      </c>
      <c r="AE1794" s="960">
        <f t="array" ref="AE1794">HLOOKUP($J1794,'Type Chart'!$C$2:$T$20,12,false)*HLOOKUP($K1794,'Type Chart'!$C$2:$U$20,12,false)</f>
        <v>0.5</v>
      </c>
      <c r="AF1794" s="960">
        <f t="array" ref="AF1794">HLOOKUP($J1794,'Type Chart'!$C$2:$T$20,13,false)*HLOOKUP($K1794,'Type Chart'!$C$2:$U$20,13,false)</f>
        <v>2</v>
      </c>
      <c r="AG1794" s="960">
        <f t="array" ref="AG1794">HLOOKUP($J1794,'Type Chart'!$C$2:$T$20,14,false)*HLOOKUP($K1794,'Type Chart'!$C$2:$U$20,14,false)</f>
        <v>2</v>
      </c>
      <c r="AH1794" s="960">
        <f t="array" ref="AH1794">HLOOKUP($J1794,'Type Chart'!$C$2:$T$20,15,false)*HLOOKUP($K1794,'Type Chart'!$C$2:$U$20,15,false)</f>
        <v>1</v>
      </c>
      <c r="AI1794" s="960">
        <f t="array" ref="AI1794">HLOOKUP($J1794,'Type Chart'!$C$2:$T$20,16,false)*HLOOKUP($K1794,'Type Chart'!$C$2:$U$20,16,false)</f>
        <v>0.5</v>
      </c>
      <c r="AJ1794" s="960">
        <f t="array" ref="AJ1794">HLOOKUP($J1794,'Type Chart'!$C$2:$T$20,17,false)*HLOOKUP($K1794,'Type Chart'!$C$2:$U$20,17,false)</f>
        <v>1</v>
      </c>
      <c r="AK1794" s="960">
        <f t="array" ref="AK1794">HLOOKUP($J1794,'Type Chart'!$C$2:$T$20,18,false)*HLOOKUP($K1794,'Type Chart'!$C$2:$U$20,18,false)</f>
        <v>1</v>
      </c>
      <c r="AL1794" s="960">
        <f t="array" ref="AL1794">HLOOKUP($J1794,'Type Chart'!$C$2:$T$20,19,false)*HLOOKUP($K1794,'Type Chart'!$C$2:$U$20,19,false)</f>
        <v>1</v>
      </c>
      <c r="AM1794" s="964" t="s">
        <v>1259</v>
      </c>
      <c r="AN1794" s="965"/>
      <c r="AO1794" s="966" t="s">
        <v>1542</v>
      </c>
      <c r="AP1794" s="936"/>
      <c r="AQ1794" s="1245"/>
      <c r="AR1794" s="1245"/>
      <c r="AS1794" s="936"/>
    </row>
    <row r="1795" ht="15.75" customHeight="1">
      <c r="A1795" s="1099"/>
      <c r="B1795" s="948" t="s">
        <v>2526</v>
      </c>
      <c r="C1795" s="1197" t="s">
        <v>2527</v>
      </c>
      <c r="D1795" s="1197" t="s">
        <v>2527</v>
      </c>
      <c r="E1795" s="1147" t="s">
        <v>2527</v>
      </c>
      <c r="F1795" s="940"/>
      <c r="G1795" s="953"/>
      <c r="H1795" s="969"/>
      <c r="I1795" s="998" t="s">
        <v>4895</v>
      </c>
      <c r="J1795" s="957" t="s">
        <v>209</v>
      </c>
      <c r="K1795" s="984" t="s">
        <v>216</v>
      </c>
      <c r="L1795" s="959">
        <v>45.0</v>
      </c>
      <c r="M1795" s="960">
        <v>35.0</v>
      </c>
      <c r="N1795" s="960">
        <v>45.0</v>
      </c>
      <c r="O1795" s="960">
        <v>62.0</v>
      </c>
      <c r="P1795" s="960">
        <v>53.0</v>
      </c>
      <c r="Q1795" s="960">
        <v>35.0</v>
      </c>
      <c r="R1795" s="960">
        <v>106.0</v>
      </c>
      <c r="S1795" s="960">
        <v>169.0</v>
      </c>
      <c r="T1795" s="960">
        <v>185.0</v>
      </c>
      <c r="U1795" s="960">
        <f t="array" ref="U1795">HLOOKUP($J1795,'Type Chart'!$C$2:$T$20,2,false)*HLOOKUP($K1795,'Type Chart'!$C$2:$U$20,2,false)</f>
        <v>1</v>
      </c>
      <c r="V1795" s="960">
        <f t="array" ref="V1795">HLOOKUP($J1795,'Type Chart'!$C$2:$T$20,3,false)*HLOOKUP($K1795,'Type Chart'!$C$2:$U$20,3,false)</f>
        <v>1</v>
      </c>
      <c r="W1795" s="960">
        <f t="array" ref="W1795">HLOOKUP($J1795,'Type Chart'!$C$2:$T$20,4,false)*HLOOKUP($K1795,'Type Chart'!$C$2:$U$20,4,false)</f>
        <v>2</v>
      </c>
      <c r="X1795" s="960">
        <f t="array" ref="X1795">HLOOKUP($J1795,'Type Chart'!$C$2:$T$20,5,false)*HLOOKUP($K1795,'Type Chart'!$C$2:$U$20,5,false)</f>
        <v>2</v>
      </c>
      <c r="Y1795" s="960">
        <f t="array" ref="Y1795">HLOOKUP($J1795,'Type Chart'!$C$2:$T$20,6,false)*HLOOKUP($K1795,'Type Chart'!$C$2:$U$20,6,false)</f>
        <v>0.5</v>
      </c>
      <c r="Z1795" s="960">
        <f t="array" ref="Z1795">HLOOKUP($J1795,'Type Chart'!$C$2:$T$20,7,false)*HLOOKUP($K1795,'Type Chart'!$C$2:$U$20,7,false)</f>
        <v>1</v>
      </c>
      <c r="AA1795" s="960">
        <f t="array" ref="AA1795">HLOOKUP($J1795,'Type Chart'!$C$2:$T$20,8,false)*HLOOKUP($K1795,'Type Chart'!$C$2:$U$20,8,false)</f>
        <v>2</v>
      </c>
      <c r="AB1795" s="960">
        <f t="array" ref="AB1795">HLOOKUP($J1795,'Type Chart'!$C$2:$T$20,9,false)*HLOOKUP($K1795,'Type Chart'!$C$2:$U$20,9,false)</f>
        <v>1</v>
      </c>
      <c r="AC1795" s="960">
        <f t="array" ref="AC1795">HLOOKUP($J1795,'Type Chart'!$C$2:$T$20,10,false)*HLOOKUP($K1795,'Type Chart'!$C$2:$U$20,10,false)</f>
        <v>1</v>
      </c>
      <c r="AD1795" s="960">
        <f t="array" ref="AD1795">HLOOKUP($J1795,'Type Chart'!$C$2:$T$20,11,false)*HLOOKUP($K1795,'Type Chart'!$C$2:$U$20,11,false)</f>
        <v>2</v>
      </c>
      <c r="AE1795" s="960">
        <f t="array" ref="AE1795">HLOOKUP($J1795,'Type Chart'!$C$2:$T$20,12,false)*HLOOKUP($K1795,'Type Chart'!$C$2:$U$20,12,false)</f>
        <v>0.5</v>
      </c>
      <c r="AF1795" s="960">
        <f t="array" ref="AF1795">HLOOKUP($J1795,'Type Chart'!$C$2:$T$20,13,false)*HLOOKUP($K1795,'Type Chart'!$C$2:$U$20,13,false)</f>
        <v>0.5</v>
      </c>
      <c r="AG1795" s="960">
        <f t="array" ref="AG1795">HLOOKUP($J1795,'Type Chart'!$C$2:$T$20,14,false)*HLOOKUP($K1795,'Type Chart'!$C$2:$U$20,14,false)</f>
        <v>0.5</v>
      </c>
      <c r="AH1795" s="960">
        <f t="array" ref="AH1795">HLOOKUP($J1795,'Type Chart'!$C$2:$T$20,15,false)*HLOOKUP($K1795,'Type Chart'!$C$2:$U$20,15,false)</f>
        <v>1</v>
      </c>
      <c r="AI1795" s="960">
        <f t="array" ref="AI1795">HLOOKUP($J1795,'Type Chart'!$C$2:$T$20,16,false)*HLOOKUP($K1795,'Type Chart'!$C$2:$U$20,16,false)</f>
        <v>2</v>
      </c>
      <c r="AJ1795" s="960">
        <f t="array" ref="AJ1795">HLOOKUP($J1795,'Type Chart'!$C$2:$T$20,17,false)*HLOOKUP($K1795,'Type Chart'!$C$2:$U$20,17,false)</f>
        <v>1</v>
      </c>
      <c r="AK1795" s="960">
        <f t="array" ref="AK1795">HLOOKUP($J1795,'Type Chart'!$C$2:$T$20,18,false)*HLOOKUP($K1795,'Type Chart'!$C$2:$U$20,18,false)</f>
        <v>1</v>
      </c>
      <c r="AL1795" s="960">
        <f t="array" ref="AL1795">HLOOKUP($J1795,'Type Chart'!$C$2:$T$20,19,false)*HLOOKUP($K1795,'Type Chart'!$C$2:$U$20,19,false)</f>
        <v>1</v>
      </c>
      <c r="AM1795" s="964" t="s">
        <v>524</v>
      </c>
      <c r="AN1795" s="965"/>
      <c r="AO1795" s="966"/>
      <c r="AP1795" s="936"/>
      <c r="AQ1795" s="1245"/>
      <c r="AR1795" s="1245"/>
      <c r="AS1795" s="936"/>
    </row>
    <row r="1796" ht="15.75" customHeight="1">
      <c r="A1796" s="1099"/>
      <c r="B1796" s="948" t="s">
        <v>2529</v>
      </c>
      <c r="C1796" s="1197" t="s">
        <v>2530</v>
      </c>
      <c r="D1796" s="1197" t="s">
        <v>2530</v>
      </c>
      <c r="E1796" s="1147" t="s">
        <v>2530</v>
      </c>
      <c r="F1796" s="940"/>
      <c r="G1796" s="953"/>
      <c r="H1796" s="969"/>
      <c r="I1796" s="998" t="s">
        <v>4896</v>
      </c>
      <c r="J1796" s="957" t="s">
        <v>209</v>
      </c>
      <c r="K1796" s="984" t="s">
        <v>216</v>
      </c>
      <c r="L1796" s="959">
        <v>70.0</v>
      </c>
      <c r="M1796" s="960">
        <v>60.0</v>
      </c>
      <c r="N1796" s="960">
        <v>70.0</v>
      </c>
      <c r="O1796" s="960">
        <v>87.0</v>
      </c>
      <c r="P1796" s="960">
        <v>78.0</v>
      </c>
      <c r="Q1796" s="960">
        <v>85.0</v>
      </c>
      <c r="R1796" s="960">
        <v>206.0</v>
      </c>
      <c r="S1796" s="960">
        <v>269.0</v>
      </c>
      <c r="T1796" s="960">
        <v>295.0</v>
      </c>
      <c r="U1796" s="960">
        <f t="array" ref="U1796">HLOOKUP($J1796,'Type Chart'!$C$2:$T$20,2,false)*HLOOKUP($K1796,'Type Chart'!$C$2:$U$20,2,false)</f>
        <v>1</v>
      </c>
      <c r="V1796" s="960">
        <f t="array" ref="V1796">HLOOKUP($J1796,'Type Chart'!$C$2:$T$20,3,false)*HLOOKUP($K1796,'Type Chart'!$C$2:$U$20,3,false)</f>
        <v>1</v>
      </c>
      <c r="W1796" s="960">
        <f t="array" ref="W1796">HLOOKUP($J1796,'Type Chart'!$C$2:$T$20,4,false)*HLOOKUP($K1796,'Type Chart'!$C$2:$U$20,4,false)</f>
        <v>2</v>
      </c>
      <c r="X1796" s="960">
        <f t="array" ref="X1796">HLOOKUP($J1796,'Type Chart'!$C$2:$T$20,5,false)*HLOOKUP($K1796,'Type Chart'!$C$2:$U$20,5,false)</f>
        <v>2</v>
      </c>
      <c r="Y1796" s="960">
        <f t="array" ref="Y1796">HLOOKUP($J1796,'Type Chart'!$C$2:$T$20,6,false)*HLOOKUP($K1796,'Type Chart'!$C$2:$U$20,6,false)</f>
        <v>0.5</v>
      </c>
      <c r="Z1796" s="960">
        <f t="array" ref="Z1796">HLOOKUP($J1796,'Type Chart'!$C$2:$T$20,7,false)*HLOOKUP($K1796,'Type Chart'!$C$2:$U$20,7,false)</f>
        <v>1</v>
      </c>
      <c r="AA1796" s="960">
        <f t="array" ref="AA1796">HLOOKUP($J1796,'Type Chart'!$C$2:$T$20,8,false)*HLOOKUP($K1796,'Type Chart'!$C$2:$U$20,8,false)</f>
        <v>2</v>
      </c>
      <c r="AB1796" s="960">
        <f t="array" ref="AB1796">HLOOKUP($J1796,'Type Chart'!$C$2:$T$20,9,false)*HLOOKUP($K1796,'Type Chart'!$C$2:$U$20,9,false)</f>
        <v>1</v>
      </c>
      <c r="AC1796" s="960">
        <f t="array" ref="AC1796">HLOOKUP($J1796,'Type Chart'!$C$2:$T$20,10,false)*HLOOKUP($K1796,'Type Chart'!$C$2:$U$20,10,false)</f>
        <v>1</v>
      </c>
      <c r="AD1796" s="960">
        <f t="array" ref="AD1796">HLOOKUP($J1796,'Type Chart'!$C$2:$T$20,11,false)*HLOOKUP($K1796,'Type Chart'!$C$2:$U$20,11,false)</f>
        <v>2</v>
      </c>
      <c r="AE1796" s="960">
        <f t="array" ref="AE1796">HLOOKUP($J1796,'Type Chart'!$C$2:$T$20,12,false)*HLOOKUP($K1796,'Type Chart'!$C$2:$U$20,12,false)</f>
        <v>0.5</v>
      </c>
      <c r="AF1796" s="960">
        <f t="array" ref="AF1796">HLOOKUP($J1796,'Type Chart'!$C$2:$T$20,13,false)*HLOOKUP($K1796,'Type Chart'!$C$2:$U$20,13,false)</f>
        <v>0.5</v>
      </c>
      <c r="AG1796" s="960">
        <f t="array" ref="AG1796">HLOOKUP($J1796,'Type Chart'!$C$2:$T$20,14,false)*HLOOKUP($K1796,'Type Chart'!$C$2:$U$20,14,false)</f>
        <v>0.5</v>
      </c>
      <c r="AH1796" s="960">
        <f t="array" ref="AH1796">HLOOKUP($J1796,'Type Chart'!$C$2:$T$20,15,false)*HLOOKUP($K1796,'Type Chart'!$C$2:$U$20,15,false)</f>
        <v>1</v>
      </c>
      <c r="AI1796" s="960">
        <f t="array" ref="AI1796">HLOOKUP($J1796,'Type Chart'!$C$2:$T$20,16,false)*HLOOKUP($K1796,'Type Chart'!$C$2:$U$20,16,false)</f>
        <v>2</v>
      </c>
      <c r="AJ1796" s="960">
        <f t="array" ref="AJ1796">HLOOKUP($J1796,'Type Chart'!$C$2:$T$20,17,false)*HLOOKUP($K1796,'Type Chart'!$C$2:$U$20,17,false)</f>
        <v>1</v>
      </c>
      <c r="AK1796" s="960">
        <f t="array" ref="AK1796">HLOOKUP($J1796,'Type Chart'!$C$2:$T$20,18,false)*HLOOKUP($K1796,'Type Chart'!$C$2:$U$20,18,false)</f>
        <v>1</v>
      </c>
      <c r="AL1796" s="960">
        <f t="array" ref="AL1796">HLOOKUP($J1796,'Type Chart'!$C$2:$T$20,19,false)*HLOOKUP($K1796,'Type Chart'!$C$2:$U$20,19,false)</f>
        <v>1</v>
      </c>
      <c r="AM1796" s="964" t="s">
        <v>2532</v>
      </c>
      <c r="AN1796" s="965"/>
      <c r="AO1796" s="966"/>
      <c r="AP1796" s="936"/>
      <c r="AQ1796" s="1245"/>
      <c r="AR1796" s="1245"/>
      <c r="AS1796" s="936"/>
    </row>
    <row r="1797" ht="15.75" customHeight="1">
      <c r="A1797" s="1099"/>
      <c r="B1797" s="948" t="s">
        <v>2533</v>
      </c>
      <c r="C1797" s="1197" t="s">
        <v>2534</v>
      </c>
      <c r="D1797" s="1197" t="s">
        <v>2534</v>
      </c>
      <c r="E1797" s="1147" t="s">
        <v>2534</v>
      </c>
      <c r="F1797" s="940"/>
      <c r="G1797" s="953"/>
      <c r="H1797" s="969"/>
      <c r="I1797" s="998" t="s">
        <v>4897</v>
      </c>
      <c r="J1797" s="957" t="s">
        <v>209</v>
      </c>
      <c r="K1797" s="984" t="s">
        <v>216</v>
      </c>
      <c r="L1797" s="959">
        <v>70.0</v>
      </c>
      <c r="M1797" s="960">
        <v>60.0</v>
      </c>
      <c r="N1797" s="960">
        <v>70.0</v>
      </c>
      <c r="O1797" s="960">
        <v>87.0</v>
      </c>
      <c r="P1797" s="960">
        <v>78.0</v>
      </c>
      <c r="Q1797" s="960">
        <v>85.0</v>
      </c>
      <c r="R1797" s="960">
        <v>206.0</v>
      </c>
      <c r="S1797" s="960">
        <v>269.0</v>
      </c>
      <c r="T1797" s="960">
        <v>295.0</v>
      </c>
      <c r="U1797" s="960">
        <f t="array" ref="U1797">HLOOKUP($J1797,'Type Chart'!$C$2:$T$20,2,false)*HLOOKUP($K1797,'Type Chart'!$C$2:$U$20,2,false)</f>
        <v>1</v>
      </c>
      <c r="V1797" s="960">
        <f t="array" ref="V1797">HLOOKUP($J1797,'Type Chart'!$C$2:$T$20,3,false)*HLOOKUP($K1797,'Type Chart'!$C$2:$U$20,3,false)</f>
        <v>1</v>
      </c>
      <c r="W1797" s="960">
        <f t="array" ref="W1797">HLOOKUP($J1797,'Type Chart'!$C$2:$T$20,4,false)*HLOOKUP($K1797,'Type Chart'!$C$2:$U$20,4,false)</f>
        <v>2</v>
      </c>
      <c r="X1797" s="960">
        <f t="array" ref="X1797">HLOOKUP($J1797,'Type Chart'!$C$2:$T$20,5,false)*HLOOKUP($K1797,'Type Chart'!$C$2:$U$20,5,false)</f>
        <v>2</v>
      </c>
      <c r="Y1797" s="960">
        <f t="array" ref="Y1797">HLOOKUP($J1797,'Type Chart'!$C$2:$T$20,6,false)*HLOOKUP($K1797,'Type Chart'!$C$2:$U$20,6,false)</f>
        <v>0.5</v>
      </c>
      <c r="Z1797" s="960">
        <f t="array" ref="Z1797">HLOOKUP($J1797,'Type Chart'!$C$2:$T$20,7,false)*HLOOKUP($K1797,'Type Chart'!$C$2:$U$20,7,false)</f>
        <v>1</v>
      </c>
      <c r="AA1797" s="960">
        <f t="array" ref="AA1797">HLOOKUP($J1797,'Type Chart'!$C$2:$T$20,8,false)*HLOOKUP($K1797,'Type Chart'!$C$2:$U$20,8,false)</f>
        <v>2</v>
      </c>
      <c r="AB1797" s="960">
        <f t="array" ref="AB1797">HLOOKUP($J1797,'Type Chart'!$C$2:$T$20,9,false)*HLOOKUP($K1797,'Type Chart'!$C$2:$U$20,9,false)</f>
        <v>1</v>
      </c>
      <c r="AC1797" s="960">
        <f t="array" ref="AC1797">HLOOKUP($J1797,'Type Chart'!$C$2:$T$20,10,false)*HLOOKUP($K1797,'Type Chart'!$C$2:$U$20,10,false)</f>
        <v>1</v>
      </c>
      <c r="AD1797" s="960">
        <f t="array" ref="AD1797">HLOOKUP($J1797,'Type Chart'!$C$2:$T$20,11,false)*HLOOKUP($K1797,'Type Chart'!$C$2:$U$20,11,false)</f>
        <v>2</v>
      </c>
      <c r="AE1797" s="960">
        <f t="array" ref="AE1797">HLOOKUP($J1797,'Type Chart'!$C$2:$T$20,12,false)*HLOOKUP($K1797,'Type Chart'!$C$2:$U$20,12,false)</f>
        <v>0.5</v>
      </c>
      <c r="AF1797" s="960">
        <f t="array" ref="AF1797">HLOOKUP($J1797,'Type Chart'!$C$2:$T$20,13,false)*HLOOKUP($K1797,'Type Chart'!$C$2:$U$20,13,false)</f>
        <v>0.5</v>
      </c>
      <c r="AG1797" s="960">
        <f t="array" ref="AG1797">HLOOKUP($J1797,'Type Chart'!$C$2:$T$20,14,false)*HLOOKUP($K1797,'Type Chart'!$C$2:$U$20,14,false)</f>
        <v>0.5</v>
      </c>
      <c r="AH1797" s="960">
        <f t="array" ref="AH1797">HLOOKUP($J1797,'Type Chart'!$C$2:$T$20,15,false)*HLOOKUP($K1797,'Type Chart'!$C$2:$U$20,15,false)</f>
        <v>1</v>
      </c>
      <c r="AI1797" s="960">
        <f t="array" ref="AI1797">HLOOKUP($J1797,'Type Chart'!$C$2:$T$20,16,false)*HLOOKUP($K1797,'Type Chart'!$C$2:$U$20,16,false)</f>
        <v>2</v>
      </c>
      <c r="AJ1797" s="960">
        <f t="array" ref="AJ1797">HLOOKUP($J1797,'Type Chart'!$C$2:$T$20,17,false)*HLOOKUP($K1797,'Type Chart'!$C$2:$U$20,17,false)</f>
        <v>1</v>
      </c>
      <c r="AK1797" s="960">
        <f t="array" ref="AK1797">HLOOKUP($J1797,'Type Chart'!$C$2:$T$20,18,false)*HLOOKUP($K1797,'Type Chart'!$C$2:$U$20,18,false)</f>
        <v>1</v>
      </c>
      <c r="AL1797" s="960">
        <f t="array" ref="AL1797">HLOOKUP($J1797,'Type Chart'!$C$2:$T$20,19,false)*HLOOKUP($K1797,'Type Chart'!$C$2:$U$20,19,false)</f>
        <v>1</v>
      </c>
      <c r="AM1797" s="964" t="s">
        <v>2532</v>
      </c>
      <c r="AN1797" s="965"/>
      <c r="AO1797" s="966"/>
      <c r="AP1797" s="936"/>
      <c r="AQ1797" s="1245"/>
      <c r="AR1797" s="1245"/>
      <c r="AS1797" s="936"/>
    </row>
    <row r="1798" ht="15.75" customHeight="1">
      <c r="A1798" s="1099"/>
      <c r="B1798" s="948" t="s">
        <v>2536</v>
      </c>
      <c r="C1798" s="1197" t="s">
        <v>2537</v>
      </c>
      <c r="D1798" s="1197" t="s">
        <v>2537</v>
      </c>
      <c r="E1798" s="1147" t="s">
        <v>2537</v>
      </c>
      <c r="F1798" s="940"/>
      <c r="G1798" s="953"/>
      <c r="H1798" s="969"/>
      <c r="I1798" s="998" t="s">
        <v>4898</v>
      </c>
      <c r="J1798" s="1056" t="s">
        <v>81</v>
      </c>
      <c r="K1798" s="984" t="s">
        <v>216</v>
      </c>
      <c r="L1798" s="959">
        <v>76.0</v>
      </c>
      <c r="M1798" s="960">
        <v>48.0</v>
      </c>
      <c r="N1798" s="960">
        <v>48.0</v>
      </c>
      <c r="O1798" s="960">
        <v>57.0</v>
      </c>
      <c r="P1798" s="960">
        <v>62.0</v>
      </c>
      <c r="Q1798" s="960">
        <v>34.0</v>
      </c>
      <c r="R1798" s="960">
        <v>104.0</v>
      </c>
      <c r="S1798" s="960">
        <v>167.0</v>
      </c>
      <c r="T1798" s="960">
        <v>183.0</v>
      </c>
      <c r="U1798" s="960">
        <f t="array" ref="U1798">HLOOKUP($J1798,'Type Chart'!$C$2:$T$20,2,false)*HLOOKUP($K1798,'Type Chart'!$C$2:$U$20,2,false)</f>
        <v>1</v>
      </c>
      <c r="V1798" s="960">
        <f t="array" ref="V1798">HLOOKUP($J1798,'Type Chart'!$C$2:$T$20,3,false)*HLOOKUP($K1798,'Type Chart'!$C$2:$U$20,3,false)</f>
        <v>1</v>
      </c>
      <c r="W1798" s="960">
        <f t="array" ref="W1798">HLOOKUP($J1798,'Type Chart'!$C$2:$T$20,4,false)*HLOOKUP($K1798,'Type Chart'!$C$2:$U$20,4,false)</f>
        <v>1</v>
      </c>
      <c r="X1798" s="960">
        <f t="array" ref="X1798">HLOOKUP($J1798,'Type Chart'!$C$2:$T$20,5,false)*HLOOKUP($K1798,'Type Chart'!$C$2:$U$20,5,false)</f>
        <v>1</v>
      </c>
      <c r="Y1798" s="960">
        <f t="array" ref="Y1798">HLOOKUP($J1798,'Type Chart'!$C$2:$T$20,6,false)*HLOOKUP($K1798,'Type Chart'!$C$2:$U$20,6,false)</f>
        <v>1</v>
      </c>
      <c r="Z1798" s="960">
        <f t="array" ref="Z1798">HLOOKUP($J1798,'Type Chart'!$C$2:$T$20,7,false)*HLOOKUP($K1798,'Type Chart'!$C$2:$U$20,7,false)</f>
        <v>1</v>
      </c>
      <c r="AA1798" s="960">
        <f t="array" ref="AA1798">HLOOKUP($J1798,'Type Chart'!$C$2:$T$20,8,false)*HLOOKUP($K1798,'Type Chart'!$C$2:$U$20,8,false)</f>
        <v>1</v>
      </c>
      <c r="AB1798" s="960">
        <f t="array" ref="AB1798">HLOOKUP($J1798,'Type Chart'!$C$2:$T$20,9,false)*HLOOKUP($K1798,'Type Chart'!$C$2:$U$20,9,false)</f>
        <v>1</v>
      </c>
      <c r="AC1798" s="960">
        <f t="array" ref="AC1798">HLOOKUP($J1798,'Type Chart'!$C$2:$T$20,10,false)*HLOOKUP($K1798,'Type Chart'!$C$2:$U$20,10,false)</f>
        <v>0.5</v>
      </c>
      <c r="AD1798" s="960">
        <f t="array" ref="AD1798">HLOOKUP($J1798,'Type Chart'!$C$2:$T$20,11,false)*HLOOKUP($K1798,'Type Chart'!$C$2:$U$20,11,false)</f>
        <v>0.5</v>
      </c>
      <c r="AE1798" s="960">
        <f t="array" ref="AE1798">HLOOKUP($J1798,'Type Chart'!$C$2:$T$20,12,false)*HLOOKUP($K1798,'Type Chart'!$C$2:$U$20,12,false)</f>
        <v>0.5</v>
      </c>
      <c r="AF1798" s="960">
        <f t="array" ref="AF1798">HLOOKUP($J1798,'Type Chart'!$C$2:$T$20,13,false)*HLOOKUP($K1798,'Type Chart'!$C$2:$U$20,13,false)</f>
        <v>2</v>
      </c>
      <c r="AG1798" s="960">
        <f t="array" ref="AG1798">HLOOKUP($J1798,'Type Chart'!$C$2:$T$20,14,false)*HLOOKUP($K1798,'Type Chart'!$C$2:$U$20,14,false)</f>
        <v>2</v>
      </c>
      <c r="AH1798" s="960">
        <f t="array" ref="AH1798">HLOOKUP($J1798,'Type Chart'!$C$2:$T$20,15,false)*HLOOKUP($K1798,'Type Chart'!$C$2:$U$20,15,false)</f>
        <v>1</v>
      </c>
      <c r="AI1798" s="960">
        <f t="array" ref="AI1798">HLOOKUP($J1798,'Type Chart'!$C$2:$T$20,16,false)*HLOOKUP($K1798,'Type Chart'!$C$2:$U$20,16,false)</f>
        <v>0.5</v>
      </c>
      <c r="AJ1798" s="960">
        <f t="array" ref="AJ1798">HLOOKUP($J1798,'Type Chart'!$C$2:$T$20,17,false)*HLOOKUP($K1798,'Type Chart'!$C$2:$U$20,17,false)</f>
        <v>1</v>
      </c>
      <c r="AK1798" s="960">
        <f t="array" ref="AK1798">HLOOKUP($J1798,'Type Chart'!$C$2:$T$20,18,false)*HLOOKUP($K1798,'Type Chart'!$C$2:$U$20,18,false)</f>
        <v>1</v>
      </c>
      <c r="AL1798" s="960">
        <f t="array" ref="AL1798">HLOOKUP($J1798,'Type Chart'!$C$2:$T$20,19,false)*HLOOKUP($K1798,'Type Chart'!$C$2:$U$20,19,false)</f>
        <v>1</v>
      </c>
      <c r="AM1798" s="964" t="s">
        <v>1416</v>
      </c>
      <c r="AN1798" s="965" t="s">
        <v>2282</v>
      </c>
      <c r="AO1798" s="966" t="s">
        <v>1224</v>
      </c>
      <c r="AP1798" s="936"/>
      <c r="AQ1798" s="1245"/>
      <c r="AR1798" s="1245"/>
      <c r="AS1798" s="936"/>
    </row>
    <row r="1799" ht="15.75" customHeight="1">
      <c r="A1799" s="1099"/>
      <c r="B1799" s="948" t="s">
        <v>2539</v>
      </c>
      <c r="C1799" s="1197" t="s">
        <v>2540</v>
      </c>
      <c r="D1799" s="1197" t="s">
        <v>2540</v>
      </c>
      <c r="E1799" s="1147" t="s">
        <v>2540</v>
      </c>
      <c r="F1799" s="940"/>
      <c r="G1799" s="953"/>
      <c r="H1799" s="969"/>
      <c r="I1799" s="998" t="s">
        <v>4899</v>
      </c>
      <c r="J1799" s="1056" t="s">
        <v>81</v>
      </c>
      <c r="K1799" s="1204" t="s">
        <v>80</v>
      </c>
      <c r="L1799" s="959">
        <v>111.0</v>
      </c>
      <c r="M1799" s="960">
        <v>83.0</v>
      </c>
      <c r="N1799" s="960">
        <v>68.0</v>
      </c>
      <c r="O1799" s="960">
        <v>92.0</v>
      </c>
      <c r="P1799" s="960">
        <v>82.0</v>
      </c>
      <c r="Q1799" s="960">
        <v>39.0</v>
      </c>
      <c r="R1799" s="960">
        <v>114.0</v>
      </c>
      <c r="S1799" s="960">
        <v>177.0</v>
      </c>
      <c r="T1799" s="960">
        <v>194.0</v>
      </c>
      <c r="U1799" s="960">
        <f t="array" ref="U1799">HLOOKUP($J1799,'Type Chart'!$C$2:$T$20,2,false)*HLOOKUP($K1799,'Type Chart'!$C$2:$U$20,2,false)</f>
        <v>1</v>
      </c>
      <c r="V1799" s="960">
        <f t="array" ref="V1799">HLOOKUP($J1799,'Type Chart'!$C$2:$T$20,3,false)*HLOOKUP($K1799,'Type Chart'!$C$2:$U$20,3,false)</f>
        <v>1</v>
      </c>
      <c r="W1799" s="960">
        <f t="array" ref="W1799">HLOOKUP($J1799,'Type Chart'!$C$2:$T$20,4,false)*HLOOKUP($K1799,'Type Chart'!$C$2:$U$20,4,false)</f>
        <v>1</v>
      </c>
      <c r="X1799" s="960">
        <f t="array" ref="X1799">HLOOKUP($J1799,'Type Chart'!$C$2:$T$20,5,false)*HLOOKUP($K1799,'Type Chart'!$C$2:$U$20,5,false)</f>
        <v>0.5</v>
      </c>
      <c r="Y1799" s="960">
        <f t="array" ref="Y1799">HLOOKUP($J1799,'Type Chart'!$C$2:$T$20,6,false)*HLOOKUP($K1799,'Type Chart'!$C$2:$U$20,6,false)</f>
        <v>1</v>
      </c>
      <c r="Z1799" s="960">
        <f t="array" ref="Z1799">HLOOKUP($J1799,'Type Chart'!$C$2:$T$20,7,false)*HLOOKUP($K1799,'Type Chart'!$C$2:$U$20,7,false)</f>
        <v>0.5</v>
      </c>
      <c r="AA1799" s="960">
        <f t="array" ref="AA1799">HLOOKUP($J1799,'Type Chart'!$C$2:$T$20,8,false)*HLOOKUP($K1799,'Type Chart'!$C$2:$U$20,8,false)</f>
        <v>1</v>
      </c>
      <c r="AB1799" s="960">
        <f t="array" ref="AB1799">HLOOKUP($J1799,'Type Chart'!$C$2:$T$20,9,false)*HLOOKUP($K1799,'Type Chart'!$C$2:$U$20,9,false)</f>
        <v>1</v>
      </c>
      <c r="AC1799" s="960">
        <f t="array" ref="AC1799">HLOOKUP($J1799,'Type Chart'!$C$2:$T$20,10,false)*HLOOKUP($K1799,'Type Chart'!$C$2:$U$20,10,false)</f>
        <v>0.5</v>
      </c>
      <c r="AD1799" s="960">
        <f t="array" ref="AD1799">HLOOKUP($J1799,'Type Chart'!$C$2:$T$20,11,false)*HLOOKUP($K1799,'Type Chart'!$C$2:$U$20,11,false)</f>
        <v>0.5</v>
      </c>
      <c r="AE1799" s="960">
        <f t="array" ref="AE1799">HLOOKUP($J1799,'Type Chart'!$C$2:$T$20,12,false)*HLOOKUP($K1799,'Type Chart'!$C$2:$U$20,12,false)</f>
        <v>1</v>
      </c>
      <c r="AF1799" s="960">
        <f t="array" ref="AF1799">HLOOKUP($J1799,'Type Chart'!$C$2:$T$20,13,false)*HLOOKUP($K1799,'Type Chart'!$C$2:$U$20,13,false)</f>
        <v>4</v>
      </c>
      <c r="AG1799" s="960">
        <f t="array" ref="AG1799">HLOOKUP($J1799,'Type Chart'!$C$2:$T$20,14,false)*HLOOKUP($K1799,'Type Chart'!$C$2:$U$20,14,false)</f>
        <v>0</v>
      </c>
      <c r="AH1799" s="960">
        <f t="array" ref="AH1799">HLOOKUP($J1799,'Type Chart'!$C$2:$T$20,15,false)*HLOOKUP($K1799,'Type Chart'!$C$2:$U$20,15,false)</f>
        <v>1</v>
      </c>
      <c r="AI1799" s="960">
        <f t="array" ref="AI1799">HLOOKUP($J1799,'Type Chart'!$C$2:$T$20,16,false)*HLOOKUP($K1799,'Type Chart'!$C$2:$U$20,16,false)</f>
        <v>1</v>
      </c>
      <c r="AJ1799" s="960">
        <f t="array" ref="AJ1799">HLOOKUP($J1799,'Type Chart'!$C$2:$T$20,17,false)*HLOOKUP($K1799,'Type Chart'!$C$2:$U$20,17,false)</f>
        <v>1</v>
      </c>
      <c r="AK1799" s="960">
        <f t="array" ref="AK1799">HLOOKUP($J1799,'Type Chart'!$C$2:$T$20,18,false)*HLOOKUP($K1799,'Type Chart'!$C$2:$U$20,18,false)</f>
        <v>1</v>
      </c>
      <c r="AL1799" s="960">
        <f t="array" ref="AL1799">HLOOKUP($J1799,'Type Chart'!$C$2:$T$20,19,false)*HLOOKUP($K1799,'Type Chart'!$C$2:$U$20,19,false)</f>
        <v>1</v>
      </c>
      <c r="AM1799" s="964" t="s">
        <v>1416</v>
      </c>
      <c r="AN1799" s="965" t="s">
        <v>2282</v>
      </c>
      <c r="AO1799" s="966" t="s">
        <v>1224</v>
      </c>
      <c r="AP1799" s="936"/>
      <c r="AQ1799" s="1245"/>
      <c r="AR1799" s="1245"/>
      <c r="AS1799" s="936"/>
    </row>
    <row r="1800" ht="15.75" customHeight="1">
      <c r="A1800" s="1099"/>
      <c r="B1800" s="948" t="s">
        <v>2541</v>
      </c>
      <c r="C1800" s="1197" t="s">
        <v>2542</v>
      </c>
      <c r="D1800" s="1197" t="s">
        <v>2542</v>
      </c>
      <c r="E1800" s="1147" t="s">
        <v>2542</v>
      </c>
      <c r="F1800" s="940"/>
      <c r="G1800" s="953"/>
      <c r="H1800" s="969"/>
      <c r="I1800" s="998" t="s">
        <v>4900</v>
      </c>
      <c r="J1800" s="1194" t="s">
        <v>136</v>
      </c>
      <c r="K1800" s="984" t="s">
        <v>216</v>
      </c>
      <c r="L1800" s="959">
        <v>75.0</v>
      </c>
      <c r="M1800" s="960">
        <v>100.0</v>
      </c>
      <c r="N1800" s="960">
        <v>66.0</v>
      </c>
      <c r="O1800" s="960">
        <v>60.0</v>
      </c>
      <c r="P1800" s="960">
        <v>66.0</v>
      </c>
      <c r="Q1800" s="960">
        <v>115.0</v>
      </c>
      <c r="R1800" s="960">
        <v>266.0</v>
      </c>
      <c r="S1800" s="960">
        <v>329.0</v>
      </c>
      <c r="T1800" s="960">
        <v>361.0</v>
      </c>
      <c r="U1800" s="960">
        <f t="array" ref="U1800">HLOOKUP($J1800,'Type Chart'!$C$2:$T$20,2,false)*HLOOKUP($K1800,'Type Chart'!$C$2:$U$20,2,false)</f>
        <v>1</v>
      </c>
      <c r="V1800" s="960">
        <f t="array" ref="V1800">HLOOKUP($J1800,'Type Chart'!$C$2:$T$20,3,false)*HLOOKUP($K1800,'Type Chart'!$C$2:$U$20,3,false)</f>
        <v>2</v>
      </c>
      <c r="W1800" s="960">
        <f t="array" ref="W1800">HLOOKUP($J1800,'Type Chart'!$C$2:$T$20,4,false)*HLOOKUP($K1800,'Type Chart'!$C$2:$U$20,4,false)</f>
        <v>1</v>
      </c>
      <c r="X1800" s="960">
        <f t="array" ref="X1800">HLOOKUP($J1800,'Type Chart'!$C$2:$T$20,5,false)*HLOOKUP($K1800,'Type Chart'!$C$2:$U$20,5,false)</f>
        <v>1</v>
      </c>
      <c r="Y1800" s="960">
        <f t="array" ref="Y1800">HLOOKUP($J1800,'Type Chart'!$C$2:$T$20,6,false)*HLOOKUP($K1800,'Type Chart'!$C$2:$U$20,6,false)</f>
        <v>1</v>
      </c>
      <c r="Z1800" s="960">
        <f t="array" ref="Z1800">HLOOKUP($J1800,'Type Chart'!$C$2:$T$20,7,false)*HLOOKUP($K1800,'Type Chart'!$C$2:$U$20,7,false)</f>
        <v>1</v>
      </c>
      <c r="AA1800" s="960">
        <f t="array" ref="AA1800">HLOOKUP($J1800,'Type Chart'!$C$2:$T$20,8,false)*HLOOKUP($K1800,'Type Chart'!$C$2:$U$20,8,false)</f>
        <v>1</v>
      </c>
      <c r="AB1800" s="960">
        <f t="array" ref="AB1800">HLOOKUP($J1800,'Type Chart'!$C$2:$T$20,9,false)*HLOOKUP($K1800,'Type Chart'!$C$2:$U$20,9,false)</f>
        <v>0</v>
      </c>
      <c r="AC1800" s="960">
        <f t="array" ref="AC1800">HLOOKUP($J1800,'Type Chart'!$C$2:$T$20,10,false)*HLOOKUP($K1800,'Type Chart'!$C$2:$U$20,10,false)</f>
        <v>1</v>
      </c>
      <c r="AD1800" s="960">
        <f t="array" ref="AD1800">HLOOKUP($J1800,'Type Chart'!$C$2:$T$20,11,false)*HLOOKUP($K1800,'Type Chart'!$C$2:$U$20,11,false)</f>
        <v>1</v>
      </c>
      <c r="AE1800" s="960">
        <f t="array" ref="AE1800">HLOOKUP($J1800,'Type Chart'!$C$2:$T$20,12,false)*HLOOKUP($K1800,'Type Chart'!$C$2:$U$20,12,false)</f>
        <v>1</v>
      </c>
      <c r="AF1800" s="960">
        <f t="array" ref="AF1800">HLOOKUP($J1800,'Type Chart'!$C$2:$T$20,13,false)*HLOOKUP($K1800,'Type Chart'!$C$2:$U$20,13,false)</f>
        <v>1</v>
      </c>
      <c r="AG1800" s="960">
        <f t="array" ref="AG1800">HLOOKUP($J1800,'Type Chart'!$C$2:$T$20,14,false)*HLOOKUP($K1800,'Type Chart'!$C$2:$U$20,14,false)</f>
        <v>1</v>
      </c>
      <c r="AH1800" s="960">
        <f t="array" ref="AH1800">HLOOKUP($J1800,'Type Chart'!$C$2:$T$20,15,false)*HLOOKUP($K1800,'Type Chart'!$C$2:$U$20,15,false)</f>
        <v>1</v>
      </c>
      <c r="AI1800" s="960">
        <f t="array" ref="AI1800">HLOOKUP($J1800,'Type Chart'!$C$2:$T$20,16,false)*HLOOKUP($K1800,'Type Chart'!$C$2:$U$20,16,false)</f>
        <v>1</v>
      </c>
      <c r="AJ1800" s="960">
        <f t="array" ref="AJ1800">HLOOKUP($J1800,'Type Chart'!$C$2:$T$20,17,false)*HLOOKUP($K1800,'Type Chart'!$C$2:$U$20,17,false)</f>
        <v>1</v>
      </c>
      <c r="AK1800" s="960">
        <f t="array" ref="AK1800">HLOOKUP($J1800,'Type Chart'!$C$2:$T$20,18,false)*HLOOKUP($K1800,'Type Chart'!$C$2:$U$20,18,false)</f>
        <v>1</v>
      </c>
      <c r="AL1800" s="960">
        <f t="array" ref="AL1800">HLOOKUP($J1800,'Type Chart'!$C$2:$T$20,19,false)*HLOOKUP($K1800,'Type Chart'!$C$2:$U$20,19,false)</f>
        <v>1</v>
      </c>
      <c r="AM1800" s="964" t="s">
        <v>1239</v>
      </c>
      <c r="AN1800" s="965" t="s">
        <v>1238</v>
      </c>
      <c r="AO1800" s="966" t="s">
        <v>1430</v>
      </c>
      <c r="AP1800" s="936"/>
      <c r="AQ1800" s="1245"/>
      <c r="AR1800" s="1245"/>
      <c r="AS1800" s="936"/>
    </row>
    <row r="1801" ht="15.75" customHeight="1">
      <c r="A1801" s="1099"/>
      <c r="B1801" s="948" t="s">
        <v>2543</v>
      </c>
      <c r="C1801" s="1197" t="s">
        <v>2544</v>
      </c>
      <c r="D1801" s="1197" t="s">
        <v>2544</v>
      </c>
      <c r="E1801" s="1147" t="s">
        <v>2544</v>
      </c>
      <c r="F1801" s="940"/>
      <c r="G1801" s="953"/>
      <c r="H1801" s="969"/>
      <c r="I1801" s="998" t="s">
        <v>4901</v>
      </c>
      <c r="J1801" s="1220" t="s">
        <v>215</v>
      </c>
      <c r="K1801" s="1001" t="s">
        <v>128</v>
      </c>
      <c r="L1801" s="959">
        <v>90.0</v>
      </c>
      <c r="M1801" s="960">
        <v>50.0</v>
      </c>
      <c r="N1801" s="960">
        <v>34.0</v>
      </c>
      <c r="O1801" s="960">
        <v>60.0</v>
      </c>
      <c r="P1801" s="960">
        <v>44.0</v>
      </c>
      <c r="Q1801" s="960">
        <v>70.0</v>
      </c>
      <c r="R1801" s="960">
        <v>176.0</v>
      </c>
      <c r="S1801" s="960">
        <v>239.0</v>
      </c>
      <c r="T1801" s="960">
        <v>262.0</v>
      </c>
      <c r="U1801" s="960">
        <f t="array" ref="U1801">HLOOKUP($J1801,'Type Chart'!$C$2:$T$20,2,false)*HLOOKUP($K1801,'Type Chart'!$C$2:$U$20,2,false)</f>
        <v>0</v>
      </c>
      <c r="V1801" s="960">
        <f t="array" ref="V1801">HLOOKUP($J1801,'Type Chart'!$C$2:$T$20,3,false)*HLOOKUP($K1801,'Type Chart'!$C$2:$U$20,3,false)</f>
        <v>0</v>
      </c>
      <c r="W1801" s="960">
        <f t="array" ref="W1801">HLOOKUP($J1801,'Type Chart'!$C$2:$T$20,4,false)*HLOOKUP($K1801,'Type Chart'!$C$2:$U$20,4,false)</f>
        <v>1</v>
      </c>
      <c r="X1801" s="960">
        <f t="array" ref="X1801">HLOOKUP($J1801,'Type Chart'!$C$2:$T$20,5,false)*HLOOKUP($K1801,'Type Chart'!$C$2:$U$20,5,false)</f>
        <v>0.5</v>
      </c>
      <c r="Y1801" s="960">
        <f t="array" ref="Y1801">HLOOKUP($J1801,'Type Chart'!$C$2:$T$20,6,false)*HLOOKUP($K1801,'Type Chart'!$C$2:$U$20,6,false)</f>
        <v>0</v>
      </c>
      <c r="Z1801" s="960">
        <f t="array" ref="Z1801">HLOOKUP($J1801,'Type Chart'!$C$2:$T$20,7,false)*HLOOKUP($K1801,'Type Chart'!$C$2:$U$20,7,false)</f>
        <v>2</v>
      </c>
      <c r="AA1801" s="960">
        <f t="array" ref="AA1801">HLOOKUP($J1801,'Type Chart'!$C$2:$T$20,8,false)*HLOOKUP($K1801,'Type Chart'!$C$2:$U$20,8,false)</f>
        <v>0.25</v>
      </c>
      <c r="AB1801" s="960">
        <f t="array" ref="AB1801">HLOOKUP($J1801,'Type Chart'!$C$2:$T$20,9,false)*HLOOKUP($K1801,'Type Chart'!$C$2:$U$20,9,false)</f>
        <v>2</v>
      </c>
      <c r="AC1801" s="960">
        <f t="array" ref="AC1801">HLOOKUP($J1801,'Type Chart'!$C$2:$T$20,10,false)*HLOOKUP($K1801,'Type Chart'!$C$2:$U$20,10,false)</f>
        <v>1</v>
      </c>
      <c r="AD1801" s="960">
        <f t="array" ref="AD1801">HLOOKUP($J1801,'Type Chart'!$C$2:$T$20,11,false)*HLOOKUP($K1801,'Type Chart'!$C$2:$U$20,11,false)</f>
        <v>1</v>
      </c>
      <c r="AE1801" s="960">
        <f t="array" ref="AE1801">HLOOKUP($J1801,'Type Chart'!$C$2:$T$20,12,false)*HLOOKUP($K1801,'Type Chart'!$C$2:$U$20,12,false)</f>
        <v>1</v>
      </c>
      <c r="AF1801" s="960">
        <f t="array" ref="AF1801">HLOOKUP($J1801,'Type Chart'!$C$2:$T$20,13,false)*HLOOKUP($K1801,'Type Chart'!$C$2:$U$20,13,false)</f>
        <v>0.5</v>
      </c>
      <c r="AG1801" s="960">
        <f t="array" ref="AG1801">HLOOKUP($J1801,'Type Chart'!$C$2:$T$20,14,false)*HLOOKUP($K1801,'Type Chart'!$C$2:$U$20,14,false)</f>
        <v>2</v>
      </c>
      <c r="AH1801" s="960">
        <f t="array" ref="AH1801">HLOOKUP($J1801,'Type Chart'!$C$2:$T$20,15,false)*HLOOKUP($K1801,'Type Chart'!$C$2:$U$20,15,false)</f>
        <v>1</v>
      </c>
      <c r="AI1801" s="960">
        <f t="array" ref="AI1801">HLOOKUP($J1801,'Type Chart'!$C$2:$T$20,16,false)*HLOOKUP($K1801,'Type Chart'!$C$2:$U$20,16,false)</f>
        <v>2</v>
      </c>
      <c r="AJ1801" s="960">
        <f t="array" ref="AJ1801">HLOOKUP($J1801,'Type Chart'!$C$2:$T$20,17,false)*HLOOKUP($K1801,'Type Chart'!$C$2:$U$20,17,false)</f>
        <v>1</v>
      </c>
      <c r="AK1801" s="960">
        <f t="array" ref="AK1801">HLOOKUP($J1801,'Type Chart'!$C$2:$T$20,18,false)*HLOOKUP($K1801,'Type Chart'!$C$2:$U$20,18,false)</f>
        <v>2</v>
      </c>
      <c r="AL1801" s="960">
        <f t="array" ref="AL1801">HLOOKUP($J1801,'Type Chart'!$C$2:$T$20,19,false)*HLOOKUP($K1801,'Type Chart'!$C$2:$U$20,19,false)</f>
        <v>1</v>
      </c>
      <c r="AM1801" s="964" t="s">
        <v>1469</v>
      </c>
      <c r="AN1801" s="965" t="s">
        <v>1498</v>
      </c>
      <c r="AO1801" s="966" t="s">
        <v>2546</v>
      </c>
      <c r="AP1801" s="936"/>
      <c r="AQ1801" s="1245"/>
      <c r="AR1801" s="1245"/>
      <c r="AS1801" s="936"/>
    </row>
    <row r="1802" ht="15.75" customHeight="1">
      <c r="A1802" s="1099"/>
      <c r="B1802" s="948" t="s">
        <v>2547</v>
      </c>
      <c r="C1802" s="1197" t="s">
        <v>2548</v>
      </c>
      <c r="D1802" s="1197" t="s">
        <v>2548</v>
      </c>
      <c r="E1802" s="1147" t="s">
        <v>2548</v>
      </c>
      <c r="F1802" s="940"/>
      <c r="G1802" s="953"/>
      <c r="H1802" s="969"/>
      <c r="I1802" s="998" t="s">
        <v>4902</v>
      </c>
      <c r="J1802" s="1220" t="s">
        <v>215</v>
      </c>
      <c r="K1802" s="1001" t="s">
        <v>128</v>
      </c>
      <c r="L1802" s="959">
        <v>150.0</v>
      </c>
      <c r="M1802" s="960">
        <v>80.0</v>
      </c>
      <c r="N1802" s="960">
        <v>44.0</v>
      </c>
      <c r="O1802" s="960">
        <v>90.0</v>
      </c>
      <c r="P1802" s="960">
        <v>54.0</v>
      </c>
      <c r="Q1802" s="960">
        <v>80.0</v>
      </c>
      <c r="R1802" s="960">
        <v>196.0</v>
      </c>
      <c r="S1802" s="960">
        <v>259.0</v>
      </c>
      <c r="T1802" s="960">
        <v>284.0</v>
      </c>
      <c r="U1802" s="960">
        <f t="array" ref="U1802">HLOOKUP($J1802,'Type Chart'!$C$2:$T$20,2,false)*HLOOKUP($K1802,'Type Chart'!$C$2:$U$20,2,false)</f>
        <v>0</v>
      </c>
      <c r="V1802" s="960">
        <f t="array" ref="V1802">HLOOKUP($J1802,'Type Chart'!$C$2:$T$20,3,false)*HLOOKUP($K1802,'Type Chart'!$C$2:$U$20,3,false)</f>
        <v>0</v>
      </c>
      <c r="W1802" s="960">
        <f t="array" ref="W1802">HLOOKUP($J1802,'Type Chart'!$C$2:$T$20,4,false)*HLOOKUP($K1802,'Type Chart'!$C$2:$U$20,4,false)</f>
        <v>1</v>
      </c>
      <c r="X1802" s="960">
        <f t="array" ref="X1802">HLOOKUP($J1802,'Type Chart'!$C$2:$T$20,5,false)*HLOOKUP($K1802,'Type Chart'!$C$2:$U$20,5,false)</f>
        <v>0.5</v>
      </c>
      <c r="Y1802" s="960">
        <f t="array" ref="Y1802">HLOOKUP($J1802,'Type Chart'!$C$2:$T$20,6,false)*HLOOKUP($K1802,'Type Chart'!$C$2:$U$20,6,false)</f>
        <v>0</v>
      </c>
      <c r="Z1802" s="960">
        <f t="array" ref="Z1802">HLOOKUP($J1802,'Type Chart'!$C$2:$T$20,7,false)*HLOOKUP($K1802,'Type Chart'!$C$2:$U$20,7,false)</f>
        <v>2</v>
      </c>
      <c r="AA1802" s="960">
        <f t="array" ref="AA1802">HLOOKUP($J1802,'Type Chart'!$C$2:$T$20,8,false)*HLOOKUP($K1802,'Type Chart'!$C$2:$U$20,8,false)</f>
        <v>0.25</v>
      </c>
      <c r="AB1802" s="960">
        <f t="array" ref="AB1802">HLOOKUP($J1802,'Type Chart'!$C$2:$T$20,9,false)*HLOOKUP($K1802,'Type Chart'!$C$2:$U$20,9,false)</f>
        <v>2</v>
      </c>
      <c r="AC1802" s="960">
        <f t="array" ref="AC1802">HLOOKUP($J1802,'Type Chart'!$C$2:$T$20,10,false)*HLOOKUP($K1802,'Type Chart'!$C$2:$U$20,10,false)</f>
        <v>1</v>
      </c>
      <c r="AD1802" s="960">
        <f t="array" ref="AD1802">HLOOKUP($J1802,'Type Chart'!$C$2:$T$20,11,false)*HLOOKUP($K1802,'Type Chart'!$C$2:$U$20,11,false)</f>
        <v>1</v>
      </c>
      <c r="AE1802" s="960">
        <f t="array" ref="AE1802">HLOOKUP($J1802,'Type Chart'!$C$2:$T$20,12,false)*HLOOKUP($K1802,'Type Chart'!$C$2:$U$20,12,false)</f>
        <v>1</v>
      </c>
      <c r="AF1802" s="960">
        <f t="array" ref="AF1802">HLOOKUP($J1802,'Type Chart'!$C$2:$T$20,13,false)*HLOOKUP($K1802,'Type Chart'!$C$2:$U$20,13,false)</f>
        <v>0.5</v>
      </c>
      <c r="AG1802" s="960">
        <f t="array" ref="AG1802">HLOOKUP($J1802,'Type Chart'!$C$2:$T$20,14,false)*HLOOKUP($K1802,'Type Chart'!$C$2:$U$20,14,false)</f>
        <v>2</v>
      </c>
      <c r="AH1802" s="960">
        <f t="array" ref="AH1802">HLOOKUP($J1802,'Type Chart'!$C$2:$T$20,15,false)*HLOOKUP($K1802,'Type Chart'!$C$2:$U$20,15,false)</f>
        <v>1</v>
      </c>
      <c r="AI1802" s="960">
        <f t="array" ref="AI1802">HLOOKUP($J1802,'Type Chart'!$C$2:$T$20,16,false)*HLOOKUP($K1802,'Type Chart'!$C$2:$U$20,16,false)</f>
        <v>2</v>
      </c>
      <c r="AJ1802" s="960">
        <f t="array" ref="AJ1802">HLOOKUP($J1802,'Type Chart'!$C$2:$T$20,17,false)*HLOOKUP($K1802,'Type Chart'!$C$2:$U$20,17,false)</f>
        <v>1</v>
      </c>
      <c r="AK1802" s="960">
        <f t="array" ref="AK1802">HLOOKUP($J1802,'Type Chart'!$C$2:$T$20,18,false)*HLOOKUP($K1802,'Type Chart'!$C$2:$U$20,18,false)</f>
        <v>2</v>
      </c>
      <c r="AL1802" s="960">
        <f t="array" ref="AL1802">HLOOKUP($J1802,'Type Chart'!$C$2:$T$20,19,false)*HLOOKUP($K1802,'Type Chart'!$C$2:$U$20,19,false)</f>
        <v>1</v>
      </c>
      <c r="AM1802" s="964" t="s">
        <v>1469</v>
      </c>
      <c r="AN1802" s="965" t="s">
        <v>1498</v>
      </c>
      <c r="AO1802" s="966" t="s">
        <v>2546</v>
      </c>
      <c r="AP1802" s="936"/>
      <c r="AQ1802" s="1245"/>
      <c r="AR1802" s="1245"/>
      <c r="AS1802" s="936"/>
    </row>
    <row r="1803" ht="15.75" customHeight="1">
      <c r="A1803" s="1099"/>
      <c r="B1803" s="948" t="s">
        <v>2549</v>
      </c>
      <c r="C1803" s="1197" t="s">
        <v>2550</v>
      </c>
      <c r="D1803" s="1197" t="s">
        <v>2550</v>
      </c>
      <c r="E1803" s="1147" t="s">
        <v>2550</v>
      </c>
      <c r="F1803" s="940"/>
      <c r="G1803" s="953"/>
      <c r="H1803" s="969"/>
      <c r="I1803" s="998" t="s">
        <v>4903</v>
      </c>
      <c r="J1803" s="1194" t="s">
        <v>136</v>
      </c>
      <c r="K1803" s="984" t="s">
        <v>216</v>
      </c>
      <c r="L1803" s="959">
        <v>55.0</v>
      </c>
      <c r="M1803" s="960">
        <v>66.0</v>
      </c>
      <c r="N1803" s="960">
        <v>44.0</v>
      </c>
      <c r="O1803" s="960">
        <v>44.0</v>
      </c>
      <c r="P1803" s="960">
        <v>56.0</v>
      </c>
      <c r="Q1803" s="960">
        <v>85.0</v>
      </c>
      <c r="R1803" s="960">
        <v>206.0</v>
      </c>
      <c r="S1803" s="960">
        <v>269.0</v>
      </c>
      <c r="T1803" s="960">
        <v>295.0</v>
      </c>
      <c r="U1803" s="960">
        <f t="array" ref="U1803">HLOOKUP($J1803,'Type Chart'!$C$2:$T$20,2,false)*HLOOKUP($K1803,'Type Chart'!$C$2:$U$20,2,false)</f>
        <v>1</v>
      </c>
      <c r="V1803" s="960">
        <f t="array" ref="V1803">HLOOKUP($J1803,'Type Chart'!$C$2:$T$20,3,false)*HLOOKUP($K1803,'Type Chart'!$C$2:$U$20,3,false)</f>
        <v>2</v>
      </c>
      <c r="W1803" s="960">
        <f t="array" ref="W1803">HLOOKUP($J1803,'Type Chart'!$C$2:$T$20,4,false)*HLOOKUP($K1803,'Type Chart'!$C$2:$U$20,4,false)</f>
        <v>1</v>
      </c>
      <c r="X1803" s="960">
        <f t="array" ref="X1803">HLOOKUP($J1803,'Type Chart'!$C$2:$T$20,5,false)*HLOOKUP($K1803,'Type Chart'!$C$2:$U$20,5,false)</f>
        <v>1</v>
      </c>
      <c r="Y1803" s="960">
        <f t="array" ref="Y1803">HLOOKUP($J1803,'Type Chart'!$C$2:$T$20,6,false)*HLOOKUP($K1803,'Type Chart'!$C$2:$U$20,6,false)</f>
        <v>1</v>
      </c>
      <c r="Z1803" s="960">
        <f t="array" ref="Z1803">HLOOKUP($J1803,'Type Chart'!$C$2:$T$20,7,false)*HLOOKUP($K1803,'Type Chart'!$C$2:$U$20,7,false)</f>
        <v>1</v>
      </c>
      <c r="AA1803" s="960">
        <f t="array" ref="AA1803">HLOOKUP($J1803,'Type Chart'!$C$2:$T$20,8,false)*HLOOKUP($K1803,'Type Chart'!$C$2:$U$20,8,false)</f>
        <v>1</v>
      </c>
      <c r="AB1803" s="960">
        <f t="array" ref="AB1803">HLOOKUP($J1803,'Type Chart'!$C$2:$T$20,9,false)*HLOOKUP($K1803,'Type Chart'!$C$2:$U$20,9,false)</f>
        <v>0</v>
      </c>
      <c r="AC1803" s="960">
        <f t="array" ref="AC1803">HLOOKUP($J1803,'Type Chart'!$C$2:$T$20,10,false)*HLOOKUP($K1803,'Type Chart'!$C$2:$U$20,10,false)</f>
        <v>1</v>
      </c>
      <c r="AD1803" s="960">
        <f t="array" ref="AD1803">HLOOKUP($J1803,'Type Chart'!$C$2:$T$20,11,false)*HLOOKUP($K1803,'Type Chart'!$C$2:$U$20,11,false)</f>
        <v>1</v>
      </c>
      <c r="AE1803" s="960">
        <f t="array" ref="AE1803">HLOOKUP($J1803,'Type Chart'!$C$2:$T$20,12,false)*HLOOKUP($K1803,'Type Chart'!$C$2:$U$20,12,false)</f>
        <v>1</v>
      </c>
      <c r="AF1803" s="960">
        <f t="array" ref="AF1803">HLOOKUP($J1803,'Type Chart'!$C$2:$T$20,13,false)*HLOOKUP($K1803,'Type Chart'!$C$2:$U$20,13,false)</f>
        <v>1</v>
      </c>
      <c r="AG1803" s="960">
        <f t="array" ref="AG1803">HLOOKUP($J1803,'Type Chart'!$C$2:$T$20,14,false)*HLOOKUP($K1803,'Type Chart'!$C$2:$U$20,14,false)</f>
        <v>1</v>
      </c>
      <c r="AH1803" s="960">
        <f t="array" ref="AH1803">HLOOKUP($J1803,'Type Chart'!$C$2:$T$20,15,false)*HLOOKUP($K1803,'Type Chart'!$C$2:$U$20,15,false)</f>
        <v>1</v>
      </c>
      <c r="AI1803" s="960">
        <f t="array" ref="AI1803">HLOOKUP($J1803,'Type Chart'!$C$2:$T$20,16,false)*HLOOKUP($K1803,'Type Chart'!$C$2:$U$20,16,false)</f>
        <v>1</v>
      </c>
      <c r="AJ1803" s="960">
        <f t="array" ref="AJ1803">HLOOKUP($J1803,'Type Chart'!$C$2:$T$20,17,false)*HLOOKUP($K1803,'Type Chart'!$C$2:$U$20,17,false)</f>
        <v>1</v>
      </c>
      <c r="AK1803" s="960">
        <f t="array" ref="AK1803">HLOOKUP($J1803,'Type Chart'!$C$2:$T$20,18,false)*HLOOKUP($K1803,'Type Chart'!$C$2:$U$20,18,false)</f>
        <v>1</v>
      </c>
      <c r="AL1803" s="960">
        <f t="array" ref="AL1803">HLOOKUP($J1803,'Type Chart'!$C$2:$T$20,19,false)*HLOOKUP($K1803,'Type Chart'!$C$2:$U$20,19,false)</f>
        <v>1</v>
      </c>
      <c r="AM1803" s="964" t="s">
        <v>988</v>
      </c>
      <c r="AN1803" s="965" t="s">
        <v>2552</v>
      </c>
      <c r="AO1803" s="966" t="s">
        <v>1250</v>
      </c>
      <c r="AP1803" s="936"/>
      <c r="AQ1803" s="1245"/>
      <c r="AR1803" s="1245"/>
      <c r="AS1803" s="936"/>
    </row>
    <row r="1804" ht="15.75" customHeight="1">
      <c r="A1804" s="1099"/>
      <c r="B1804" s="948" t="s">
        <v>2553</v>
      </c>
      <c r="C1804" s="1197" t="s">
        <v>2554</v>
      </c>
      <c r="D1804" s="1197" t="s">
        <v>2554</v>
      </c>
      <c r="E1804" s="1147" t="s">
        <v>2554</v>
      </c>
      <c r="F1804" s="940"/>
      <c r="G1804" s="953"/>
      <c r="H1804" s="969"/>
      <c r="I1804" s="998" t="s">
        <v>4904</v>
      </c>
      <c r="J1804" s="1194" t="s">
        <v>136</v>
      </c>
      <c r="K1804" s="984" t="s">
        <v>216</v>
      </c>
      <c r="L1804" s="959">
        <v>65.0</v>
      </c>
      <c r="M1804" s="960">
        <v>76.0</v>
      </c>
      <c r="N1804" s="960">
        <v>84.0</v>
      </c>
      <c r="O1804" s="960">
        <v>54.0</v>
      </c>
      <c r="P1804" s="960">
        <v>96.0</v>
      </c>
      <c r="Q1804" s="960">
        <v>105.0</v>
      </c>
      <c r="R1804" s="960">
        <v>246.0</v>
      </c>
      <c r="S1804" s="960">
        <v>309.0</v>
      </c>
      <c r="T1804" s="960">
        <v>339.0</v>
      </c>
      <c r="U1804" s="960">
        <f t="array" ref="U1804">HLOOKUP($J1804,'Type Chart'!$C$2:$T$20,2,false)*HLOOKUP($K1804,'Type Chart'!$C$2:$U$20,2,false)</f>
        <v>1</v>
      </c>
      <c r="V1804" s="960">
        <f t="array" ref="V1804">HLOOKUP($J1804,'Type Chart'!$C$2:$T$20,3,false)*HLOOKUP($K1804,'Type Chart'!$C$2:$U$20,3,false)</f>
        <v>2</v>
      </c>
      <c r="W1804" s="960">
        <f t="array" ref="W1804">HLOOKUP($J1804,'Type Chart'!$C$2:$T$20,4,false)*HLOOKUP($K1804,'Type Chart'!$C$2:$U$20,4,false)</f>
        <v>1</v>
      </c>
      <c r="X1804" s="960">
        <f t="array" ref="X1804">HLOOKUP($J1804,'Type Chart'!$C$2:$T$20,5,false)*HLOOKUP($K1804,'Type Chart'!$C$2:$U$20,5,false)</f>
        <v>1</v>
      </c>
      <c r="Y1804" s="960">
        <f t="array" ref="Y1804">HLOOKUP($J1804,'Type Chart'!$C$2:$T$20,6,false)*HLOOKUP($K1804,'Type Chart'!$C$2:$U$20,6,false)</f>
        <v>1</v>
      </c>
      <c r="Z1804" s="960">
        <f t="array" ref="Z1804">HLOOKUP($J1804,'Type Chart'!$C$2:$T$20,7,false)*HLOOKUP($K1804,'Type Chart'!$C$2:$U$20,7,false)</f>
        <v>1</v>
      </c>
      <c r="AA1804" s="960">
        <f t="array" ref="AA1804">HLOOKUP($J1804,'Type Chart'!$C$2:$T$20,8,false)*HLOOKUP($K1804,'Type Chart'!$C$2:$U$20,8,false)</f>
        <v>1</v>
      </c>
      <c r="AB1804" s="960">
        <f t="array" ref="AB1804">HLOOKUP($J1804,'Type Chart'!$C$2:$T$20,9,false)*HLOOKUP($K1804,'Type Chart'!$C$2:$U$20,9,false)</f>
        <v>0</v>
      </c>
      <c r="AC1804" s="960">
        <f t="array" ref="AC1804">HLOOKUP($J1804,'Type Chart'!$C$2:$T$20,10,false)*HLOOKUP($K1804,'Type Chart'!$C$2:$U$20,10,false)</f>
        <v>1</v>
      </c>
      <c r="AD1804" s="960">
        <f t="array" ref="AD1804">HLOOKUP($J1804,'Type Chart'!$C$2:$T$20,11,false)*HLOOKUP($K1804,'Type Chart'!$C$2:$U$20,11,false)</f>
        <v>1</v>
      </c>
      <c r="AE1804" s="960">
        <f t="array" ref="AE1804">HLOOKUP($J1804,'Type Chart'!$C$2:$T$20,12,false)*HLOOKUP($K1804,'Type Chart'!$C$2:$U$20,12,false)</f>
        <v>1</v>
      </c>
      <c r="AF1804" s="960">
        <f t="array" ref="AF1804">HLOOKUP($J1804,'Type Chart'!$C$2:$T$20,13,false)*HLOOKUP($K1804,'Type Chart'!$C$2:$U$20,13,false)</f>
        <v>1</v>
      </c>
      <c r="AG1804" s="960">
        <f t="array" ref="AG1804">HLOOKUP($J1804,'Type Chart'!$C$2:$T$20,14,false)*HLOOKUP($K1804,'Type Chart'!$C$2:$U$20,14,false)</f>
        <v>1</v>
      </c>
      <c r="AH1804" s="960">
        <f t="array" ref="AH1804">HLOOKUP($J1804,'Type Chart'!$C$2:$T$20,15,false)*HLOOKUP($K1804,'Type Chart'!$C$2:$U$20,15,false)</f>
        <v>1</v>
      </c>
      <c r="AI1804" s="960">
        <f t="array" ref="AI1804">HLOOKUP($J1804,'Type Chart'!$C$2:$T$20,16,false)*HLOOKUP($K1804,'Type Chart'!$C$2:$U$20,16,false)</f>
        <v>1</v>
      </c>
      <c r="AJ1804" s="960">
        <f t="array" ref="AJ1804">HLOOKUP($J1804,'Type Chart'!$C$2:$T$20,17,false)*HLOOKUP($K1804,'Type Chart'!$C$2:$U$20,17,false)</f>
        <v>1</v>
      </c>
      <c r="AK1804" s="960">
        <f t="array" ref="AK1804">HLOOKUP($J1804,'Type Chart'!$C$2:$T$20,18,false)*HLOOKUP($K1804,'Type Chart'!$C$2:$U$20,18,false)</f>
        <v>1</v>
      </c>
      <c r="AL1804" s="960">
        <f t="array" ref="AL1804">HLOOKUP($J1804,'Type Chart'!$C$2:$T$20,19,false)*HLOOKUP($K1804,'Type Chart'!$C$2:$U$20,19,false)</f>
        <v>1</v>
      </c>
      <c r="AM1804" s="964" t="s">
        <v>1165</v>
      </c>
      <c r="AN1804" s="965" t="s">
        <v>2552</v>
      </c>
      <c r="AO1804" s="966" t="s">
        <v>1250</v>
      </c>
      <c r="AP1804" s="936"/>
      <c r="AQ1804" s="1245"/>
      <c r="AR1804" s="1245"/>
      <c r="AS1804" s="936"/>
    </row>
    <row r="1805" ht="15.75" customHeight="1">
      <c r="A1805" s="1099"/>
      <c r="B1805" s="948" t="s">
        <v>2556</v>
      </c>
      <c r="C1805" s="1197" t="s">
        <v>2557</v>
      </c>
      <c r="D1805" s="1197" t="s">
        <v>2557</v>
      </c>
      <c r="E1805" s="1147" t="s">
        <v>2557</v>
      </c>
      <c r="F1805" s="940"/>
      <c r="G1805" s="953"/>
      <c r="H1805" s="969"/>
      <c r="I1805" s="998" t="s">
        <v>4905</v>
      </c>
      <c r="J1805" s="1194" t="s">
        <v>136</v>
      </c>
      <c r="K1805" s="1213" t="s">
        <v>341</v>
      </c>
      <c r="L1805" s="959">
        <v>65.0</v>
      </c>
      <c r="M1805" s="960">
        <v>136.0</v>
      </c>
      <c r="N1805" s="960">
        <v>94.0</v>
      </c>
      <c r="O1805" s="960">
        <v>54.0</v>
      </c>
      <c r="P1805" s="960">
        <v>96.0</v>
      </c>
      <c r="Q1805" s="960">
        <v>135.0</v>
      </c>
      <c r="R1805" s="960">
        <v>306.0</v>
      </c>
      <c r="S1805" s="960">
        <v>369.0</v>
      </c>
      <c r="T1805" s="960">
        <v>405.0</v>
      </c>
      <c r="U1805" s="960">
        <f t="array" ref="U1805">HLOOKUP($J1805,'Type Chart'!$C$2:$T$20,2,false)*HLOOKUP($K1805,'Type Chart'!$C$2:$U$20,2,false)</f>
        <v>1</v>
      </c>
      <c r="V1805" s="960">
        <f t="array" ref="V1805">HLOOKUP($J1805,'Type Chart'!$C$2:$T$20,3,false)*HLOOKUP($K1805,'Type Chart'!$C$2:$U$20,3,false)</f>
        <v>2</v>
      </c>
      <c r="W1805" s="960">
        <f t="array" ref="W1805">HLOOKUP($J1805,'Type Chart'!$C$2:$T$20,4,false)*HLOOKUP($K1805,'Type Chart'!$C$2:$U$20,4,false)</f>
        <v>2</v>
      </c>
      <c r="X1805" s="960">
        <f t="array" ref="X1805">HLOOKUP($J1805,'Type Chart'!$C$2:$T$20,5,false)*HLOOKUP($K1805,'Type Chart'!$C$2:$U$20,5,false)</f>
        <v>1</v>
      </c>
      <c r="Y1805" s="960">
        <f t="array" ref="Y1805">HLOOKUP($J1805,'Type Chart'!$C$2:$T$20,6,false)*HLOOKUP($K1805,'Type Chart'!$C$2:$U$20,6,false)</f>
        <v>1</v>
      </c>
      <c r="Z1805" s="960">
        <f t="array" ref="Z1805">HLOOKUP($J1805,'Type Chart'!$C$2:$T$20,7,false)*HLOOKUP($K1805,'Type Chart'!$C$2:$U$20,7,false)</f>
        <v>0.5</v>
      </c>
      <c r="AA1805" s="960">
        <f t="array" ref="AA1805">HLOOKUP($J1805,'Type Chart'!$C$2:$T$20,8,false)*HLOOKUP($K1805,'Type Chart'!$C$2:$U$20,8,false)</f>
        <v>0.5</v>
      </c>
      <c r="AB1805" s="960">
        <f t="array" ref="AB1805">HLOOKUP($J1805,'Type Chart'!$C$2:$T$20,9,false)*HLOOKUP($K1805,'Type Chart'!$C$2:$U$20,9,false)</f>
        <v>0</v>
      </c>
      <c r="AC1805" s="960">
        <f t="array" ref="AC1805">HLOOKUP($J1805,'Type Chart'!$C$2:$T$20,10,false)*HLOOKUP($K1805,'Type Chart'!$C$2:$U$20,10,false)</f>
        <v>1</v>
      </c>
      <c r="AD1805" s="960">
        <f t="array" ref="AD1805">HLOOKUP($J1805,'Type Chart'!$C$2:$T$20,11,false)*HLOOKUP($K1805,'Type Chart'!$C$2:$U$20,11,false)</f>
        <v>1</v>
      </c>
      <c r="AE1805" s="960">
        <f t="array" ref="AE1805">HLOOKUP($J1805,'Type Chart'!$C$2:$T$20,12,false)*HLOOKUP($K1805,'Type Chart'!$C$2:$U$20,12,false)</f>
        <v>1</v>
      </c>
      <c r="AF1805" s="960">
        <f t="array" ref="AF1805">HLOOKUP($J1805,'Type Chart'!$C$2:$T$20,13,false)*HLOOKUP($K1805,'Type Chart'!$C$2:$U$20,13,false)</f>
        <v>1</v>
      </c>
      <c r="AG1805" s="960">
        <f t="array" ref="AG1805">HLOOKUP($J1805,'Type Chart'!$C$2:$T$20,14,false)*HLOOKUP($K1805,'Type Chart'!$C$2:$U$20,14,false)</f>
        <v>1</v>
      </c>
      <c r="AH1805" s="960">
        <f t="array" ref="AH1805">HLOOKUP($J1805,'Type Chart'!$C$2:$T$20,15,false)*HLOOKUP($K1805,'Type Chart'!$C$2:$U$20,15,false)</f>
        <v>2</v>
      </c>
      <c r="AI1805" s="960">
        <f t="array" ref="AI1805">HLOOKUP($J1805,'Type Chart'!$C$2:$T$20,16,false)*HLOOKUP($K1805,'Type Chart'!$C$2:$U$20,16,false)</f>
        <v>1</v>
      </c>
      <c r="AJ1805" s="960">
        <f t="array" ref="AJ1805">HLOOKUP($J1805,'Type Chart'!$C$2:$T$20,17,false)*HLOOKUP($K1805,'Type Chart'!$C$2:$U$20,17,false)</f>
        <v>1</v>
      </c>
      <c r="AK1805" s="960">
        <f t="array" ref="AK1805">HLOOKUP($J1805,'Type Chart'!$C$2:$T$20,18,false)*HLOOKUP($K1805,'Type Chart'!$C$2:$U$20,18,false)</f>
        <v>0.5</v>
      </c>
      <c r="AL1805" s="960">
        <f t="array" ref="AL1805">HLOOKUP($J1805,'Type Chart'!$C$2:$T$20,19,false)*HLOOKUP($K1805,'Type Chart'!$C$2:$U$20,19,false)</f>
        <v>2</v>
      </c>
      <c r="AM1805" s="964" t="s">
        <v>1399</v>
      </c>
      <c r="AN1805" s="965"/>
      <c r="AO1805" s="966"/>
      <c r="AP1805" s="936"/>
      <c r="AQ1805" s="1245"/>
      <c r="AR1805" s="1245"/>
      <c r="AS1805" s="936"/>
    </row>
    <row r="1806" ht="15.75" customHeight="1">
      <c r="A1806" s="1099"/>
      <c r="B1806" s="948" t="s">
        <v>2559</v>
      </c>
      <c r="C1806" s="1197" t="s">
        <v>2560</v>
      </c>
      <c r="D1806" s="1197" t="s">
        <v>2560</v>
      </c>
      <c r="E1806" s="1147" t="s">
        <v>2560</v>
      </c>
      <c r="F1806" s="940"/>
      <c r="G1806" s="953"/>
      <c r="H1806" s="969"/>
      <c r="I1806" s="998" t="s">
        <v>4906</v>
      </c>
      <c r="J1806" s="1220" t="s">
        <v>215</v>
      </c>
      <c r="K1806" s="984" t="s">
        <v>216</v>
      </c>
      <c r="L1806" s="959">
        <v>60.0</v>
      </c>
      <c r="M1806" s="960">
        <v>60.0</v>
      </c>
      <c r="N1806" s="960">
        <v>60.0</v>
      </c>
      <c r="O1806" s="960">
        <v>105.0</v>
      </c>
      <c r="P1806" s="960">
        <v>105.0</v>
      </c>
      <c r="Q1806" s="960">
        <v>105.0</v>
      </c>
      <c r="R1806" s="960">
        <v>246.0</v>
      </c>
      <c r="S1806" s="960">
        <v>309.0</v>
      </c>
      <c r="T1806" s="960">
        <v>339.0</v>
      </c>
      <c r="U1806" s="960">
        <f t="array" ref="U1806">HLOOKUP($J1806,'Type Chart'!$C$2:$T$20,2,false)*HLOOKUP($K1806,'Type Chart'!$C$2:$U$20,2,false)</f>
        <v>0</v>
      </c>
      <c r="V1806" s="960">
        <f t="array" ref="V1806">HLOOKUP($J1806,'Type Chart'!$C$2:$T$20,3,false)*HLOOKUP($K1806,'Type Chart'!$C$2:$U$20,3,false)</f>
        <v>0</v>
      </c>
      <c r="W1806" s="960">
        <f t="array" ref="W1806">HLOOKUP($J1806,'Type Chart'!$C$2:$T$20,4,false)*HLOOKUP($K1806,'Type Chart'!$C$2:$U$20,4,false)</f>
        <v>1</v>
      </c>
      <c r="X1806" s="960">
        <f t="array" ref="X1806">HLOOKUP($J1806,'Type Chart'!$C$2:$T$20,5,false)*HLOOKUP($K1806,'Type Chart'!$C$2:$U$20,5,false)</f>
        <v>0.5</v>
      </c>
      <c r="Y1806" s="960">
        <f t="array" ref="Y1806">HLOOKUP($J1806,'Type Chart'!$C$2:$T$20,6,false)*HLOOKUP($K1806,'Type Chart'!$C$2:$U$20,6,false)</f>
        <v>1</v>
      </c>
      <c r="Z1806" s="960">
        <f t="array" ref="Z1806">HLOOKUP($J1806,'Type Chart'!$C$2:$T$20,7,false)*HLOOKUP($K1806,'Type Chart'!$C$2:$U$20,7,false)</f>
        <v>1</v>
      </c>
      <c r="AA1806" s="960">
        <f t="array" ref="AA1806">HLOOKUP($J1806,'Type Chart'!$C$2:$T$20,8,false)*HLOOKUP($K1806,'Type Chart'!$C$2:$U$20,8,false)</f>
        <v>0.5</v>
      </c>
      <c r="AB1806" s="960">
        <f t="array" ref="AB1806">HLOOKUP($J1806,'Type Chart'!$C$2:$T$20,9,false)*HLOOKUP($K1806,'Type Chart'!$C$2:$U$20,9,false)</f>
        <v>2</v>
      </c>
      <c r="AC1806" s="960">
        <f t="array" ref="AC1806">HLOOKUP($J1806,'Type Chart'!$C$2:$T$20,10,false)*HLOOKUP($K1806,'Type Chart'!$C$2:$U$20,10,false)</f>
        <v>1</v>
      </c>
      <c r="AD1806" s="960">
        <f t="array" ref="AD1806">HLOOKUP($J1806,'Type Chart'!$C$2:$T$20,11,false)*HLOOKUP($K1806,'Type Chart'!$C$2:$U$20,11,false)</f>
        <v>1</v>
      </c>
      <c r="AE1806" s="960">
        <f t="array" ref="AE1806">HLOOKUP($J1806,'Type Chart'!$C$2:$T$20,12,false)*HLOOKUP($K1806,'Type Chart'!$C$2:$U$20,12,false)</f>
        <v>1</v>
      </c>
      <c r="AF1806" s="960">
        <f t="array" ref="AF1806">HLOOKUP($J1806,'Type Chart'!$C$2:$T$20,13,false)*HLOOKUP($K1806,'Type Chart'!$C$2:$U$20,13,false)</f>
        <v>1</v>
      </c>
      <c r="AG1806" s="960">
        <f t="array" ref="AG1806">HLOOKUP($J1806,'Type Chart'!$C$2:$T$20,14,false)*HLOOKUP($K1806,'Type Chart'!$C$2:$U$20,14,false)</f>
        <v>1</v>
      </c>
      <c r="AH1806" s="960">
        <f t="array" ref="AH1806">HLOOKUP($J1806,'Type Chart'!$C$2:$T$20,15,false)*HLOOKUP($K1806,'Type Chart'!$C$2:$U$20,15,false)</f>
        <v>1</v>
      </c>
      <c r="AI1806" s="960">
        <f t="array" ref="AI1806">HLOOKUP($J1806,'Type Chart'!$C$2:$T$20,16,false)*HLOOKUP($K1806,'Type Chart'!$C$2:$U$20,16,false)</f>
        <v>1</v>
      </c>
      <c r="AJ1806" s="960">
        <f t="array" ref="AJ1806">HLOOKUP($J1806,'Type Chart'!$C$2:$T$20,17,false)*HLOOKUP($K1806,'Type Chart'!$C$2:$U$20,17,false)</f>
        <v>1</v>
      </c>
      <c r="AK1806" s="960">
        <f t="array" ref="AK1806">HLOOKUP($J1806,'Type Chart'!$C$2:$T$20,18,false)*HLOOKUP($K1806,'Type Chart'!$C$2:$U$20,18,false)</f>
        <v>2</v>
      </c>
      <c r="AL1806" s="960">
        <f t="array" ref="AL1806">HLOOKUP($J1806,'Type Chart'!$C$2:$T$20,19,false)*HLOOKUP($K1806,'Type Chart'!$C$2:$U$20,19,false)</f>
        <v>1</v>
      </c>
      <c r="AM1806" s="964" t="s">
        <v>1437</v>
      </c>
      <c r="AN1806" s="965"/>
      <c r="AO1806" s="966"/>
      <c r="AP1806" s="936"/>
      <c r="AQ1806" s="1245"/>
      <c r="AR1806" s="1245"/>
      <c r="AS1806" s="936"/>
    </row>
    <row r="1807" ht="15.75" customHeight="1">
      <c r="A1807" s="1099"/>
      <c r="B1807" s="948" t="s">
        <v>2561</v>
      </c>
      <c r="C1807" s="1197" t="s">
        <v>2562</v>
      </c>
      <c r="D1807" s="1197" t="s">
        <v>2562</v>
      </c>
      <c r="E1807" s="1147" t="s">
        <v>2562</v>
      </c>
      <c r="F1807" s="940"/>
      <c r="G1807" s="953"/>
      <c r="H1807" s="969"/>
      <c r="I1807" s="998" t="s">
        <v>4907</v>
      </c>
      <c r="J1807" s="1195" t="s">
        <v>193</v>
      </c>
      <c r="K1807" s="1001" t="s">
        <v>128</v>
      </c>
      <c r="L1807" s="959">
        <v>100.0</v>
      </c>
      <c r="M1807" s="960">
        <v>125.0</v>
      </c>
      <c r="N1807" s="960">
        <v>52.0</v>
      </c>
      <c r="O1807" s="960">
        <v>105.0</v>
      </c>
      <c r="P1807" s="960">
        <v>52.0</v>
      </c>
      <c r="Q1807" s="960">
        <v>71.0</v>
      </c>
      <c r="R1807" s="960">
        <v>178.0</v>
      </c>
      <c r="S1807" s="960">
        <v>241.0</v>
      </c>
      <c r="T1807" s="960">
        <v>265.0</v>
      </c>
      <c r="U1807" s="960">
        <f t="array" ref="U1807">HLOOKUP($J1807,'Type Chart'!$C$2:$T$20,2,false)*HLOOKUP($K1807,'Type Chart'!$C$2:$U$20,2,false)</f>
        <v>1</v>
      </c>
      <c r="V1807" s="960">
        <f t="array" ref="V1807">HLOOKUP($J1807,'Type Chart'!$C$2:$T$20,3,false)*HLOOKUP($K1807,'Type Chart'!$C$2:$U$20,3,false)</f>
        <v>1</v>
      </c>
      <c r="W1807" s="960">
        <f t="array" ref="W1807">HLOOKUP($J1807,'Type Chart'!$C$2:$T$20,4,false)*HLOOKUP($K1807,'Type Chart'!$C$2:$U$20,4,false)</f>
        <v>1</v>
      </c>
      <c r="X1807" s="960">
        <f t="array" ref="X1807">HLOOKUP($J1807,'Type Chart'!$C$2:$T$20,5,false)*HLOOKUP($K1807,'Type Chart'!$C$2:$U$20,5,false)</f>
        <v>1</v>
      </c>
      <c r="Y1807" s="960">
        <f t="array" ref="Y1807">HLOOKUP($J1807,'Type Chart'!$C$2:$T$20,6,false)*HLOOKUP($K1807,'Type Chart'!$C$2:$U$20,6,false)</f>
        <v>0</v>
      </c>
      <c r="Z1807" s="960">
        <f t="array" ref="Z1807">HLOOKUP($J1807,'Type Chart'!$C$2:$T$20,7,false)*HLOOKUP($K1807,'Type Chart'!$C$2:$U$20,7,false)</f>
        <v>2</v>
      </c>
      <c r="AA1807" s="960">
        <f t="array" ref="AA1807">HLOOKUP($J1807,'Type Chart'!$C$2:$T$20,8,false)*HLOOKUP($K1807,'Type Chart'!$C$2:$U$20,8,false)</f>
        <v>1</v>
      </c>
      <c r="AB1807" s="960">
        <f t="array" ref="AB1807">HLOOKUP($J1807,'Type Chart'!$C$2:$T$20,9,false)*HLOOKUP($K1807,'Type Chart'!$C$2:$U$20,9,false)</f>
        <v>0.5</v>
      </c>
      <c r="AC1807" s="960">
        <f t="array" ref="AC1807">HLOOKUP($J1807,'Type Chart'!$C$2:$T$20,10,false)*HLOOKUP($K1807,'Type Chart'!$C$2:$U$20,10,false)</f>
        <v>1</v>
      </c>
      <c r="AD1807" s="960">
        <f t="array" ref="AD1807">HLOOKUP($J1807,'Type Chart'!$C$2:$T$20,11,false)*HLOOKUP($K1807,'Type Chart'!$C$2:$U$20,11,false)</f>
        <v>1</v>
      </c>
      <c r="AE1807" s="960">
        <f t="array" ref="AE1807">HLOOKUP($J1807,'Type Chart'!$C$2:$T$20,12,false)*HLOOKUP($K1807,'Type Chart'!$C$2:$U$20,12,false)</f>
        <v>1</v>
      </c>
      <c r="AF1807" s="960">
        <f t="array" ref="AF1807">HLOOKUP($J1807,'Type Chart'!$C$2:$T$20,13,false)*HLOOKUP($K1807,'Type Chart'!$C$2:$U$20,13,false)</f>
        <v>0.5</v>
      </c>
      <c r="AG1807" s="960">
        <f t="array" ref="AG1807">HLOOKUP($J1807,'Type Chart'!$C$2:$T$20,14,false)*HLOOKUP($K1807,'Type Chart'!$C$2:$U$20,14,false)</f>
        <v>2</v>
      </c>
      <c r="AH1807" s="960">
        <f t="array" ref="AH1807">HLOOKUP($J1807,'Type Chart'!$C$2:$T$20,15,false)*HLOOKUP($K1807,'Type Chart'!$C$2:$U$20,15,false)</f>
        <v>0</v>
      </c>
      <c r="AI1807" s="960">
        <f t="array" ref="AI1807">HLOOKUP($J1807,'Type Chart'!$C$2:$T$20,16,false)*HLOOKUP($K1807,'Type Chart'!$C$2:$U$20,16,false)</f>
        <v>2</v>
      </c>
      <c r="AJ1807" s="960">
        <f t="array" ref="AJ1807">HLOOKUP($J1807,'Type Chart'!$C$2:$T$20,17,false)*HLOOKUP($K1807,'Type Chart'!$C$2:$U$20,17,false)</f>
        <v>1</v>
      </c>
      <c r="AK1807" s="960">
        <f t="array" ref="AK1807">HLOOKUP($J1807,'Type Chart'!$C$2:$T$20,18,false)*HLOOKUP($K1807,'Type Chart'!$C$2:$U$20,18,false)</f>
        <v>0.5</v>
      </c>
      <c r="AL1807" s="960">
        <f t="array" ref="AL1807">HLOOKUP($J1807,'Type Chart'!$C$2:$T$20,19,false)*HLOOKUP($K1807,'Type Chart'!$C$2:$U$20,19,false)</f>
        <v>2</v>
      </c>
      <c r="AM1807" s="1145" t="s">
        <v>1454</v>
      </c>
      <c r="AN1807" s="965" t="s">
        <v>1745</v>
      </c>
      <c r="AO1807" s="966" t="s">
        <v>1577</v>
      </c>
      <c r="AP1807" s="936"/>
      <c r="AQ1807" s="1245"/>
      <c r="AR1807" s="1245"/>
      <c r="AS1807" s="936"/>
    </row>
    <row r="1808" ht="15.75" customHeight="1">
      <c r="A1808" s="1099"/>
      <c r="B1808" s="948" t="s">
        <v>2563</v>
      </c>
      <c r="C1808" s="1197" t="s">
        <v>2564</v>
      </c>
      <c r="D1808" s="1197" t="s">
        <v>2564</v>
      </c>
      <c r="E1808" s="1147" t="s">
        <v>2564</v>
      </c>
      <c r="F1808" s="940"/>
      <c r="G1808" s="953"/>
      <c r="H1808" s="969"/>
      <c r="I1808" s="998" t="s">
        <v>4908</v>
      </c>
      <c r="J1808" s="1194" t="s">
        <v>136</v>
      </c>
      <c r="K1808" s="984" t="s">
        <v>216</v>
      </c>
      <c r="L1808" s="959">
        <v>49.0</v>
      </c>
      <c r="M1808" s="960">
        <v>55.0</v>
      </c>
      <c r="N1808" s="960">
        <v>42.0</v>
      </c>
      <c r="O1808" s="960">
        <v>42.0</v>
      </c>
      <c r="P1808" s="960">
        <v>37.0</v>
      </c>
      <c r="Q1808" s="960">
        <v>85.0</v>
      </c>
      <c r="R1808" s="960">
        <v>206.0</v>
      </c>
      <c r="S1808" s="960">
        <v>269.0</v>
      </c>
      <c r="T1808" s="960">
        <v>295.0</v>
      </c>
      <c r="U1808" s="960">
        <f t="array" ref="U1808">HLOOKUP($J1808,'Type Chart'!$C$2:$T$20,2,false)*HLOOKUP($K1808,'Type Chart'!$C$2:$U$20,2,false)</f>
        <v>1</v>
      </c>
      <c r="V1808" s="960">
        <f t="array" ref="V1808">HLOOKUP($J1808,'Type Chart'!$C$2:$T$20,3,false)*HLOOKUP($K1808,'Type Chart'!$C$2:$U$20,3,false)</f>
        <v>2</v>
      </c>
      <c r="W1808" s="960">
        <f t="array" ref="W1808">HLOOKUP($J1808,'Type Chart'!$C$2:$T$20,4,false)*HLOOKUP($K1808,'Type Chart'!$C$2:$U$20,4,false)</f>
        <v>1</v>
      </c>
      <c r="X1808" s="960">
        <f t="array" ref="X1808">HLOOKUP($J1808,'Type Chart'!$C$2:$T$20,5,false)*HLOOKUP($K1808,'Type Chart'!$C$2:$U$20,5,false)</f>
        <v>1</v>
      </c>
      <c r="Y1808" s="960">
        <f t="array" ref="Y1808">HLOOKUP($J1808,'Type Chart'!$C$2:$T$20,6,false)*HLOOKUP($K1808,'Type Chart'!$C$2:$U$20,6,false)</f>
        <v>1</v>
      </c>
      <c r="Z1808" s="960">
        <f t="array" ref="Z1808">HLOOKUP($J1808,'Type Chart'!$C$2:$T$20,7,false)*HLOOKUP($K1808,'Type Chart'!$C$2:$U$20,7,false)</f>
        <v>1</v>
      </c>
      <c r="AA1808" s="960">
        <f t="array" ref="AA1808">HLOOKUP($J1808,'Type Chart'!$C$2:$T$20,8,false)*HLOOKUP($K1808,'Type Chart'!$C$2:$U$20,8,false)</f>
        <v>1</v>
      </c>
      <c r="AB1808" s="960">
        <f t="array" ref="AB1808">HLOOKUP($J1808,'Type Chart'!$C$2:$T$20,9,false)*HLOOKUP($K1808,'Type Chart'!$C$2:$U$20,9,false)</f>
        <v>0</v>
      </c>
      <c r="AC1808" s="960">
        <f t="array" ref="AC1808">HLOOKUP($J1808,'Type Chart'!$C$2:$T$20,10,false)*HLOOKUP($K1808,'Type Chart'!$C$2:$U$20,10,false)</f>
        <v>1</v>
      </c>
      <c r="AD1808" s="960">
        <f t="array" ref="AD1808">HLOOKUP($J1808,'Type Chart'!$C$2:$T$20,11,false)*HLOOKUP($K1808,'Type Chart'!$C$2:$U$20,11,false)</f>
        <v>1</v>
      </c>
      <c r="AE1808" s="960">
        <f t="array" ref="AE1808">HLOOKUP($J1808,'Type Chart'!$C$2:$T$20,12,false)*HLOOKUP($K1808,'Type Chart'!$C$2:$U$20,12,false)</f>
        <v>1</v>
      </c>
      <c r="AF1808" s="960">
        <f t="array" ref="AF1808">HLOOKUP($J1808,'Type Chart'!$C$2:$T$20,13,false)*HLOOKUP($K1808,'Type Chart'!$C$2:$U$20,13,false)</f>
        <v>1</v>
      </c>
      <c r="AG1808" s="960">
        <f t="array" ref="AG1808">HLOOKUP($J1808,'Type Chart'!$C$2:$T$20,14,false)*HLOOKUP($K1808,'Type Chart'!$C$2:$U$20,14,false)</f>
        <v>1</v>
      </c>
      <c r="AH1808" s="960">
        <f t="array" ref="AH1808">HLOOKUP($J1808,'Type Chart'!$C$2:$T$20,15,false)*HLOOKUP($K1808,'Type Chart'!$C$2:$U$20,15,false)</f>
        <v>1</v>
      </c>
      <c r="AI1808" s="960">
        <f t="array" ref="AI1808">HLOOKUP($J1808,'Type Chart'!$C$2:$T$20,16,false)*HLOOKUP($K1808,'Type Chart'!$C$2:$U$20,16,false)</f>
        <v>1</v>
      </c>
      <c r="AJ1808" s="960">
        <f t="array" ref="AJ1808">HLOOKUP($J1808,'Type Chart'!$C$2:$T$20,17,false)*HLOOKUP($K1808,'Type Chart'!$C$2:$U$20,17,false)</f>
        <v>1</v>
      </c>
      <c r="AK1808" s="960">
        <f t="array" ref="AK1808">HLOOKUP($J1808,'Type Chart'!$C$2:$T$20,18,false)*HLOOKUP($K1808,'Type Chart'!$C$2:$U$20,18,false)</f>
        <v>1</v>
      </c>
      <c r="AL1808" s="960">
        <f t="array" ref="AL1808">HLOOKUP($J1808,'Type Chart'!$C$2:$T$20,19,false)*HLOOKUP($K1808,'Type Chart'!$C$2:$U$20,19,false)</f>
        <v>1</v>
      </c>
      <c r="AM1808" s="1145" t="s">
        <v>1250</v>
      </c>
      <c r="AN1808" s="965" t="s">
        <v>1370</v>
      </c>
      <c r="AO1808" s="966" t="s">
        <v>1022</v>
      </c>
      <c r="AP1808" s="936"/>
      <c r="AQ1808" s="1245"/>
      <c r="AR1808" s="1245"/>
      <c r="AS1808" s="936"/>
    </row>
    <row r="1809" ht="15.75" customHeight="1">
      <c r="A1809" s="1099"/>
      <c r="B1809" s="948" t="s">
        <v>2566</v>
      </c>
      <c r="C1809" s="1197" t="s">
        <v>2567</v>
      </c>
      <c r="D1809" s="1197" t="s">
        <v>2567</v>
      </c>
      <c r="E1809" s="1147" t="s">
        <v>2567</v>
      </c>
      <c r="F1809" s="940"/>
      <c r="G1809" s="953"/>
      <c r="H1809" s="969"/>
      <c r="I1809" s="998" t="s">
        <v>4909</v>
      </c>
      <c r="J1809" s="1216" t="s">
        <v>136</v>
      </c>
      <c r="K1809" s="1199" t="s">
        <v>216</v>
      </c>
      <c r="L1809" s="1200">
        <v>71.0</v>
      </c>
      <c r="M1809" s="1201">
        <v>82.0</v>
      </c>
      <c r="N1809" s="1201">
        <v>64.0</v>
      </c>
      <c r="O1809" s="1201">
        <v>64.0</v>
      </c>
      <c r="P1809" s="1201">
        <v>59.0</v>
      </c>
      <c r="Q1809" s="1201">
        <v>112.0</v>
      </c>
      <c r="R1809" s="960">
        <v>260.0</v>
      </c>
      <c r="S1809" s="960">
        <v>323.0</v>
      </c>
      <c r="T1809" s="960">
        <v>355.0</v>
      </c>
      <c r="U1809" s="960">
        <f t="array" ref="U1809">HLOOKUP($J1809,'Type Chart'!$C$2:$T$20,2,false)*HLOOKUP($K1809,'Type Chart'!$C$2:$U$20,2,false)</f>
        <v>1</v>
      </c>
      <c r="V1809" s="960">
        <f t="array" ref="V1809">HLOOKUP($J1809,'Type Chart'!$C$2:$T$20,3,false)*HLOOKUP($K1809,'Type Chart'!$C$2:$U$20,3,false)</f>
        <v>2</v>
      </c>
      <c r="W1809" s="960">
        <f t="array" ref="W1809">HLOOKUP($J1809,'Type Chart'!$C$2:$T$20,4,false)*HLOOKUP($K1809,'Type Chart'!$C$2:$U$20,4,false)</f>
        <v>1</v>
      </c>
      <c r="X1809" s="960">
        <f t="array" ref="X1809">HLOOKUP($J1809,'Type Chart'!$C$2:$T$20,5,false)*HLOOKUP($K1809,'Type Chart'!$C$2:$U$20,5,false)</f>
        <v>1</v>
      </c>
      <c r="Y1809" s="960">
        <f t="array" ref="Y1809">HLOOKUP($J1809,'Type Chart'!$C$2:$T$20,6,false)*HLOOKUP($K1809,'Type Chart'!$C$2:$U$20,6,false)</f>
        <v>1</v>
      </c>
      <c r="Z1809" s="960">
        <f t="array" ref="Z1809">HLOOKUP($J1809,'Type Chart'!$C$2:$T$20,7,false)*HLOOKUP($K1809,'Type Chart'!$C$2:$U$20,7,false)</f>
        <v>1</v>
      </c>
      <c r="AA1809" s="960">
        <f t="array" ref="AA1809">HLOOKUP($J1809,'Type Chart'!$C$2:$T$20,8,false)*HLOOKUP($K1809,'Type Chart'!$C$2:$U$20,8,false)</f>
        <v>1</v>
      </c>
      <c r="AB1809" s="960">
        <f t="array" ref="AB1809">HLOOKUP($J1809,'Type Chart'!$C$2:$T$20,9,false)*HLOOKUP($K1809,'Type Chart'!$C$2:$U$20,9,false)</f>
        <v>0</v>
      </c>
      <c r="AC1809" s="960">
        <f t="array" ref="AC1809">HLOOKUP($J1809,'Type Chart'!$C$2:$T$20,10,false)*HLOOKUP($K1809,'Type Chart'!$C$2:$U$20,10,false)</f>
        <v>1</v>
      </c>
      <c r="AD1809" s="960">
        <f t="array" ref="AD1809">HLOOKUP($J1809,'Type Chart'!$C$2:$T$20,11,false)*HLOOKUP($K1809,'Type Chart'!$C$2:$U$20,11,false)</f>
        <v>1</v>
      </c>
      <c r="AE1809" s="960">
        <f t="array" ref="AE1809">HLOOKUP($J1809,'Type Chart'!$C$2:$T$20,12,false)*HLOOKUP($K1809,'Type Chart'!$C$2:$U$20,12,false)</f>
        <v>1</v>
      </c>
      <c r="AF1809" s="960">
        <f t="array" ref="AF1809">HLOOKUP($J1809,'Type Chart'!$C$2:$T$20,13,false)*HLOOKUP($K1809,'Type Chart'!$C$2:$U$20,13,false)</f>
        <v>1</v>
      </c>
      <c r="AG1809" s="960">
        <f t="array" ref="AG1809">HLOOKUP($J1809,'Type Chart'!$C$2:$T$20,14,false)*HLOOKUP($K1809,'Type Chart'!$C$2:$U$20,14,false)</f>
        <v>1</v>
      </c>
      <c r="AH1809" s="960">
        <f t="array" ref="AH1809">HLOOKUP($J1809,'Type Chart'!$C$2:$T$20,15,false)*HLOOKUP($K1809,'Type Chart'!$C$2:$U$20,15,false)</f>
        <v>1</v>
      </c>
      <c r="AI1809" s="960">
        <f t="array" ref="AI1809">HLOOKUP($J1809,'Type Chart'!$C$2:$T$20,16,false)*HLOOKUP($K1809,'Type Chart'!$C$2:$U$20,16,false)</f>
        <v>1</v>
      </c>
      <c r="AJ1809" s="960">
        <f t="array" ref="AJ1809">HLOOKUP($J1809,'Type Chart'!$C$2:$T$20,17,false)*HLOOKUP($K1809,'Type Chart'!$C$2:$U$20,17,false)</f>
        <v>1</v>
      </c>
      <c r="AK1809" s="960">
        <f t="array" ref="AK1809">HLOOKUP($J1809,'Type Chart'!$C$2:$T$20,18,false)*HLOOKUP($K1809,'Type Chart'!$C$2:$U$20,18,false)</f>
        <v>1</v>
      </c>
      <c r="AL1809" s="960">
        <f t="array" ref="AL1809">HLOOKUP($J1809,'Type Chart'!$C$2:$T$20,19,false)*HLOOKUP($K1809,'Type Chart'!$C$2:$U$20,19,false)</f>
        <v>1</v>
      </c>
      <c r="AM1809" s="1145" t="s">
        <v>760</v>
      </c>
      <c r="AN1809" s="1202" t="s">
        <v>1370</v>
      </c>
      <c r="AO1809" s="1146" t="s">
        <v>1267</v>
      </c>
      <c r="AP1809" s="936"/>
      <c r="AQ1809" s="1245"/>
      <c r="AR1809" s="1245"/>
      <c r="AS1809" s="936"/>
    </row>
    <row r="1810" ht="15.75" customHeight="1">
      <c r="A1810" s="1099"/>
      <c r="B1810" s="948" t="s">
        <v>2569</v>
      </c>
      <c r="C1810" s="1197" t="s">
        <v>2570</v>
      </c>
      <c r="D1810" s="1197" t="s">
        <v>2570</v>
      </c>
      <c r="E1810" s="1147" t="s">
        <v>2570</v>
      </c>
      <c r="F1810" s="940"/>
      <c r="G1810" s="953"/>
      <c r="H1810" s="969"/>
      <c r="I1810" s="998" t="s">
        <v>4910</v>
      </c>
      <c r="J1810" s="1215" t="s">
        <v>344</v>
      </c>
      <c r="K1810" s="1199" t="s">
        <v>216</v>
      </c>
      <c r="L1810" s="1200">
        <v>45.0</v>
      </c>
      <c r="M1810" s="1201">
        <v>30.0</v>
      </c>
      <c r="N1810" s="1201">
        <v>50.0</v>
      </c>
      <c r="O1810" s="1201">
        <v>65.0</v>
      </c>
      <c r="P1810" s="1201">
        <v>50.0</v>
      </c>
      <c r="Q1810" s="1201">
        <v>45.0</v>
      </c>
      <c r="R1810" s="960">
        <v>126.0</v>
      </c>
      <c r="S1810" s="960">
        <v>189.0</v>
      </c>
      <c r="T1810" s="960">
        <v>207.0</v>
      </c>
      <c r="U1810" s="960">
        <f t="array" ref="U1810">HLOOKUP($J1810,'Type Chart'!$C$2:$T$20,2,false)*HLOOKUP($K1810,'Type Chart'!$C$2:$U$20,2,false)</f>
        <v>1</v>
      </c>
      <c r="V1810" s="960">
        <f t="array" ref="V1810">HLOOKUP($J1810,'Type Chart'!$C$2:$T$20,3,false)*HLOOKUP($K1810,'Type Chart'!$C$2:$U$20,3,false)</f>
        <v>0.5</v>
      </c>
      <c r="W1810" s="960">
        <f t="array" ref="W1810">HLOOKUP($J1810,'Type Chart'!$C$2:$T$20,4,false)*HLOOKUP($K1810,'Type Chart'!$C$2:$U$20,4,false)</f>
        <v>1</v>
      </c>
      <c r="X1810" s="960">
        <f t="array" ref="X1810">HLOOKUP($J1810,'Type Chart'!$C$2:$T$20,5,false)*HLOOKUP($K1810,'Type Chart'!$C$2:$U$20,5,false)</f>
        <v>1</v>
      </c>
      <c r="Y1810" s="960">
        <f t="array" ref="Y1810">HLOOKUP($J1810,'Type Chart'!$C$2:$T$20,6,false)*HLOOKUP($K1810,'Type Chart'!$C$2:$U$20,6,false)</f>
        <v>1</v>
      </c>
      <c r="Z1810" s="960">
        <f t="array" ref="Z1810">HLOOKUP($J1810,'Type Chart'!$C$2:$T$20,7,false)*HLOOKUP($K1810,'Type Chart'!$C$2:$U$20,7,false)</f>
        <v>1</v>
      </c>
      <c r="AA1810" s="960">
        <f t="array" ref="AA1810">HLOOKUP($J1810,'Type Chart'!$C$2:$T$20,8,false)*HLOOKUP($K1810,'Type Chart'!$C$2:$U$20,8,false)</f>
        <v>2</v>
      </c>
      <c r="AB1810" s="960">
        <f t="array" ref="AB1810">HLOOKUP($J1810,'Type Chart'!$C$2:$T$20,9,false)*HLOOKUP($K1810,'Type Chart'!$C$2:$U$20,9,false)</f>
        <v>2</v>
      </c>
      <c r="AC1810" s="960">
        <f t="array" ref="AC1810">HLOOKUP($J1810,'Type Chart'!$C$2:$T$20,10,false)*HLOOKUP($K1810,'Type Chart'!$C$2:$U$20,10,false)</f>
        <v>1</v>
      </c>
      <c r="AD1810" s="960">
        <f t="array" ref="AD1810">HLOOKUP($J1810,'Type Chart'!$C$2:$T$20,11,false)*HLOOKUP($K1810,'Type Chart'!$C$2:$U$20,11,false)</f>
        <v>1</v>
      </c>
      <c r="AE1810" s="960">
        <f t="array" ref="AE1810">HLOOKUP($J1810,'Type Chart'!$C$2:$T$20,12,false)*HLOOKUP($K1810,'Type Chart'!$C$2:$U$20,12,false)</f>
        <v>1</v>
      </c>
      <c r="AF1810" s="960">
        <f t="array" ref="AF1810">HLOOKUP($J1810,'Type Chart'!$C$2:$T$20,13,false)*HLOOKUP($K1810,'Type Chart'!$C$2:$U$20,13,false)</f>
        <v>1</v>
      </c>
      <c r="AG1810" s="960">
        <f t="array" ref="AG1810">HLOOKUP($J1810,'Type Chart'!$C$2:$T$20,14,false)*HLOOKUP($K1810,'Type Chart'!$C$2:$U$20,14,false)</f>
        <v>1</v>
      </c>
      <c r="AH1810" s="960">
        <f t="array" ref="AH1810">HLOOKUP($J1810,'Type Chart'!$C$2:$T$20,15,false)*HLOOKUP($K1810,'Type Chart'!$C$2:$U$20,15,false)</f>
        <v>0.5</v>
      </c>
      <c r="AI1810" s="960">
        <f t="array" ref="AI1810">HLOOKUP($J1810,'Type Chart'!$C$2:$T$20,16,false)*HLOOKUP($K1810,'Type Chart'!$C$2:$U$20,16,false)</f>
        <v>1</v>
      </c>
      <c r="AJ1810" s="960">
        <f t="array" ref="AJ1810">HLOOKUP($J1810,'Type Chart'!$C$2:$T$20,17,false)*HLOOKUP($K1810,'Type Chart'!$C$2:$U$20,17,false)</f>
        <v>1</v>
      </c>
      <c r="AK1810" s="960">
        <f t="array" ref="AK1810">HLOOKUP($J1810,'Type Chart'!$C$2:$T$20,18,false)*HLOOKUP($K1810,'Type Chart'!$C$2:$U$20,18,false)</f>
        <v>2</v>
      </c>
      <c r="AL1810" s="960">
        <f t="array" ref="AL1810">HLOOKUP($J1810,'Type Chart'!$C$2:$T$20,19,false)*HLOOKUP($K1810,'Type Chart'!$C$2:$U$20,19,false)</f>
        <v>1</v>
      </c>
      <c r="AM1810" s="1145" t="s">
        <v>1437</v>
      </c>
      <c r="AN1810" s="1202"/>
      <c r="AO1810" s="1146"/>
      <c r="AP1810" s="936"/>
      <c r="AQ1810" s="1245"/>
      <c r="AR1810" s="1245"/>
      <c r="AS1810" s="936"/>
    </row>
    <row r="1811" ht="15.75" customHeight="1">
      <c r="A1811" s="1099"/>
      <c r="B1811" s="948" t="s">
        <v>2572</v>
      </c>
      <c r="C1811" s="1197" t="s">
        <v>2573</v>
      </c>
      <c r="D1811" s="1197" t="s">
        <v>2573</v>
      </c>
      <c r="E1811" s="1147" t="s">
        <v>2573</v>
      </c>
      <c r="F1811" s="940"/>
      <c r="G1811" s="953"/>
      <c r="H1811" s="969"/>
      <c r="I1811" s="998" t="s">
        <v>4911</v>
      </c>
      <c r="J1811" s="958" t="s">
        <v>178</v>
      </c>
      <c r="K1811" s="1195" t="s">
        <v>193</v>
      </c>
      <c r="L1811" s="959">
        <v>63.0</v>
      </c>
      <c r="M1811" s="960">
        <v>63.0</v>
      </c>
      <c r="N1811" s="960">
        <v>47.0</v>
      </c>
      <c r="O1811" s="960">
        <v>41.0</v>
      </c>
      <c r="P1811" s="960">
        <v>41.0</v>
      </c>
      <c r="Q1811" s="960">
        <v>74.0</v>
      </c>
      <c r="R1811" s="960">
        <v>184.0</v>
      </c>
      <c r="S1811" s="960">
        <v>247.0</v>
      </c>
      <c r="T1811" s="960">
        <v>271.0</v>
      </c>
      <c r="U1811" s="960">
        <f t="array" ref="U1811">HLOOKUP($J1811,'Type Chart'!$C$2:$T$20,2,false)*HLOOKUP($K1811,'Type Chart'!$C$2:$U$20,2,false)</f>
        <v>1</v>
      </c>
      <c r="V1811" s="960">
        <f t="array" ref="V1811">HLOOKUP($J1811,'Type Chart'!$C$2:$T$20,3,false)*HLOOKUP($K1811,'Type Chart'!$C$2:$U$20,3,false)</f>
        <v>1</v>
      </c>
      <c r="W1811" s="960">
        <f t="array" ref="W1811">HLOOKUP($J1811,'Type Chart'!$C$2:$T$20,4,false)*HLOOKUP($K1811,'Type Chart'!$C$2:$U$20,4,false)</f>
        <v>1</v>
      </c>
      <c r="X1811" s="960">
        <f t="array" ref="X1811">HLOOKUP($J1811,'Type Chart'!$C$2:$T$20,5,false)*HLOOKUP($K1811,'Type Chart'!$C$2:$U$20,5,false)</f>
        <v>0.5</v>
      </c>
      <c r="Y1811" s="960">
        <f t="array" ref="Y1811">HLOOKUP($J1811,'Type Chart'!$C$2:$T$20,6,false)*HLOOKUP($K1811,'Type Chart'!$C$2:$U$20,6,false)</f>
        <v>2</v>
      </c>
      <c r="Z1811" s="960">
        <f t="array" ref="Z1811">HLOOKUP($J1811,'Type Chart'!$C$2:$T$20,7,false)*HLOOKUP($K1811,'Type Chart'!$C$2:$U$20,7,false)</f>
        <v>1</v>
      </c>
      <c r="AA1811" s="960">
        <f t="array" ref="AA1811">HLOOKUP($J1811,'Type Chart'!$C$2:$T$20,8,false)*HLOOKUP($K1811,'Type Chart'!$C$2:$U$20,8,false)</f>
        <v>1</v>
      </c>
      <c r="AB1811" s="960">
        <f t="array" ref="AB1811">HLOOKUP($J1811,'Type Chart'!$C$2:$T$20,9,false)*HLOOKUP($K1811,'Type Chart'!$C$2:$U$20,9,false)</f>
        <v>0.5</v>
      </c>
      <c r="AC1811" s="960">
        <f t="array" ref="AC1811">HLOOKUP($J1811,'Type Chart'!$C$2:$T$20,10,false)*HLOOKUP($K1811,'Type Chart'!$C$2:$U$20,10,false)</f>
        <v>1</v>
      </c>
      <c r="AD1811" s="960">
        <f t="array" ref="AD1811">HLOOKUP($J1811,'Type Chart'!$C$2:$T$20,11,false)*HLOOKUP($K1811,'Type Chart'!$C$2:$U$20,11,false)</f>
        <v>1</v>
      </c>
      <c r="AE1811" s="960">
        <f t="array" ref="AE1811">HLOOKUP($J1811,'Type Chart'!$C$2:$T$20,12,false)*HLOOKUP($K1811,'Type Chart'!$C$2:$U$20,12,false)</f>
        <v>1</v>
      </c>
      <c r="AF1811" s="960">
        <f t="array" ref="AF1811">HLOOKUP($J1811,'Type Chart'!$C$2:$T$20,13,false)*HLOOKUP($K1811,'Type Chart'!$C$2:$U$20,13,false)</f>
        <v>0.5</v>
      </c>
      <c r="AG1811" s="960">
        <f t="array" ref="AG1811">HLOOKUP($J1811,'Type Chart'!$C$2:$T$20,14,false)*HLOOKUP($K1811,'Type Chart'!$C$2:$U$20,14,false)</f>
        <v>1</v>
      </c>
      <c r="AH1811" s="960">
        <f t="array" ref="AH1811">HLOOKUP($J1811,'Type Chart'!$C$2:$T$20,15,false)*HLOOKUP($K1811,'Type Chart'!$C$2:$U$20,15,false)</f>
        <v>0</v>
      </c>
      <c r="AI1811" s="960">
        <f t="array" ref="AI1811">HLOOKUP($J1811,'Type Chart'!$C$2:$T$20,16,false)*HLOOKUP($K1811,'Type Chart'!$C$2:$U$20,16,false)</f>
        <v>1</v>
      </c>
      <c r="AJ1811" s="960">
        <f t="array" ref="AJ1811">HLOOKUP($J1811,'Type Chart'!$C$2:$T$20,17,false)*HLOOKUP($K1811,'Type Chart'!$C$2:$U$20,17,false)</f>
        <v>1</v>
      </c>
      <c r="AK1811" s="960">
        <f t="array" ref="AK1811">HLOOKUP($J1811,'Type Chart'!$C$2:$T$20,18,false)*HLOOKUP($K1811,'Type Chart'!$C$2:$U$20,18,false)</f>
        <v>0.5</v>
      </c>
      <c r="AL1811" s="960">
        <f t="array" ref="AL1811">HLOOKUP($J1811,'Type Chart'!$C$2:$T$20,19,false)*HLOOKUP($K1811,'Type Chart'!$C$2:$U$20,19,false)</f>
        <v>1</v>
      </c>
      <c r="AM1811" s="964" t="s">
        <v>1203</v>
      </c>
      <c r="AN1811" s="965" t="s">
        <v>1469</v>
      </c>
      <c r="AO1811" s="966" t="s">
        <v>1022</v>
      </c>
      <c r="AP1811" s="936"/>
      <c r="AQ1811" s="1245"/>
      <c r="AR1811" s="1245"/>
      <c r="AS1811" s="936"/>
    </row>
    <row r="1812" ht="15.75" customHeight="1">
      <c r="A1812" s="1099"/>
      <c r="B1812" s="948" t="s">
        <v>2575</v>
      </c>
      <c r="C1812" s="1197" t="s">
        <v>2576</v>
      </c>
      <c r="D1812" s="1197" t="s">
        <v>2576</v>
      </c>
      <c r="E1812" s="1147" t="s">
        <v>2576</v>
      </c>
      <c r="F1812" s="940"/>
      <c r="G1812" s="953"/>
      <c r="H1812" s="969"/>
      <c r="I1812" s="998" t="s">
        <v>4912</v>
      </c>
      <c r="J1812" s="958" t="s">
        <v>178</v>
      </c>
      <c r="K1812" s="1195" t="s">
        <v>193</v>
      </c>
      <c r="L1812" s="959">
        <v>103.0</v>
      </c>
      <c r="M1812" s="960">
        <v>93.0</v>
      </c>
      <c r="N1812" s="960">
        <v>67.0</v>
      </c>
      <c r="O1812" s="960">
        <v>71.0</v>
      </c>
      <c r="P1812" s="960">
        <v>61.0</v>
      </c>
      <c r="Q1812" s="960">
        <v>84.0</v>
      </c>
      <c r="R1812" s="960">
        <v>204.0</v>
      </c>
      <c r="S1812" s="960">
        <v>267.0</v>
      </c>
      <c r="T1812" s="960">
        <v>293.0</v>
      </c>
      <c r="U1812" s="960">
        <f t="array" ref="U1812">HLOOKUP($J1812,'Type Chart'!$C$2:$T$20,2,false)*HLOOKUP($K1812,'Type Chart'!$C$2:$U$20,2,false)</f>
        <v>1</v>
      </c>
      <c r="V1812" s="960">
        <f t="array" ref="V1812">HLOOKUP($J1812,'Type Chart'!$C$2:$T$20,3,false)*HLOOKUP($K1812,'Type Chart'!$C$2:$U$20,3,false)</f>
        <v>1</v>
      </c>
      <c r="W1812" s="960">
        <f t="array" ref="W1812">HLOOKUP($J1812,'Type Chart'!$C$2:$T$20,4,false)*HLOOKUP($K1812,'Type Chart'!$C$2:$U$20,4,false)</f>
        <v>1</v>
      </c>
      <c r="X1812" s="960">
        <f t="array" ref="X1812">HLOOKUP($J1812,'Type Chart'!$C$2:$T$20,5,false)*HLOOKUP($K1812,'Type Chart'!$C$2:$U$20,5,false)</f>
        <v>0.5</v>
      </c>
      <c r="Y1812" s="960">
        <f t="array" ref="Y1812">HLOOKUP($J1812,'Type Chart'!$C$2:$T$20,6,false)*HLOOKUP($K1812,'Type Chart'!$C$2:$U$20,6,false)</f>
        <v>2</v>
      </c>
      <c r="Z1812" s="960">
        <f t="array" ref="Z1812">HLOOKUP($J1812,'Type Chart'!$C$2:$T$20,7,false)*HLOOKUP($K1812,'Type Chart'!$C$2:$U$20,7,false)</f>
        <v>1</v>
      </c>
      <c r="AA1812" s="960">
        <f t="array" ref="AA1812">HLOOKUP($J1812,'Type Chart'!$C$2:$T$20,8,false)*HLOOKUP($K1812,'Type Chart'!$C$2:$U$20,8,false)</f>
        <v>1</v>
      </c>
      <c r="AB1812" s="960">
        <f t="array" ref="AB1812">HLOOKUP($J1812,'Type Chart'!$C$2:$T$20,9,false)*HLOOKUP($K1812,'Type Chart'!$C$2:$U$20,9,false)</f>
        <v>0.5</v>
      </c>
      <c r="AC1812" s="960">
        <f t="array" ref="AC1812">HLOOKUP($J1812,'Type Chart'!$C$2:$T$20,10,false)*HLOOKUP($K1812,'Type Chart'!$C$2:$U$20,10,false)</f>
        <v>1</v>
      </c>
      <c r="AD1812" s="960">
        <f t="array" ref="AD1812">HLOOKUP($J1812,'Type Chart'!$C$2:$T$20,11,false)*HLOOKUP($K1812,'Type Chart'!$C$2:$U$20,11,false)</f>
        <v>1</v>
      </c>
      <c r="AE1812" s="960">
        <f t="array" ref="AE1812">HLOOKUP($J1812,'Type Chart'!$C$2:$T$20,12,false)*HLOOKUP($K1812,'Type Chart'!$C$2:$U$20,12,false)</f>
        <v>1</v>
      </c>
      <c r="AF1812" s="960">
        <f t="array" ref="AF1812">HLOOKUP($J1812,'Type Chart'!$C$2:$T$20,13,false)*HLOOKUP($K1812,'Type Chart'!$C$2:$U$20,13,false)</f>
        <v>0.5</v>
      </c>
      <c r="AG1812" s="960">
        <f t="array" ref="AG1812">HLOOKUP($J1812,'Type Chart'!$C$2:$T$20,14,false)*HLOOKUP($K1812,'Type Chart'!$C$2:$U$20,14,false)</f>
        <v>1</v>
      </c>
      <c r="AH1812" s="960">
        <f t="array" ref="AH1812">HLOOKUP($J1812,'Type Chart'!$C$2:$T$20,15,false)*HLOOKUP($K1812,'Type Chart'!$C$2:$U$20,15,false)</f>
        <v>0</v>
      </c>
      <c r="AI1812" s="960">
        <f t="array" ref="AI1812">HLOOKUP($J1812,'Type Chart'!$C$2:$T$20,16,false)*HLOOKUP($K1812,'Type Chart'!$C$2:$U$20,16,false)</f>
        <v>1</v>
      </c>
      <c r="AJ1812" s="960">
        <f t="array" ref="AJ1812">HLOOKUP($J1812,'Type Chart'!$C$2:$T$20,17,false)*HLOOKUP($K1812,'Type Chart'!$C$2:$U$20,17,false)</f>
        <v>1</v>
      </c>
      <c r="AK1812" s="960">
        <f t="array" ref="AK1812">HLOOKUP($J1812,'Type Chart'!$C$2:$T$20,18,false)*HLOOKUP($K1812,'Type Chart'!$C$2:$U$20,18,false)</f>
        <v>0.5</v>
      </c>
      <c r="AL1812" s="960">
        <f t="array" ref="AL1812">HLOOKUP($J1812,'Type Chart'!$C$2:$T$20,19,false)*HLOOKUP($K1812,'Type Chart'!$C$2:$U$20,19,false)</f>
        <v>1</v>
      </c>
      <c r="AM1812" s="964" t="s">
        <v>1203</v>
      </c>
      <c r="AN1812" s="965" t="s">
        <v>1469</v>
      </c>
      <c r="AO1812" s="966" t="s">
        <v>1022</v>
      </c>
      <c r="AP1812" s="936"/>
      <c r="AQ1812" s="1245"/>
      <c r="AR1812" s="1245"/>
      <c r="AS1812" s="936"/>
    </row>
    <row r="1813" ht="15.75" customHeight="1">
      <c r="A1813" s="1099"/>
      <c r="B1813" s="948" t="s">
        <v>2577</v>
      </c>
      <c r="C1813" s="1197" t="s">
        <v>2578</v>
      </c>
      <c r="D1813" s="1197" t="s">
        <v>2578</v>
      </c>
      <c r="E1813" s="1147" t="s">
        <v>2578</v>
      </c>
      <c r="F1813" s="940"/>
      <c r="G1813" s="953"/>
      <c r="H1813" s="969"/>
      <c r="I1813" s="998" t="s">
        <v>4913</v>
      </c>
      <c r="J1813" s="1206" t="s">
        <v>82</v>
      </c>
      <c r="K1813" s="1203" t="s">
        <v>344</v>
      </c>
      <c r="L1813" s="959">
        <v>57.0</v>
      </c>
      <c r="M1813" s="960">
        <v>24.0</v>
      </c>
      <c r="N1813" s="960">
        <v>86.0</v>
      </c>
      <c r="O1813" s="960">
        <v>24.0</v>
      </c>
      <c r="P1813" s="960">
        <v>86.0</v>
      </c>
      <c r="Q1813" s="960">
        <v>23.0</v>
      </c>
      <c r="R1813" s="960">
        <v>82.0</v>
      </c>
      <c r="S1813" s="960">
        <v>145.0</v>
      </c>
      <c r="T1813" s="960">
        <v>159.0</v>
      </c>
      <c r="U1813" s="960">
        <f t="array" ref="U1813">HLOOKUP($J1813,'Type Chart'!$C$2:$T$20,2,false)*HLOOKUP($K1813,'Type Chart'!$C$2:$U$20,2,false)</f>
        <v>0.5</v>
      </c>
      <c r="V1813" s="960">
        <f t="array" ref="V1813">HLOOKUP($J1813,'Type Chart'!$C$2:$T$20,3,false)*HLOOKUP($K1813,'Type Chart'!$C$2:$U$20,3,false)</f>
        <v>1</v>
      </c>
      <c r="W1813" s="960">
        <f t="array" ref="W1813">HLOOKUP($J1813,'Type Chart'!$C$2:$T$20,4,false)*HLOOKUP($K1813,'Type Chart'!$C$2:$U$20,4,false)</f>
        <v>0.5</v>
      </c>
      <c r="X1813" s="960">
        <f t="array" ref="X1813">HLOOKUP($J1813,'Type Chart'!$C$2:$T$20,5,false)*HLOOKUP($K1813,'Type Chart'!$C$2:$U$20,5,false)</f>
        <v>0</v>
      </c>
      <c r="Y1813" s="960">
        <f t="array" ref="Y1813">HLOOKUP($J1813,'Type Chart'!$C$2:$T$20,6,false)*HLOOKUP($K1813,'Type Chart'!$C$2:$U$20,6,false)</f>
        <v>2</v>
      </c>
      <c r="Z1813" s="960">
        <f t="array" ref="Z1813">HLOOKUP($J1813,'Type Chart'!$C$2:$T$20,7,false)*HLOOKUP($K1813,'Type Chart'!$C$2:$U$20,7,false)</f>
        <v>0.5</v>
      </c>
      <c r="AA1813" s="960">
        <f t="array" ref="AA1813">HLOOKUP($J1813,'Type Chart'!$C$2:$T$20,8,false)*HLOOKUP($K1813,'Type Chart'!$C$2:$U$20,8,false)</f>
        <v>1</v>
      </c>
      <c r="AB1813" s="960">
        <f t="array" ref="AB1813">HLOOKUP($J1813,'Type Chart'!$C$2:$T$20,9,false)*HLOOKUP($K1813,'Type Chart'!$C$2:$U$20,9,false)</f>
        <v>2</v>
      </c>
      <c r="AC1813" s="960">
        <f t="array" ref="AC1813">HLOOKUP($J1813,'Type Chart'!$C$2:$T$20,10,false)*HLOOKUP($K1813,'Type Chart'!$C$2:$U$20,10,false)</f>
        <v>0.5</v>
      </c>
      <c r="AD1813" s="960">
        <f t="array" ref="AD1813">HLOOKUP($J1813,'Type Chart'!$C$2:$T$20,11,false)*HLOOKUP($K1813,'Type Chart'!$C$2:$U$20,11,false)</f>
        <v>2</v>
      </c>
      <c r="AE1813" s="960">
        <f t="array" ref="AE1813">HLOOKUP($J1813,'Type Chart'!$C$2:$T$20,12,false)*HLOOKUP($K1813,'Type Chart'!$C$2:$U$20,12,false)</f>
        <v>1</v>
      </c>
      <c r="AF1813" s="960">
        <f t="array" ref="AF1813">HLOOKUP($J1813,'Type Chart'!$C$2:$T$20,13,false)*HLOOKUP($K1813,'Type Chart'!$C$2:$U$20,13,false)</f>
        <v>0.5</v>
      </c>
      <c r="AG1813" s="960">
        <f t="array" ref="AG1813">HLOOKUP($J1813,'Type Chart'!$C$2:$T$20,14,false)*HLOOKUP($K1813,'Type Chart'!$C$2:$U$20,14,false)</f>
        <v>1</v>
      </c>
      <c r="AH1813" s="960">
        <f t="array" ref="AH1813">HLOOKUP($J1813,'Type Chart'!$C$2:$T$20,15,false)*HLOOKUP($K1813,'Type Chart'!$C$2:$U$20,15,false)</f>
        <v>0.25</v>
      </c>
      <c r="AI1813" s="960">
        <f t="array" ref="AI1813">HLOOKUP($J1813,'Type Chart'!$C$2:$T$20,16,false)*HLOOKUP($K1813,'Type Chart'!$C$2:$U$20,16,false)</f>
        <v>0.5</v>
      </c>
      <c r="AJ1813" s="960">
        <f t="array" ref="AJ1813">HLOOKUP($J1813,'Type Chart'!$C$2:$T$20,17,false)*HLOOKUP($K1813,'Type Chart'!$C$2:$U$20,17,false)</f>
        <v>0.5</v>
      </c>
      <c r="AK1813" s="960">
        <f t="array" ref="AK1813">HLOOKUP($J1813,'Type Chart'!$C$2:$T$20,18,false)*HLOOKUP($K1813,'Type Chart'!$C$2:$U$20,18,false)</f>
        <v>2</v>
      </c>
      <c r="AL1813" s="960">
        <f t="array" ref="AL1813">HLOOKUP($J1813,'Type Chart'!$C$2:$T$20,19,false)*HLOOKUP($K1813,'Type Chart'!$C$2:$U$20,19,false)</f>
        <v>0.5</v>
      </c>
      <c r="AM1813" s="964" t="s">
        <v>1437</v>
      </c>
      <c r="AN1813" s="965" t="s">
        <v>2580</v>
      </c>
      <c r="AO1813" s="966" t="s">
        <v>2151</v>
      </c>
      <c r="AP1813" s="936"/>
      <c r="AQ1813" s="1245"/>
      <c r="AR1813" s="1245"/>
      <c r="AS1813" s="936"/>
    </row>
    <row r="1814" ht="15.75" customHeight="1">
      <c r="A1814" s="1099"/>
      <c r="B1814" s="948" t="s">
        <v>2581</v>
      </c>
      <c r="C1814" s="1197" t="s">
        <v>2582</v>
      </c>
      <c r="D1814" s="1197" t="s">
        <v>2582</v>
      </c>
      <c r="E1814" s="1147" t="s">
        <v>2582</v>
      </c>
      <c r="F1814" s="940"/>
      <c r="G1814" s="953"/>
      <c r="H1814" s="969"/>
      <c r="I1814" s="998" t="s">
        <v>4914</v>
      </c>
      <c r="J1814" s="1206" t="s">
        <v>82</v>
      </c>
      <c r="K1814" s="1203" t="s">
        <v>344</v>
      </c>
      <c r="L1814" s="959">
        <v>67.0</v>
      </c>
      <c r="M1814" s="960">
        <v>89.0</v>
      </c>
      <c r="N1814" s="960">
        <v>116.0</v>
      </c>
      <c r="O1814" s="960">
        <v>79.0</v>
      </c>
      <c r="P1814" s="960">
        <v>116.0</v>
      </c>
      <c r="Q1814" s="960">
        <v>33.0</v>
      </c>
      <c r="R1814" s="960">
        <v>102.0</v>
      </c>
      <c r="S1814" s="960">
        <v>165.0</v>
      </c>
      <c r="T1814" s="960">
        <v>181.0</v>
      </c>
      <c r="U1814" s="960">
        <f t="array" ref="U1814">HLOOKUP($J1814,'Type Chart'!$C$2:$T$20,2,false)*HLOOKUP($K1814,'Type Chart'!$C$2:$U$20,2,false)</f>
        <v>0.5</v>
      </c>
      <c r="V1814" s="960">
        <f t="array" ref="V1814">HLOOKUP($J1814,'Type Chart'!$C$2:$T$20,3,false)*HLOOKUP($K1814,'Type Chart'!$C$2:$U$20,3,false)</f>
        <v>1</v>
      </c>
      <c r="W1814" s="960">
        <f t="array" ref="W1814">HLOOKUP($J1814,'Type Chart'!$C$2:$T$20,4,false)*HLOOKUP($K1814,'Type Chart'!$C$2:$U$20,4,false)</f>
        <v>0.5</v>
      </c>
      <c r="X1814" s="960">
        <f t="array" ref="X1814">HLOOKUP($J1814,'Type Chart'!$C$2:$T$20,5,false)*HLOOKUP($K1814,'Type Chart'!$C$2:$U$20,5,false)</f>
        <v>0</v>
      </c>
      <c r="Y1814" s="960">
        <f t="array" ref="Y1814">HLOOKUP($J1814,'Type Chart'!$C$2:$T$20,6,false)*HLOOKUP($K1814,'Type Chart'!$C$2:$U$20,6,false)</f>
        <v>2</v>
      </c>
      <c r="Z1814" s="960">
        <f t="array" ref="Z1814">HLOOKUP($J1814,'Type Chart'!$C$2:$T$20,7,false)*HLOOKUP($K1814,'Type Chart'!$C$2:$U$20,7,false)</f>
        <v>0.5</v>
      </c>
      <c r="AA1814" s="960">
        <f t="array" ref="AA1814">HLOOKUP($J1814,'Type Chart'!$C$2:$T$20,8,false)*HLOOKUP($K1814,'Type Chart'!$C$2:$U$20,8,false)</f>
        <v>1</v>
      </c>
      <c r="AB1814" s="960">
        <f t="array" ref="AB1814">HLOOKUP($J1814,'Type Chart'!$C$2:$T$20,9,false)*HLOOKUP($K1814,'Type Chart'!$C$2:$U$20,9,false)</f>
        <v>2</v>
      </c>
      <c r="AC1814" s="960">
        <f t="array" ref="AC1814">HLOOKUP($J1814,'Type Chart'!$C$2:$T$20,10,false)*HLOOKUP($K1814,'Type Chart'!$C$2:$U$20,10,false)</f>
        <v>0.5</v>
      </c>
      <c r="AD1814" s="960">
        <f t="array" ref="AD1814">HLOOKUP($J1814,'Type Chart'!$C$2:$T$20,11,false)*HLOOKUP($K1814,'Type Chart'!$C$2:$U$20,11,false)</f>
        <v>2</v>
      </c>
      <c r="AE1814" s="960">
        <f t="array" ref="AE1814">HLOOKUP($J1814,'Type Chart'!$C$2:$T$20,12,false)*HLOOKUP($K1814,'Type Chart'!$C$2:$U$20,12,false)</f>
        <v>1</v>
      </c>
      <c r="AF1814" s="960">
        <f t="array" ref="AF1814">HLOOKUP($J1814,'Type Chart'!$C$2:$T$20,13,false)*HLOOKUP($K1814,'Type Chart'!$C$2:$U$20,13,false)</f>
        <v>0.5</v>
      </c>
      <c r="AG1814" s="960">
        <f t="array" ref="AG1814">HLOOKUP($J1814,'Type Chart'!$C$2:$T$20,14,false)*HLOOKUP($K1814,'Type Chart'!$C$2:$U$20,14,false)</f>
        <v>1</v>
      </c>
      <c r="AH1814" s="960">
        <f t="array" ref="AH1814">HLOOKUP($J1814,'Type Chart'!$C$2:$T$20,15,false)*HLOOKUP($K1814,'Type Chart'!$C$2:$U$20,15,false)</f>
        <v>0.25</v>
      </c>
      <c r="AI1814" s="960">
        <f t="array" ref="AI1814">HLOOKUP($J1814,'Type Chart'!$C$2:$T$20,16,false)*HLOOKUP($K1814,'Type Chart'!$C$2:$U$20,16,false)</f>
        <v>0.5</v>
      </c>
      <c r="AJ1814" s="960">
        <f t="array" ref="AJ1814">HLOOKUP($J1814,'Type Chart'!$C$2:$T$20,17,false)*HLOOKUP($K1814,'Type Chart'!$C$2:$U$20,17,false)</f>
        <v>0.5</v>
      </c>
      <c r="AK1814" s="960">
        <f t="array" ref="AK1814">HLOOKUP($J1814,'Type Chart'!$C$2:$T$20,18,false)*HLOOKUP($K1814,'Type Chart'!$C$2:$U$20,18,false)</f>
        <v>2</v>
      </c>
      <c r="AL1814" s="960">
        <f t="array" ref="AL1814">HLOOKUP($J1814,'Type Chart'!$C$2:$T$20,19,false)*HLOOKUP($K1814,'Type Chart'!$C$2:$U$20,19,false)</f>
        <v>0.5</v>
      </c>
      <c r="AM1814" s="964" t="s">
        <v>1437</v>
      </c>
      <c r="AN1814" s="965" t="s">
        <v>2580</v>
      </c>
      <c r="AO1814" s="966" t="s">
        <v>2151</v>
      </c>
      <c r="AP1814" s="936"/>
      <c r="AQ1814" s="1245"/>
      <c r="AR1814" s="1245"/>
      <c r="AS1814" s="936"/>
    </row>
    <row r="1815" ht="15.75" customHeight="1">
      <c r="A1815" s="1099"/>
      <c r="B1815" s="948" t="s">
        <v>2583</v>
      </c>
      <c r="C1815" s="1197" t="s">
        <v>2584</v>
      </c>
      <c r="D1815" s="1197" t="s">
        <v>2584</v>
      </c>
      <c r="E1815" s="1147" t="s">
        <v>2584</v>
      </c>
      <c r="F1815" s="940"/>
      <c r="G1815" s="953"/>
      <c r="H1815" s="969"/>
      <c r="I1815" s="998" t="s">
        <v>4915</v>
      </c>
      <c r="J1815" s="1222" t="s">
        <v>342</v>
      </c>
      <c r="K1815" s="1199" t="s">
        <v>216</v>
      </c>
      <c r="L1815" s="1200">
        <v>50.0</v>
      </c>
      <c r="M1815" s="1201">
        <v>80.0</v>
      </c>
      <c r="N1815" s="1201">
        <v>95.0</v>
      </c>
      <c r="O1815" s="1201">
        <v>10.0</v>
      </c>
      <c r="P1815" s="1201">
        <v>45.0</v>
      </c>
      <c r="Q1815" s="1201">
        <v>10.0</v>
      </c>
      <c r="R1815" s="960">
        <v>56.0</v>
      </c>
      <c r="S1815" s="960">
        <v>119.0</v>
      </c>
      <c r="T1815" s="960">
        <v>130.0</v>
      </c>
      <c r="U1815" s="960">
        <f t="array" ref="U1815">HLOOKUP($J1815,'Type Chart'!$C$2:$T$20,2,false)*HLOOKUP($K1815,'Type Chart'!$C$2:$U$20,2,false)</f>
        <v>0.5</v>
      </c>
      <c r="V1815" s="960">
        <f t="array" ref="V1815">HLOOKUP($J1815,'Type Chart'!$C$2:$T$20,3,false)*HLOOKUP($K1815,'Type Chart'!$C$2:$U$20,3,false)</f>
        <v>2</v>
      </c>
      <c r="W1815" s="960">
        <f t="array" ref="W1815">HLOOKUP($J1815,'Type Chart'!$C$2:$T$20,4,false)*HLOOKUP($K1815,'Type Chart'!$C$2:$U$20,4,false)</f>
        <v>0.5</v>
      </c>
      <c r="X1815" s="960">
        <f t="array" ref="X1815">HLOOKUP($J1815,'Type Chart'!$C$2:$T$20,5,false)*HLOOKUP($K1815,'Type Chart'!$C$2:$U$20,5,false)</f>
        <v>0.5</v>
      </c>
      <c r="Y1815" s="960">
        <f t="array" ref="Y1815">HLOOKUP($J1815,'Type Chart'!$C$2:$T$20,6,false)*HLOOKUP($K1815,'Type Chart'!$C$2:$U$20,6,false)</f>
        <v>2</v>
      </c>
      <c r="Z1815" s="960">
        <f t="array" ref="Z1815">HLOOKUP($J1815,'Type Chart'!$C$2:$T$20,7,false)*HLOOKUP($K1815,'Type Chart'!$C$2:$U$20,7,false)</f>
        <v>1</v>
      </c>
      <c r="AA1815" s="960">
        <f t="array" ref="AA1815">HLOOKUP($J1815,'Type Chart'!$C$2:$T$20,8,false)*HLOOKUP($K1815,'Type Chart'!$C$2:$U$20,8,false)</f>
        <v>1</v>
      </c>
      <c r="AB1815" s="960">
        <f t="array" ref="AB1815">HLOOKUP($J1815,'Type Chart'!$C$2:$T$20,9,false)*HLOOKUP($K1815,'Type Chart'!$C$2:$U$20,9,false)</f>
        <v>1</v>
      </c>
      <c r="AC1815" s="960">
        <f t="array" ref="AC1815">HLOOKUP($J1815,'Type Chart'!$C$2:$T$20,10,false)*HLOOKUP($K1815,'Type Chart'!$C$2:$U$20,10,false)</f>
        <v>2</v>
      </c>
      <c r="AD1815" s="960">
        <f t="array" ref="AD1815">HLOOKUP($J1815,'Type Chart'!$C$2:$T$20,11,false)*HLOOKUP($K1815,'Type Chart'!$C$2:$U$20,11,false)</f>
        <v>0.5</v>
      </c>
      <c r="AE1815" s="960">
        <f t="array" ref="AE1815">HLOOKUP($J1815,'Type Chart'!$C$2:$T$20,12,false)*HLOOKUP($K1815,'Type Chart'!$C$2:$U$20,12,false)</f>
        <v>2</v>
      </c>
      <c r="AF1815" s="960">
        <f t="array" ref="AF1815">HLOOKUP($J1815,'Type Chart'!$C$2:$T$20,13,false)*HLOOKUP($K1815,'Type Chart'!$C$2:$U$20,13,false)</f>
        <v>2</v>
      </c>
      <c r="AG1815" s="960">
        <f t="array" ref="AG1815">HLOOKUP($J1815,'Type Chart'!$C$2:$T$20,14,false)*HLOOKUP($K1815,'Type Chart'!$C$2:$U$20,14,false)</f>
        <v>1</v>
      </c>
      <c r="AH1815" s="960">
        <f t="array" ref="AH1815">HLOOKUP($J1815,'Type Chart'!$C$2:$T$20,15,false)*HLOOKUP($K1815,'Type Chart'!$C$2:$U$20,15,false)</f>
        <v>1</v>
      </c>
      <c r="AI1815" s="960">
        <f t="array" ref="AI1815">HLOOKUP($J1815,'Type Chart'!$C$2:$T$20,16,false)*HLOOKUP($K1815,'Type Chart'!$C$2:$U$20,16,false)</f>
        <v>1</v>
      </c>
      <c r="AJ1815" s="960">
        <f t="array" ref="AJ1815">HLOOKUP($J1815,'Type Chart'!$C$2:$T$20,17,false)*HLOOKUP($K1815,'Type Chart'!$C$2:$U$20,17,false)</f>
        <v>1</v>
      </c>
      <c r="AK1815" s="960">
        <f t="array" ref="AK1815">HLOOKUP($J1815,'Type Chart'!$C$2:$T$20,18,false)*HLOOKUP($K1815,'Type Chart'!$C$2:$U$20,18,false)</f>
        <v>1</v>
      </c>
      <c r="AL1815" s="960">
        <f t="array" ref="AL1815">HLOOKUP($J1815,'Type Chart'!$C$2:$T$20,19,false)*HLOOKUP($K1815,'Type Chart'!$C$2:$U$20,19,false)</f>
        <v>1</v>
      </c>
      <c r="AM1815" s="1145" t="s">
        <v>1331</v>
      </c>
      <c r="AN1815" s="1202" t="s">
        <v>1276</v>
      </c>
      <c r="AO1815" s="1146" t="s">
        <v>1243</v>
      </c>
      <c r="AP1815" s="936"/>
      <c r="AQ1815" s="1245"/>
      <c r="AR1815" s="1245"/>
      <c r="AS1815" s="936"/>
    </row>
    <row r="1816" ht="15.75" customHeight="1">
      <c r="A1816" s="1099"/>
      <c r="B1816" s="948" t="s">
        <v>2586</v>
      </c>
      <c r="C1816" s="1197" t="s">
        <v>2587</v>
      </c>
      <c r="D1816" s="1197" t="s">
        <v>2588</v>
      </c>
      <c r="E1816" s="1147" t="s">
        <v>2587</v>
      </c>
      <c r="F1816" s="940"/>
      <c r="G1816" s="953"/>
      <c r="H1816" s="969"/>
      <c r="I1816" s="998" t="s">
        <v>4916</v>
      </c>
      <c r="J1816" s="1215" t="s">
        <v>344</v>
      </c>
      <c r="K1816" s="1234" t="s">
        <v>127</v>
      </c>
      <c r="L1816" s="1200">
        <v>20.0</v>
      </c>
      <c r="M1816" s="1201">
        <v>25.0</v>
      </c>
      <c r="N1816" s="1201">
        <v>45.0</v>
      </c>
      <c r="O1816" s="1201">
        <v>70.0</v>
      </c>
      <c r="P1816" s="1201">
        <v>90.0</v>
      </c>
      <c r="Q1816" s="1201">
        <v>60.0</v>
      </c>
      <c r="R1816" s="960">
        <v>156.0</v>
      </c>
      <c r="S1816" s="960">
        <v>219.0</v>
      </c>
      <c r="T1816" s="960">
        <v>240.0</v>
      </c>
      <c r="U1816" s="960">
        <f t="array" ref="U1816">HLOOKUP($J1816,'Type Chart'!$C$2:$T$20,2,false)*HLOOKUP($K1816,'Type Chart'!$C$2:$U$20,2,false)</f>
        <v>1</v>
      </c>
      <c r="V1816" s="960">
        <f t="array" ref="V1816">HLOOKUP($J1816,'Type Chart'!$C$2:$T$20,3,false)*HLOOKUP($K1816,'Type Chart'!$C$2:$U$20,3,false)</f>
        <v>0.25</v>
      </c>
      <c r="W1816" s="960">
        <f t="array" ref="W1816">HLOOKUP($J1816,'Type Chart'!$C$2:$T$20,4,false)*HLOOKUP($K1816,'Type Chart'!$C$2:$U$20,4,false)</f>
        <v>1</v>
      </c>
      <c r="X1816" s="960">
        <f t="array" ref="X1816">HLOOKUP($J1816,'Type Chart'!$C$2:$T$20,5,false)*HLOOKUP($K1816,'Type Chart'!$C$2:$U$20,5,false)</f>
        <v>2</v>
      </c>
      <c r="Y1816" s="960">
        <f t="array" ref="Y1816">HLOOKUP($J1816,'Type Chart'!$C$2:$T$20,6,false)*HLOOKUP($K1816,'Type Chart'!$C$2:$U$20,6,false)</f>
        <v>1</v>
      </c>
      <c r="Z1816" s="960">
        <f t="array" ref="Z1816">HLOOKUP($J1816,'Type Chart'!$C$2:$T$20,7,false)*HLOOKUP($K1816,'Type Chart'!$C$2:$U$20,7,false)</f>
        <v>1</v>
      </c>
      <c r="AA1816" s="960">
        <f t="array" ref="AA1816">HLOOKUP($J1816,'Type Chart'!$C$2:$T$20,8,false)*HLOOKUP($K1816,'Type Chart'!$C$2:$U$20,8,false)</f>
        <v>1</v>
      </c>
      <c r="AB1816" s="960">
        <f t="array" ref="AB1816">HLOOKUP($J1816,'Type Chart'!$C$2:$T$20,9,false)*HLOOKUP($K1816,'Type Chart'!$C$2:$U$20,9,false)</f>
        <v>2</v>
      </c>
      <c r="AC1816" s="960">
        <f t="array" ref="AC1816">HLOOKUP($J1816,'Type Chart'!$C$2:$T$20,10,false)*HLOOKUP($K1816,'Type Chart'!$C$2:$U$20,10,false)</f>
        <v>2</v>
      </c>
      <c r="AD1816" s="960">
        <f t="array" ref="AD1816">HLOOKUP($J1816,'Type Chart'!$C$2:$T$20,11,false)*HLOOKUP($K1816,'Type Chart'!$C$2:$U$20,11,false)</f>
        <v>1</v>
      </c>
      <c r="AE1816" s="960">
        <f t="array" ref="AE1816">HLOOKUP($J1816,'Type Chart'!$C$2:$T$20,12,false)*HLOOKUP($K1816,'Type Chart'!$C$2:$U$20,12,false)</f>
        <v>1</v>
      </c>
      <c r="AF1816" s="960">
        <f t="array" ref="AF1816">HLOOKUP($J1816,'Type Chart'!$C$2:$T$20,13,false)*HLOOKUP($K1816,'Type Chart'!$C$2:$U$20,13,false)</f>
        <v>1</v>
      </c>
      <c r="AG1816" s="960">
        <f t="array" ref="AG1816">HLOOKUP($J1816,'Type Chart'!$C$2:$T$20,14,false)*HLOOKUP($K1816,'Type Chart'!$C$2:$U$20,14,false)</f>
        <v>1</v>
      </c>
      <c r="AH1816" s="960">
        <f t="array" ref="AH1816">HLOOKUP($J1816,'Type Chart'!$C$2:$T$20,15,false)*HLOOKUP($K1816,'Type Chart'!$C$2:$U$20,15,false)</f>
        <v>0.5</v>
      </c>
      <c r="AI1816" s="960">
        <f t="array" ref="AI1816">HLOOKUP($J1816,'Type Chart'!$C$2:$T$20,16,false)*HLOOKUP($K1816,'Type Chart'!$C$2:$U$20,16,false)</f>
        <v>1</v>
      </c>
      <c r="AJ1816" s="960">
        <f t="array" ref="AJ1816">HLOOKUP($J1816,'Type Chart'!$C$2:$T$20,17,false)*HLOOKUP($K1816,'Type Chart'!$C$2:$U$20,17,false)</f>
        <v>0</v>
      </c>
      <c r="AK1816" s="960">
        <f t="array" ref="AK1816">HLOOKUP($J1816,'Type Chart'!$C$2:$T$20,18,false)*HLOOKUP($K1816,'Type Chart'!$C$2:$U$20,18,false)</f>
        <v>1</v>
      </c>
      <c r="AL1816" s="960">
        <f t="array" ref="AL1816">HLOOKUP($J1816,'Type Chart'!$C$2:$T$20,19,false)*HLOOKUP($K1816,'Type Chart'!$C$2:$U$20,19,false)</f>
        <v>1</v>
      </c>
      <c r="AM1816" s="1145" t="s">
        <v>1468</v>
      </c>
      <c r="AN1816" s="1202" t="s">
        <v>1557</v>
      </c>
      <c r="AO1816" s="1146" t="s">
        <v>1239</v>
      </c>
      <c r="AP1816" s="936"/>
      <c r="AQ1816" s="1245"/>
      <c r="AR1816" s="1245"/>
      <c r="AS1816" s="936"/>
    </row>
    <row r="1817" ht="15.75" customHeight="1">
      <c r="A1817" s="1099"/>
      <c r="B1817" s="948" t="s">
        <v>2590</v>
      </c>
      <c r="C1817" s="1197" t="s">
        <v>2591</v>
      </c>
      <c r="D1817" s="1197" t="s">
        <v>2591</v>
      </c>
      <c r="E1817" s="1147" t="s">
        <v>2591</v>
      </c>
      <c r="F1817" s="940"/>
      <c r="G1817" s="953"/>
      <c r="H1817" s="969"/>
      <c r="I1817" s="998" t="s">
        <v>4917</v>
      </c>
      <c r="J1817" s="1194" t="s">
        <v>136</v>
      </c>
      <c r="K1817" s="984" t="s">
        <v>216</v>
      </c>
      <c r="L1817" s="959">
        <v>100.0</v>
      </c>
      <c r="M1817" s="960">
        <v>5.0</v>
      </c>
      <c r="N1817" s="960">
        <v>5.0</v>
      </c>
      <c r="O1817" s="960">
        <v>15.0</v>
      </c>
      <c r="P1817" s="960">
        <v>65.0</v>
      </c>
      <c r="Q1817" s="960">
        <v>30.0</v>
      </c>
      <c r="R1817" s="960">
        <v>96.0</v>
      </c>
      <c r="S1817" s="960">
        <v>159.0</v>
      </c>
      <c r="T1817" s="960">
        <v>174.0</v>
      </c>
      <c r="U1817" s="960">
        <f t="array" ref="U1817">HLOOKUP($J1817,'Type Chart'!$C$2:$T$20,2,false)*HLOOKUP($K1817,'Type Chart'!$C$2:$U$20,2,false)</f>
        <v>1</v>
      </c>
      <c r="V1817" s="960">
        <f t="array" ref="V1817">HLOOKUP($J1817,'Type Chart'!$C$2:$T$20,3,false)*HLOOKUP($K1817,'Type Chart'!$C$2:$U$20,3,false)</f>
        <v>2</v>
      </c>
      <c r="W1817" s="960">
        <f t="array" ref="W1817">HLOOKUP($J1817,'Type Chart'!$C$2:$T$20,4,false)*HLOOKUP($K1817,'Type Chart'!$C$2:$U$20,4,false)</f>
        <v>1</v>
      </c>
      <c r="X1817" s="960">
        <f t="array" ref="X1817">HLOOKUP($J1817,'Type Chart'!$C$2:$T$20,5,false)*HLOOKUP($K1817,'Type Chart'!$C$2:$U$20,5,false)</f>
        <v>1</v>
      </c>
      <c r="Y1817" s="960">
        <f t="array" ref="Y1817">HLOOKUP($J1817,'Type Chart'!$C$2:$T$20,6,false)*HLOOKUP($K1817,'Type Chart'!$C$2:$U$20,6,false)</f>
        <v>1</v>
      </c>
      <c r="Z1817" s="960">
        <f t="array" ref="Z1817">HLOOKUP($J1817,'Type Chart'!$C$2:$T$20,7,false)*HLOOKUP($K1817,'Type Chart'!$C$2:$U$20,7,false)</f>
        <v>1</v>
      </c>
      <c r="AA1817" s="960">
        <f t="array" ref="AA1817">HLOOKUP($J1817,'Type Chart'!$C$2:$T$20,8,false)*HLOOKUP($K1817,'Type Chart'!$C$2:$U$20,8,false)</f>
        <v>1</v>
      </c>
      <c r="AB1817" s="960">
        <f t="array" ref="AB1817">HLOOKUP($J1817,'Type Chart'!$C$2:$T$20,9,false)*HLOOKUP($K1817,'Type Chart'!$C$2:$U$20,9,false)</f>
        <v>0</v>
      </c>
      <c r="AC1817" s="960">
        <f t="array" ref="AC1817">HLOOKUP($J1817,'Type Chart'!$C$2:$T$20,10,false)*HLOOKUP($K1817,'Type Chart'!$C$2:$U$20,10,false)</f>
        <v>1</v>
      </c>
      <c r="AD1817" s="960">
        <f t="array" ref="AD1817">HLOOKUP($J1817,'Type Chart'!$C$2:$T$20,11,false)*HLOOKUP($K1817,'Type Chart'!$C$2:$U$20,11,false)</f>
        <v>1</v>
      </c>
      <c r="AE1817" s="960">
        <f t="array" ref="AE1817">HLOOKUP($J1817,'Type Chart'!$C$2:$T$20,12,false)*HLOOKUP($K1817,'Type Chart'!$C$2:$U$20,12,false)</f>
        <v>1</v>
      </c>
      <c r="AF1817" s="960">
        <f t="array" ref="AF1817">HLOOKUP($J1817,'Type Chart'!$C$2:$T$20,13,false)*HLOOKUP($K1817,'Type Chart'!$C$2:$U$20,13,false)</f>
        <v>1</v>
      </c>
      <c r="AG1817" s="960">
        <f t="array" ref="AG1817">HLOOKUP($J1817,'Type Chart'!$C$2:$T$20,14,false)*HLOOKUP($K1817,'Type Chart'!$C$2:$U$20,14,false)</f>
        <v>1</v>
      </c>
      <c r="AH1817" s="960">
        <f t="array" ref="AH1817">HLOOKUP($J1817,'Type Chart'!$C$2:$T$20,15,false)*HLOOKUP($K1817,'Type Chart'!$C$2:$U$20,15,false)</f>
        <v>1</v>
      </c>
      <c r="AI1817" s="960">
        <f t="array" ref="AI1817">HLOOKUP($J1817,'Type Chart'!$C$2:$T$20,16,false)*HLOOKUP($K1817,'Type Chart'!$C$2:$U$20,16,false)</f>
        <v>1</v>
      </c>
      <c r="AJ1817" s="960">
        <f t="array" ref="AJ1817">HLOOKUP($J1817,'Type Chart'!$C$2:$T$20,17,false)*HLOOKUP($K1817,'Type Chart'!$C$2:$U$20,17,false)</f>
        <v>1</v>
      </c>
      <c r="AK1817" s="960">
        <f t="array" ref="AK1817">HLOOKUP($J1817,'Type Chart'!$C$2:$T$20,18,false)*HLOOKUP($K1817,'Type Chart'!$C$2:$U$20,18,false)</f>
        <v>1</v>
      </c>
      <c r="AL1817" s="960">
        <f t="array" ref="AL1817">HLOOKUP($J1817,'Type Chart'!$C$2:$T$20,19,false)*HLOOKUP($K1817,'Type Chart'!$C$2:$U$20,19,false)</f>
        <v>1</v>
      </c>
      <c r="AM1817" s="964" t="s">
        <v>1520</v>
      </c>
      <c r="AN1817" s="965" t="s">
        <v>1521</v>
      </c>
      <c r="AO1817" s="966" t="s">
        <v>1167</v>
      </c>
      <c r="AP1817" s="936"/>
      <c r="AQ1817" s="1245"/>
      <c r="AR1817" s="1245"/>
      <c r="AS1817" s="936"/>
    </row>
    <row r="1818" ht="15.75" customHeight="1">
      <c r="A1818" s="1099"/>
      <c r="B1818" s="948" t="s">
        <v>2593</v>
      </c>
      <c r="C1818" s="1197" t="s">
        <v>2594</v>
      </c>
      <c r="D1818" s="1197" t="s">
        <v>2594</v>
      </c>
      <c r="E1818" s="1147" t="s">
        <v>2594</v>
      </c>
      <c r="F1818" s="940"/>
      <c r="G1818" s="953"/>
      <c r="H1818" s="969"/>
      <c r="I1818" s="998" t="s">
        <v>4918</v>
      </c>
      <c r="J1818" s="1194" t="s">
        <v>136</v>
      </c>
      <c r="K1818" s="1001" t="s">
        <v>128</v>
      </c>
      <c r="L1818" s="959">
        <v>76.0</v>
      </c>
      <c r="M1818" s="960">
        <v>65.0</v>
      </c>
      <c r="N1818" s="960">
        <v>45.0</v>
      </c>
      <c r="O1818" s="960">
        <v>92.0</v>
      </c>
      <c r="P1818" s="960">
        <v>42.0</v>
      </c>
      <c r="Q1818" s="960">
        <v>91.0</v>
      </c>
      <c r="R1818" s="960">
        <v>218.0</v>
      </c>
      <c r="S1818" s="960">
        <v>281.0</v>
      </c>
      <c r="T1818" s="960">
        <v>309.0</v>
      </c>
      <c r="U1818" s="960">
        <f t="array" ref="U1818">HLOOKUP($J1818,'Type Chart'!$C$2:$T$20,2,false)*HLOOKUP($K1818,'Type Chart'!$C$2:$U$20,2,false)</f>
        <v>1</v>
      </c>
      <c r="V1818" s="960">
        <f t="array" ref="V1818">HLOOKUP($J1818,'Type Chart'!$C$2:$T$20,3,false)*HLOOKUP($K1818,'Type Chart'!$C$2:$U$20,3,false)</f>
        <v>1</v>
      </c>
      <c r="W1818" s="960">
        <f t="array" ref="W1818">HLOOKUP($J1818,'Type Chart'!$C$2:$T$20,4,false)*HLOOKUP($K1818,'Type Chart'!$C$2:$U$20,4,false)</f>
        <v>1</v>
      </c>
      <c r="X1818" s="960">
        <f t="array" ref="X1818">HLOOKUP($J1818,'Type Chart'!$C$2:$T$20,5,false)*HLOOKUP($K1818,'Type Chart'!$C$2:$U$20,5,false)</f>
        <v>1</v>
      </c>
      <c r="Y1818" s="960">
        <f t="array" ref="Y1818">HLOOKUP($J1818,'Type Chart'!$C$2:$T$20,6,false)*HLOOKUP($K1818,'Type Chart'!$C$2:$U$20,6,false)</f>
        <v>0</v>
      </c>
      <c r="Z1818" s="960">
        <f t="array" ref="Z1818">HLOOKUP($J1818,'Type Chart'!$C$2:$T$20,7,false)*HLOOKUP($K1818,'Type Chart'!$C$2:$U$20,7,false)</f>
        <v>2</v>
      </c>
      <c r="AA1818" s="960">
        <f t="array" ref="AA1818">HLOOKUP($J1818,'Type Chart'!$C$2:$T$20,8,false)*HLOOKUP($K1818,'Type Chart'!$C$2:$U$20,8,false)</f>
        <v>0.5</v>
      </c>
      <c r="AB1818" s="960">
        <f t="array" ref="AB1818">HLOOKUP($J1818,'Type Chart'!$C$2:$T$20,9,false)*HLOOKUP($K1818,'Type Chart'!$C$2:$U$20,9,false)</f>
        <v>0</v>
      </c>
      <c r="AC1818" s="960">
        <f t="array" ref="AC1818">HLOOKUP($J1818,'Type Chart'!$C$2:$T$20,10,false)*HLOOKUP($K1818,'Type Chart'!$C$2:$U$20,10,false)</f>
        <v>1</v>
      </c>
      <c r="AD1818" s="960">
        <f t="array" ref="AD1818">HLOOKUP($J1818,'Type Chart'!$C$2:$T$20,11,false)*HLOOKUP($K1818,'Type Chart'!$C$2:$U$20,11,false)</f>
        <v>1</v>
      </c>
      <c r="AE1818" s="960">
        <f t="array" ref="AE1818">HLOOKUP($J1818,'Type Chart'!$C$2:$T$20,12,false)*HLOOKUP($K1818,'Type Chart'!$C$2:$U$20,12,false)</f>
        <v>1</v>
      </c>
      <c r="AF1818" s="960">
        <f t="array" ref="AF1818">HLOOKUP($J1818,'Type Chart'!$C$2:$T$20,13,false)*HLOOKUP($K1818,'Type Chart'!$C$2:$U$20,13,false)</f>
        <v>0.5</v>
      </c>
      <c r="AG1818" s="960">
        <f t="array" ref="AG1818">HLOOKUP($J1818,'Type Chart'!$C$2:$T$20,14,false)*HLOOKUP($K1818,'Type Chart'!$C$2:$U$20,14,false)</f>
        <v>2</v>
      </c>
      <c r="AH1818" s="960">
        <f t="array" ref="AH1818">HLOOKUP($J1818,'Type Chart'!$C$2:$T$20,15,false)*HLOOKUP($K1818,'Type Chart'!$C$2:$U$20,15,false)</f>
        <v>1</v>
      </c>
      <c r="AI1818" s="960">
        <f t="array" ref="AI1818">HLOOKUP($J1818,'Type Chart'!$C$2:$T$20,16,false)*HLOOKUP($K1818,'Type Chart'!$C$2:$U$20,16,false)</f>
        <v>2</v>
      </c>
      <c r="AJ1818" s="960">
        <f t="array" ref="AJ1818">HLOOKUP($J1818,'Type Chart'!$C$2:$T$20,17,false)*HLOOKUP($K1818,'Type Chart'!$C$2:$U$20,17,false)</f>
        <v>1</v>
      </c>
      <c r="AK1818" s="960">
        <f t="array" ref="AK1818">HLOOKUP($J1818,'Type Chart'!$C$2:$T$20,18,false)*HLOOKUP($K1818,'Type Chart'!$C$2:$U$20,18,false)</f>
        <v>1</v>
      </c>
      <c r="AL1818" s="960">
        <f t="array" ref="AL1818">HLOOKUP($J1818,'Type Chart'!$C$2:$T$20,19,false)*HLOOKUP($K1818,'Type Chart'!$C$2:$U$20,19,false)</f>
        <v>1</v>
      </c>
      <c r="AM1818" s="964" t="s">
        <v>1022</v>
      </c>
      <c r="AN1818" s="965" t="s">
        <v>1023</v>
      </c>
      <c r="AO1818" s="966" t="s">
        <v>1024</v>
      </c>
      <c r="AP1818" s="936"/>
      <c r="AQ1818" s="1245"/>
      <c r="AR1818" s="1245"/>
      <c r="AS1818" s="936"/>
    </row>
    <row r="1819" ht="15.75" customHeight="1">
      <c r="A1819" s="1099"/>
      <c r="B1819" s="948" t="s">
        <v>2596</v>
      </c>
      <c r="C1819" s="1197" t="s">
        <v>2597</v>
      </c>
      <c r="D1819" s="1197" t="s">
        <v>2597</v>
      </c>
      <c r="E1819" s="1147" t="s">
        <v>2597</v>
      </c>
      <c r="F1819" s="940"/>
      <c r="G1819" s="953"/>
      <c r="H1819" s="969"/>
      <c r="I1819" s="998" t="s">
        <v>4919</v>
      </c>
      <c r="J1819" s="1220" t="s">
        <v>215</v>
      </c>
      <c r="K1819" s="1195" t="s">
        <v>193</v>
      </c>
      <c r="L1819" s="959">
        <v>50.0</v>
      </c>
      <c r="M1819" s="960">
        <v>92.0</v>
      </c>
      <c r="N1819" s="960">
        <v>108.0</v>
      </c>
      <c r="O1819" s="960">
        <v>92.0</v>
      </c>
      <c r="P1819" s="960">
        <v>108.0</v>
      </c>
      <c r="Q1819" s="960">
        <v>35.0</v>
      </c>
      <c r="R1819" s="960">
        <v>106.0</v>
      </c>
      <c r="S1819" s="960">
        <v>169.0</v>
      </c>
      <c r="T1819" s="960">
        <v>185.0</v>
      </c>
      <c r="U1819" s="960">
        <f t="array" ref="U1819">HLOOKUP($J1819,'Type Chart'!$C$2:$T$20,2,false)*HLOOKUP($K1819,'Type Chart'!$C$2:$U$20,2,false)</f>
        <v>0</v>
      </c>
      <c r="V1819" s="960">
        <f t="array" ref="V1819">HLOOKUP($J1819,'Type Chart'!$C$2:$T$20,3,false)*HLOOKUP($K1819,'Type Chart'!$C$2:$U$20,3,false)</f>
        <v>0</v>
      </c>
      <c r="W1819" s="960">
        <f t="array" ref="W1819">HLOOKUP($J1819,'Type Chart'!$C$2:$T$20,4,false)*HLOOKUP($K1819,'Type Chart'!$C$2:$U$20,4,false)</f>
        <v>1</v>
      </c>
      <c r="X1819" s="960">
        <f t="array" ref="X1819">HLOOKUP($J1819,'Type Chart'!$C$2:$T$20,5,false)*HLOOKUP($K1819,'Type Chart'!$C$2:$U$20,5,false)</f>
        <v>0.5</v>
      </c>
      <c r="Y1819" s="960">
        <f t="array" ref="Y1819">HLOOKUP($J1819,'Type Chart'!$C$2:$T$20,6,false)*HLOOKUP($K1819,'Type Chart'!$C$2:$U$20,6,false)</f>
        <v>1</v>
      </c>
      <c r="Z1819" s="960">
        <f t="array" ref="Z1819">HLOOKUP($J1819,'Type Chart'!$C$2:$T$20,7,false)*HLOOKUP($K1819,'Type Chart'!$C$2:$U$20,7,false)</f>
        <v>1</v>
      </c>
      <c r="AA1819" s="960">
        <f t="array" ref="AA1819">HLOOKUP($J1819,'Type Chart'!$C$2:$T$20,8,false)*HLOOKUP($K1819,'Type Chart'!$C$2:$U$20,8,false)</f>
        <v>1</v>
      </c>
      <c r="AB1819" s="960">
        <f t="array" ref="AB1819">HLOOKUP($J1819,'Type Chart'!$C$2:$T$20,9,false)*HLOOKUP($K1819,'Type Chart'!$C$2:$U$20,9,false)</f>
        <v>1</v>
      </c>
      <c r="AC1819" s="960">
        <f t="array" ref="AC1819">HLOOKUP($J1819,'Type Chart'!$C$2:$T$20,10,false)*HLOOKUP($K1819,'Type Chart'!$C$2:$U$20,10,false)</f>
        <v>1</v>
      </c>
      <c r="AD1819" s="960">
        <f t="array" ref="AD1819">HLOOKUP($J1819,'Type Chart'!$C$2:$T$20,11,false)*HLOOKUP($K1819,'Type Chart'!$C$2:$U$20,11,false)</f>
        <v>1</v>
      </c>
      <c r="AE1819" s="960">
        <f t="array" ref="AE1819">HLOOKUP($J1819,'Type Chart'!$C$2:$T$20,12,false)*HLOOKUP($K1819,'Type Chart'!$C$2:$U$20,12,false)</f>
        <v>1</v>
      </c>
      <c r="AF1819" s="960">
        <f t="array" ref="AF1819">HLOOKUP($J1819,'Type Chart'!$C$2:$T$20,13,false)*HLOOKUP($K1819,'Type Chart'!$C$2:$U$20,13,false)</f>
        <v>1</v>
      </c>
      <c r="AG1819" s="960">
        <f t="array" ref="AG1819">HLOOKUP($J1819,'Type Chart'!$C$2:$T$20,14,false)*HLOOKUP($K1819,'Type Chart'!$C$2:$U$20,14,false)</f>
        <v>1</v>
      </c>
      <c r="AH1819" s="960">
        <f t="array" ref="AH1819">HLOOKUP($J1819,'Type Chart'!$C$2:$T$20,15,false)*HLOOKUP($K1819,'Type Chart'!$C$2:$U$20,15,false)</f>
        <v>0</v>
      </c>
      <c r="AI1819" s="960">
        <f t="array" ref="AI1819">HLOOKUP($J1819,'Type Chart'!$C$2:$T$20,16,false)*HLOOKUP($K1819,'Type Chart'!$C$2:$U$20,16,false)</f>
        <v>1</v>
      </c>
      <c r="AJ1819" s="960">
        <f t="array" ref="AJ1819">HLOOKUP($J1819,'Type Chart'!$C$2:$T$20,17,false)*HLOOKUP($K1819,'Type Chart'!$C$2:$U$20,17,false)</f>
        <v>1</v>
      </c>
      <c r="AK1819" s="960">
        <f t="array" ref="AK1819">HLOOKUP($J1819,'Type Chart'!$C$2:$T$20,18,false)*HLOOKUP($K1819,'Type Chart'!$C$2:$U$20,18,false)</f>
        <v>1</v>
      </c>
      <c r="AL1819" s="960">
        <f t="array" ref="AL1819">HLOOKUP($J1819,'Type Chart'!$C$2:$T$20,19,false)*HLOOKUP($K1819,'Type Chart'!$C$2:$U$20,19,false)</f>
        <v>2</v>
      </c>
      <c r="AM1819" s="964" t="s">
        <v>1636</v>
      </c>
      <c r="AN1819" s="965"/>
      <c r="AO1819" s="966" t="s">
        <v>1193</v>
      </c>
      <c r="AP1819" s="936"/>
      <c r="AQ1819" s="1245"/>
      <c r="AR1819" s="1245"/>
      <c r="AS1819" s="936"/>
    </row>
    <row r="1820" ht="15.75" customHeight="1">
      <c r="A1820" s="1099"/>
      <c r="B1820" s="948" t="s">
        <v>2598</v>
      </c>
      <c r="C1820" s="1197" t="s">
        <v>2599</v>
      </c>
      <c r="D1820" s="1197" t="s">
        <v>2599</v>
      </c>
      <c r="E1820" s="1147" t="s">
        <v>2599</v>
      </c>
      <c r="F1820" s="940"/>
      <c r="G1820" s="953"/>
      <c r="H1820" s="969"/>
      <c r="I1820" s="998" t="s">
        <v>4920</v>
      </c>
      <c r="J1820" s="1006" t="s">
        <v>346</v>
      </c>
      <c r="K1820" s="1204" t="s">
        <v>80</v>
      </c>
      <c r="L1820" s="959">
        <v>58.0</v>
      </c>
      <c r="M1820" s="960">
        <v>70.0</v>
      </c>
      <c r="N1820" s="960">
        <v>45.0</v>
      </c>
      <c r="O1820" s="960">
        <v>40.0</v>
      </c>
      <c r="P1820" s="960">
        <v>45.0</v>
      </c>
      <c r="Q1820" s="960">
        <v>42.0</v>
      </c>
      <c r="R1820" s="960">
        <v>120.0</v>
      </c>
      <c r="S1820" s="960">
        <v>183.0</v>
      </c>
      <c r="T1820" s="960">
        <v>201.0</v>
      </c>
      <c r="U1820" s="960">
        <f t="array" ref="U1820">HLOOKUP($J1820,'Type Chart'!$C$2:$T$20,2,false)*HLOOKUP($K1820,'Type Chart'!$C$2:$U$20,2,false)</f>
        <v>1</v>
      </c>
      <c r="V1820" s="960">
        <f t="array" ref="V1820">HLOOKUP($J1820,'Type Chart'!$C$2:$T$20,3,false)*HLOOKUP($K1820,'Type Chart'!$C$2:$U$20,3,false)</f>
        <v>1</v>
      </c>
      <c r="W1820" s="960">
        <f t="array" ref="W1820">HLOOKUP($J1820,'Type Chart'!$C$2:$T$20,4,false)*HLOOKUP($K1820,'Type Chart'!$C$2:$U$20,4,false)</f>
        <v>1</v>
      </c>
      <c r="X1820" s="960">
        <f t="array" ref="X1820">HLOOKUP($J1820,'Type Chart'!$C$2:$T$20,5,false)*HLOOKUP($K1820,'Type Chart'!$C$2:$U$20,5,false)</f>
        <v>0.5</v>
      </c>
      <c r="Y1820" s="960">
        <f t="array" ref="Y1820">HLOOKUP($J1820,'Type Chart'!$C$2:$T$20,6,false)*HLOOKUP($K1820,'Type Chart'!$C$2:$U$20,6,false)</f>
        <v>1</v>
      </c>
      <c r="Z1820" s="960">
        <f t="array" ref="Z1820">HLOOKUP($J1820,'Type Chart'!$C$2:$T$20,7,false)*HLOOKUP($K1820,'Type Chart'!$C$2:$U$20,7,false)</f>
        <v>0.5</v>
      </c>
      <c r="AA1820" s="960">
        <f t="array" ref="AA1820">HLOOKUP($J1820,'Type Chart'!$C$2:$T$20,8,false)*HLOOKUP($K1820,'Type Chart'!$C$2:$U$20,8,false)</f>
        <v>1</v>
      </c>
      <c r="AB1820" s="960">
        <f t="array" ref="AB1820">HLOOKUP($J1820,'Type Chart'!$C$2:$T$20,9,false)*HLOOKUP($K1820,'Type Chart'!$C$2:$U$20,9,false)</f>
        <v>1</v>
      </c>
      <c r="AC1820" s="960">
        <f t="array" ref="AC1820">HLOOKUP($J1820,'Type Chart'!$C$2:$T$20,10,false)*HLOOKUP($K1820,'Type Chart'!$C$2:$U$20,10,false)</f>
        <v>1</v>
      </c>
      <c r="AD1820" s="960">
        <f t="array" ref="AD1820">HLOOKUP($J1820,'Type Chart'!$C$2:$T$20,11,false)*HLOOKUP($K1820,'Type Chart'!$C$2:$U$20,11,false)</f>
        <v>0.5</v>
      </c>
      <c r="AE1820" s="960">
        <f t="array" ref="AE1820">HLOOKUP($J1820,'Type Chart'!$C$2:$T$20,12,false)*HLOOKUP($K1820,'Type Chart'!$C$2:$U$20,12,false)</f>
        <v>1</v>
      </c>
      <c r="AF1820" s="960">
        <f t="array" ref="AF1820">HLOOKUP($J1820,'Type Chart'!$C$2:$T$20,13,false)*HLOOKUP($K1820,'Type Chart'!$C$2:$U$20,13,false)</f>
        <v>1</v>
      </c>
      <c r="AG1820" s="960">
        <f t="array" ref="AG1820">HLOOKUP($J1820,'Type Chart'!$C$2:$T$20,14,false)*HLOOKUP($K1820,'Type Chart'!$C$2:$U$20,14,false)</f>
        <v>0</v>
      </c>
      <c r="AH1820" s="960">
        <f t="array" ref="AH1820">HLOOKUP($J1820,'Type Chart'!$C$2:$T$20,15,false)*HLOOKUP($K1820,'Type Chart'!$C$2:$U$20,15,false)</f>
        <v>1</v>
      </c>
      <c r="AI1820" s="960">
        <f t="array" ref="AI1820">HLOOKUP($J1820,'Type Chart'!$C$2:$T$20,16,false)*HLOOKUP($K1820,'Type Chart'!$C$2:$U$20,16,false)</f>
        <v>4</v>
      </c>
      <c r="AJ1820" s="960">
        <f t="array" ref="AJ1820">HLOOKUP($J1820,'Type Chart'!$C$2:$T$20,17,false)*HLOOKUP($K1820,'Type Chart'!$C$2:$U$20,17,false)</f>
        <v>2</v>
      </c>
      <c r="AK1820" s="960">
        <f t="array" ref="AK1820">HLOOKUP($J1820,'Type Chart'!$C$2:$T$20,18,false)*HLOOKUP($K1820,'Type Chart'!$C$2:$U$20,18,false)</f>
        <v>1</v>
      </c>
      <c r="AL1820" s="960">
        <f t="array" ref="AL1820">HLOOKUP($J1820,'Type Chart'!$C$2:$T$20,19,false)*HLOOKUP($K1820,'Type Chart'!$C$2:$U$20,19,false)</f>
        <v>2</v>
      </c>
      <c r="AM1820" s="964" t="s">
        <v>1129</v>
      </c>
      <c r="AN1820" s="1202"/>
      <c r="AO1820" s="1146" t="s">
        <v>2198</v>
      </c>
      <c r="AP1820" s="936"/>
      <c r="AQ1820" s="1245"/>
      <c r="AR1820" s="1245"/>
      <c r="AS1820" s="936"/>
    </row>
    <row r="1821" ht="15.75" customHeight="1">
      <c r="A1821" s="1099"/>
      <c r="B1821" s="948" t="s">
        <v>2601</v>
      </c>
      <c r="C1821" s="1197" t="s">
        <v>2602</v>
      </c>
      <c r="D1821" s="1197" t="s">
        <v>2602</v>
      </c>
      <c r="E1821" s="1147" t="s">
        <v>2602</v>
      </c>
      <c r="F1821" s="940"/>
      <c r="G1821" s="953"/>
      <c r="H1821" s="969"/>
      <c r="I1821" s="998" t="s">
        <v>4921</v>
      </c>
      <c r="J1821" s="1006" t="s">
        <v>346</v>
      </c>
      <c r="K1821" s="1204" t="s">
        <v>80</v>
      </c>
      <c r="L1821" s="959">
        <v>68.0</v>
      </c>
      <c r="M1821" s="960">
        <v>90.0</v>
      </c>
      <c r="N1821" s="960">
        <v>65.0</v>
      </c>
      <c r="O1821" s="960">
        <v>50.0</v>
      </c>
      <c r="P1821" s="960">
        <v>55.0</v>
      </c>
      <c r="Q1821" s="960">
        <v>82.0</v>
      </c>
      <c r="R1821" s="960">
        <v>200.0</v>
      </c>
      <c r="S1821" s="960">
        <v>263.0</v>
      </c>
      <c r="T1821" s="960">
        <v>289.0</v>
      </c>
      <c r="U1821" s="960">
        <f t="array" ref="U1821">HLOOKUP($J1821,'Type Chart'!$C$2:$T$20,2,false)*HLOOKUP($K1821,'Type Chart'!$C$2:$U$20,2,false)</f>
        <v>1</v>
      </c>
      <c r="V1821" s="960">
        <f t="array" ref="V1821">HLOOKUP($J1821,'Type Chart'!$C$2:$T$20,3,false)*HLOOKUP($K1821,'Type Chart'!$C$2:$U$20,3,false)</f>
        <v>1</v>
      </c>
      <c r="W1821" s="960">
        <f t="array" ref="W1821">HLOOKUP($J1821,'Type Chart'!$C$2:$T$20,4,false)*HLOOKUP($K1821,'Type Chart'!$C$2:$U$20,4,false)</f>
        <v>1</v>
      </c>
      <c r="X1821" s="960">
        <f t="array" ref="X1821">HLOOKUP($J1821,'Type Chart'!$C$2:$T$20,5,false)*HLOOKUP($K1821,'Type Chart'!$C$2:$U$20,5,false)</f>
        <v>0.5</v>
      </c>
      <c r="Y1821" s="960">
        <f t="array" ref="Y1821">HLOOKUP($J1821,'Type Chart'!$C$2:$T$20,6,false)*HLOOKUP($K1821,'Type Chart'!$C$2:$U$20,6,false)</f>
        <v>1</v>
      </c>
      <c r="Z1821" s="960">
        <f t="array" ref="Z1821">HLOOKUP($J1821,'Type Chart'!$C$2:$T$20,7,false)*HLOOKUP($K1821,'Type Chart'!$C$2:$U$20,7,false)</f>
        <v>0.5</v>
      </c>
      <c r="AA1821" s="960">
        <f t="array" ref="AA1821">HLOOKUP($J1821,'Type Chart'!$C$2:$T$20,8,false)*HLOOKUP($K1821,'Type Chart'!$C$2:$U$20,8,false)</f>
        <v>1</v>
      </c>
      <c r="AB1821" s="960">
        <f t="array" ref="AB1821">HLOOKUP($J1821,'Type Chart'!$C$2:$T$20,9,false)*HLOOKUP($K1821,'Type Chart'!$C$2:$U$20,9,false)</f>
        <v>1</v>
      </c>
      <c r="AC1821" s="960">
        <f t="array" ref="AC1821">HLOOKUP($J1821,'Type Chart'!$C$2:$T$20,10,false)*HLOOKUP($K1821,'Type Chart'!$C$2:$U$20,10,false)</f>
        <v>1</v>
      </c>
      <c r="AD1821" s="960">
        <f t="array" ref="AD1821">HLOOKUP($J1821,'Type Chart'!$C$2:$T$20,11,false)*HLOOKUP($K1821,'Type Chart'!$C$2:$U$20,11,false)</f>
        <v>0.5</v>
      </c>
      <c r="AE1821" s="960">
        <f t="array" ref="AE1821">HLOOKUP($J1821,'Type Chart'!$C$2:$T$20,12,false)*HLOOKUP($K1821,'Type Chart'!$C$2:$U$20,12,false)</f>
        <v>1</v>
      </c>
      <c r="AF1821" s="960">
        <f t="array" ref="AF1821">HLOOKUP($J1821,'Type Chart'!$C$2:$T$20,13,false)*HLOOKUP($K1821,'Type Chart'!$C$2:$U$20,13,false)</f>
        <v>1</v>
      </c>
      <c r="AG1821" s="960">
        <f t="array" ref="AG1821">HLOOKUP($J1821,'Type Chart'!$C$2:$T$20,14,false)*HLOOKUP($K1821,'Type Chart'!$C$2:$U$20,14,false)</f>
        <v>0</v>
      </c>
      <c r="AH1821" s="960">
        <f t="array" ref="AH1821">HLOOKUP($J1821,'Type Chart'!$C$2:$T$20,15,false)*HLOOKUP($K1821,'Type Chart'!$C$2:$U$20,15,false)</f>
        <v>1</v>
      </c>
      <c r="AI1821" s="960">
        <f t="array" ref="AI1821">HLOOKUP($J1821,'Type Chart'!$C$2:$T$20,16,false)*HLOOKUP($K1821,'Type Chart'!$C$2:$U$20,16,false)</f>
        <v>4</v>
      </c>
      <c r="AJ1821" s="960">
        <f t="array" ref="AJ1821">HLOOKUP($J1821,'Type Chart'!$C$2:$T$20,17,false)*HLOOKUP($K1821,'Type Chart'!$C$2:$U$20,17,false)</f>
        <v>2</v>
      </c>
      <c r="AK1821" s="960">
        <f t="array" ref="AK1821">HLOOKUP($J1821,'Type Chart'!$C$2:$T$20,18,false)*HLOOKUP($K1821,'Type Chart'!$C$2:$U$20,18,false)</f>
        <v>1</v>
      </c>
      <c r="AL1821" s="960">
        <f t="array" ref="AL1821">HLOOKUP($J1821,'Type Chart'!$C$2:$T$20,19,false)*HLOOKUP($K1821,'Type Chart'!$C$2:$U$20,19,false)</f>
        <v>2</v>
      </c>
      <c r="AM1821" s="964" t="s">
        <v>1129</v>
      </c>
      <c r="AN1821" s="965"/>
      <c r="AO1821" s="966" t="s">
        <v>2198</v>
      </c>
      <c r="AP1821" s="936"/>
      <c r="AQ1821" s="1245"/>
      <c r="AR1821" s="1245"/>
      <c r="AS1821" s="936"/>
    </row>
    <row r="1822" ht="15.75" customHeight="1">
      <c r="A1822" s="1099"/>
      <c r="B1822" s="948" t="s">
        <v>2603</v>
      </c>
      <c r="C1822" s="1197" t="s">
        <v>2604</v>
      </c>
      <c r="D1822" s="1197" t="s">
        <v>2604</v>
      </c>
      <c r="E1822" s="1147" t="s">
        <v>2604</v>
      </c>
      <c r="F1822" s="940"/>
      <c r="G1822" s="953"/>
      <c r="H1822" s="969"/>
      <c r="I1822" s="998" t="s">
        <v>4922</v>
      </c>
      <c r="J1822" s="1006" t="s">
        <v>346</v>
      </c>
      <c r="K1822" s="1204" t="s">
        <v>80</v>
      </c>
      <c r="L1822" s="959">
        <v>108.0</v>
      </c>
      <c r="M1822" s="960">
        <v>130.0</v>
      </c>
      <c r="N1822" s="960">
        <v>95.0</v>
      </c>
      <c r="O1822" s="960">
        <v>80.0</v>
      </c>
      <c r="P1822" s="960">
        <v>85.0</v>
      </c>
      <c r="Q1822" s="960">
        <v>102.0</v>
      </c>
      <c r="R1822" s="960">
        <v>240.0</v>
      </c>
      <c r="S1822" s="960">
        <v>303.0</v>
      </c>
      <c r="T1822" s="960">
        <v>333.0</v>
      </c>
      <c r="U1822" s="960">
        <f t="array" ref="U1822">HLOOKUP($J1822,'Type Chart'!$C$2:$T$20,2,false)*HLOOKUP($K1822,'Type Chart'!$C$2:$U$20,2,false)</f>
        <v>1</v>
      </c>
      <c r="V1822" s="960">
        <f t="array" ref="V1822">HLOOKUP($J1822,'Type Chart'!$C$2:$T$20,3,false)*HLOOKUP($K1822,'Type Chart'!$C$2:$U$20,3,false)</f>
        <v>1</v>
      </c>
      <c r="W1822" s="960">
        <f t="array" ref="W1822">HLOOKUP($J1822,'Type Chart'!$C$2:$T$20,4,false)*HLOOKUP($K1822,'Type Chart'!$C$2:$U$20,4,false)</f>
        <v>1</v>
      </c>
      <c r="X1822" s="960">
        <f t="array" ref="X1822">HLOOKUP($J1822,'Type Chart'!$C$2:$T$20,5,false)*HLOOKUP($K1822,'Type Chart'!$C$2:$U$20,5,false)</f>
        <v>0.5</v>
      </c>
      <c r="Y1822" s="960">
        <f t="array" ref="Y1822">HLOOKUP($J1822,'Type Chart'!$C$2:$T$20,6,false)*HLOOKUP($K1822,'Type Chart'!$C$2:$U$20,6,false)</f>
        <v>1</v>
      </c>
      <c r="Z1822" s="960">
        <f t="array" ref="Z1822">HLOOKUP($J1822,'Type Chart'!$C$2:$T$20,7,false)*HLOOKUP($K1822,'Type Chart'!$C$2:$U$20,7,false)</f>
        <v>0.5</v>
      </c>
      <c r="AA1822" s="960">
        <f t="array" ref="AA1822">HLOOKUP($J1822,'Type Chart'!$C$2:$T$20,8,false)*HLOOKUP($K1822,'Type Chart'!$C$2:$U$20,8,false)</f>
        <v>1</v>
      </c>
      <c r="AB1822" s="960">
        <f t="array" ref="AB1822">HLOOKUP($J1822,'Type Chart'!$C$2:$T$20,9,false)*HLOOKUP($K1822,'Type Chart'!$C$2:$U$20,9,false)</f>
        <v>1</v>
      </c>
      <c r="AC1822" s="960">
        <f t="array" ref="AC1822">HLOOKUP($J1822,'Type Chart'!$C$2:$T$20,10,false)*HLOOKUP($K1822,'Type Chart'!$C$2:$U$20,10,false)</f>
        <v>1</v>
      </c>
      <c r="AD1822" s="960">
        <f t="array" ref="AD1822">HLOOKUP($J1822,'Type Chart'!$C$2:$T$20,11,false)*HLOOKUP($K1822,'Type Chart'!$C$2:$U$20,11,false)</f>
        <v>0.5</v>
      </c>
      <c r="AE1822" s="960">
        <f t="array" ref="AE1822">HLOOKUP($J1822,'Type Chart'!$C$2:$T$20,12,false)*HLOOKUP($K1822,'Type Chart'!$C$2:$U$20,12,false)</f>
        <v>1</v>
      </c>
      <c r="AF1822" s="960">
        <f t="array" ref="AF1822">HLOOKUP($J1822,'Type Chart'!$C$2:$T$20,13,false)*HLOOKUP($K1822,'Type Chart'!$C$2:$U$20,13,false)</f>
        <v>1</v>
      </c>
      <c r="AG1822" s="960">
        <f t="array" ref="AG1822">HLOOKUP($J1822,'Type Chart'!$C$2:$T$20,14,false)*HLOOKUP($K1822,'Type Chart'!$C$2:$U$20,14,false)</f>
        <v>0</v>
      </c>
      <c r="AH1822" s="960">
        <f t="array" ref="AH1822">HLOOKUP($J1822,'Type Chart'!$C$2:$T$20,15,false)*HLOOKUP($K1822,'Type Chart'!$C$2:$U$20,15,false)</f>
        <v>1</v>
      </c>
      <c r="AI1822" s="960">
        <f t="array" ref="AI1822">HLOOKUP($J1822,'Type Chart'!$C$2:$T$20,16,false)*HLOOKUP($K1822,'Type Chart'!$C$2:$U$20,16,false)</f>
        <v>4</v>
      </c>
      <c r="AJ1822" s="960">
        <f t="array" ref="AJ1822">HLOOKUP($J1822,'Type Chart'!$C$2:$T$20,17,false)*HLOOKUP($K1822,'Type Chart'!$C$2:$U$20,17,false)</f>
        <v>2</v>
      </c>
      <c r="AK1822" s="960">
        <f t="array" ref="AK1822">HLOOKUP($J1822,'Type Chart'!$C$2:$T$20,18,false)*HLOOKUP($K1822,'Type Chart'!$C$2:$U$20,18,false)</f>
        <v>1</v>
      </c>
      <c r="AL1822" s="960">
        <f t="array" ref="AL1822">HLOOKUP($J1822,'Type Chart'!$C$2:$T$20,19,false)*HLOOKUP($K1822,'Type Chart'!$C$2:$U$20,19,false)</f>
        <v>2</v>
      </c>
      <c r="AM1822" s="964" t="s">
        <v>1129</v>
      </c>
      <c r="AN1822" s="965"/>
      <c r="AO1822" s="966" t="s">
        <v>2198</v>
      </c>
      <c r="AP1822" s="936"/>
      <c r="AQ1822" s="1245"/>
      <c r="AR1822" s="1245"/>
      <c r="AS1822" s="936"/>
    </row>
    <row r="1823" ht="15.75" customHeight="1">
      <c r="A1823" s="1099"/>
      <c r="B1823" s="948" t="s">
        <v>2605</v>
      </c>
      <c r="C1823" s="1197" t="s">
        <v>2606</v>
      </c>
      <c r="D1823" s="1197" t="s">
        <v>2606</v>
      </c>
      <c r="E1823" s="1147" t="s">
        <v>2606</v>
      </c>
      <c r="F1823" s="940"/>
      <c r="G1823" s="953"/>
      <c r="H1823" s="969"/>
      <c r="I1823" s="998" t="s">
        <v>4923</v>
      </c>
      <c r="J1823" s="1231" t="s">
        <v>346</v>
      </c>
      <c r="K1823" s="1223" t="s">
        <v>80</v>
      </c>
      <c r="L1823" s="1200">
        <v>108.0</v>
      </c>
      <c r="M1823" s="1201">
        <v>170.0</v>
      </c>
      <c r="N1823" s="1201">
        <v>115.0</v>
      </c>
      <c r="O1823" s="1201">
        <v>120.0</v>
      </c>
      <c r="P1823" s="1201">
        <v>95.0</v>
      </c>
      <c r="Q1823" s="1201">
        <v>92.0</v>
      </c>
      <c r="R1823" s="960">
        <v>220.0</v>
      </c>
      <c r="S1823" s="960">
        <v>283.0</v>
      </c>
      <c r="T1823" s="960">
        <v>311.0</v>
      </c>
      <c r="U1823" s="960">
        <f t="array" ref="U1823">HLOOKUP($J1823,'Type Chart'!$C$2:$T$20,2,false)*HLOOKUP($K1823,'Type Chart'!$C$2:$U$20,2,false)</f>
        <v>1</v>
      </c>
      <c r="V1823" s="960">
        <f t="array" ref="V1823">HLOOKUP($J1823,'Type Chart'!$C$2:$T$20,3,false)*HLOOKUP($K1823,'Type Chart'!$C$2:$U$20,3,false)</f>
        <v>1</v>
      </c>
      <c r="W1823" s="960">
        <f t="array" ref="W1823">HLOOKUP($J1823,'Type Chart'!$C$2:$T$20,4,false)*HLOOKUP($K1823,'Type Chart'!$C$2:$U$20,4,false)</f>
        <v>1</v>
      </c>
      <c r="X1823" s="960">
        <f t="array" ref="X1823">HLOOKUP($J1823,'Type Chart'!$C$2:$T$20,5,false)*HLOOKUP($K1823,'Type Chart'!$C$2:$U$20,5,false)</f>
        <v>0.5</v>
      </c>
      <c r="Y1823" s="960">
        <f t="array" ref="Y1823">HLOOKUP($J1823,'Type Chart'!$C$2:$T$20,6,false)*HLOOKUP($K1823,'Type Chart'!$C$2:$U$20,6,false)</f>
        <v>1</v>
      </c>
      <c r="Z1823" s="960">
        <f t="array" ref="Z1823">HLOOKUP($J1823,'Type Chart'!$C$2:$T$20,7,false)*HLOOKUP($K1823,'Type Chart'!$C$2:$U$20,7,false)</f>
        <v>0.5</v>
      </c>
      <c r="AA1823" s="960">
        <f t="array" ref="AA1823">HLOOKUP($J1823,'Type Chart'!$C$2:$T$20,8,false)*HLOOKUP($K1823,'Type Chart'!$C$2:$U$20,8,false)</f>
        <v>1</v>
      </c>
      <c r="AB1823" s="960">
        <f t="array" ref="AB1823">HLOOKUP($J1823,'Type Chart'!$C$2:$T$20,9,false)*HLOOKUP($K1823,'Type Chart'!$C$2:$U$20,9,false)</f>
        <v>1</v>
      </c>
      <c r="AC1823" s="960">
        <f t="array" ref="AC1823">HLOOKUP($J1823,'Type Chart'!$C$2:$T$20,10,false)*HLOOKUP($K1823,'Type Chart'!$C$2:$U$20,10,false)</f>
        <v>1</v>
      </c>
      <c r="AD1823" s="960">
        <f t="array" ref="AD1823">HLOOKUP($J1823,'Type Chart'!$C$2:$T$20,11,false)*HLOOKUP($K1823,'Type Chart'!$C$2:$U$20,11,false)</f>
        <v>0.5</v>
      </c>
      <c r="AE1823" s="960">
        <f t="array" ref="AE1823">HLOOKUP($J1823,'Type Chart'!$C$2:$T$20,12,false)*HLOOKUP($K1823,'Type Chart'!$C$2:$U$20,12,false)</f>
        <v>1</v>
      </c>
      <c r="AF1823" s="960">
        <f t="array" ref="AF1823">HLOOKUP($J1823,'Type Chart'!$C$2:$T$20,13,false)*HLOOKUP($K1823,'Type Chart'!$C$2:$U$20,13,false)</f>
        <v>1</v>
      </c>
      <c r="AG1823" s="960">
        <f t="array" ref="AG1823">HLOOKUP($J1823,'Type Chart'!$C$2:$T$20,14,false)*HLOOKUP($K1823,'Type Chart'!$C$2:$U$20,14,false)</f>
        <v>0</v>
      </c>
      <c r="AH1823" s="960">
        <f t="array" ref="AH1823">HLOOKUP($J1823,'Type Chart'!$C$2:$T$20,15,false)*HLOOKUP($K1823,'Type Chart'!$C$2:$U$20,15,false)</f>
        <v>1</v>
      </c>
      <c r="AI1823" s="960">
        <f t="array" ref="AI1823">HLOOKUP($J1823,'Type Chart'!$C$2:$T$20,16,false)*HLOOKUP($K1823,'Type Chart'!$C$2:$U$20,16,false)</f>
        <v>4</v>
      </c>
      <c r="AJ1823" s="960">
        <f t="array" ref="AJ1823">HLOOKUP($J1823,'Type Chart'!$C$2:$T$20,17,false)*HLOOKUP($K1823,'Type Chart'!$C$2:$U$20,17,false)</f>
        <v>2</v>
      </c>
      <c r="AK1823" s="960">
        <f t="array" ref="AK1823">HLOOKUP($J1823,'Type Chart'!$C$2:$T$20,18,false)*HLOOKUP($K1823,'Type Chart'!$C$2:$U$20,18,false)</f>
        <v>1</v>
      </c>
      <c r="AL1823" s="960">
        <f t="array" ref="AL1823">HLOOKUP($J1823,'Type Chart'!$C$2:$T$20,19,false)*HLOOKUP($K1823,'Type Chart'!$C$2:$U$20,19,false)</f>
        <v>2</v>
      </c>
      <c r="AM1823" s="1145" t="s">
        <v>1224</v>
      </c>
      <c r="AN1823" s="1202"/>
      <c r="AO1823" s="1146"/>
      <c r="AP1823" s="936"/>
      <c r="AQ1823" s="1245"/>
      <c r="AR1823" s="1245"/>
      <c r="AS1823" s="936"/>
    </row>
    <row r="1824" ht="15.75" customHeight="1">
      <c r="A1824" s="1099"/>
      <c r="B1824" s="948" t="s">
        <v>2608</v>
      </c>
      <c r="C1824" s="1197" t="s">
        <v>2609</v>
      </c>
      <c r="D1824" s="1197" t="s">
        <v>2609</v>
      </c>
      <c r="E1824" s="1147" t="s">
        <v>2609</v>
      </c>
      <c r="F1824" s="940"/>
      <c r="G1824" s="953"/>
      <c r="H1824" s="969"/>
      <c r="I1824" s="998" t="s">
        <v>4924</v>
      </c>
      <c r="J1824" s="1194" t="s">
        <v>136</v>
      </c>
      <c r="K1824" s="984" t="s">
        <v>216</v>
      </c>
      <c r="L1824" s="959">
        <v>135.0</v>
      </c>
      <c r="M1824" s="960">
        <v>85.0</v>
      </c>
      <c r="N1824" s="960">
        <v>40.0</v>
      </c>
      <c r="O1824" s="960">
        <v>40.0</v>
      </c>
      <c r="P1824" s="960">
        <v>85.0</v>
      </c>
      <c r="Q1824" s="960">
        <v>5.0</v>
      </c>
      <c r="R1824" s="960">
        <v>46.0</v>
      </c>
      <c r="S1824" s="960">
        <v>109.0</v>
      </c>
      <c r="T1824" s="960">
        <v>119.0</v>
      </c>
      <c r="U1824" s="960">
        <f t="array" ref="U1824">HLOOKUP($J1824,'Type Chart'!$C$2:$T$20,2,false)*HLOOKUP($K1824,'Type Chart'!$C$2:$U$20,2,false)</f>
        <v>1</v>
      </c>
      <c r="V1824" s="960">
        <f t="array" ref="V1824">HLOOKUP($J1824,'Type Chart'!$C$2:$T$20,3,false)*HLOOKUP($K1824,'Type Chart'!$C$2:$U$20,3,false)</f>
        <v>2</v>
      </c>
      <c r="W1824" s="960">
        <f t="array" ref="W1824">HLOOKUP($J1824,'Type Chart'!$C$2:$T$20,4,false)*HLOOKUP($K1824,'Type Chart'!$C$2:$U$20,4,false)</f>
        <v>1</v>
      </c>
      <c r="X1824" s="960">
        <f t="array" ref="X1824">HLOOKUP($J1824,'Type Chart'!$C$2:$T$20,5,false)*HLOOKUP($K1824,'Type Chart'!$C$2:$U$20,5,false)</f>
        <v>1</v>
      </c>
      <c r="Y1824" s="960">
        <f t="array" ref="Y1824">HLOOKUP($J1824,'Type Chart'!$C$2:$T$20,6,false)*HLOOKUP($K1824,'Type Chart'!$C$2:$U$20,6,false)</f>
        <v>1</v>
      </c>
      <c r="Z1824" s="960">
        <f t="array" ref="Z1824">HLOOKUP($J1824,'Type Chart'!$C$2:$T$20,7,false)*HLOOKUP($K1824,'Type Chart'!$C$2:$U$20,7,false)</f>
        <v>1</v>
      </c>
      <c r="AA1824" s="960">
        <f t="array" ref="AA1824">HLOOKUP($J1824,'Type Chart'!$C$2:$T$20,8,false)*HLOOKUP($K1824,'Type Chart'!$C$2:$U$20,8,false)</f>
        <v>1</v>
      </c>
      <c r="AB1824" s="960">
        <f t="array" ref="AB1824">HLOOKUP($J1824,'Type Chart'!$C$2:$T$20,9,false)*HLOOKUP($K1824,'Type Chart'!$C$2:$U$20,9,false)</f>
        <v>0</v>
      </c>
      <c r="AC1824" s="960">
        <f t="array" ref="AC1824">HLOOKUP($J1824,'Type Chart'!$C$2:$T$20,10,false)*HLOOKUP($K1824,'Type Chart'!$C$2:$U$20,10,false)</f>
        <v>1</v>
      </c>
      <c r="AD1824" s="960">
        <f t="array" ref="AD1824">HLOOKUP($J1824,'Type Chart'!$C$2:$T$20,11,false)*HLOOKUP($K1824,'Type Chart'!$C$2:$U$20,11,false)</f>
        <v>1</v>
      </c>
      <c r="AE1824" s="960">
        <f t="array" ref="AE1824">HLOOKUP($J1824,'Type Chart'!$C$2:$T$20,12,false)*HLOOKUP($K1824,'Type Chart'!$C$2:$U$20,12,false)</f>
        <v>1</v>
      </c>
      <c r="AF1824" s="960">
        <f t="array" ref="AF1824">HLOOKUP($J1824,'Type Chart'!$C$2:$T$20,13,false)*HLOOKUP($K1824,'Type Chart'!$C$2:$U$20,13,false)</f>
        <v>1</v>
      </c>
      <c r="AG1824" s="960">
        <f t="array" ref="AG1824">HLOOKUP($J1824,'Type Chart'!$C$2:$T$20,14,false)*HLOOKUP($K1824,'Type Chart'!$C$2:$U$20,14,false)</f>
        <v>1</v>
      </c>
      <c r="AH1824" s="960">
        <f t="array" ref="AH1824">HLOOKUP($J1824,'Type Chart'!$C$2:$T$20,15,false)*HLOOKUP($K1824,'Type Chart'!$C$2:$U$20,15,false)</f>
        <v>1</v>
      </c>
      <c r="AI1824" s="960">
        <f t="array" ref="AI1824">HLOOKUP($J1824,'Type Chart'!$C$2:$T$20,16,false)*HLOOKUP($K1824,'Type Chart'!$C$2:$U$20,16,false)</f>
        <v>1</v>
      </c>
      <c r="AJ1824" s="960">
        <f t="array" ref="AJ1824">HLOOKUP($J1824,'Type Chart'!$C$2:$T$20,17,false)*HLOOKUP($K1824,'Type Chart'!$C$2:$U$20,17,false)</f>
        <v>1</v>
      </c>
      <c r="AK1824" s="960">
        <f t="array" ref="AK1824">HLOOKUP($J1824,'Type Chart'!$C$2:$T$20,18,false)*HLOOKUP($K1824,'Type Chart'!$C$2:$U$20,18,false)</f>
        <v>1</v>
      </c>
      <c r="AL1824" s="960">
        <f t="array" ref="AL1824">HLOOKUP($J1824,'Type Chart'!$C$2:$T$20,19,false)*HLOOKUP($K1824,'Type Chart'!$C$2:$U$20,19,false)</f>
        <v>1</v>
      </c>
      <c r="AM1824" s="964" t="s">
        <v>1238</v>
      </c>
      <c r="AN1824" s="965" t="s">
        <v>760</v>
      </c>
      <c r="AO1824" s="966" t="s">
        <v>1044</v>
      </c>
      <c r="AP1824" s="936"/>
      <c r="AQ1824" s="1245"/>
      <c r="AR1824" s="1245"/>
      <c r="AS1824" s="936"/>
    </row>
    <row r="1825" ht="15.75" customHeight="1">
      <c r="A1825" s="1099"/>
      <c r="B1825" s="948" t="s">
        <v>2610</v>
      </c>
      <c r="C1825" s="1197" t="s">
        <v>2611</v>
      </c>
      <c r="D1825" s="1197" t="s">
        <v>2611</v>
      </c>
      <c r="E1825" s="1147" t="s">
        <v>2611</v>
      </c>
      <c r="F1825" s="940"/>
      <c r="G1825" s="953"/>
      <c r="H1825" s="969"/>
      <c r="I1825" s="998" t="s">
        <v>4925</v>
      </c>
      <c r="J1825" s="1213" t="s">
        <v>341</v>
      </c>
      <c r="K1825" s="984" t="s">
        <v>216</v>
      </c>
      <c r="L1825" s="959">
        <v>40.0</v>
      </c>
      <c r="M1825" s="960">
        <v>70.0</v>
      </c>
      <c r="N1825" s="960">
        <v>40.0</v>
      </c>
      <c r="O1825" s="960">
        <v>35.0</v>
      </c>
      <c r="P1825" s="960">
        <v>40.0</v>
      </c>
      <c r="Q1825" s="960">
        <v>60.0</v>
      </c>
      <c r="R1825" s="960">
        <v>156.0</v>
      </c>
      <c r="S1825" s="960">
        <v>219.0</v>
      </c>
      <c r="T1825" s="960">
        <v>240.0</v>
      </c>
      <c r="U1825" s="960">
        <f t="array" ref="U1825">HLOOKUP($J1825,'Type Chart'!$C$2:$T$20,2,false)*HLOOKUP($K1825,'Type Chart'!$C$2:$U$20,2,false)</f>
        <v>1</v>
      </c>
      <c r="V1825" s="960">
        <f t="array" ref="V1825">HLOOKUP($J1825,'Type Chart'!$C$2:$T$20,3,false)*HLOOKUP($K1825,'Type Chart'!$C$2:$U$20,3,false)</f>
        <v>1</v>
      </c>
      <c r="W1825" s="960">
        <f t="array" ref="W1825">HLOOKUP($J1825,'Type Chart'!$C$2:$T$20,4,false)*HLOOKUP($K1825,'Type Chart'!$C$2:$U$20,4,false)</f>
        <v>2</v>
      </c>
      <c r="X1825" s="960">
        <f t="array" ref="X1825">HLOOKUP($J1825,'Type Chart'!$C$2:$T$20,5,false)*HLOOKUP($K1825,'Type Chart'!$C$2:$U$20,5,false)</f>
        <v>1</v>
      </c>
      <c r="Y1825" s="960">
        <f t="array" ref="Y1825">HLOOKUP($J1825,'Type Chart'!$C$2:$T$20,6,false)*HLOOKUP($K1825,'Type Chart'!$C$2:$U$20,6,false)</f>
        <v>1</v>
      </c>
      <c r="Z1825" s="960">
        <f t="array" ref="Z1825">HLOOKUP($J1825,'Type Chart'!$C$2:$T$20,7,false)*HLOOKUP($K1825,'Type Chart'!$C$2:$U$20,7,false)</f>
        <v>0.5</v>
      </c>
      <c r="AA1825" s="960">
        <f t="array" ref="AA1825">HLOOKUP($J1825,'Type Chart'!$C$2:$T$20,8,false)*HLOOKUP($K1825,'Type Chart'!$C$2:$U$20,8,false)</f>
        <v>0.5</v>
      </c>
      <c r="AB1825" s="960">
        <f t="array" ref="AB1825">HLOOKUP($J1825,'Type Chart'!$C$2:$T$20,9,false)*HLOOKUP($K1825,'Type Chart'!$C$2:$U$20,9,false)</f>
        <v>1</v>
      </c>
      <c r="AC1825" s="960">
        <f t="array" ref="AC1825">HLOOKUP($J1825,'Type Chart'!$C$2:$T$20,10,false)*HLOOKUP($K1825,'Type Chart'!$C$2:$U$20,10,false)</f>
        <v>1</v>
      </c>
      <c r="AD1825" s="960">
        <f t="array" ref="AD1825">HLOOKUP($J1825,'Type Chart'!$C$2:$T$20,11,false)*HLOOKUP($K1825,'Type Chart'!$C$2:$U$20,11,false)</f>
        <v>1</v>
      </c>
      <c r="AE1825" s="960">
        <f t="array" ref="AE1825">HLOOKUP($J1825,'Type Chart'!$C$2:$T$20,12,false)*HLOOKUP($K1825,'Type Chart'!$C$2:$U$20,12,false)</f>
        <v>1</v>
      </c>
      <c r="AF1825" s="960">
        <f t="array" ref="AF1825">HLOOKUP($J1825,'Type Chart'!$C$2:$T$20,13,false)*HLOOKUP($K1825,'Type Chart'!$C$2:$U$20,13,false)</f>
        <v>1</v>
      </c>
      <c r="AG1825" s="960">
        <f t="array" ref="AG1825">HLOOKUP($J1825,'Type Chart'!$C$2:$T$20,14,false)*HLOOKUP($K1825,'Type Chart'!$C$2:$U$20,14,false)</f>
        <v>1</v>
      </c>
      <c r="AH1825" s="960">
        <f t="array" ref="AH1825">HLOOKUP($J1825,'Type Chart'!$C$2:$T$20,15,false)*HLOOKUP($K1825,'Type Chart'!$C$2:$U$20,15,false)</f>
        <v>2</v>
      </c>
      <c r="AI1825" s="960">
        <f t="array" ref="AI1825">HLOOKUP($J1825,'Type Chart'!$C$2:$T$20,16,false)*HLOOKUP($K1825,'Type Chart'!$C$2:$U$20,16,false)</f>
        <v>1</v>
      </c>
      <c r="AJ1825" s="960">
        <f t="array" ref="AJ1825">HLOOKUP($J1825,'Type Chart'!$C$2:$T$20,17,false)*HLOOKUP($K1825,'Type Chart'!$C$2:$U$20,17,false)</f>
        <v>1</v>
      </c>
      <c r="AK1825" s="960">
        <f t="array" ref="AK1825">HLOOKUP($J1825,'Type Chart'!$C$2:$T$20,18,false)*HLOOKUP($K1825,'Type Chart'!$C$2:$U$20,18,false)</f>
        <v>0.5</v>
      </c>
      <c r="AL1825" s="960">
        <f t="array" ref="AL1825">HLOOKUP($J1825,'Type Chart'!$C$2:$T$20,19,false)*HLOOKUP($K1825,'Type Chart'!$C$2:$U$20,19,false)</f>
        <v>2</v>
      </c>
      <c r="AM1825" s="964" t="s">
        <v>1306</v>
      </c>
      <c r="AN1825" s="965" t="s">
        <v>1192</v>
      </c>
      <c r="AO1825" s="966" t="s">
        <v>1813</v>
      </c>
      <c r="AP1825" s="936"/>
      <c r="AQ1825" s="1245"/>
      <c r="AR1825" s="1245"/>
      <c r="AS1825" s="936"/>
    </row>
    <row r="1826" ht="15.75" customHeight="1">
      <c r="A1826" s="1099"/>
      <c r="B1826" s="948" t="s">
        <v>2612</v>
      </c>
      <c r="C1826" s="1197" t="s">
        <v>2613</v>
      </c>
      <c r="D1826" s="1197" t="s">
        <v>2613</v>
      </c>
      <c r="E1826" s="1147" t="s">
        <v>2613</v>
      </c>
      <c r="F1826" s="940"/>
      <c r="G1826" s="953"/>
      <c r="H1826" s="969"/>
      <c r="I1826" s="998" t="s">
        <v>4926</v>
      </c>
      <c r="J1826" s="1213" t="s">
        <v>341</v>
      </c>
      <c r="K1826" s="1206" t="s">
        <v>82</v>
      </c>
      <c r="L1826" s="959">
        <v>70.0</v>
      </c>
      <c r="M1826" s="960">
        <v>110.0</v>
      </c>
      <c r="N1826" s="960">
        <v>70.0</v>
      </c>
      <c r="O1826" s="960">
        <v>115.0</v>
      </c>
      <c r="P1826" s="960">
        <v>70.0</v>
      </c>
      <c r="Q1826" s="960">
        <v>90.0</v>
      </c>
      <c r="R1826" s="960">
        <v>216.0</v>
      </c>
      <c r="S1826" s="960">
        <v>279.0</v>
      </c>
      <c r="T1826" s="960">
        <v>306.0</v>
      </c>
      <c r="U1826" s="960">
        <f t="array" ref="U1826">HLOOKUP($J1826,'Type Chart'!$C$2:$T$20,2,false)*HLOOKUP($K1826,'Type Chart'!$C$2:$U$20,2,false)</f>
        <v>0.5</v>
      </c>
      <c r="V1826" s="960">
        <f t="array" ref="V1826">HLOOKUP($J1826,'Type Chart'!$C$2:$T$20,3,false)*HLOOKUP($K1826,'Type Chart'!$C$2:$U$20,3,false)</f>
        <v>2</v>
      </c>
      <c r="W1826" s="960">
        <f t="array" ref="W1826">HLOOKUP($J1826,'Type Chart'!$C$2:$T$20,4,false)*HLOOKUP($K1826,'Type Chart'!$C$2:$U$20,4,false)</f>
        <v>1</v>
      </c>
      <c r="X1826" s="960">
        <f t="array" ref="X1826">HLOOKUP($J1826,'Type Chart'!$C$2:$T$20,5,false)*HLOOKUP($K1826,'Type Chart'!$C$2:$U$20,5,false)</f>
        <v>0</v>
      </c>
      <c r="Y1826" s="960">
        <f t="array" ref="Y1826">HLOOKUP($J1826,'Type Chart'!$C$2:$T$20,6,false)*HLOOKUP($K1826,'Type Chart'!$C$2:$U$20,6,false)</f>
        <v>2</v>
      </c>
      <c r="Z1826" s="960">
        <f t="array" ref="Z1826">HLOOKUP($J1826,'Type Chart'!$C$2:$T$20,7,false)*HLOOKUP($K1826,'Type Chart'!$C$2:$U$20,7,false)</f>
        <v>0.25</v>
      </c>
      <c r="AA1826" s="960">
        <f t="array" ref="AA1826">HLOOKUP($J1826,'Type Chart'!$C$2:$T$20,8,false)*HLOOKUP($K1826,'Type Chart'!$C$2:$U$20,8,false)</f>
        <v>0.25</v>
      </c>
      <c r="AB1826" s="960">
        <f t="array" ref="AB1826">HLOOKUP($J1826,'Type Chart'!$C$2:$T$20,9,false)*HLOOKUP($K1826,'Type Chart'!$C$2:$U$20,9,false)</f>
        <v>1</v>
      </c>
      <c r="AC1826" s="960">
        <f t="array" ref="AC1826">HLOOKUP($J1826,'Type Chart'!$C$2:$T$20,10,false)*HLOOKUP($K1826,'Type Chart'!$C$2:$U$20,10,false)</f>
        <v>0.5</v>
      </c>
      <c r="AD1826" s="960">
        <f t="array" ref="AD1826">HLOOKUP($J1826,'Type Chart'!$C$2:$T$20,11,false)*HLOOKUP($K1826,'Type Chart'!$C$2:$U$20,11,false)</f>
        <v>2</v>
      </c>
      <c r="AE1826" s="960">
        <f t="array" ref="AE1826">HLOOKUP($J1826,'Type Chart'!$C$2:$T$20,12,false)*HLOOKUP($K1826,'Type Chart'!$C$2:$U$20,12,false)</f>
        <v>1</v>
      </c>
      <c r="AF1826" s="960">
        <f t="array" ref="AF1826">HLOOKUP($J1826,'Type Chart'!$C$2:$T$20,13,false)*HLOOKUP($K1826,'Type Chart'!$C$2:$U$20,13,false)</f>
        <v>0.5</v>
      </c>
      <c r="AG1826" s="960">
        <f t="array" ref="AG1826">HLOOKUP($J1826,'Type Chart'!$C$2:$T$20,14,false)*HLOOKUP($K1826,'Type Chart'!$C$2:$U$20,14,false)</f>
        <v>1</v>
      </c>
      <c r="AH1826" s="960">
        <f t="array" ref="AH1826">HLOOKUP($J1826,'Type Chart'!$C$2:$T$20,15,false)*HLOOKUP($K1826,'Type Chart'!$C$2:$U$20,15,false)</f>
        <v>1</v>
      </c>
      <c r="AI1826" s="960">
        <f t="array" ref="AI1826">HLOOKUP($J1826,'Type Chart'!$C$2:$T$20,16,false)*HLOOKUP($K1826,'Type Chart'!$C$2:$U$20,16,false)</f>
        <v>0.5</v>
      </c>
      <c r="AJ1826" s="960">
        <f t="array" ref="AJ1826">HLOOKUP($J1826,'Type Chart'!$C$2:$T$20,17,false)*HLOOKUP($K1826,'Type Chart'!$C$2:$U$20,17,false)</f>
        <v>0.5</v>
      </c>
      <c r="AK1826" s="960">
        <f t="array" ref="AK1826">HLOOKUP($J1826,'Type Chart'!$C$2:$T$20,18,false)*HLOOKUP($K1826,'Type Chart'!$C$2:$U$20,18,false)</f>
        <v>0.5</v>
      </c>
      <c r="AL1826" s="960">
        <f t="array" ref="AL1826">HLOOKUP($J1826,'Type Chart'!$C$2:$T$20,19,false)*HLOOKUP($K1826,'Type Chart'!$C$2:$U$20,19,false)</f>
        <v>1</v>
      </c>
      <c r="AM1826" s="964" t="s">
        <v>1306</v>
      </c>
      <c r="AN1826" s="965" t="s">
        <v>1192</v>
      </c>
      <c r="AO1826" s="966" t="s">
        <v>1273</v>
      </c>
      <c r="AP1826" s="936"/>
      <c r="AQ1826" s="1245"/>
      <c r="AR1826" s="1245"/>
      <c r="AS1826" s="936"/>
    </row>
    <row r="1827" ht="15.75" customHeight="1">
      <c r="A1827" s="1099"/>
      <c r="B1827" s="948" t="s">
        <v>2614</v>
      </c>
      <c r="C1827" s="1197" t="s">
        <v>2615</v>
      </c>
      <c r="D1827" s="1197" t="s">
        <v>2615</v>
      </c>
      <c r="E1827" s="1147" t="s">
        <v>2615</v>
      </c>
      <c r="F1827" s="940"/>
      <c r="G1827" s="953"/>
      <c r="H1827" s="969"/>
      <c r="I1827" s="998" t="s">
        <v>4927</v>
      </c>
      <c r="J1827" s="1213" t="s">
        <v>341</v>
      </c>
      <c r="K1827" s="1206" t="s">
        <v>82</v>
      </c>
      <c r="L1827" s="959">
        <v>70.0</v>
      </c>
      <c r="M1827" s="960">
        <v>145.0</v>
      </c>
      <c r="N1827" s="960">
        <v>88.0</v>
      </c>
      <c r="O1827" s="960">
        <v>140.0</v>
      </c>
      <c r="P1827" s="960">
        <v>70.0</v>
      </c>
      <c r="Q1827" s="960">
        <v>112.0</v>
      </c>
      <c r="R1827" s="960">
        <v>260.0</v>
      </c>
      <c r="S1827" s="960">
        <v>323.0</v>
      </c>
      <c r="T1827" s="960">
        <v>355.0</v>
      </c>
      <c r="U1827" s="960">
        <f t="array" ref="U1827">HLOOKUP($J1827,'Type Chart'!$C$2:$T$20,2,false)*HLOOKUP($K1827,'Type Chart'!$C$2:$U$20,2,false)</f>
        <v>0.5</v>
      </c>
      <c r="V1827" s="960">
        <f t="array" ref="V1827">HLOOKUP($J1827,'Type Chart'!$C$2:$T$20,3,false)*HLOOKUP($K1827,'Type Chart'!$C$2:$U$20,3,false)</f>
        <v>2</v>
      </c>
      <c r="W1827" s="960">
        <f t="array" ref="W1827">HLOOKUP($J1827,'Type Chart'!$C$2:$T$20,4,false)*HLOOKUP($K1827,'Type Chart'!$C$2:$U$20,4,false)</f>
        <v>1</v>
      </c>
      <c r="X1827" s="960">
        <f t="array" ref="X1827">HLOOKUP($J1827,'Type Chart'!$C$2:$T$20,5,false)*HLOOKUP($K1827,'Type Chart'!$C$2:$U$20,5,false)</f>
        <v>0</v>
      </c>
      <c r="Y1827" s="960">
        <f t="array" ref="Y1827">HLOOKUP($J1827,'Type Chart'!$C$2:$T$20,6,false)*HLOOKUP($K1827,'Type Chart'!$C$2:$U$20,6,false)</f>
        <v>2</v>
      </c>
      <c r="Z1827" s="960">
        <f t="array" ref="Z1827">HLOOKUP($J1827,'Type Chart'!$C$2:$T$20,7,false)*HLOOKUP($K1827,'Type Chart'!$C$2:$U$20,7,false)</f>
        <v>0.25</v>
      </c>
      <c r="AA1827" s="960">
        <f t="array" ref="AA1827">HLOOKUP($J1827,'Type Chart'!$C$2:$T$20,8,false)*HLOOKUP($K1827,'Type Chart'!$C$2:$U$20,8,false)</f>
        <v>0.25</v>
      </c>
      <c r="AB1827" s="960">
        <f t="array" ref="AB1827">HLOOKUP($J1827,'Type Chart'!$C$2:$T$20,9,false)*HLOOKUP($K1827,'Type Chart'!$C$2:$U$20,9,false)</f>
        <v>1</v>
      </c>
      <c r="AC1827" s="960">
        <f t="array" ref="AC1827">HLOOKUP($J1827,'Type Chart'!$C$2:$T$20,10,false)*HLOOKUP($K1827,'Type Chart'!$C$2:$U$20,10,false)</f>
        <v>0.5</v>
      </c>
      <c r="AD1827" s="960">
        <f t="array" ref="AD1827">HLOOKUP($J1827,'Type Chart'!$C$2:$T$20,11,false)*HLOOKUP($K1827,'Type Chart'!$C$2:$U$20,11,false)</f>
        <v>2</v>
      </c>
      <c r="AE1827" s="960">
        <f t="array" ref="AE1827">HLOOKUP($J1827,'Type Chart'!$C$2:$T$20,12,false)*HLOOKUP($K1827,'Type Chart'!$C$2:$U$20,12,false)</f>
        <v>1</v>
      </c>
      <c r="AF1827" s="960">
        <f t="array" ref="AF1827">HLOOKUP($J1827,'Type Chart'!$C$2:$T$20,13,false)*HLOOKUP($K1827,'Type Chart'!$C$2:$U$20,13,false)</f>
        <v>0.5</v>
      </c>
      <c r="AG1827" s="960">
        <f t="array" ref="AG1827">HLOOKUP($J1827,'Type Chart'!$C$2:$T$20,14,false)*HLOOKUP($K1827,'Type Chart'!$C$2:$U$20,14,false)</f>
        <v>1</v>
      </c>
      <c r="AH1827" s="960">
        <f t="array" ref="AH1827">HLOOKUP($J1827,'Type Chart'!$C$2:$T$20,15,false)*HLOOKUP($K1827,'Type Chart'!$C$2:$U$20,15,false)</f>
        <v>1</v>
      </c>
      <c r="AI1827" s="960">
        <f t="array" ref="AI1827">HLOOKUP($J1827,'Type Chart'!$C$2:$T$20,16,false)*HLOOKUP($K1827,'Type Chart'!$C$2:$U$20,16,false)</f>
        <v>0.5</v>
      </c>
      <c r="AJ1827" s="960">
        <f t="array" ref="AJ1827">HLOOKUP($J1827,'Type Chart'!$C$2:$T$20,17,false)*HLOOKUP($K1827,'Type Chart'!$C$2:$U$20,17,false)</f>
        <v>0.5</v>
      </c>
      <c r="AK1827" s="960">
        <f t="array" ref="AK1827">HLOOKUP($J1827,'Type Chart'!$C$2:$T$20,18,false)*HLOOKUP($K1827,'Type Chart'!$C$2:$U$20,18,false)</f>
        <v>0.5</v>
      </c>
      <c r="AL1827" s="960">
        <f t="array" ref="AL1827">HLOOKUP($J1827,'Type Chart'!$C$2:$T$20,19,false)*HLOOKUP($K1827,'Type Chart'!$C$2:$U$20,19,false)</f>
        <v>1</v>
      </c>
      <c r="AM1827" s="964" t="s">
        <v>1018</v>
      </c>
      <c r="AN1827" s="965"/>
      <c r="AO1827" s="966"/>
      <c r="AP1827" s="936"/>
      <c r="AQ1827" s="1245"/>
      <c r="AR1827" s="1245"/>
      <c r="AS1827" s="936"/>
    </row>
    <row r="1828" ht="15.75" customHeight="1">
      <c r="A1828" s="1099"/>
      <c r="B1828" s="948" t="s">
        <v>2617</v>
      </c>
      <c r="C1828" s="1197" t="s">
        <v>2618</v>
      </c>
      <c r="D1828" s="1197" t="s">
        <v>2618</v>
      </c>
      <c r="E1828" s="1147" t="s">
        <v>2618</v>
      </c>
      <c r="F1828" s="940"/>
      <c r="G1828" s="953"/>
      <c r="H1828" s="969"/>
      <c r="I1828" s="998" t="s">
        <v>4928</v>
      </c>
      <c r="J1828" s="1204" t="s">
        <v>80</v>
      </c>
      <c r="K1828" s="984" t="s">
        <v>216</v>
      </c>
      <c r="L1828" s="959">
        <v>68.0</v>
      </c>
      <c r="M1828" s="960">
        <v>72.0</v>
      </c>
      <c r="N1828" s="960">
        <v>78.0</v>
      </c>
      <c r="O1828" s="960">
        <v>38.0</v>
      </c>
      <c r="P1828" s="960">
        <v>42.0</v>
      </c>
      <c r="Q1828" s="960">
        <v>32.0</v>
      </c>
      <c r="R1828" s="960">
        <v>100.0</v>
      </c>
      <c r="S1828" s="960">
        <v>163.0</v>
      </c>
      <c r="T1828" s="960">
        <v>179.0</v>
      </c>
      <c r="U1828" s="960">
        <f t="array" ref="U1828">HLOOKUP($J1828,'Type Chart'!$C$2:$T$20,2,false)*HLOOKUP($K1828,'Type Chart'!$C$2:$U$20,2,false)</f>
        <v>1</v>
      </c>
      <c r="V1828" s="960">
        <f t="array" ref="V1828">HLOOKUP($J1828,'Type Chart'!$C$2:$T$20,3,false)*HLOOKUP($K1828,'Type Chart'!$C$2:$U$20,3,false)</f>
        <v>1</v>
      </c>
      <c r="W1828" s="960">
        <f t="array" ref="W1828">HLOOKUP($J1828,'Type Chart'!$C$2:$T$20,4,false)*HLOOKUP($K1828,'Type Chart'!$C$2:$U$20,4,false)</f>
        <v>1</v>
      </c>
      <c r="X1828" s="960">
        <f t="array" ref="X1828">HLOOKUP($J1828,'Type Chart'!$C$2:$T$20,5,false)*HLOOKUP($K1828,'Type Chart'!$C$2:$U$20,5,false)</f>
        <v>0.5</v>
      </c>
      <c r="Y1828" s="960">
        <f t="array" ref="Y1828">HLOOKUP($J1828,'Type Chart'!$C$2:$T$20,6,false)*HLOOKUP($K1828,'Type Chart'!$C$2:$U$20,6,false)</f>
        <v>1</v>
      </c>
      <c r="Z1828" s="960">
        <f t="array" ref="Z1828">HLOOKUP($J1828,'Type Chart'!$C$2:$T$20,7,false)*HLOOKUP($K1828,'Type Chart'!$C$2:$U$20,7,false)</f>
        <v>0.5</v>
      </c>
      <c r="AA1828" s="960">
        <f t="array" ref="AA1828">HLOOKUP($J1828,'Type Chart'!$C$2:$T$20,8,false)*HLOOKUP($K1828,'Type Chart'!$C$2:$U$20,8,false)</f>
        <v>1</v>
      </c>
      <c r="AB1828" s="960">
        <f t="array" ref="AB1828">HLOOKUP($J1828,'Type Chart'!$C$2:$T$20,9,false)*HLOOKUP($K1828,'Type Chart'!$C$2:$U$20,9,false)</f>
        <v>1</v>
      </c>
      <c r="AC1828" s="960">
        <f t="array" ref="AC1828">HLOOKUP($J1828,'Type Chart'!$C$2:$T$20,10,false)*HLOOKUP($K1828,'Type Chart'!$C$2:$U$20,10,false)</f>
        <v>1</v>
      </c>
      <c r="AD1828" s="960">
        <f t="array" ref="AD1828">HLOOKUP($J1828,'Type Chart'!$C$2:$T$20,11,false)*HLOOKUP($K1828,'Type Chart'!$C$2:$U$20,11,false)</f>
        <v>1</v>
      </c>
      <c r="AE1828" s="960">
        <f t="array" ref="AE1828">HLOOKUP($J1828,'Type Chart'!$C$2:$T$20,12,false)*HLOOKUP($K1828,'Type Chart'!$C$2:$U$20,12,false)</f>
        <v>2</v>
      </c>
      <c r="AF1828" s="960">
        <f t="array" ref="AF1828">HLOOKUP($J1828,'Type Chart'!$C$2:$T$20,13,false)*HLOOKUP($K1828,'Type Chart'!$C$2:$U$20,13,false)</f>
        <v>2</v>
      </c>
      <c r="AG1828" s="960">
        <f t="array" ref="AG1828">HLOOKUP($J1828,'Type Chart'!$C$2:$T$20,14,false)*HLOOKUP($K1828,'Type Chart'!$C$2:$U$20,14,false)</f>
        <v>0</v>
      </c>
      <c r="AH1828" s="960">
        <f t="array" ref="AH1828">HLOOKUP($J1828,'Type Chart'!$C$2:$T$20,15,false)*HLOOKUP($K1828,'Type Chart'!$C$2:$U$20,15,false)</f>
        <v>1</v>
      </c>
      <c r="AI1828" s="960">
        <f t="array" ref="AI1828">HLOOKUP($J1828,'Type Chart'!$C$2:$T$20,16,false)*HLOOKUP($K1828,'Type Chart'!$C$2:$U$20,16,false)</f>
        <v>2</v>
      </c>
      <c r="AJ1828" s="960">
        <f t="array" ref="AJ1828">HLOOKUP($J1828,'Type Chart'!$C$2:$T$20,17,false)*HLOOKUP($K1828,'Type Chart'!$C$2:$U$20,17,false)</f>
        <v>1</v>
      </c>
      <c r="AK1828" s="960">
        <f t="array" ref="AK1828">HLOOKUP($J1828,'Type Chart'!$C$2:$T$20,18,false)*HLOOKUP($K1828,'Type Chart'!$C$2:$U$20,18,false)</f>
        <v>1</v>
      </c>
      <c r="AL1828" s="960">
        <f t="array" ref="AL1828">HLOOKUP($J1828,'Type Chart'!$C$2:$T$20,19,false)*HLOOKUP($K1828,'Type Chart'!$C$2:$U$20,19,false)</f>
        <v>1</v>
      </c>
      <c r="AM1828" s="964" t="s">
        <v>1964</v>
      </c>
      <c r="AN1828" s="965"/>
      <c r="AO1828" s="966" t="s">
        <v>1224</v>
      </c>
      <c r="AP1828" s="936"/>
      <c r="AQ1828" s="1245"/>
      <c r="AR1828" s="1245"/>
      <c r="AS1828" s="936"/>
    </row>
    <row r="1829" ht="15.75" customHeight="1">
      <c r="A1829" s="1099"/>
      <c r="B1829" s="948" t="s">
        <v>2619</v>
      </c>
      <c r="C1829" s="1197" t="s">
        <v>2620</v>
      </c>
      <c r="D1829" s="1197" t="s">
        <v>2620</v>
      </c>
      <c r="E1829" s="1147" t="s">
        <v>2620</v>
      </c>
      <c r="F1829" s="940"/>
      <c r="G1829" s="953"/>
      <c r="H1829" s="969"/>
      <c r="I1829" s="998" t="s">
        <v>4929</v>
      </c>
      <c r="J1829" s="1223" t="s">
        <v>80</v>
      </c>
      <c r="K1829" s="1199" t="s">
        <v>216</v>
      </c>
      <c r="L1829" s="1200">
        <v>108.0</v>
      </c>
      <c r="M1829" s="1201">
        <v>112.0</v>
      </c>
      <c r="N1829" s="1201">
        <v>118.0</v>
      </c>
      <c r="O1829" s="1201">
        <v>68.0</v>
      </c>
      <c r="P1829" s="1201">
        <v>72.0</v>
      </c>
      <c r="Q1829" s="1201">
        <v>47.0</v>
      </c>
      <c r="R1829" s="960">
        <v>130.0</v>
      </c>
      <c r="S1829" s="960">
        <v>193.0</v>
      </c>
      <c r="T1829" s="960">
        <v>212.0</v>
      </c>
      <c r="U1829" s="960">
        <f t="array" ref="U1829">HLOOKUP($J1829,'Type Chart'!$C$2:$T$20,2,false)*HLOOKUP($K1829,'Type Chart'!$C$2:$U$20,2,false)</f>
        <v>1</v>
      </c>
      <c r="V1829" s="960">
        <f t="array" ref="V1829">HLOOKUP($J1829,'Type Chart'!$C$2:$T$20,3,false)*HLOOKUP($K1829,'Type Chart'!$C$2:$U$20,3,false)</f>
        <v>1</v>
      </c>
      <c r="W1829" s="960">
        <f t="array" ref="W1829">HLOOKUP($J1829,'Type Chart'!$C$2:$T$20,4,false)*HLOOKUP($K1829,'Type Chart'!$C$2:$U$20,4,false)</f>
        <v>1</v>
      </c>
      <c r="X1829" s="960">
        <f t="array" ref="X1829">HLOOKUP($J1829,'Type Chart'!$C$2:$T$20,5,false)*HLOOKUP($K1829,'Type Chart'!$C$2:$U$20,5,false)</f>
        <v>0.5</v>
      </c>
      <c r="Y1829" s="960">
        <f t="array" ref="Y1829">HLOOKUP($J1829,'Type Chart'!$C$2:$T$20,6,false)*HLOOKUP($K1829,'Type Chart'!$C$2:$U$20,6,false)</f>
        <v>1</v>
      </c>
      <c r="Z1829" s="960">
        <f t="array" ref="Z1829">HLOOKUP($J1829,'Type Chart'!$C$2:$T$20,7,false)*HLOOKUP($K1829,'Type Chart'!$C$2:$U$20,7,false)</f>
        <v>0.5</v>
      </c>
      <c r="AA1829" s="960">
        <f t="array" ref="AA1829">HLOOKUP($J1829,'Type Chart'!$C$2:$T$20,8,false)*HLOOKUP($K1829,'Type Chart'!$C$2:$U$20,8,false)</f>
        <v>1</v>
      </c>
      <c r="AB1829" s="960">
        <f t="array" ref="AB1829">HLOOKUP($J1829,'Type Chart'!$C$2:$T$20,9,false)*HLOOKUP($K1829,'Type Chart'!$C$2:$U$20,9,false)</f>
        <v>1</v>
      </c>
      <c r="AC1829" s="960">
        <f t="array" ref="AC1829">HLOOKUP($J1829,'Type Chart'!$C$2:$T$20,10,false)*HLOOKUP($K1829,'Type Chart'!$C$2:$U$20,10,false)</f>
        <v>1</v>
      </c>
      <c r="AD1829" s="960">
        <f t="array" ref="AD1829">HLOOKUP($J1829,'Type Chart'!$C$2:$T$20,11,false)*HLOOKUP($K1829,'Type Chart'!$C$2:$U$20,11,false)</f>
        <v>1</v>
      </c>
      <c r="AE1829" s="960">
        <f t="array" ref="AE1829">HLOOKUP($J1829,'Type Chart'!$C$2:$T$20,12,false)*HLOOKUP($K1829,'Type Chart'!$C$2:$U$20,12,false)</f>
        <v>2</v>
      </c>
      <c r="AF1829" s="960">
        <f t="array" ref="AF1829">HLOOKUP($J1829,'Type Chart'!$C$2:$T$20,13,false)*HLOOKUP($K1829,'Type Chart'!$C$2:$U$20,13,false)</f>
        <v>2</v>
      </c>
      <c r="AG1829" s="960">
        <f t="array" ref="AG1829">HLOOKUP($J1829,'Type Chart'!$C$2:$T$20,14,false)*HLOOKUP($K1829,'Type Chart'!$C$2:$U$20,14,false)</f>
        <v>0</v>
      </c>
      <c r="AH1829" s="960">
        <f t="array" ref="AH1829">HLOOKUP($J1829,'Type Chart'!$C$2:$T$20,15,false)*HLOOKUP($K1829,'Type Chart'!$C$2:$U$20,15,false)</f>
        <v>1</v>
      </c>
      <c r="AI1829" s="960">
        <f t="array" ref="AI1829">HLOOKUP($J1829,'Type Chart'!$C$2:$T$20,16,false)*HLOOKUP($K1829,'Type Chart'!$C$2:$U$20,16,false)</f>
        <v>2</v>
      </c>
      <c r="AJ1829" s="960">
        <f t="array" ref="AJ1829">HLOOKUP($J1829,'Type Chart'!$C$2:$T$20,17,false)*HLOOKUP($K1829,'Type Chart'!$C$2:$U$20,17,false)</f>
        <v>1</v>
      </c>
      <c r="AK1829" s="960">
        <f t="array" ref="AK1829">HLOOKUP($J1829,'Type Chart'!$C$2:$T$20,18,false)*HLOOKUP($K1829,'Type Chart'!$C$2:$U$20,18,false)</f>
        <v>1</v>
      </c>
      <c r="AL1829" s="960">
        <f t="array" ref="AL1829">HLOOKUP($J1829,'Type Chart'!$C$2:$T$20,19,false)*HLOOKUP($K1829,'Type Chart'!$C$2:$U$20,19,false)</f>
        <v>1</v>
      </c>
      <c r="AM1829" s="1145" t="s">
        <v>1964</v>
      </c>
      <c r="AN1829" s="965"/>
      <c r="AO1829" s="966" t="s">
        <v>1224</v>
      </c>
      <c r="AP1829" s="936"/>
      <c r="AQ1829" s="1245"/>
      <c r="AR1829" s="1245"/>
      <c r="AS1829" s="936"/>
    </row>
    <row r="1830" ht="15.75" customHeight="1">
      <c r="A1830" s="1099"/>
      <c r="B1830" s="948" t="s">
        <v>2621</v>
      </c>
      <c r="C1830" s="1197" t="s">
        <v>2622</v>
      </c>
      <c r="D1830" s="1197" t="s">
        <v>2622</v>
      </c>
      <c r="E1830" s="1147" t="s">
        <v>2622</v>
      </c>
      <c r="F1830" s="940"/>
      <c r="G1830" s="953"/>
      <c r="H1830" s="969"/>
      <c r="I1830" s="998" t="s">
        <v>4930</v>
      </c>
      <c r="J1830" s="958" t="s">
        <v>178</v>
      </c>
      <c r="K1830" s="1180" t="s">
        <v>343</v>
      </c>
      <c r="L1830" s="959">
        <v>40.0</v>
      </c>
      <c r="M1830" s="960">
        <v>50.0</v>
      </c>
      <c r="N1830" s="960">
        <v>90.0</v>
      </c>
      <c r="O1830" s="960">
        <v>30.0</v>
      </c>
      <c r="P1830" s="960">
        <v>55.0</v>
      </c>
      <c r="Q1830" s="960">
        <v>65.0</v>
      </c>
      <c r="R1830" s="960">
        <v>166.0</v>
      </c>
      <c r="S1830" s="960">
        <v>229.0</v>
      </c>
      <c r="T1830" s="960">
        <v>251.0</v>
      </c>
      <c r="U1830" s="960">
        <f t="array" ref="U1830">HLOOKUP($J1830,'Type Chart'!$C$2:$T$20,2,false)*HLOOKUP($K1830,'Type Chart'!$C$2:$U$20,2,false)</f>
        <v>1</v>
      </c>
      <c r="V1830" s="960">
        <f t="array" ref="V1830">HLOOKUP($J1830,'Type Chart'!$C$2:$T$20,3,false)*HLOOKUP($K1830,'Type Chart'!$C$2:$U$20,3,false)</f>
        <v>0.25</v>
      </c>
      <c r="W1830" s="960">
        <f t="array" ref="W1830">HLOOKUP($J1830,'Type Chart'!$C$2:$T$20,4,false)*HLOOKUP($K1830,'Type Chart'!$C$2:$U$20,4,false)</f>
        <v>2</v>
      </c>
      <c r="X1830" s="960">
        <f t="array" ref="X1830">HLOOKUP($J1830,'Type Chart'!$C$2:$T$20,5,false)*HLOOKUP($K1830,'Type Chart'!$C$2:$U$20,5,false)</f>
        <v>0.5</v>
      </c>
      <c r="Y1830" s="960">
        <f t="array" ref="Y1830">HLOOKUP($J1830,'Type Chart'!$C$2:$T$20,6,false)*HLOOKUP($K1830,'Type Chart'!$C$2:$U$20,6,false)</f>
        <v>1</v>
      </c>
      <c r="Z1830" s="960">
        <f t="array" ref="Z1830">HLOOKUP($J1830,'Type Chart'!$C$2:$T$20,7,false)*HLOOKUP($K1830,'Type Chart'!$C$2:$U$20,7,false)</f>
        <v>2</v>
      </c>
      <c r="AA1830" s="960">
        <f t="array" ref="AA1830">HLOOKUP($J1830,'Type Chart'!$C$2:$T$20,8,false)*HLOOKUP($K1830,'Type Chart'!$C$2:$U$20,8,false)</f>
        <v>0.5</v>
      </c>
      <c r="AB1830" s="960">
        <f t="array" ref="AB1830">HLOOKUP($J1830,'Type Chart'!$C$2:$T$20,9,false)*HLOOKUP($K1830,'Type Chart'!$C$2:$U$20,9,false)</f>
        <v>1</v>
      </c>
      <c r="AC1830" s="960">
        <f t="array" ref="AC1830">HLOOKUP($J1830,'Type Chart'!$C$2:$T$20,10,false)*HLOOKUP($K1830,'Type Chart'!$C$2:$U$20,10,false)</f>
        <v>1</v>
      </c>
      <c r="AD1830" s="960">
        <f t="array" ref="AD1830">HLOOKUP($J1830,'Type Chart'!$C$2:$T$20,11,false)*HLOOKUP($K1830,'Type Chart'!$C$2:$U$20,11,false)</f>
        <v>2</v>
      </c>
      <c r="AE1830" s="960">
        <f t="array" ref="AE1830">HLOOKUP($J1830,'Type Chart'!$C$2:$T$20,12,false)*HLOOKUP($K1830,'Type Chart'!$C$2:$U$20,12,false)</f>
        <v>1</v>
      </c>
      <c r="AF1830" s="960">
        <f t="array" ref="AF1830">HLOOKUP($J1830,'Type Chart'!$C$2:$T$20,13,false)*HLOOKUP($K1830,'Type Chart'!$C$2:$U$20,13,false)</f>
        <v>0.25</v>
      </c>
      <c r="AG1830" s="960">
        <f t="array" ref="AG1830">HLOOKUP($J1830,'Type Chart'!$C$2:$T$20,14,false)*HLOOKUP($K1830,'Type Chart'!$C$2:$U$20,14,false)</f>
        <v>1</v>
      </c>
      <c r="AH1830" s="960">
        <f t="array" ref="AH1830">HLOOKUP($J1830,'Type Chart'!$C$2:$T$20,15,false)*HLOOKUP($K1830,'Type Chart'!$C$2:$U$20,15,false)</f>
        <v>2</v>
      </c>
      <c r="AI1830" s="960">
        <f t="array" ref="AI1830">HLOOKUP($J1830,'Type Chart'!$C$2:$T$20,16,false)*HLOOKUP($K1830,'Type Chart'!$C$2:$U$20,16,false)</f>
        <v>1</v>
      </c>
      <c r="AJ1830" s="960">
        <f t="array" ref="AJ1830">HLOOKUP($J1830,'Type Chart'!$C$2:$T$20,17,false)*HLOOKUP($K1830,'Type Chart'!$C$2:$U$20,17,false)</f>
        <v>1</v>
      </c>
      <c r="AK1830" s="960">
        <f t="array" ref="AK1830">HLOOKUP($J1830,'Type Chart'!$C$2:$T$20,18,false)*HLOOKUP($K1830,'Type Chart'!$C$2:$U$20,18,false)</f>
        <v>1</v>
      </c>
      <c r="AL1830" s="960">
        <f t="array" ref="AL1830">HLOOKUP($J1830,'Type Chart'!$C$2:$T$20,19,false)*HLOOKUP($K1830,'Type Chart'!$C$2:$U$20,19,false)</f>
        <v>0.5</v>
      </c>
      <c r="AM1830" s="964" t="s">
        <v>1487</v>
      </c>
      <c r="AN1830" s="965" t="s">
        <v>1014</v>
      </c>
      <c r="AO1830" s="966" t="s">
        <v>1022</v>
      </c>
      <c r="AP1830" s="936"/>
      <c r="AQ1830" s="1245"/>
      <c r="AR1830" s="1245"/>
      <c r="AS1830" s="936"/>
    </row>
    <row r="1831" ht="15.75" customHeight="1">
      <c r="A1831" s="1099"/>
      <c r="B1831" s="948" t="s">
        <v>2624</v>
      </c>
      <c r="C1831" s="1197" t="s">
        <v>2625</v>
      </c>
      <c r="D1831" s="1197" t="s">
        <v>2625</v>
      </c>
      <c r="E1831" s="1147" t="s">
        <v>2625</v>
      </c>
      <c r="F1831" s="940"/>
      <c r="G1831" s="953"/>
      <c r="H1831" s="969"/>
      <c r="I1831" s="998" t="s">
        <v>4931</v>
      </c>
      <c r="J1831" s="958" t="s">
        <v>178</v>
      </c>
      <c r="K1831" s="1195" t="s">
        <v>193</v>
      </c>
      <c r="L1831" s="959">
        <v>70.0</v>
      </c>
      <c r="M1831" s="960">
        <v>90.0</v>
      </c>
      <c r="N1831" s="960">
        <v>110.0</v>
      </c>
      <c r="O1831" s="960">
        <v>60.0</v>
      </c>
      <c r="P1831" s="960">
        <v>75.0</v>
      </c>
      <c r="Q1831" s="960">
        <v>95.0</v>
      </c>
      <c r="R1831" s="960">
        <v>226.0</v>
      </c>
      <c r="S1831" s="960">
        <v>289.0</v>
      </c>
      <c r="T1831" s="960">
        <v>317.0</v>
      </c>
      <c r="U1831" s="960">
        <f t="array" ref="U1831">HLOOKUP($J1831,'Type Chart'!$C$2:$T$20,2,false)*HLOOKUP($K1831,'Type Chart'!$C$2:$U$20,2,false)</f>
        <v>1</v>
      </c>
      <c r="V1831" s="960">
        <f t="array" ref="V1831">HLOOKUP($J1831,'Type Chart'!$C$2:$T$20,3,false)*HLOOKUP($K1831,'Type Chart'!$C$2:$U$20,3,false)</f>
        <v>1</v>
      </c>
      <c r="W1831" s="960">
        <f t="array" ref="W1831">HLOOKUP($J1831,'Type Chart'!$C$2:$T$20,4,false)*HLOOKUP($K1831,'Type Chart'!$C$2:$U$20,4,false)</f>
        <v>1</v>
      </c>
      <c r="X1831" s="960">
        <f t="array" ref="X1831">HLOOKUP($J1831,'Type Chart'!$C$2:$T$20,5,false)*HLOOKUP($K1831,'Type Chart'!$C$2:$U$20,5,false)</f>
        <v>0.5</v>
      </c>
      <c r="Y1831" s="960">
        <f t="array" ref="Y1831">HLOOKUP($J1831,'Type Chart'!$C$2:$T$20,6,false)*HLOOKUP($K1831,'Type Chart'!$C$2:$U$20,6,false)</f>
        <v>2</v>
      </c>
      <c r="Z1831" s="960">
        <f t="array" ref="Z1831">HLOOKUP($J1831,'Type Chart'!$C$2:$T$20,7,false)*HLOOKUP($K1831,'Type Chart'!$C$2:$U$20,7,false)</f>
        <v>1</v>
      </c>
      <c r="AA1831" s="960">
        <f t="array" ref="AA1831">HLOOKUP($J1831,'Type Chart'!$C$2:$T$20,8,false)*HLOOKUP($K1831,'Type Chart'!$C$2:$U$20,8,false)</f>
        <v>1</v>
      </c>
      <c r="AB1831" s="960">
        <f t="array" ref="AB1831">HLOOKUP($J1831,'Type Chart'!$C$2:$T$20,9,false)*HLOOKUP($K1831,'Type Chart'!$C$2:$U$20,9,false)</f>
        <v>0.5</v>
      </c>
      <c r="AC1831" s="960">
        <f t="array" ref="AC1831">HLOOKUP($J1831,'Type Chart'!$C$2:$T$20,10,false)*HLOOKUP($K1831,'Type Chart'!$C$2:$U$20,10,false)</f>
        <v>1</v>
      </c>
      <c r="AD1831" s="960">
        <f t="array" ref="AD1831">HLOOKUP($J1831,'Type Chart'!$C$2:$T$20,11,false)*HLOOKUP($K1831,'Type Chart'!$C$2:$U$20,11,false)</f>
        <v>1</v>
      </c>
      <c r="AE1831" s="960">
        <f t="array" ref="AE1831">HLOOKUP($J1831,'Type Chart'!$C$2:$T$20,12,false)*HLOOKUP($K1831,'Type Chart'!$C$2:$U$20,12,false)</f>
        <v>1</v>
      </c>
      <c r="AF1831" s="960">
        <f t="array" ref="AF1831">HLOOKUP($J1831,'Type Chart'!$C$2:$T$20,13,false)*HLOOKUP($K1831,'Type Chart'!$C$2:$U$20,13,false)</f>
        <v>0.5</v>
      </c>
      <c r="AG1831" s="960">
        <f t="array" ref="AG1831">HLOOKUP($J1831,'Type Chart'!$C$2:$T$20,14,false)*HLOOKUP($K1831,'Type Chart'!$C$2:$U$20,14,false)</f>
        <v>1</v>
      </c>
      <c r="AH1831" s="960">
        <f t="array" ref="AH1831">HLOOKUP($J1831,'Type Chart'!$C$2:$T$20,15,false)*HLOOKUP($K1831,'Type Chart'!$C$2:$U$20,15,false)</f>
        <v>0</v>
      </c>
      <c r="AI1831" s="960">
        <f t="array" ref="AI1831">HLOOKUP($J1831,'Type Chart'!$C$2:$T$20,16,false)*HLOOKUP($K1831,'Type Chart'!$C$2:$U$20,16,false)</f>
        <v>1</v>
      </c>
      <c r="AJ1831" s="960">
        <f t="array" ref="AJ1831">HLOOKUP($J1831,'Type Chart'!$C$2:$T$20,17,false)*HLOOKUP($K1831,'Type Chart'!$C$2:$U$20,17,false)</f>
        <v>1</v>
      </c>
      <c r="AK1831" s="960">
        <f t="array" ref="AK1831">HLOOKUP($J1831,'Type Chart'!$C$2:$T$20,18,false)*HLOOKUP($K1831,'Type Chart'!$C$2:$U$20,18,false)</f>
        <v>0.5</v>
      </c>
      <c r="AL1831" s="960">
        <f t="array" ref="AL1831">HLOOKUP($J1831,'Type Chart'!$C$2:$T$20,19,false)*HLOOKUP($K1831,'Type Chart'!$C$2:$U$20,19,false)</f>
        <v>1</v>
      </c>
      <c r="AM1831" s="1145" t="s">
        <v>1487</v>
      </c>
      <c r="AN1831" s="965" t="s">
        <v>1014</v>
      </c>
      <c r="AO1831" s="966" t="s">
        <v>1022</v>
      </c>
      <c r="AP1831" s="936"/>
      <c r="AQ1831" s="1245"/>
      <c r="AR1831" s="1245"/>
      <c r="AS1831" s="936"/>
    </row>
    <row r="1832" ht="15.75" customHeight="1">
      <c r="A1832" s="1099"/>
      <c r="B1832" s="948" t="s">
        <v>2627</v>
      </c>
      <c r="C1832" s="1197" t="s">
        <v>2628</v>
      </c>
      <c r="D1832" s="1197" t="s">
        <v>2628</v>
      </c>
      <c r="E1832" s="1147" t="s">
        <v>2628</v>
      </c>
      <c r="F1832" s="940"/>
      <c r="G1832" s="953"/>
      <c r="H1832" s="969"/>
      <c r="I1832" s="998" t="s">
        <v>4932</v>
      </c>
      <c r="J1832" s="958" t="s">
        <v>178</v>
      </c>
      <c r="K1832" s="1213" t="s">
        <v>341</v>
      </c>
      <c r="L1832" s="959">
        <v>48.0</v>
      </c>
      <c r="M1832" s="960">
        <v>61.0</v>
      </c>
      <c r="N1832" s="960">
        <v>40.0</v>
      </c>
      <c r="O1832" s="960">
        <v>61.0</v>
      </c>
      <c r="P1832" s="960">
        <v>40.0</v>
      </c>
      <c r="Q1832" s="960">
        <v>50.0</v>
      </c>
      <c r="R1832" s="960">
        <v>136.0</v>
      </c>
      <c r="S1832" s="960">
        <v>199.0</v>
      </c>
      <c r="T1832" s="960">
        <v>218.0</v>
      </c>
      <c r="U1832" s="960">
        <f t="array" ref="U1832">HLOOKUP($J1832,'Type Chart'!$C$2:$T$20,2,false)*HLOOKUP($K1832,'Type Chart'!$C$2:$U$20,2,false)</f>
        <v>1</v>
      </c>
      <c r="V1832" s="960">
        <f t="array" ref="V1832">HLOOKUP($J1832,'Type Chart'!$C$2:$T$20,3,false)*HLOOKUP($K1832,'Type Chart'!$C$2:$U$20,3,false)</f>
        <v>0.5</v>
      </c>
      <c r="W1832" s="960">
        <f t="array" ref="W1832">HLOOKUP($J1832,'Type Chart'!$C$2:$T$20,4,false)*HLOOKUP($K1832,'Type Chart'!$C$2:$U$20,4,false)</f>
        <v>2</v>
      </c>
      <c r="X1832" s="960">
        <f t="array" ref="X1832">HLOOKUP($J1832,'Type Chart'!$C$2:$T$20,5,false)*HLOOKUP($K1832,'Type Chart'!$C$2:$U$20,5,false)</f>
        <v>0.5</v>
      </c>
      <c r="Y1832" s="960">
        <f t="array" ref="Y1832">HLOOKUP($J1832,'Type Chart'!$C$2:$T$20,6,false)*HLOOKUP($K1832,'Type Chart'!$C$2:$U$20,6,false)</f>
        <v>2</v>
      </c>
      <c r="Z1832" s="960">
        <f t="array" ref="Z1832">HLOOKUP($J1832,'Type Chart'!$C$2:$T$20,7,false)*HLOOKUP($K1832,'Type Chart'!$C$2:$U$20,7,false)</f>
        <v>0.5</v>
      </c>
      <c r="AA1832" s="960">
        <f t="array" ref="AA1832">HLOOKUP($J1832,'Type Chart'!$C$2:$T$20,8,false)*HLOOKUP($K1832,'Type Chart'!$C$2:$U$20,8,false)</f>
        <v>0.25</v>
      </c>
      <c r="AB1832" s="960">
        <f t="array" ref="AB1832">HLOOKUP($J1832,'Type Chart'!$C$2:$T$20,9,false)*HLOOKUP($K1832,'Type Chart'!$C$2:$U$20,9,false)</f>
        <v>1</v>
      </c>
      <c r="AC1832" s="960">
        <f t="array" ref="AC1832">HLOOKUP($J1832,'Type Chart'!$C$2:$T$20,10,false)*HLOOKUP($K1832,'Type Chart'!$C$2:$U$20,10,false)</f>
        <v>1</v>
      </c>
      <c r="AD1832" s="960">
        <f t="array" ref="AD1832">HLOOKUP($J1832,'Type Chart'!$C$2:$T$20,11,false)*HLOOKUP($K1832,'Type Chart'!$C$2:$U$20,11,false)</f>
        <v>1</v>
      </c>
      <c r="AE1832" s="960">
        <f t="array" ref="AE1832">HLOOKUP($J1832,'Type Chart'!$C$2:$T$20,12,false)*HLOOKUP($K1832,'Type Chart'!$C$2:$U$20,12,false)</f>
        <v>1</v>
      </c>
      <c r="AF1832" s="960">
        <f t="array" ref="AF1832">HLOOKUP($J1832,'Type Chart'!$C$2:$T$20,13,false)*HLOOKUP($K1832,'Type Chart'!$C$2:$U$20,13,false)</f>
        <v>0.5</v>
      </c>
      <c r="AG1832" s="960">
        <f t="array" ref="AG1832">HLOOKUP($J1832,'Type Chart'!$C$2:$T$20,14,false)*HLOOKUP($K1832,'Type Chart'!$C$2:$U$20,14,false)</f>
        <v>1</v>
      </c>
      <c r="AH1832" s="960">
        <f t="array" ref="AH1832">HLOOKUP($J1832,'Type Chart'!$C$2:$T$20,15,false)*HLOOKUP($K1832,'Type Chart'!$C$2:$U$20,15,false)</f>
        <v>4</v>
      </c>
      <c r="AI1832" s="960">
        <f t="array" ref="AI1832">HLOOKUP($J1832,'Type Chart'!$C$2:$T$20,16,false)*HLOOKUP($K1832,'Type Chart'!$C$2:$U$20,16,false)</f>
        <v>1</v>
      </c>
      <c r="AJ1832" s="960">
        <f t="array" ref="AJ1832">HLOOKUP($J1832,'Type Chart'!$C$2:$T$20,17,false)*HLOOKUP($K1832,'Type Chart'!$C$2:$U$20,17,false)</f>
        <v>1</v>
      </c>
      <c r="AK1832" s="960">
        <f t="array" ref="AK1832">HLOOKUP($J1832,'Type Chart'!$C$2:$T$20,18,false)*HLOOKUP($K1832,'Type Chart'!$C$2:$U$20,18,false)</f>
        <v>0.5</v>
      </c>
      <c r="AL1832" s="960">
        <f t="array" ref="AL1832">HLOOKUP($J1832,'Type Chart'!$C$2:$T$20,19,false)*HLOOKUP($K1832,'Type Chart'!$C$2:$U$20,19,false)</f>
        <v>1</v>
      </c>
      <c r="AM1832" s="964" t="s">
        <v>1359</v>
      </c>
      <c r="AN1832" s="965" t="s">
        <v>1210</v>
      </c>
      <c r="AO1832" s="966" t="s">
        <v>1417</v>
      </c>
      <c r="AP1832" s="936"/>
      <c r="AQ1832" s="1245"/>
      <c r="AR1832" s="1245"/>
      <c r="AS1832" s="936"/>
    </row>
    <row r="1833" ht="15.75" customHeight="1">
      <c r="A1833" s="1099"/>
      <c r="B1833" s="948" t="s">
        <v>2630</v>
      </c>
      <c r="C1833" s="1197" t="s">
        <v>2631</v>
      </c>
      <c r="D1833" s="1197" t="s">
        <v>2631</v>
      </c>
      <c r="E1833" s="1147" t="s">
        <v>2631</v>
      </c>
      <c r="F1833" s="940"/>
      <c r="G1833" s="953"/>
      <c r="H1833" s="969"/>
      <c r="I1833" s="998" t="s">
        <v>4933</v>
      </c>
      <c r="J1833" s="958" t="s">
        <v>178</v>
      </c>
      <c r="K1833" s="1213" t="s">
        <v>341</v>
      </c>
      <c r="L1833" s="959">
        <v>83.0</v>
      </c>
      <c r="M1833" s="960">
        <v>106.0</v>
      </c>
      <c r="N1833" s="960">
        <v>65.0</v>
      </c>
      <c r="O1833" s="960">
        <v>86.0</v>
      </c>
      <c r="P1833" s="960">
        <v>65.0</v>
      </c>
      <c r="Q1833" s="960">
        <v>85.0</v>
      </c>
      <c r="R1833" s="960">
        <v>206.0</v>
      </c>
      <c r="S1833" s="960">
        <v>269.0</v>
      </c>
      <c r="T1833" s="960">
        <v>295.0</v>
      </c>
      <c r="U1833" s="960">
        <f t="array" ref="U1833">HLOOKUP($J1833,'Type Chart'!$C$2:$T$20,2,false)*HLOOKUP($K1833,'Type Chart'!$C$2:$U$20,2,false)</f>
        <v>1</v>
      </c>
      <c r="V1833" s="960">
        <f t="array" ref="V1833">HLOOKUP($J1833,'Type Chart'!$C$2:$T$20,3,false)*HLOOKUP($K1833,'Type Chart'!$C$2:$U$20,3,false)</f>
        <v>0.5</v>
      </c>
      <c r="W1833" s="960">
        <f t="array" ref="W1833">HLOOKUP($J1833,'Type Chart'!$C$2:$T$20,4,false)*HLOOKUP($K1833,'Type Chart'!$C$2:$U$20,4,false)</f>
        <v>2</v>
      </c>
      <c r="X1833" s="960">
        <f t="array" ref="X1833">HLOOKUP($J1833,'Type Chart'!$C$2:$T$20,5,false)*HLOOKUP($K1833,'Type Chart'!$C$2:$U$20,5,false)</f>
        <v>0.5</v>
      </c>
      <c r="Y1833" s="960">
        <f t="array" ref="Y1833">HLOOKUP($J1833,'Type Chart'!$C$2:$T$20,6,false)*HLOOKUP($K1833,'Type Chart'!$C$2:$U$20,6,false)</f>
        <v>2</v>
      </c>
      <c r="Z1833" s="960">
        <f t="array" ref="Z1833">HLOOKUP($J1833,'Type Chart'!$C$2:$T$20,7,false)*HLOOKUP($K1833,'Type Chart'!$C$2:$U$20,7,false)</f>
        <v>0.5</v>
      </c>
      <c r="AA1833" s="960">
        <f t="array" ref="AA1833">HLOOKUP($J1833,'Type Chart'!$C$2:$T$20,8,false)*HLOOKUP($K1833,'Type Chart'!$C$2:$U$20,8,false)</f>
        <v>0.25</v>
      </c>
      <c r="AB1833" s="960">
        <f t="array" ref="AB1833">HLOOKUP($J1833,'Type Chart'!$C$2:$T$20,9,false)*HLOOKUP($K1833,'Type Chart'!$C$2:$U$20,9,false)</f>
        <v>1</v>
      </c>
      <c r="AC1833" s="960">
        <f t="array" ref="AC1833">HLOOKUP($J1833,'Type Chart'!$C$2:$T$20,10,false)*HLOOKUP($K1833,'Type Chart'!$C$2:$U$20,10,false)</f>
        <v>1</v>
      </c>
      <c r="AD1833" s="960">
        <f t="array" ref="AD1833">HLOOKUP($J1833,'Type Chart'!$C$2:$T$20,11,false)*HLOOKUP($K1833,'Type Chart'!$C$2:$U$20,11,false)</f>
        <v>1</v>
      </c>
      <c r="AE1833" s="960">
        <f t="array" ref="AE1833">HLOOKUP($J1833,'Type Chart'!$C$2:$T$20,12,false)*HLOOKUP($K1833,'Type Chart'!$C$2:$U$20,12,false)</f>
        <v>1</v>
      </c>
      <c r="AF1833" s="960">
        <f t="array" ref="AF1833">HLOOKUP($J1833,'Type Chart'!$C$2:$T$20,13,false)*HLOOKUP($K1833,'Type Chart'!$C$2:$U$20,13,false)</f>
        <v>0.5</v>
      </c>
      <c r="AG1833" s="960">
        <f t="array" ref="AG1833">HLOOKUP($J1833,'Type Chart'!$C$2:$T$20,14,false)*HLOOKUP($K1833,'Type Chart'!$C$2:$U$20,14,false)</f>
        <v>1</v>
      </c>
      <c r="AH1833" s="960">
        <f t="array" ref="AH1833">HLOOKUP($J1833,'Type Chart'!$C$2:$T$20,15,false)*HLOOKUP($K1833,'Type Chart'!$C$2:$U$20,15,false)</f>
        <v>4</v>
      </c>
      <c r="AI1833" s="960">
        <f t="array" ref="AI1833">HLOOKUP($J1833,'Type Chart'!$C$2:$T$20,16,false)*HLOOKUP($K1833,'Type Chart'!$C$2:$U$20,16,false)</f>
        <v>1</v>
      </c>
      <c r="AJ1833" s="960">
        <f t="array" ref="AJ1833">HLOOKUP($J1833,'Type Chart'!$C$2:$T$20,17,false)*HLOOKUP($K1833,'Type Chart'!$C$2:$U$20,17,false)</f>
        <v>1</v>
      </c>
      <c r="AK1833" s="960">
        <f t="array" ref="AK1833">HLOOKUP($J1833,'Type Chart'!$C$2:$T$20,18,false)*HLOOKUP($K1833,'Type Chart'!$C$2:$U$20,18,false)</f>
        <v>0.5</v>
      </c>
      <c r="AL1833" s="960">
        <f t="array" ref="AL1833">HLOOKUP($J1833,'Type Chart'!$C$2:$T$20,19,false)*HLOOKUP($K1833,'Type Chart'!$C$2:$U$20,19,false)</f>
        <v>1</v>
      </c>
      <c r="AM1833" s="964" t="s">
        <v>1359</v>
      </c>
      <c r="AN1833" s="965" t="s">
        <v>1210</v>
      </c>
      <c r="AO1833" s="966" t="s">
        <v>1417</v>
      </c>
      <c r="AP1833" s="936"/>
      <c r="AQ1833" s="1245"/>
      <c r="AR1833" s="1245"/>
      <c r="AS1833" s="936"/>
    </row>
    <row r="1834" ht="15.75" customHeight="1">
      <c r="A1834" s="1099"/>
      <c r="B1834" s="948" t="s">
        <v>2632</v>
      </c>
      <c r="C1834" s="1197" t="s">
        <v>2633</v>
      </c>
      <c r="D1834" s="1197" t="s">
        <v>2633</v>
      </c>
      <c r="E1834" s="1147" t="s">
        <v>2633</v>
      </c>
      <c r="F1834" s="940"/>
      <c r="G1834" s="953"/>
      <c r="H1834" s="969"/>
      <c r="I1834" s="998" t="s">
        <v>4934</v>
      </c>
      <c r="J1834" s="957" t="s">
        <v>209</v>
      </c>
      <c r="K1834" s="984" t="s">
        <v>216</v>
      </c>
      <c r="L1834" s="959">
        <v>74.0</v>
      </c>
      <c r="M1834" s="960">
        <v>100.0</v>
      </c>
      <c r="N1834" s="960">
        <v>72.0</v>
      </c>
      <c r="O1834" s="960">
        <v>90.0</v>
      </c>
      <c r="P1834" s="960">
        <v>72.0</v>
      </c>
      <c r="Q1834" s="960">
        <v>46.0</v>
      </c>
      <c r="R1834" s="960">
        <v>128.0</v>
      </c>
      <c r="S1834" s="960">
        <v>191.0</v>
      </c>
      <c r="T1834" s="960">
        <v>210.0</v>
      </c>
      <c r="U1834" s="960">
        <f t="array" ref="U1834">HLOOKUP($J1834,'Type Chart'!$C$2:$T$20,2,false)*HLOOKUP($K1834,'Type Chart'!$C$2:$U$20,2,false)</f>
        <v>1</v>
      </c>
      <c r="V1834" s="960">
        <f t="array" ref="V1834">HLOOKUP($J1834,'Type Chart'!$C$2:$T$20,3,false)*HLOOKUP($K1834,'Type Chart'!$C$2:$U$20,3,false)</f>
        <v>1</v>
      </c>
      <c r="W1834" s="960">
        <f t="array" ref="W1834">HLOOKUP($J1834,'Type Chart'!$C$2:$T$20,4,false)*HLOOKUP($K1834,'Type Chart'!$C$2:$U$20,4,false)</f>
        <v>2</v>
      </c>
      <c r="X1834" s="960">
        <f t="array" ref="X1834">HLOOKUP($J1834,'Type Chart'!$C$2:$T$20,5,false)*HLOOKUP($K1834,'Type Chart'!$C$2:$U$20,5,false)</f>
        <v>2</v>
      </c>
      <c r="Y1834" s="960">
        <f t="array" ref="Y1834">HLOOKUP($J1834,'Type Chart'!$C$2:$T$20,6,false)*HLOOKUP($K1834,'Type Chart'!$C$2:$U$20,6,false)</f>
        <v>0.5</v>
      </c>
      <c r="Z1834" s="960">
        <f t="array" ref="Z1834">HLOOKUP($J1834,'Type Chart'!$C$2:$T$20,7,false)*HLOOKUP($K1834,'Type Chart'!$C$2:$U$20,7,false)</f>
        <v>1</v>
      </c>
      <c r="AA1834" s="960">
        <f t="array" ref="AA1834">HLOOKUP($J1834,'Type Chart'!$C$2:$T$20,8,false)*HLOOKUP($K1834,'Type Chart'!$C$2:$U$20,8,false)</f>
        <v>2</v>
      </c>
      <c r="AB1834" s="960">
        <f t="array" ref="AB1834">HLOOKUP($J1834,'Type Chart'!$C$2:$T$20,9,false)*HLOOKUP($K1834,'Type Chart'!$C$2:$U$20,9,false)</f>
        <v>1</v>
      </c>
      <c r="AC1834" s="960">
        <f t="array" ref="AC1834">HLOOKUP($J1834,'Type Chart'!$C$2:$T$20,10,false)*HLOOKUP($K1834,'Type Chart'!$C$2:$U$20,10,false)</f>
        <v>1</v>
      </c>
      <c r="AD1834" s="960">
        <f t="array" ref="AD1834">HLOOKUP($J1834,'Type Chart'!$C$2:$T$20,11,false)*HLOOKUP($K1834,'Type Chart'!$C$2:$U$20,11,false)</f>
        <v>2</v>
      </c>
      <c r="AE1834" s="960">
        <f t="array" ref="AE1834">HLOOKUP($J1834,'Type Chart'!$C$2:$T$20,12,false)*HLOOKUP($K1834,'Type Chart'!$C$2:$U$20,12,false)</f>
        <v>0.5</v>
      </c>
      <c r="AF1834" s="960">
        <f t="array" ref="AF1834">HLOOKUP($J1834,'Type Chart'!$C$2:$T$20,13,false)*HLOOKUP($K1834,'Type Chart'!$C$2:$U$20,13,false)</f>
        <v>0.5</v>
      </c>
      <c r="AG1834" s="960">
        <f t="array" ref="AG1834">HLOOKUP($J1834,'Type Chart'!$C$2:$T$20,14,false)*HLOOKUP($K1834,'Type Chart'!$C$2:$U$20,14,false)</f>
        <v>0.5</v>
      </c>
      <c r="AH1834" s="960">
        <f t="array" ref="AH1834">HLOOKUP($J1834,'Type Chart'!$C$2:$T$20,15,false)*HLOOKUP($K1834,'Type Chart'!$C$2:$U$20,15,false)</f>
        <v>1</v>
      </c>
      <c r="AI1834" s="960">
        <f t="array" ref="AI1834">HLOOKUP($J1834,'Type Chart'!$C$2:$T$20,16,false)*HLOOKUP($K1834,'Type Chart'!$C$2:$U$20,16,false)</f>
        <v>2</v>
      </c>
      <c r="AJ1834" s="960">
        <f t="array" ref="AJ1834">HLOOKUP($J1834,'Type Chart'!$C$2:$T$20,17,false)*HLOOKUP($K1834,'Type Chart'!$C$2:$U$20,17,false)</f>
        <v>1</v>
      </c>
      <c r="AK1834" s="960">
        <f t="array" ref="AK1834">HLOOKUP($J1834,'Type Chart'!$C$2:$T$20,18,false)*HLOOKUP($K1834,'Type Chart'!$C$2:$U$20,18,false)</f>
        <v>1</v>
      </c>
      <c r="AL1834" s="960">
        <f t="array" ref="AL1834">HLOOKUP($J1834,'Type Chart'!$C$2:$T$20,19,false)*HLOOKUP($K1834,'Type Chart'!$C$2:$U$20,19,false)</f>
        <v>1</v>
      </c>
      <c r="AM1834" s="964" t="s">
        <v>1437</v>
      </c>
      <c r="AN1834" s="965"/>
      <c r="AO1834" s="966"/>
      <c r="AP1834" s="936"/>
      <c r="AQ1834" s="1245"/>
      <c r="AR1834" s="1245"/>
      <c r="AS1834" s="936"/>
    </row>
    <row r="1835" ht="15.75" customHeight="1">
      <c r="A1835" s="1099"/>
      <c r="B1835" s="948" t="s">
        <v>2635</v>
      </c>
      <c r="C1835" s="1197" t="s">
        <v>2636</v>
      </c>
      <c r="D1835" s="1197" t="s">
        <v>2636</v>
      </c>
      <c r="E1835" s="1147" t="s">
        <v>2636</v>
      </c>
      <c r="F1835" s="940"/>
      <c r="G1835" s="953"/>
      <c r="H1835" s="969"/>
      <c r="I1835" s="998" t="s">
        <v>4935</v>
      </c>
      <c r="J1835" s="1056" t="s">
        <v>81</v>
      </c>
      <c r="K1835" s="984" t="s">
        <v>216</v>
      </c>
      <c r="L1835" s="959">
        <v>49.0</v>
      </c>
      <c r="M1835" s="960">
        <v>49.0</v>
      </c>
      <c r="N1835" s="960">
        <v>56.0</v>
      </c>
      <c r="O1835" s="960">
        <v>49.0</v>
      </c>
      <c r="P1835" s="960">
        <v>61.0</v>
      </c>
      <c r="Q1835" s="960">
        <v>66.0</v>
      </c>
      <c r="R1835" s="960">
        <v>168.0</v>
      </c>
      <c r="S1835" s="960">
        <v>231.0</v>
      </c>
      <c r="T1835" s="960">
        <v>254.0</v>
      </c>
      <c r="U1835" s="960">
        <f t="array" ref="U1835">HLOOKUP($J1835,'Type Chart'!$C$2:$T$20,2,false)*HLOOKUP($K1835,'Type Chart'!$C$2:$U$20,2,false)</f>
        <v>1</v>
      </c>
      <c r="V1835" s="960">
        <f t="array" ref="V1835">HLOOKUP($J1835,'Type Chart'!$C$2:$T$20,3,false)*HLOOKUP($K1835,'Type Chart'!$C$2:$U$20,3,false)</f>
        <v>1</v>
      </c>
      <c r="W1835" s="960">
        <f t="array" ref="W1835">HLOOKUP($J1835,'Type Chart'!$C$2:$T$20,4,false)*HLOOKUP($K1835,'Type Chart'!$C$2:$U$20,4,false)</f>
        <v>1</v>
      </c>
      <c r="X1835" s="960">
        <f t="array" ref="X1835">HLOOKUP($J1835,'Type Chart'!$C$2:$T$20,5,false)*HLOOKUP($K1835,'Type Chart'!$C$2:$U$20,5,false)</f>
        <v>1</v>
      </c>
      <c r="Y1835" s="960">
        <f t="array" ref="Y1835">HLOOKUP($J1835,'Type Chart'!$C$2:$T$20,6,false)*HLOOKUP($K1835,'Type Chart'!$C$2:$U$20,6,false)</f>
        <v>1</v>
      </c>
      <c r="Z1835" s="960">
        <f t="array" ref="Z1835">HLOOKUP($J1835,'Type Chart'!$C$2:$T$20,7,false)*HLOOKUP($K1835,'Type Chart'!$C$2:$U$20,7,false)</f>
        <v>1</v>
      </c>
      <c r="AA1835" s="960">
        <f t="array" ref="AA1835">HLOOKUP($J1835,'Type Chart'!$C$2:$T$20,8,false)*HLOOKUP($K1835,'Type Chart'!$C$2:$U$20,8,false)</f>
        <v>1</v>
      </c>
      <c r="AB1835" s="960">
        <f t="array" ref="AB1835">HLOOKUP($J1835,'Type Chart'!$C$2:$T$20,9,false)*HLOOKUP($K1835,'Type Chart'!$C$2:$U$20,9,false)</f>
        <v>1</v>
      </c>
      <c r="AC1835" s="960">
        <f t="array" ref="AC1835">HLOOKUP($J1835,'Type Chart'!$C$2:$T$20,10,false)*HLOOKUP($K1835,'Type Chart'!$C$2:$U$20,10,false)</f>
        <v>0.5</v>
      </c>
      <c r="AD1835" s="960">
        <f t="array" ref="AD1835">HLOOKUP($J1835,'Type Chart'!$C$2:$T$20,11,false)*HLOOKUP($K1835,'Type Chart'!$C$2:$U$20,11,false)</f>
        <v>0.5</v>
      </c>
      <c r="AE1835" s="960">
        <f t="array" ref="AE1835">HLOOKUP($J1835,'Type Chart'!$C$2:$T$20,12,false)*HLOOKUP($K1835,'Type Chart'!$C$2:$U$20,12,false)</f>
        <v>0.5</v>
      </c>
      <c r="AF1835" s="960">
        <f t="array" ref="AF1835">HLOOKUP($J1835,'Type Chart'!$C$2:$T$20,13,false)*HLOOKUP($K1835,'Type Chart'!$C$2:$U$20,13,false)</f>
        <v>2</v>
      </c>
      <c r="AG1835" s="960">
        <f t="array" ref="AG1835">HLOOKUP($J1835,'Type Chart'!$C$2:$T$20,14,false)*HLOOKUP($K1835,'Type Chart'!$C$2:$U$20,14,false)</f>
        <v>2</v>
      </c>
      <c r="AH1835" s="960">
        <f t="array" ref="AH1835">HLOOKUP($J1835,'Type Chart'!$C$2:$T$20,15,false)*HLOOKUP($K1835,'Type Chart'!$C$2:$U$20,15,false)</f>
        <v>1</v>
      </c>
      <c r="AI1835" s="960">
        <f t="array" ref="AI1835">HLOOKUP($J1835,'Type Chart'!$C$2:$T$20,16,false)*HLOOKUP($K1835,'Type Chart'!$C$2:$U$20,16,false)</f>
        <v>0.5</v>
      </c>
      <c r="AJ1835" s="960">
        <f t="array" ref="AJ1835">HLOOKUP($J1835,'Type Chart'!$C$2:$T$20,17,false)*HLOOKUP($K1835,'Type Chart'!$C$2:$U$20,17,false)</f>
        <v>1</v>
      </c>
      <c r="AK1835" s="960">
        <f t="array" ref="AK1835">HLOOKUP($J1835,'Type Chart'!$C$2:$T$20,18,false)*HLOOKUP($K1835,'Type Chart'!$C$2:$U$20,18,false)</f>
        <v>1</v>
      </c>
      <c r="AL1835" s="960">
        <f t="array" ref="AL1835">HLOOKUP($J1835,'Type Chart'!$C$2:$T$20,19,false)*HLOOKUP($K1835,'Type Chart'!$C$2:$U$20,19,false)</f>
        <v>1</v>
      </c>
      <c r="AM1835" s="964" t="s">
        <v>1259</v>
      </c>
      <c r="AN1835" s="965" t="s">
        <v>2282</v>
      </c>
      <c r="AO1835" s="966" t="s">
        <v>1542</v>
      </c>
      <c r="AP1835" s="936"/>
      <c r="AQ1835" s="1245"/>
      <c r="AR1835" s="1245"/>
      <c r="AS1835" s="936"/>
    </row>
    <row r="1836" ht="15.75" customHeight="1">
      <c r="A1836" s="1099"/>
      <c r="B1836" s="948" t="s">
        <v>2637</v>
      </c>
      <c r="C1836" s="1197" t="s">
        <v>2638</v>
      </c>
      <c r="D1836" s="1197" t="s">
        <v>2638</v>
      </c>
      <c r="E1836" s="1147" t="s">
        <v>2638</v>
      </c>
      <c r="F1836" s="940"/>
      <c r="G1836" s="953"/>
      <c r="H1836" s="969"/>
      <c r="I1836" s="998" t="s">
        <v>4936</v>
      </c>
      <c r="J1836" s="1056" t="s">
        <v>81</v>
      </c>
      <c r="K1836" s="984" t="s">
        <v>216</v>
      </c>
      <c r="L1836" s="959">
        <v>69.0</v>
      </c>
      <c r="M1836" s="960">
        <v>69.0</v>
      </c>
      <c r="N1836" s="960">
        <v>76.0</v>
      </c>
      <c r="O1836" s="960">
        <v>69.0</v>
      </c>
      <c r="P1836" s="960">
        <v>86.0</v>
      </c>
      <c r="Q1836" s="960">
        <v>91.0</v>
      </c>
      <c r="R1836" s="960">
        <v>218.0</v>
      </c>
      <c r="S1836" s="960">
        <v>281.0</v>
      </c>
      <c r="T1836" s="960">
        <v>309.0</v>
      </c>
      <c r="U1836" s="960">
        <f t="array" ref="U1836">HLOOKUP($J1836,'Type Chart'!$C$2:$T$20,2,false)*HLOOKUP($K1836,'Type Chart'!$C$2:$U$20,2,false)</f>
        <v>1</v>
      </c>
      <c r="V1836" s="960">
        <f t="array" ref="V1836">HLOOKUP($J1836,'Type Chart'!$C$2:$T$20,3,false)*HLOOKUP($K1836,'Type Chart'!$C$2:$U$20,3,false)</f>
        <v>1</v>
      </c>
      <c r="W1836" s="960">
        <f t="array" ref="W1836">HLOOKUP($J1836,'Type Chart'!$C$2:$T$20,4,false)*HLOOKUP($K1836,'Type Chart'!$C$2:$U$20,4,false)</f>
        <v>1</v>
      </c>
      <c r="X1836" s="960">
        <f t="array" ref="X1836">HLOOKUP($J1836,'Type Chart'!$C$2:$T$20,5,false)*HLOOKUP($K1836,'Type Chart'!$C$2:$U$20,5,false)</f>
        <v>1</v>
      </c>
      <c r="Y1836" s="960">
        <f t="array" ref="Y1836">HLOOKUP($J1836,'Type Chart'!$C$2:$T$20,6,false)*HLOOKUP($K1836,'Type Chart'!$C$2:$U$20,6,false)</f>
        <v>1</v>
      </c>
      <c r="Z1836" s="960">
        <f t="array" ref="Z1836">HLOOKUP($J1836,'Type Chart'!$C$2:$T$20,7,false)*HLOOKUP($K1836,'Type Chart'!$C$2:$U$20,7,false)</f>
        <v>1</v>
      </c>
      <c r="AA1836" s="960">
        <f t="array" ref="AA1836">HLOOKUP($J1836,'Type Chart'!$C$2:$T$20,8,false)*HLOOKUP($K1836,'Type Chart'!$C$2:$U$20,8,false)</f>
        <v>1</v>
      </c>
      <c r="AB1836" s="960">
        <f t="array" ref="AB1836">HLOOKUP($J1836,'Type Chart'!$C$2:$T$20,9,false)*HLOOKUP($K1836,'Type Chart'!$C$2:$U$20,9,false)</f>
        <v>1</v>
      </c>
      <c r="AC1836" s="960">
        <f t="array" ref="AC1836">HLOOKUP($J1836,'Type Chart'!$C$2:$T$20,10,false)*HLOOKUP($K1836,'Type Chart'!$C$2:$U$20,10,false)</f>
        <v>0.5</v>
      </c>
      <c r="AD1836" s="960">
        <f t="array" ref="AD1836">HLOOKUP($J1836,'Type Chart'!$C$2:$T$20,11,false)*HLOOKUP($K1836,'Type Chart'!$C$2:$U$20,11,false)</f>
        <v>0.5</v>
      </c>
      <c r="AE1836" s="960">
        <f t="array" ref="AE1836">HLOOKUP($J1836,'Type Chart'!$C$2:$T$20,12,false)*HLOOKUP($K1836,'Type Chart'!$C$2:$U$20,12,false)</f>
        <v>0.5</v>
      </c>
      <c r="AF1836" s="960">
        <f t="array" ref="AF1836">HLOOKUP($J1836,'Type Chart'!$C$2:$T$20,13,false)*HLOOKUP($K1836,'Type Chart'!$C$2:$U$20,13,false)</f>
        <v>2</v>
      </c>
      <c r="AG1836" s="960">
        <f t="array" ref="AG1836">HLOOKUP($J1836,'Type Chart'!$C$2:$T$20,14,false)*HLOOKUP($K1836,'Type Chart'!$C$2:$U$20,14,false)</f>
        <v>2</v>
      </c>
      <c r="AH1836" s="960">
        <f t="array" ref="AH1836">HLOOKUP($J1836,'Type Chart'!$C$2:$T$20,15,false)*HLOOKUP($K1836,'Type Chart'!$C$2:$U$20,15,false)</f>
        <v>1</v>
      </c>
      <c r="AI1836" s="960">
        <f t="array" ref="AI1836">HLOOKUP($J1836,'Type Chart'!$C$2:$T$20,16,false)*HLOOKUP($K1836,'Type Chart'!$C$2:$U$20,16,false)</f>
        <v>0.5</v>
      </c>
      <c r="AJ1836" s="960">
        <f t="array" ref="AJ1836">HLOOKUP($J1836,'Type Chart'!$C$2:$T$20,17,false)*HLOOKUP($K1836,'Type Chart'!$C$2:$U$20,17,false)</f>
        <v>1</v>
      </c>
      <c r="AK1836" s="960">
        <f t="array" ref="AK1836">HLOOKUP($J1836,'Type Chart'!$C$2:$T$20,18,false)*HLOOKUP($K1836,'Type Chart'!$C$2:$U$20,18,false)</f>
        <v>1</v>
      </c>
      <c r="AL1836" s="960">
        <f t="array" ref="AL1836">HLOOKUP($J1836,'Type Chart'!$C$2:$T$20,19,false)*HLOOKUP($K1836,'Type Chart'!$C$2:$U$20,19,false)</f>
        <v>1</v>
      </c>
      <c r="AM1836" s="1145" t="s">
        <v>1259</v>
      </c>
      <c r="AN1836" s="965" t="s">
        <v>2282</v>
      </c>
      <c r="AO1836" s="1146" t="s">
        <v>1542</v>
      </c>
      <c r="AP1836" s="936"/>
      <c r="AQ1836" s="1245"/>
      <c r="AR1836" s="1245"/>
      <c r="AS1836" s="936"/>
    </row>
    <row r="1837" ht="15.75" customHeight="1">
      <c r="A1837" s="1099"/>
      <c r="B1837" s="948" t="s">
        <v>2639</v>
      </c>
      <c r="C1837" s="1197" t="s">
        <v>2640</v>
      </c>
      <c r="D1837" s="1197" t="s">
        <v>2640</v>
      </c>
      <c r="E1837" s="1147" t="s">
        <v>2640</v>
      </c>
      <c r="F1837" s="940"/>
      <c r="G1837" s="953"/>
      <c r="H1837" s="969"/>
      <c r="I1837" s="998" t="s">
        <v>4937</v>
      </c>
      <c r="J1837" s="1056" t="s">
        <v>81</v>
      </c>
      <c r="K1837" s="1001" t="s">
        <v>128</v>
      </c>
      <c r="L1837" s="959">
        <v>45.0</v>
      </c>
      <c r="M1837" s="960">
        <v>20.0</v>
      </c>
      <c r="N1837" s="960">
        <v>50.0</v>
      </c>
      <c r="O1837" s="960">
        <v>60.0</v>
      </c>
      <c r="P1837" s="960">
        <v>120.0</v>
      </c>
      <c r="Q1837" s="960">
        <v>50.0</v>
      </c>
      <c r="R1837" s="960">
        <v>136.0</v>
      </c>
      <c r="S1837" s="960">
        <v>199.0</v>
      </c>
      <c r="T1837" s="960">
        <v>218.0</v>
      </c>
      <c r="U1837" s="960">
        <f t="array" ref="U1837">HLOOKUP($J1837,'Type Chart'!$C$2:$T$20,2,false)*HLOOKUP($K1837,'Type Chart'!$C$2:$U$20,2,false)</f>
        <v>1</v>
      </c>
      <c r="V1837" s="960">
        <f t="array" ref="V1837">HLOOKUP($J1837,'Type Chart'!$C$2:$T$20,3,false)*HLOOKUP($K1837,'Type Chart'!$C$2:$U$20,3,false)</f>
        <v>0.5</v>
      </c>
      <c r="W1837" s="960">
        <f t="array" ref="W1837">HLOOKUP($J1837,'Type Chart'!$C$2:$T$20,4,false)*HLOOKUP($K1837,'Type Chart'!$C$2:$U$20,4,false)</f>
        <v>1</v>
      </c>
      <c r="X1837" s="960">
        <f t="array" ref="X1837">HLOOKUP($J1837,'Type Chart'!$C$2:$T$20,5,false)*HLOOKUP($K1837,'Type Chart'!$C$2:$U$20,5,false)</f>
        <v>1</v>
      </c>
      <c r="Y1837" s="960">
        <f t="array" ref="Y1837">HLOOKUP($J1837,'Type Chart'!$C$2:$T$20,6,false)*HLOOKUP($K1837,'Type Chart'!$C$2:$U$20,6,false)</f>
        <v>0</v>
      </c>
      <c r="Z1837" s="960">
        <f t="array" ref="Z1837">HLOOKUP($J1837,'Type Chart'!$C$2:$T$20,7,false)*HLOOKUP($K1837,'Type Chart'!$C$2:$U$20,7,false)</f>
        <v>2</v>
      </c>
      <c r="AA1837" s="960">
        <f t="array" ref="AA1837">HLOOKUP($J1837,'Type Chart'!$C$2:$T$20,8,false)*HLOOKUP($K1837,'Type Chart'!$C$2:$U$20,8,false)</f>
        <v>0.5</v>
      </c>
      <c r="AB1837" s="960">
        <f t="array" ref="AB1837">HLOOKUP($J1837,'Type Chart'!$C$2:$T$20,9,false)*HLOOKUP($K1837,'Type Chart'!$C$2:$U$20,9,false)</f>
        <v>1</v>
      </c>
      <c r="AC1837" s="960">
        <f t="array" ref="AC1837">HLOOKUP($J1837,'Type Chart'!$C$2:$T$20,10,false)*HLOOKUP($K1837,'Type Chart'!$C$2:$U$20,10,false)</f>
        <v>0.5</v>
      </c>
      <c r="AD1837" s="960">
        <f t="array" ref="AD1837">HLOOKUP($J1837,'Type Chart'!$C$2:$T$20,11,false)*HLOOKUP($K1837,'Type Chart'!$C$2:$U$20,11,false)</f>
        <v>0.5</v>
      </c>
      <c r="AE1837" s="960">
        <f t="array" ref="AE1837">HLOOKUP($J1837,'Type Chart'!$C$2:$T$20,12,false)*HLOOKUP($K1837,'Type Chart'!$C$2:$U$20,12,false)</f>
        <v>0.5</v>
      </c>
      <c r="AF1837" s="960">
        <f t="array" ref="AF1837">HLOOKUP($J1837,'Type Chart'!$C$2:$T$20,13,false)*HLOOKUP($K1837,'Type Chart'!$C$2:$U$20,13,false)</f>
        <v>1</v>
      </c>
      <c r="AG1837" s="960">
        <f t="array" ref="AG1837">HLOOKUP($J1837,'Type Chart'!$C$2:$T$20,14,false)*HLOOKUP($K1837,'Type Chart'!$C$2:$U$20,14,false)</f>
        <v>4</v>
      </c>
      <c r="AH1837" s="960">
        <f t="array" ref="AH1837">HLOOKUP($J1837,'Type Chart'!$C$2:$T$20,15,false)*HLOOKUP($K1837,'Type Chart'!$C$2:$U$20,15,false)</f>
        <v>1</v>
      </c>
      <c r="AI1837" s="960">
        <f t="array" ref="AI1837">HLOOKUP($J1837,'Type Chart'!$C$2:$T$20,16,false)*HLOOKUP($K1837,'Type Chart'!$C$2:$U$20,16,false)</f>
        <v>1</v>
      </c>
      <c r="AJ1837" s="960">
        <f t="array" ref="AJ1837">HLOOKUP($J1837,'Type Chart'!$C$2:$T$20,17,false)*HLOOKUP($K1837,'Type Chart'!$C$2:$U$20,17,false)</f>
        <v>1</v>
      </c>
      <c r="AK1837" s="960">
        <f t="array" ref="AK1837">HLOOKUP($J1837,'Type Chart'!$C$2:$T$20,18,false)*HLOOKUP($K1837,'Type Chart'!$C$2:$U$20,18,false)</f>
        <v>1</v>
      </c>
      <c r="AL1837" s="960">
        <f t="array" ref="AL1837">HLOOKUP($J1837,'Type Chart'!$C$2:$T$20,19,false)*HLOOKUP($K1837,'Type Chart'!$C$2:$U$20,19,false)</f>
        <v>1</v>
      </c>
      <c r="AM1837" s="964" t="s">
        <v>1259</v>
      </c>
      <c r="AN1837" s="965" t="s">
        <v>1283</v>
      </c>
      <c r="AO1837" s="966" t="s">
        <v>1542</v>
      </c>
      <c r="AP1837" s="936"/>
      <c r="AQ1837" s="1245"/>
      <c r="AR1837" s="1245"/>
      <c r="AS1837" s="936"/>
    </row>
    <row r="1838" ht="15.75" customHeight="1">
      <c r="A1838" s="1099"/>
      <c r="B1838" s="948" t="s">
        <v>2642</v>
      </c>
      <c r="C1838" s="1197" t="s">
        <v>2643</v>
      </c>
      <c r="D1838" s="1197" t="s">
        <v>2643</v>
      </c>
      <c r="E1838" s="1147" t="s">
        <v>2643</v>
      </c>
      <c r="F1838" s="940"/>
      <c r="G1838" s="953"/>
      <c r="H1838" s="969"/>
      <c r="I1838" s="998" t="s">
        <v>4938</v>
      </c>
      <c r="J1838" s="957" t="s">
        <v>209</v>
      </c>
      <c r="K1838" s="1205" t="s">
        <v>345</v>
      </c>
      <c r="L1838" s="959">
        <v>60.0</v>
      </c>
      <c r="M1838" s="960">
        <v>62.0</v>
      </c>
      <c r="N1838" s="960">
        <v>50.0</v>
      </c>
      <c r="O1838" s="960">
        <v>62.0</v>
      </c>
      <c r="P1838" s="960">
        <v>60.0</v>
      </c>
      <c r="Q1838" s="960">
        <v>40.0</v>
      </c>
      <c r="R1838" s="960">
        <v>116.0</v>
      </c>
      <c r="S1838" s="960">
        <v>179.0</v>
      </c>
      <c r="T1838" s="960">
        <v>196.0</v>
      </c>
      <c r="U1838" s="960">
        <f t="array" ref="U1838">HLOOKUP($J1838,'Type Chart'!$C$2:$T$20,2,false)*HLOOKUP($K1838,'Type Chart'!$C$2:$U$20,2,false)</f>
        <v>1</v>
      </c>
      <c r="V1838" s="960">
        <f t="array" ref="V1838">HLOOKUP($J1838,'Type Chart'!$C$2:$T$20,3,false)*HLOOKUP($K1838,'Type Chart'!$C$2:$U$20,3,false)</f>
        <v>2</v>
      </c>
      <c r="W1838" s="960">
        <f t="array" ref="W1838">HLOOKUP($J1838,'Type Chart'!$C$2:$T$20,4,false)*HLOOKUP($K1838,'Type Chart'!$C$2:$U$20,4,false)</f>
        <v>2</v>
      </c>
      <c r="X1838" s="960">
        <f t="array" ref="X1838">HLOOKUP($J1838,'Type Chart'!$C$2:$T$20,5,false)*HLOOKUP($K1838,'Type Chart'!$C$2:$U$20,5,false)</f>
        <v>2</v>
      </c>
      <c r="Y1838" s="960">
        <f t="array" ref="Y1838">HLOOKUP($J1838,'Type Chart'!$C$2:$T$20,6,false)*HLOOKUP($K1838,'Type Chart'!$C$2:$U$20,6,false)</f>
        <v>0.5</v>
      </c>
      <c r="Z1838" s="960">
        <f t="array" ref="Z1838">HLOOKUP($J1838,'Type Chart'!$C$2:$T$20,7,false)*HLOOKUP($K1838,'Type Chart'!$C$2:$U$20,7,false)</f>
        <v>2</v>
      </c>
      <c r="AA1838" s="960">
        <f t="array" ref="AA1838">HLOOKUP($J1838,'Type Chart'!$C$2:$T$20,8,false)*HLOOKUP($K1838,'Type Chart'!$C$2:$U$20,8,false)</f>
        <v>2</v>
      </c>
      <c r="AB1838" s="960">
        <f t="array" ref="AB1838">HLOOKUP($J1838,'Type Chart'!$C$2:$T$20,9,false)*HLOOKUP($K1838,'Type Chart'!$C$2:$U$20,9,false)</f>
        <v>1</v>
      </c>
      <c r="AC1838" s="960">
        <f t="array" ref="AC1838">HLOOKUP($J1838,'Type Chart'!$C$2:$T$20,10,false)*HLOOKUP($K1838,'Type Chart'!$C$2:$U$20,10,false)</f>
        <v>2</v>
      </c>
      <c r="AD1838" s="960">
        <f t="array" ref="AD1838">HLOOKUP($J1838,'Type Chart'!$C$2:$T$20,11,false)*HLOOKUP($K1838,'Type Chart'!$C$2:$U$20,11,false)</f>
        <v>4</v>
      </c>
      <c r="AE1838" s="960">
        <f t="array" ref="AE1838">HLOOKUP($J1838,'Type Chart'!$C$2:$T$20,12,false)*HLOOKUP($K1838,'Type Chart'!$C$2:$U$20,12,false)</f>
        <v>0.5</v>
      </c>
      <c r="AF1838" s="960">
        <f t="array" ref="AF1838">HLOOKUP($J1838,'Type Chart'!$C$2:$T$20,13,false)*HLOOKUP($K1838,'Type Chart'!$C$2:$U$20,13,false)</f>
        <v>0.5</v>
      </c>
      <c r="AG1838" s="960">
        <f t="array" ref="AG1838">HLOOKUP($J1838,'Type Chart'!$C$2:$T$20,14,false)*HLOOKUP($K1838,'Type Chart'!$C$2:$U$20,14,false)</f>
        <v>0.5</v>
      </c>
      <c r="AH1838" s="960">
        <f t="array" ref="AH1838">HLOOKUP($J1838,'Type Chart'!$C$2:$T$20,15,false)*HLOOKUP($K1838,'Type Chart'!$C$2:$U$20,15,false)</f>
        <v>1</v>
      </c>
      <c r="AI1838" s="960">
        <f t="array" ref="AI1838">HLOOKUP($J1838,'Type Chart'!$C$2:$T$20,16,false)*HLOOKUP($K1838,'Type Chart'!$C$2:$U$20,16,false)</f>
        <v>1</v>
      </c>
      <c r="AJ1838" s="960">
        <f t="array" ref="AJ1838">HLOOKUP($J1838,'Type Chart'!$C$2:$T$20,17,false)*HLOOKUP($K1838,'Type Chart'!$C$2:$U$20,17,false)</f>
        <v>1</v>
      </c>
      <c r="AK1838" s="960">
        <f t="array" ref="AK1838">HLOOKUP($J1838,'Type Chart'!$C$2:$T$20,18,false)*HLOOKUP($K1838,'Type Chart'!$C$2:$U$20,18,false)</f>
        <v>1</v>
      </c>
      <c r="AL1838" s="960">
        <f t="array" ref="AL1838">HLOOKUP($J1838,'Type Chart'!$C$2:$T$20,19,false)*HLOOKUP($K1838,'Type Chart'!$C$2:$U$20,19,false)</f>
        <v>1</v>
      </c>
      <c r="AM1838" s="964" t="s">
        <v>1176</v>
      </c>
      <c r="AN1838" s="965"/>
      <c r="AO1838" s="966" t="s">
        <v>1468</v>
      </c>
      <c r="AP1838" s="936"/>
      <c r="AQ1838" s="1245"/>
      <c r="AR1838" s="1245"/>
      <c r="AS1838" s="936"/>
    </row>
    <row r="1839" ht="15.75" customHeight="1">
      <c r="A1839" s="1099"/>
      <c r="B1839" s="948" t="s">
        <v>2644</v>
      </c>
      <c r="C1839" s="1197" t="s">
        <v>2645</v>
      </c>
      <c r="D1839" s="1197" t="s">
        <v>2645</v>
      </c>
      <c r="E1839" s="1147" t="s">
        <v>2645</v>
      </c>
      <c r="F1839" s="940"/>
      <c r="G1839" s="953"/>
      <c r="H1839" s="969"/>
      <c r="I1839" s="998" t="s">
        <v>4939</v>
      </c>
      <c r="J1839" s="957" t="s">
        <v>209</v>
      </c>
      <c r="K1839" s="1205" t="s">
        <v>345</v>
      </c>
      <c r="L1839" s="959">
        <v>90.0</v>
      </c>
      <c r="M1839" s="960">
        <v>92.0</v>
      </c>
      <c r="N1839" s="960">
        <v>75.0</v>
      </c>
      <c r="O1839" s="960">
        <v>92.0</v>
      </c>
      <c r="P1839" s="960">
        <v>85.0</v>
      </c>
      <c r="Q1839" s="960">
        <v>60.0</v>
      </c>
      <c r="R1839" s="960">
        <v>156.0</v>
      </c>
      <c r="S1839" s="960">
        <v>219.0</v>
      </c>
      <c r="T1839" s="960">
        <v>240.0</v>
      </c>
      <c r="U1839" s="960">
        <f t="array" ref="U1839">HLOOKUP($J1839,'Type Chart'!$C$2:$T$20,2,false)*HLOOKUP($K1839,'Type Chart'!$C$2:$U$20,2,false)</f>
        <v>1</v>
      </c>
      <c r="V1839" s="960">
        <f t="array" ref="V1839">HLOOKUP($J1839,'Type Chart'!$C$2:$T$20,3,false)*HLOOKUP($K1839,'Type Chart'!$C$2:$U$20,3,false)</f>
        <v>2</v>
      </c>
      <c r="W1839" s="960">
        <f t="array" ref="W1839">HLOOKUP($J1839,'Type Chart'!$C$2:$T$20,4,false)*HLOOKUP($K1839,'Type Chart'!$C$2:$U$20,4,false)</f>
        <v>2</v>
      </c>
      <c r="X1839" s="960">
        <f t="array" ref="X1839">HLOOKUP($J1839,'Type Chart'!$C$2:$T$20,5,false)*HLOOKUP($K1839,'Type Chart'!$C$2:$U$20,5,false)</f>
        <v>2</v>
      </c>
      <c r="Y1839" s="960">
        <f t="array" ref="Y1839">HLOOKUP($J1839,'Type Chart'!$C$2:$T$20,6,false)*HLOOKUP($K1839,'Type Chart'!$C$2:$U$20,6,false)</f>
        <v>0.5</v>
      </c>
      <c r="Z1839" s="960">
        <f t="array" ref="Z1839">HLOOKUP($J1839,'Type Chart'!$C$2:$T$20,7,false)*HLOOKUP($K1839,'Type Chart'!$C$2:$U$20,7,false)</f>
        <v>2</v>
      </c>
      <c r="AA1839" s="960">
        <f t="array" ref="AA1839">HLOOKUP($J1839,'Type Chart'!$C$2:$T$20,8,false)*HLOOKUP($K1839,'Type Chart'!$C$2:$U$20,8,false)</f>
        <v>2</v>
      </c>
      <c r="AB1839" s="960">
        <f t="array" ref="AB1839">HLOOKUP($J1839,'Type Chart'!$C$2:$T$20,9,false)*HLOOKUP($K1839,'Type Chart'!$C$2:$U$20,9,false)</f>
        <v>1</v>
      </c>
      <c r="AC1839" s="960">
        <f t="array" ref="AC1839">HLOOKUP($J1839,'Type Chart'!$C$2:$T$20,10,false)*HLOOKUP($K1839,'Type Chart'!$C$2:$U$20,10,false)</f>
        <v>2</v>
      </c>
      <c r="AD1839" s="960">
        <f t="array" ref="AD1839">HLOOKUP($J1839,'Type Chart'!$C$2:$T$20,11,false)*HLOOKUP($K1839,'Type Chart'!$C$2:$U$20,11,false)</f>
        <v>4</v>
      </c>
      <c r="AE1839" s="960">
        <f t="array" ref="AE1839">HLOOKUP($J1839,'Type Chart'!$C$2:$T$20,12,false)*HLOOKUP($K1839,'Type Chart'!$C$2:$U$20,12,false)</f>
        <v>0.5</v>
      </c>
      <c r="AF1839" s="960">
        <f t="array" ref="AF1839">HLOOKUP($J1839,'Type Chart'!$C$2:$T$20,13,false)*HLOOKUP($K1839,'Type Chart'!$C$2:$U$20,13,false)</f>
        <v>0.5</v>
      </c>
      <c r="AG1839" s="960">
        <f t="array" ref="AG1839">HLOOKUP($J1839,'Type Chart'!$C$2:$T$20,14,false)*HLOOKUP($K1839,'Type Chart'!$C$2:$U$20,14,false)</f>
        <v>0.5</v>
      </c>
      <c r="AH1839" s="960">
        <f t="array" ref="AH1839">HLOOKUP($J1839,'Type Chart'!$C$2:$T$20,15,false)*HLOOKUP($K1839,'Type Chart'!$C$2:$U$20,15,false)</f>
        <v>1</v>
      </c>
      <c r="AI1839" s="960">
        <f t="array" ref="AI1839">HLOOKUP($J1839,'Type Chart'!$C$2:$T$20,16,false)*HLOOKUP($K1839,'Type Chart'!$C$2:$U$20,16,false)</f>
        <v>1</v>
      </c>
      <c r="AJ1839" s="960">
        <f t="array" ref="AJ1839">HLOOKUP($J1839,'Type Chart'!$C$2:$T$20,17,false)*HLOOKUP($K1839,'Type Chart'!$C$2:$U$20,17,false)</f>
        <v>1</v>
      </c>
      <c r="AK1839" s="960">
        <f t="array" ref="AK1839">HLOOKUP($J1839,'Type Chart'!$C$2:$T$20,18,false)*HLOOKUP($K1839,'Type Chart'!$C$2:$U$20,18,false)</f>
        <v>1</v>
      </c>
      <c r="AL1839" s="960">
        <f t="array" ref="AL1839">HLOOKUP($J1839,'Type Chart'!$C$2:$T$20,19,false)*HLOOKUP($K1839,'Type Chart'!$C$2:$U$20,19,false)</f>
        <v>1</v>
      </c>
      <c r="AM1839" s="964" t="s">
        <v>1176</v>
      </c>
      <c r="AN1839" s="965"/>
      <c r="AO1839" s="966" t="s">
        <v>1468</v>
      </c>
      <c r="AP1839" s="936"/>
      <c r="AQ1839" s="1245"/>
      <c r="AR1839" s="1245"/>
      <c r="AS1839" s="936"/>
    </row>
    <row r="1840" ht="15.75" customHeight="1">
      <c r="A1840" s="1099"/>
      <c r="B1840" s="948" t="s">
        <v>2646</v>
      </c>
      <c r="C1840" s="1197" t="s">
        <v>2647</v>
      </c>
      <c r="D1840" s="1197" t="s">
        <v>2647</v>
      </c>
      <c r="E1840" s="1147" t="s">
        <v>2647</v>
      </c>
      <c r="F1840" s="940"/>
      <c r="G1840" s="953"/>
      <c r="H1840" s="969"/>
      <c r="I1840" s="998" t="s">
        <v>4940</v>
      </c>
      <c r="J1840" s="957" t="s">
        <v>209</v>
      </c>
      <c r="K1840" s="1205" t="s">
        <v>345</v>
      </c>
      <c r="L1840" s="959">
        <v>90.0</v>
      </c>
      <c r="M1840" s="960">
        <v>132.0</v>
      </c>
      <c r="N1840" s="960">
        <v>105.0</v>
      </c>
      <c r="O1840" s="960">
        <v>132.0</v>
      </c>
      <c r="P1840" s="960">
        <v>105.0</v>
      </c>
      <c r="Q1840" s="960">
        <v>30.0</v>
      </c>
      <c r="R1840" s="960">
        <v>96.0</v>
      </c>
      <c r="S1840" s="960">
        <v>159.0</v>
      </c>
      <c r="T1840" s="960">
        <v>174.0</v>
      </c>
      <c r="U1840" s="960">
        <f t="array" ref="U1840">HLOOKUP($J1840,'Type Chart'!$C$2:$T$20,2,false)*HLOOKUP($K1840,'Type Chart'!$C$2:$U$20,2,false)</f>
        <v>1</v>
      </c>
      <c r="V1840" s="960">
        <f t="array" ref="V1840">HLOOKUP($J1840,'Type Chart'!$C$2:$T$20,3,false)*HLOOKUP($K1840,'Type Chart'!$C$2:$U$20,3,false)</f>
        <v>2</v>
      </c>
      <c r="W1840" s="960">
        <f t="array" ref="W1840">HLOOKUP($J1840,'Type Chart'!$C$2:$T$20,4,false)*HLOOKUP($K1840,'Type Chart'!$C$2:$U$20,4,false)</f>
        <v>2</v>
      </c>
      <c r="X1840" s="960">
        <f t="array" ref="X1840">HLOOKUP($J1840,'Type Chart'!$C$2:$T$20,5,false)*HLOOKUP($K1840,'Type Chart'!$C$2:$U$20,5,false)</f>
        <v>2</v>
      </c>
      <c r="Y1840" s="960">
        <f t="array" ref="Y1840">HLOOKUP($J1840,'Type Chart'!$C$2:$T$20,6,false)*HLOOKUP($K1840,'Type Chart'!$C$2:$U$20,6,false)</f>
        <v>0.5</v>
      </c>
      <c r="Z1840" s="960">
        <f t="array" ref="Z1840">HLOOKUP($J1840,'Type Chart'!$C$2:$T$20,7,false)*HLOOKUP($K1840,'Type Chart'!$C$2:$U$20,7,false)</f>
        <v>2</v>
      </c>
      <c r="AA1840" s="960">
        <f t="array" ref="AA1840">HLOOKUP($J1840,'Type Chart'!$C$2:$T$20,8,false)*HLOOKUP($K1840,'Type Chart'!$C$2:$U$20,8,false)</f>
        <v>2</v>
      </c>
      <c r="AB1840" s="960">
        <f t="array" ref="AB1840">HLOOKUP($J1840,'Type Chart'!$C$2:$T$20,9,false)*HLOOKUP($K1840,'Type Chart'!$C$2:$U$20,9,false)</f>
        <v>1</v>
      </c>
      <c r="AC1840" s="960">
        <f t="array" ref="AC1840">HLOOKUP($J1840,'Type Chart'!$C$2:$T$20,10,false)*HLOOKUP($K1840,'Type Chart'!$C$2:$U$20,10,false)</f>
        <v>2</v>
      </c>
      <c r="AD1840" s="960">
        <f t="array" ref="AD1840">HLOOKUP($J1840,'Type Chart'!$C$2:$T$20,11,false)*HLOOKUP($K1840,'Type Chart'!$C$2:$U$20,11,false)</f>
        <v>4</v>
      </c>
      <c r="AE1840" s="960">
        <f t="array" ref="AE1840">HLOOKUP($J1840,'Type Chart'!$C$2:$T$20,12,false)*HLOOKUP($K1840,'Type Chart'!$C$2:$U$20,12,false)</f>
        <v>0.5</v>
      </c>
      <c r="AF1840" s="960">
        <f t="array" ref="AF1840">HLOOKUP($J1840,'Type Chart'!$C$2:$T$20,13,false)*HLOOKUP($K1840,'Type Chart'!$C$2:$U$20,13,false)</f>
        <v>0.5</v>
      </c>
      <c r="AG1840" s="960">
        <f t="array" ref="AG1840">HLOOKUP($J1840,'Type Chart'!$C$2:$T$20,14,false)*HLOOKUP($K1840,'Type Chart'!$C$2:$U$20,14,false)</f>
        <v>0.5</v>
      </c>
      <c r="AH1840" s="960">
        <f t="array" ref="AH1840">HLOOKUP($J1840,'Type Chart'!$C$2:$T$20,15,false)*HLOOKUP($K1840,'Type Chart'!$C$2:$U$20,15,false)</f>
        <v>1</v>
      </c>
      <c r="AI1840" s="960">
        <f t="array" ref="AI1840">HLOOKUP($J1840,'Type Chart'!$C$2:$T$20,16,false)*HLOOKUP($K1840,'Type Chart'!$C$2:$U$20,16,false)</f>
        <v>1</v>
      </c>
      <c r="AJ1840" s="960">
        <f t="array" ref="AJ1840">HLOOKUP($J1840,'Type Chart'!$C$2:$T$20,17,false)*HLOOKUP($K1840,'Type Chart'!$C$2:$U$20,17,false)</f>
        <v>1</v>
      </c>
      <c r="AK1840" s="960">
        <f t="array" ref="AK1840">HLOOKUP($J1840,'Type Chart'!$C$2:$T$20,18,false)*HLOOKUP($K1840,'Type Chart'!$C$2:$U$20,18,false)</f>
        <v>1</v>
      </c>
      <c r="AL1840" s="960">
        <f t="array" ref="AL1840">HLOOKUP($J1840,'Type Chart'!$C$2:$T$20,19,false)*HLOOKUP($K1840,'Type Chart'!$C$2:$U$20,19,false)</f>
        <v>1</v>
      </c>
      <c r="AM1840" s="964" t="s">
        <v>1176</v>
      </c>
      <c r="AN1840" s="965"/>
      <c r="AO1840" s="966"/>
      <c r="AP1840" s="936"/>
      <c r="AQ1840" s="1245"/>
      <c r="AR1840" s="1245"/>
      <c r="AS1840" s="936"/>
    </row>
    <row r="1841" ht="15.75" customHeight="1">
      <c r="A1841" s="1099"/>
      <c r="B1841" s="948" t="s">
        <v>2649</v>
      </c>
      <c r="C1841" s="1197" t="s">
        <v>2650</v>
      </c>
      <c r="D1841" s="1197" t="s">
        <v>2650</v>
      </c>
      <c r="E1841" s="1147" t="s">
        <v>2650</v>
      </c>
      <c r="F1841" s="940"/>
      <c r="G1841" s="953"/>
      <c r="H1841" s="969"/>
      <c r="I1841" s="998" t="s">
        <v>4941</v>
      </c>
      <c r="J1841" s="1195" t="s">
        <v>193</v>
      </c>
      <c r="K1841" s="1205" t="s">
        <v>345</v>
      </c>
      <c r="L1841" s="959">
        <v>70.0</v>
      </c>
      <c r="M1841" s="960">
        <v>120.0</v>
      </c>
      <c r="N1841" s="960">
        <v>65.0</v>
      </c>
      <c r="O1841" s="960">
        <v>45.0</v>
      </c>
      <c r="P1841" s="960">
        <v>85.0</v>
      </c>
      <c r="Q1841" s="960">
        <v>125.0</v>
      </c>
      <c r="R1841" s="960">
        <v>286.0</v>
      </c>
      <c r="S1841" s="960">
        <v>349.0</v>
      </c>
      <c r="T1841" s="960">
        <v>383.0</v>
      </c>
      <c r="U1841" s="960">
        <f t="array" ref="U1841">HLOOKUP($J1841,'Type Chart'!$C$2:$T$20,2,false)*HLOOKUP($K1841,'Type Chart'!$C$2:$U$20,2,false)</f>
        <v>1</v>
      </c>
      <c r="V1841" s="960">
        <f t="array" ref="V1841">HLOOKUP($J1841,'Type Chart'!$C$2:$T$20,3,false)*HLOOKUP($K1841,'Type Chart'!$C$2:$U$20,3,false)</f>
        <v>4</v>
      </c>
      <c r="W1841" s="960">
        <f t="array" ref="W1841">HLOOKUP($J1841,'Type Chart'!$C$2:$T$20,4,false)*HLOOKUP($K1841,'Type Chart'!$C$2:$U$20,4,false)</f>
        <v>1</v>
      </c>
      <c r="X1841" s="960">
        <f t="array" ref="X1841">HLOOKUP($J1841,'Type Chart'!$C$2:$T$20,5,false)*HLOOKUP($K1841,'Type Chart'!$C$2:$U$20,5,false)</f>
        <v>1</v>
      </c>
      <c r="Y1841" s="960">
        <f t="array" ref="Y1841">HLOOKUP($J1841,'Type Chart'!$C$2:$T$20,6,false)*HLOOKUP($K1841,'Type Chart'!$C$2:$U$20,6,false)</f>
        <v>1</v>
      </c>
      <c r="Z1841" s="960">
        <f t="array" ref="Z1841">HLOOKUP($J1841,'Type Chart'!$C$2:$T$20,7,false)*HLOOKUP($K1841,'Type Chart'!$C$2:$U$20,7,false)</f>
        <v>2</v>
      </c>
      <c r="AA1841" s="960">
        <f t="array" ref="AA1841">HLOOKUP($J1841,'Type Chart'!$C$2:$T$20,8,false)*HLOOKUP($K1841,'Type Chart'!$C$2:$U$20,8,false)</f>
        <v>2</v>
      </c>
      <c r="AB1841" s="960">
        <f t="array" ref="AB1841">HLOOKUP($J1841,'Type Chart'!$C$2:$T$20,9,false)*HLOOKUP($K1841,'Type Chart'!$C$2:$U$20,9,false)</f>
        <v>0.5</v>
      </c>
      <c r="AC1841" s="960">
        <f t="array" ref="AC1841">HLOOKUP($J1841,'Type Chart'!$C$2:$T$20,10,false)*HLOOKUP($K1841,'Type Chart'!$C$2:$U$20,10,false)</f>
        <v>2</v>
      </c>
      <c r="AD1841" s="960">
        <f t="array" ref="AD1841">HLOOKUP($J1841,'Type Chart'!$C$2:$T$20,11,false)*HLOOKUP($K1841,'Type Chart'!$C$2:$U$20,11,false)</f>
        <v>2</v>
      </c>
      <c r="AE1841" s="960">
        <f t="array" ref="AE1841">HLOOKUP($J1841,'Type Chart'!$C$2:$T$20,12,false)*HLOOKUP($K1841,'Type Chart'!$C$2:$U$20,12,false)</f>
        <v>1</v>
      </c>
      <c r="AF1841" s="960">
        <f t="array" ref="AF1841">HLOOKUP($J1841,'Type Chart'!$C$2:$T$20,13,false)*HLOOKUP($K1841,'Type Chart'!$C$2:$U$20,13,false)</f>
        <v>1</v>
      </c>
      <c r="AG1841" s="960">
        <f t="array" ref="AG1841">HLOOKUP($J1841,'Type Chart'!$C$2:$T$20,14,false)*HLOOKUP($K1841,'Type Chart'!$C$2:$U$20,14,false)</f>
        <v>1</v>
      </c>
      <c r="AH1841" s="960">
        <f t="array" ref="AH1841">HLOOKUP($J1841,'Type Chart'!$C$2:$T$20,15,false)*HLOOKUP($K1841,'Type Chart'!$C$2:$U$20,15,false)</f>
        <v>0</v>
      </c>
      <c r="AI1841" s="960">
        <f t="array" ref="AI1841">HLOOKUP($J1841,'Type Chart'!$C$2:$T$20,16,false)*HLOOKUP($K1841,'Type Chart'!$C$2:$U$20,16,false)</f>
        <v>0.5</v>
      </c>
      <c r="AJ1841" s="960">
        <f t="array" ref="AJ1841">HLOOKUP($J1841,'Type Chart'!$C$2:$T$20,17,false)*HLOOKUP($K1841,'Type Chart'!$C$2:$U$20,17,false)</f>
        <v>1</v>
      </c>
      <c r="AK1841" s="960">
        <f t="array" ref="AK1841">HLOOKUP($J1841,'Type Chart'!$C$2:$T$20,18,false)*HLOOKUP($K1841,'Type Chart'!$C$2:$U$20,18,false)</f>
        <v>0.5</v>
      </c>
      <c r="AL1841" s="960">
        <f t="array" ref="AL1841">HLOOKUP($J1841,'Type Chart'!$C$2:$T$20,19,false)*HLOOKUP($K1841,'Type Chart'!$C$2:$U$20,19,false)</f>
        <v>2</v>
      </c>
      <c r="AM1841" s="964" t="s">
        <v>1636</v>
      </c>
      <c r="AN1841" s="965"/>
      <c r="AO1841" s="966" t="s">
        <v>1869</v>
      </c>
      <c r="AP1841" s="936"/>
      <c r="AQ1841" s="1245"/>
      <c r="AR1841" s="1245"/>
      <c r="AS1841" s="936"/>
    </row>
    <row r="1842" ht="15.75" customHeight="1">
      <c r="A1842" s="1099"/>
      <c r="B1842" s="948" t="s">
        <v>2651</v>
      </c>
      <c r="C1842" s="1197" t="s">
        <v>2652</v>
      </c>
      <c r="D1842" s="1197" t="s">
        <v>2652</v>
      </c>
      <c r="E1842" s="1147" t="s">
        <v>2652</v>
      </c>
      <c r="F1842" s="940"/>
      <c r="G1842" s="953"/>
      <c r="H1842" s="969"/>
      <c r="I1842" s="998" t="s">
        <v>4942</v>
      </c>
      <c r="J1842" s="1196" t="s">
        <v>203</v>
      </c>
      <c r="K1842" s="1206" t="s">
        <v>82</v>
      </c>
      <c r="L1842" s="959">
        <v>70.0</v>
      </c>
      <c r="M1842" s="960">
        <v>70.0</v>
      </c>
      <c r="N1842" s="960">
        <v>115.0</v>
      </c>
      <c r="O1842" s="960">
        <v>130.0</v>
      </c>
      <c r="P1842" s="960">
        <v>90.0</v>
      </c>
      <c r="Q1842" s="960">
        <v>60.0</v>
      </c>
      <c r="R1842" s="960">
        <v>156.0</v>
      </c>
      <c r="S1842" s="960">
        <v>219.0</v>
      </c>
      <c r="T1842" s="960">
        <v>240.0</v>
      </c>
      <c r="U1842" s="960">
        <f t="array" ref="U1842">HLOOKUP($J1842,'Type Chart'!$C$2:$T$20,2,false)*HLOOKUP($K1842,'Type Chart'!$C$2:$U$20,2,false)</f>
        <v>0.5</v>
      </c>
      <c r="V1842" s="960">
        <f t="array" ref="V1842">HLOOKUP($J1842,'Type Chart'!$C$2:$T$20,3,false)*HLOOKUP($K1842,'Type Chart'!$C$2:$U$20,3,false)</f>
        <v>2</v>
      </c>
      <c r="W1842" s="960">
        <f t="array" ref="W1842">HLOOKUP($J1842,'Type Chart'!$C$2:$T$20,4,false)*HLOOKUP($K1842,'Type Chart'!$C$2:$U$20,4,false)</f>
        <v>0.25</v>
      </c>
      <c r="X1842" s="960">
        <f t="array" ref="X1842">HLOOKUP($J1842,'Type Chart'!$C$2:$T$20,5,false)*HLOOKUP($K1842,'Type Chart'!$C$2:$U$20,5,false)</f>
        <v>0</v>
      </c>
      <c r="Y1842" s="960">
        <f t="array" ref="Y1842">HLOOKUP($J1842,'Type Chart'!$C$2:$T$20,6,false)*HLOOKUP($K1842,'Type Chart'!$C$2:$U$20,6,false)</f>
        <v>4</v>
      </c>
      <c r="Z1842" s="960">
        <f t="array" ref="Z1842">HLOOKUP($J1842,'Type Chart'!$C$2:$T$20,7,false)*HLOOKUP($K1842,'Type Chart'!$C$2:$U$20,7,false)</f>
        <v>0.5</v>
      </c>
      <c r="AA1842" s="960">
        <f t="array" ref="AA1842">HLOOKUP($J1842,'Type Chart'!$C$2:$T$20,8,false)*HLOOKUP($K1842,'Type Chart'!$C$2:$U$20,8,false)</f>
        <v>0.5</v>
      </c>
      <c r="AB1842" s="960">
        <f t="array" ref="AB1842">HLOOKUP($J1842,'Type Chart'!$C$2:$T$20,9,false)*HLOOKUP($K1842,'Type Chart'!$C$2:$U$20,9,false)</f>
        <v>1</v>
      </c>
      <c r="AC1842" s="960">
        <f t="array" ref="AC1842">HLOOKUP($J1842,'Type Chart'!$C$2:$T$20,10,false)*HLOOKUP($K1842,'Type Chart'!$C$2:$U$20,10,false)</f>
        <v>0.25</v>
      </c>
      <c r="AD1842" s="960">
        <f t="array" ref="AD1842">HLOOKUP($J1842,'Type Chart'!$C$2:$T$20,11,false)*HLOOKUP($K1842,'Type Chart'!$C$2:$U$20,11,false)</f>
        <v>2</v>
      </c>
      <c r="AE1842" s="960">
        <f t="array" ref="AE1842">HLOOKUP($J1842,'Type Chart'!$C$2:$T$20,12,false)*HLOOKUP($K1842,'Type Chart'!$C$2:$U$20,12,false)</f>
        <v>1</v>
      </c>
      <c r="AF1842" s="960">
        <f t="array" ref="AF1842">HLOOKUP($J1842,'Type Chart'!$C$2:$T$20,13,false)*HLOOKUP($K1842,'Type Chart'!$C$2:$U$20,13,false)</f>
        <v>0.5</v>
      </c>
      <c r="AG1842" s="960">
        <f t="array" ref="AG1842">HLOOKUP($J1842,'Type Chart'!$C$2:$T$20,14,false)*HLOOKUP($K1842,'Type Chart'!$C$2:$U$20,14,false)</f>
        <v>0.5</v>
      </c>
      <c r="AH1842" s="960">
        <f t="array" ref="AH1842">HLOOKUP($J1842,'Type Chart'!$C$2:$T$20,15,false)*HLOOKUP($K1842,'Type Chart'!$C$2:$U$20,15,false)</f>
        <v>0.5</v>
      </c>
      <c r="AI1842" s="960">
        <f t="array" ref="AI1842">HLOOKUP($J1842,'Type Chart'!$C$2:$T$20,16,false)*HLOOKUP($K1842,'Type Chart'!$C$2:$U$20,16,false)</f>
        <v>0.5</v>
      </c>
      <c r="AJ1842" s="960">
        <f t="array" ref="AJ1842">HLOOKUP($J1842,'Type Chart'!$C$2:$T$20,17,false)*HLOOKUP($K1842,'Type Chart'!$C$2:$U$20,17,false)</f>
        <v>0.5</v>
      </c>
      <c r="AK1842" s="960">
        <f t="array" ref="AK1842">HLOOKUP($J1842,'Type Chart'!$C$2:$T$20,18,false)*HLOOKUP($K1842,'Type Chart'!$C$2:$U$20,18,false)</f>
        <v>1</v>
      </c>
      <c r="AL1842" s="960">
        <f t="array" ref="AL1842">HLOOKUP($J1842,'Type Chart'!$C$2:$T$20,19,false)*HLOOKUP($K1842,'Type Chart'!$C$2:$U$20,19,false)</f>
        <v>0.5</v>
      </c>
      <c r="AM1842" s="964" t="s">
        <v>1336</v>
      </c>
      <c r="AN1842" s="965" t="s">
        <v>1331</v>
      </c>
      <c r="AO1842" s="966" t="s">
        <v>1389</v>
      </c>
      <c r="AP1842" s="936"/>
      <c r="AQ1842" s="1245"/>
      <c r="AR1842" s="1245"/>
      <c r="AS1842" s="936"/>
    </row>
    <row r="1843" ht="15.75" customHeight="1">
      <c r="A1843" s="1099"/>
      <c r="B1843" s="948" t="s">
        <v>2653</v>
      </c>
      <c r="C1843" s="1197" t="s">
        <v>2654</v>
      </c>
      <c r="D1843" s="1197" t="s">
        <v>2654</v>
      </c>
      <c r="E1843" s="1147" t="s">
        <v>2654</v>
      </c>
      <c r="F1843" s="940"/>
      <c r="G1843" s="953"/>
      <c r="H1843" s="969"/>
      <c r="I1843" s="998" t="s">
        <v>4943</v>
      </c>
      <c r="J1843" s="1194" t="s">
        <v>136</v>
      </c>
      <c r="K1843" s="984" t="s">
        <v>216</v>
      </c>
      <c r="L1843" s="959">
        <v>110.0</v>
      </c>
      <c r="M1843" s="960">
        <v>85.0</v>
      </c>
      <c r="N1843" s="960">
        <v>95.0</v>
      </c>
      <c r="O1843" s="960">
        <v>80.0</v>
      </c>
      <c r="P1843" s="960">
        <v>95.0</v>
      </c>
      <c r="Q1843" s="960">
        <v>50.0</v>
      </c>
      <c r="R1843" s="960">
        <v>136.0</v>
      </c>
      <c r="S1843" s="960">
        <v>199.0</v>
      </c>
      <c r="T1843" s="960">
        <v>218.0</v>
      </c>
      <c r="U1843" s="960">
        <f t="array" ref="U1843">HLOOKUP($J1843,'Type Chart'!$C$2:$T$20,2,false)*HLOOKUP($K1843,'Type Chart'!$C$2:$U$20,2,false)</f>
        <v>1</v>
      </c>
      <c r="V1843" s="960">
        <f t="array" ref="V1843">HLOOKUP($J1843,'Type Chart'!$C$2:$T$20,3,false)*HLOOKUP($K1843,'Type Chart'!$C$2:$U$20,3,false)</f>
        <v>2</v>
      </c>
      <c r="W1843" s="960">
        <f t="array" ref="W1843">HLOOKUP($J1843,'Type Chart'!$C$2:$T$20,4,false)*HLOOKUP($K1843,'Type Chart'!$C$2:$U$20,4,false)</f>
        <v>1</v>
      </c>
      <c r="X1843" s="960">
        <f t="array" ref="X1843">HLOOKUP($J1843,'Type Chart'!$C$2:$T$20,5,false)*HLOOKUP($K1843,'Type Chart'!$C$2:$U$20,5,false)</f>
        <v>1</v>
      </c>
      <c r="Y1843" s="960">
        <f t="array" ref="Y1843">HLOOKUP($J1843,'Type Chart'!$C$2:$T$20,6,false)*HLOOKUP($K1843,'Type Chart'!$C$2:$U$20,6,false)</f>
        <v>1</v>
      </c>
      <c r="Z1843" s="960">
        <f t="array" ref="Z1843">HLOOKUP($J1843,'Type Chart'!$C$2:$T$20,7,false)*HLOOKUP($K1843,'Type Chart'!$C$2:$U$20,7,false)</f>
        <v>1</v>
      </c>
      <c r="AA1843" s="960">
        <f t="array" ref="AA1843">HLOOKUP($J1843,'Type Chart'!$C$2:$T$20,8,false)*HLOOKUP($K1843,'Type Chart'!$C$2:$U$20,8,false)</f>
        <v>1</v>
      </c>
      <c r="AB1843" s="960">
        <f t="array" ref="AB1843">HLOOKUP($J1843,'Type Chart'!$C$2:$T$20,9,false)*HLOOKUP($K1843,'Type Chart'!$C$2:$U$20,9,false)</f>
        <v>0</v>
      </c>
      <c r="AC1843" s="960">
        <f t="array" ref="AC1843">HLOOKUP($J1843,'Type Chart'!$C$2:$T$20,10,false)*HLOOKUP($K1843,'Type Chart'!$C$2:$U$20,10,false)</f>
        <v>1</v>
      </c>
      <c r="AD1843" s="960">
        <f t="array" ref="AD1843">HLOOKUP($J1843,'Type Chart'!$C$2:$T$20,11,false)*HLOOKUP($K1843,'Type Chart'!$C$2:$U$20,11,false)</f>
        <v>1</v>
      </c>
      <c r="AE1843" s="960">
        <f t="array" ref="AE1843">HLOOKUP($J1843,'Type Chart'!$C$2:$T$20,12,false)*HLOOKUP($K1843,'Type Chart'!$C$2:$U$20,12,false)</f>
        <v>1</v>
      </c>
      <c r="AF1843" s="960">
        <f t="array" ref="AF1843">HLOOKUP($J1843,'Type Chart'!$C$2:$T$20,13,false)*HLOOKUP($K1843,'Type Chart'!$C$2:$U$20,13,false)</f>
        <v>1</v>
      </c>
      <c r="AG1843" s="960">
        <f t="array" ref="AG1843">HLOOKUP($J1843,'Type Chart'!$C$2:$T$20,14,false)*HLOOKUP($K1843,'Type Chart'!$C$2:$U$20,14,false)</f>
        <v>1</v>
      </c>
      <c r="AH1843" s="960">
        <f t="array" ref="AH1843">HLOOKUP($J1843,'Type Chart'!$C$2:$T$20,15,false)*HLOOKUP($K1843,'Type Chart'!$C$2:$U$20,15,false)</f>
        <v>1</v>
      </c>
      <c r="AI1843" s="960">
        <f t="array" ref="AI1843">HLOOKUP($J1843,'Type Chart'!$C$2:$T$20,16,false)*HLOOKUP($K1843,'Type Chart'!$C$2:$U$20,16,false)</f>
        <v>1</v>
      </c>
      <c r="AJ1843" s="960">
        <f t="array" ref="AJ1843">HLOOKUP($J1843,'Type Chart'!$C$2:$T$20,17,false)*HLOOKUP($K1843,'Type Chart'!$C$2:$U$20,17,false)</f>
        <v>1</v>
      </c>
      <c r="AK1843" s="960">
        <f t="array" ref="AK1843">HLOOKUP($J1843,'Type Chart'!$C$2:$T$20,18,false)*HLOOKUP($K1843,'Type Chart'!$C$2:$U$20,18,false)</f>
        <v>1</v>
      </c>
      <c r="AL1843" s="960">
        <f t="array" ref="AL1843">HLOOKUP($J1843,'Type Chart'!$C$2:$T$20,19,false)*HLOOKUP($K1843,'Type Chart'!$C$2:$U$20,19,false)</f>
        <v>1</v>
      </c>
      <c r="AM1843" s="964" t="s">
        <v>1370</v>
      </c>
      <c r="AN1843" s="965" t="s">
        <v>1369</v>
      </c>
      <c r="AO1843" s="966" t="s">
        <v>1258</v>
      </c>
      <c r="AP1843" s="936"/>
      <c r="AQ1843" s="1245"/>
      <c r="AR1843" s="1245"/>
      <c r="AS1843" s="936"/>
    </row>
    <row r="1844" ht="15.75" customHeight="1">
      <c r="A1844" s="1099"/>
      <c r="B1844" s="948" t="s">
        <v>2656</v>
      </c>
      <c r="C1844" s="1197" t="s">
        <v>2657</v>
      </c>
      <c r="D1844" s="1197" t="s">
        <v>2657</v>
      </c>
      <c r="E1844" s="1147" t="s">
        <v>2657</v>
      </c>
      <c r="F1844" s="940"/>
      <c r="G1844" s="953"/>
      <c r="H1844" s="969"/>
      <c r="I1844" s="998" t="s">
        <v>4944</v>
      </c>
      <c r="J1844" s="1204" t="s">
        <v>80</v>
      </c>
      <c r="K1844" s="1214" t="s">
        <v>342</v>
      </c>
      <c r="L1844" s="959">
        <v>115.0</v>
      </c>
      <c r="M1844" s="960">
        <v>140.0</v>
      </c>
      <c r="N1844" s="960">
        <v>130.0</v>
      </c>
      <c r="O1844" s="960">
        <v>55.0</v>
      </c>
      <c r="P1844" s="960">
        <v>55.0</v>
      </c>
      <c r="Q1844" s="960">
        <v>40.0</v>
      </c>
      <c r="R1844" s="960">
        <v>116.0</v>
      </c>
      <c r="S1844" s="960">
        <v>179.0</v>
      </c>
      <c r="T1844" s="960">
        <v>196.0</v>
      </c>
      <c r="U1844" s="960">
        <f t="array" ref="U1844">HLOOKUP($J1844,'Type Chart'!$C$2:$T$20,2,false)*HLOOKUP($K1844,'Type Chart'!$C$2:$U$20,2,false)</f>
        <v>0.5</v>
      </c>
      <c r="V1844" s="960">
        <f t="array" ref="V1844">HLOOKUP($J1844,'Type Chart'!$C$2:$T$20,3,false)*HLOOKUP($K1844,'Type Chart'!$C$2:$U$20,3,false)</f>
        <v>2</v>
      </c>
      <c r="W1844" s="960">
        <f t="array" ref="W1844">HLOOKUP($J1844,'Type Chart'!$C$2:$T$20,4,false)*HLOOKUP($K1844,'Type Chart'!$C$2:$U$20,4,false)</f>
        <v>0.5</v>
      </c>
      <c r="X1844" s="960">
        <f t="array" ref="X1844">HLOOKUP($J1844,'Type Chart'!$C$2:$T$20,5,false)*HLOOKUP($K1844,'Type Chart'!$C$2:$U$20,5,false)</f>
        <v>0.25</v>
      </c>
      <c r="Y1844" s="960">
        <f t="array" ref="Y1844">HLOOKUP($J1844,'Type Chart'!$C$2:$T$20,6,false)*HLOOKUP($K1844,'Type Chart'!$C$2:$U$20,6,false)</f>
        <v>2</v>
      </c>
      <c r="Z1844" s="960">
        <f t="array" ref="Z1844">HLOOKUP($J1844,'Type Chart'!$C$2:$T$20,7,false)*HLOOKUP($K1844,'Type Chart'!$C$2:$U$20,7,false)</f>
        <v>0.5</v>
      </c>
      <c r="AA1844" s="960">
        <f t="array" ref="AA1844">HLOOKUP($J1844,'Type Chart'!$C$2:$T$20,8,false)*HLOOKUP($K1844,'Type Chart'!$C$2:$U$20,8,false)</f>
        <v>1</v>
      </c>
      <c r="AB1844" s="960">
        <f t="array" ref="AB1844">HLOOKUP($J1844,'Type Chart'!$C$2:$T$20,9,false)*HLOOKUP($K1844,'Type Chart'!$C$2:$U$20,9,false)</f>
        <v>1</v>
      </c>
      <c r="AC1844" s="960">
        <f t="array" ref="AC1844">HLOOKUP($J1844,'Type Chart'!$C$2:$T$20,10,false)*HLOOKUP($K1844,'Type Chart'!$C$2:$U$20,10,false)</f>
        <v>2</v>
      </c>
      <c r="AD1844" s="960">
        <f t="array" ref="AD1844">HLOOKUP($J1844,'Type Chart'!$C$2:$T$20,11,false)*HLOOKUP($K1844,'Type Chart'!$C$2:$U$20,11,false)</f>
        <v>0.5</v>
      </c>
      <c r="AE1844" s="960">
        <f t="array" ref="AE1844">HLOOKUP($J1844,'Type Chart'!$C$2:$T$20,12,false)*HLOOKUP($K1844,'Type Chart'!$C$2:$U$20,12,false)</f>
        <v>4</v>
      </c>
      <c r="AF1844" s="960">
        <f t="array" ref="AF1844">HLOOKUP($J1844,'Type Chart'!$C$2:$T$20,13,false)*HLOOKUP($K1844,'Type Chart'!$C$2:$U$20,13,false)</f>
        <v>4</v>
      </c>
      <c r="AG1844" s="960">
        <f t="array" ref="AG1844">HLOOKUP($J1844,'Type Chart'!$C$2:$T$20,14,false)*HLOOKUP($K1844,'Type Chart'!$C$2:$U$20,14,false)</f>
        <v>0</v>
      </c>
      <c r="AH1844" s="960">
        <f t="array" ref="AH1844">HLOOKUP($J1844,'Type Chart'!$C$2:$T$20,15,false)*HLOOKUP($K1844,'Type Chart'!$C$2:$U$20,15,false)</f>
        <v>1</v>
      </c>
      <c r="AI1844" s="960">
        <f t="array" ref="AI1844">HLOOKUP($J1844,'Type Chart'!$C$2:$T$20,16,false)*HLOOKUP($K1844,'Type Chart'!$C$2:$U$20,16,false)</f>
        <v>2</v>
      </c>
      <c r="AJ1844" s="960">
        <f t="array" ref="AJ1844">HLOOKUP($J1844,'Type Chart'!$C$2:$T$20,17,false)*HLOOKUP($K1844,'Type Chart'!$C$2:$U$20,17,false)</f>
        <v>1</v>
      </c>
      <c r="AK1844" s="960">
        <f t="array" ref="AK1844">HLOOKUP($J1844,'Type Chart'!$C$2:$T$20,18,false)*HLOOKUP($K1844,'Type Chart'!$C$2:$U$20,18,false)</f>
        <v>1</v>
      </c>
      <c r="AL1844" s="960">
        <f t="array" ref="AL1844">HLOOKUP($J1844,'Type Chart'!$C$2:$T$20,19,false)*HLOOKUP($K1844,'Type Chart'!$C$2:$U$20,19,false)</f>
        <v>1</v>
      </c>
      <c r="AM1844" s="964" t="s">
        <v>1068</v>
      </c>
      <c r="AN1844" s="965" t="s">
        <v>2218</v>
      </c>
      <c r="AO1844" s="966" t="s">
        <v>1497</v>
      </c>
      <c r="AP1844" s="936"/>
      <c r="AQ1844" s="1245"/>
      <c r="AR1844" s="1245"/>
      <c r="AS1844" s="936"/>
    </row>
    <row r="1845" ht="15.75" customHeight="1">
      <c r="A1845" s="1099"/>
      <c r="B1845" s="948" t="s">
        <v>2658</v>
      </c>
      <c r="C1845" s="1197" t="s">
        <v>2659</v>
      </c>
      <c r="D1845" s="1197" t="s">
        <v>2659</v>
      </c>
      <c r="E1845" s="1147" t="s">
        <v>2659</v>
      </c>
      <c r="F1845" s="940"/>
      <c r="G1845" s="953"/>
      <c r="H1845" s="969"/>
      <c r="I1845" s="998" t="s">
        <v>4945</v>
      </c>
      <c r="J1845" s="957" t="s">
        <v>209</v>
      </c>
      <c r="K1845" s="984" t="s">
        <v>216</v>
      </c>
      <c r="L1845" s="959">
        <v>100.0</v>
      </c>
      <c r="M1845" s="960">
        <v>100.0</v>
      </c>
      <c r="N1845" s="960">
        <v>125.0</v>
      </c>
      <c r="O1845" s="960">
        <v>110.0</v>
      </c>
      <c r="P1845" s="960">
        <v>50.0</v>
      </c>
      <c r="Q1845" s="960">
        <v>50.0</v>
      </c>
      <c r="R1845" s="960">
        <v>136.0</v>
      </c>
      <c r="S1845" s="960">
        <v>199.0</v>
      </c>
      <c r="T1845" s="960">
        <v>218.0</v>
      </c>
      <c r="U1845" s="960">
        <f t="array" ref="U1845">HLOOKUP($J1845,'Type Chart'!$C$2:$T$20,2,false)*HLOOKUP($K1845,'Type Chart'!$C$2:$U$20,2,false)</f>
        <v>1</v>
      </c>
      <c r="V1845" s="960">
        <f t="array" ref="V1845">HLOOKUP($J1845,'Type Chart'!$C$2:$T$20,3,false)*HLOOKUP($K1845,'Type Chart'!$C$2:$U$20,3,false)</f>
        <v>1</v>
      </c>
      <c r="W1845" s="960">
        <f t="array" ref="W1845">HLOOKUP($J1845,'Type Chart'!$C$2:$T$20,4,false)*HLOOKUP($K1845,'Type Chart'!$C$2:$U$20,4,false)</f>
        <v>2</v>
      </c>
      <c r="X1845" s="960">
        <f t="array" ref="X1845">HLOOKUP($J1845,'Type Chart'!$C$2:$T$20,5,false)*HLOOKUP($K1845,'Type Chart'!$C$2:$U$20,5,false)</f>
        <v>2</v>
      </c>
      <c r="Y1845" s="960">
        <f t="array" ref="Y1845">HLOOKUP($J1845,'Type Chart'!$C$2:$T$20,6,false)*HLOOKUP($K1845,'Type Chart'!$C$2:$U$20,6,false)</f>
        <v>0.5</v>
      </c>
      <c r="Z1845" s="960">
        <f t="array" ref="Z1845">HLOOKUP($J1845,'Type Chart'!$C$2:$T$20,7,false)*HLOOKUP($K1845,'Type Chart'!$C$2:$U$20,7,false)</f>
        <v>1</v>
      </c>
      <c r="AA1845" s="960">
        <f t="array" ref="AA1845">HLOOKUP($J1845,'Type Chart'!$C$2:$T$20,8,false)*HLOOKUP($K1845,'Type Chart'!$C$2:$U$20,8,false)</f>
        <v>2</v>
      </c>
      <c r="AB1845" s="960">
        <f t="array" ref="AB1845">HLOOKUP($J1845,'Type Chart'!$C$2:$T$20,9,false)*HLOOKUP($K1845,'Type Chart'!$C$2:$U$20,9,false)</f>
        <v>1</v>
      </c>
      <c r="AC1845" s="960">
        <f t="array" ref="AC1845">HLOOKUP($J1845,'Type Chart'!$C$2:$T$20,10,false)*HLOOKUP($K1845,'Type Chart'!$C$2:$U$20,10,false)</f>
        <v>1</v>
      </c>
      <c r="AD1845" s="960">
        <f t="array" ref="AD1845">HLOOKUP($J1845,'Type Chart'!$C$2:$T$20,11,false)*HLOOKUP($K1845,'Type Chart'!$C$2:$U$20,11,false)</f>
        <v>2</v>
      </c>
      <c r="AE1845" s="960">
        <f t="array" ref="AE1845">HLOOKUP($J1845,'Type Chart'!$C$2:$T$20,12,false)*HLOOKUP($K1845,'Type Chart'!$C$2:$U$20,12,false)</f>
        <v>0.5</v>
      </c>
      <c r="AF1845" s="960">
        <f t="array" ref="AF1845">HLOOKUP($J1845,'Type Chart'!$C$2:$T$20,13,false)*HLOOKUP($K1845,'Type Chart'!$C$2:$U$20,13,false)</f>
        <v>0.5</v>
      </c>
      <c r="AG1845" s="960">
        <f t="array" ref="AG1845">HLOOKUP($J1845,'Type Chart'!$C$2:$T$20,14,false)*HLOOKUP($K1845,'Type Chart'!$C$2:$U$20,14,false)</f>
        <v>0.5</v>
      </c>
      <c r="AH1845" s="960">
        <f t="array" ref="AH1845">HLOOKUP($J1845,'Type Chart'!$C$2:$T$20,15,false)*HLOOKUP($K1845,'Type Chart'!$C$2:$U$20,15,false)</f>
        <v>1</v>
      </c>
      <c r="AI1845" s="960">
        <f t="array" ref="AI1845">HLOOKUP($J1845,'Type Chart'!$C$2:$T$20,16,false)*HLOOKUP($K1845,'Type Chart'!$C$2:$U$20,16,false)</f>
        <v>2</v>
      </c>
      <c r="AJ1845" s="960">
        <f t="array" ref="AJ1845">HLOOKUP($J1845,'Type Chart'!$C$2:$T$20,17,false)*HLOOKUP($K1845,'Type Chart'!$C$2:$U$20,17,false)</f>
        <v>1</v>
      </c>
      <c r="AK1845" s="960">
        <f t="array" ref="AK1845">HLOOKUP($J1845,'Type Chart'!$C$2:$T$20,18,false)*HLOOKUP($K1845,'Type Chart'!$C$2:$U$20,18,false)</f>
        <v>1</v>
      </c>
      <c r="AL1845" s="960">
        <f t="array" ref="AL1845">HLOOKUP($J1845,'Type Chart'!$C$2:$T$20,19,false)*HLOOKUP($K1845,'Type Chart'!$C$2:$U$20,19,false)</f>
        <v>1</v>
      </c>
      <c r="AM1845" s="964" t="s">
        <v>524</v>
      </c>
      <c r="AN1845" s="965" t="s">
        <v>1526</v>
      </c>
      <c r="AO1845" s="966" t="s">
        <v>1371</v>
      </c>
      <c r="AP1845" s="936"/>
      <c r="AQ1845" s="1245"/>
      <c r="AR1845" s="1245"/>
      <c r="AS1845" s="936"/>
    </row>
    <row r="1846" ht="15.75" customHeight="1">
      <c r="A1846" s="1099"/>
      <c r="B1846" s="948" t="s">
        <v>2661</v>
      </c>
      <c r="C1846" s="1197" t="s">
        <v>2662</v>
      </c>
      <c r="D1846" s="1197" t="s">
        <v>2662</v>
      </c>
      <c r="E1846" s="1147" t="s">
        <v>2662</v>
      </c>
      <c r="F1846" s="940"/>
      <c r="G1846" s="953"/>
      <c r="H1846" s="969"/>
      <c r="I1846" s="998" t="s">
        <v>4946</v>
      </c>
      <c r="J1846" s="1198" t="s">
        <v>203</v>
      </c>
      <c r="K1846" s="1199" t="s">
        <v>216</v>
      </c>
      <c r="L1846" s="1200">
        <v>75.0</v>
      </c>
      <c r="M1846" s="1201">
        <v>123.0</v>
      </c>
      <c r="N1846" s="1201">
        <v>67.0</v>
      </c>
      <c r="O1846" s="1201">
        <v>95.0</v>
      </c>
      <c r="P1846" s="1201">
        <v>85.0</v>
      </c>
      <c r="Q1846" s="1201">
        <v>95.0</v>
      </c>
      <c r="R1846" s="960">
        <v>226.0</v>
      </c>
      <c r="S1846" s="960">
        <v>289.0</v>
      </c>
      <c r="T1846" s="960">
        <v>317.0</v>
      </c>
      <c r="U1846" s="960">
        <f t="array" ref="U1846">HLOOKUP($J1846,'Type Chart'!$C$2:$T$20,2,false)*HLOOKUP($K1846,'Type Chart'!$C$2:$U$20,2,false)</f>
        <v>1</v>
      </c>
      <c r="V1846" s="960">
        <f t="array" ref="V1846">HLOOKUP($J1846,'Type Chart'!$C$2:$T$20,3,false)*HLOOKUP($K1846,'Type Chart'!$C$2:$U$20,3,false)</f>
        <v>1</v>
      </c>
      <c r="W1846" s="960">
        <f t="array" ref="W1846">HLOOKUP($J1846,'Type Chart'!$C$2:$T$20,4,false)*HLOOKUP($K1846,'Type Chart'!$C$2:$U$20,4,false)</f>
        <v>0.5</v>
      </c>
      <c r="X1846" s="960">
        <f t="array" ref="X1846">HLOOKUP($J1846,'Type Chart'!$C$2:$T$20,5,false)*HLOOKUP($K1846,'Type Chart'!$C$2:$U$20,5,false)</f>
        <v>1</v>
      </c>
      <c r="Y1846" s="960">
        <f t="array" ref="Y1846">HLOOKUP($J1846,'Type Chart'!$C$2:$T$20,6,false)*HLOOKUP($K1846,'Type Chart'!$C$2:$U$20,6,false)</f>
        <v>2</v>
      </c>
      <c r="Z1846" s="960">
        <f t="array" ref="Z1846">HLOOKUP($J1846,'Type Chart'!$C$2:$T$20,7,false)*HLOOKUP($K1846,'Type Chart'!$C$2:$U$20,7,false)</f>
        <v>1</v>
      </c>
      <c r="AA1846" s="960">
        <f t="array" ref="AA1846">HLOOKUP($J1846,'Type Chart'!$C$2:$T$20,8,false)*HLOOKUP($K1846,'Type Chart'!$C$2:$U$20,8,false)</f>
        <v>1</v>
      </c>
      <c r="AB1846" s="960">
        <f t="array" ref="AB1846">HLOOKUP($J1846,'Type Chart'!$C$2:$T$20,9,false)*HLOOKUP($K1846,'Type Chart'!$C$2:$U$20,9,false)</f>
        <v>1</v>
      </c>
      <c r="AC1846" s="960">
        <f t="array" ref="AC1846">HLOOKUP($J1846,'Type Chart'!$C$2:$T$20,10,false)*HLOOKUP($K1846,'Type Chart'!$C$2:$U$20,10,false)</f>
        <v>0.5</v>
      </c>
      <c r="AD1846" s="960">
        <f t="array" ref="AD1846">HLOOKUP($J1846,'Type Chart'!$C$2:$T$20,11,false)*HLOOKUP($K1846,'Type Chart'!$C$2:$U$20,11,false)</f>
        <v>1</v>
      </c>
      <c r="AE1846" s="960">
        <f t="array" ref="AE1846">HLOOKUP($J1846,'Type Chart'!$C$2:$T$20,12,false)*HLOOKUP($K1846,'Type Chart'!$C$2:$U$20,12,false)</f>
        <v>1</v>
      </c>
      <c r="AF1846" s="960">
        <f t="array" ref="AF1846">HLOOKUP($J1846,'Type Chart'!$C$2:$T$20,13,false)*HLOOKUP($K1846,'Type Chart'!$C$2:$U$20,13,false)</f>
        <v>1</v>
      </c>
      <c r="AG1846" s="960">
        <f t="array" ref="AG1846">HLOOKUP($J1846,'Type Chart'!$C$2:$T$20,14,false)*HLOOKUP($K1846,'Type Chart'!$C$2:$U$20,14,false)</f>
        <v>0.5</v>
      </c>
      <c r="AH1846" s="960">
        <f t="array" ref="AH1846">HLOOKUP($J1846,'Type Chart'!$C$2:$T$20,15,false)*HLOOKUP($K1846,'Type Chart'!$C$2:$U$20,15,false)</f>
        <v>1</v>
      </c>
      <c r="AI1846" s="960">
        <f t="array" ref="AI1846">HLOOKUP($J1846,'Type Chart'!$C$2:$T$20,16,false)*HLOOKUP($K1846,'Type Chart'!$C$2:$U$20,16,false)</f>
        <v>1</v>
      </c>
      <c r="AJ1846" s="960">
        <f t="array" ref="AJ1846">HLOOKUP($J1846,'Type Chart'!$C$2:$T$20,17,false)*HLOOKUP($K1846,'Type Chart'!$C$2:$U$20,17,false)</f>
        <v>1</v>
      </c>
      <c r="AK1846" s="960">
        <f t="array" ref="AK1846">HLOOKUP($J1846,'Type Chart'!$C$2:$T$20,18,false)*HLOOKUP($K1846,'Type Chart'!$C$2:$U$20,18,false)</f>
        <v>1</v>
      </c>
      <c r="AL1846" s="960">
        <f t="array" ref="AL1846">HLOOKUP($J1846,'Type Chart'!$C$2:$T$20,19,false)*HLOOKUP($K1846,'Type Chart'!$C$2:$U$20,19,false)</f>
        <v>1</v>
      </c>
      <c r="AM1846" s="1145" t="s">
        <v>2663</v>
      </c>
      <c r="AN1846" s="1202"/>
      <c r="AO1846" s="1146" t="s">
        <v>1265</v>
      </c>
      <c r="AP1846" s="936"/>
      <c r="AQ1846" s="1245"/>
      <c r="AR1846" s="1245"/>
      <c r="AS1846" s="936"/>
    </row>
    <row r="1847" ht="15.75" customHeight="1">
      <c r="A1847" s="1099"/>
      <c r="B1847" s="948" t="s">
        <v>2664</v>
      </c>
      <c r="C1847" s="1197" t="s">
        <v>2665</v>
      </c>
      <c r="D1847" s="1197" t="s">
        <v>2665</v>
      </c>
      <c r="E1847" s="1147" t="s">
        <v>2665</v>
      </c>
      <c r="F1847" s="940"/>
      <c r="G1847" s="953"/>
      <c r="H1847" s="969"/>
      <c r="I1847" s="998" t="s">
        <v>4947</v>
      </c>
      <c r="J1847" s="982" t="s">
        <v>150</v>
      </c>
      <c r="K1847" s="984" t="s">
        <v>216</v>
      </c>
      <c r="L1847" s="959">
        <v>75.0</v>
      </c>
      <c r="M1847" s="960">
        <v>95.0</v>
      </c>
      <c r="N1847" s="960">
        <v>67.0</v>
      </c>
      <c r="O1847" s="960">
        <v>125.0</v>
      </c>
      <c r="P1847" s="960">
        <v>95.0</v>
      </c>
      <c r="Q1847" s="960">
        <v>83.0</v>
      </c>
      <c r="R1847" s="960">
        <v>202.0</v>
      </c>
      <c r="S1847" s="960">
        <v>265.0</v>
      </c>
      <c r="T1847" s="960">
        <v>291.0</v>
      </c>
      <c r="U1847" s="960">
        <f t="array" ref="U1847">HLOOKUP($J1847,'Type Chart'!$C$2:$T$20,2,false)*HLOOKUP($K1847,'Type Chart'!$C$2:$U$20,2,false)</f>
        <v>1</v>
      </c>
      <c r="V1847" s="960">
        <f t="array" ref="V1847">HLOOKUP($J1847,'Type Chart'!$C$2:$T$20,3,false)*HLOOKUP($K1847,'Type Chart'!$C$2:$U$20,3,false)</f>
        <v>1</v>
      </c>
      <c r="W1847" s="960">
        <f t="array" ref="W1847">HLOOKUP($J1847,'Type Chart'!$C$2:$T$20,4,false)*HLOOKUP($K1847,'Type Chart'!$C$2:$U$20,4,false)</f>
        <v>1</v>
      </c>
      <c r="X1847" s="960">
        <f t="array" ref="X1847">HLOOKUP($J1847,'Type Chart'!$C$2:$T$20,5,false)*HLOOKUP($K1847,'Type Chart'!$C$2:$U$20,5,false)</f>
        <v>1</v>
      </c>
      <c r="Y1847" s="960">
        <f t="array" ref="Y1847">HLOOKUP($J1847,'Type Chart'!$C$2:$T$20,6,false)*HLOOKUP($K1847,'Type Chart'!$C$2:$U$20,6,false)</f>
        <v>2</v>
      </c>
      <c r="Z1847" s="960">
        <f t="array" ref="Z1847">HLOOKUP($J1847,'Type Chart'!$C$2:$T$20,7,false)*HLOOKUP($K1847,'Type Chart'!$C$2:$U$20,7,false)</f>
        <v>2</v>
      </c>
      <c r="AA1847" s="960">
        <f t="array" ref="AA1847">HLOOKUP($J1847,'Type Chart'!$C$2:$T$20,8,false)*HLOOKUP($K1847,'Type Chart'!$C$2:$U$20,8,false)</f>
        <v>0.5</v>
      </c>
      <c r="AB1847" s="960">
        <f t="array" ref="AB1847">HLOOKUP($J1847,'Type Chart'!$C$2:$T$20,9,false)*HLOOKUP($K1847,'Type Chart'!$C$2:$U$20,9,false)</f>
        <v>1</v>
      </c>
      <c r="AC1847" s="960">
        <f t="array" ref="AC1847">HLOOKUP($J1847,'Type Chart'!$C$2:$T$20,10,false)*HLOOKUP($K1847,'Type Chart'!$C$2:$U$20,10,false)</f>
        <v>0.5</v>
      </c>
      <c r="AD1847" s="960">
        <f t="array" ref="AD1847">HLOOKUP($J1847,'Type Chart'!$C$2:$T$20,11,false)*HLOOKUP($K1847,'Type Chart'!$C$2:$U$20,11,false)</f>
        <v>0.5</v>
      </c>
      <c r="AE1847" s="960">
        <f t="array" ref="AE1847">HLOOKUP($J1847,'Type Chart'!$C$2:$T$20,12,false)*HLOOKUP($K1847,'Type Chart'!$C$2:$U$20,12,false)</f>
        <v>2</v>
      </c>
      <c r="AF1847" s="960">
        <f t="array" ref="AF1847">HLOOKUP($J1847,'Type Chart'!$C$2:$T$20,13,false)*HLOOKUP($K1847,'Type Chart'!$C$2:$U$20,13,false)</f>
        <v>0.5</v>
      </c>
      <c r="AG1847" s="960">
        <f t="array" ref="AG1847">HLOOKUP($J1847,'Type Chart'!$C$2:$T$20,14,false)*HLOOKUP($K1847,'Type Chart'!$C$2:$U$20,14,false)</f>
        <v>1</v>
      </c>
      <c r="AH1847" s="960">
        <f t="array" ref="AH1847">HLOOKUP($J1847,'Type Chart'!$C$2:$T$20,15,false)*HLOOKUP($K1847,'Type Chart'!$C$2:$U$20,15,false)</f>
        <v>1</v>
      </c>
      <c r="AI1847" s="960">
        <f t="array" ref="AI1847">HLOOKUP($J1847,'Type Chart'!$C$2:$T$20,16,false)*HLOOKUP($K1847,'Type Chart'!$C$2:$U$20,16,false)</f>
        <v>0.5</v>
      </c>
      <c r="AJ1847" s="960">
        <f t="array" ref="AJ1847">HLOOKUP($J1847,'Type Chart'!$C$2:$T$20,17,false)*HLOOKUP($K1847,'Type Chart'!$C$2:$U$20,17,false)</f>
        <v>1</v>
      </c>
      <c r="AK1847" s="960">
        <f t="array" ref="AK1847">HLOOKUP($J1847,'Type Chart'!$C$2:$T$20,18,false)*HLOOKUP($K1847,'Type Chart'!$C$2:$U$20,18,false)</f>
        <v>1</v>
      </c>
      <c r="AL1847" s="960">
        <f t="array" ref="AL1847">HLOOKUP($J1847,'Type Chart'!$C$2:$T$20,19,false)*HLOOKUP($K1847,'Type Chart'!$C$2:$U$20,19,false)</f>
        <v>0.5</v>
      </c>
      <c r="AM1847" s="964" t="s">
        <v>1353</v>
      </c>
      <c r="AN1847" s="965"/>
      <c r="AO1847" s="966" t="s">
        <v>1265</v>
      </c>
      <c r="AP1847" s="936"/>
      <c r="AQ1847" s="1245"/>
      <c r="AR1847" s="1245"/>
      <c r="AS1847" s="936"/>
    </row>
    <row r="1848" ht="15.75" customHeight="1">
      <c r="A1848" s="1099"/>
      <c r="B1848" s="948" t="s">
        <v>2666</v>
      </c>
      <c r="C1848" s="1197" t="s">
        <v>2667</v>
      </c>
      <c r="D1848" s="1197" t="s">
        <v>2667</v>
      </c>
      <c r="E1848" s="1147" t="s">
        <v>2667</v>
      </c>
      <c r="F1848" s="940"/>
      <c r="G1848" s="953"/>
      <c r="H1848" s="969"/>
      <c r="I1848" s="998" t="s">
        <v>4948</v>
      </c>
      <c r="J1848" s="1207" t="s">
        <v>127</v>
      </c>
      <c r="K1848" s="1001" t="s">
        <v>128</v>
      </c>
      <c r="L1848" s="959">
        <v>85.0</v>
      </c>
      <c r="M1848" s="960">
        <v>50.0</v>
      </c>
      <c r="N1848" s="960">
        <v>95.0</v>
      </c>
      <c r="O1848" s="960">
        <v>120.0</v>
      </c>
      <c r="P1848" s="960">
        <v>115.0</v>
      </c>
      <c r="Q1848" s="960">
        <v>80.0</v>
      </c>
      <c r="R1848" s="960">
        <v>196.0</v>
      </c>
      <c r="S1848" s="960">
        <v>259.0</v>
      </c>
      <c r="T1848" s="960">
        <v>284.0</v>
      </c>
      <c r="U1848" s="960">
        <f t="array" ref="U1848">HLOOKUP($J1848,'Type Chart'!$C$2:$T$20,2,false)*HLOOKUP($K1848,'Type Chart'!$C$2:$U$20,2,false)</f>
        <v>1</v>
      </c>
      <c r="V1848" s="960">
        <f t="array" ref="V1848">HLOOKUP($J1848,'Type Chart'!$C$2:$T$20,3,false)*HLOOKUP($K1848,'Type Chart'!$C$2:$U$20,3,false)</f>
        <v>0.25</v>
      </c>
      <c r="W1848" s="960">
        <f t="array" ref="W1848">HLOOKUP($J1848,'Type Chart'!$C$2:$T$20,4,false)*HLOOKUP($K1848,'Type Chart'!$C$2:$U$20,4,false)</f>
        <v>1</v>
      </c>
      <c r="X1848" s="960">
        <f t="array" ref="X1848">HLOOKUP($J1848,'Type Chart'!$C$2:$T$20,5,false)*HLOOKUP($K1848,'Type Chart'!$C$2:$U$20,5,false)</f>
        <v>2</v>
      </c>
      <c r="Y1848" s="960">
        <f t="array" ref="Y1848">HLOOKUP($J1848,'Type Chart'!$C$2:$T$20,6,false)*HLOOKUP($K1848,'Type Chart'!$C$2:$U$20,6,false)</f>
        <v>0</v>
      </c>
      <c r="Z1848" s="960">
        <f t="array" ref="Z1848">HLOOKUP($J1848,'Type Chart'!$C$2:$T$20,7,false)*HLOOKUP($K1848,'Type Chart'!$C$2:$U$20,7,false)</f>
        <v>2</v>
      </c>
      <c r="AA1848" s="960">
        <f t="array" ref="AA1848">HLOOKUP($J1848,'Type Chart'!$C$2:$T$20,8,false)*HLOOKUP($K1848,'Type Chart'!$C$2:$U$20,8,false)</f>
        <v>0.25</v>
      </c>
      <c r="AB1848" s="960">
        <f t="array" ref="AB1848">HLOOKUP($J1848,'Type Chart'!$C$2:$T$20,9,false)*HLOOKUP($K1848,'Type Chart'!$C$2:$U$20,9,false)</f>
        <v>1</v>
      </c>
      <c r="AC1848" s="960">
        <f t="array" ref="AC1848">HLOOKUP($J1848,'Type Chart'!$C$2:$T$20,10,false)*HLOOKUP($K1848,'Type Chart'!$C$2:$U$20,10,false)</f>
        <v>2</v>
      </c>
      <c r="AD1848" s="960">
        <f t="array" ref="AD1848">HLOOKUP($J1848,'Type Chart'!$C$2:$T$20,11,false)*HLOOKUP($K1848,'Type Chart'!$C$2:$U$20,11,false)</f>
        <v>1</v>
      </c>
      <c r="AE1848" s="960">
        <f t="array" ref="AE1848">HLOOKUP($J1848,'Type Chart'!$C$2:$T$20,12,false)*HLOOKUP($K1848,'Type Chart'!$C$2:$U$20,12,false)</f>
        <v>1</v>
      </c>
      <c r="AF1848" s="960">
        <f t="array" ref="AF1848">HLOOKUP($J1848,'Type Chart'!$C$2:$T$20,13,false)*HLOOKUP($K1848,'Type Chart'!$C$2:$U$20,13,false)</f>
        <v>0.5</v>
      </c>
      <c r="AG1848" s="960">
        <f t="array" ref="AG1848">HLOOKUP($J1848,'Type Chart'!$C$2:$T$20,14,false)*HLOOKUP($K1848,'Type Chart'!$C$2:$U$20,14,false)</f>
        <v>2</v>
      </c>
      <c r="AH1848" s="960">
        <f t="array" ref="AH1848">HLOOKUP($J1848,'Type Chart'!$C$2:$T$20,15,false)*HLOOKUP($K1848,'Type Chart'!$C$2:$U$20,15,false)</f>
        <v>1</v>
      </c>
      <c r="AI1848" s="960">
        <f t="array" ref="AI1848">HLOOKUP($J1848,'Type Chart'!$C$2:$T$20,16,false)*HLOOKUP($K1848,'Type Chart'!$C$2:$U$20,16,false)</f>
        <v>2</v>
      </c>
      <c r="AJ1848" s="960">
        <f t="array" ref="AJ1848">HLOOKUP($J1848,'Type Chart'!$C$2:$T$20,17,false)*HLOOKUP($K1848,'Type Chart'!$C$2:$U$20,17,false)</f>
        <v>0</v>
      </c>
      <c r="AK1848" s="960">
        <f t="array" ref="AK1848">HLOOKUP($J1848,'Type Chart'!$C$2:$T$20,18,false)*HLOOKUP($K1848,'Type Chart'!$C$2:$U$20,18,false)</f>
        <v>0.5</v>
      </c>
      <c r="AL1848" s="960">
        <f t="array" ref="AL1848">HLOOKUP($J1848,'Type Chart'!$C$2:$T$20,19,false)*HLOOKUP($K1848,'Type Chart'!$C$2:$U$20,19,false)</f>
        <v>1</v>
      </c>
      <c r="AM1848" s="964" t="s">
        <v>1039</v>
      </c>
      <c r="AN1848" s="965" t="s">
        <v>1521</v>
      </c>
      <c r="AO1848" s="966" t="s">
        <v>1745</v>
      </c>
      <c r="AP1848" s="936"/>
      <c r="AQ1848" s="1245"/>
      <c r="AR1848" s="1245"/>
      <c r="AS1848" s="936"/>
    </row>
    <row r="1849" ht="15.75" customHeight="1">
      <c r="A1849" s="1099"/>
      <c r="B1849" s="948" t="s">
        <v>2669</v>
      </c>
      <c r="C1849" s="1197" t="s">
        <v>2670</v>
      </c>
      <c r="D1849" s="1197" t="s">
        <v>2670</v>
      </c>
      <c r="E1849" s="1147" t="s">
        <v>2670</v>
      </c>
      <c r="F1849" s="940"/>
      <c r="G1849" s="953"/>
      <c r="H1849" s="969"/>
      <c r="I1849" s="998" t="s">
        <v>4949</v>
      </c>
      <c r="J1849" s="1180" t="s">
        <v>343</v>
      </c>
      <c r="K1849" s="1001" t="s">
        <v>128</v>
      </c>
      <c r="L1849" s="959">
        <v>86.0</v>
      </c>
      <c r="M1849" s="960">
        <v>76.0</v>
      </c>
      <c r="N1849" s="960">
        <v>86.0</v>
      </c>
      <c r="O1849" s="960">
        <v>116.0</v>
      </c>
      <c r="P1849" s="960">
        <v>56.0</v>
      </c>
      <c r="Q1849" s="960">
        <v>95.0</v>
      </c>
      <c r="R1849" s="960">
        <v>226.0</v>
      </c>
      <c r="S1849" s="960">
        <v>289.0</v>
      </c>
      <c r="T1849" s="960">
        <v>317.0</v>
      </c>
      <c r="U1849" s="960">
        <f t="array" ref="U1849">HLOOKUP($J1849,'Type Chart'!$C$2:$T$20,2,false)*HLOOKUP($K1849,'Type Chart'!$C$2:$U$20,2,false)</f>
        <v>1</v>
      </c>
      <c r="V1849" s="960">
        <f t="array" ref="V1849">HLOOKUP($J1849,'Type Chart'!$C$2:$T$20,3,false)*HLOOKUP($K1849,'Type Chart'!$C$2:$U$20,3,false)</f>
        <v>0.25</v>
      </c>
      <c r="W1849" s="960">
        <f t="array" ref="W1849">HLOOKUP($J1849,'Type Chart'!$C$2:$T$20,4,false)*HLOOKUP($K1849,'Type Chart'!$C$2:$U$20,4,false)</f>
        <v>2</v>
      </c>
      <c r="X1849" s="960">
        <f t="array" ref="X1849">HLOOKUP($J1849,'Type Chart'!$C$2:$T$20,5,false)*HLOOKUP($K1849,'Type Chart'!$C$2:$U$20,5,false)</f>
        <v>1</v>
      </c>
      <c r="Y1849" s="960">
        <f t="array" ref="Y1849">HLOOKUP($J1849,'Type Chart'!$C$2:$T$20,6,false)*HLOOKUP($K1849,'Type Chart'!$C$2:$U$20,6,false)</f>
        <v>0</v>
      </c>
      <c r="Z1849" s="960">
        <f t="array" ref="Z1849">HLOOKUP($J1849,'Type Chart'!$C$2:$T$20,7,false)*HLOOKUP($K1849,'Type Chart'!$C$2:$U$20,7,false)</f>
        <v>4</v>
      </c>
      <c r="AA1849" s="960">
        <f t="array" ref="AA1849">HLOOKUP($J1849,'Type Chart'!$C$2:$T$20,8,false)*HLOOKUP($K1849,'Type Chart'!$C$2:$U$20,8,false)</f>
        <v>0.5</v>
      </c>
      <c r="AB1849" s="960">
        <f t="array" ref="AB1849">HLOOKUP($J1849,'Type Chart'!$C$2:$T$20,9,false)*HLOOKUP($K1849,'Type Chart'!$C$2:$U$20,9,false)</f>
        <v>1</v>
      </c>
      <c r="AC1849" s="960">
        <f t="array" ref="AC1849">HLOOKUP($J1849,'Type Chart'!$C$2:$T$20,10,false)*HLOOKUP($K1849,'Type Chart'!$C$2:$U$20,10,false)</f>
        <v>1</v>
      </c>
      <c r="AD1849" s="960">
        <f t="array" ref="AD1849">HLOOKUP($J1849,'Type Chart'!$C$2:$T$20,11,false)*HLOOKUP($K1849,'Type Chart'!$C$2:$U$20,11,false)</f>
        <v>2</v>
      </c>
      <c r="AE1849" s="960">
        <f t="array" ref="AE1849">HLOOKUP($J1849,'Type Chart'!$C$2:$T$20,12,false)*HLOOKUP($K1849,'Type Chart'!$C$2:$U$20,12,false)</f>
        <v>1</v>
      </c>
      <c r="AF1849" s="960">
        <f t="array" ref="AF1849">HLOOKUP($J1849,'Type Chart'!$C$2:$T$20,13,false)*HLOOKUP($K1849,'Type Chart'!$C$2:$U$20,13,false)</f>
        <v>0.25</v>
      </c>
      <c r="AG1849" s="960">
        <f t="array" ref="AG1849">HLOOKUP($J1849,'Type Chart'!$C$2:$T$20,14,false)*HLOOKUP($K1849,'Type Chart'!$C$2:$U$20,14,false)</f>
        <v>2</v>
      </c>
      <c r="AH1849" s="960">
        <f t="array" ref="AH1849">HLOOKUP($J1849,'Type Chart'!$C$2:$T$20,15,false)*HLOOKUP($K1849,'Type Chart'!$C$2:$U$20,15,false)</f>
        <v>1</v>
      </c>
      <c r="AI1849" s="960">
        <f t="array" ref="AI1849">HLOOKUP($J1849,'Type Chart'!$C$2:$T$20,16,false)*HLOOKUP($K1849,'Type Chart'!$C$2:$U$20,16,false)</f>
        <v>2</v>
      </c>
      <c r="AJ1849" s="960">
        <f t="array" ref="AJ1849">HLOOKUP($J1849,'Type Chart'!$C$2:$T$20,17,false)*HLOOKUP($K1849,'Type Chart'!$C$2:$U$20,17,false)</f>
        <v>1</v>
      </c>
      <c r="AK1849" s="960">
        <f t="array" ref="AK1849">HLOOKUP($J1849,'Type Chart'!$C$2:$T$20,18,false)*HLOOKUP($K1849,'Type Chart'!$C$2:$U$20,18,false)</f>
        <v>1</v>
      </c>
      <c r="AL1849" s="960">
        <f t="array" ref="AL1849">HLOOKUP($J1849,'Type Chart'!$C$2:$T$20,19,false)*HLOOKUP($K1849,'Type Chart'!$C$2:$U$20,19,false)</f>
        <v>1</v>
      </c>
      <c r="AM1849" s="964" t="s">
        <v>1798</v>
      </c>
      <c r="AN1849" s="965" t="s">
        <v>1003</v>
      </c>
      <c r="AO1849" s="966" t="s">
        <v>1188</v>
      </c>
      <c r="AP1849" s="936"/>
      <c r="AQ1849" s="1245"/>
      <c r="AR1849" s="1245"/>
      <c r="AS1849" s="936"/>
    </row>
    <row r="1850" ht="15.75" customHeight="1">
      <c r="A1850" s="1099"/>
      <c r="B1850" s="948" t="s">
        <v>2671</v>
      </c>
      <c r="C1850" s="1197" t="s">
        <v>2672</v>
      </c>
      <c r="D1850" s="1197" t="s">
        <v>2672</v>
      </c>
      <c r="E1850" s="1147" t="s">
        <v>2672</v>
      </c>
      <c r="F1850" s="940"/>
      <c r="G1850" s="953"/>
      <c r="H1850" s="969"/>
      <c r="I1850" s="998" t="s">
        <v>4950</v>
      </c>
      <c r="J1850" s="957" t="s">
        <v>209</v>
      </c>
      <c r="K1850" s="984" t="s">
        <v>216</v>
      </c>
      <c r="L1850" s="959">
        <v>65.0</v>
      </c>
      <c r="M1850" s="960">
        <v>110.0</v>
      </c>
      <c r="N1850" s="960">
        <v>130.0</v>
      </c>
      <c r="O1850" s="960">
        <v>60.0</v>
      </c>
      <c r="P1850" s="960">
        <v>65.0</v>
      </c>
      <c r="Q1850" s="960">
        <v>95.0</v>
      </c>
      <c r="R1850" s="960">
        <v>226.0</v>
      </c>
      <c r="S1850" s="960">
        <v>289.0</v>
      </c>
      <c r="T1850" s="960">
        <v>317.0</v>
      </c>
      <c r="U1850" s="960">
        <f t="array" ref="U1850">HLOOKUP($J1850,'Type Chart'!$C$2:$T$20,2,false)*HLOOKUP($K1850,'Type Chart'!$C$2:$U$20,2,false)</f>
        <v>1</v>
      </c>
      <c r="V1850" s="960">
        <f t="array" ref="V1850">HLOOKUP($J1850,'Type Chart'!$C$2:$T$20,3,false)*HLOOKUP($K1850,'Type Chart'!$C$2:$U$20,3,false)</f>
        <v>1</v>
      </c>
      <c r="W1850" s="960">
        <f t="array" ref="W1850">HLOOKUP($J1850,'Type Chart'!$C$2:$T$20,4,false)*HLOOKUP($K1850,'Type Chart'!$C$2:$U$20,4,false)</f>
        <v>2</v>
      </c>
      <c r="X1850" s="960">
        <f t="array" ref="X1850">HLOOKUP($J1850,'Type Chart'!$C$2:$T$20,5,false)*HLOOKUP($K1850,'Type Chart'!$C$2:$U$20,5,false)</f>
        <v>2</v>
      </c>
      <c r="Y1850" s="960">
        <f t="array" ref="Y1850">HLOOKUP($J1850,'Type Chart'!$C$2:$T$20,6,false)*HLOOKUP($K1850,'Type Chart'!$C$2:$U$20,6,false)</f>
        <v>0.5</v>
      </c>
      <c r="Z1850" s="960">
        <f t="array" ref="Z1850">HLOOKUP($J1850,'Type Chart'!$C$2:$T$20,7,false)*HLOOKUP($K1850,'Type Chart'!$C$2:$U$20,7,false)</f>
        <v>1</v>
      </c>
      <c r="AA1850" s="960">
        <f t="array" ref="AA1850">HLOOKUP($J1850,'Type Chart'!$C$2:$T$20,8,false)*HLOOKUP($K1850,'Type Chart'!$C$2:$U$20,8,false)</f>
        <v>2</v>
      </c>
      <c r="AB1850" s="960">
        <f t="array" ref="AB1850">HLOOKUP($J1850,'Type Chart'!$C$2:$T$20,9,false)*HLOOKUP($K1850,'Type Chart'!$C$2:$U$20,9,false)</f>
        <v>1</v>
      </c>
      <c r="AC1850" s="960">
        <f t="array" ref="AC1850">HLOOKUP($J1850,'Type Chart'!$C$2:$T$20,10,false)*HLOOKUP($K1850,'Type Chart'!$C$2:$U$20,10,false)</f>
        <v>1</v>
      </c>
      <c r="AD1850" s="960">
        <f t="array" ref="AD1850">HLOOKUP($J1850,'Type Chart'!$C$2:$T$20,11,false)*HLOOKUP($K1850,'Type Chart'!$C$2:$U$20,11,false)</f>
        <v>2</v>
      </c>
      <c r="AE1850" s="960">
        <f t="array" ref="AE1850">HLOOKUP($J1850,'Type Chart'!$C$2:$T$20,12,false)*HLOOKUP($K1850,'Type Chart'!$C$2:$U$20,12,false)</f>
        <v>0.5</v>
      </c>
      <c r="AF1850" s="960">
        <f t="array" ref="AF1850">HLOOKUP($J1850,'Type Chart'!$C$2:$T$20,13,false)*HLOOKUP($K1850,'Type Chart'!$C$2:$U$20,13,false)</f>
        <v>0.5</v>
      </c>
      <c r="AG1850" s="960">
        <f t="array" ref="AG1850">HLOOKUP($J1850,'Type Chart'!$C$2:$T$20,14,false)*HLOOKUP($K1850,'Type Chart'!$C$2:$U$20,14,false)</f>
        <v>0.5</v>
      </c>
      <c r="AH1850" s="960">
        <f t="array" ref="AH1850">HLOOKUP($J1850,'Type Chart'!$C$2:$T$20,15,false)*HLOOKUP($K1850,'Type Chart'!$C$2:$U$20,15,false)</f>
        <v>1</v>
      </c>
      <c r="AI1850" s="960">
        <f t="array" ref="AI1850">HLOOKUP($J1850,'Type Chart'!$C$2:$T$20,16,false)*HLOOKUP($K1850,'Type Chart'!$C$2:$U$20,16,false)</f>
        <v>2</v>
      </c>
      <c r="AJ1850" s="960">
        <f t="array" ref="AJ1850">HLOOKUP($J1850,'Type Chart'!$C$2:$T$20,17,false)*HLOOKUP($K1850,'Type Chart'!$C$2:$U$20,17,false)</f>
        <v>1</v>
      </c>
      <c r="AK1850" s="960">
        <f t="array" ref="AK1850">HLOOKUP($J1850,'Type Chart'!$C$2:$T$20,18,false)*HLOOKUP($K1850,'Type Chart'!$C$2:$U$20,18,false)</f>
        <v>1</v>
      </c>
      <c r="AL1850" s="960">
        <f t="array" ref="AL1850">HLOOKUP($J1850,'Type Chart'!$C$2:$T$20,19,false)*HLOOKUP($K1850,'Type Chart'!$C$2:$U$20,19,false)</f>
        <v>1</v>
      </c>
      <c r="AM1850" s="964" t="s">
        <v>1526</v>
      </c>
      <c r="AN1850" s="965"/>
      <c r="AO1850" s="966" t="s">
        <v>524</v>
      </c>
      <c r="AP1850" s="936"/>
      <c r="AQ1850" s="1245"/>
      <c r="AR1850" s="1245"/>
      <c r="AS1850" s="936"/>
    </row>
    <row r="1851" ht="15.75" customHeight="1">
      <c r="A1851" s="1099"/>
      <c r="B1851" s="948" t="s">
        <v>2673</v>
      </c>
      <c r="C1851" s="1197" t="s">
        <v>2674</v>
      </c>
      <c r="D1851" s="1197" t="s">
        <v>2674</v>
      </c>
      <c r="E1851" s="1147" t="s">
        <v>2674</v>
      </c>
      <c r="F1851" s="940"/>
      <c r="G1851" s="953"/>
      <c r="H1851" s="969"/>
      <c r="I1851" s="998" t="s">
        <v>4951</v>
      </c>
      <c r="J1851" s="1205" t="s">
        <v>345</v>
      </c>
      <c r="K1851" s="984" t="s">
        <v>216</v>
      </c>
      <c r="L1851" s="959">
        <v>65.0</v>
      </c>
      <c r="M1851" s="960">
        <v>60.0</v>
      </c>
      <c r="N1851" s="960">
        <v>110.0</v>
      </c>
      <c r="O1851" s="960">
        <v>130.0</v>
      </c>
      <c r="P1851" s="960">
        <v>95.0</v>
      </c>
      <c r="Q1851" s="960">
        <v>65.0</v>
      </c>
      <c r="R1851" s="960">
        <v>166.0</v>
      </c>
      <c r="S1851" s="960">
        <v>229.0</v>
      </c>
      <c r="T1851" s="960">
        <v>251.0</v>
      </c>
      <c r="U1851" s="960">
        <f t="array" ref="U1851">HLOOKUP($J1851,'Type Chart'!$C$2:$T$20,2,false)*HLOOKUP($K1851,'Type Chart'!$C$2:$U$20,2,false)</f>
        <v>1</v>
      </c>
      <c r="V1851" s="960">
        <f t="array" ref="V1851">HLOOKUP($J1851,'Type Chart'!$C$2:$T$20,3,false)*HLOOKUP($K1851,'Type Chart'!$C$2:$U$20,3,false)</f>
        <v>2</v>
      </c>
      <c r="W1851" s="960">
        <f t="array" ref="W1851">HLOOKUP($J1851,'Type Chart'!$C$2:$T$20,4,false)*HLOOKUP($K1851,'Type Chart'!$C$2:$U$20,4,false)</f>
        <v>1</v>
      </c>
      <c r="X1851" s="960">
        <f t="array" ref="X1851">HLOOKUP($J1851,'Type Chart'!$C$2:$T$20,5,false)*HLOOKUP($K1851,'Type Chart'!$C$2:$U$20,5,false)</f>
        <v>1</v>
      </c>
      <c r="Y1851" s="960">
        <f t="array" ref="Y1851">HLOOKUP($J1851,'Type Chart'!$C$2:$T$20,6,false)*HLOOKUP($K1851,'Type Chart'!$C$2:$U$20,6,false)</f>
        <v>1</v>
      </c>
      <c r="Z1851" s="960">
        <f t="array" ref="Z1851">HLOOKUP($J1851,'Type Chart'!$C$2:$T$20,7,false)*HLOOKUP($K1851,'Type Chart'!$C$2:$U$20,7,false)</f>
        <v>2</v>
      </c>
      <c r="AA1851" s="960">
        <f t="array" ref="AA1851">HLOOKUP($J1851,'Type Chart'!$C$2:$T$20,8,false)*HLOOKUP($K1851,'Type Chart'!$C$2:$U$20,8,false)</f>
        <v>1</v>
      </c>
      <c r="AB1851" s="960">
        <f t="array" ref="AB1851">HLOOKUP($J1851,'Type Chart'!$C$2:$T$20,9,false)*HLOOKUP($K1851,'Type Chart'!$C$2:$U$20,9,false)</f>
        <v>1</v>
      </c>
      <c r="AC1851" s="960">
        <f t="array" ref="AC1851">HLOOKUP($J1851,'Type Chart'!$C$2:$T$20,10,false)*HLOOKUP($K1851,'Type Chart'!$C$2:$U$20,10,false)</f>
        <v>2</v>
      </c>
      <c r="AD1851" s="960">
        <f t="array" ref="AD1851">HLOOKUP($J1851,'Type Chart'!$C$2:$T$20,11,false)*HLOOKUP($K1851,'Type Chart'!$C$2:$U$20,11,false)</f>
        <v>2</v>
      </c>
      <c r="AE1851" s="960">
        <f t="array" ref="AE1851">HLOOKUP($J1851,'Type Chart'!$C$2:$T$20,12,false)*HLOOKUP($K1851,'Type Chart'!$C$2:$U$20,12,false)</f>
        <v>1</v>
      </c>
      <c r="AF1851" s="960">
        <f t="array" ref="AF1851">HLOOKUP($J1851,'Type Chart'!$C$2:$T$20,13,false)*HLOOKUP($K1851,'Type Chart'!$C$2:$U$20,13,false)</f>
        <v>1</v>
      </c>
      <c r="AG1851" s="960">
        <f t="array" ref="AG1851">HLOOKUP($J1851,'Type Chart'!$C$2:$T$20,14,false)*HLOOKUP($K1851,'Type Chart'!$C$2:$U$20,14,false)</f>
        <v>1</v>
      </c>
      <c r="AH1851" s="960">
        <f t="array" ref="AH1851">HLOOKUP($J1851,'Type Chart'!$C$2:$T$20,15,false)*HLOOKUP($K1851,'Type Chart'!$C$2:$U$20,15,false)</f>
        <v>1</v>
      </c>
      <c r="AI1851" s="960">
        <f t="array" ref="AI1851">HLOOKUP($J1851,'Type Chart'!$C$2:$T$20,16,false)*HLOOKUP($K1851,'Type Chart'!$C$2:$U$20,16,false)</f>
        <v>0.5</v>
      </c>
      <c r="AJ1851" s="960">
        <f t="array" ref="AJ1851">HLOOKUP($J1851,'Type Chart'!$C$2:$T$20,17,false)*HLOOKUP($K1851,'Type Chart'!$C$2:$U$20,17,false)</f>
        <v>1</v>
      </c>
      <c r="AK1851" s="960">
        <f t="array" ref="AK1851">HLOOKUP($J1851,'Type Chart'!$C$2:$T$20,18,false)*HLOOKUP($K1851,'Type Chart'!$C$2:$U$20,18,false)</f>
        <v>1</v>
      </c>
      <c r="AL1851" s="960">
        <f t="array" ref="AL1851">HLOOKUP($J1851,'Type Chart'!$C$2:$T$20,19,false)*HLOOKUP($K1851,'Type Chart'!$C$2:$U$20,19,false)</f>
        <v>1</v>
      </c>
      <c r="AM1851" s="964" t="s">
        <v>1135</v>
      </c>
      <c r="AN1851" s="965"/>
      <c r="AO1851" s="966" t="s">
        <v>1410</v>
      </c>
      <c r="AP1851" s="936"/>
      <c r="AQ1851" s="1245"/>
      <c r="AR1851" s="1245"/>
      <c r="AS1851" s="936"/>
    </row>
    <row r="1852" ht="15.75" customHeight="1">
      <c r="A1852" s="1099"/>
      <c r="B1852" s="948" t="s">
        <v>2675</v>
      </c>
      <c r="C1852" s="1197" t="s">
        <v>174</v>
      </c>
      <c r="D1852" s="1197" t="s">
        <v>174</v>
      </c>
      <c r="E1852" s="1147" t="s">
        <v>174</v>
      </c>
      <c r="F1852" s="940"/>
      <c r="G1852" s="953"/>
      <c r="H1852" s="969"/>
      <c r="I1852" s="998" t="s">
        <v>4952</v>
      </c>
      <c r="J1852" s="1204" t="s">
        <v>80</v>
      </c>
      <c r="K1852" s="1001" t="s">
        <v>128</v>
      </c>
      <c r="L1852" s="959">
        <v>75.0</v>
      </c>
      <c r="M1852" s="960">
        <v>95.0</v>
      </c>
      <c r="N1852" s="960">
        <v>125.0</v>
      </c>
      <c r="O1852" s="960">
        <v>45.0</v>
      </c>
      <c r="P1852" s="960">
        <v>75.0</v>
      </c>
      <c r="Q1852" s="960">
        <v>95.0</v>
      </c>
      <c r="R1852" s="960">
        <v>226.0</v>
      </c>
      <c r="S1852" s="960">
        <v>289.0</v>
      </c>
      <c r="T1852" s="960">
        <v>317.0</v>
      </c>
      <c r="U1852" s="960">
        <f t="array" ref="U1852">HLOOKUP($J1852,'Type Chart'!$C$2:$T$20,2,false)*HLOOKUP($K1852,'Type Chart'!$C$2:$U$20,2,false)</f>
        <v>1</v>
      </c>
      <c r="V1852" s="960">
        <f t="array" ref="V1852">HLOOKUP($J1852,'Type Chart'!$C$2:$T$20,3,false)*HLOOKUP($K1852,'Type Chart'!$C$2:$U$20,3,false)</f>
        <v>0.5</v>
      </c>
      <c r="W1852" s="960">
        <f t="array" ref="W1852">HLOOKUP($J1852,'Type Chart'!$C$2:$T$20,4,false)*HLOOKUP($K1852,'Type Chart'!$C$2:$U$20,4,false)</f>
        <v>1</v>
      </c>
      <c r="X1852" s="960">
        <f t="array" ref="X1852">HLOOKUP($J1852,'Type Chart'!$C$2:$T$20,5,false)*HLOOKUP($K1852,'Type Chart'!$C$2:$U$20,5,false)</f>
        <v>0.5</v>
      </c>
      <c r="Y1852" s="960">
        <f t="array" ref="Y1852">HLOOKUP($J1852,'Type Chart'!$C$2:$T$20,6,false)*HLOOKUP($K1852,'Type Chart'!$C$2:$U$20,6,false)</f>
        <v>0</v>
      </c>
      <c r="Z1852" s="960">
        <f t="array" ref="Z1852">HLOOKUP($J1852,'Type Chart'!$C$2:$T$20,7,false)*HLOOKUP($K1852,'Type Chart'!$C$2:$U$20,7,false)</f>
        <v>1</v>
      </c>
      <c r="AA1852" s="960">
        <f t="array" ref="AA1852">HLOOKUP($J1852,'Type Chart'!$C$2:$T$20,8,false)*HLOOKUP($K1852,'Type Chart'!$C$2:$U$20,8,false)</f>
        <v>0.5</v>
      </c>
      <c r="AB1852" s="960">
        <f t="array" ref="AB1852">HLOOKUP($J1852,'Type Chart'!$C$2:$T$20,9,false)*HLOOKUP($K1852,'Type Chart'!$C$2:$U$20,9,false)</f>
        <v>1</v>
      </c>
      <c r="AC1852" s="960">
        <f t="array" ref="AC1852">HLOOKUP($J1852,'Type Chart'!$C$2:$T$20,10,false)*HLOOKUP($K1852,'Type Chart'!$C$2:$U$20,10,false)</f>
        <v>1</v>
      </c>
      <c r="AD1852" s="960">
        <f t="array" ref="AD1852">HLOOKUP($J1852,'Type Chart'!$C$2:$T$20,11,false)*HLOOKUP($K1852,'Type Chart'!$C$2:$U$20,11,false)</f>
        <v>1</v>
      </c>
      <c r="AE1852" s="960">
        <f t="array" ref="AE1852">HLOOKUP($J1852,'Type Chart'!$C$2:$T$20,12,false)*HLOOKUP($K1852,'Type Chart'!$C$2:$U$20,12,false)</f>
        <v>2</v>
      </c>
      <c r="AF1852" s="960">
        <f t="array" ref="AF1852">HLOOKUP($J1852,'Type Chart'!$C$2:$T$20,13,false)*HLOOKUP($K1852,'Type Chart'!$C$2:$U$20,13,false)</f>
        <v>1</v>
      </c>
      <c r="AG1852" s="960">
        <f t="array" ref="AG1852">HLOOKUP($J1852,'Type Chart'!$C$2:$T$20,14,false)*HLOOKUP($K1852,'Type Chart'!$C$2:$U$20,14,false)</f>
        <v>0</v>
      </c>
      <c r="AH1852" s="960">
        <f t="array" ref="AH1852">HLOOKUP($J1852,'Type Chart'!$C$2:$T$20,15,false)*HLOOKUP($K1852,'Type Chart'!$C$2:$U$20,15,false)</f>
        <v>1</v>
      </c>
      <c r="AI1852" s="960">
        <f t="array" ref="AI1852">HLOOKUP($J1852,'Type Chart'!$C$2:$T$20,16,false)*HLOOKUP($K1852,'Type Chart'!$C$2:$U$20,16,false)</f>
        <v>4</v>
      </c>
      <c r="AJ1852" s="960">
        <f t="array" ref="AJ1852">HLOOKUP($J1852,'Type Chart'!$C$2:$T$20,17,false)*HLOOKUP($K1852,'Type Chart'!$C$2:$U$20,17,false)</f>
        <v>1</v>
      </c>
      <c r="AK1852" s="960">
        <f t="array" ref="AK1852">HLOOKUP($J1852,'Type Chart'!$C$2:$T$20,18,false)*HLOOKUP($K1852,'Type Chart'!$C$2:$U$20,18,false)</f>
        <v>1</v>
      </c>
      <c r="AL1852" s="960">
        <f t="array" ref="AL1852">HLOOKUP($J1852,'Type Chart'!$C$2:$T$20,19,false)*HLOOKUP($K1852,'Type Chart'!$C$2:$U$20,19,false)</f>
        <v>1</v>
      </c>
      <c r="AM1852" s="964" t="s">
        <v>1461</v>
      </c>
      <c r="AN1852" s="965" t="s">
        <v>1129</v>
      </c>
      <c r="AO1852" s="966" t="s">
        <v>2088</v>
      </c>
      <c r="AP1852" s="936"/>
      <c r="AQ1852" s="1245"/>
      <c r="AR1852" s="1245"/>
      <c r="AS1852" s="936"/>
    </row>
    <row r="1853" ht="15.75" customHeight="1">
      <c r="A1853" s="1099"/>
      <c r="B1853" s="948" t="s">
        <v>2676</v>
      </c>
      <c r="C1853" s="1197" t="s">
        <v>2677</v>
      </c>
      <c r="D1853" s="1197" t="s">
        <v>2677</v>
      </c>
      <c r="E1853" s="1147" t="s">
        <v>2677</v>
      </c>
      <c r="F1853" s="940"/>
      <c r="G1853" s="953"/>
      <c r="H1853" s="969"/>
      <c r="I1853" s="998" t="s">
        <v>79</v>
      </c>
      <c r="J1853" s="1205" t="s">
        <v>345</v>
      </c>
      <c r="K1853" s="1204" t="s">
        <v>80</v>
      </c>
      <c r="L1853" s="959">
        <v>110.0</v>
      </c>
      <c r="M1853" s="960">
        <v>130.0</v>
      </c>
      <c r="N1853" s="960">
        <v>80.0</v>
      </c>
      <c r="O1853" s="960">
        <v>70.0</v>
      </c>
      <c r="P1853" s="960">
        <v>60.0</v>
      </c>
      <c r="Q1853" s="960">
        <v>80.0</v>
      </c>
      <c r="R1853" s="960">
        <v>196.0</v>
      </c>
      <c r="S1853" s="960">
        <v>259.0</v>
      </c>
      <c r="T1853" s="960">
        <v>284.0</v>
      </c>
      <c r="U1853" s="960">
        <f t="array" ref="U1853">HLOOKUP($J1853,'Type Chart'!$C$2:$T$20,2,false)*HLOOKUP($K1853,'Type Chart'!$C$2:$U$20,2,false)</f>
        <v>1</v>
      </c>
      <c r="V1853" s="960">
        <f t="array" ref="V1853">HLOOKUP($J1853,'Type Chart'!$C$2:$T$20,3,false)*HLOOKUP($K1853,'Type Chart'!$C$2:$U$20,3,false)</f>
        <v>2</v>
      </c>
      <c r="W1853" s="960">
        <f t="array" ref="W1853">HLOOKUP($J1853,'Type Chart'!$C$2:$T$20,4,false)*HLOOKUP($K1853,'Type Chart'!$C$2:$U$20,4,false)</f>
        <v>1</v>
      </c>
      <c r="X1853" s="960">
        <f t="array" ref="X1853">HLOOKUP($J1853,'Type Chart'!$C$2:$T$20,5,false)*HLOOKUP($K1853,'Type Chart'!$C$2:$U$20,5,false)</f>
        <v>0.5</v>
      </c>
      <c r="Y1853" s="960">
        <f t="array" ref="Y1853">HLOOKUP($J1853,'Type Chart'!$C$2:$T$20,6,false)*HLOOKUP($K1853,'Type Chart'!$C$2:$U$20,6,false)</f>
        <v>1</v>
      </c>
      <c r="Z1853" s="960">
        <f t="array" ref="Z1853">HLOOKUP($J1853,'Type Chart'!$C$2:$T$20,7,false)*HLOOKUP($K1853,'Type Chart'!$C$2:$U$20,7,false)</f>
        <v>1</v>
      </c>
      <c r="AA1853" s="960">
        <f t="array" ref="AA1853">HLOOKUP($J1853,'Type Chart'!$C$2:$T$20,8,false)*HLOOKUP($K1853,'Type Chart'!$C$2:$U$20,8,false)</f>
        <v>1</v>
      </c>
      <c r="AB1853" s="960">
        <f t="array" ref="AB1853">HLOOKUP($J1853,'Type Chart'!$C$2:$T$20,9,false)*HLOOKUP($K1853,'Type Chart'!$C$2:$U$20,9,false)</f>
        <v>1</v>
      </c>
      <c r="AC1853" s="960">
        <f t="array" ref="AC1853">HLOOKUP($J1853,'Type Chart'!$C$2:$T$20,10,false)*HLOOKUP($K1853,'Type Chart'!$C$2:$U$20,10,false)</f>
        <v>2</v>
      </c>
      <c r="AD1853" s="960">
        <f t="array" ref="AD1853">HLOOKUP($J1853,'Type Chart'!$C$2:$T$20,11,false)*HLOOKUP($K1853,'Type Chart'!$C$2:$U$20,11,false)</f>
        <v>2</v>
      </c>
      <c r="AE1853" s="960">
        <f t="array" ref="AE1853">HLOOKUP($J1853,'Type Chart'!$C$2:$T$20,12,false)*HLOOKUP($K1853,'Type Chart'!$C$2:$U$20,12,false)</f>
        <v>2</v>
      </c>
      <c r="AF1853" s="960">
        <f t="array" ref="AF1853">HLOOKUP($J1853,'Type Chart'!$C$2:$T$20,13,false)*HLOOKUP($K1853,'Type Chart'!$C$2:$U$20,13,false)</f>
        <v>2</v>
      </c>
      <c r="AG1853" s="960">
        <f t="array" ref="AG1853">HLOOKUP($J1853,'Type Chart'!$C$2:$T$20,14,false)*HLOOKUP($K1853,'Type Chart'!$C$2:$U$20,14,false)</f>
        <v>0</v>
      </c>
      <c r="AH1853" s="960">
        <f t="array" ref="AH1853">HLOOKUP($J1853,'Type Chart'!$C$2:$T$20,15,false)*HLOOKUP($K1853,'Type Chart'!$C$2:$U$20,15,false)</f>
        <v>1</v>
      </c>
      <c r="AI1853" s="960">
        <f t="array" ref="AI1853">HLOOKUP($J1853,'Type Chart'!$C$2:$T$20,16,false)*HLOOKUP($K1853,'Type Chart'!$C$2:$U$20,16,false)</f>
        <v>1</v>
      </c>
      <c r="AJ1853" s="960">
        <f t="array" ref="AJ1853">HLOOKUP($J1853,'Type Chart'!$C$2:$T$20,17,false)*HLOOKUP($K1853,'Type Chart'!$C$2:$U$20,17,false)</f>
        <v>1</v>
      </c>
      <c r="AK1853" s="960">
        <f t="array" ref="AK1853">HLOOKUP($J1853,'Type Chart'!$C$2:$T$20,18,false)*HLOOKUP($K1853,'Type Chart'!$C$2:$U$20,18,false)</f>
        <v>1</v>
      </c>
      <c r="AL1853" s="960">
        <f t="array" ref="AL1853">HLOOKUP($J1853,'Type Chart'!$C$2:$T$20,19,false)*HLOOKUP($K1853,'Type Chart'!$C$2:$U$20,19,false)</f>
        <v>1</v>
      </c>
      <c r="AM1853" s="964" t="s">
        <v>1369</v>
      </c>
      <c r="AN1853" s="965" t="s">
        <v>1135</v>
      </c>
      <c r="AO1853" s="966" t="s">
        <v>760</v>
      </c>
      <c r="AP1853" s="936"/>
      <c r="AQ1853" s="1245"/>
      <c r="AR1853" s="1245"/>
      <c r="AS1853" s="936"/>
    </row>
    <row r="1854" ht="15.75" customHeight="1">
      <c r="A1854" s="1099"/>
      <c r="B1854" s="948" t="s">
        <v>2678</v>
      </c>
      <c r="C1854" s="1197" t="s">
        <v>2679</v>
      </c>
      <c r="D1854" s="1197" t="s">
        <v>2680</v>
      </c>
      <c r="E1854" s="1147" t="s">
        <v>2679</v>
      </c>
      <c r="F1854" s="940"/>
      <c r="G1854" s="953"/>
      <c r="H1854" s="969"/>
      <c r="I1854" s="998" t="s">
        <v>4953</v>
      </c>
      <c r="J1854" s="1194" t="s">
        <v>136</v>
      </c>
      <c r="K1854" s="984" t="s">
        <v>216</v>
      </c>
      <c r="L1854" s="959">
        <v>85.0</v>
      </c>
      <c r="M1854" s="960">
        <v>80.0</v>
      </c>
      <c r="N1854" s="960">
        <v>70.0</v>
      </c>
      <c r="O1854" s="960">
        <v>135.0</v>
      </c>
      <c r="P1854" s="960">
        <v>75.0</v>
      </c>
      <c r="Q1854" s="960">
        <v>90.0</v>
      </c>
      <c r="R1854" s="960">
        <v>216.0</v>
      </c>
      <c r="S1854" s="960">
        <v>279.0</v>
      </c>
      <c r="T1854" s="960">
        <v>306.0</v>
      </c>
      <c r="U1854" s="960">
        <f t="array" ref="U1854">HLOOKUP($J1854,'Type Chart'!$C$2:$T$20,2,false)*HLOOKUP($K1854,'Type Chart'!$C$2:$U$20,2,false)</f>
        <v>1</v>
      </c>
      <c r="V1854" s="960">
        <f t="array" ref="V1854">HLOOKUP($J1854,'Type Chart'!$C$2:$T$20,3,false)*HLOOKUP($K1854,'Type Chart'!$C$2:$U$20,3,false)</f>
        <v>2</v>
      </c>
      <c r="W1854" s="960">
        <f t="array" ref="W1854">HLOOKUP($J1854,'Type Chart'!$C$2:$T$20,4,false)*HLOOKUP($K1854,'Type Chart'!$C$2:$U$20,4,false)</f>
        <v>1</v>
      </c>
      <c r="X1854" s="960">
        <f t="array" ref="X1854">HLOOKUP($J1854,'Type Chart'!$C$2:$T$20,5,false)*HLOOKUP($K1854,'Type Chart'!$C$2:$U$20,5,false)</f>
        <v>1</v>
      </c>
      <c r="Y1854" s="960">
        <f t="array" ref="Y1854">HLOOKUP($J1854,'Type Chart'!$C$2:$T$20,6,false)*HLOOKUP($K1854,'Type Chart'!$C$2:$U$20,6,false)</f>
        <v>1</v>
      </c>
      <c r="Z1854" s="960">
        <f t="array" ref="Z1854">HLOOKUP($J1854,'Type Chart'!$C$2:$T$20,7,false)*HLOOKUP($K1854,'Type Chart'!$C$2:$U$20,7,false)</f>
        <v>1</v>
      </c>
      <c r="AA1854" s="960">
        <f t="array" ref="AA1854">HLOOKUP($J1854,'Type Chart'!$C$2:$T$20,8,false)*HLOOKUP($K1854,'Type Chart'!$C$2:$U$20,8,false)</f>
        <v>1</v>
      </c>
      <c r="AB1854" s="960">
        <f t="array" ref="AB1854">HLOOKUP($J1854,'Type Chart'!$C$2:$T$20,9,false)*HLOOKUP($K1854,'Type Chart'!$C$2:$U$20,9,false)</f>
        <v>0</v>
      </c>
      <c r="AC1854" s="960">
        <f t="array" ref="AC1854">HLOOKUP($J1854,'Type Chart'!$C$2:$T$20,10,false)*HLOOKUP($K1854,'Type Chart'!$C$2:$U$20,10,false)</f>
        <v>1</v>
      </c>
      <c r="AD1854" s="960">
        <f t="array" ref="AD1854">HLOOKUP($J1854,'Type Chart'!$C$2:$T$20,11,false)*HLOOKUP($K1854,'Type Chart'!$C$2:$U$20,11,false)</f>
        <v>1</v>
      </c>
      <c r="AE1854" s="960">
        <f t="array" ref="AE1854">HLOOKUP($J1854,'Type Chart'!$C$2:$T$20,12,false)*HLOOKUP($K1854,'Type Chart'!$C$2:$U$20,12,false)</f>
        <v>1</v>
      </c>
      <c r="AF1854" s="960">
        <f t="array" ref="AF1854">HLOOKUP($J1854,'Type Chart'!$C$2:$T$20,13,false)*HLOOKUP($K1854,'Type Chart'!$C$2:$U$20,13,false)</f>
        <v>1</v>
      </c>
      <c r="AG1854" s="960">
        <f t="array" ref="AG1854">HLOOKUP($J1854,'Type Chart'!$C$2:$T$20,14,false)*HLOOKUP($K1854,'Type Chart'!$C$2:$U$20,14,false)</f>
        <v>1</v>
      </c>
      <c r="AH1854" s="960">
        <f t="array" ref="AH1854">HLOOKUP($J1854,'Type Chart'!$C$2:$T$20,15,false)*HLOOKUP($K1854,'Type Chart'!$C$2:$U$20,15,false)</f>
        <v>1</v>
      </c>
      <c r="AI1854" s="960">
        <f t="array" ref="AI1854">HLOOKUP($J1854,'Type Chart'!$C$2:$T$20,16,false)*HLOOKUP($K1854,'Type Chart'!$C$2:$U$20,16,false)</f>
        <v>1</v>
      </c>
      <c r="AJ1854" s="960">
        <f t="array" ref="AJ1854">HLOOKUP($J1854,'Type Chart'!$C$2:$T$20,17,false)*HLOOKUP($K1854,'Type Chart'!$C$2:$U$20,17,false)</f>
        <v>1</v>
      </c>
      <c r="AK1854" s="960">
        <f t="array" ref="AK1854">HLOOKUP($J1854,'Type Chart'!$C$2:$T$20,18,false)*HLOOKUP($K1854,'Type Chart'!$C$2:$U$20,18,false)</f>
        <v>1</v>
      </c>
      <c r="AL1854" s="960">
        <f t="array" ref="AL1854">HLOOKUP($J1854,'Type Chart'!$C$2:$T$20,19,false)*HLOOKUP($K1854,'Type Chart'!$C$2:$U$20,19,false)</f>
        <v>1</v>
      </c>
      <c r="AM1854" s="964" t="s">
        <v>1018</v>
      </c>
      <c r="AN1854" s="965" t="s">
        <v>1620</v>
      </c>
      <c r="AO1854" s="966" t="s">
        <v>1389</v>
      </c>
      <c r="AP1854" s="936"/>
      <c r="AQ1854" s="1245"/>
      <c r="AR1854" s="1245"/>
      <c r="AS1854" s="936"/>
    </row>
    <row r="1855" ht="15.75" customHeight="1">
      <c r="A1855" s="1099"/>
      <c r="B1855" s="948" t="s">
        <v>2681</v>
      </c>
      <c r="C1855" s="1197" t="s">
        <v>2682</v>
      </c>
      <c r="D1855" s="1197" t="s">
        <v>2682</v>
      </c>
      <c r="E1855" s="1147" t="s">
        <v>2682</v>
      </c>
      <c r="F1855" s="940"/>
      <c r="G1855" s="953"/>
      <c r="H1855" s="969"/>
      <c r="I1855" s="998" t="s">
        <v>4954</v>
      </c>
      <c r="J1855" s="1203" t="s">
        <v>344</v>
      </c>
      <c r="K1855" s="1213" t="s">
        <v>341</v>
      </c>
      <c r="L1855" s="959">
        <v>68.0</v>
      </c>
      <c r="M1855" s="960">
        <v>125.0</v>
      </c>
      <c r="N1855" s="960">
        <v>65.0</v>
      </c>
      <c r="O1855" s="960">
        <v>65.0</v>
      </c>
      <c r="P1855" s="960">
        <v>115.0</v>
      </c>
      <c r="Q1855" s="960">
        <v>80.0</v>
      </c>
      <c r="R1855" s="960">
        <v>196.0</v>
      </c>
      <c r="S1855" s="960">
        <v>259.0</v>
      </c>
      <c r="T1855" s="960">
        <v>284.0</v>
      </c>
      <c r="U1855" s="960">
        <f t="array" ref="U1855">HLOOKUP($J1855,'Type Chart'!$C$2:$T$20,2,false)*HLOOKUP($K1855,'Type Chart'!$C$2:$U$20,2,false)</f>
        <v>1</v>
      </c>
      <c r="V1855" s="960">
        <f t="array" ref="V1855">HLOOKUP($J1855,'Type Chart'!$C$2:$T$20,3,false)*HLOOKUP($K1855,'Type Chart'!$C$2:$U$20,3,false)</f>
        <v>0.5</v>
      </c>
      <c r="W1855" s="960">
        <f t="array" ref="W1855">HLOOKUP($J1855,'Type Chart'!$C$2:$T$20,4,false)*HLOOKUP($K1855,'Type Chart'!$C$2:$U$20,4,false)</f>
        <v>2</v>
      </c>
      <c r="X1855" s="960">
        <f t="array" ref="X1855">HLOOKUP($J1855,'Type Chart'!$C$2:$T$20,5,false)*HLOOKUP($K1855,'Type Chart'!$C$2:$U$20,5,false)</f>
        <v>1</v>
      </c>
      <c r="Y1855" s="960">
        <f t="array" ref="Y1855">HLOOKUP($J1855,'Type Chart'!$C$2:$T$20,6,false)*HLOOKUP($K1855,'Type Chart'!$C$2:$U$20,6,false)</f>
        <v>1</v>
      </c>
      <c r="Z1855" s="960">
        <f t="array" ref="Z1855">HLOOKUP($J1855,'Type Chart'!$C$2:$T$20,7,false)*HLOOKUP($K1855,'Type Chart'!$C$2:$U$20,7,false)</f>
        <v>0.5</v>
      </c>
      <c r="AA1855" s="960">
        <f t="array" ref="AA1855">HLOOKUP($J1855,'Type Chart'!$C$2:$T$20,8,false)*HLOOKUP($K1855,'Type Chart'!$C$2:$U$20,8,false)</f>
        <v>1</v>
      </c>
      <c r="AB1855" s="960">
        <f t="array" ref="AB1855">HLOOKUP($J1855,'Type Chart'!$C$2:$T$20,9,false)*HLOOKUP($K1855,'Type Chart'!$C$2:$U$20,9,false)</f>
        <v>2</v>
      </c>
      <c r="AC1855" s="960">
        <f t="array" ref="AC1855">HLOOKUP($J1855,'Type Chart'!$C$2:$T$20,10,false)*HLOOKUP($K1855,'Type Chart'!$C$2:$U$20,10,false)</f>
        <v>1</v>
      </c>
      <c r="AD1855" s="960">
        <f t="array" ref="AD1855">HLOOKUP($J1855,'Type Chart'!$C$2:$T$20,11,false)*HLOOKUP($K1855,'Type Chart'!$C$2:$U$20,11,false)</f>
        <v>1</v>
      </c>
      <c r="AE1855" s="960">
        <f t="array" ref="AE1855">HLOOKUP($J1855,'Type Chart'!$C$2:$T$20,12,false)*HLOOKUP($K1855,'Type Chart'!$C$2:$U$20,12,false)</f>
        <v>1</v>
      </c>
      <c r="AF1855" s="960">
        <f t="array" ref="AF1855">HLOOKUP($J1855,'Type Chart'!$C$2:$T$20,13,false)*HLOOKUP($K1855,'Type Chart'!$C$2:$U$20,13,false)</f>
        <v>1</v>
      </c>
      <c r="AG1855" s="960">
        <f t="array" ref="AG1855">HLOOKUP($J1855,'Type Chart'!$C$2:$T$20,14,false)*HLOOKUP($K1855,'Type Chart'!$C$2:$U$20,14,false)</f>
        <v>1</v>
      </c>
      <c r="AH1855" s="960">
        <f t="array" ref="AH1855">HLOOKUP($J1855,'Type Chart'!$C$2:$T$20,15,false)*HLOOKUP($K1855,'Type Chart'!$C$2:$U$20,15,false)</f>
        <v>1</v>
      </c>
      <c r="AI1855" s="960">
        <f t="array" ref="AI1855">HLOOKUP($J1855,'Type Chart'!$C$2:$T$20,16,false)*HLOOKUP($K1855,'Type Chart'!$C$2:$U$20,16,false)</f>
        <v>1</v>
      </c>
      <c r="AJ1855" s="960">
        <f t="array" ref="AJ1855">HLOOKUP($J1855,'Type Chart'!$C$2:$T$20,17,false)*HLOOKUP($K1855,'Type Chart'!$C$2:$U$20,17,false)</f>
        <v>1</v>
      </c>
      <c r="AK1855" s="960">
        <f t="array" ref="AK1855">HLOOKUP($J1855,'Type Chart'!$C$2:$T$20,18,false)*HLOOKUP($K1855,'Type Chart'!$C$2:$U$20,18,false)</f>
        <v>1</v>
      </c>
      <c r="AL1855" s="960">
        <f t="array" ref="AL1855">HLOOKUP($J1855,'Type Chart'!$C$2:$T$20,19,false)*HLOOKUP($K1855,'Type Chart'!$C$2:$U$20,19,false)</f>
        <v>2</v>
      </c>
      <c r="AM1855" s="964" t="s">
        <v>1306</v>
      </c>
      <c r="AN1855" s="965"/>
      <c r="AO1855" s="966" t="s">
        <v>1273</v>
      </c>
      <c r="AP1855" s="936"/>
      <c r="AQ1855" s="1245"/>
      <c r="AR1855" s="1245"/>
      <c r="AS1855" s="936"/>
    </row>
    <row r="1856" ht="15.75" customHeight="1">
      <c r="A1856" s="1099"/>
      <c r="B1856" s="948" t="s">
        <v>2683</v>
      </c>
      <c r="C1856" s="1197" t="s">
        <v>2684</v>
      </c>
      <c r="D1856" s="1197" t="s">
        <v>2684</v>
      </c>
      <c r="E1856" s="1147" t="s">
        <v>2684</v>
      </c>
      <c r="F1856" s="940"/>
      <c r="G1856" s="953"/>
      <c r="H1856" s="969"/>
      <c r="I1856" s="998" t="s">
        <v>4955</v>
      </c>
      <c r="J1856" s="1203" t="s">
        <v>344</v>
      </c>
      <c r="K1856" s="1213" t="s">
        <v>341</v>
      </c>
      <c r="L1856" s="959">
        <v>68.0</v>
      </c>
      <c r="M1856" s="960">
        <v>165.0</v>
      </c>
      <c r="N1856" s="960">
        <v>95.0</v>
      </c>
      <c r="O1856" s="960">
        <v>65.0</v>
      </c>
      <c r="P1856" s="960">
        <v>115.0</v>
      </c>
      <c r="Q1856" s="960">
        <v>110.0</v>
      </c>
      <c r="R1856" s="960">
        <v>256.0</v>
      </c>
      <c r="S1856" s="960">
        <v>319.0</v>
      </c>
      <c r="T1856" s="960">
        <v>350.0</v>
      </c>
      <c r="U1856" s="960">
        <f t="array" ref="U1856">HLOOKUP($J1856,'Type Chart'!$C$2:$T$20,2,false)*HLOOKUP($K1856,'Type Chart'!$C$2:$U$20,2,false)</f>
        <v>1</v>
      </c>
      <c r="V1856" s="960">
        <f t="array" ref="V1856">HLOOKUP($J1856,'Type Chart'!$C$2:$T$20,3,false)*HLOOKUP($K1856,'Type Chart'!$C$2:$U$20,3,false)</f>
        <v>0.5</v>
      </c>
      <c r="W1856" s="960">
        <f t="array" ref="W1856">HLOOKUP($J1856,'Type Chart'!$C$2:$T$20,4,false)*HLOOKUP($K1856,'Type Chart'!$C$2:$U$20,4,false)</f>
        <v>2</v>
      </c>
      <c r="X1856" s="960">
        <f t="array" ref="X1856">HLOOKUP($J1856,'Type Chart'!$C$2:$T$20,5,false)*HLOOKUP($K1856,'Type Chart'!$C$2:$U$20,5,false)</f>
        <v>1</v>
      </c>
      <c r="Y1856" s="960">
        <f t="array" ref="Y1856">HLOOKUP($J1856,'Type Chart'!$C$2:$T$20,6,false)*HLOOKUP($K1856,'Type Chart'!$C$2:$U$20,6,false)</f>
        <v>1</v>
      </c>
      <c r="Z1856" s="960">
        <f t="array" ref="Z1856">HLOOKUP($J1856,'Type Chart'!$C$2:$T$20,7,false)*HLOOKUP($K1856,'Type Chart'!$C$2:$U$20,7,false)</f>
        <v>0.5</v>
      </c>
      <c r="AA1856" s="960">
        <f t="array" ref="AA1856">HLOOKUP($J1856,'Type Chart'!$C$2:$T$20,8,false)*HLOOKUP($K1856,'Type Chart'!$C$2:$U$20,8,false)</f>
        <v>1</v>
      </c>
      <c r="AB1856" s="960">
        <f t="array" ref="AB1856">HLOOKUP($J1856,'Type Chart'!$C$2:$T$20,9,false)*HLOOKUP($K1856,'Type Chart'!$C$2:$U$20,9,false)</f>
        <v>2</v>
      </c>
      <c r="AC1856" s="960">
        <f t="array" ref="AC1856">HLOOKUP($J1856,'Type Chart'!$C$2:$T$20,10,false)*HLOOKUP($K1856,'Type Chart'!$C$2:$U$20,10,false)</f>
        <v>1</v>
      </c>
      <c r="AD1856" s="960">
        <f t="array" ref="AD1856">HLOOKUP($J1856,'Type Chart'!$C$2:$T$20,11,false)*HLOOKUP($K1856,'Type Chart'!$C$2:$U$20,11,false)</f>
        <v>1</v>
      </c>
      <c r="AE1856" s="960">
        <f t="array" ref="AE1856">HLOOKUP($J1856,'Type Chart'!$C$2:$T$20,12,false)*HLOOKUP($K1856,'Type Chart'!$C$2:$U$20,12,false)</f>
        <v>1</v>
      </c>
      <c r="AF1856" s="960">
        <f t="array" ref="AF1856">HLOOKUP($J1856,'Type Chart'!$C$2:$T$20,13,false)*HLOOKUP($K1856,'Type Chart'!$C$2:$U$20,13,false)</f>
        <v>1</v>
      </c>
      <c r="AG1856" s="960">
        <f t="array" ref="AG1856">HLOOKUP($J1856,'Type Chart'!$C$2:$T$20,14,false)*HLOOKUP($K1856,'Type Chart'!$C$2:$U$20,14,false)</f>
        <v>1</v>
      </c>
      <c r="AH1856" s="960">
        <f t="array" ref="AH1856">HLOOKUP($J1856,'Type Chart'!$C$2:$T$20,15,false)*HLOOKUP($K1856,'Type Chart'!$C$2:$U$20,15,false)</f>
        <v>1</v>
      </c>
      <c r="AI1856" s="960">
        <f t="array" ref="AI1856">HLOOKUP($J1856,'Type Chart'!$C$2:$T$20,16,false)*HLOOKUP($K1856,'Type Chart'!$C$2:$U$20,16,false)</f>
        <v>1</v>
      </c>
      <c r="AJ1856" s="960">
        <f t="array" ref="AJ1856">HLOOKUP($J1856,'Type Chart'!$C$2:$T$20,17,false)*HLOOKUP($K1856,'Type Chart'!$C$2:$U$20,17,false)</f>
        <v>1</v>
      </c>
      <c r="AK1856" s="960">
        <f t="array" ref="AK1856">HLOOKUP($J1856,'Type Chart'!$C$2:$T$20,18,false)*HLOOKUP($K1856,'Type Chart'!$C$2:$U$20,18,false)</f>
        <v>1</v>
      </c>
      <c r="AL1856" s="960">
        <f t="array" ref="AL1856">HLOOKUP($J1856,'Type Chart'!$C$2:$T$20,19,false)*HLOOKUP($K1856,'Type Chart'!$C$2:$U$20,19,false)</f>
        <v>2</v>
      </c>
      <c r="AM1856" s="964" t="s">
        <v>1192</v>
      </c>
      <c r="AN1856" s="965"/>
      <c r="AO1856" s="966"/>
      <c r="AP1856" s="936"/>
      <c r="AQ1856" s="1245"/>
      <c r="AR1856" s="1245"/>
      <c r="AS1856" s="936"/>
    </row>
    <row r="1857" ht="15.75" customHeight="1">
      <c r="A1857" s="1099"/>
      <c r="B1857" s="948" t="s">
        <v>2686</v>
      </c>
      <c r="C1857" s="1197" t="s">
        <v>2687</v>
      </c>
      <c r="D1857" s="1197" t="s">
        <v>2687</v>
      </c>
      <c r="E1857" s="1147" t="s">
        <v>2687</v>
      </c>
      <c r="F1857" s="940"/>
      <c r="G1857" s="953"/>
      <c r="H1857" s="969"/>
      <c r="I1857" s="998" t="s">
        <v>4956</v>
      </c>
      <c r="J1857" s="1214" t="s">
        <v>342</v>
      </c>
      <c r="K1857" s="1206" t="s">
        <v>82</v>
      </c>
      <c r="L1857" s="959">
        <v>60.0</v>
      </c>
      <c r="M1857" s="960">
        <v>55.0</v>
      </c>
      <c r="N1857" s="960">
        <v>145.0</v>
      </c>
      <c r="O1857" s="960">
        <v>75.0</v>
      </c>
      <c r="P1857" s="960">
        <v>150.0</v>
      </c>
      <c r="Q1857" s="960">
        <v>40.0</v>
      </c>
      <c r="R1857" s="960">
        <v>116.0</v>
      </c>
      <c r="S1857" s="960">
        <v>179.0</v>
      </c>
      <c r="T1857" s="960">
        <v>196.0</v>
      </c>
      <c r="U1857" s="960">
        <f t="array" ref="U1857">HLOOKUP($J1857,'Type Chart'!$C$2:$T$20,2,false)*HLOOKUP($K1857,'Type Chart'!$C$2:$U$20,2,false)</f>
        <v>0.25</v>
      </c>
      <c r="V1857" s="960">
        <f t="array" ref="V1857">HLOOKUP($J1857,'Type Chart'!$C$2:$T$20,3,false)*HLOOKUP($K1857,'Type Chart'!$C$2:$U$20,3,false)</f>
        <v>4</v>
      </c>
      <c r="W1857" s="960">
        <f t="array" ref="W1857">HLOOKUP($J1857,'Type Chart'!$C$2:$T$20,4,false)*HLOOKUP($K1857,'Type Chart'!$C$2:$U$20,4,false)</f>
        <v>0.25</v>
      </c>
      <c r="X1857" s="960">
        <f t="array" ref="X1857">HLOOKUP($J1857,'Type Chart'!$C$2:$T$20,5,false)*HLOOKUP($K1857,'Type Chart'!$C$2:$U$20,5,false)</f>
        <v>0</v>
      </c>
      <c r="Y1857" s="960">
        <f t="array" ref="Y1857">HLOOKUP($J1857,'Type Chart'!$C$2:$T$20,6,false)*HLOOKUP($K1857,'Type Chart'!$C$2:$U$20,6,false)</f>
        <v>4</v>
      </c>
      <c r="Z1857" s="960">
        <f t="array" ref="Z1857">HLOOKUP($J1857,'Type Chart'!$C$2:$T$20,7,false)*HLOOKUP($K1857,'Type Chart'!$C$2:$U$20,7,false)</f>
        <v>0.5</v>
      </c>
      <c r="AA1857" s="960">
        <f t="array" ref="AA1857">HLOOKUP($J1857,'Type Chart'!$C$2:$T$20,8,false)*HLOOKUP($K1857,'Type Chart'!$C$2:$U$20,8,false)</f>
        <v>0.5</v>
      </c>
      <c r="AB1857" s="960">
        <f t="array" ref="AB1857">HLOOKUP($J1857,'Type Chart'!$C$2:$T$20,9,false)*HLOOKUP($K1857,'Type Chart'!$C$2:$U$20,9,false)</f>
        <v>1</v>
      </c>
      <c r="AC1857" s="960">
        <f t="array" ref="AC1857">HLOOKUP($J1857,'Type Chart'!$C$2:$T$20,10,false)*HLOOKUP($K1857,'Type Chart'!$C$2:$U$20,10,false)</f>
        <v>1</v>
      </c>
      <c r="AD1857" s="960">
        <f t="array" ref="AD1857">HLOOKUP($J1857,'Type Chart'!$C$2:$T$20,11,false)*HLOOKUP($K1857,'Type Chart'!$C$2:$U$20,11,false)</f>
        <v>1</v>
      </c>
      <c r="AE1857" s="960">
        <f t="array" ref="AE1857">HLOOKUP($J1857,'Type Chart'!$C$2:$T$20,12,false)*HLOOKUP($K1857,'Type Chart'!$C$2:$U$20,12,false)</f>
        <v>2</v>
      </c>
      <c r="AF1857" s="960">
        <f t="array" ref="AF1857">HLOOKUP($J1857,'Type Chart'!$C$2:$T$20,13,false)*HLOOKUP($K1857,'Type Chart'!$C$2:$U$20,13,false)</f>
        <v>1</v>
      </c>
      <c r="AG1857" s="960">
        <f t="array" ref="AG1857">HLOOKUP($J1857,'Type Chart'!$C$2:$T$20,14,false)*HLOOKUP($K1857,'Type Chart'!$C$2:$U$20,14,false)</f>
        <v>1</v>
      </c>
      <c r="AH1857" s="960">
        <f t="array" ref="AH1857">HLOOKUP($J1857,'Type Chart'!$C$2:$T$20,15,false)*HLOOKUP($K1857,'Type Chart'!$C$2:$U$20,15,false)</f>
        <v>0.5</v>
      </c>
      <c r="AI1857" s="960">
        <f t="array" ref="AI1857">HLOOKUP($J1857,'Type Chart'!$C$2:$T$20,16,false)*HLOOKUP($K1857,'Type Chart'!$C$2:$U$20,16,false)</f>
        <v>0.5</v>
      </c>
      <c r="AJ1857" s="960">
        <f t="array" ref="AJ1857">HLOOKUP($J1857,'Type Chart'!$C$2:$T$20,17,false)*HLOOKUP($K1857,'Type Chart'!$C$2:$U$20,17,false)</f>
        <v>0.5</v>
      </c>
      <c r="AK1857" s="960">
        <f t="array" ref="AK1857">HLOOKUP($J1857,'Type Chart'!$C$2:$T$20,18,false)*HLOOKUP($K1857,'Type Chart'!$C$2:$U$20,18,false)</f>
        <v>1</v>
      </c>
      <c r="AL1857" s="960">
        <f t="array" ref="AL1857">HLOOKUP($J1857,'Type Chart'!$C$2:$T$20,19,false)*HLOOKUP($K1857,'Type Chart'!$C$2:$U$20,19,false)</f>
        <v>0.5</v>
      </c>
      <c r="AM1857" s="964" t="s">
        <v>1331</v>
      </c>
      <c r="AN1857" s="965" t="s">
        <v>1336</v>
      </c>
      <c r="AO1857" s="966" t="s">
        <v>1224</v>
      </c>
      <c r="AP1857" s="936"/>
      <c r="AQ1857" s="1245"/>
      <c r="AR1857" s="1245"/>
      <c r="AS1857" s="936"/>
    </row>
    <row r="1858" ht="15.75" customHeight="1">
      <c r="A1858" s="1099"/>
      <c r="B1858" s="948" t="s">
        <v>2688</v>
      </c>
      <c r="C1858" s="1197" t="s">
        <v>2689</v>
      </c>
      <c r="D1858" s="1197" t="s">
        <v>2689</v>
      </c>
      <c r="E1858" s="1147" t="s">
        <v>2689</v>
      </c>
      <c r="F1858" s="940"/>
      <c r="G1858" s="953"/>
      <c r="H1858" s="969"/>
      <c r="I1858" s="998" t="s">
        <v>4957</v>
      </c>
      <c r="J1858" s="1220" t="s">
        <v>215</v>
      </c>
      <c r="K1858" s="984" t="s">
        <v>216</v>
      </c>
      <c r="L1858" s="959">
        <v>45.0</v>
      </c>
      <c r="M1858" s="960">
        <v>100.0</v>
      </c>
      <c r="N1858" s="960">
        <v>135.0</v>
      </c>
      <c r="O1858" s="960">
        <v>65.0</v>
      </c>
      <c r="P1858" s="960">
        <v>135.0</v>
      </c>
      <c r="Q1858" s="960">
        <v>45.0</v>
      </c>
      <c r="R1858" s="960">
        <v>126.0</v>
      </c>
      <c r="S1858" s="960">
        <v>189.0</v>
      </c>
      <c r="T1858" s="960">
        <v>207.0</v>
      </c>
      <c r="U1858" s="960">
        <f t="array" ref="U1858">HLOOKUP($J1858,'Type Chart'!$C$2:$T$20,2,false)*HLOOKUP($K1858,'Type Chart'!$C$2:$U$20,2,false)</f>
        <v>0</v>
      </c>
      <c r="V1858" s="960">
        <f t="array" ref="V1858">HLOOKUP($J1858,'Type Chart'!$C$2:$T$20,3,false)*HLOOKUP($K1858,'Type Chart'!$C$2:$U$20,3,false)</f>
        <v>0</v>
      </c>
      <c r="W1858" s="960">
        <f t="array" ref="W1858">HLOOKUP($J1858,'Type Chart'!$C$2:$T$20,4,false)*HLOOKUP($K1858,'Type Chart'!$C$2:$U$20,4,false)</f>
        <v>1</v>
      </c>
      <c r="X1858" s="960">
        <f t="array" ref="X1858">HLOOKUP($J1858,'Type Chart'!$C$2:$T$20,5,false)*HLOOKUP($K1858,'Type Chart'!$C$2:$U$20,5,false)</f>
        <v>0.5</v>
      </c>
      <c r="Y1858" s="960">
        <f t="array" ref="Y1858">HLOOKUP($J1858,'Type Chart'!$C$2:$T$20,6,false)*HLOOKUP($K1858,'Type Chart'!$C$2:$U$20,6,false)</f>
        <v>1</v>
      </c>
      <c r="Z1858" s="960">
        <f t="array" ref="Z1858">HLOOKUP($J1858,'Type Chart'!$C$2:$T$20,7,false)*HLOOKUP($K1858,'Type Chart'!$C$2:$U$20,7,false)</f>
        <v>1</v>
      </c>
      <c r="AA1858" s="960">
        <f t="array" ref="AA1858">HLOOKUP($J1858,'Type Chart'!$C$2:$T$20,8,false)*HLOOKUP($K1858,'Type Chart'!$C$2:$U$20,8,false)</f>
        <v>0.5</v>
      </c>
      <c r="AB1858" s="960">
        <f t="array" ref="AB1858">HLOOKUP($J1858,'Type Chart'!$C$2:$T$20,9,false)*HLOOKUP($K1858,'Type Chart'!$C$2:$U$20,9,false)</f>
        <v>2</v>
      </c>
      <c r="AC1858" s="960">
        <f t="array" ref="AC1858">HLOOKUP($J1858,'Type Chart'!$C$2:$T$20,10,false)*HLOOKUP($K1858,'Type Chart'!$C$2:$U$20,10,false)</f>
        <v>1</v>
      </c>
      <c r="AD1858" s="960">
        <f t="array" ref="AD1858">HLOOKUP($J1858,'Type Chart'!$C$2:$T$20,11,false)*HLOOKUP($K1858,'Type Chart'!$C$2:$U$20,11,false)</f>
        <v>1</v>
      </c>
      <c r="AE1858" s="960">
        <f t="array" ref="AE1858">HLOOKUP($J1858,'Type Chart'!$C$2:$T$20,12,false)*HLOOKUP($K1858,'Type Chart'!$C$2:$U$20,12,false)</f>
        <v>1</v>
      </c>
      <c r="AF1858" s="960">
        <f t="array" ref="AF1858">HLOOKUP($J1858,'Type Chart'!$C$2:$T$20,13,false)*HLOOKUP($K1858,'Type Chart'!$C$2:$U$20,13,false)</f>
        <v>1</v>
      </c>
      <c r="AG1858" s="960">
        <f t="array" ref="AG1858">HLOOKUP($J1858,'Type Chart'!$C$2:$T$20,14,false)*HLOOKUP($K1858,'Type Chart'!$C$2:$U$20,14,false)</f>
        <v>1</v>
      </c>
      <c r="AH1858" s="960">
        <f t="array" ref="AH1858">HLOOKUP($J1858,'Type Chart'!$C$2:$T$20,15,false)*HLOOKUP($K1858,'Type Chart'!$C$2:$U$20,15,false)</f>
        <v>1</v>
      </c>
      <c r="AI1858" s="960">
        <f t="array" ref="AI1858">HLOOKUP($J1858,'Type Chart'!$C$2:$T$20,16,false)*HLOOKUP($K1858,'Type Chart'!$C$2:$U$20,16,false)</f>
        <v>1</v>
      </c>
      <c r="AJ1858" s="960">
        <f t="array" ref="AJ1858">HLOOKUP($J1858,'Type Chart'!$C$2:$T$20,17,false)*HLOOKUP($K1858,'Type Chart'!$C$2:$U$20,17,false)</f>
        <v>1</v>
      </c>
      <c r="AK1858" s="960">
        <f t="array" ref="AK1858">HLOOKUP($J1858,'Type Chart'!$C$2:$T$20,18,false)*HLOOKUP($K1858,'Type Chart'!$C$2:$U$20,18,false)</f>
        <v>2</v>
      </c>
      <c r="AL1858" s="960">
        <f t="array" ref="AL1858">HLOOKUP($J1858,'Type Chart'!$C$2:$T$20,19,false)*HLOOKUP($K1858,'Type Chart'!$C$2:$U$20,19,false)</f>
        <v>1</v>
      </c>
      <c r="AM1858" s="964" t="s">
        <v>1636</v>
      </c>
      <c r="AN1858" s="965"/>
      <c r="AO1858" s="966" t="s">
        <v>1188</v>
      </c>
      <c r="AP1858" s="936"/>
      <c r="AQ1858" s="1245"/>
      <c r="AR1858" s="1245"/>
      <c r="AS1858" s="936"/>
    </row>
    <row r="1859" ht="15.75" customHeight="1">
      <c r="A1859" s="1099"/>
      <c r="B1859" s="948" t="s">
        <v>2690</v>
      </c>
      <c r="C1859" s="1197" t="s">
        <v>2691</v>
      </c>
      <c r="D1859" s="1197" t="s">
        <v>2691</v>
      </c>
      <c r="E1859" s="1147" t="s">
        <v>2691</v>
      </c>
      <c r="F1859" s="940"/>
      <c r="G1859" s="953"/>
      <c r="H1859" s="969"/>
      <c r="I1859" s="998" t="s">
        <v>4958</v>
      </c>
      <c r="J1859" s="1224" t="s">
        <v>345</v>
      </c>
      <c r="K1859" s="1221" t="s">
        <v>215</v>
      </c>
      <c r="L1859" s="1200">
        <v>70.0</v>
      </c>
      <c r="M1859" s="1201">
        <v>80.0</v>
      </c>
      <c r="N1859" s="1201">
        <v>70.0</v>
      </c>
      <c r="O1859" s="1201">
        <v>80.0</v>
      </c>
      <c r="P1859" s="1201">
        <v>70.0</v>
      </c>
      <c r="Q1859" s="1201">
        <v>110.0</v>
      </c>
      <c r="R1859" s="960">
        <v>256.0</v>
      </c>
      <c r="S1859" s="960">
        <v>319.0</v>
      </c>
      <c r="T1859" s="960">
        <v>350.0</v>
      </c>
      <c r="U1859" s="960">
        <f t="array" ref="U1859">HLOOKUP($J1859,'Type Chart'!$C$2:$T$20,2,false)*HLOOKUP($K1859,'Type Chart'!$C$2:$U$20,2,false)</f>
        <v>0</v>
      </c>
      <c r="V1859" s="960">
        <f t="array" ref="V1859">HLOOKUP($J1859,'Type Chart'!$C$2:$T$20,3,false)*HLOOKUP($K1859,'Type Chart'!$C$2:$U$20,3,false)</f>
        <v>0</v>
      </c>
      <c r="W1859" s="960">
        <f t="array" ref="W1859">HLOOKUP($J1859,'Type Chart'!$C$2:$T$20,4,false)*HLOOKUP($K1859,'Type Chart'!$C$2:$U$20,4,false)</f>
        <v>1</v>
      </c>
      <c r="X1859" s="960">
        <f t="array" ref="X1859">HLOOKUP($J1859,'Type Chart'!$C$2:$T$20,5,false)*HLOOKUP($K1859,'Type Chart'!$C$2:$U$20,5,false)</f>
        <v>0.5</v>
      </c>
      <c r="Y1859" s="960">
        <f t="array" ref="Y1859">HLOOKUP($J1859,'Type Chart'!$C$2:$T$20,6,false)*HLOOKUP($K1859,'Type Chart'!$C$2:$U$20,6,false)</f>
        <v>1</v>
      </c>
      <c r="Z1859" s="960">
        <f t="array" ref="Z1859">HLOOKUP($J1859,'Type Chart'!$C$2:$T$20,7,false)*HLOOKUP($K1859,'Type Chart'!$C$2:$U$20,7,false)</f>
        <v>2</v>
      </c>
      <c r="AA1859" s="960">
        <f t="array" ref="AA1859">HLOOKUP($J1859,'Type Chart'!$C$2:$T$20,8,false)*HLOOKUP($K1859,'Type Chart'!$C$2:$U$20,8,false)</f>
        <v>0.5</v>
      </c>
      <c r="AB1859" s="960">
        <f t="array" ref="AB1859">HLOOKUP($J1859,'Type Chart'!$C$2:$T$20,9,false)*HLOOKUP($K1859,'Type Chart'!$C$2:$U$20,9,false)</f>
        <v>2</v>
      </c>
      <c r="AC1859" s="960">
        <f t="array" ref="AC1859">HLOOKUP($J1859,'Type Chart'!$C$2:$T$20,10,false)*HLOOKUP($K1859,'Type Chart'!$C$2:$U$20,10,false)</f>
        <v>2</v>
      </c>
      <c r="AD1859" s="960">
        <f t="array" ref="AD1859">HLOOKUP($J1859,'Type Chart'!$C$2:$T$20,11,false)*HLOOKUP($K1859,'Type Chart'!$C$2:$U$20,11,false)</f>
        <v>2</v>
      </c>
      <c r="AE1859" s="960">
        <f t="array" ref="AE1859">HLOOKUP($J1859,'Type Chart'!$C$2:$T$20,12,false)*HLOOKUP($K1859,'Type Chart'!$C$2:$U$20,12,false)</f>
        <v>1</v>
      </c>
      <c r="AF1859" s="960">
        <f t="array" ref="AF1859">HLOOKUP($J1859,'Type Chart'!$C$2:$T$20,13,false)*HLOOKUP($K1859,'Type Chart'!$C$2:$U$20,13,false)</f>
        <v>1</v>
      </c>
      <c r="AG1859" s="960">
        <f t="array" ref="AG1859">HLOOKUP($J1859,'Type Chart'!$C$2:$T$20,14,false)*HLOOKUP($K1859,'Type Chart'!$C$2:$U$20,14,false)</f>
        <v>1</v>
      </c>
      <c r="AH1859" s="960">
        <f t="array" ref="AH1859">HLOOKUP($J1859,'Type Chart'!$C$2:$T$20,15,false)*HLOOKUP($K1859,'Type Chart'!$C$2:$U$20,15,false)</f>
        <v>1</v>
      </c>
      <c r="AI1859" s="960">
        <f t="array" ref="AI1859">HLOOKUP($J1859,'Type Chart'!$C$2:$T$20,16,false)*HLOOKUP($K1859,'Type Chart'!$C$2:$U$20,16,false)</f>
        <v>0.5</v>
      </c>
      <c r="AJ1859" s="960">
        <f t="array" ref="AJ1859">HLOOKUP($J1859,'Type Chart'!$C$2:$T$20,17,false)*HLOOKUP($K1859,'Type Chart'!$C$2:$U$20,17,false)</f>
        <v>1</v>
      </c>
      <c r="AK1859" s="960">
        <f t="array" ref="AK1859">HLOOKUP($J1859,'Type Chart'!$C$2:$T$20,18,false)*HLOOKUP($K1859,'Type Chart'!$C$2:$U$20,18,false)</f>
        <v>2</v>
      </c>
      <c r="AL1859" s="960">
        <f t="array" ref="AL1859">HLOOKUP($J1859,'Type Chart'!$C$2:$T$20,19,false)*HLOOKUP($K1859,'Type Chart'!$C$2:$U$20,19,false)</f>
        <v>1</v>
      </c>
      <c r="AM1859" s="1145" t="s">
        <v>1135</v>
      </c>
      <c r="AN1859" s="965"/>
      <c r="AO1859" s="1146" t="s">
        <v>1442</v>
      </c>
      <c r="AP1859" s="936"/>
      <c r="AQ1859" s="1245"/>
      <c r="AR1859" s="1245"/>
      <c r="AS1859" s="936"/>
    </row>
    <row r="1860" ht="15.75" customHeight="1">
      <c r="A1860" s="1099"/>
      <c r="B1860" s="948" t="s">
        <v>2692</v>
      </c>
      <c r="C1860" s="1197" t="s">
        <v>2693</v>
      </c>
      <c r="D1860" s="1197" t="s">
        <v>2693</v>
      </c>
      <c r="E1860" s="1147" t="s">
        <v>2693</v>
      </c>
      <c r="F1860" s="940"/>
      <c r="G1860" s="953"/>
      <c r="H1860" s="969"/>
      <c r="I1860" s="998" t="s">
        <v>4959</v>
      </c>
      <c r="J1860" s="1196" t="s">
        <v>203</v>
      </c>
      <c r="K1860" s="1220" t="s">
        <v>215</v>
      </c>
      <c r="L1860" s="959">
        <v>50.0</v>
      </c>
      <c r="M1860" s="960">
        <v>50.0</v>
      </c>
      <c r="N1860" s="960">
        <v>77.0</v>
      </c>
      <c r="O1860" s="960">
        <v>95.0</v>
      </c>
      <c r="P1860" s="960">
        <v>77.0</v>
      </c>
      <c r="Q1860" s="960">
        <v>91.0</v>
      </c>
      <c r="R1860" s="960">
        <v>218.0</v>
      </c>
      <c r="S1860" s="960">
        <v>281.0</v>
      </c>
      <c r="T1860" s="960">
        <v>309.0</v>
      </c>
      <c r="U1860" s="960">
        <f t="array" ref="U1860">HLOOKUP($J1860,'Type Chart'!$C$2:$T$20,2,false)*HLOOKUP($K1860,'Type Chart'!$C$2:$U$20,2,false)</f>
        <v>0</v>
      </c>
      <c r="V1860" s="960">
        <f t="array" ref="V1860">HLOOKUP($J1860,'Type Chart'!$C$2:$T$20,3,false)*HLOOKUP($K1860,'Type Chart'!$C$2:$U$20,3,false)</f>
        <v>0</v>
      </c>
      <c r="W1860" s="960">
        <f t="array" ref="W1860">HLOOKUP($J1860,'Type Chart'!$C$2:$T$20,4,false)*HLOOKUP($K1860,'Type Chart'!$C$2:$U$20,4,false)</f>
        <v>0.5</v>
      </c>
      <c r="X1860" s="960">
        <f t="array" ref="X1860">HLOOKUP($J1860,'Type Chart'!$C$2:$T$20,5,false)*HLOOKUP($K1860,'Type Chart'!$C$2:$U$20,5,false)</f>
        <v>0.5</v>
      </c>
      <c r="Y1860" s="960">
        <f t="array" ref="Y1860">HLOOKUP($J1860,'Type Chart'!$C$2:$T$20,6,false)*HLOOKUP($K1860,'Type Chart'!$C$2:$U$20,6,false)</f>
        <v>2</v>
      </c>
      <c r="Z1860" s="960">
        <f t="array" ref="Z1860">HLOOKUP($J1860,'Type Chart'!$C$2:$T$20,7,false)*HLOOKUP($K1860,'Type Chart'!$C$2:$U$20,7,false)</f>
        <v>1</v>
      </c>
      <c r="AA1860" s="960">
        <f t="array" ref="AA1860">HLOOKUP($J1860,'Type Chart'!$C$2:$T$20,8,false)*HLOOKUP($K1860,'Type Chart'!$C$2:$U$20,8,false)</f>
        <v>0.5</v>
      </c>
      <c r="AB1860" s="960">
        <f t="array" ref="AB1860">HLOOKUP($J1860,'Type Chart'!$C$2:$T$20,9,false)*HLOOKUP($K1860,'Type Chart'!$C$2:$U$20,9,false)</f>
        <v>2</v>
      </c>
      <c r="AC1860" s="960">
        <f t="array" ref="AC1860">HLOOKUP($J1860,'Type Chart'!$C$2:$T$20,10,false)*HLOOKUP($K1860,'Type Chart'!$C$2:$U$20,10,false)</f>
        <v>0.5</v>
      </c>
      <c r="AD1860" s="960">
        <f t="array" ref="AD1860">HLOOKUP($J1860,'Type Chart'!$C$2:$T$20,11,false)*HLOOKUP($K1860,'Type Chart'!$C$2:$U$20,11,false)</f>
        <v>1</v>
      </c>
      <c r="AE1860" s="960">
        <f t="array" ref="AE1860">HLOOKUP($J1860,'Type Chart'!$C$2:$T$20,12,false)*HLOOKUP($K1860,'Type Chart'!$C$2:$U$20,12,false)</f>
        <v>1</v>
      </c>
      <c r="AF1860" s="960">
        <f t="array" ref="AF1860">HLOOKUP($J1860,'Type Chart'!$C$2:$T$20,13,false)*HLOOKUP($K1860,'Type Chart'!$C$2:$U$20,13,false)</f>
        <v>1</v>
      </c>
      <c r="AG1860" s="960">
        <f t="array" ref="AG1860">HLOOKUP($J1860,'Type Chart'!$C$2:$T$20,14,false)*HLOOKUP($K1860,'Type Chart'!$C$2:$U$20,14,false)</f>
        <v>0.5</v>
      </c>
      <c r="AH1860" s="960">
        <f t="array" ref="AH1860">HLOOKUP($J1860,'Type Chart'!$C$2:$T$20,15,false)*HLOOKUP($K1860,'Type Chart'!$C$2:$U$20,15,false)</f>
        <v>1</v>
      </c>
      <c r="AI1860" s="960">
        <f t="array" ref="AI1860">HLOOKUP($J1860,'Type Chart'!$C$2:$T$20,16,false)*HLOOKUP($K1860,'Type Chart'!$C$2:$U$20,16,false)</f>
        <v>1</v>
      </c>
      <c r="AJ1860" s="960">
        <f t="array" ref="AJ1860">HLOOKUP($J1860,'Type Chart'!$C$2:$T$20,17,false)*HLOOKUP($K1860,'Type Chart'!$C$2:$U$20,17,false)</f>
        <v>1</v>
      </c>
      <c r="AK1860" s="960">
        <f t="array" ref="AK1860">HLOOKUP($J1860,'Type Chart'!$C$2:$T$20,18,false)*HLOOKUP($K1860,'Type Chart'!$C$2:$U$20,18,false)</f>
        <v>2</v>
      </c>
      <c r="AL1860" s="960">
        <f t="array" ref="AL1860">HLOOKUP($J1860,'Type Chart'!$C$2:$T$20,19,false)*HLOOKUP($K1860,'Type Chart'!$C$2:$U$20,19,false)</f>
        <v>1</v>
      </c>
      <c r="AM1860" s="964" t="s">
        <v>1437</v>
      </c>
      <c r="AN1860" s="965"/>
      <c r="AO1860" s="966"/>
      <c r="AP1860" s="936"/>
      <c r="AQ1860" s="1245"/>
      <c r="AR1860" s="1245"/>
      <c r="AS1860" s="936"/>
    </row>
    <row r="1861" ht="15.75" customHeight="1">
      <c r="A1861" s="1099"/>
      <c r="B1861" s="948" t="s">
        <v>2694</v>
      </c>
      <c r="C1861" s="1197" t="s">
        <v>2695</v>
      </c>
      <c r="D1861" s="1197" t="s">
        <v>2695</v>
      </c>
      <c r="E1861" s="1147" t="s">
        <v>2695</v>
      </c>
      <c r="F1861" s="940"/>
      <c r="G1861" s="953"/>
      <c r="H1861" s="969"/>
      <c r="I1861" s="998" t="s">
        <v>4960</v>
      </c>
      <c r="J1861" s="1196" t="s">
        <v>203</v>
      </c>
      <c r="K1861" s="982" t="s">
        <v>150</v>
      </c>
      <c r="L1861" s="959">
        <v>50.0</v>
      </c>
      <c r="M1861" s="960">
        <v>65.0</v>
      </c>
      <c r="N1861" s="960">
        <v>107.0</v>
      </c>
      <c r="O1861" s="960">
        <v>105.0</v>
      </c>
      <c r="P1861" s="960">
        <v>107.0</v>
      </c>
      <c r="Q1861" s="960">
        <v>86.0</v>
      </c>
      <c r="R1861" s="960">
        <v>208.0</v>
      </c>
      <c r="S1861" s="960">
        <v>271.0</v>
      </c>
      <c r="T1861" s="960">
        <v>298.0</v>
      </c>
      <c r="U1861" s="960">
        <f t="array" ref="U1861">HLOOKUP($J1861,'Type Chart'!$C$2:$T$20,2,false)*HLOOKUP($K1861,'Type Chart'!$C$2:$U$20,2,false)</f>
        <v>1</v>
      </c>
      <c r="V1861" s="960">
        <f t="array" ref="V1861">HLOOKUP($J1861,'Type Chart'!$C$2:$T$20,3,false)*HLOOKUP($K1861,'Type Chart'!$C$2:$U$20,3,false)</f>
        <v>1</v>
      </c>
      <c r="W1861" s="960">
        <f t="array" ref="W1861">HLOOKUP($J1861,'Type Chart'!$C$2:$T$20,4,false)*HLOOKUP($K1861,'Type Chart'!$C$2:$U$20,4,false)</f>
        <v>0.5</v>
      </c>
      <c r="X1861" s="960">
        <f t="array" ref="X1861">HLOOKUP($J1861,'Type Chart'!$C$2:$T$20,5,false)*HLOOKUP($K1861,'Type Chart'!$C$2:$U$20,5,false)</f>
        <v>1</v>
      </c>
      <c r="Y1861" s="960">
        <f t="array" ref="Y1861">HLOOKUP($J1861,'Type Chart'!$C$2:$T$20,6,false)*HLOOKUP($K1861,'Type Chart'!$C$2:$U$20,6,false)</f>
        <v>4</v>
      </c>
      <c r="Z1861" s="960">
        <f t="array" ref="Z1861">HLOOKUP($J1861,'Type Chart'!$C$2:$T$20,7,false)*HLOOKUP($K1861,'Type Chart'!$C$2:$U$20,7,false)</f>
        <v>2</v>
      </c>
      <c r="AA1861" s="960">
        <f t="array" ref="AA1861">HLOOKUP($J1861,'Type Chart'!$C$2:$T$20,8,false)*HLOOKUP($K1861,'Type Chart'!$C$2:$U$20,8,false)</f>
        <v>0.5</v>
      </c>
      <c r="AB1861" s="960">
        <f t="array" ref="AB1861">HLOOKUP($J1861,'Type Chart'!$C$2:$T$20,9,false)*HLOOKUP($K1861,'Type Chart'!$C$2:$U$20,9,false)</f>
        <v>1</v>
      </c>
      <c r="AC1861" s="960">
        <f t="array" ref="AC1861">HLOOKUP($J1861,'Type Chart'!$C$2:$T$20,10,false)*HLOOKUP($K1861,'Type Chart'!$C$2:$U$20,10,false)</f>
        <v>0.25</v>
      </c>
      <c r="AD1861" s="960">
        <f t="array" ref="AD1861">HLOOKUP($J1861,'Type Chart'!$C$2:$T$20,11,false)*HLOOKUP($K1861,'Type Chart'!$C$2:$U$20,11,false)</f>
        <v>0.5</v>
      </c>
      <c r="AE1861" s="960">
        <f t="array" ref="AE1861">HLOOKUP($J1861,'Type Chart'!$C$2:$T$20,12,false)*HLOOKUP($K1861,'Type Chart'!$C$2:$U$20,12,false)</f>
        <v>2</v>
      </c>
      <c r="AF1861" s="960">
        <f t="array" ref="AF1861">HLOOKUP($J1861,'Type Chart'!$C$2:$T$20,13,false)*HLOOKUP($K1861,'Type Chart'!$C$2:$U$20,13,false)</f>
        <v>0.5</v>
      </c>
      <c r="AG1861" s="960">
        <f t="array" ref="AG1861">HLOOKUP($J1861,'Type Chart'!$C$2:$T$20,14,false)*HLOOKUP($K1861,'Type Chart'!$C$2:$U$20,14,false)</f>
        <v>0.5</v>
      </c>
      <c r="AH1861" s="960">
        <f t="array" ref="AH1861">HLOOKUP($J1861,'Type Chart'!$C$2:$T$20,15,false)*HLOOKUP($K1861,'Type Chart'!$C$2:$U$20,15,false)</f>
        <v>1</v>
      </c>
      <c r="AI1861" s="960">
        <f t="array" ref="AI1861">HLOOKUP($J1861,'Type Chart'!$C$2:$T$20,16,false)*HLOOKUP($K1861,'Type Chart'!$C$2:$U$20,16,false)</f>
        <v>0.5</v>
      </c>
      <c r="AJ1861" s="960">
        <f t="array" ref="AJ1861">HLOOKUP($J1861,'Type Chart'!$C$2:$T$20,17,false)*HLOOKUP($K1861,'Type Chart'!$C$2:$U$20,17,false)</f>
        <v>1</v>
      </c>
      <c r="AK1861" s="960">
        <f t="array" ref="AK1861">HLOOKUP($J1861,'Type Chart'!$C$2:$T$20,18,false)*HLOOKUP($K1861,'Type Chart'!$C$2:$U$20,18,false)</f>
        <v>1</v>
      </c>
      <c r="AL1861" s="960">
        <f t="array" ref="AL1861">HLOOKUP($J1861,'Type Chart'!$C$2:$T$20,19,false)*HLOOKUP($K1861,'Type Chart'!$C$2:$U$20,19,false)</f>
        <v>0.5</v>
      </c>
      <c r="AM1861" s="964" t="s">
        <v>1437</v>
      </c>
      <c r="AN1861" s="965"/>
      <c r="AO1861" s="966"/>
      <c r="AP1861" s="936"/>
      <c r="AQ1861" s="1245"/>
      <c r="AR1861" s="1245"/>
      <c r="AS1861" s="936"/>
    </row>
    <row r="1862" ht="15.75" customHeight="1">
      <c r="A1862" s="1099"/>
      <c r="B1862" s="948" t="s">
        <v>2696</v>
      </c>
      <c r="C1862" s="1197" t="s">
        <v>2697</v>
      </c>
      <c r="D1862" s="1197" t="s">
        <v>2697</v>
      </c>
      <c r="E1862" s="1147" t="s">
        <v>2697</v>
      </c>
      <c r="F1862" s="940"/>
      <c r="G1862" s="953"/>
      <c r="H1862" s="969"/>
      <c r="I1862" s="998" t="s">
        <v>4961</v>
      </c>
      <c r="J1862" s="1196" t="s">
        <v>203</v>
      </c>
      <c r="K1862" s="1056" t="s">
        <v>81</v>
      </c>
      <c r="L1862" s="959">
        <v>50.0</v>
      </c>
      <c r="M1862" s="960">
        <v>65.0</v>
      </c>
      <c r="N1862" s="960">
        <v>107.0</v>
      </c>
      <c r="O1862" s="960">
        <v>105.0</v>
      </c>
      <c r="P1862" s="960">
        <v>107.0</v>
      </c>
      <c r="Q1862" s="960">
        <v>86.0</v>
      </c>
      <c r="R1862" s="960">
        <v>208.0</v>
      </c>
      <c r="S1862" s="960">
        <v>271.0</v>
      </c>
      <c r="T1862" s="960">
        <v>298.0</v>
      </c>
      <c r="U1862" s="960">
        <f t="array" ref="U1862">HLOOKUP($J1862,'Type Chart'!$C$2:$T$20,2,false)*HLOOKUP($K1862,'Type Chart'!$C$2:$U$20,2,false)</f>
        <v>1</v>
      </c>
      <c r="V1862" s="960">
        <f t="array" ref="V1862">HLOOKUP($J1862,'Type Chart'!$C$2:$T$20,3,false)*HLOOKUP($K1862,'Type Chart'!$C$2:$U$20,3,false)</f>
        <v>1</v>
      </c>
      <c r="W1862" s="960">
        <f t="array" ref="W1862">HLOOKUP($J1862,'Type Chart'!$C$2:$T$20,4,false)*HLOOKUP($K1862,'Type Chart'!$C$2:$U$20,4,false)</f>
        <v>0.5</v>
      </c>
      <c r="X1862" s="960">
        <f t="array" ref="X1862">HLOOKUP($J1862,'Type Chart'!$C$2:$T$20,5,false)*HLOOKUP($K1862,'Type Chart'!$C$2:$U$20,5,false)</f>
        <v>1</v>
      </c>
      <c r="Y1862" s="960">
        <f t="array" ref="Y1862">HLOOKUP($J1862,'Type Chart'!$C$2:$T$20,6,false)*HLOOKUP($K1862,'Type Chart'!$C$2:$U$20,6,false)</f>
        <v>2</v>
      </c>
      <c r="Z1862" s="960">
        <f t="array" ref="Z1862">HLOOKUP($J1862,'Type Chart'!$C$2:$T$20,7,false)*HLOOKUP($K1862,'Type Chart'!$C$2:$U$20,7,false)</f>
        <v>1</v>
      </c>
      <c r="AA1862" s="960">
        <f t="array" ref="AA1862">HLOOKUP($J1862,'Type Chart'!$C$2:$T$20,8,false)*HLOOKUP($K1862,'Type Chart'!$C$2:$U$20,8,false)</f>
        <v>1</v>
      </c>
      <c r="AB1862" s="960">
        <f t="array" ref="AB1862">HLOOKUP($J1862,'Type Chart'!$C$2:$T$20,9,false)*HLOOKUP($K1862,'Type Chart'!$C$2:$U$20,9,false)</f>
        <v>1</v>
      </c>
      <c r="AC1862" s="960">
        <f t="array" ref="AC1862">HLOOKUP($J1862,'Type Chart'!$C$2:$T$20,10,false)*HLOOKUP($K1862,'Type Chart'!$C$2:$U$20,10,false)</f>
        <v>0.25</v>
      </c>
      <c r="AD1862" s="960">
        <f t="array" ref="AD1862">HLOOKUP($J1862,'Type Chart'!$C$2:$T$20,11,false)*HLOOKUP($K1862,'Type Chart'!$C$2:$U$20,11,false)</f>
        <v>0.5</v>
      </c>
      <c r="AE1862" s="960">
        <f t="array" ref="AE1862">HLOOKUP($J1862,'Type Chart'!$C$2:$T$20,12,false)*HLOOKUP($K1862,'Type Chart'!$C$2:$U$20,12,false)</f>
        <v>0.5</v>
      </c>
      <c r="AF1862" s="960">
        <f t="array" ref="AF1862">HLOOKUP($J1862,'Type Chart'!$C$2:$T$20,13,false)*HLOOKUP($K1862,'Type Chart'!$C$2:$U$20,13,false)</f>
        <v>2</v>
      </c>
      <c r="AG1862" s="960">
        <f t="array" ref="AG1862">HLOOKUP($J1862,'Type Chart'!$C$2:$T$20,14,false)*HLOOKUP($K1862,'Type Chart'!$C$2:$U$20,14,false)</f>
        <v>1</v>
      </c>
      <c r="AH1862" s="960">
        <f t="array" ref="AH1862">HLOOKUP($J1862,'Type Chart'!$C$2:$T$20,15,false)*HLOOKUP($K1862,'Type Chart'!$C$2:$U$20,15,false)</f>
        <v>1</v>
      </c>
      <c r="AI1862" s="960">
        <f t="array" ref="AI1862">HLOOKUP($J1862,'Type Chart'!$C$2:$T$20,16,false)*HLOOKUP($K1862,'Type Chart'!$C$2:$U$20,16,false)</f>
        <v>0.5</v>
      </c>
      <c r="AJ1862" s="960">
        <f t="array" ref="AJ1862">HLOOKUP($J1862,'Type Chart'!$C$2:$T$20,17,false)*HLOOKUP($K1862,'Type Chart'!$C$2:$U$20,17,false)</f>
        <v>1</v>
      </c>
      <c r="AK1862" s="960">
        <f t="array" ref="AK1862">HLOOKUP($J1862,'Type Chart'!$C$2:$T$20,18,false)*HLOOKUP($K1862,'Type Chart'!$C$2:$U$20,18,false)</f>
        <v>1</v>
      </c>
      <c r="AL1862" s="960">
        <f t="array" ref="AL1862">HLOOKUP($J1862,'Type Chart'!$C$2:$T$20,19,false)*HLOOKUP($K1862,'Type Chart'!$C$2:$U$20,19,false)</f>
        <v>1</v>
      </c>
      <c r="AM1862" s="964" t="s">
        <v>1437</v>
      </c>
      <c r="AN1862" s="965"/>
      <c r="AO1862" s="966"/>
      <c r="AP1862" s="936"/>
      <c r="AQ1862" s="1245"/>
      <c r="AR1862" s="1245"/>
      <c r="AS1862" s="936"/>
    </row>
    <row r="1863" ht="15.75" customHeight="1">
      <c r="A1863" s="1099"/>
      <c r="B1863" s="948" t="s">
        <v>2698</v>
      </c>
      <c r="C1863" s="1197" t="s">
        <v>2699</v>
      </c>
      <c r="D1863" s="1197" t="s">
        <v>2699</v>
      </c>
      <c r="E1863" s="1147" t="s">
        <v>2699</v>
      </c>
      <c r="F1863" s="940"/>
      <c r="G1863" s="953"/>
      <c r="H1863" s="969"/>
      <c r="I1863" s="998" t="s">
        <v>4962</v>
      </c>
      <c r="J1863" s="1196" t="s">
        <v>203</v>
      </c>
      <c r="K1863" s="1205" t="s">
        <v>345</v>
      </c>
      <c r="L1863" s="959">
        <v>50.0</v>
      </c>
      <c r="M1863" s="960">
        <v>65.0</v>
      </c>
      <c r="N1863" s="960">
        <v>107.0</v>
      </c>
      <c r="O1863" s="960">
        <v>105.0</v>
      </c>
      <c r="P1863" s="960">
        <v>107.0</v>
      </c>
      <c r="Q1863" s="960">
        <v>86.0</v>
      </c>
      <c r="R1863" s="960">
        <v>208.0</v>
      </c>
      <c r="S1863" s="960">
        <v>271.0</v>
      </c>
      <c r="T1863" s="960">
        <v>298.0</v>
      </c>
      <c r="U1863" s="960">
        <f t="array" ref="U1863">HLOOKUP($J1863,'Type Chart'!$C$2:$T$20,2,false)*HLOOKUP($K1863,'Type Chart'!$C$2:$U$20,2,false)</f>
        <v>1</v>
      </c>
      <c r="V1863" s="960">
        <f t="array" ref="V1863">HLOOKUP($J1863,'Type Chart'!$C$2:$T$20,3,false)*HLOOKUP($K1863,'Type Chart'!$C$2:$U$20,3,false)</f>
        <v>2</v>
      </c>
      <c r="W1863" s="960">
        <f t="array" ref="W1863">HLOOKUP($J1863,'Type Chart'!$C$2:$T$20,4,false)*HLOOKUP($K1863,'Type Chart'!$C$2:$U$20,4,false)</f>
        <v>0.5</v>
      </c>
      <c r="X1863" s="960">
        <f t="array" ref="X1863">HLOOKUP($J1863,'Type Chart'!$C$2:$T$20,5,false)*HLOOKUP($K1863,'Type Chart'!$C$2:$U$20,5,false)</f>
        <v>1</v>
      </c>
      <c r="Y1863" s="960">
        <f t="array" ref="Y1863">HLOOKUP($J1863,'Type Chart'!$C$2:$T$20,6,false)*HLOOKUP($K1863,'Type Chart'!$C$2:$U$20,6,false)</f>
        <v>2</v>
      </c>
      <c r="Z1863" s="960">
        <f t="array" ref="Z1863">HLOOKUP($J1863,'Type Chart'!$C$2:$T$20,7,false)*HLOOKUP($K1863,'Type Chart'!$C$2:$U$20,7,false)</f>
        <v>2</v>
      </c>
      <c r="AA1863" s="960">
        <f t="array" ref="AA1863">HLOOKUP($J1863,'Type Chart'!$C$2:$T$20,8,false)*HLOOKUP($K1863,'Type Chart'!$C$2:$U$20,8,false)</f>
        <v>1</v>
      </c>
      <c r="AB1863" s="960">
        <f t="array" ref="AB1863">HLOOKUP($J1863,'Type Chart'!$C$2:$T$20,9,false)*HLOOKUP($K1863,'Type Chart'!$C$2:$U$20,9,false)</f>
        <v>1</v>
      </c>
      <c r="AC1863" s="960">
        <f t="array" ref="AC1863">HLOOKUP($J1863,'Type Chart'!$C$2:$T$20,10,false)*HLOOKUP($K1863,'Type Chart'!$C$2:$U$20,10,false)</f>
        <v>1</v>
      </c>
      <c r="AD1863" s="960">
        <f t="array" ref="AD1863">HLOOKUP($J1863,'Type Chart'!$C$2:$T$20,11,false)*HLOOKUP($K1863,'Type Chart'!$C$2:$U$20,11,false)</f>
        <v>2</v>
      </c>
      <c r="AE1863" s="960">
        <f t="array" ref="AE1863">HLOOKUP($J1863,'Type Chart'!$C$2:$T$20,12,false)*HLOOKUP($K1863,'Type Chart'!$C$2:$U$20,12,false)</f>
        <v>1</v>
      </c>
      <c r="AF1863" s="960">
        <f t="array" ref="AF1863">HLOOKUP($J1863,'Type Chart'!$C$2:$T$20,13,false)*HLOOKUP($K1863,'Type Chart'!$C$2:$U$20,13,false)</f>
        <v>1</v>
      </c>
      <c r="AG1863" s="960">
        <f t="array" ref="AG1863">HLOOKUP($J1863,'Type Chart'!$C$2:$T$20,14,false)*HLOOKUP($K1863,'Type Chart'!$C$2:$U$20,14,false)</f>
        <v>0.5</v>
      </c>
      <c r="AH1863" s="960">
        <f t="array" ref="AH1863">HLOOKUP($J1863,'Type Chart'!$C$2:$T$20,15,false)*HLOOKUP($K1863,'Type Chart'!$C$2:$U$20,15,false)</f>
        <v>1</v>
      </c>
      <c r="AI1863" s="960">
        <f t="array" ref="AI1863">HLOOKUP($J1863,'Type Chart'!$C$2:$T$20,16,false)*HLOOKUP($K1863,'Type Chart'!$C$2:$U$20,16,false)</f>
        <v>0.5</v>
      </c>
      <c r="AJ1863" s="960">
        <f t="array" ref="AJ1863">HLOOKUP($J1863,'Type Chart'!$C$2:$T$20,17,false)*HLOOKUP($K1863,'Type Chart'!$C$2:$U$20,17,false)</f>
        <v>1</v>
      </c>
      <c r="AK1863" s="960">
        <f t="array" ref="AK1863">HLOOKUP($J1863,'Type Chart'!$C$2:$T$20,18,false)*HLOOKUP($K1863,'Type Chart'!$C$2:$U$20,18,false)</f>
        <v>1</v>
      </c>
      <c r="AL1863" s="960">
        <f t="array" ref="AL1863">HLOOKUP($J1863,'Type Chart'!$C$2:$T$20,19,false)*HLOOKUP($K1863,'Type Chart'!$C$2:$U$20,19,false)</f>
        <v>1</v>
      </c>
      <c r="AM1863" s="964" t="s">
        <v>1437</v>
      </c>
      <c r="AN1863" s="965"/>
      <c r="AO1863" s="966"/>
      <c r="AP1863" s="936"/>
      <c r="AQ1863" s="1245"/>
      <c r="AR1863" s="1245"/>
      <c r="AS1863" s="936"/>
    </row>
    <row r="1864" ht="15.75" customHeight="1">
      <c r="A1864" s="1099"/>
      <c r="B1864" s="948" t="s">
        <v>2700</v>
      </c>
      <c r="C1864" s="1197" t="s">
        <v>2701</v>
      </c>
      <c r="D1864" s="1197" t="s">
        <v>2701</v>
      </c>
      <c r="E1864" s="1147" t="s">
        <v>2701</v>
      </c>
      <c r="F1864" s="940"/>
      <c r="G1864" s="953"/>
      <c r="H1864" s="969"/>
      <c r="I1864" s="998" t="s">
        <v>4963</v>
      </c>
      <c r="J1864" s="1196" t="s">
        <v>203</v>
      </c>
      <c r="K1864" s="1001" t="s">
        <v>128</v>
      </c>
      <c r="L1864" s="959">
        <v>50.0</v>
      </c>
      <c r="M1864" s="960">
        <v>65.0</v>
      </c>
      <c r="N1864" s="960">
        <v>107.0</v>
      </c>
      <c r="O1864" s="960">
        <v>105.0</v>
      </c>
      <c r="P1864" s="960">
        <v>107.0</v>
      </c>
      <c r="Q1864" s="960">
        <v>86.0</v>
      </c>
      <c r="R1864" s="960">
        <v>208.0</v>
      </c>
      <c r="S1864" s="960">
        <v>271.0</v>
      </c>
      <c r="T1864" s="960">
        <v>298.0</v>
      </c>
      <c r="U1864" s="960">
        <f t="array" ref="U1864">HLOOKUP($J1864,'Type Chart'!$C$2:$T$20,2,false)*HLOOKUP($K1864,'Type Chart'!$C$2:$U$20,2,false)</f>
        <v>1</v>
      </c>
      <c r="V1864" s="960">
        <f t="array" ref="V1864">HLOOKUP($J1864,'Type Chart'!$C$2:$T$20,3,false)*HLOOKUP($K1864,'Type Chart'!$C$2:$U$20,3,false)</f>
        <v>0.5</v>
      </c>
      <c r="W1864" s="960">
        <f t="array" ref="W1864">HLOOKUP($J1864,'Type Chart'!$C$2:$T$20,4,false)*HLOOKUP($K1864,'Type Chart'!$C$2:$U$20,4,false)</f>
        <v>0.5</v>
      </c>
      <c r="X1864" s="960">
        <f t="array" ref="X1864">HLOOKUP($J1864,'Type Chart'!$C$2:$T$20,5,false)*HLOOKUP($K1864,'Type Chart'!$C$2:$U$20,5,false)</f>
        <v>1</v>
      </c>
      <c r="Y1864" s="960">
        <f t="array" ref="Y1864">HLOOKUP($J1864,'Type Chart'!$C$2:$T$20,6,false)*HLOOKUP($K1864,'Type Chart'!$C$2:$U$20,6,false)</f>
        <v>0</v>
      </c>
      <c r="Z1864" s="960">
        <f t="array" ref="Z1864">HLOOKUP($J1864,'Type Chart'!$C$2:$T$20,7,false)*HLOOKUP($K1864,'Type Chart'!$C$2:$U$20,7,false)</f>
        <v>2</v>
      </c>
      <c r="AA1864" s="960">
        <f t="array" ref="AA1864">HLOOKUP($J1864,'Type Chart'!$C$2:$T$20,8,false)*HLOOKUP($K1864,'Type Chart'!$C$2:$U$20,8,false)</f>
        <v>0.5</v>
      </c>
      <c r="AB1864" s="960">
        <f t="array" ref="AB1864">HLOOKUP($J1864,'Type Chart'!$C$2:$T$20,9,false)*HLOOKUP($K1864,'Type Chart'!$C$2:$U$20,9,false)</f>
        <v>1</v>
      </c>
      <c r="AC1864" s="960">
        <f t="array" ref="AC1864">HLOOKUP($J1864,'Type Chart'!$C$2:$T$20,10,false)*HLOOKUP($K1864,'Type Chart'!$C$2:$U$20,10,false)</f>
        <v>0.5</v>
      </c>
      <c r="AD1864" s="960">
        <f t="array" ref="AD1864">HLOOKUP($J1864,'Type Chart'!$C$2:$T$20,11,false)*HLOOKUP($K1864,'Type Chart'!$C$2:$U$20,11,false)</f>
        <v>1</v>
      </c>
      <c r="AE1864" s="960">
        <f t="array" ref="AE1864">HLOOKUP($J1864,'Type Chart'!$C$2:$T$20,12,false)*HLOOKUP($K1864,'Type Chart'!$C$2:$U$20,12,false)</f>
        <v>1</v>
      </c>
      <c r="AF1864" s="960">
        <f t="array" ref="AF1864">HLOOKUP($J1864,'Type Chart'!$C$2:$T$20,13,false)*HLOOKUP($K1864,'Type Chart'!$C$2:$U$20,13,false)</f>
        <v>0.5</v>
      </c>
      <c r="AG1864" s="960">
        <f t="array" ref="AG1864">HLOOKUP($J1864,'Type Chart'!$C$2:$T$20,14,false)*HLOOKUP($K1864,'Type Chart'!$C$2:$U$20,14,false)</f>
        <v>1</v>
      </c>
      <c r="AH1864" s="960">
        <f t="array" ref="AH1864">HLOOKUP($J1864,'Type Chart'!$C$2:$T$20,15,false)*HLOOKUP($K1864,'Type Chart'!$C$2:$U$20,15,false)</f>
        <v>1</v>
      </c>
      <c r="AI1864" s="960">
        <f t="array" ref="AI1864">HLOOKUP($J1864,'Type Chart'!$C$2:$T$20,16,false)*HLOOKUP($K1864,'Type Chart'!$C$2:$U$20,16,false)</f>
        <v>2</v>
      </c>
      <c r="AJ1864" s="960">
        <f t="array" ref="AJ1864">HLOOKUP($J1864,'Type Chart'!$C$2:$T$20,17,false)*HLOOKUP($K1864,'Type Chart'!$C$2:$U$20,17,false)</f>
        <v>1</v>
      </c>
      <c r="AK1864" s="960">
        <f t="array" ref="AK1864">HLOOKUP($J1864,'Type Chart'!$C$2:$T$20,18,false)*HLOOKUP($K1864,'Type Chart'!$C$2:$U$20,18,false)</f>
        <v>1</v>
      </c>
      <c r="AL1864" s="960">
        <f t="array" ref="AL1864">HLOOKUP($J1864,'Type Chart'!$C$2:$T$20,19,false)*HLOOKUP($K1864,'Type Chart'!$C$2:$U$20,19,false)</f>
        <v>1</v>
      </c>
      <c r="AM1864" s="964" t="s">
        <v>1437</v>
      </c>
      <c r="AN1864" s="965"/>
      <c r="AO1864" s="966"/>
      <c r="AP1864" s="936"/>
      <c r="AQ1864" s="1245"/>
      <c r="AR1864" s="1245"/>
      <c r="AS1864" s="936"/>
    </row>
    <row r="1865" ht="15.75" customHeight="1">
      <c r="A1865" s="1099"/>
      <c r="B1865" s="948" t="s">
        <v>2702</v>
      </c>
      <c r="C1865" s="1197" t="s">
        <v>2703</v>
      </c>
      <c r="D1865" s="1197" t="s">
        <v>2703</v>
      </c>
      <c r="E1865" s="1147" t="s">
        <v>2703</v>
      </c>
      <c r="F1865" s="940"/>
      <c r="G1865" s="953"/>
      <c r="H1865" s="969"/>
      <c r="I1865" s="998" t="s">
        <v>4964</v>
      </c>
      <c r="J1865" s="1196" t="s">
        <v>203</v>
      </c>
      <c r="K1865" s="957" t="s">
        <v>209</v>
      </c>
      <c r="L1865" s="959">
        <v>50.0</v>
      </c>
      <c r="M1865" s="960">
        <v>65.0</v>
      </c>
      <c r="N1865" s="960">
        <v>107.0</v>
      </c>
      <c r="O1865" s="960">
        <v>105.0</v>
      </c>
      <c r="P1865" s="960">
        <v>107.0</v>
      </c>
      <c r="Q1865" s="960">
        <v>86.0</v>
      </c>
      <c r="R1865" s="960">
        <v>208.0</v>
      </c>
      <c r="S1865" s="960">
        <v>271.0</v>
      </c>
      <c r="T1865" s="960">
        <v>298.0</v>
      </c>
      <c r="U1865" s="960">
        <f t="array" ref="U1865">HLOOKUP($J1865,'Type Chart'!$C$2:$T$20,2,false)*HLOOKUP($K1865,'Type Chart'!$C$2:$U$20,2,false)</f>
        <v>1</v>
      </c>
      <c r="V1865" s="960">
        <f t="array" ref="V1865">HLOOKUP($J1865,'Type Chart'!$C$2:$T$20,3,false)*HLOOKUP($K1865,'Type Chart'!$C$2:$U$20,3,false)</f>
        <v>1</v>
      </c>
      <c r="W1865" s="960">
        <f t="array" ref="W1865">HLOOKUP($J1865,'Type Chart'!$C$2:$T$20,4,false)*HLOOKUP($K1865,'Type Chart'!$C$2:$U$20,4,false)</f>
        <v>1</v>
      </c>
      <c r="X1865" s="960">
        <f t="array" ref="X1865">HLOOKUP($J1865,'Type Chart'!$C$2:$T$20,5,false)*HLOOKUP($K1865,'Type Chart'!$C$2:$U$20,5,false)</f>
        <v>2</v>
      </c>
      <c r="Y1865" s="960">
        <f t="array" ref="Y1865">HLOOKUP($J1865,'Type Chart'!$C$2:$T$20,6,false)*HLOOKUP($K1865,'Type Chart'!$C$2:$U$20,6,false)</f>
        <v>1</v>
      </c>
      <c r="Z1865" s="960">
        <f t="array" ref="Z1865">HLOOKUP($J1865,'Type Chart'!$C$2:$T$20,7,false)*HLOOKUP($K1865,'Type Chart'!$C$2:$U$20,7,false)</f>
        <v>1</v>
      </c>
      <c r="AA1865" s="960">
        <f t="array" ref="AA1865">HLOOKUP($J1865,'Type Chart'!$C$2:$T$20,8,false)*HLOOKUP($K1865,'Type Chart'!$C$2:$U$20,8,false)</f>
        <v>2</v>
      </c>
      <c r="AB1865" s="960">
        <f t="array" ref="AB1865">HLOOKUP($J1865,'Type Chart'!$C$2:$T$20,9,false)*HLOOKUP($K1865,'Type Chart'!$C$2:$U$20,9,false)</f>
        <v>1</v>
      </c>
      <c r="AC1865" s="960">
        <f t="array" ref="AC1865">HLOOKUP($J1865,'Type Chart'!$C$2:$T$20,10,false)*HLOOKUP($K1865,'Type Chart'!$C$2:$U$20,10,false)</f>
        <v>0.5</v>
      </c>
      <c r="AD1865" s="960">
        <f t="array" ref="AD1865">HLOOKUP($J1865,'Type Chart'!$C$2:$T$20,11,false)*HLOOKUP($K1865,'Type Chart'!$C$2:$U$20,11,false)</f>
        <v>2</v>
      </c>
      <c r="AE1865" s="960">
        <f t="array" ref="AE1865">HLOOKUP($J1865,'Type Chart'!$C$2:$T$20,12,false)*HLOOKUP($K1865,'Type Chart'!$C$2:$U$20,12,false)</f>
        <v>0.5</v>
      </c>
      <c r="AF1865" s="960">
        <f t="array" ref="AF1865">HLOOKUP($J1865,'Type Chart'!$C$2:$T$20,13,false)*HLOOKUP($K1865,'Type Chart'!$C$2:$U$20,13,false)</f>
        <v>0.5</v>
      </c>
      <c r="AG1865" s="960">
        <f t="array" ref="AG1865">HLOOKUP($J1865,'Type Chart'!$C$2:$T$20,14,false)*HLOOKUP($K1865,'Type Chart'!$C$2:$U$20,14,false)</f>
        <v>0.25</v>
      </c>
      <c r="AH1865" s="960">
        <f t="array" ref="AH1865">HLOOKUP($J1865,'Type Chart'!$C$2:$T$20,15,false)*HLOOKUP($K1865,'Type Chart'!$C$2:$U$20,15,false)</f>
        <v>1</v>
      </c>
      <c r="AI1865" s="960">
        <f t="array" ref="AI1865">HLOOKUP($J1865,'Type Chart'!$C$2:$T$20,16,false)*HLOOKUP($K1865,'Type Chart'!$C$2:$U$20,16,false)</f>
        <v>2</v>
      </c>
      <c r="AJ1865" s="960">
        <f t="array" ref="AJ1865">HLOOKUP($J1865,'Type Chart'!$C$2:$T$20,17,false)*HLOOKUP($K1865,'Type Chart'!$C$2:$U$20,17,false)</f>
        <v>1</v>
      </c>
      <c r="AK1865" s="960">
        <f t="array" ref="AK1865">HLOOKUP($J1865,'Type Chart'!$C$2:$T$20,18,false)*HLOOKUP($K1865,'Type Chart'!$C$2:$U$20,18,false)</f>
        <v>1</v>
      </c>
      <c r="AL1865" s="960">
        <f t="array" ref="AL1865">HLOOKUP($J1865,'Type Chart'!$C$2:$T$20,19,false)*HLOOKUP($K1865,'Type Chart'!$C$2:$U$20,19,false)</f>
        <v>1</v>
      </c>
      <c r="AM1865" s="964" t="s">
        <v>1437</v>
      </c>
      <c r="AN1865" s="965"/>
      <c r="AO1865" s="966"/>
      <c r="AP1865" s="936"/>
      <c r="AQ1865" s="1245"/>
      <c r="AR1865" s="1245"/>
      <c r="AS1865" s="936"/>
    </row>
    <row r="1866" ht="15.75" customHeight="1">
      <c r="A1866" s="1099"/>
      <c r="B1866" s="948" t="s">
        <v>2704</v>
      </c>
      <c r="C1866" s="1197" t="s">
        <v>2705</v>
      </c>
      <c r="D1866" s="1197" t="s">
        <v>2705</v>
      </c>
      <c r="E1866" s="1147" t="s">
        <v>2705</v>
      </c>
      <c r="F1866" s="940"/>
      <c r="G1866" s="953"/>
      <c r="H1866" s="969"/>
      <c r="I1866" s="998" t="s">
        <v>4965</v>
      </c>
      <c r="J1866" s="1203" t="s">
        <v>344</v>
      </c>
      <c r="K1866" s="984" t="s">
        <v>216</v>
      </c>
      <c r="L1866" s="959">
        <v>75.0</v>
      </c>
      <c r="M1866" s="960">
        <v>75.0</v>
      </c>
      <c r="N1866" s="960">
        <v>130.0</v>
      </c>
      <c r="O1866" s="960">
        <v>75.0</v>
      </c>
      <c r="P1866" s="960">
        <v>130.0</v>
      </c>
      <c r="Q1866" s="960">
        <v>95.0</v>
      </c>
      <c r="R1866" s="960">
        <v>226.0</v>
      </c>
      <c r="S1866" s="960">
        <v>289.0</v>
      </c>
      <c r="T1866" s="960">
        <v>317.0</v>
      </c>
      <c r="U1866" s="960">
        <f t="array" ref="U1866">HLOOKUP($J1866,'Type Chart'!$C$2:$T$20,2,false)*HLOOKUP($K1866,'Type Chart'!$C$2:$U$20,2,false)</f>
        <v>1</v>
      </c>
      <c r="V1866" s="960">
        <f t="array" ref="V1866">HLOOKUP($J1866,'Type Chart'!$C$2:$T$20,3,false)*HLOOKUP($K1866,'Type Chart'!$C$2:$U$20,3,false)</f>
        <v>0.5</v>
      </c>
      <c r="W1866" s="960">
        <f t="array" ref="W1866">HLOOKUP($J1866,'Type Chart'!$C$2:$T$20,4,false)*HLOOKUP($K1866,'Type Chart'!$C$2:$U$20,4,false)</f>
        <v>1</v>
      </c>
      <c r="X1866" s="960">
        <f t="array" ref="X1866">HLOOKUP($J1866,'Type Chart'!$C$2:$T$20,5,false)*HLOOKUP($K1866,'Type Chart'!$C$2:$U$20,5,false)</f>
        <v>1</v>
      </c>
      <c r="Y1866" s="960">
        <f t="array" ref="Y1866">HLOOKUP($J1866,'Type Chart'!$C$2:$T$20,6,false)*HLOOKUP($K1866,'Type Chart'!$C$2:$U$20,6,false)</f>
        <v>1</v>
      </c>
      <c r="Z1866" s="960">
        <f t="array" ref="Z1866">HLOOKUP($J1866,'Type Chart'!$C$2:$T$20,7,false)*HLOOKUP($K1866,'Type Chart'!$C$2:$U$20,7,false)</f>
        <v>1</v>
      </c>
      <c r="AA1866" s="960">
        <f t="array" ref="AA1866">HLOOKUP($J1866,'Type Chart'!$C$2:$T$20,8,false)*HLOOKUP($K1866,'Type Chart'!$C$2:$U$20,8,false)</f>
        <v>2</v>
      </c>
      <c r="AB1866" s="960">
        <f t="array" ref="AB1866">HLOOKUP($J1866,'Type Chart'!$C$2:$T$20,9,false)*HLOOKUP($K1866,'Type Chart'!$C$2:$U$20,9,false)</f>
        <v>2</v>
      </c>
      <c r="AC1866" s="960">
        <f t="array" ref="AC1866">HLOOKUP($J1866,'Type Chart'!$C$2:$T$20,10,false)*HLOOKUP($K1866,'Type Chart'!$C$2:$U$20,10,false)</f>
        <v>1</v>
      </c>
      <c r="AD1866" s="960">
        <f t="array" ref="AD1866">HLOOKUP($J1866,'Type Chart'!$C$2:$T$20,11,false)*HLOOKUP($K1866,'Type Chart'!$C$2:$U$20,11,false)</f>
        <v>1</v>
      </c>
      <c r="AE1866" s="960">
        <f t="array" ref="AE1866">HLOOKUP($J1866,'Type Chart'!$C$2:$T$20,12,false)*HLOOKUP($K1866,'Type Chart'!$C$2:$U$20,12,false)</f>
        <v>1</v>
      </c>
      <c r="AF1866" s="960">
        <f t="array" ref="AF1866">HLOOKUP($J1866,'Type Chart'!$C$2:$T$20,13,false)*HLOOKUP($K1866,'Type Chart'!$C$2:$U$20,13,false)</f>
        <v>1</v>
      </c>
      <c r="AG1866" s="960">
        <f t="array" ref="AG1866">HLOOKUP($J1866,'Type Chart'!$C$2:$T$20,14,false)*HLOOKUP($K1866,'Type Chart'!$C$2:$U$20,14,false)</f>
        <v>1</v>
      </c>
      <c r="AH1866" s="960">
        <f t="array" ref="AH1866">HLOOKUP($J1866,'Type Chart'!$C$2:$T$20,15,false)*HLOOKUP($K1866,'Type Chart'!$C$2:$U$20,15,false)</f>
        <v>0.5</v>
      </c>
      <c r="AI1866" s="960">
        <f t="array" ref="AI1866">HLOOKUP($J1866,'Type Chart'!$C$2:$T$20,16,false)*HLOOKUP($K1866,'Type Chart'!$C$2:$U$20,16,false)</f>
        <v>1</v>
      </c>
      <c r="AJ1866" s="960">
        <f t="array" ref="AJ1866">HLOOKUP($J1866,'Type Chart'!$C$2:$T$20,17,false)*HLOOKUP($K1866,'Type Chart'!$C$2:$U$20,17,false)</f>
        <v>1</v>
      </c>
      <c r="AK1866" s="960">
        <f t="array" ref="AK1866">HLOOKUP($J1866,'Type Chart'!$C$2:$T$20,18,false)*HLOOKUP($K1866,'Type Chart'!$C$2:$U$20,18,false)</f>
        <v>2</v>
      </c>
      <c r="AL1866" s="960">
        <f t="array" ref="AL1866">HLOOKUP($J1866,'Type Chart'!$C$2:$T$20,19,false)*HLOOKUP($K1866,'Type Chart'!$C$2:$U$20,19,false)</f>
        <v>1</v>
      </c>
      <c r="AM1866" s="964" t="s">
        <v>1437</v>
      </c>
      <c r="AN1866" s="965"/>
      <c r="AO1866" s="966"/>
      <c r="AP1866" s="936"/>
      <c r="AQ1866" s="1245"/>
      <c r="AR1866" s="1245"/>
      <c r="AS1866" s="936"/>
    </row>
    <row r="1867" ht="15.75" customHeight="1">
      <c r="A1867" s="1099"/>
      <c r="B1867" s="948" t="s">
        <v>2706</v>
      </c>
      <c r="C1867" s="1197" t="s">
        <v>2707</v>
      </c>
      <c r="D1867" s="1197" t="s">
        <v>2707</v>
      </c>
      <c r="E1867" s="1147" t="s">
        <v>2707</v>
      </c>
      <c r="F1867" s="940"/>
      <c r="G1867" s="953"/>
      <c r="H1867" s="969"/>
      <c r="I1867" s="998" t="s">
        <v>4966</v>
      </c>
      <c r="J1867" s="1203" t="s">
        <v>344</v>
      </c>
      <c r="K1867" s="984" t="s">
        <v>216</v>
      </c>
      <c r="L1867" s="959">
        <v>80.0</v>
      </c>
      <c r="M1867" s="960">
        <v>105.0</v>
      </c>
      <c r="N1867" s="960">
        <v>105.0</v>
      </c>
      <c r="O1867" s="960">
        <v>105.0</v>
      </c>
      <c r="P1867" s="960">
        <v>105.0</v>
      </c>
      <c r="Q1867" s="960">
        <v>80.0</v>
      </c>
      <c r="R1867" s="960">
        <v>196.0</v>
      </c>
      <c r="S1867" s="960">
        <v>259.0</v>
      </c>
      <c r="T1867" s="960">
        <v>284.0</v>
      </c>
      <c r="U1867" s="960">
        <f t="array" ref="U1867">HLOOKUP($J1867,'Type Chart'!$C$2:$T$20,2,false)*HLOOKUP($K1867,'Type Chart'!$C$2:$U$20,2,false)</f>
        <v>1</v>
      </c>
      <c r="V1867" s="960">
        <f t="array" ref="V1867">HLOOKUP($J1867,'Type Chart'!$C$2:$T$20,3,false)*HLOOKUP($K1867,'Type Chart'!$C$2:$U$20,3,false)</f>
        <v>0.5</v>
      </c>
      <c r="W1867" s="960">
        <f t="array" ref="W1867">HLOOKUP($J1867,'Type Chart'!$C$2:$T$20,4,false)*HLOOKUP($K1867,'Type Chart'!$C$2:$U$20,4,false)</f>
        <v>1</v>
      </c>
      <c r="X1867" s="960">
        <f t="array" ref="X1867">HLOOKUP($J1867,'Type Chart'!$C$2:$T$20,5,false)*HLOOKUP($K1867,'Type Chart'!$C$2:$U$20,5,false)</f>
        <v>1</v>
      </c>
      <c r="Y1867" s="960">
        <f t="array" ref="Y1867">HLOOKUP($J1867,'Type Chart'!$C$2:$T$20,6,false)*HLOOKUP($K1867,'Type Chart'!$C$2:$U$20,6,false)</f>
        <v>1</v>
      </c>
      <c r="Z1867" s="960">
        <f t="array" ref="Z1867">HLOOKUP($J1867,'Type Chart'!$C$2:$T$20,7,false)*HLOOKUP($K1867,'Type Chart'!$C$2:$U$20,7,false)</f>
        <v>1</v>
      </c>
      <c r="AA1867" s="960">
        <f t="array" ref="AA1867">HLOOKUP($J1867,'Type Chart'!$C$2:$T$20,8,false)*HLOOKUP($K1867,'Type Chart'!$C$2:$U$20,8,false)</f>
        <v>2</v>
      </c>
      <c r="AB1867" s="960">
        <f t="array" ref="AB1867">HLOOKUP($J1867,'Type Chart'!$C$2:$T$20,9,false)*HLOOKUP($K1867,'Type Chart'!$C$2:$U$20,9,false)</f>
        <v>2</v>
      </c>
      <c r="AC1867" s="960">
        <f t="array" ref="AC1867">HLOOKUP($J1867,'Type Chart'!$C$2:$T$20,10,false)*HLOOKUP($K1867,'Type Chart'!$C$2:$U$20,10,false)</f>
        <v>1</v>
      </c>
      <c r="AD1867" s="960">
        <f t="array" ref="AD1867">HLOOKUP($J1867,'Type Chart'!$C$2:$T$20,11,false)*HLOOKUP($K1867,'Type Chart'!$C$2:$U$20,11,false)</f>
        <v>1</v>
      </c>
      <c r="AE1867" s="960">
        <f t="array" ref="AE1867">HLOOKUP($J1867,'Type Chart'!$C$2:$T$20,12,false)*HLOOKUP($K1867,'Type Chart'!$C$2:$U$20,12,false)</f>
        <v>1</v>
      </c>
      <c r="AF1867" s="960">
        <f t="array" ref="AF1867">HLOOKUP($J1867,'Type Chart'!$C$2:$T$20,13,false)*HLOOKUP($K1867,'Type Chart'!$C$2:$U$20,13,false)</f>
        <v>1</v>
      </c>
      <c r="AG1867" s="960">
        <f t="array" ref="AG1867">HLOOKUP($J1867,'Type Chart'!$C$2:$T$20,14,false)*HLOOKUP($K1867,'Type Chart'!$C$2:$U$20,14,false)</f>
        <v>1</v>
      </c>
      <c r="AH1867" s="960">
        <f t="array" ref="AH1867">HLOOKUP($J1867,'Type Chart'!$C$2:$T$20,15,false)*HLOOKUP($K1867,'Type Chart'!$C$2:$U$20,15,false)</f>
        <v>0.5</v>
      </c>
      <c r="AI1867" s="960">
        <f t="array" ref="AI1867">HLOOKUP($J1867,'Type Chart'!$C$2:$T$20,16,false)*HLOOKUP($K1867,'Type Chart'!$C$2:$U$20,16,false)</f>
        <v>1</v>
      </c>
      <c r="AJ1867" s="960">
        <f t="array" ref="AJ1867">HLOOKUP($J1867,'Type Chart'!$C$2:$T$20,17,false)*HLOOKUP($K1867,'Type Chart'!$C$2:$U$20,17,false)</f>
        <v>1</v>
      </c>
      <c r="AK1867" s="960">
        <f t="array" ref="AK1867">HLOOKUP($J1867,'Type Chart'!$C$2:$T$20,18,false)*HLOOKUP($K1867,'Type Chart'!$C$2:$U$20,18,false)</f>
        <v>2</v>
      </c>
      <c r="AL1867" s="960">
        <f t="array" ref="AL1867">HLOOKUP($J1867,'Type Chart'!$C$2:$T$20,19,false)*HLOOKUP($K1867,'Type Chart'!$C$2:$U$20,19,false)</f>
        <v>1</v>
      </c>
      <c r="AM1867" s="964" t="s">
        <v>1437</v>
      </c>
      <c r="AN1867" s="965"/>
      <c r="AO1867" s="966"/>
      <c r="AP1867" s="936"/>
      <c r="AQ1867" s="1245"/>
      <c r="AR1867" s="1245"/>
      <c r="AS1867" s="936"/>
    </row>
    <row r="1868" ht="15.75" customHeight="1">
      <c r="A1868" s="1099"/>
      <c r="B1868" s="948" t="s">
        <v>2708</v>
      </c>
      <c r="C1868" s="1197" t="s">
        <v>2709</v>
      </c>
      <c r="D1868" s="1197" t="s">
        <v>2709</v>
      </c>
      <c r="E1868" s="1147" t="s">
        <v>2709</v>
      </c>
      <c r="F1868" s="940"/>
      <c r="G1868" s="953"/>
      <c r="H1868" s="969"/>
      <c r="I1868" s="998" t="s">
        <v>359</v>
      </c>
      <c r="J1868" s="1203" t="s">
        <v>344</v>
      </c>
      <c r="K1868" s="984" t="s">
        <v>216</v>
      </c>
      <c r="L1868" s="959">
        <v>75.0</v>
      </c>
      <c r="M1868" s="960">
        <v>125.0</v>
      </c>
      <c r="N1868" s="960">
        <v>70.0</v>
      </c>
      <c r="O1868" s="960">
        <v>125.0</v>
      </c>
      <c r="P1868" s="960">
        <v>70.0</v>
      </c>
      <c r="Q1868" s="960">
        <v>115.0</v>
      </c>
      <c r="R1868" s="960">
        <v>266.0</v>
      </c>
      <c r="S1868" s="960">
        <v>329.0</v>
      </c>
      <c r="T1868" s="960">
        <v>361.0</v>
      </c>
      <c r="U1868" s="960">
        <f t="array" ref="U1868">HLOOKUP($J1868,'Type Chart'!$C$2:$T$20,2,false)*HLOOKUP($K1868,'Type Chart'!$C$2:$U$20,2,false)</f>
        <v>1</v>
      </c>
      <c r="V1868" s="960">
        <f t="array" ref="V1868">HLOOKUP($J1868,'Type Chart'!$C$2:$T$20,3,false)*HLOOKUP($K1868,'Type Chart'!$C$2:$U$20,3,false)</f>
        <v>0.5</v>
      </c>
      <c r="W1868" s="960">
        <f t="array" ref="W1868">HLOOKUP($J1868,'Type Chart'!$C$2:$T$20,4,false)*HLOOKUP($K1868,'Type Chart'!$C$2:$U$20,4,false)</f>
        <v>1</v>
      </c>
      <c r="X1868" s="960">
        <f t="array" ref="X1868">HLOOKUP($J1868,'Type Chart'!$C$2:$T$20,5,false)*HLOOKUP($K1868,'Type Chart'!$C$2:$U$20,5,false)</f>
        <v>1</v>
      </c>
      <c r="Y1868" s="960">
        <f t="array" ref="Y1868">HLOOKUP($J1868,'Type Chart'!$C$2:$T$20,6,false)*HLOOKUP($K1868,'Type Chart'!$C$2:$U$20,6,false)</f>
        <v>1</v>
      </c>
      <c r="Z1868" s="960">
        <f t="array" ref="Z1868">HLOOKUP($J1868,'Type Chart'!$C$2:$T$20,7,false)*HLOOKUP($K1868,'Type Chart'!$C$2:$U$20,7,false)</f>
        <v>1</v>
      </c>
      <c r="AA1868" s="960">
        <f t="array" ref="AA1868">HLOOKUP($J1868,'Type Chart'!$C$2:$T$20,8,false)*HLOOKUP($K1868,'Type Chart'!$C$2:$U$20,8,false)</f>
        <v>2</v>
      </c>
      <c r="AB1868" s="960">
        <f t="array" ref="AB1868">HLOOKUP($J1868,'Type Chart'!$C$2:$T$20,9,false)*HLOOKUP($K1868,'Type Chart'!$C$2:$U$20,9,false)</f>
        <v>2</v>
      </c>
      <c r="AC1868" s="960">
        <f t="array" ref="AC1868">HLOOKUP($J1868,'Type Chart'!$C$2:$T$20,10,false)*HLOOKUP($K1868,'Type Chart'!$C$2:$U$20,10,false)</f>
        <v>1</v>
      </c>
      <c r="AD1868" s="960">
        <f t="array" ref="AD1868">HLOOKUP($J1868,'Type Chart'!$C$2:$T$20,11,false)*HLOOKUP($K1868,'Type Chart'!$C$2:$U$20,11,false)</f>
        <v>1</v>
      </c>
      <c r="AE1868" s="960">
        <f t="array" ref="AE1868">HLOOKUP($J1868,'Type Chart'!$C$2:$T$20,12,false)*HLOOKUP($K1868,'Type Chart'!$C$2:$U$20,12,false)</f>
        <v>1</v>
      </c>
      <c r="AF1868" s="960">
        <f t="array" ref="AF1868">HLOOKUP($J1868,'Type Chart'!$C$2:$T$20,13,false)*HLOOKUP($K1868,'Type Chart'!$C$2:$U$20,13,false)</f>
        <v>1</v>
      </c>
      <c r="AG1868" s="960">
        <f t="array" ref="AG1868">HLOOKUP($J1868,'Type Chart'!$C$2:$T$20,14,false)*HLOOKUP($K1868,'Type Chart'!$C$2:$U$20,14,false)</f>
        <v>1</v>
      </c>
      <c r="AH1868" s="960">
        <f t="array" ref="AH1868">HLOOKUP($J1868,'Type Chart'!$C$2:$T$20,15,false)*HLOOKUP($K1868,'Type Chart'!$C$2:$U$20,15,false)</f>
        <v>0.5</v>
      </c>
      <c r="AI1868" s="960">
        <f t="array" ref="AI1868">HLOOKUP($J1868,'Type Chart'!$C$2:$T$20,16,false)*HLOOKUP($K1868,'Type Chart'!$C$2:$U$20,16,false)</f>
        <v>1</v>
      </c>
      <c r="AJ1868" s="960">
        <f t="array" ref="AJ1868">HLOOKUP($J1868,'Type Chart'!$C$2:$T$20,17,false)*HLOOKUP($K1868,'Type Chart'!$C$2:$U$20,17,false)</f>
        <v>1</v>
      </c>
      <c r="AK1868" s="960">
        <f t="array" ref="AK1868">HLOOKUP($J1868,'Type Chart'!$C$2:$T$20,18,false)*HLOOKUP($K1868,'Type Chart'!$C$2:$U$20,18,false)</f>
        <v>2</v>
      </c>
      <c r="AL1868" s="960">
        <f t="array" ref="AL1868">HLOOKUP($J1868,'Type Chart'!$C$2:$T$20,19,false)*HLOOKUP($K1868,'Type Chart'!$C$2:$U$20,19,false)</f>
        <v>1</v>
      </c>
      <c r="AM1868" s="964" t="s">
        <v>1437</v>
      </c>
      <c r="AN1868" s="965"/>
      <c r="AO1868" s="966"/>
      <c r="AP1868" s="936"/>
      <c r="AQ1868" s="1245"/>
      <c r="AR1868" s="1245"/>
      <c r="AS1868" s="936"/>
    </row>
    <row r="1869" ht="15.75" customHeight="1">
      <c r="A1869" s="1099"/>
      <c r="B1869" s="948" t="s">
        <v>2710</v>
      </c>
      <c r="C1869" s="1197" t="s">
        <v>2711</v>
      </c>
      <c r="D1869" s="1197" t="s">
        <v>2711</v>
      </c>
      <c r="E1869" s="1147" t="s">
        <v>2711</v>
      </c>
      <c r="F1869" s="940"/>
      <c r="G1869" s="953"/>
      <c r="H1869" s="969"/>
      <c r="I1869" s="998" t="s">
        <v>4967</v>
      </c>
      <c r="J1869" s="1206" t="s">
        <v>82</v>
      </c>
      <c r="K1869" s="1006" t="s">
        <v>346</v>
      </c>
      <c r="L1869" s="959">
        <v>100.0</v>
      </c>
      <c r="M1869" s="960">
        <v>120.0</v>
      </c>
      <c r="N1869" s="960">
        <v>120.0</v>
      </c>
      <c r="O1869" s="960">
        <v>150.0</v>
      </c>
      <c r="P1869" s="960">
        <v>100.0</v>
      </c>
      <c r="Q1869" s="960">
        <v>90.0</v>
      </c>
      <c r="R1869" s="960">
        <v>216.0</v>
      </c>
      <c r="S1869" s="960">
        <v>279.0</v>
      </c>
      <c r="T1869" s="960">
        <v>306.0</v>
      </c>
      <c r="U1869" s="960">
        <f t="array" ref="U1869">HLOOKUP($J1869,'Type Chart'!$C$2:$T$20,2,false)*HLOOKUP($K1869,'Type Chart'!$C$2:$U$20,2,false)</f>
        <v>0.5</v>
      </c>
      <c r="V1869" s="960">
        <f t="array" ref="V1869">HLOOKUP($J1869,'Type Chart'!$C$2:$T$20,3,false)*HLOOKUP($K1869,'Type Chart'!$C$2:$U$20,3,false)</f>
        <v>2</v>
      </c>
      <c r="W1869" s="960">
        <f t="array" ref="W1869">HLOOKUP($J1869,'Type Chart'!$C$2:$T$20,4,false)*HLOOKUP($K1869,'Type Chart'!$C$2:$U$20,4,false)</f>
        <v>0.5</v>
      </c>
      <c r="X1869" s="960">
        <f t="array" ref="X1869">HLOOKUP($J1869,'Type Chart'!$C$2:$T$20,5,false)*HLOOKUP($K1869,'Type Chart'!$C$2:$U$20,5,false)</f>
        <v>0</v>
      </c>
      <c r="Y1869" s="960">
        <f t="array" ref="Y1869">HLOOKUP($J1869,'Type Chart'!$C$2:$T$20,6,false)*HLOOKUP($K1869,'Type Chart'!$C$2:$U$20,6,false)</f>
        <v>2</v>
      </c>
      <c r="Z1869" s="960">
        <f t="array" ref="Z1869">HLOOKUP($J1869,'Type Chart'!$C$2:$T$20,7,false)*HLOOKUP($K1869,'Type Chart'!$C$2:$U$20,7,false)</f>
        <v>0.5</v>
      </c>
      <c r="AA1869" s="960">
        <f t="array" ref="AA1869">HLOOKUP($J1869,'Type Chart'!$C$2:$T$20,8,false)*HLOOKUP($K1869,'Type Chart'!$C$2:$U$20,8,false)</f>
        <v>0.5</v>
      </c>
      <c r="AB1869" s="960">
        <f t="array" ref="AB1869">HLOOKUP($J1869,'Type Chart'!$C$2:$T$20,9,false)*HLOOKUP($K1869,'Type Chart'!$C$2:$U$20,9,false)</f>
        <v>1</v>
      </c>
      <c r="AC1869" s="960">
        <f t="array" ref="AC1869">HLOOKUP($J1869,'Type Chart'!$C$2:$T$20,10,false)*HLOOKUP($K1869,'Type Chart'!$C$2:$U$20,10,false)</f>
        <v>0.5</v>
      </c>
      <c r="AD1869" s="960">
        <f t="array" ref="AD1869">HLOOKUP($J1869,'Type Chart'!$C$2:$T$20,11,false)*HLOOKUP($K1869,'Type Chart'!$C$2:$U$20,11,false)</f>
        <v>1</v>
      </c>
      <c r="AE1869" s="960">
        <f t="array" ref="AE1869">HLOOKUP($J1869,'Type Chart'!$C$2:$T$20,12,false)*HLOOKUP($K1869,'Type Chart'!$C$2:$U$20,12,false)</f>
        <v>0.5</v>
      </c>
      <c r="AF1869" s="960">
        <f t="array" ref="AF1869">HLOOKUP($J1869,'Type Chart'!$C$2:$T$20,13,false)*HLOOKUP($K1869,'Type Chart'!$C$2:$U$20,13,false)</f>
        <v>0.25</v>
      </c>
      <c r="AG1869" s="960">
        <f t="array" ref="AG1869">HLOOKUP($J1869,'Type Chart'!$C$2:$T$20,14,false)*HLOOKUP($K1869,'Type Chart'!$C$2:$U$20,14,false)</f>
        <v>0.5</v>
      </c>
      <c r="AH1869" s="960">
        <f t="array" ref="AH1869">HLOOKUP($J1869,'Type Chart'!$C$2:$T$20,15,false)*HLOOKUP($K1869,'Type Chart'!$C$2:$U$20,15,false)</f>
        <v>0.5</v>
      </c>
      <c r="AI1869" s="960">
        <f t="array" ref="AI1869">HLOOKUP($J1869,'Type Chart'!$C$2:$T$20,16,false)*HLOOKUP($K1869,'Type Chart'!$C$2:$U$20,16,false)</f>
        <v>1</v>
      </c>
      <c r="AJ1869" s="960">
        <f t="array" ref="AJ1869">HLOOKUP($J1869,'Type Chart'!$C$2:$T$20,17,false)*HLOOKUP($K1869,'Type Chart'!$C$2:$U$20,17,false)</f>
        <v>1</v>
      </c>
      <c r="AK1869" s="960">
        <f t="array" ref="AK1869">HLOOKUP($J1869,'Type Chart'!$C$2:$T$20,18,false)*HLOOKUP($K1869,'Type Chart'!$C$2:$U$20,18,false)</f>
        <v>1</v>
      </c>
      <c r="AL1869" s="960">
        <f t="array" ref="AL1869">HLOOKUP($J1869,'Type Chart'!$C$2:$T$20,19,false)*HLOOKUP($K1869,'Type Chart'!$C$2:$U$20,19,false)</f>
        <v>1</v>
      </c>
      <c r="AM1869" s="964" t="s">
        <v>1636</v>
      </c>
      <c r="AN1869" s="965"/>
      <c r="AO1869" s="966" t="s">
        <v>1828</v>
      </c>
      <c r="AP1869" s="936"/>
      <c r="AQ1869" s="1245"/>
      <c r="AR1869" s="1245"/>
      <c r="AS1869" s="936"/>
    </row>
    <row r="1870" ht="15.75" customHeight="1">
      <c r="A1870" s="1099"/>
      <c r="B1870" s="948" t="s">
        <v>2712</v>
      </c>
      <c r="C1870" s="1197" t="s">
        <v>4968</v>
      </c>
      <c r="D1870" s="1197" t="s">
        <v>4968</v>
      </c>
      <c r="E1870" s="1147" t="s">
        <v>4968</v>
      </c>
      <c r="F1870" s="940"/>
      <c r="G1870" s="953"/>
      <c r="H1870" s="969"/>
      <c r="I1870" s="998" t="s">
        <v>4969</v>
      </c>
      <c r="J1870" s="1206" t="s">
        <v>82</v>
      </c>
      <c r="K1870" s="1006" t="s">
        <v>346</v>
      </c>
      <c r="L1870" s="959">
        <v>100.0</v>
      </c>
      <c r="M1870" s="960">
        <v>100.0</v>
      </c>
      <c r="N1870" s="960">
        <v>120.0</v>
      </c>
      <c r="O1870" s="960">
        <v>150.0</v>
      </c>
      <c r="P1870" s="960">
        <v>100.0</v>
      </c>
      <c r="Q1870" s="960">
        <v>90.0</v>
      </c>
      <c r="R1870" s="960">
        <v>216.0</v>
      </c>
      <c r="S1870" s="960">
        <v>279.0</v>
      </c>
      <c r="T1870" s="960">
        <v>306.0</v>
      </c>
      <c r="U1870" s="960">
        <f t="array" ref="U1870">HLOOKUP($J1870,'Type Chart'!$C$2:$T$20,2,false)*HLOOKUP($K1870,'Type Chart'!$C$2:$U$20,2,false)</f>
        <v>0.5</v>
      </c>
      <c r="V1870" s="960">
        <f t="array" ref="V1870">HLOOKUP($J1870,'Type Chart'!$C$2:$T$20,3,false)*HLOOKUP($K1870,'Type Chart'!$C$2:$U$20,3,false)</f>
        <v>2</v>
      </c>
      <c r="W1870" s="960">
        <f t="array" ref="W1870">HLOOKUP($J1870,'Type Chart'!$C$2:$T$20,4,false)*HLOOKUP($K1870,'Type Chart'!$C$2:$U$20,4,false)</f>
        <v>0.5</v>
      </c>
      <c r="X1870" s="960">
        <f t="array" ref="X1870">HLOOKUP($J1870,'Type Chart'!$C$2:$T$20,5,false)*HLOOKUP($K1870,'Type Chart'!$C$2:$U$20,5,false)</f>
        <v>0</v>
      </c>
      <c r="Y1870" s="960">
        <f t="array" ref="Y1870">HLOOKUP($J1870,'Type Chart'!$C$2:$T$20,6,false)*HLOOKUP($K1870,'Type Chart'!$C$2:$U$20,6,false)</f>
        <v>2</v>
      </c>
      <c r="Z1870" s="960">
        <f t="array" ref="Z1870">HLOOKUP($J1870,'Type Chart'!$C$2:$T$20,7,false)*HLOOKUP($K1870,'Type Chart'!$C$2:$U$20,7,false)</f>
        <v>0.5</v>
      </c>
      <c r="AA1870" s="960">
        <f t="array" ref="AA1870">HLOOKUP($J1870,'Type Chart'!$C$2:$T$20,8,false)*HLOOKUP($K1870,'Type Chart'!$C$2:$U$20,8,false)</f>
        <v>0.5</v>
      </c>
      <c r="AB1870" s="960">
        <f t="array" ref="AB1870">HLOOKUP($J1870,'Type Chart'!$C$2:$T$20,9,false)*HLOOKUP($K1870,'Type Chart'!$C$2:$U$20,9,false)</f>
        <v>1</v>
      </c>
      <c r="AC1870" s="960">
        <f t="array" ref="AC1870">HLOOKUP($J1870,'Type Chart'!$C$2:$T$20,10,false)*HLOOKUP($K1870,'Type Chart'!$C$2:$U$20,10,false)</f>
        <v>0.5</v>
      </c>
      <c r="AD1870" s="960">
        <f t="array" ref="AD1870">HLOOKUP($J1870,'Type Chart'!$C$2:$T$20,11,false)*HLOOKUP($K1870,'Type Chart'!$C$2:$U$20,11,false)</f>
        <v>1</v>
      </c>
      <c r="AE1870" s="960">
        <f t="array" ref="AE1870">HLOOKUP($J1870,'Type Chart'!$C$2:$T$20,12,false)*HLOOKUP($K1870,'Type Chart'!$C$2:$U$20,12,false)</f>
        <v>0.5</v>
      </c>
      <c r="AF1870" s="960">
        <f t="array" ref="AF1870">HLOOKUP($J1870,'Type Chart'!$C$2:$T$20,13,false)*HLOOKUP($K1870,'Type Chart'!$C$2:$U$20,13,false)</f>
        <v>0.25</v>
      </c>
      <c r="AG1870" s="960">
        <f t="array" ref="AG1870">HLOOKUP($J1870,'Type Chart'!$C$2:$T$20,14,false)*HLOOKUP($K1870,'Type Chart'!$C$2:$U$20,14,false)</f>
        <v>0.5</v>
      </c>
      <c r="AH1870" s="960">
        <f t="array" ref="AH1870">HLOOKUP($J1870,'Type Chart'!$C$2:$T$20,15,false)*HLOOKUP($K1870,'Type Chart'!$C$2:$U$20,15,false)</f>
        <v>0.5</v>
      </c>
      <c r="AI1870" s="960">
        <f t="array" ref="AI1870">HLOOKUP($J1870,'Type Chart'!$C$2:$T$20,16,false)*HLOOKUP($K1870,'Type Chart'!$C$2:$U$20,16,false)</f>
        <v>1</v>
      </c>
      <c r="AJ1870" s="960">
        <f t="array" ref="AJ1870">HLOOKUP($J1870,'Type Chart'!$C$2:$T$20,17,false)*HLOOKUP($K1870,'Type Chart'!$C$2:$U$20,17,false)</f>
        <v>1</v>
      </c>
      <c r="AK1870" s="960">
        <f t="array" ref="AK1870">HLOOKUP($J1870,'Type Chart'!$C$2:$T$20,18,false)*HLOOKUP($K1870,'Type Chart'!$C$2:$U$20,18,false)</f>
        <v>1</v>
      </c>
      <c r="AL1870" s="960">
        <f t="array" ref="AL1870">HLOOKUP($J1870,'Type Chart'!$C$2:$T$20,19,false)*HLOOKUP($K1870,'Type Chart'!$C$2:$U$20,19,false)</f>
        <v>1</v>
      </c>
      <c r="AM1870" s="964" t="s">
        <v>1636</v>
      </c>
      <c r="AN1870" s="965"/>
      <c r="AO1870" s="966" t="s">
        <v>1828</v>
      </c>
      <c r="AP1870" s="936"/>
      <c r="AQ1870" s="1245"/>
      <c r="AR1870" s="1245"/>
      <c r="AS1870" s="936"/>
    </row>
    <row r="1871" ht="15.75" customHeight="1">
      <c r="A1871" s="1099"/>
      <c r="B1871" s="948" t="s">
        <v>2714</v>
      </c>
      <c r="C1871" s="1197" t="s">
        <v>2715</v>
      </c>
      <c r="D1871" s="1197" t="s">
        <v>2715</v>
      </c>
      <c r="E1871" s="1147" t="s">
        <v>2715</v>
      </c>
      <c r="F1871" s="940"/>
      <c r="G1871" s="953"/>
      <c r="H1871" s="969"/>
      <c r="I1871" s="998" t="s">
        <v>4970</v>
      </c>
      <c r="J1871" s="1056" t="s">
        <v>81</v>
      </c>
      <c r="K1871" s="1006" t="s">
        <v>346</v>
      </c>
      <c r="L1871" s="959">
        <v>90.0</v>
      </c>
      <c r="M1871" s="960">
        <v>120.0</v>
      </c>
      <c r="N1871" s="960">
        <v>100.0</v>
      </c>
      <c r="O1871" s="960">
        <v>150.0</v>
      </c>
      <c r="P1871" s="960">
        <v>120.0</v>
      </c>
      <c r="Q1871" s="960">
        <v>100.0</v>
      </c>
      <c r="R1871" s="960">
        <v>236.0</v>
      </c>
      <c r="S1871" s="960">
        <v>299.0</v>
      </c>
      <c r="T1871" s="960">
        <v>328.0</v>
      </c>
      <c r="U1871" s="960">
        <f t="array" ref="U1871">HLOOKUP($J1871,'Type Chart'!$C$2:$T$20,2,false)*HLOOKUP($K1871,'Type Chart'!$C$2:$U$20,2,false)</f>
        <v>1</v>
      </c>
      <c r="V1871" s="960">
        <f t="array" ref="V1871">HLOOKUP($J1871,'Type Chart'!$C$2:$T$20,3,false)*HLOOKUP($K1871,'Type Chart'!$C$2:$U$20,3,false)</f>
        <v>1</v>
      </c>
      <c r="W1871" s="960">
        <f t="array" ref="W1871">HLOOKUP($J1871,'Type Chart'!$C$2:$T$20,4,false)*HLOOKUP($K1871,'Type Chart'!$C$2:$U$20,4,false)</f>
        <v>1</v>
      </c>
      <c r="X1871" s="960">
        <f t="array" ref="X1871">HLOOKUP($J1871,'Type Chart'!$C$2:$T$20,5,false)*HLOOKUP($K1871,'Type Chart'!$C$2:$U$20,5,false)</f>
        <v>1</v>
      </c>
      <c r="Y1871" s="960">
        <f t="array" ref="Y1871">HLOOKUP($J1871,'Type Chart'!$C$2:$T$20,6,false)*HLOOKUP($K1871,'Type Chart'!$C$2:$U$20,6,false)</f>
        <v>1</v>
      </c>
      <c r="Z1871" s="960">
        <f t="array" ref="Z1871">HLOOKUP($J1871,'Type Chart'!$C$2:$T$20,7,false)*HLOOKUP($K1871,'Type Chart'!$C$2:$U$20,7,false)</f>
        <v>1</v>
      </c>
      <c r="AA1871" s="960">
        <f t="array" ref="AA1871">HLOOKUP($J1871,'Type Chart'!$C$2:$T$20,8,false)*HLOOKUP($K1871,'Type Chart'!$C$2:$U$20,8,false)</f>
        <v>1</v>
      </c>
      <c r="AB1871" s="960">
        <f t="array" ref="AB1871">HLOOKUP($J1871,'Type Chart'!$C$2:$T$20,9,false)*HLOOKUP($K1871,'Type Chart'!$C$2:$U$20,9,false)</f>
        <v>1</v>
      </c>
      <c r="AC1871" s="960">
        <f t="array" ref="AC1871">HLOOKUP($J1871,'Type Chart'!$C$2:$T$20,10,false)*HLOOKUP($K1871,'Type Chart'!$C$2:$U$20,10,false)</f>
        <v>0.5</v>
      </c>
      <c r="AD1871" s="960">
        <f t="array" ref="AD1871">HLOOKUP($J1871,'Type Chart'!$C$2:$T$20,11,false)*HLOOKUP($K1871,'Type Chart'!$C$2:$U$20,11,false)</f>
        <v>0.25</v>
      </c>
      <c r="AE1871" s="960">
        <f t="array" ref="AE1871">HLOOKUP($J1871,'Type Chart'!$C$2:$T$20,12,false)*HLOOKUP($K1871,'Type Chart'!$C$2:$U$20,12,false)</f>
        <v>0.25</v>
      </c>
      <c r="AF1871" s="960">
        <f t="array" ref="AF1871">HLOOKUP($J1871,'Type Chart'!$C$2:$T$20,13,false)*HLOOKUP($K1871,'Type Chart'!$C$2:$U$20,13,false)</f>
        <v>1</v>
      </c>
      <c r="AG1871" s="960">
        <f t="array" ref="AG1871">HLOOKUP($J1871,'Type Chart'!$C$2:$T$20,14,false)*HLOOKUP($K1871,'Type Chart'!$C$2:$U$20,14,false)</f>
        <v>1</v>
      </c>
      <c r="AH1871" s="960">
        <f t="array" ref="AH1871">HLOOKUP($J1871,'Type Chart'!$C$2:$T$20,15,false)*HLOOKUP($K1871,'Type Chart'!$C$2:$U$20,15,false)</f>
        <v>1</v>
      </c>
      <c r="AI1871" s="960">
        <f t="array" ref="AI1871">HLOOKUP($J1871,'Type Chart'!$C$2:$T$20,16,false)*HLOOKUP($K1871,'Type Chart'!$C$2:$U$20,16,false)</f>
        <v>1</v>
      </c>
      <c r="AJ1871" s="960">
        <f t="array" ref="AJ1871">HLOOKUP($J1871,'Type Chart'!$C$2:$T$20,17,false)*HLOOKUP($K1871,'Type Chart'!$C$2:$U$20,17,false)</f>
        <v>2</v>
      </c>
      <c r="AK1871" s="960">
        <f t="array" ref="AK1871">HLOOKUP($J1871,'Type Chart'!$C$2:$T$20,18,false)*HLOOKUP($K1871,'Type Chart'!$C$2:$U$20,18,false)</f>
        <v>1</v>
      </c>
      <c r="AL1871" s="960">
        <f t="array" ref="AL1871">HLOOKUP($J1871,'Type Chart'!$C$2:$T$20,19,false)*HLOOKUP($K1871,'Type Chart'!$C$2:$U$20,19,false)</f>
        <v>2</v>
      </c>
      <c r="AM1871" s="964" t="s">
        <v>1636</v>
      </c>
      <c r="AN1871" s="965"/>
      <c r="AO1871" s="966" t="s">
        <v>1828</v>
      </c>
      <c r="AP1871" s="936"/>
      <c r="AQ1871" s="1245"/>
      <c r="AR1871" s="1245"/>
      <c r="AS1871" s="936"/>
    </row>
    <row r="1872" ht="15.75" customHeight="1">
      <c r="A1872" s="1099"/>
      <c r="B1872" s="948" t="s">
        <v>2716</v>
      </c>
      <c r="C1872" s="1197" t="s">
        <v>4971</v>
      </c>
      <c r="D1872" s="1197" t="s">
        <v>4971</v>
      </c>
      <c r="E1872" s="1147" t="s">
        <v>4971</v>
      </c>
      <c r="F1872" s="940"/>
      <c r="G1872" s="953"/>
      <c r="H1872" s="969"/>
      <c r="I1872" s="998" t="s">
        <v>4972</v>
      </c>
      <c r="J1872" s="1056" t="s">
        <v>81</v>
      </c>
      <c r="K1872" s="1006" t="s">
        <v>346</v>
      </c>
      <c r="L1872" s="959">
        <v>90.0</v>
      </c>
      <c r="M1872" s="960">
        <v>100.0</v>
      </c>
      <c r="N1872" s="960">
        <v>100.0</v>
      </c>
      <c r="O1872" s="960">
        <v>150.0</v>
      </c>
      <c r="P1872" s="960">
        <v>120.0</v>
      </c>
      <c r="Q1872" s="960">
        <v>120.0</v>
      </c>
      <c r="R1872" s="960">
        <v>276.0</v>
      </c>
      <c r="S1872" s="960">
        <v>339.0</v>
      </c>
      <c r="T1872" s="960">
        <v>372.0</v>
      </c>
      <c r="U1872" s="960">
        <f t="array" ref="U1872">HLOOKUP($J1872,'Type Chart'!$C$2:$T$20,2,false)*HLOOKUP($K1872,'Type Chart'!$C$2:$U$20,2,false)</f>
        <v>1</v>
      </c>
      <c r="V1872" s="960">
        <f t="array" ref="V1872">HLOOKUP($J1872,'Type Chart'!$C$2:$T$20,3,false)*HLOOKUP($K1872,'Type Chart'!$C$2:$U$20,3,false)</f>
        <v>1</v>
      </c>
      <c r="W1872" s="960">
        <f t="array" ref="W1872">HLOOKUP($J1872,'Type Chart'!$C$2:$T$20,4,false)*HLOOKUP($K1872,'Type Chart'!$C$2:$U$20,4,false)</f>
        <v>1</v>
      </c>
      <c r="X1872" s="960">
        <f t="array" ref="X1872">HLOOKUP($J1872,'Type Chart'!$C$2:$T$20,5,false)*HLOOKUP($K1872,'Type Chart'!$C$2:$U$20,5,false)</f>
        <v>1</v>
      </c>
      <c r="Y1872" s="960">
        <f t="array" ref="Y1872">HLOOKUP($J1872,'Type Chart'!$C$2:$T$20,6,false)*HLOOKUP($K1872,'Type Chart'!$C$2:$U$20,6,false)</f>
        <v>1</v>
      </c>
      <c r="Z1872" s="960">
        <f t="array" ref="Z1872">HLOOKUP($J1872,'Type Chart'!$C$2:$T$20,7,false)*HLOOKUP($K1872,'Type Chart'!$C$2:$U$20,7,false)</f>
        <v>1</v>
      </c>
      <c r="AA1872" s="960">
        <f t="array" ref="AA1872">HLOOKUP($J1872,'Type Chart'!$C$2:$T$20,8,false)*HLOOKUP($K1872,'Type Chart'!$C$2:$U$20,8,false)</f>
        <v>1</v>
      </c>
      <c r="AB1872" s="960">
        <f t="array" ref="AB1872">HLOOKUP($J1872,'Type Chart'!$C$2:$T$20,9,false)*HLOOKUP($K1872,'Type Chart'!$C$2:$U$20,9,false)</f>
        <v>1</v>
      </c>
      <c r="AC1872" s="960">
        <f t="array" ref="AC1872">HLOOKUP($J1872,'Type Chart'!$C$2:$T$20,10,false)*HLOOKUP($K1872,'Type Chart'!$C$2:$U$20,10,false)</f>
        <v>0.5</v>
      </c>
      <c r="AD1872" s="960">
        <f t="array" ref="AD1872">HLOOKUP($J1872,'Type Chart'!$C$2:$T$20,11,false)*HLOOKUP($K1872,'Type Chart'!$C$2:$U$20,11,false)</f>
        <v>0.25</v>
      </c>
      <c r="AE1872" s="960">
        <f t="array" ref="AE1872">HLOOKUP($J1872,'Type Chart'!$C$2:$T$20,12,false)*HLOOKUP($K1872,'Type Chart'!$C$2:$U$20,12,false)</f>
        <v>0.25</v>
      </c>
      <c r="AF1872" s="960">
        <f t="array" ref="AF1872">HLOOKUP($J1872,'Type Chart'!$C$2:$T$20,13,false)*HLOOKUP($K1872,'Type Chart'!$C$2:$U$20,13,false)</f>
        <v>1</v>
      </c>
      <c r="AG1872" s="960">
        <f t="array" ref="AG1872">HLOOKUP($J1872,'Type Chart'!$C$2:$T$20,14,false)*HLOOKUP($K1872,'Type Chart'!$C$2:$U$20,14,false)</f>
        <v>1</v>
      </c>
      <c r="AH1872" s="960">
        <f t="array" ref="AH1872">HLOOKUP($J1872,'Type Chart'!$C$2:$T$20,15,false)*HLOOKUP($K1872,'Type Chart'!$C$2:$U$20,15,false)</f>
        <v>1</v>
      </c>
      <c r="AI1872" s="960">
        <f t="array" ref="AI1872">HLOOKUP($J1872,'Type Chart'!$C$2:$T$20,16,false)*HLOOKUP($K1872,'Type Chart'!$C$2:$U$20,16,false)</f>
        <v>1</v>
      </c>
      <c r="AJ1872" s="960">
        <f t="array" ref="AJ1872">HLOOKUP($J1872,'Type Chart'!$C$2:$T$20,17,false)*HLOOKUP($K1872,'Type Chart'!$C$2:$U$20,17,false)</f>
        <v>2</v>
      </c>
      <c r="AK1872" s="960">
        <f t="array" ref="AK1872">HLOOKUP($J1872,'Type Chart'!$C$2:$T$20,18,false)*HLOOKUP($K1872,'Type Chart'!$C$2:$U$20,18,false)</f>
        <v>1</v>
      </c>
      <c r="AL1872" s="960">
        <f t="array" ref="AL1872">HLOOKUP($J1872,'Type Chart'!$C$2:$T$20,19,false)*HLOOKUP($K1872,'Type Chart'!$C$2:$U$20,19,false)</f>
        <v>2</v>
      </c>
      <c r="AM1872" s="964" t="s">
        <v>1636</v>
      </c>
      <c r="AN1872" s="965"/>
      <c r="AO1872" s="966" t="s">
        <v>1828</v>
      </c>
      <c r="AP1872" s="936"/>
      <c r="AQ1872" s="1245"/>
      <c r="AR1872" s="1245"/>
      <c r="AS1872" s="936"/>
    </row>
    <row r="1873" ht="15.75" customHeight="1">
      <c r="A1873" s="1099"/>
      <c r="B1873" s="948" t="s">
        <v>2718</v>
      </c>
      <c r="C1873" s="1197" t="s">
        <v>2719</v>
      </c>
      <c r="D1873" s="1197" t="s">
        <v>2719</v>
      </c>
      <c r="E1873" s="1147" t="s">
        <v>2719</v>
      </c>
      <c r="F1873" s="940"/>
      <c r="G1873" s="953"/>
      <c r="H1873" s="969"/>
      <c r="I1873" s="998" t="s">
        <v>4973</v>
      </c>
      <c r="J1873" s="982" t="s">
        <v>150</v>
      </c>
      <c r="K1873" s="1206" t="s">
        <v>82</v>
      </c>
      <c r="L1873" s="959">
        <v>91.0</v>
      </c>
      <c r="M1873" s="960">
        <v>90.0</v>
      </c>
      <c r="N1873" s="960">
        <v>106.0</v>
      </c>
      <c r="O1873" s="960">
        <v>130.0</v>
      </c>
      <c r="P1873" s="960">
        <v>106.0</v>
      </c>
      <c r="Q1873" s="960">
        <v>77.0</v>
      </c>
      <c r="R1873" s="960">
        <v>190.0</v>
      </c>
      <c r="S1873" s="960">
        <v>253.0</v>
      </c>
      <c r="T1873" s="960">
        <v>278.0</v>
      </c>
      <c r="U1873" s="960">
        <f t="array" ref="U1873">HLOOKUP($J1873,'Type Chart'!$C$2:$T$20,2,false)*HLOOKUP($K1873,'Type Chart'!$C$2:$U$20,2,false)</f>
        <v>0.5</v>
      </c>
      <c r="V1873" s="960">
        <f t="array" ref="V1873">HLOOKUP($J1873,'Type Chart'!$C$2:$T$20,3,false)*HLOOKUP($K1873,'Type Chart'!$C$2:$U$20,3,false)</f>
        <v>2</v>
      </c>
      <c r="W1873" s="960">
        <f t="array" ref="W1873">HLOOKUP($J1873,'Type Chart'!$C$2:$T$20,4,false)*HLOOKUP($K1873,'Type Chart'!$C$2:$U$20,4,false)</f>
        <v>0.5</v>
      </c>
      <c r="X1873" s="960">
        <f t="array" ref="X1873">HLOOKUP($J1873,'Type Chart'!$C$2:$T$20,5,false)*HLOOKUP($K1873,'Type Chart'!$C$2:$U$20,5,false)</f>
        <v>0</v>
      </c>
      <c r="Y1873" s="960">
        <f t="array" ref="Y1873">HLOOKUP($J1873,'Type Chart'!$C$2:$T$20,6,false)*HLOOKUP($K1873,'Type Chart'!$C$2:$U$20,6,false)</f>
        <v>4</v>
      </c>
      <c r="Z1873" s="960">
        <f t="array" ref="Z1873">HLOOKUP($J1873,'Type Chart'!$C$2:$T$20,7,false)*HLOOKUP($K1873,'Type Chart'!$C$2:$U$20,7,false)</f>
        <v>1</v>
      </c>
      <c r="AA1873" s="960">
        <f t="array" ref="AA1873">HLOOKUP($J1873,'Type Chart'!$C$2:$T$20,8,false)*HLOOKUP($K1873,'Type Chart'!$C$2:$U$20,8,false)</f>
        <v>0.25</v>
      </c>
      <c r="AB1873" s="960">
        <f t="array" ref="AB1873">HLOOKUP($J1873,'Type Chart'!$C$2:$T$20,9,false)*HLOOKUP($K1873,'Type Chart'!$C$2:$U$20,9,false)</f>
        <v>1</v>
      </c>
      <c r="AC1873" s="960">
        <f t="array" ref="AC1873">HLOOKUP($J1873,'Type Chart'!$C$2:$T$20,10,false)*HLOOKUP($K1873,'Type Chart'!$C$2:$U$20,10,false)</f>
        <v>0.25</v>
      </c>
      <c r="AD1873" s="960">
        <f t="array" ref="AD1873">HLOOKUP($J1873,'Type Chart'!$C$2:$T$20,11,false)*HLOOKUP($K1873,'Type Chart'!$C$2:$U$20,11,false)</f>
        <v>1</v>
      </c>
      <c r="AE1873" s="960">
        <f t="array" ref="AE1873">HLOOKUP($J1873,'Type Chart'!$C$2:$T$20,12,false)*HLOOKUP($K1873,'Type Chart'!$C$2:$U$20,12,false)</f>
        <v>2</v>
      </c>
      <c r="AF1873" s="960">
        <f t="array" ref="AF1873">HLOOKUP($J1873,'Type Chart'!$C$2:$T$20,13,false)*HLOOKUP($K1873,'Type Chart'!$C$2:$U$20,13,false)</f>
        <v>0.25</v>
      </c>
      <c r="AG1873" s="960">
        <f t="array" ref="AG1873">HLOOKUP($J1873,'Type Chart'!$C$2:$T$20,14,false)*HLOOKUP($K1873,'Type Chart'!$C$2:$U$20,14,false)</f>
        <v>1</v>
      </c>
      <c r="AH1873" s="960">
        <f t="array" ref="AH1873">HLOOKUP($J1873,'Type Chart'!$C$2:$T$20,15,false)*HLOOKUP($K1873,'Type Chart'!$C$2:$U$20,15,false)</f>
        <v>0.5</v>
      </c>
      <c r="AI1873" s="960">
        <f t="array" ref="AI1873">HLOOKUP($J1873,'Type Chart'!$C$2:$T$20,16,false)*HLOOKUP($K1873,'Type Chart'!$C$2:$U$20,16,false)</f>
        <v>0.25</v>
      </c>
      <c r="AJ1873" s="960">
        <f t="array" ref="AJ1873">HLOOKUP($J1873,'Type Chart'!$C$2:$T$20,17,false)*HLOOKUP($K1873,'Type Chart'!$C$2:$U$20,17,false)</f>
        <v>0.5</v>
      </c>
      <c r="AK1873" s="960">
        <f t="array" ref="AK1873">HLOOKUP($J1873,'Type Chart'!$C$2:$T$20,18,false)*HLOOKUP($K1873,'Type Chart'!$C$2:$U$20,18,false)</f>
        <v>1</v>
      </c>
      <c r="AL1873" s="960">
        <f t="array" ref="AL1873">HLOOKUP($J1873,'Type Chart'!$C$2:$T$20,19,false)*HLOOKUP($K1873,'Type Chart'!$C$2:$U$20,19,false)</f>
        <v>0.25</v>
      </c>
      <c r="AM1873" s="964" t="s">
        <v>1172</v>
      </c>
      <c r="AN1873" s="965"/>
      <c r="AO1873" s="966" t="s">
        <v>1353</v>
      </c>
      <c r="AP1873" s="936"/>
      <c r="AQ1873" s="1245"/>
      <c r="AR1873" s="1245"/>
      <c r="AS1873" s="936"/>
    </row>
    <row r="1874" ht="15.75" customHeight="1">
      <c r="A1874" s="1099"/>
      <c r="B1874" s="948" t="s">
        <v>2720</v>
      </c>
      <c r="C1874" s="1197" t="s">
        <v>2721</v>
      </c>
      <c r="D1874" s="1197" t="s">
        <v>2721</v>
      </c>
      <c r="E1874" s="1147" t="s">
        <v>2721</v>
      </c>
      <c r="F1874" s="940"/>
      <c r="G1874" s="953"/>
      <c r="H1874" s="969"/>
      <c r="I1874" s="998" t="s">
        <v>4974</v>
      </c>
      <c r="J1874" s="1194" t="s">
        <v>136</v>
      </c>
      <c r="K1874" s="984" t="s">
        <v>216</v>
      </c>
      <c r="L1874" s="959">
        <v>110.0</v>
      </c>
      <c r="M1874" s="960">
        <v>160.0</v>
      </c>
      <c r="N1874" s="960">
        <v>110.0</v>
      </c>
      <c r="O1874" s="960">
        <v>80.0</v>
      </c>
      <c r="P1874" s="960">
        <v>110.0</v>
      </c>
      <c r="Q1874" s="960">
        <v>100.0</v>
      </c>
      <c r="R1874" s="960">
        <v>236.0</v>
      </c>
      <c r="S1874" s="960">
        <v>299.0</v>
      </c>
      <c r="T1874" s="960">
        <v>328.0</v>
      </c>
      <c r="U1874" s="960">
        <f t="array" ref="U1874">HLOOKUP($J1874,'Type Chart'!$C$2:$T$20,2,false)*HLOOKUP($K1874,'Type Chart'!$C$2:$U$20,2,false)</f>
        <v>1</v>
      </c>
      <c r="V1874" s="960">
        <f t="array" ref="V1874">HLOOKUP($J1874,'Type Chart'!$C$2:$T$20,3,false)*HLOOKUP($K1874,'Type Chart'!$C$2:$U$20,3,false)</f>
        <v>2</v>
      </c>
      <c r="W1874" s="960">
        <f t="array" ref="W1874">HLOOKUP($J1874,'Type Chart'!$C$2:$T$20,4,false)*HLOOKUP($K1874,'Type Chart'!$C$2:$U$20,4,false)</f>
        <v>1</v>
      </c>
      <c r="X1874" s="960">
        <f t="array" ref="X1874">HLOOKUP($J1874,'Type Chart'!$C$2:$T$20,5,false)*HLOOKUP($K1874,'Type Chart'!$C$2:$U$20,5,false)</f>
        <v>1</v>
      </c>
      <c r="Y1874" s="960">
        <f t="array" ref="Y1874">HLOOKUP($J1874,'Type Chart'!$C$2:$T$20,6,false)*HLOOKUP($K1874,'Type Chart'!$C$2:$U$20,6,false)</f>
        <v>1</v>
      </c>
      <c r="Z1874" s="960">
        <f t="array" ref="Z1874">HLOOKUP($J1874,'Type Chart'!$C$2:$T$20,7,false)*HLOOKUP($K1874,'Type Chart'!$C$2:$U$20,7,false)</f>
        <v>1</v>
      </c>
      <c r="AA1874" s="960">
        <f t="array" ref="AA1874">HLOOKUP($J1874,'Type Chart'!$C$2:$T$20,8,false)*HLOOKUP($K1874,'Type Chart'!$C$2:$U$20,8,false)</f>
        <v>1</v>
      </c>
      <c r="AB1874" s="960">
        <f t="array" ref="AB1874">HLOOKUP($J1874,'Type Chart'!$C$2:$T$20,9,false)*HLOOKUP($K1874,'Type Chart'!$C$2:$U$20,9,false)</f>
        <v>0</v>
      </c>
      <c r="AC1874" s="960">
        <f t="array" ref="AC1874">HLOOKUP($J1874,'Type Chart'!$C$2:$T$20,10,false)*HLOOKUP($K1874,'Type Chart'!$C$2:$U$20,10,false)</f>
        <v>1</v>
      </c>
      <c r="AD1874" s="960">
        <f t="array" ref="AD1874">HLOOKUP($J1874,'Type Chart'!$C$2:$T$20,11,false)*HLOOKUP($K1874,'Type Chart'!$C$2:$U$20,11,false)</f>
        <v>1</v>
      </c>
      <c r="AE1874" s="960">
        <f t="array" ref="AE1874">HLOOKUP($J1874,'Type Chart'!$C$2:$T$20,12,false)*HLOOKUP($K1874,'Type Chart'!$C$2:$U$20,12,false)</f>
        <v>1</v>
      </c>
      <c r="AF1874" s="960">
        <f t="array" ref="AF1874">HLOOKUP($J1874,'Type Chart'!$C$2:$T$20,13,false)*HLOOKUP($K1874,'Type Chart'!$C$2:$U$20,13,false)</f>
        <v>1</v>
      </c>
      <c r="AG1874" s="960">
        <f t="array" ref="AG1874">HLOOKUP($J1874,'Type Chart'!$C$2:$T$20,14,false)*HLOOKUP($K1874,'Type Chart'!$C$2:$U$20,14,false)</f>
        <v>1</v>
      </c>
      <c r="AH1874" s="960">
        <f t="array" ref="AH1874">HLOOKUP($J1874,'Type Chart'!$C$2:$T$20,15,false)*HLOOKUP($K1874,'Type Chart'!$C$2:$U$20,15,false)</f>
        <v>1</v>
      </c>
      <c r="AI1874" s="960">
        <f t="array" ref="AI1874">HLOOKUP($J1874,'Type Chart'!$C$2:$T$20,16,false)*HLOOKUP($K1874,'Type Chart'!$C$2:$U$20,16,false)</f>
        <v>1</v>
      </c>
      <c r="AJ1874" s="960">
        <f t="array" ref="AJ1874">HLOOKUP($J1874,'Type Chart'!$C$2:$T$20,17,false)*HLOOKUP($K1874,'Type Chart'!$C$2:$U$20,17,false)</f>
        <v>1</v>
      </c>
      <c r="AK1874" s="960">
        <f t="array" ref="AK1874">HLOOKUP($J1874,'Type Chart'!$C$2:$T$20,18,false)*HLOOKUP($K1874,'Type Chart'!$C$2:$U$20,18,false)</f>
        <v>1</v>
      </c>
      <c r="AL1874" s="960">
        <f t="array" ref="AL1874">HLOOKUP($J1874,'Type Chart'!$C$2:$T$20,19,false)*HLOOKUP($K1874,'Type Chart'!$C$2:$U$20,19,false)</f>
        <v>1</v>
      </c>
      <c r="AM1874" s="964" t="s">
        <v>2722</v>
      </c>
      <c r="AN1874" s="965"/>
      <c r="AO1874" s="966"/>
      <c r="AP1874" s="936"/>
      <c r="AQ1874" s="1245"/>
      <c r="AR1874" s="1245"/>
      <c r="AS1874" s="936"/>
    </row>
    <row r="1875" ht="15.75" customHeight="1">
      <c r="A1875" s="1099"/>
      <c r="B1875" s="948" t="s">
        <v>2723</v>
      </c>
      <c r="C1875" s="1197" t="s">
        <v>2724</v>
      </c>
      <c r="D1875" s="1197" t="s">
        <v>2724</v>
      </c>
      <c r="E1875" s="1147" t="s">
        <v>2724</v>
      </c>
      <c r="F1875" s="940"/>
      <c r="G1875" s="953"/>
      <c r="H1875" s="969"/>
      <c r="I1875" s="998" t="s">
        <v>4975</v>
      </c>
      <c r="J1875" s="1220" t="s">
        <v>215</v>
      </c>
      <c r="K1875" s="1006" t="s">
        <v>346</v>
      </c>
      <c r="L1875" s="959">
        <v>150.0</v>
      </c>
      <c r="M1875" s="960">
        <v>100.0</v>
      </c>
      <c r="N1875" s="960">
        <v>120.0</v>
      </c>
      <c r="O1875" s="960">
        <v>100.0</v>
      </c>
      <c r="P1875" s="960">
        <v>120.0</v>
      </c>
      <c r="Q1875" s="960">
        <v>90.0</v>
      </c>
      <c r="R1875" s="960">
        <v>216.0</v>
      </c>
      <c r="S1875" s="960">
        <v>279.0</v>
      </c>
      <c r="T1875" s="960">
        <v>306.0</v>
      </c>
      <c r="U1875" s="960">
        <f t="array" ref="U1875">HLOOKUP($J1875,'Type Chart'!$C$2:$T$20,2,false)*HLOOKUP($K1875,'Type Chart'!$C$2:$U$20,2,false)</f>
        <v>0</v>
      </c>
      <c r="V1875" s="960">
        <f t="array" ref="V1875">HLOOKUP($J1875,'Type Chart'!$C$2:$T$20,3,false)*HLOOKUP($K1875,'Type Chart'!$C$2:$U$20,3,false)</f>
        <v>0</v>
      </c>
      <c r="W1875" s="960">
        <f t="array" ref="W1875">HLOOKUP($J1875,'Type Chart'!$C$2:$T$20,4,false)*HLOOKUP($K1875,'Type Chart'!$C$2:$U$20,4,false)</f>
        <v>1</v>
      </c>
      <c r="X1875" s="960">
        <f t="array" ref="X1875">HLOOKUP($J1875,'Type Chart'!$C$2:$T$20,5,false)*HLOOKUP($K1875,'Type Chart'!$C$2:$U$20,5,false)</f>
        <v>0.5</v>
      </c>
      <c r="Y1875" s="960">
        <f t="array" ref="Y1875">HLOOKUP($J1875,'Type Chart'!$C$2:$T$20,6,false)*HLOOKUP($K1875,'Type Chart'!$C$2:$U$20,6,false)</f>
        <v>1</v>
      </c>
      <c r="Z1875" s="960">
        <f t="array" ref="Z1875">HLOOKUP($J1875,'Type Chart'!$C$2:$T$20,7,false)*HLOOKUP($K1875,'Type Chart'!$C$2:$U$20,7,false)</f>
        <v>1</v>
      </c>
      <c r="AA1875" s="960">
        <f t="array" ref="AA1875">HLOOKUP($J1875,'Type Chart'!$C$2:$T$20,8,false)*HLOOKUP($K1875,'Type Chart'!$C$2:$U$20,8,false)</f>
        <v>0.5</v>
      </c>
      <c r="AB1875" s="960">
        <f t="array" ref="AB1875">HLOOKUP($J1875,'Type Chart'!$C$2:$T$20,9,false)*HLOOKUP($K1875,'Type Chart'!$C$2:$U$20,9,false)</f>
        <v>2</v>
      </c>
      <c r="AC1875" s="960">
        <f t="array" ref="AC1875">HLOOKUP($J1875,'Type Chart'!$C$2:$T$20,10,false)*HLOOKUP($K1875,'Type Chart'!$C$2:$U$20,10,false)</f>
        <v>1</v>
      </c>
      <c r="AD1875" s="960">
        <f t="array" ref="AD1875">HLOOKUP($J1875,'Type Chart'!$C$2:$T$20,11,false)*HLOOKUP($K1875,'Type Chart'!$C$2:$U$20,11,false)</f>
        <v>0.5</v>
      </c>
      <c r="AE1875" s="960">
        <f t="array" ref="AE1875">HLOOKUP($J1875,'Type Chart'!$C$2:$T$20,12,false)*HLOOKUP($K1875,'Type Chart'!$C$2:$U$20,12,false)</f>
        <v>0.5</v>
      </c>
      <c r="AF1875" s="960">
        <f t="array" ref="AF1875">HLOOKUP($J1875,'Type Chart'!$C$2:$T$20,13,false)*HLOOKUP($K1875,'Type Chart'!$C$2:$U$20,13,false)</f>
        <v>0.5</v>
      </c>
      <c r="AG1875" s="960">
        <f t="array" ref="AG1875">HLOOKUP($J1875,'Type Chart'!$C$2:$T$20,14,false)*HLOOKUP($K1875,'Type Chart'!$C$2:$U$20,14,false)</f>
        <v>0.5</v>
      </c>
      <c r="AH1875" s="960">
        <f t="array" ref="AH1875">HLOOKUP($J1875,'Type Chart'!$C$2:$T$20,15,false)*HLOOKUP($K1875,'Type Chart'!$C$2:$U$20,15,false)</f>
        <v>1</v>
      </c>
      <c r="AI1875" s="960">
        <f t="array" ref="AI1875">HLOOKUP($J1875,'Type Chart'!$C$2:$T$20,16,false)*HLOOKUP($K1875,'Type Chart'!$C$2:$U$20,16,false)</f>
        <v>2</v>
      </c>
      <c r="AJ1875" s="960">
        <f t="array" ref="AJ1875">HLOOKUP($J1875,'Type Chart'!$C$2:$T$20,17,false)*HLOOKUP($K1875,'Type Chart'!$C$2:$U$20,17,false)</f>
        <v>2</v>
      </c>
      <c r="AK1875" s="960">
        <f t="array" ref="AK1875">HLOOKUP($J1875,'Type Chart'!$C$2:$T$20,18,false)*HLOOKUP($K1875,'Type Chart'!$C$2:$U$20,18,false)</f>
        <v>2</v>
      </c>
      <c r="AL1875" s="960">
        <f t="array" ref="AL1875">HLOOKUP($J1875,'Type Chart'!$C$2:$T$20,19,false)*HLOOKUP($K1875,'Type Chart'!$C$2:$U$20,19,false)</f>
        <v>2</v>
      </c>
      <c r="AM1875" s="964" t="s">
        <v>1636</v>
      </c>
      <c r="AN1875" s="965"/>
      <c r="AO1875" s="966" t="s">
        <v>1828</v>
      </c>
      <c r="AP1875" s="936"/>
      <c r="AQ1875" s="1245"/>
      <c r="AR1875" s="1245"/>
      <c r="AS1875" s="936"/>
    </row>
    <row r="1876" ht="15.75" customHeight="1">
      <c r="A1876" s="1099"/>
      <c r="B1876" s="948" t="s">
        <v>2725</v>
      </c>
      <c r="C1876" s="1197" t="s">
        <v>2726</v>
      </c>
      <c r="D1876" s="1197" t="s">
        <v>2726</v>
      </c>
      <c r="E1876" s="1147" t="s">
        <v>2726</v>
      </c>
      <c r="F1876" s="940"/>
      <c r="G1876" s="953"/>
      <c r="H1876" s="969"/>
      <c r="I1876" s="998" t="s">
        <v>4976</v>
      </c>
      <c r="J1876" s="1220" t="s">
        <v>215</v>
      </c>
      <c r="K1876" s="1006" t="s">
        <v>346</v>
      </c>
      <c r="L1876" s="959">
        <v>150.0</v>
      </c>
      <c r="M1876" s="960">
        <v>120.0</v>
      </c>
      <c r="N1876" s="960">
        <v>100.0</v>
      </c>
      <c r="O1876" s="960">
        <v>120.0</v>
      </c>
      <c r="P1876" s="960">
        <v>100.0</v>
      </c>
      <c r="Q1876" s="960">
        <v>90.0</v>
      </c>
      <c r="R1876" s="960">
        <v>216.0</v>
      </c>
      <c r="S1876" s="960">
        <v>279.0</v>
      </c>
      <c r="T1876" s="960">
        <v>306.0</v>
      </c>
      <c r="U1876" s="960">
        <f t="array" ref="U1876">HLOOKUP($J1876,'Type Chart'!$C$2:$T$20,2,false)*HLOOKUP($K1876,'Type Chart'!$C$2:$U$20,2,false)</f>
        <v>0</v>
      </c>
      <c r="V1876" s="960">
        <f t="array" ref="V1876">HLOOKUP($J1876,'Type Chart'!$C$2:$T$20,3,false)*HLOOKUP($K1876,'Type Chart'!$C$2:$U$20,3,false)</f>
        <v>0</v>
      </c>
      <c r="W1876" s="960">
        <f t="array" ref="W1876">HLOOKUP($J1876,'Type Chart'!$C$2:$T$20,4,false)*HLOOKUP($K1876,'Type Chart'!$C$2:$U$20,4,false)</f>
        <v>1</v>
      </c>
      <c r="X1876" s="960">
        <f t="array" ref="X1876">HLOOKUP($J1876,'Type Chart'!$C$2:$T$20,5,false)*HLOOKUP($K1876,'Type Chart'!$C$2:$U$20,5,false)</f>
        <v>0.5</v>
      </c>
      <c r="Y1876" s="960">
        <f t="array" ref="Y1876">HLOOKUP($J1876,'Type Chart'!$C$2:$T$20,6,false)*HLOOKUP($K1876,'Type Chart'!$C$2:$U$20,6,false)</f>
        <v>1</v>
      </c>
      <c r="Z1876" s="960">
        <f t="array" ref="Z1876">HLOOKUP($J1876,'Type Chart'!$C$2:$T$20,7,false)*HLOOKUP($K1876,'Type Chart'!$C$2:$U$20,7,false)</f>
        <v>1</v>
      </c>
      <c r="AA1876" s="960">
        <f t="array" ref="AA1876">HLOOKUP($J1876,'Type Chart'!$C$2:$T$20,8,false)*HLOOKUP($K1876,'Type Chart'!$C$2:$U$20,8,false)</f>
        <v>0.5</v>
      </c>
      <c r="AB1876" s="960">
        <f t="array" ref="AB1876">HLOOKUP($J1876,'Type Chart'!$C$2:$T$20,9,false)*HLOOKUP($K1876,'Type Chart'!$C$2:$U$20,9,false)</f>
        <v>2</v>
      </c>
      <c r="AC1876" s="960">
        <f t="array" ref="AC1876">HLOOKUP($J1876,'Type Chart'!$C$2:$T$20,10,false)*HLOOKUP($K1876,'Type Chart'!$C$2:$U$20,10,false)</f>
        <v>1</v>
      </c>
      <c r="AD1876" s="960">
        <f t="array" ref="AD1876">HLOOKUP($J1876,'Type Chart'!$C$2:$T$20,11,false)*HLOOKUP($K1876,'Type Chart'!$C$2:$U$20,11,false)</f>
        <v>0.5</v>
      </c>
      <c r="AE1876" s="960">
        <f t="array" ref="AE1876">HLOOKUP($J1876,'Type Chart'!$C$2:$T$20,12,false)*HLOOKUP($K1876,'Type Chart'!$C$2:$U$20,12,false)</f>
        <v>0.5</v>
      </c>
      <c r="AF1876" s="960">
        <f t="array" ref="AF1876">HLOOKUP($J1876,'Type Chart'!$C$2:$T$20,13,false)*HLOOKUP($K1876,'Type Chart'!$C$2:$U$20,13,false)</f>
        <v>0.5</v>
      </c>
      <c r="AG1876" s="960">
        <f t="array" ref="AG1876">HLOOKUP($J1876,'Type Chart'!$C$2:$T$20,14,false)*HLOOKUP($K1876,'Type Chart'!$C$2:$U$20,14,false)</f>
        <v>0.5</v>
      </c>
      <c r="AH1876" s="960">
        <f t="array" ref="AH1876">HLOOKUP($J1876,'Type Chart'!$C$2:$T$20,15,false)*HLOOKUP($K1876,'Type Chart'!$C$2:$U$20,15,false)</f>
        <v>1</v>
      </c>
      <c r="AI1876" s="960">
        <f t="array" ref="AI1876">HLOOKUP($J1876,'Type Chart'!$C$2:$T$20,16,false)*HLOOKUP($K1876,'Type Chart'!$C$2:$U$20,16,false)</f>
        <v>2</v>
      </c>
      <c r="AJ1876" s="960">
        <f t="array" ref="AJ1876">HLOOKUP($J1876,'Type Chart'!$C$2:$T$20,17,false)*HLOOKUP($K1876,'Type Chart'!$C$2:$U$20,17,false)</f>
        <v>2</v>
      </c>
      <c r="AK1876" s="960">
        <f t="array" ref="AK1876">HLOOKUP($J1876,'Type Chart'!$C$2:$T$20,18,false)*HLOOKUP($K1876,'Type Chart'!$C$2:$U$20,18,false)</f>
        <v>2</v>
      </c>
      <c r="AL1876" s="960">
        <f t="array" ref="AL1876">HLOOKUP($J1876,'Type Chart'!$C$2:$T$20,19,false)*HLOOKUP($K1876,'Type Chart'!$C$2:$U$20,19,false)</f>
        <v>2</v>
      </c>
      <c r="AM1876" s="964" t="s">
        <v>1437</v>
      </c>
      <c r="AN1876" s="965"/>
      <c r="AO1876" s="966"/>
      <c r="AP1876" s="936"/>
      <c r="AQ1876" s="1245"/>
      <c r="AR1876" s="1245"/>
      <c r="AS1876" s="936"/>
    </row>
    <row r="1877" ht="15.75" customHeight="1">
      <c r="A1877" s="1099"/>
      <c r="B1877" s="948" t="s">
        <v>2727</v>
      </c>
      <c r="C1877" s="1197" t="s">
        <v>2728</v>
      </c>
      <c r="D1877" s="1197" t="s">
        <v>2728</v>
      </c>
      <c r="E1877" s="1147" t="s">
        <v>2728</v>
      </c>
      <c r="F1877" s="940"/>
      <c r="G1877" s="953"/>
      <c r="H1877" s="969"/>
      <c r="I1877" s="998" t="s">
        <v>4977</v>
      </c>
      <c r="J1877" s="1215" t="s">
        <v>344</v>
      </c>
      <c r="K1877" s="1199" t="s">
        <v>216</v>
      </c>
      <c r="L1877" s="1200">
        <v>120.0</v>
      </c>
      <c r="M1877" s="1201">
        <v>70.0</v>
      </c>
      <c r="N1877" s="1201">
        <v>120.0</v>
      </c>
      <c r="O1877" s="1201">
        <v>75.0</v>
      </c>
      <c r="P1877" s="1201">
        <v>130.0</v>
      </c>
      <c r="Q1877" s="1201">
        <v>85.0</v>
      </c>
      <c r="R1877" s="960">
        <v>206.0</v>
      </c>
      <c r="S1877" s="960">
        <v>269.0</v>
      </c>
      <c r="T1877" s="960">
        <v>295.0</v>
      </c>
      <c r="U1877" s="960">
        <f t="array" ref="U1877">HLOOKUP($J1877,'Type Chart'!$C$2:$T$20,2,false)*HLOOKUP($K1877,'Type Chart'!$C$2:$U$20,2,false)</f>
        <v>1</v>
      </c>
      <c r="V1877" s="960">
        <f t="array" ref="V1877">HLOOKUP($J1877,'Type Chart'!$C$2:$T$20,3,false)*HLOOKUP($K1877,'Type Chart'!$C$2:$U$20,3,false)</f>
        <v>0.5</v>
      </c>
      <c r="W1877" s="960">
        <f t="array" ref="W1877">HLOOKUP($J1877,'Type Chart'!$C$2:$T$20,4,false)*HLOOKUP($K1877,'Type Chart'!$C$2:$U$20,4,false)</f>
        <v>1</v>
      </c>
      <c r="X1877" s="960">
        <f t="array" ref="X1877">HLOOKUP($J1877,'Type Chart'!$C$2:$T$20,5,false)*HLOOKUP($K1877,'Type Chart'!$C$2:$U$20,5,false)</f>
        <v>1</v>
      </c>
      <c r="Y1877" s="960">
        <f t="array" ref="Y1877">HLOOKUP($J1877,'Type Chart'!$C$2:$T$20,6,false)*HLOOKUP($K1877,'Type Chart'!$C$2:$U$20,6,false)</f>
        <v>1</v>
      </c>
      <c r="Z1877" s="960">
        <f t="array" ref="Z1877">HLOOKUP($J1877,'Type Chart'!$C$2:$T$20,7,false)*HLOOKUP($K1877,'Type Chart'!$C$2:$U$20,7,false)</f>
        <v>1</v>
      </c>
      <c r="AA1877" s="960">
        <f t="array" ref="AA1877">HLOOKUP($J1877,'Type Chart'!$C$2:$T$20,8,false)*HLOOKUP($K1877,'Type Chart'!$C$2:$U$20,8,false)</f>
        <v>2</v>
      </c>
      <c r="AB1877" s="960">
        <f t="array" ref="AB1877">HLOOKUP($J1877,'Type Chart'!$C$2:$T$20,9,false)*HLOOKUP($K1877,'Type Chart'!$C$2:$U$20,9,false)</f>
        <v>2</v>
      </c>
      <c r="AC1877" s="960">
        <f t="array" ref="AC1877">HLOOKUP($J1877,'Type Chart'!$C$2:$T$20,10,false)*HLOOKUP($K1877,'Type Chart'!$C$2:$U$20,10,false)</f>
        <v>1</v>
      </c>
      <c r="AD1877" s="960">
        <f t="array" ref="AD1877">HLOOKUP($J1877,'Type Chart'!$C$2:$T$20,11,false)*HLOOKUP($K1877,'Type Chart'!$C$2:$U$20,11,false)</f>
        <v>1</v>
      </c>
      <c r="AE1877" s="960">
        <f t="array" ref="AE1877">HLOOKUP($J1877,'Type Chart'!$C$2:$T$20,12,false)*HLOOKUP($K1877,'Type Chart'!$C$2:$U$20,12,false)</f>
        <v>1</v>
      </c>
      <c r="AF1877" s="960">
        <f t="array" ref="AF1877">HLOOKUP($J1877,'Type Chart'!$C$2:$T$20,13,false)*HLOOKUP($K1877,'Type Chart'!$C$2:$U$20,13,false)</f>
        <v>1</v>
      </c>
      <c r="AG1877" s="960">
        <f t="array" ref="AG1877">HLOOKUP($J1877,'Type Chart'!$C$2:$T$20,14,false)*HLOOKUP($K1877,'Type Chart'!$C$2:$U$20,14,false)</f>
        <v>1</v>
      </c>
      <c r="AH1877" s="960">
        <f t="array" ref="AH1877">HLOOKUP($J1877,'Type Chart'!$C$2:$T$20,15,false)*HLOOKUP($K1877,'Type Chart'!$C$2:$U$20,15,false)</f>
        <v>0.5</v>
      </c>
      <c r="AI1877" s="960">
        <f t="array" ref="AI1877">HLOOKUP($J1877,'Type Chart'!$C$2:$T$20,16,false)*HLOOKUP($K1877,'Type Chart'!$C$2:$U$20,16,false)</f>
        <v>1</v>
      </c>
      <c r="AJ1877" s="960">
        <f t="array" ref="AJ1877">HLOOKUP($J1877,'Type Chart'!$C$2:$T$20,17,false)*HLOOKUP($K1877,'Type Chart'!$C$2:$U$20,17,false)</f>
        <v>1</v>
      </c>
      <c r="AK1877" s="960">
        <f t="array" ref="AK1877">HLOOKUP($J1877,'Type Chart'!$C$2:$T$20,18,false)*HLOOKUP($K1877,'Type Chart'!$C$2:$U$20,18,false)</f>
        <v>2</v>
      </c>
      <c r="AL1877" s="960">
        <f t="array" ref="AL1877">HLOOKUP($J1877,'Type Chart'!$C$2:$T$20,19,false)*HLOOKUP($K1877,'Type Chart'!$C$2:$U$20,19,false)</f>
        <v>1</v>
      </c>
      <c r="AM1877" s="1145" t="s">
        <v>1437</v>
      </c>
      <c r="AN1877" s="1202"/>
      <c r="AO1877" s="1146"/>
      <c r="AP1877" s="936"/>
      <c r="AQ1877" s="1245"/>
      <c r="AR1877" s="1245"/>
      <c r="AS1877" s="936"/>
    </row>
    <row r="1878" ht="15.75" customHeight="1">
      <c r="A1878" s="1099"/>
      <c r="B1878" s="948" t="s">
        <v>2729</v>
      </c>
      <c r="C1878" s="1197" t="s">
        <v>2730</v>
      </c>
      <c r="D1878" s="1197" t="s">
        <v>2730</v>
      </c>
      <c r="E1878" s="1147" t="s">
        <v>2730</v>
      </c>
      <c r="F1878" s="940"/>
      <c r="G1878" s="953"/>
      <c r="H1878" s="969"/>
      <c r="I1878" s="998" t="s">
        <v>4978</v>
      </c>
      <c r="J1878" s="1056" t="s">
        <v>81</v>
      </c>
      <c r="K1878" s="984" t="s">
        <v>216</v>
      </c>
      <c r="L1878" s="959">
        <v>80.0</v>
      </c>
      <c r="M1878" s="960">
        <v>80.0</v>
      </c>
      <c r="N1878" s="960">
        <v>80.0</v>
      </c>
      <c r="O1878" s="960">
        <v>80.0</v>
      </c>
      <c r="P1878" s="960">
        <v>80.0</v>
      </c>
      <c r="Q1878" s="960">
        <v>80.0</v>
      </c>
      <c r="R1878" s="960">
        <v>196.0</v>
      </c>
      <c r="S1878" s="960">
        <v>259.0</v>
      </c>
      <c r="T1878" s="960">
        <v>284.0</v>
      </c>
      <c r="U1878" s="960">
        <f t="array" ref="U1878">HLOOKUP($J1878,'Type Chart'!$C$2:$T$20,2,false)*HLOOKUP($K1878,'Type Chart'!$C$2:$U$20,2,false)</f>
        <v>1</v>
      </c>
      <c r="V1878" s="960">
        <f t="array" ref="V1878">HLOOKUP($J1878,'Type Chart'!$C$2:$T$20,3,false)*HLOOKUP($K1878,'Type Chart'!$C$2:$U$20,3,false)</f>
        <v>1</v>
      </c>
      <c r="W1878" s="960">
        <f t="array" ref="W1878">HLOOKUP($J1878,'Type Chart'!$C$2:$T$20,4,false)*HLOOKUP($K1878,'Type Chart'!$C$2:$U$20,4,false)</f>
        <v>1</v>
      </c>
      <c r="X1878" s="960">
        <f t="array" ref="X1878">HLOOKUP($J1878,'Type Chart'!$C$2:$T$20,5,false)*HLOOKUP($K1878,'Type Chart'!$C$2:$U$20,5,false)</f>
        <v>1</v>
      </c>
      <c r="Y1878" s="960">
        <f t="array" ref="Y1878">HLOOKUP($J1878,'Type Chart'!$C$2:$T$20,6,false)*HLOOKUP($K1878,'Type Chart'!$C$2:$U$20,6,false)</f>
        <v>1</v>
      </c>
      <c r="Z1878" s="960">
        <f t="array" ref="Z1878">HLOOKUP($J1878,'Type Chart'!$C$2:$T$20,7,false)*HLOOKUP($K1878,'Type Chart'!$C$2:$U$20,7,false)</f>
        <v>1</v>
      </c>
      <c r="AA1878" s="960">
        <f t="array" ref="AA1878">HLOOKUP($J1878,'Type Chart'!$C$2:$T$20,8,false)*HLOOKUP($K1878,'Type Chart'!$C$2:$U$20,8,false)</f>
        <v>1</v>
      </c>
      <c r="AB1878" s="960">
        <f t="array" ref="AB1878">HLOOKUP($J1878,'Type Chart'!$C$2:$T$20,9,false)*HLOOKUP($K1878,'Type Chart'!$C$2:$U$20,9,false)</f>
        <v>1</v>
      </c>
      <c r="AC1878" s="960">
        <f t="array" ref="AC1878">HLOOKUP($J1878,'Type Chart'!$C$2:$T$20,10,false)*HLOOKUP($K1878,'Type Chart'!$C$2:$U$20,10,false)</f>
        <v>0.5</v>
      </c>
      <c r="AD1878" s="960">
        <f t="array" ref="AD1878">HLOOKUP($J1878,'Type Chart'!$C$2:$T$20,11,false)*HLOOKUP($K1878,'Type Chart'!$C$2:$U$20,11,false)</f>
        <v>0.5</v>
      </c>
      <c r="AE1878" s="960">
        <f t="array" ref="AE1878">HLOOKUP($J1878,'Type Chart'!$C$2:$T$20,12,false)*HLOOKUP($K1878,'Type Chart'!$C$2:$U$20,12,false)</f>
        <v>0.5</v>
      </c>
      <c r="AF1878" s="960">
        <f t="array" ref="AF1878">HLOOKUP($J1878,'Type Chart'!$C$2:$T$20,13,false)*HLOOKUP($K1878,'Type Chart'!$C$2:$U$20,13,false)</f>
        <v>2</v>
      </c>
      <c r="AG1878" s="960">
        <f t="array" ref="AG1878">HLOOKUP($J1878,'Type Chart'!$C$2:$T$20,14,false)*HLOOKUP($K1878,'Type Chart'!$C$2:$U$20,14,false)</f>
        <v>2</v>
      </c>
      <c r="AH1878" s="960">
        <f t="array" ref="AH1878">HLOOKUP($J1878,'Type Chart'!$C$2:$T$20,15,false)*HLOOKUP($K1878,'Type Chart'!$C$2:$U$20,15,false)</f>
        <v>1</v>
      </c>
      <c r="AI1878" s="960">
        <f t="array" ref="AI1878">HLOOKUP($J1878,'Type Chart'!$C$2:$T$20,16,false)*HLOOKUP($K1878,'Type Chart'!$C$2:$U$20,16,false)</f>
        <v>0.5</v>
      </c>
      <c r="AJ1878" s="960">
        <f t="array" ref="AJ1878">HLOOKUP($J1878,'Type Chart'!$C$2:$T$20,17,false)*HLOOKUP($K1878,'Type Chart'!$C$2:$U$20,17,false)</f>
        <v>1</v>
      </c>
      <c r="AK1878" s="960">
        <f t="array" ref="AK1878">HLOOKUP($J1878,'Type Chart'!$C$2:$T$20,18,false)*HLOOKUP($K1878,'Type Chart'!$C$2:$U$20,18,false)</f>
        <v>1</v>
      </c>
      <c r="AL1878" s="960">
        <f t="array" ref="AL1878">HLOOKUP($J1878,'Type Chart'!$C$2:$T$20,19,false)*HLOOKUP($K1878,'Type Chart'!$C$2:$U$20,19,false)</f>
        <v>1</v>
      </c>
      <c r="AM1878" s="964" t="s">
        <v>1409</v>
      </c>
      <c r="AN1878" s="965"/>
      <c r="AO1878" s="966"/>
      <c r="AP1878" s="936"/>
      <c r="AQ1878" s="1245"/>
      <c r="AR1878" s="1245"/>
      <c r="AS1878" s="936"/>
    </row>
    <row r="1879" ht="15.75" customHeight="1">
      <c r="A1879" s="1099"/>
      <c r="B1879" s="948" t="s">
        <v>2731</v>
      </c>
      <c r="C1879" s="1197" t="s">
        <v>2732</v>
      </c>
      <c r="D1879" s="1197" t="s">
        <v>2732</v>
      </c>
      <c r="E1879" s="1147" t="s">
        <v>2732</v>
      </c>
      <c r="F1879" s="940"/>
      <c r="G1879" s="953"/>
      <c r="H1879" s="969"/>
      <c r="I1879" s="998" t="s">
        <v>4979</v>
      </c>
      <c r="J1879" s="1056" t="s">
        <v>81</v>
      </c>
      <c r="K1879" s="984" t="s">
        <v>216</v>
      </c>
      <c r="L1879" s="959">
        <v>100.0</v>
      </c>
      <c r="M1879" s="960">
        <v>100.0</v>
      </c>
      <c r="N1879" s="960">
        <v>100.0</v>
      </c>
      <c r="O1879" s="960">
        <v>100.0</v>
      </c>
      <c r="P1879" s="960">
        <v>100.0</v>
      </c>
      <c r="Q1879" s="960">
        <v>100.0</v>
      </c>
      <c r="R1879" s="960">
        <v>236.0</v>
      </c>
      <c r="S1879" s="960">
        <v>299.0</v>
      </c>
      <c r="T1879" s="960">
        <v>328.0</v>
      </c>
      <c r="U1879" s="960">
        <f t="array" ref="U1879">HLOOKUP($J1879,'Type Chart'!$C$2:$T$20,2,false)*HLOOKUP($K1879,'Type Chart'!$C$2:$U$20,2,false)</f>
        <v>1</v>
      </c>
      <c r="V1879" s="960">
        <f t="array" ref="V1879">HLOOKUP($J1879,'Type Chart'!$C$2:$T$20,3,false)*HLOOKUP($K1879,'Type Chart'!$C$2:$U$20,3,false)</f>
        <v>1</v>
      </c>
      <c r="W1879" s="960">
        <f t="array" ref="W1879">HLOOKUP($J1879,'Type Chart'!$C$2:$T$20,4,false)*HLOOKUP($K1879,'Type Chart'!$C$2:$U$20,4,false)</f>
        <v>1</v>
      </c>
      <c r="X1879" s="960">
        <f t="array" ref="X1879">HLOOKUP($J1879,'Type Chart'!$C$2:$T$20,5,false)*HLOOKUP($K1879,'Type Chart'!$C$2:$U$20,5,false)</f>
        <v>1</v>
      </c>
      <c r="Y1879" s="960">
        <f t="array" ref="Y1879">HLOOKUP($J1879,'Type Chart'!$C$2:$T$20,6,false)*HLOOKUP($K1879,'Type Chart'!$C$2:$U$20,6,false)</f>
        <v>1</v>
      </c>
      <c r="Z1879" s="960">
        <f t="array" ref="Z1879">HLOOKUP($J1879,'Type Chart'!$C$2:$T$20,7,false)*HLOOKUP($K1879,'Type Chart'!$C$2:$U$20,7,false)</f>
        <v>1</v>
      </c>
      <c r="AA1879" s="960">
        <f t="array" ref="AA1879">HLOOKUP($J1879,'Type Chart'!$C$2:$T$20,8,false)*HLOOKUP($K1879,'Type Chart'!$C$2:$U$20,8,false)</f>
        <v>1</v>
      </c>
      <c r="AB1879" s="960">
        <f t="array" ref="AB1879">HLOOKUP($J1879,'Type Chart'!$C$2:$T$20,9,false)*HLOOKUP($K1879,'Type Chart'!$C$2:$U$20,9,false)</f>
        <v>1</v>
      </c>
      <c r="AC1879" s="960">
        <f t="array" ref="AC1879">HLOOKUP($J1879,'Type Chart'!$C$2:$T$20,10,false)*HLOOKUP($K1879,'Type Chart'!$C$2:$U$20,10,false)</f>
        <v>0.5</v>
      </c>
      <c r="AD1879" s="960">
        <f t="array" ref="AD1879">HLOOKUP($J1879,'Type Chart'!$C$2:$T$20,11,false)*HLOOKUP($K1879,'Type Chart'!$C$2:$U$20,11,false)</f>
        <v>0.5</v>
      </c>
      <c r="AE1879" s="960">
        <f t="array" ref="AE1879">HLOOKUP($J1879,'Type Chart'!$C$2:$T$20,12,false)*HLOOKUP($K1879,'Type Chart'!$C$2:$U$20,12,false)</f>
        <v>0.5</v>
      </c>
      <c r="AF1879" s="960">
        <f t="array" ref="AF1879">HLOOKUP($J1879,'Type Chart'!$C$2:$T$20,13,false)*HLOOKUP($K1879,'Type Chart'!$C$2:$U$20,13,false)</f>
        <v>2</v>
      </c>
      <c r="AG1879" s="960">
        <f t="array" ref="AG1879">HLOOKUP($J1879,'Type Chart'!$C$2:$T$20,14,false)*HLOOKUP($K1879,'Type Chart'!$C$2:$U$20,14,false)</f>
        <v>2</v>
      </c>
      <c r="AH1879" s="960">
        <f t="array" ref="AH1879">HLOOKUP($J1879,'Type Chart'!$C$2:$T$20,15,false)*HLOOKUP($K1879,'Type Chart'!$C$2:$U$20,15,false)</f>
        <v>1</v>
      </c>
      <c r="AI1879" s="960">
        <f t="array" ref="AI1879">HLOOKUP($J1879,'Type Chart'!$C$2:$T$20,16,false)*HLOOKUP($K1879,'Type Chart'!$C$2:$U$20,16,false)</f>
        <v>0.5</v>
      </c>
      <c r="AJ1879" s="960">
        <f t="array" ref="AJ1879">HLOOKUP($J1879,'Type Chart'!$C$2:$T$20,17,false)*HLOOKUP($K1879,'Type Chart'!$C$2:$U$20,17,false)</f>
        <v>1</v>
      </c>
      <c r="AK1879" s="960">
        <f t="array" ref="AK1879">HLOOKUP($J1879,'Type Chart'!$C$2:$T$20,18,false)*HLOOKUP($K1879,'Type Chart'!$C$2:$U$20,18,false)</f>
        <v>1</v>
      </c>
      <c r="AL1879" s="960">
        <f t="array" ref="AL1879">HLOOKUP($J1879,'Type Chart'!$C$2:$T$20,19,false)*HLOOKUP($K1879,'Type Chart'!$C$2:$U$20,19,false)</f>
        <v>1</v>
      </c>
      <c r="AM1879" s="964" t="s">
        <v>1409</v>
      </c>
      <c r="AN1879" s="965"/>
      <c r="AO1879" s="966"/>
      <c r="AP1879" s="936"/>
      <c r="AQ1879" s="1245"/>
      <c r="AR1879" s="1245"/>
      <c r="AS1879" s="936"/>
    </row>
    <row r="1880" ht="15.75" customHeight="1">
      <c r="A1880" s="1099"/>
      <c r="B1880" s="948" t="s">
        <v>2733</v>
      </c>
      <c r="C1880" s="1197" t="s">
        <v>141</v>
      </c>
      <c r="D1880" s="1197" t="s">
        <v>141</v>
      </c>
      <c r="E1880" s="1147" t="s">
        <v>141</v>
      </c>
      <c r="F1880" s="940"/>
      <c r="G1880" s="953"/>
      <c r="H1880" s="969"/>
      <c r="I1880" s="998" t="s">
        <v>4980</v>
      </c>
      <c r="J1880" s="1195" t="s">
        <v>193</v>
      </c>
      <c r="K1880" s="984" t="s">
        <v>216</v>
      </c>
      <c r="L1880" s="959">
        <v>70.0</v>
      </c>
      <c r="M1880" s="960">
        <v>90.0</v>
      </c>
      <c r="N1880" s="960">
        <v>90.0</v>
      </c>
      <c r="O1880" s="960">
        <v>135.0</v>
      </c>
      <c r="P1880" s="960">
        <v>90.0</v>
      </c>
      <c r="Q1880" s="960">
        <v>125.0</v>
      </c>
      <c r="R1880" s="960">
        <v>286.0</v>
      </c>
      <c r="S1880" s="960">
        <v>349.0</v>
      </c>
      <c r="T1880" s="960">
        <v>383.0</v>
      </c>
      <c r="U1880" s="960">
        <f t="array" ref="U1880">HLOOKUP($J1880,'Type Chart'!$C$2:$T$20,2,false)*HLOOKUP($K1880,'Type Chart'!$C$2:$U$20,2,false)</f>
        <v>1</v>
      </c>
      <c r="V1880" s="960">
        <f t="array" ref="V1880">HLOOKUP($J1880,'Type Chart'!$C$2:$T$20,3,false)*HLOOKUP($K1880,'Type Chart'!$C$2:$U$20,3,false)</f>
        <v>2</v>
      </c>
      <c r="W1880" s="960">
        <f t="array" ref="W1880">HLOOKUP($J1880,'Type Chart'!$C$2:$T$20,4,false)*HLOOKUP($K1880,'Type Chart'!$C$2:$U$20,4,false)</f>
        <v>1</v>
      </c>
      <c r="X1880" s="960">
        <f t="array" ref="X1880">HLOOKUP($J1880,'Type Chart'!$C$2:$T$20,5,false)*HLOOKUP($K1880,'Type Chart'!$C$2:$U$20,5,false)</f>
        <v>1</v>
      </c>
      <c r="Y1880" s="960">
        <f t="array" ref="Y1880">HLOOKUP($J1880,'Type Chart'!$C$2:$T$20,6,false)*HLOOKUP($K1880,'Type Chart'!$C$2:$U$20,6,false)</f>
        <v>1</v>
      </c>
      <c r="Z1880" s="960">
        <f t="array" ref="Z1880">HLOOKUP($J1880,'Type Chart'!$C$2:$T$20,7,false)*HLOOKUP($K1880,'Type Chart'!$C$2:$U$20,7,false)</f>
        <v>1</v>
      </c>
      <c r="AA1880" s="960">
        <f t="array" ref="AA1880">HLOOKUP($J1880,'Type Chart'!$C$2:$T$20,8,false)*HLOOKUP($K1880,'Type Chart'!$C$2:$U$20,8,false)</f>
        <v>2</v>
      </c>
      <c r="AB1880" s="960">
        <f t="array" ref="AB1880">HLOOKUP($J1880,'Type Chart'!$C$2:$T$20,9,false)*HLOOKUP($K1880,'Type Chart'!$C$2:$U$20,9,false)</f>
        <v>0.5</v>
      </c>
      <c r="AC1880" s="960">
        <f t="array" ref="AC1880">HLOOKUP($J1880,'Type Chart'!$C$2:$T$20,10,false)*HLOOKUP($K1880,'Type Chart'!$C$2:$U$20,10,false)</f>
        <v>1</v>
      </c>
      <c r="AD1880" s="960">
        <f t="array" ref="AD1880">HLOOKUP($J1880,'Type Chart'!$C$2:$T$20,11,false)*HLOOKUP($K1880,'Type Chart'!$C$2:$U$20,11,false)</f>
        <v>1</v>
      </c>
      <c r="AE1880" s="960">
        <f t="array" ref="AE1880">HLOOKUP($J1880,'Type Chart'!$C$2:$T$20,12,false)*HLOOKUP($K1880,'Type Chart'!$C$2:$U$20,12,false)</f>
        <v>1</v>
      </c>
      <c r="AF1880" s="960">
        <f t="array" ref="AF1880">HLOOKUP($J1880,'Type Chart'!$C$2:$T$20,13,false)*HLOOKUP($K1880,'Type Chart'!$C$2:$U$20,13,false)</f>
        <v>1</v>
      </c>
      <c r="AG1880" s="960">
        <f t="array" ref="AG1880">HLOOKUP($J1880,'Type Chart'!$C$2:$T$20,14,false)*HLOOKUP($K1880,'Type Chart'!$C$2:$U$20,14,false)</f>
        <v>1</v>
      </c>
      <c r="AH1880" s="960">
        <f t="array" ref="AH1880">HLOOKUP($J1880,'Type Chart'!$C$2:$T$20,15,false)*HLOOKUP($K1880,'Type Chart'!$C$2:$U$20,15,false)</f>
        <v>0</v>
      </c>
      <c r="AI1880" s="960">
        <f t="array" ref="AI1880">HLOOKUP($J1880,'Type Chart'!$C$2:$T$20,16,false)*HLOOKUP($K1880,'Type Chart'!$C$2:$U$20,16,false)</f>
        <v>1</v>
      </c>
      <c r="AJ1880" s="960">
        <f t="array" ref="AJ1880">HLOOKUP($J1880,'Type Chart'!$C$2:$T$20,17,false)*HLOOKUP($K1880,'Type Chart'!$C$2:$U$20,17,false)</f>
        <v>1</v>
      </c>
      <c r="AK1880" s="960">
        <f t="array" ref="AK1880">HLOOKUP($J1880,'Type Chart'!$C$2:$T$20,18,false)*HLOOKUP($K1880,'Type Chart'!$C$2:$U$20,18,false)</f>
        <v>0.5</v>
      </c>
      <c r="AL1880" s="960">
        <f t="array" ref="AL1880">HLOOKUP($J1880,'Type Chart'!$C$2:$T$20,19,false)*HLOOKUP($K1880,'Type Chart'!$C$2:$U$20,19,false)</f>
        <v>2</v>
      </c>
      <c r="AM1880" s="964" t="s">
        <v>2734</v>
      </c>
      <c r="AN1880" s="965"/>
      <c r="AO1880" s="966"/>
      <c r="AP1880" s="936"/>
      <c r="AQ1880" s="1245"/>
      <c r="AR1880" s="1245"/>
      <c r="AS1880" s="936"/>
    </row>
    <row r="1881" ht="15.75" customHeight="1">
      <c r="A1881" s="1099"/>
      <c r="B1881" s="948" t="s">
        <v>2735</v>
      </c>
      <c r="C1881" s="1197" t="s">
        <v>2736</v>
      </c>
      <c r="D1881" s="1197" t="s">
        <v>2736</v>
      </c>
      <c r="E1881" s="1147" t="s">
        <v>2736</v>
      </c>
      <c r="F1881" s="940"/>
      <c r="G1881" s="953"/>
      <c r="H1881" s="969"/>
      <c r="I1881" s="998" t="s">
        <v>91</v>
      </c>
      <c r="J1881" s="957" t="s">
        <v>209</v>
      </c>
      <c r="K1881" s="984" t="s">
        <v>216</v>
      </c>
      <c r="L1881" s="959">
        <v>100.0</v>
      </c>
      <c r="M1881" s="960">
        <v>100.0</v>
      </c>
      <c r="N1881" s="960">
        <v>100.0</v>
      </c>
      <c r="O1881" s="960">
        <v>100.0</v>
      </c>
      <c r="P1881" s="960">
        <v>100.0</v>
      </c>
      <c r="Q1881" s="960">
        <v>100.0</v>
      </c>
      <c r="R1881" s="960">
        <v>236.0</v>
      </c>
      <c r="S1881" s="960">
        <v>299.0</v>
      </c>
      <c r="T1881" s="960">
        <v>328.0</v>
      </c>
      <c r="U1881" s="960">
        <f t="array" ref="U1881">HLOOKUP($J1881,'Type Chart'!$C$2:$T$20,2,false)*HLOOKUP($K1881,'Type Chart'!$C$2:$U$20,2,false)</f>
        <v>1</v>
      </c>
      <c r="V1881" s="960">
        <f t="array" ref="V1881">HLOOKUP($J1881,'Type Chart'!$C$2:$T$20,3,false)*HLOOKUP($K1881,'Type Chart'!$C$2:$U$20,3,false)</f>
        <v>1</v>
      </c>
      <c r="W1881" s="960">
        <f t="array" ref="W1881">HLOOKUP($J1881,'Type Chart'!$C$2:$T$20,4,false)*HLOOKUP($K1881,'Type Chart'!$C$2:$U$20,4,false)</f>
        <v>2</v>
      </c>
      <c r="X1881" s="960">
        <f t="array" ref="X1881">HLOOKUP($J1881,'Type Chart'!$C$2:$T$20,5,false)*HLOOKUP($K1881,'Type Chart'!$C$2:$U$20,5,false)</f>
        <v>2</v>
      </c>
      <c r="Y1881" s="960">
        <f t="array" ref="Y1881">HLOOKUP($J1881,'Type Chart'!$C$2:$T$20,6,false)*HLOOKUP($K1881,'Type Chart'!$C$2:$U$20,6,false)</f>
        <v>0.5</v>
      </c>
      <c r="Z1881" s="960">
        <f t="array" ref="Z1881">HLOOKUP($J1881,'Type Chart'!$C$2:$T$20,7,false)*HLOOKUP($K1881,'Type Chart'!$C$2:$U$20,7,false)</f>
        <v>1</v>
      </c>
      <c r="AA1881" s="960">
        <f t="array" ref="AA1881">HLOOKUP($J1881,'Type Chart'!$C$2:$T$20,8,false)*HLOOKUP($K1881,'Type Chart'!$C$2:$U$20,8,false)</f>
        <v>2</v>
      </c>
      <c r="AB1881" s="960">
        <f t="array" ref="AB1881">HLOOKUP($J1881,'Type Chart'!$C$2:$T$20,9,false)*HLOOKUP($K1881,'Type Chart'!$C$2:$U$20,9,false)</f>
        <v>1</v>
      </c>
      <c r="AC1881" s="960">
        <f t="array" ref="AC1881">HLOOKUP($J1881,'Type Chart'!$C$2:$T$20,10,false)*HLOOKUP($K1881,'Type Chart'!$C$2:$U$20,10,false)</f>
        <v>1</v>
      </c>
      <c r="AD1881" s="960">
        <f t="array" ref="AD1881">HLOOKUP($J1881,'Type Chart'!$C$2:$T$20,11,false)*HLOOKUP($K1881,'Type Chart'!$C$2:$U$20,11,false)</f>
        <v>2</v>
      </c>
      <c r="AE1881" s="960">
        <f t="array" ref="AE1881">HLOOKUP($J1881,'Type Chart'!$C$2:$T$20,12,false)*HLOOKUP($K1881,'Type Chart'!$C$2:$U$20,12,false)</f>
        <v>0.5</v>
      </c>
      <c r="AF1881" s="960">
        <f t="array" ref="AF1881">HLOOKUP($J1881,'Type Chart'!$C$2:$T$20,13,false)*HLOOKUP($K1881,'Type Chart'!$C$2:$U$20,13,false)</f>
        <v>0.5</v>
      </c>
      <c r="AG1881" s="960">
        <f t="array" ref="AG1881">HLOOKUP($J1881,'Type Chart'!$C$2:$T$20,14,false)*HLOOKUP($K1881,'Type Chart'!$C$2:$U$20,14,false)</f>
        <v>0.5</v>
      </c>
      <c r="AH1881" s="960">
        <f t="array" ref="AH1881">HLOOKUP($J1881,'Type Chart'!$C$2:$T$20,15,false)*HLOOKUP($K1881,'Type Chart'!$C$2:$U$20,15,false)</f>
        <v>1</v>
      </c>
      <c r="AI1881" s="960">
        <f t="array" ref="AI1881">HLOOKUP($J1881,'Type Chart'!$C$2:$T$20,16,false)*HLOOKUP($K1881,'Type Chart'!$C$2:$U$20,16,false)</f>
        <v>2</v>
      </c>
      <c r="AJ1881" s="960">
        <f t="array" ref="AJ1881">HLOOKUP($J1881,'Type Chart'!$C$2:$T$20,17,false)*HLOOKUP($K1881,'Type Chart'!$C$2:$U$20,17,false)</f>
        <v>1</v>
      </c>
      <c r="AK1881" s="960">
        <f t="array" ref="AK1881">HLOOKUP($J1881,'Type Chart'!$C$2:$T$20,18,false)*HLOOKUP($K1881,'Type Chart'!$C$2:$U$20,18,false)</f>
        <v>1</v>
      </c>
      <c r="AL1881" s="960">
        <f t="array" ref="AL1881">HLOOKUP($J1881,'Type Chart'!$C$2:$T$20,19,false)*HLOOKUP($K1881,'Type Chart'!$C$2:$U$20,19,false)</f>
        <v>1</v>
      </c>
      <c r="AM1881" s="964" t="s">
        <v>1520</v>
      </c>
      <c r="AN1881" s="965"/>
      <c r="AO1881" s="966"/>
      <c r="AP1881" s="936"/>
      <c r="AQ1881" s="1245"/>
      <c r="AR1881" s="1245"/>
      <c r="AS1881" s="936"/>
    </row>
    <row r="1882" ht="15.75" customHeight="1">
      <c r="A1882" s="1099"/>
      <c r="B1882" s="948" t="s">
        <v>2737</v>
      </c>
      <c r="C1882" s="1197" t="s">
        <v>2738</v>
      </c>
      <c r="D1882" s="1197" t="s">
        <v>2738</v>
      </c>
      <c r="E1882" s="1147" t="s">
        <v>2738</v>
      </c>
      <c r="F1882" s="940"/>
      <c r="G1882" s="953"/>
      <c r="H1882" s="969"/>
      <c r="I1882" s="998" t="s">
        <v>4981</v>
      </c>
      <c r="J1882" s="957" t="s">
        <v>209</v>
      </c>
      <c r="K1882" s="1001" t="s">
        <v>128</v>
      </c>
      <c r="L1882" s="959">
        <v>100.0</v>
      </c>
      <c r="M1882" s="960">
        <v>103.0</v>
      </c>
      <c r="N1882" s="960">
        <v>75.0</v>
      </c>
      <c r="O1882" s="960">
        <v>120.0</v>
      </c>
      <c r="P1882" s="960">
        <v>75.0</v>
      </c>
      <c r="Q1882" s="960">
        <v>127.0</v>
      </c>
      <c r="R1882" s="960">
        <v>290.0</v>
      </c>
      <c r="S1882" s="960">
        <v>353.0</v>
      </c>
      <c r="T1882" s="960">
        <v>388.0</v>
      </c>
      <c r="U1882" s="960">
        <f t="array" ref="U1882">HLOOKUP($J1882,'Type Chart'!$C$2:$T$20,2,false)*HLOOKUP($K1882,'Type Chart'!$C$2:$U$20,2,false)</f>
        <v>1</v>
      </c>
      <c r="V1882" s="960">
        <f t="array" ref="V1882">HLOOKUP($J1882,'Type Chart'!$C$2:$T$20,3,false)*HLOOKUP($K1882,'Type Chart'!$C$2:$U$20,3,false)</f>
        <v>0.5</v>
      </c>
      <c r="W1882" s="960">
        <f t="array" ref="W1882">HLOOKUP($J1882,'Type Chart'!$C$2:$T$20,4,false)*HLOOKUP($K1882,'Type Chart'!$C$2:$U$20,4,false)</f>
        <v>2</v>
      </c>
      <c r="X1882" s="960">
        <f t="array" ref="X1882">HLOOKUP($J1882,'Type Chart'!$C$2:$T$20,5,false)*HLOOKUP($K1882,'Type Chart'!$C$2:$U$20,5,false)</f>
        <v>2</v>
      </c>
      <c r="Y1882" s="960">
        <f t="array" ref="Y1882">HLOOKUP($J1882,'Type Chart'!$C$2:$T$20,6,false)*HLOOKUP($K1882,'Type Chart'!$C$2:$U$20,6,false)</f>
        <v>0</v>
      </c>
      <c r="Z1882" s="960">
        <f t="array" ref="Z1882">HLOOKUP($J1882,'Type Chart'!$C$2:$T$20,7,false)*HLOOKUP($K1882,'Type Chart'!$C$2:$U$20,7,false)</f>
        <v>2</v>
      </c>
      <c r="AA1882" s="960">
        <f t="array" ref="AA1882">HLOOKUP($J1882,'Type Chart'!$C$2:$T$20,8,false)*HLOOKUP($K1882,'Type Chart'!$C$2:$U$20,8,false)</f>
        <v>1</v>
      </c>
      <c r="AB1882" s="960">
        <f t="array" ref="AB1882">HLOOKUP($J1882,'Type Chart'!$C$2:$T$20,9,false)*HLOOKUP($K1882,'Type Chart'!$C$2:$U$20,9,false)</f>
        <v>1</v>
      </c>
      <c r="AC1882" s="960">
        <f t="array" ref="AC1882">HLOOKUP($J1882,'Type Chart'!$C$2:$T$20,10,false)*HLOOKUP($K1882,'Type Chart'!$C$2:$U$20,10,false)</f>
        <v>1</v>
      </c>
      <c r="AD1882" s="960">
        <f t="array" ref="AD1882">HLOOKUP($J1882,'Type Chart'!$C$2:$T$20,11,false)*HLOOKUP($K1882,'Type Chart'!$C$2:$U$20,11,false)</f>
        <v>2</v>
      </c>
      <c r="AE1882" s="960">
        <f t="array" ref="AE1882">HLOOKUP($J1882,'Type Chart'!$C$2:$T$20,12,false)*HLOOKUP($K1882,'Type Chart'!$C$2:$U$20,12,false)</f>
        <v>0.5</v>
      </c>
      <c r="AF1882" s="960">
        <f t="array" ref="AF1882">HLOOKUP($J1882,'Type Chart'!$C$2:$T$20,13,false)*HLOOKUP($K1882,'Type Chart'!$C$2:$U$20,13,false)</f>
        <v>0.25</v>
      </c>
      <c r="AG1882" s="960">
        <f t="array" ref="AG1882">HLOOKUP($J1882,'Type Chart'!$C$2:$T$20,14,false)*HLOOKUP($K1882,'Type Chart'!$C$2:$U$20,14,false)</f>
        <v>1</v>
      </c>
      <c r="AH1882" s="960">
        <f t="array" ref="AH1882">HLOOKUP($J1882,'Type Chart'!$C$2:$T$20,15,false)*HLOOKUP($K1882,'Type Chart'!$C$2:$U$20,15,false)</f>
        <v>1</v>
      </c>
      <c r="AI1882" s="960">
        <f t="array" ref="AI1882">HLOOKUP($J1882,'Type Chart'!$C$2:$T$20,16,false)*HLOOKUP($K1882,'Type Chart'!$C$2:$U$20,16,false)</f>
        <v>4</v>
      </c>
      <c r="AJ1882" s="960">
        <f t="array" ref="AJ1882">HLOOKUP($J1882,'Type Chart'!$C$2:$T$20,17,false)*HLOOKUP($K1882,'Type Chart'!$C$2:$U$20,17,false)</f>
        <v>1</v>
      </c>
      <c r="AK1882" s="960">
        <f t="array" ref="AK1882">HLOOKUP($J1882,'Type Chart'!$C$2:$T$20,18,false)*HLOOKUP($K1882,'Type Chart'!$C$2:$U$20,18,false)</f>
        <v>1</v>
      </c>
      <c r="AL1882" s="960">
        <f t="array" ref="AL1882">HLOOKUP($J1882,'Type Chart'!$C$2:$T$20,19,false)*HLOOKUP($K1882,'Type Chart'!$C$2:$U$20,19,false)</f>
        <v>1</v>
      </c>
      <c r="AM1882" s="964" t="s">
        <v>1521</v>
      </c>
      <c r="AN1882" s="965"/>
      <c r="AO1882" s="966"/>
      <c r="AP1882" s="936"/>
      <c r="AQ1882" s="1245"/>
      <c r="AR1882" s="1245"/>
      <c r="AS1882" s="936"/>
    </row>
    <row r="1883" ht="15.75" customHeight="1">
      <c r="A1883" s="1099"/>
      <c r="B1883" s="948" t="s">
        <v>2740</v>
      </c>
      <c r="C1883" s="1197" t="s">
        <v>2741</v>
      </c>
      <c r="D1883" s="1197" t="s">
        <v>2741</v>
      </c>
      <c r="E1883" s="1147" t="s">
        <v>2741</v>
      </c>
      <c r="F1883" s="940"/>
      <c r="G1883" s="953"/>
      <c r="H1883" s="969"/>
      <c r="I1883" s="998" t="s">
        <v>4982</v>
      </c>
      <c r="J1883" s="1194" t="s">
        <v>136</v>
      </c>
      <c r="K1883" s="984" t="s">
        <v>216</v>
      </c>
      <c r="L1883" s="959">
        <v>120.0</v>
      </c>
      <c r="M1883" s="960">
        <v>120.0</v>
      </c>
      <c r="N1883" s="960">
        <v>120.0</v>
      </c>
      <c r="O1883" s="960">
        <v>120.0</v>
      </c>
      <c r="P1883" s="960">
        <v>120.0</v>
      </c>
      <c r="Q1883" s="960">
        <v>120.0</v>
      </c>
      <c r="R1883" s="960">
        <v>276.0</v>
      </c>
      <c r="S1883" s="960">
        <v>339.0</v>
      </c>
      <c r="T1883" s="960">
        <v>372.0</v>
      </c>
      <c r="U1883" s="960">
        <f t="array" ref="U1883">HLOOKUP($J1883,'Type Chart'!$C$2:$T$20,2,false)*HLOOKUP($K1883,'Type Chart'!$C$2:$U$20,2,false)</f>
        <v>1</v>
      </c>
      <c r="V1883" s="960">
        <f t="array" ref="V1883">HLOOKUP($J1883,'Type Chart'!$C$2:$T$20,3,false)*HLOOKUP($K1883,'Type Chart'!$C$2:$U$20,3,false)</f>
        <v>2</v>
      </c>
      <c r="W1883" s="960">
        <f t="array" ref="W1883">HLOOKUP($J1883,'Type Chart'!$C$2:$T$20,4,false)*HLOOKUP($K1883,'Type Chart'!$C$2:$U$20,4,false)</f>
        <v>1</v>
      </c>
      <c r="X1883" s="960">
        <f t="array" ref="X1883">HLOOKUP($J1883,'Type Chart'!$C$2:$T$20,5,false)*HLOOKUP($K1883,'Type Chart'!$C$2:$U$20,5,false)</f>
        <v>1</v>
      </c>
      <c r="Y1883" s="960">
        <f t="array" ref="Y1883">HLOOKUP($J1883,'Type Chart'!$C$2:$T$20,6,false)*HLOOKUP($K1883,'Type Chart'!$C$2:$U$20,6,false)</f>
        <v>1</v>
      </c>
      <c r="Z1883" s="960">
        <f t="array" ref="Z1883">HLOOKUP($J1883,'Type Chart'!$C$2:$T$20,7,false)*HLOOKUP($K1883,'Type Chart'!$C$2:$U$20,7,false)</f>
        <v>1</v>
      </c>
      <c r="AA1883" s="960">
        <f t="array" ref="AA1883">HLOOKUP($J1883,'Type Chart'!$C$2:$T$20,8,false)*HLOOKUP($K1883,'Type Chart'!$C$2:$U$20,8,false)</f>
        <v>1</v>
      </c>
      <c r="AB1883" s="960">
        <f t="array" ref="AB1883">HLOOKUP($J1883,'Type Chart'!$C$2:$T$20,9,false)*HLOOKUP($K1883,'Type Chart'!$C$2:$U$20,9,false)</f>
        <v>0</v>
      </c>
      <c r="AC1883" s="960">
        <f t="array" ref="AC1883">HLOOKUP($J1883,'Type Chart'!$C$2:$T$20,10,false)*HLOOKUP($K1883,'Type Chart'!$C$2:$U$20,10,false)</f>
        <v>1</v>
      </c>
      <c r="AD1883" s="960">
        <f t="array" ref="AD1883">HLOOKUP($J1883,'Type Chart'!$C$2:$T$20,11,false)*HLOOKUP($K1883,'Type Chart'!$C$2:$U$20,11,false)</f>
        <v>1</v>
      </c>
      <c r="AE1883" s="960">
        <f t="array" ref="AE1883">HLOOKUP($J1883,'Type Chart'!$C$2:$T$20,12,false)*HLOOKUP($K1883,'Type Chart'!$C$2:$U$20,12,false)</f>
        <v>1</v>
      </c>
      <c r="AF1883" s="960">
        <f t="array" ref="AF1883">HLOOKUP($J1883,'Type Chart'!$C$2:$T$20,13,false)*HLOOKUP($K1883,'Type Chart'!$C$2:$U$20,13,false)</f>
        <v>1</v>
      </c>
      <c r="AG1883" s="960">
        <f t="array" ref="AG1883">HLOOKUP($J1883,'Type Chart'!$C$2:$T$20,14,false)*HLOOKUP($K1883,'Type Chart'!$C$2:$U$20,14,false)</f>
        <v>1</v>
      </c>
      <c r="AH1883" s="960">
        <f t="array" ref="AH1883">HLOOKUP($J1883,'Type Chart'!$C$2:$T$20,15,false)*HLOOKUP($K1883,'Type Chart'!$C$2:$U$20,15,false)</f>
        <v>1</v>
      </c>
      <c r="AI1883" s="960">
        <f t="array" ref="AI1883">HLOOKUP($J1883,'Type Chart'!$C$2:$T$20,16,false)*HLOOKUP($K1883,'Type Chart'!$C$2:$U$20,16,false)</f>
        <v>1</v>
      </c>
      <c r="AJ1883" s="960">
        <f t="array" ref="AJ1883">HLOOKUP($J1883,'Type Chart'!$C$2:$T$20,17,false)*HLOOKUP($K1883,'Type Chart'!$C$2:$U$20,17,false)</f>
        <v>1</v>
      </c>
      <c r="AK1883" s="960">
        <f t="array" ref="AK1883">HLOOKUP($J1883,'Type Chart'!$C$2:$T$20,18,false)*HLOOKUP($K1883,'Type Chart'!$C$2:$U$20,18,false)</f>
        <v>1</v>
      </c>
      <c r="AL1883" s="960">
        <f t="array" ref="AL1883">HLOOKUP($J1883,'Type Chart'!$C$2:$T$20,19,false)*HLOOKUP($K1883,'Type Chart'!$C$2:$U$20,19,false)</f>
        <v>1</v>
      </c>
      <c r="AM1883" s="964" t="s">
        <v>2742</v>
      </c>
      <c r="AN1883" s="965"/>
      <c r="AO1883" s="966"/>
      <c r="AP1883" s="936"/>
      <c r="AQ1883" s="1245"/>
      <c r="AR1883" s="1245"/>
      <c r="AS1883" s="936"/>
    </row>
    <row r="1884" ht="15.75" customHeight="1">
      <c r="A1884" s="1099"/>
      <c r="B1884" s="948" t="s">
        <v>2740</v>
      </c>
      <c r="C1884" s="1197" t="s">
        <v>2743</v>
      </c>
      <c r="D1884" s="1197" t="s">
        <v>2743</v>
      </c>
      <c r="E1884" s="1147" t="s">
        <v>2743</v>
      </c>
      <c r="F1884" s="940"/>
      <c r="G1884" s="953"/>
      <c r="H1884" s="969"/>
      <c r="I1884" s="998" t="s">
        <v>4983</v>
      </c>
      <c r="J1884" s="1180" t="s">
        <v>343</v>
      </c>
      <c r="K1884" s="984" t="s">
        <v>216</v>
      </c>
      <c r="L1884" s="959">
        <v>120.0</v>
      </c>
      <c r="M1884" s="960">
        <v>120.0</v>
      </c>
      <c r="N1884" s="960">
        <v>120.0</v>
      </c>
      <c r="O1884" s="960">
        <v>120.0</v>
      </c>
      <c r="P1884" s="960">
        <v>120.0</v>
      </c>
      <c r="Q1884" s="960">
        <v>120.0</v>
      </c>
      <c r="R1884" s="960">
        <v>276.0</v>
      </c>
      <c r="S1884" s="960">
        <v>339.0</v>
      </c>
      <c r="T1884" s="960">
        <v>372.0</v>
      </c>
      <c r="U1884" s="960">
        <f t="array" ref="U1884">HLOOKUP($J1884,'Type Chart'!$C$2:$T$20,2,false)*HLOOKUP($K1884,'Type Chart'!$C$2:$U$20,2,false)</f>
        <v>1</v>
      </c>
      <c r="V1884" s="960">
        <f t="array" ref="V1884">HLOOKUP($J1884,'Type Chart'!$C$2:$T$20,3,false)*HLOOKUP($K1884,'Type Chart'!$C$2:$U$20,3,false)</f>
        <v>0.5</v>
      </c>
      <c r="W1884" s="960">
        <f t="array" ref="W1884">HLOOKUP($J1884,'Type Chart'!$C$2:$T$20,4,false)*HLOOKUP($K1884,'Type Chart'!$C$2:$U$20,4,false)</f>
        <v>2</v>
      </c>
      <c r="X1884" s="960">
        <f t="array" ref="X1884">HLOOKUP($J1884,'Type Chart'!$C$2:$T$20,5,false)*HLOOKUP($K1884,'Type Chart'!$C$2:$U$20,5,false)</f>
        <v>1</v>
      </c>
      <c r="Y1884" s="960">
        <f t="array" ref="Y1884">HLOOKUP($J1884,'Type Chart'!$C$2:$T$20,6,false)*HLOOKUP($K1884,'Type Chart'!$C$2:$U$20,6,false)</f>
        <v>0.5</v>
      </c>
      <c r="Z1884" s="960">
        <f t="array" ref="Z1884">HLOOKUP($J1884,'Type Chart'!$C$2:$T$20,7,false)*HLOOKUP($K1884,'Type Chart'!$C$2:$U$20,7,false)</f>
        <v>2</v>
      </c>
      <c r="AA1884" s="960">
        <f t="array" ref="AA1884">HLOOKUP($J1884,'Type Chart'!$C$2:$T$20,8,false)*HLOOKUP($K1884,'Type Chart'!$C$2:$U$20,8,false)</f>
        <v>1</v>
      </c>
      <c r="AB1884" s="960">
        <f t="array" ref="AB1884">HLOOKUP($J1884,'Type Chart'!$C$2:$T$20,9,false)*HLOOKUP($K1884,'Type Chart'!$C$2:$U$20,9,false)</f>
        <v>1</v>
      </c>
      <c r="AC1884" s="960">
        <f t="array" ref="AC1884">HLOOKUP($J1884,'Type Chart'!$C$2:$T$20,10,false)*HLOOKUP($K1884,'Type Chart'!$C$2:$U$20,10,false)</f>
        <v>1</v>
      </c>
      <c r="AD1884" s="960">
        <f t="array" ref="AD1884">HLOOKUP($J1884,'Type Chart'!$C$2:$T$20,11,false)*HLOOKUP($K1884,'Type Chart'!$C$2:$U$20,11,false)</f>
        <v>2</v>
      </c>
      <c r="AE1884" s="960">
        <f t="array" ref="AE1884">HLOOKUP($J1884,'Type Chart'!$C$2:$T$20,12,false)*HLOOKUP($K1884,'Type Chart'!$C$2:$U$20,12,false)</f>
        <v>1</v>
      </c>
      <c r="AF1884" s="960">
        <f t="array" ref="AF1884">HLOOKUP($J1884,'Type Chart'!$C$2:$T$20,13,false)*HLOOKUP($K1884,'Type Chart'!$C$2:$U$20,13,false)</f>
        <v>0.5</v>
      </c>
      <c r="AG1884" s="960">
        <f t="array" ref="AG1884">HLOOKUP($J1884,'Type Chart'!$C$2:$T$20,14,false)*HLOOKUP($K1884,'Type Chart'!$C$2:$U$20,14,false)</f>
        <v>1</v>
      </c>
      <c r="AH1884" s="960">
        <f t="array" ref="AH1884">HLOOKUP($J1884,'Type Chart'!$C$2:$T$20,15,false)*HLOOKUP($K1884,'Type Chart'!$C$2:$U$20,15,false)</f>
        <v>1</v>
      </c>
      <c r="AI1884" s="960">
        <f t="array" ref="AI1884">HLOOKUP($J1884,'Type Chart'!$C$2:$T$20,16,false)*HLOOKUP($K1884,'Type Chart'!$C$2:$U$20,16,false)</f>
        <v>1</v>
      </c>
      <c r="AJ1884" s="960">
        <f t="array" ref="AJ1884">HLOOKUP($J1884,'Type Chart'!$C$2:$T$20,17,false)*HLOOKUP($K1884,'Type Chart'!$C$2:$U$20,17,false)</f>
        <v>1</v>
      </c>
      <c r="AK1884" s="960">
        <f t="array" ref="AK1884">HLOOKUP($J1884,'Type Chart'!$C$2:$T$20,18,false)*HLOOKUP($K1884,'Type Chart'!$C$2:$U$20,18,false)</f>
        <v>1</v>
      </c>
      <c r="AL1884" s="960">
        <f t="array" ref="AL1884">HLOOKUP($J1884,'Type Chart'!$C$2:$T$20,19,false)*HLOOKUP($K1884,'Type Chart'!$C$2:$U$20,19,false)</f>
        <v>1</v>
      </c>
      <c r="AM1884" s="964" t="s">
        <v>2742</v>
      </c>
      <c r="AN1884" s="965"/>
      <c r="AO1884" s="966"/>
      <c r="AP1884" s="936"/>
      <c r="AQ1884" s="1245"/>
      <c r="AR1884" s="1245"/>
      <c r="AS1884" s="936"/>
    </row>
    <row r="1885" ht="15.75" customHeight="1">
      <c r="A1885" s="1099"/>
      <c r="B1885" s="948" t="s">
        <v>2740</v>
      </c>
      <c r="C1885" s="1197" t="s">
        <v>2745</v>
      </c>
      <c r="D1885" s="1197" t="s">
        <v>2745</v>
      </c>
      <c r="E1885" s="1147" t="s">
        <v>2745</v>
      </c>
      <c r="F1885" s="940"/>
      <c r="G1885" s="953"/>
      <c r="H1885" s="969"/>
      <c r="I1885" s="998" t="s">
        <v>4984</v>
      </c>
      <c r="J1885" s="1195" t="s">
        <v>193</v>
      </c>
      <c r="K1885" s="984" t="s">
        <v>216</v>
      </c>
      <c r="L1885" s="959">
        <v>120.0</v>
      </c>
      <c r="M1885" s="960">
        <v>120.0</v>
      </c>
      <c r="N1885" s="960">
        <v>120.0</v>
      </c>
      <c r="O1885" s="960">
        <v>120.0</v>
      </c>
      <c r="P1885" s="960">
        <v>120.0</v>
      </c>
      <c r="Q1885" s="960">
        <v>120.0</v>
      </c>
      <c r="R1885" s="960">
        <v>276.0</v>
      </c>
      <c r="S1885" s="960">
        <v>339.0</v>
      </c>
      <c r="T1885" s="960">
        <v>372.0</v>
      </c>
      <c r="U1885" s="960">
        <f t="array" ref="U1885">HLOOKUP($J1885,'Type Chart'!$C$2:$T$20,2,false)*HLOOKUP($K1885,'Type Chart'!$C$2:$U$20,2,false)</f>
        <v>1</v>
      </c>
      <c r="V1885" s="960">
        <f t="array" ref="V1885">HLOOKUP($J1885,'Type Chart'!$C$2:$T$20,3,false)*HLOOKUP($K1885,'Type Chart'!$C$2:$U$20,3,false)</f>
        <v>2</v>
      </c>
      <c r="W1885" s="960">
        <f t="array" ref="W1885">HLOOKUP($J1885,'Type Chart'!$C$2:$T$20,4,false)*HLOOKUP($K1885,'Type Chart'!$C$2:$U$20,4,false)</f>
        <v>1</v>
      </c>
      <c r="X1885" s="960">
        <f t="array" ref="X1885">HLOOKUP($J1885,'Type Chart'!$C$2:$T$20,5,false)*HLOOKUP($K1885,'Type Chart'!$C$2:$U$20,5,false)</f>
        <v>1</v>
      </c>
      <c r="Y1885" s="960">
        <f t="array" ref="Y1885">HLOOKUP($J1885,'Type Chart'!$C$2:$T$20,6,false)*HLOOKUP($K1885,'Type Chart'!$C$2:$U$20,6,false)</f>
        <v>1</v>
      </c>
      <c r="Z1885" s="960">
        <f t="array" ref="Z1885">HLOOKUP($J1885,'Type Chart'!$C$2:$T$20,7,false)*HLOOKUP($K1885,'Type Chart'!$C$2:$U$20,7,false)</f>
        <v>1</v>
      </c>
      <c r="AA1885" s="960">
        <f t="array" ref="AA1885">HLOOKUP($J1885,'Type Chart'!$C$2:$T$20,8,false)*HLOOKUP($K1885,'Type Chart'!$C$2:$U$20,8,false)</f>
        <v>2</v>
      </c>
      <c r="AB1885" s="960">
        <f t="array" ref="AB1885">HLOOKUP($J1885,'Type Chart'!$C$2:$T$20,9,false)*HLOOKUP($K1885,'Type Chart'!$C$2:$U$20,9,false)</f>
        <v>0.5</v>
      </c>
      <c r="AC1885" s="960">
        <f t="array" ref="AC1885">HLOOKUP($J1885,'Type Chart'!$C$2:$T$20,10,false)*HLOOKUP($K1885,'Type Chart'!$C$2:$U$20,10,false)</f>
        <v>1</v>
      </c>
      <c r="AD1885" s="960">
        <f t="array" ref="AD1885">HLOOKUP($J1885,'Type Chart'!$C$2:$T$20,11,false)*HLOOKUP($K1885,'Type Chart'!$C$2:$U$20,11,false)</f>
        <v>1</v>
      </c>
      <c r="AE1885" s="960">
        <f t="array" ref="AE1885">HLOOKUP($J1885,'Type Chart'!$C$2:$T$20,12,false)*HLOOKUP($K1885,'Type Chart'!$C$2:$U$20,12,false)</f>
        <v>1</v>
      </c>
      <c r="AF1885" s="960">
        <f t="array" ref="AF1885">HLOOKUP($J1885,'Type Chart'!$C$2:$T$20,13,false)*HLOOKUP($K1885,'Type Chart'!$C$2:$U$20,13,false)</f>
        <v>1</v>
      </c>
      <c r="AG1885" s="960">
        <f t="array" ref="AG1885">HLOOKUP($J1885,'Type Chart'!$C$2:$T$20,14,false)*HLOOKUP($K1885,'Type Chart'!$C$2:$U$20,14,false)</f>
        <v>1</v>
      </c>
      <c r="AH1885" s="960">
        <f t="array" ref="AH1885">HLOOKUP($J1885,'Type Chart'!$C$2:$T$20,15,false)*HLOOKUP($K1885,'Type Chart'!$C$2:$U$20,15,false)</f>
        <v>0</v>
      </c>
      <c r="AI1885" s="960">
        <f t="array" ref="AI1885">HLOOKUP($J1885,'Type Chart'!$C$2:$T$20,16,false)*HLOOKUP($K1885,'Type Chart'!$C$2:$U$20,16,false)</f>
        <v>1</v>
      </c>
      <c r="AJ1885" s="960">
        <f t="array" ref="AJ1885">HLOOKUP($J1885,'Type Chart'!$C$2:$T$20,17,false)*HLOOKUP($K1885,'Type Chart'!$C$2:$U$20,17,false)</f>
        <v>1</v>
      </c>
      <c r="AK1885" s="960">
        <f t="array" ref="AK1885">HLOOKUP($J1885,'Type Chart'!$C$2:$T$20,18,false)*HLOOKUP($K1885,'Type Chart'!$C$2:$U$20,18,false)</f>
        <v>0.5</v>
      </c>
      <c r="AL1885" s="960">
        <f t="array" ref="AL1885">HLOOKUP($J1885,'Type Chart'!$C$2:$T$20,19,false)*HLOOKUP($K1885,'Type Chart'!$C$2:$U$20,19,false)</f>
        <v>2</v>
      </c>
      <c r="AM1885" s="964" t="s">
        <v>2742</v>
      </c>
      <c r="AN1885" s="965"/>
      <c r="AO1885" s="966"/>
      <c r="AP1885" s="936"/>
      <c r="AQ1885" s="1245"/>
      <c r="AR1885" s="1245"/>
      <c r="AS1885" s="936"/>
    </row>
    <row r="1886" ht="15.75" customHeight="1">
      <c r="A1886" s="1099"/>
      <c r="B1886" s="948" t="s">
        <v>2740</v>
      </c>
      <c r="C1886" s="1197" t="s">
        <v>2747</v>
      </c>
      <c r="D1886" s="1197" t="s">
        <v>2747</v>
      </c>
      <c r="E1886" s="1147" t="s">
        <v>2747</v>
      </c>
      <c r="F1886" s="940"/>
      <c r="G1886" s="953"/>
      <c r="H1886" s="969"/>
      <c r="I1886" s="998" t="s">
        <v>4985</v>
      </c>
      <c r="J1886" s="1006" t="s">
        <v>346</v>
      </c>
      <c r="K1886" s="984" t="s">
        <v>216</v>
      </c>
      <c r="L1886" s="959">
        <v>120.0</v>
      </c>
      <c r="M1886" s="960">
        <v>120.0</v>
      </c>
      <c r="N1886" s="960">
        <v>120.0</v>
      </c>
      <c r="O1886" s="960">
        <v>120.0</v>
      </c>
      <c r="P1886" s="960">
        <v>120.0</v>
      </c>
      <c r="Q1886" s="960">
        <v>120.0</v>
      </c>
      <c r="R1886" s="960">
        <v>276.0</v>
      </c>
      <c r="S1886" s="960">
        <v>339.0</v>
      </c>
      <c r="T1886" s="960">
        <v>372.0</v>
      </c>
      <c r="U1886" s="960">
        <f t="array" ref="U1886">HLOOKUP($J1886,'Type Chart'!$C$2:$T$20,2,false)*HLOOKUP($K1886,'Type Chart'!$C$2:$U$20,2,false)</f>
        <v>1</v>
      </c>
      <c r="V1886" s="960">
        <f t="array" ref="V1886">HLOOKUP($J1886,'Type Chart'!$C$2:$T$20,3,false)*HLOOKUP($K1886,'Type Chart'!$C$2:$U$20,3,false)</f>
        <v>1</v>
      </c>
      <c r="W1886" s="960">
        <f t="array" ref="W1886">HLOOKUP($J1886,'Type Chart'!$C$2:$T$20,4,false)*HLOOKUP($K1886,'Type Chart'!$C$2:$U$20,4,false)</f>
        <v>1</v>
      </c>
      <c r="X1886" s="960">
        <f t="array" ref="X1886">HLOOKUP($J1886,'Type Chart'!$C$2:$T$20,5,false)*HLOOKUP($K1886,'Type Chart'!$C$2:$U$20,5,false)</f>
        <v>1</v>
      </c>
      <c r="Y1886" s="960">
        <f t="array" ref="Y1886">HLOOKUP($J1886,'Type Chart'!$C$2:$T$20,6,false)*HLOOKUP($K1886,'Type Chart'!$C$2:$U$20,6,false)</f>
        <v>1</v>
      </c>
      <c r="Z1886" s="960">
        <f t="array" ref="Z1886">HLOOKUP($J1886,'Type Chart'!$C$2:$T$20,7,false)*HLOOKUP($K1886,'Type Chart'!$C$2:$U$20,7,false)</f>
        <v>1</v>
      </c>
      <c r="AA1886" s="960">
        <f t="array" ref="AA1886">HLOOKUP($J1886,'Type Chart'!$C$2:$T$20,8,false)*HLOOKUP($K1886,'Type Chart'!$C$2:$U$20,8,false)</f>
        <v>1</v>
      </c>
      <c r="AB1886" s="960">
        <f t="array" ref="AB1886">HLOOKUP($J1886,'Type Chart'!$C$2:$T$20,9,false)*HLOOKUP($K1886,'Type Chart'!$C$2:$U$20,9,false)</f>
        <v>1</v>
      </c>
      <c r="AC1886" s="960">
        <f t="array" ref="AC1886">HLOOKUP($J1886,'Type Chart'!$C$2:$T$20,10,false)*HLOOKUP($K1886,'Type Chart'!$C$2:$U$20,10,false)</f>
        <v>1</v>
      </c>
      <c r="AD1886" s="960">
        <f t="array" ref="AD1886">HLOOKUP($J1886,'Type Chart'!$C$2:$T$20,11,false)*HLOOKUP($K1886,'Type Chart'!$C$2:$U$20,11,false)</f>
        <v>0.5</v>
      </c>
      <c r="AE1886" s="960">
        <f t="array" ref="AE1886">HLOOKUP($J1886,'Type Chart'!$C$2:$T$20,12,false)*HLOOKUP($K1886,'Type Chart'!$C$2:$U$20,12,false)</f>
        <v>0.5</v>
      </c>
      <c r="AF1886" s="960">
        <f t="array" ref="AF1886">HLOOKUP($J1886,'Type Chart'!$C$2:$T$20,13,false)*HLOOKUP($K1886,'Type Chart'!$C$2:$U$20,13,false)</f>
        <v>0.5</v>
      </c>
      <c r="AG1886" s="960">
        <f t="array" ref="AG1886">HLOOKUP($J1886,'Type Chart'!$C$2:$T$20,14,false)*HLOOKUP($K1886,'Type Chart'!$C$2:$U$20,14,false)</f>
        <v>0.5</v>
      </c>
      <c r="AH1886" s="960">
        <f t="array" ref="AH1886">HLOOKUP($J1886,'Type Chart'!$C$2:$T$20,15,false)*HLOOKUP($K1886,'Type Chart'!$C$2:$U$20,15,false)</f>
        <v>1</v>
      </c>
      <c r="AI1886" s="960">
        <f t="array" ref="AI1886">HLOOKUP($J1886,'Type Chart'!$C$2:$T$20,16,false)*HLOOKUP($K1886,'Type Chart'!$C$2:$U$20,16,false)</f>
        <v>2</v>
      </c>
      <c r="AJ1886" s="960">
        <f t="array" ref="AJ1886">HLOOKUP($J1886,'Type Chart'!$C$2:$T$20,17,false)*HLOOKUP($K1886,'Type Chart'!$C$2:$U$20,17,false)</f>
        <v>2</v>
      </c>
      <c r="AK1886" s="960">
        <f t="array" ref="AK1886">HLOOKUP($J1886,'Type Chart'!$C$2:$T$20,18,false)*HLOOKUP($K1886,'Type Chart'!$C$2:$U$20,18,false)</f>
        <v>1</v>
      </c>
      <c r="AL1886" s="960">
        <f t="array" ref="AL1886">HLOOKUP($J1886,'Type Chart'!$C$2:$T$20,19,false)*HLOOKUP($K1886,'Type Chart'!$C$2:$U$20,19,false)</f>
        <v>2</v>
      </c>
      <c r="AM1886" s="964" t="s">
        <v>2742</v>
      </c>
      <c r="AN1886" s="965"/>
      <c r="AO1886" s="966"/>
      <c r="AP1886" s="936"/>
      <c r="AQ1886" s="1245"/>
      <c r="AR1886" s="1245"/>
      <c r="AS1886" s="936"/>
    </row>
    <row r="1887" ht="15.75" customHeight="1">
      <c r="A1887" s="1099"/>
      <c r="B1887" s="948" t="s">
        <v>2740</v>
      </c>
      <c r="C1887" s="1197" t="s">
        <v>2749</v>
      </c>
      <c r="D1887" s="1197" t="s">
        <v>2749</v>
      </c>
      <c r="E1887" s="1147" t="s">
        <v>2749</v>
      </c>
      <c r="F1887" s="940"/>
      <c r="G1887" s="953"/>
      <c r="H1887" s="969"/>
      <c r="I1887" s="998" t="s">
        <v>4986</v>
      </c>
      <c r="J1887" s="1196" t="s">
        <v>203</v>
      </c>
      <c r="K1887" s="984" t="s">
        <v>216</v>
      </c>
      <c r="L1887" s="959">
        <v>120.0</v>
      </c>
      <c r="M1887" s="960">
        <v>120.0</v>
      </c>
      <c r="N1887" s="960">
        <v>120.0</v>
      </c>
      <c r="O1887" s="960">
        <v>120.0</v>
      </c>
      <c r="P1887" s="960">
        <v>120.0</v>
      </c>
      <c r="Q1887" s="960">
        <v>120.0</v>
      </c>
      <c r="R1887" s="960">
        <v>276.0</v>
      </c>
      <c r="S1887" s="960">
        <v>339.0</v>
      </c>
      <c r="T1887" s="960">
        <v>372.0</v>
      </c>
      <c r="U1887" s="960">
        <f t="array" ref="U1887">HLOOKUP($J1887,'Type Chart'!$C$2:$T$20,2,false)*HLOOKUP($K1887,'Type Chart'!$C$2:$U$20,2,false)</f>
        <v>1</v>
      </c>
      <c r="V1887" s="960">
        <f t="array" ref="V1887">HLOOKUP($J1887,'Type Chart'!$C$2:$T$20,3,false)*HLOOKUP($K1887,'Type Chart'!$C$2:$U$20,3,false)</f>
        <v>1</v>
      </c>
      <c r="W1887" s="960">
        <f t="array" ref="W1887">HLOOKUP($J1887,'Type Chart'!$C$2:$T$20,4,false)*HLOOKUP($K1887,'Type Chart'!$C$2:$U$20,4,false)</f>
        <v>0.5</v>
      </c>
      <c r="X1887" s="960">
        <f t="array" ref="X1887">HLOOKUP($J1887,'Type Chart'!$C$2:$T$20,5,false)*HLOOKUP($K1887,'Type Chart'!$C$2:$U$20,5,false)</f>
        <v>1</v>
      </c>
      <c r="Y1887" s="960">
        <f t="array" ref="Y1887">HLOOKUP($J1887,'Type Chart'!$C$2:$T$20,6,false)*HLOOKUP($K1887,'Type Chart'!$C$2:$U$20,6,false)</f>
        <v>2</v>
      </c>
      <c r="Z1887" s="960">
        <f t="array" ref="Z1887">HLOOKUP($J1887,'Type Chart'!$C$2:$T$20,7,false)*HLOOKUP($K1887,'Type Chart'!$C$2:$U$20,7,false)</f>
        <v>1</v>
      </c>
      <c r="AA1887" s="960">
        <f t="array" ref="AA1887">HLOOKUP($J1887,'Type Chart'!$C$2:$T$20,8,false)*HLOOKUP($K1887,'Type Chart'!$C$2:$U$20,8,false)</f>
        <v>1</v>
      </c>
      <c r="AB1887" s="960">
        <f t="array" ref="AB1887">HLOOKUP($J1887,'Type Chart'!$C$2:$T$20,9,false)*HLOOKUP($K1887,'Type Chart'!$C$2:$U$20,9,false)</f>
        <v>1</v>
      </c>
      <c r="AC1887" s="960">
        <f t="array" ref="AC1887">HLOOKUP($J1887,'Type Chart'!$C$2:$T$20,10,false)*HLOOKUP($K1887,'Type Chart'!$C$2:$U$20,10,false)</f>
        <v>0.5</v>
      </c>
      <c r="AD1887" s="960">
        <f t="array" ref="AD1887">HLOOKUP($J1887,'Type Chart'!$C$2:$T$20,11,false)*HLOOKUP($K1887,'Type Chart'!$C$2:$U$20,11,false)</f>
        <v>1</v>
      </c>
      <c r="AE1887" s="960">
        <f t="array" ref="AE1887">HLOOKUP($J1887,'Type Chart'!$C$2:$T$20,12,false)*HLOOKUP($K1887,'Type Chart'!$C$2:$U$20,12,false)</f>
        <v>1</v>
      </c>
      <c r="AF1887" s="960">
        <f t="array" ref="AF1887">HLOOKUP($J1887,'Type Chart'!$C$2:$T$20,13,false)*HLOOKUP($K1887,'Type Chart'!$C$2:$U$20,13,false)</f>
        <v>1</v>
      </c>
      <c r="AG1887" s="960">
        <f t="array" ref="AG1887">HLOOKUP($J1887,'Type Chart'!$C$2:$T$20,14,false)*HLOOKUP($K1887,'Type Chart'!$C$2:$U$20,14,false)</f>
        <v>0.5</v>
      </c>
      <c r="AH1887" s="960">
        <f t="array" ref="AH1887">HLOOKUP($J1887,'Type Chart'!$C$2:$T$20,15,false)*HLOOKUP($K1887,'Type Chart'!$C$2:$U$20,15,false)</f>
        <v>1</v>
      </c>
      <c r="AI1887" s="960">
        <f t="array" ref="AI1887">HLOOKUP($J1887,'Type Chart'!$C$2:$T$20,16,false)*HLOOKUP($K1887,'Type Chart'!$C$2:$U$20,16,false)</f>
        <v>1</v>
      </c>
      <c r="AJ1887" s="960">
        <f t="array" ref="AJ1887">HLOOKUP($J1887,'Type Chart'!$C$2:$T$20,17,false)*HLOOKUP($K1887,'Type Chart'!$C$2:$U$20,17,false)</f>
        <v>1</v>
      </c>
      <c r="AK1887" s="960">
        <f t="array" ref="AK1887">HLOOKUP($J1887,'Type Chart'!$C$2:$T$20,18,false)*HLOOKUP($K1887,'Type Chart'!$C$2:$U$20,18,false)</f>
        <v>1</v>
      </c>
      <c r="AL1887" s="960">
        <f t="array" ref="AL1887">HLOOKUP($J1887,'Type Chart'!$C$2:$T$20,19,false)*HLOOKUP($K1887,'Type Chart'!$C$2:$U$20,19,false)</f>
        <v>1</v>
      </c>
      <c r="AM1887" s="964" t="s">
        <v>2742</v>
      </c>
      <c r="AN1887" s="965"/>
      <c r="AO1887" s="966"/>
      <c r="AP1887" s="936"/>
      <c r="AQ1887" s="1245"/>
      <c r="AR1887" s="1245"/>
      <c r="AS1887" s="936"/>
    </row>
    <row r="1888" ht="15.75" customHeight="1">
      <c r="A1888" s="1099"/>
      <c r="B1888" s="948" t="s">
        <v>2740</v>
      </c>
      <c r="C1888" s="1197" t="s">
        <v>2751</v>
      </c>
      <c r="D1888" s="1197" t="s">
        <v>2751</v>
      </c>
      <c r="E1888" s="1147" t="s">
        <v>2751</v>
      </c>
      <c r="F1888" s="940"/>
      <c r="G1888" s="953"/>
      <c r="H1888" s="969"/>
      <c r="I1888" s="998" t="s">
        <v>4987</v>
      </c>
      <c r="J1888" s="1207" t="s">
        <v>127</v>
      </c>
      <c r="K1888" s="984" t="s">
        <v>216</v>
      </c>
      <c r="L1888" s="959">
        <v>120.0</v>
      </c>
      <c r="M1888" s="960">
        <v>120.0</v>
      </c>
      <c r="N1888" s="960">
        <v>120.0</v>
      </c>
      <c r="O1888" s="960">
        <v>120.0</v>
      </c>
      <c r="P1888" s="960">
        <v>120.0</v>
      </c>
      <c r="Q1888" s="960">
        <v>120.0</v>
      </c>
      <c r="R1888" s="960">
        <v>276.0</v>
      </c>
      <c r="S1888" s="960">
        <v>339.0</v>
      </c>
      <c r="T1888" s="960">
        <v>372.0</v>
      </c>
      <c r="U1888" s="960">
        <f t="array" ref="U1888">HLOOKUP($J1888,'Type Chart'!$C$2:$T$20,2,false)*HLOOKUP($K1888,'Type Chart'!$C$2:$U$20,2,false)</f>
        <v>1</v>
      </c>
      <c r="V1888" s="960">
        <f t="array" ref="V1888">HLOOKUP($J1888,'Type Chart'!$C$2:$T$20,3,false)*HLOOKUP($K1888,'Type Chart'!$C$2:$U$20,3,false)</f>
        <v>0.5</v>
      </c>
      <c r="W1888" s="960">
        <f t="array" ref="W1888">HLOOKUP($J1888,'Type Chart'!$C$2:$T$20,4,false)*HLOOKUP($K1888,'Type Chart'!$C$2:$U$20,4,false)</f>
        <v>1</v>
      </c>
      <c r="X1888" s="960">
        <f t="array" ref="X1888">HLOOKUP($J1888,'Type Chart'!$C$2:$T$20,5,false)*HLOOKUP($K1888,'Type Chart'!$C$2:$U$20,5,false)</f>
        <v>2</v>
      </c>
      <c r="Y1888" s="960">
        <f t="array" ref="Y1888">HLOOKUP($J1888,'Type Chart'!$C$2:$T$20,6,false)*HLOOKUP($K1888,'Type Chart'!$C$2:$U$20,6,false)</f>
        <v>1</v>
      </c>
      <c r="Z1888" s="960">
        <f t="array" ref="Z1888">HLOOKUP($J1888,'Type Chart'!$C$2:$T$20,7,false)*HLOOKUP($K1888,'Type Chart'!$C$2:$U$20,7,false)</f>
        <v>1</v>
      </c>
      <c r="AA1888" s="960">
        <f t="array" ref="AA1888">HLOOKUP($J1888,'Type Chart'!$C$2:$T$20,8,false)*HLOOKUP($K1888,'Type Chart'!$C$2:$U$20,8,false)</f>
        <v>0.5</v>
      </c>
      <c r="AB1888" s="960">
        <f t="array" ref="AB1888">HLOOKUP($J1888,'Type Chart'!$C$2:$T$20,9,false)*HLOOKUP($K1888,'Type Chart'!$C$2:$U$20,9,false)</f>
        <v>1</v>
      </c>
      <c r="AC1888" s="960">
        <f t="array" ref="AC1888">HLOOKUP($J1888,'Type Chart'!$C$2:$T$20,10,false)*HLOOKUP($K1888,'Type Chart'!$C$2:$U$20,10,false)</f>
        <v>2</v>
      </c>
      <c r="AD1888" s="960">
        <f t="array" ref="AD1888">HLOOKUP($J1888,'Type Chart'!$C$2:$T$20,11,false)*HLOOKUP($K1888,'Type Chart'!$C$2:$U$20,11,false)</f>
        <v>1</v>
      </c>
      <c r="AE1888" s="960">
        <f t="array" ref="AE1888">HLOOKUP($J1888,'Type Chart'!$C$2:$T$20,12,false)*HLOOKUP($K1888,'Type Chart'!$C$2:$U$20,12,false)</f>
        <v>1</v>
      </c>
      <c r="AF1888" s="960">
        <f t="array" ref="AF1888">HLOOKUP($J1888,'Type Chart'!$C$2:$T$20,13,false)*HLOOKUP($K1888,'Type Chart'!$C$2:$U$20,13,false)</f>
        <v>1</v>
      </c>
      <c r="AG1888" s="960">
        <f t="array" ref="AG1888">HLOOKUP($J1888,'Type Chart'!$C$2:$T$20,14,false)*HLOOKUP($K1888,'Type Chart'!$C$2:$U$20,14,false)</f>
        <v>1</v>
      </c>
      <c r="AH1888" s="960">
        <f t="array" ref="AH1888">HLOOKUP($J1888,'Type Chart'!$C$2:$T$20,15,false)*HLOOKUP($K1888,'Type Chart'!$C$2:$U$20,15,false)</f>
        <v>1</v>
      </c>
      <c r="AI1888" s="960">
        <f t="array" ref="AI1888">HLOOKUP($J1888,'Type Chart'!$C$2:$T$20,16,false)*HLOOKUP($K1888,'Type Chart'!$C$2:$U$20,16,false)</f>
        <v>1</v>
      </c>
      <c r="AJ1888" s="960">
        <f t="array" ref="AJ1888">HLOOKUP($J1888,'Type Chart'!$C$2:$T$20,17,false)*HLOOKUP($K1888,'Type Chart'!$C$2:$U$20,17,false)</f>
        <v>0</v>
      </c>
      <c r="AK1888" s="960">
        <f t="array" ref="AK1888">HLOOKUP($J1888,'Type Chart'!$C$2:$T$20,18,false)*HLOOKUP($K1888,'Type Chart'!$C$2:$U$20,18,false)</f>
        <v>0.5</v>
      </c>
      <c r="AL1888" s="960">
        <f t="array" ref="AL1888">HLOOKUP($J1888,'Type Chart'!$C$2:$T$20,19,false)*HLOOKUP($K1888,'Type Chart'!$C$2:$U$20,19,false)</f>
        <v>1</v>
      </c>
      <c r="AM1888" s="964" t="s">
        <v>2742</v>
      </c>
      <c r="AN1888" s="965"/>
      <c r="AO1888" s="966"/>
      <c r="AP1888" s="936"/>
      <c r="AQ1888" s="1245"/>
      <c r="AR1888" s="1245"/>
      <c r="AS1888" s="936"/>
    </row>
    <row r="1889" ht="15.75" customHeight="1">
      <c r="A1889" s="1099"/>
      <c r="B1889" s="948" t="s">
        <v>2740</v>
      </c>
      <c r="C1889" s="1197" t="s">
        <v>2753</v>
      </c>
      <c r="D1889" s="1197" t="s">
        <v>2753</v>
      </c>
      <c r="E1889" s="1147" t="s">
        <v>2753</v>
      </c>
      <c r="F1889" s="940"/>
      <c r="G1889" s="953"/>
      <c r="H1889" s="969"/>
      <c r="I1889" s="998" t="s">
        <v>4988</v>
      </c>
      <c r="J1889" s="1213" t="s">
        <v>341</v>
      </c>
      <c r="K1889" s="984" t="s">
        <v>216</v>
      </c>
      <c r="L1889" s="959">
        <v>120.0</v>
      </c>
      <c r="M1889" s="960">
        <v>120.0</v>
      </c>
      <c r="N1889" s="960">
        <v>120.0</v>
      </c>
      <c r="O1889" s="960">
        <v>120.0</v>
      </c>
      <c r="P1889" s="960">
        <v>120.0</v>
      </c>
      <c r="Q1889" s="960">
        <v>120.0</v>
      </c>
      <c r="R1889" s="960">
        <v>276.0</v>
      </c>
      <c r="S1889" s="960">
        <v>339.0</v>
      </c>
      <c r="T1889" s="960">
        <v>372.0</v>
      </c>
      <c r="U1889" s="960">
        <f t="array" ref="U1889">HLOOKUP($J1889,'Type Chart'!$C$2:$T$20,2,false)*HLOOKUP($K1889,'Type Chart'!$C$2:$U$20,2,false)</f>
        <v>1</v>
      </c>
      <c r="V1889" s="960">
        <f t="array" ref="V1889">HLOOKUP($J1889,'Type Chart'!$C$2:$T$20,3,false)*HLOOKUP($K1889,'Type Chart'!$C$2:$U$20,3,false)</f>
        <v>1</v>
      </c>
      <c r="W1889" s="960">
        <f t="array" ref="W1889">HLOOKUP($J1889,'Type Chart'!$C$2:$T$20,4,false)*HLOOKUP($K1889,'Type Chart'!$C$2:$U$20,4,false)</f>
        <v>2</v>
      </c>
      <c r="X1889" s="960">
        <f t="array" ref="X1889">HLOOKUP($J1889,'Type Chart'!$C$2:$T$20,5,false)*HLOOKUP($K1889,'Type Chart'!$C$2:$U$20,5,false)</f>
        <v>1</v>
      </c>
      <c r="Y1889" s="960">
        <f t="array" ref="Y1889">HLOOKUP($J1889,'Type Chart'!$C$2:$T$20,6,false)*HLOOKUP($K1889,'Type Chart'!$C$2:$U$20,6,false)</f>
        <v>1</v>
      </c>
      <c r="Z1889" s="960">
        <f t="array" ref="Z1889">HLOOKUP($J1889,'Type Chart'!$C$2:$T$20,7,false)*HLOOKUP($K1889,'Type Chart'!$C$2:$U$20,7,false)</f>
        <v>0.5</v>
      </c>
      <c r="AA1889" s="960">
        <f t="array" ref="AA1889">HLOOKUP($J1889,'Type Chart'!$C$2:$T$20,8,false)*HLOOKUP($K1889,'Type Chart'!$C$2:$U$20,8,false)</f>
        <v>0.5</v>
      </c>
      <c r="AB1889" s="960">
        <f t="array" ref="AB1889">HLOOKUP($J1889,'Type Chart'!$C$2:$T$20,9,false)*HLOOKUP($K1889,'Type Chart'!$C$2:$U$20,9,false)</f>
        <v>1</v>
      </c>
      <c r="AC1889" s="960">
        <f t="array" ref="AC1889">HLOOKUP($J1889,'Type Chart'!$C$2:$T$20,10,false)*HLOOKUP($K1889,'Type Chart'!$C$2:$U$20,10,false)</f>
        <v>1</v>
      </c>
      <c r="AD1889" s="960">
        <f t="array" ref="AD1889">HLOOKUP($J1889,'Type Chart'!$C$2:$T$20,11,false)*HLOOKUP($K1889,'Type Chart'!$C$2:$U$20,11,false)</f>
        <v>1</v>
      </c>
      <c r="AE1889" s="960">
        <f t="array" ref="AE1889">HLOOKUP($J1889,'Type Chart'!$C$2:$T$20,12,false)*HLOOKUP($K1889,'Type Chart'!$C$2:$U$20,12,false)</f>
        <v>1</v>
      </c>
      <c r="AF1889" s="960">
        <f t="array" ref="AF1889">HLOOKUP($J1889,'Type Chart'!$C$2:$T$20,13,false)*HLOOKUP($K1889,'Type Chart'!$C$2:$U$20,13,false)</f>
        <v>1</v>
      </c>
      <c r="AG1889" s="960">
        <f t="array" ref="AG1889">HLOOKUP($J1889,'Type Chart'!$C$2:$T$20,14,false)*HLOOKUP($K1889,'Type Chart'!$C$2:$U$20,14,false)</f>
        <v>1</v>
      </c>
      <c r="AH1889" s="960">
        <f t="array" ref="AH1889">HLOOKUP($J1889,'Type Chart'!$C$2:$T$20,15,false)*HLOOKUP($K1889,'Type Chart'!$C$2:$U$20,15,false)</f>
        <v>2</v>
      </c>
      <c r="AI1889" s="960">
        <f t="array" ref="AI1889">HLOOKUP($J1889,'Type Chart'!$C$2:$T$20,16,false)*HLOOKUP($K1889,'Type Chart'!$C$2:$U$20,16,false)</f>
        <v>1</v>
      </c>
      <c r="AJ1889" s="960">
        <f t="array" ref="AJ1889">HLOOKUP($J1889,'Type Chart'!$C$2:$T$20,17,false)*HLOOKUP($K1889,'Type Chart'!$C$2:$U$20,17,false)</f>
        <v>1</v>
      </c>
      <c r="AK1889" s="960">
        <f t="array" ref="AK1889">HLOOKUP($J1889,'Type Chart'!$C$2:$T$20,18,false)*HLOOKUP($K1889,'Type Chart'!$C$2:$U$20,18,false)</f>
        <v>0.5</v>
      </c>
      <c r="AL1889" s="960">
        <f t="array" ref="AL1889">HLOOKUP($J1889,'Type Chart'!$C$2:$T$20,19,false)*HLOOKUP($K1889,'Type Chart'!$C$2:$U$20,19,false)</f>
        <v>2</v>
      </c>
      <c r="AM1889" s="964" t="s">
        <v>2742</v>
      </c>
      <c r="AN1889" s="965"/>
      <c r="AO1889" s="966"/>
      <c r="AP1889" s="936"/>
      <c r="AQ1889" s="1245"/>
      <c r="AR1889" s="1245"/>
      <c r="AS1889" s="936"/>
    </row>
    <row r="1890" ht="15.75" customHeight="1">
      <c r="A1890" s="1099"/>
      <c r="B1890" s="948" t="s">
        <v>2740</v>
      </c>
      <c r="C1890" s="1197" t="s">
        <v>2755</v>
      </c>
      <c r="D1890" s="1197" t="s">
        <v>2755</v>
      </c>
      <c r="E1890" s="1147" t="s">
        <v>2755</v>
      </c>
      <c r="F1890" s="940"/>
      <c r="G1890" s="953"/>
      <c r="H1890" s="969"/>
      <c r="I1890" s="998" t="s">
        <v>4989</v>
      </c>
      <c r="J1890" s="982" t="s">
        <v>150</v>
      </c>
      <c r="K1890" s="984" t="s">
        <v>216</v>
      </c>
      <c r="L1890" s="959">
        <v>120.0</v>
      </c>
      <c r="M1890" s="960">
        <v>120.0</v>
      </c>
      <c r="N1890" s="960">
        <v>120.0</v>
      </c>
      <c r="O1890" s="960">
        <v>120.0</v>
      </c>
      <c r="P1890" s="960">
        <v>120.0</v>
      </c>
      <c r="Q1890" s="960">
        <v>120.0</v>
      </c>
      <c r="R1890" s="960">
        <v>276.0</v>
      </c>
      <c r="S1890" s="960">
        <v>339.0</v>
      </c>
      <c r="T1890" s="960">
        <v>372.0</v>
      </c>
      <c r="U1890" s="960">
        <f t="array" ref="U1890">HLOOKUP($J1890,'Type Chart'!$C$2:$T$20,2,false)*HLOOKUP($K1890,'Type Chart'!$C$2:$U$20,2,false)</f>
        <v>1</v>
      </c>
      <c r="V1890" s="960">
        <f t="array" ref="V1890">HLOOKUP($J1890,'Type Chart'!$C$2:$T$20,3,false)*HLOOKUP($K1890,'Type Chart'!$C$2:$U$20,3,false)</f>
        <v>1</v>
      </c>
      <c r="W1890" s="960">
        <f t="array" ref="W1890">HLOOKUP($J1890,'Type Chart'!$C$2:$T$20,4,false)*HLOOKUP($K1890,'Type Chart'!$C$2:$U$20,4,false)</f>
        <v>1</v>
      </c>
      <c r="X1890" s="960">
        <f t="array" ref="X1890">HLOOKUP($J1890,'Type Chart'!$C$2:$T$20,5,false)*HLOOKUP($K1890,'Type Chart'!$C$2:$U$20,5,false)</f>
        <v>1</v>
      </c>
      <c r="Y1890" s="960">
        <f t="array" ref="Y1890">HLOOKUP($J1890,'Type Chart'!$C$2:$T$20,6,false)*HLOOKUP($K1890,'Type Chart'!$C$2:$U$20,6,false)</f>
        <v>2</v>
      </c>
      <c r="Z1890" s="960">
        <f t="array" ref="Z1890">HLOOKUP($J1890,'Type Chart'!$C$2:$T$20,7,false)*HLOOKUP($K1890,'Type Chart'!$C$2:$U$20,7,false)</f>
        <v>2</v>
      </c>
      <c r="AA1890" s="960">
        <f t="array" ref="AA1890">HLOOKUP($J1890,'Type Chart'!$C$2:$T$20,8,false)*HLOOKUP($K1890,'Type Chart'!$C$2:$U$20,8,false)</f>
        <v>0.5</v>
      </c>
      <c r="AB1890" s="960">
        <f t="array" ref="AB1890">HLOOKUP($J1890,'Type Chart'!$C$2:$T$20,9,false)*HLOOKUP($K1890,'Type Chart'!$C$2:$U$20,9,false)</f>
        <v>1</v>
      </c>
      <c r="AC1890" s="960">
        <f t="array" ref="AC1890">HLOOKUP($J1890,'Type Chart'!$C$2:$T$20,10,false)*HLOOKUP($K1890,'Type Chart'!$C$2:$U$20,10,false)</f>
        <v>0.5</v>
      </c>
      <c r="AD1890" s="960">
        <f t="array" ref="AD1890">HLOOKUP($J1890,'Type Chart'!$C$2:$T$20,11,false)*HLOOKUP($K1890,'Type Chart'!$C$2:$U$20,11,false)</f>
        <v>0.5</v>
      </c>
      <c r="AE1890" s="960">
        <f t="array" ref="AE1890">HLOOKUP($J1890,'Type Chart'!$C$2:$T$20,12,false)*HLOOKUP($K1890,'Type Chart'!$C$2:$U$20,12,false)</f>
        <v>2</v>
      </c>
      <c r="AF1890" s="960">
        <f t="array" ref="AF1890">HLOOKUP($J1890,'Type Chart'!$C$2:$T$20,13,false)*HLOOKUP($K1890,'Type Chart'!$C$2:$U$20,13,false)</f>
        <v>0.5</v>
      </c>
      <c r="AG1890" s="960">
        <f t="array" ref="AG1890">HLOOKUP($J1890,'Type Chart'!$C$2:$T$20,14,false)*HLOOKUP($K1890,'Type Chart'!$C$2:$U$20,14,false)</f>
        <v>1</v>
      </c>
      <c r="AH1890" s="960">
        <f t="array" ref="AH1890">HLOOKUP($J1890,'Type Chart'!$C$2:$T$20,15,false)*HLOOKUP($K1890,'Type Chart'!$C$2:$U$20,15,false)</f>
        <v>1</v>
      </c>
      <c r="AI1890" s="960">
        <f t="array" ref="AI1890">HLOOKUP($J1890,'Type Chart'!$C$2:$T$20,16,false)*HLOOKUP($K1890,'Type Chart'!$C$2:$U$20,16,false)</f>
        <v>0.5</v>
      </c>
      <c r="AJ1890" s="960">
        <f t="array" ref="AJ1890">HLOOKUP($J1890,'Type Chart'!$C$2:$T$20,17,false)*HLOOKUP($K1890,'Type Chart'!$C$2:$U$20,17,false)</f>
        <v>1</v>
      </c>
      <c r="AK1890" s="960">
        <f t="array" ref="AK1890">HLOOKUP($J1890,'Type Chart'!$C$2:$T$20,18,false)*HLOOKUP($K1890,'Type Chart'!$C$2:$U$20,18,false)</f>
        <v>1</v>
      </c>
      <c r="AL1890" s="960">
        <f t="array" ref="AL1890">HLOOKUP($J1890,'Type Chart'!$C$2:$T$20,19,false)*HLOOKUP($K1890,'Type Chart'!$C$2:$U$20,19,false)</f>
        <v>0.5</v>
      </c>
      <c r="AM1890" s="964" t="s">
        <v>2742</v>
      </c>
      <c r="AN1890" s="965"/>
      <c r="AO1890" s="966"/>
      <c r="AP1890" s="936"/>
      <c r="AQ1890" s="1245"/>
      <c r="AR1890" s="1245"/>
      <c r="AS1890" s="936"/>
    </row>
    <row r="1891" ht="15.75" customHeight="1">
      <c r="A1891" s="1099"/>
      <c r="B1891" s="948" t="s">
        <v>2740</v>
      </c>
      <c r="C1891" s="1197" t="s">
        <v>2757</v>
      </c>
      <c r="D1891" s="1197" t="s">
        <v>2757</v>
      </c>
      <c r="E1891" s="1147" t="s">
        <v>2757</v>
      </c>
      <c r="F1891" s="940"/>
      <c r="G1891" s="953"/>
      <c r="H1891" s="969"/>
      <c r="I1891" s="998" t="s">
        <v>4990</v>
      </c>
      <c r="J1891" s="1001" t="s">
        <v>128</v>
      </c>
      <c r="K1891" s="984" t="s">
        <v>216</v>
      </c>
      <c r="L1891" s="959">
        <v>120.0</v>
      </c>
      <c r="M1891" s="960">
        <v>120.0</v>
      </c>
      <c r="N1891" s="960">
        <v>120.0</v>
      </c>
      <c r="O1891" s="960">
        <v>120.0</v>
      </c>
      <c r="P1891" s="960">
        <v>120.0</v>
      </c>
      <c r="Q1891" s="960">
        <v>120.0</v>
      </c>
      <c r="R1891" s="960">
        <v>276.0</v>
      </c>
      <c r="S1891" s="960">
        <v>339.0</v>
      </c>
      <c r="T1891" s="960">
        <v>372.0</v>
      </c>
      <c r="U1891" s="960">
        <f t="array" ref="U1891">HLOOKUP($J1891,'Type Chart'!$C$2:$T$20,2,false)*HLOOKUP($K1891,'Type Chart'!$C$2:$U$20,2,false)</f>
        <v>1</v>
      </c>
      <c r="V1891" s="960">
        <f t="array" ref="V1891">HLOOKUP($J1891,'Type Chart'!$C$2:$T$20,3,false)*HLOOKUP($K1891,'Type Chart'!$C$2:$U$20,3,false)</f>
        <v>0.5</v>
      </c>
      <c r="W1891" s="960">
        <f t="array" ref="W1891">HLOOKUP($J1891,'Type Chart'!$C$2:$T$20,4,false)*HLOOKUP($K1891,'Type Chart'!$C$2:$U$20,4,false)</f>
        <v>1</v>
      </c>
      <c r="X1891" s="960">
        <f t="array" ref="X1891">HLOOKUP($J1891,'Type Chart'!$C$2:$T$20,5,false)*HLOOKUP($K1891,'Type Chart'!$C$2:$U$20,5,false)</f>
        <v>1</v>
      </c>
      <c r="Y1891" s="960">
        <f t="array" ref="Y1891">HLOOKUP($J1891,'Type Chart'!$C$2:$T$20,6,false)*HLOOKUP($K1891,'Type Chart'!$C$2:$U$20,6,false)</f>
        <v>0</v>
      </c>
      <c r="Z1891" s="960">
        <f t="array" ref="Z1891">HLOOKUP($J1891,'Type Chart'!$C$2:$T$20,7,false)*HLOOKUP($K1891,'Type Chart'!$C$2:$U$20,7,false)</f>
        <v>2</v>
      </c>
      <c r="AA1891" s="960">
        <f t="array" ref="AA1891">HLOOKUP($J1891,'Type Chart'!$C$2:$T$20,8,false)*HLOOKUP($K1891,'Type Chart'!$C$2:$U$20,8,false)</f>
        <v>0.5</v>
      </c>
      <c r="AB1891" s="960">
        <f t="array" ref="AB1891">HLOOKUP($J1891,'Type Chart'!$C$2:$T$20,9,false)*HLOOKUP($K1891,'Type Chart'!$C$2:$U$20,9,false)</f>
        <v>1</v>
      </c>
      <c r="AC1891" s="960">
        <f t="array" ref="AC1891">HLOOKUP($J1891,'Type Chart'!$C$2:$T$20,10,false)*HLOOKUP($K1891,'Type Chart'!$C$2:$U$20,10,false)</f>
        <v>1</v>
      </c>
      <c r="AD1891" s="960">
        <f t="array" ref="AD1891">HLOOKUP($J1891,'Type Chart'!$C$2:$T$20,11,false)*HLOOKUP($K1891,'Type Chart'!$C$2:$U$20,11,false)</f>
        <v>1</v>
      </c>
      <c r="AE1891" s="960">
        <f t="array" ref="AE1891">HLOOKUP($J1891,'Type Chart'!$C$2:$T$20,12,false)*HLOOKUP($K1891,'Type Chart'!$C$2:$U$20,12,false)</f>
        <v>1</v>
      </c>
      <c r="AF1891" s="960">
        <f t="array" ref="AF1891">HLOOKUP($J1891,'Type Chart'!$C$2:$T$20,13,false)*HLOOKUP($K1891,'Type Chart'!$C$2:$U$20,13,false)</f>
        <v>0.5</v>
      </c>
      <c r="AG1891" s="960">
        <f t="array" ref="AG1891">HLOOKUP($J1891,'Type Chart'!$C$2:$T$20,14,false)*HLOOKUP($K1891,'Type Chart'!$C$2:$U$20,14,false)</f>
        <v>2</v>
      </c>
      <c r="AH1891" s="960">
        <f t="array" ref="AH1891">HLOOKUP($J1891,'Type Chart'!$C$2:$T$20,15,false)*HLOOKUP($K1891,'Type Chart'!$C$2:$U$20,15,false)</f>
        <v>1</v>
      </c>
      <c r="AI1891" s="960">
        <f t="array" ref="AI1891">HLOOKUP($J1891,'Type Chart'!$C$2:$T$20,16,false)*HLOOKUP($K1891,'Type Chart'!$C$2:$U$20,16,false)</f>
        <v>2</v>
      </c>
      <c r="AJ1891" s="960">
        <f t="array" ref="AJ1891">HLOOKUP($J1891,'Type Chart'!$C$2:$T$20,17,false)*HLOOKUP($K1891,'Type Chart'!$C$2:$U$20,17,false)</f>
        <v>1</v>
      </c>
      <c r="AK1891" s="960">
        <f t="array" ref="AK1891">HLOOKUP($J1891,'Type Chart'!$C$2:$T$20,18,false)*HLOOKUP($K1891,'Type Chart'!$C$2:$U$20,18,false)</f>
        <v>1</v>
      </c>
      <c r="AL1891" s="960">
        <f t="array" ref="AL1891">HLOOKUP($J1891,'Type Chart'!$C$2:$T$20,19,false)*HLOOKUP($K1891,'Type Chart'!$C$2:$U$20,19,false)</f>
        <v>1</v>
      </c>
      <c r="AM1891" s="964" t="s">
        <v>2742</v>
      </c>
      <c r="AN1891" s="965"/>
      <c r="AO1891" s="966"/>
      <c r="AP1891" s="936"/>
      <c r="AQ1891" s="1245"/>
      <c r="AR1891" s="1245"/>
      <c r="AS1891" s="936"/>
    </row>
    <row r="1892" ht="15.75" customHeight="1">
      <c r="A1892" s="1099"/>
      <c r="B1892" s="948" t="s">
        <v>2740</v>
      </c>
      <c r="C1892" s="1197" t="s">
        <v>2759</v>
      </c>
      <c r="D1892" s="1197" t="s">
        <v>2759</v>
      </c>
      <c r="E1892" s="1147" t="s">
        <v>2759</v>
      </c>
      <c r="F1892" s="940"/>
      <c r="G1892" s="953"/>
      <c r="H1892" s="969"/>
      <c r="I1892" s="998" t="s">
        <v>4991</v>
      </c>
      <c r="J1892" s="1220" t="s">
        <v>215</v>
      </c>
      <c r="K1892" s="984" t="s">
        <v>216</v>
      </c>
      <c r="L1892" s="959">
        <v>120.0</v>
      </c>
      <c r="M1892" s="960">
        <v>120.0</v>
      </c>
      <c r="N1892" s="960">
        <v>120.0</v>
      </c>
      <c r="O1892" s="960">
        <v>120.0</v>
      </c>
      <c r="P1892" s="960">
        <v>120.0</v>
      </c>
      <c r="Q1892" s="960">
        <v>120.0</v>
      </c>
      <c r="R1892" s="960">
        <v>276.0</v>
      </c>
      <c r="S1892" s="960">
        <v>339.0</v>
      </c>
      <c r="T1892" s="960">
        <v>372.0</v>
      </c>
      <c r="U1892" s="960">
        <f t="array" ref="U1892">HLOOKUP($J1892,'Type Chart'!$C$2:$T$20,2,false)*HLOOKUP($K1892,'Type Chart'!$C$2:$U$20,2,false)</f>
        <v>0</v>
      </c>
      <c r="V1892" s="960">
        <f t="array" ref="V1892">HLOOKUP($J1892,'Type Chart'!$C$2:$T$20,3,false)*HLOOKUP($K1892,'Type Chart'!$C$2:$U$20,3,false)</f>
        <v>0</v>
      </c>
      <c r="W1892" s="960">
        <f t="array" ref="W1892">HLOOKUP($J1892,'Type Chart'!$C$2:$T$20,4,false)*HLOOKUP($K1892,'Type Chart'!$C$2:$U$20,4,false)</f>
        <v>1</v>
      </c>
      <c r="X1892" s="960">
        <f t="array" ref="X1892">HLOOKUP($J1892,'Type Chart'!$C$2:$T$20,5,false)*HLOOKUP($K1892,'Type Chart'!$C$2:$U$20,5,false)</f>
        <v>0.5</v>
      </c>
      <c r="Y1892" s="960">
        <f t="array" ref="Y1892">HLOOKUP($J1892,'Type Chart'!$C$2:$T$20,6,false)*HLOOKUP($K1892,'Type Chart'!$C$2:$U$20,6,false)</f>
        <v>1</v>
      </c>
      <c r="Z1892" s="960">
        <f t="array" ref="Z1892">HLOOKUP($J1892,'Type Chart'!$C$2:$T$20,7,false)*HLOOKUP($K1892,'Type Chart'!$C$2:$U$20,7,false)</f>
        <v>1</v>
      </c>
      <c r="AA1892" s="960">
        <f t="array" ref="AA1892">HLOOKUP($J1892,'Type Chart'!$C$2:$T$20,8,false)*HLOOKUP($K1892,'Type Chart'!$C$2:$U$20,8,false)</f>
        <v>0.5</v>
      </c>
      <c r="AB1892" s="960">
        <f t="array" ref="AB1892">HLOOKUP($J1892,'Type Chart'!$C$2:$T$20,9,false)*HLOOKUP($K1892,'Type Chart'!$C$2:$U$20,9,false)</f>
        <v>2</v>
      </c>
      <c r="AC1892" s="960">
        <f t="array" ref="AC1892">HLOOKUP($J1892,'Type Chart'!$C$2:$T$20,10,false)*HLOOKUP($K1892,'Type Chart'!$C$2:$U$20,10,false)</f>
        <v>1</v>
      </c>
      <c r="AD1892" s="960">
        <f t="array" ref="AD1892">HLOOKUP($J1892,'Type Chart'!$C$2:$T$20,11,false)*HLOOKUP($K1892,'Type Chart'!$C$2:$U$20,11,false)</f>
        <v>1</v>
      </c>
      <c r="AE1892" s="960">
        <f t="array" ref="AE1892">HLOOKUP($J1892,'Type Chart'!$C$2:$T$20,12,false)*HLOOKUP($K1892,'Type Chart'!$C$2:$U$20,12,false)</f>
        <v>1</v>
      </c>
      <c r="AF1892" s="960">
        <f t="array" ref="AF1892">HLOOKUP($J1892,'Type Chart'!$C$2:$T$20,13,false)*HLOOKUP($K1892,'Type Chart'!$C$2:$U$20,13,false)</f>
        <v>1</v>
      </c>
      <c r="AG1892" s="960">
        <f t="array" ref="AG1892">HLOOKUP($J1892,'Type Chart'!$C$2:$T$20,14,false)*HLOOKUP($K1892,'Type Chart'!$C$2:$U$20,14,false)</f>
        <v>1</v>
      </c>
      <c r="AH1892" s="960">
        <f t="array" ref="AH1892">HLOOKUP($J1892,'Type Chart'!$C$2:$T$20,15,false)*HLOOKUP($K1892,'Type Chart'!$C$2:$U$20,15,false)</f>
        <v>1</v>
      </c>
      <c r="AI1892" s="960">
        <f t="array" ref="AI1892">HLOOKUP($J1892,'Type Chart'!$C$2:$T$20,16,false)*HLOOKUP($K1892,'Type Chart'!$C$2:$U$20,16,false)</f>
        <v>1</v>
      </c>
      <c r="AJ1892" s="960">
        <f t="array" ref="AJ1892">HLOOKUP($J1892,'Type Chart'!$C$2:$T$20,17,false)*HLOOKUP($K1892,'Type Chart'!$C$2:$U$20,17,false)</f>
        <v>1</v>
      </c>
      <c r="AK1892" s="960">
        <f t="array" ref="AK1892">HLOOKUP($J1892,'Type Chart'!$C$2:$T$20,18,false)*HLOOKUP($K1892,'Type Chart'!$C$2:$U$20,18,false)</f>
        <v>2</v>
      </c>
      <c r="AL1892" s="960">
        <f t="array" ref="AL1892">HLOOKUP($J1892,'Type Chart'!$C$2:$T$20,19,false)*HLOOKUP($K1892,'Type Chart'!$C$2:$U$20,19,false)</f>
        <v>1</v>
      </c>
      <c r="AM1892" s="964" t="s">
        <v>2742</v>
      </c>
      <c r="AN1892" s="965"/>
      <c r="AO1892" s="966"/>
      <c r="AP1892" s="936"/>
      <c r="AQ1892" s="1245"/>
      <c r="AR1892" s="1245"/>
      <c r="AS1892" s="936"/>
    </row>
    <row r="1893" ht="15.75" customHeight="1">
      <c r="A1893" s="1099"/>
      <c r="B1893" s="948" t="s">
        <v>2740</v>
      </c>
      <c r="C1893" s="1197" t="s">
        <v>2761</v>
      </c>
      <c r="D1893" s="1197" t="s">
        <v>2761</v>
      </c>
      <c r="E1893" s="1147" t="s">
        <v>2761</v>
      </c>
      <c r="F1893" s="940"/>
      <c r="G1893" s="953"/>
      <c r="H1893" s="969"/>
      <c r="I1893" s="998" t="s">
        <v>4992</v>
      </c>
      <c r="J1893" s="957" t="s">
        <v>209</v>
      </c>
      <c r="K1893" s="984" t="s">
        <v>216</v>
      </c>
      <c r="L1893" s="959">
        <v>120.0</v>
      </c>
      <c r="M1893" s="960">
        <v>120.0</v>
      </c>
      <c r="N1893" s="960">
        <v>120.0</v>
      </c>
      <c r="O1893" s="960">
        <v>120.0</v>
      </c>
      <c r="P1893" s="960">
        <v>120.0</v>
      </c>
      <c r="Q1893" s="960">
        <v>120.0</v>
      </c>
      <c r="R1893" s="960">
        <v>276.0</v>
      </c>
      <c r="S1893" s="960">
        <v>339.0</v>
      </c>
      <c r="T1893" s="960">
        <v>372.0</v>
      </c>
      <c r="U1893" s="960">
        <f t="array" ref="U1893">HLOOKUP($J1893,'Type Chart'!$C$2:$T$20,2,false)*HLOOKUP($K1893,'Type Chart'!$C$2:$U$20,2,false)</f>
        <v>1</v>
      </c>
      <c r="V1893" s="960">
        <f t="array" ref="V1893">HLOOKUP($J1893,'Type Chart'!$C$2:$T$20,3,false)*HLOOKUP($K1893,'Type Chart'!$C$2:$U$20,3,false)</f>
        <v>1</v>
      </c>
      <c r="W1893" s="960">
        <f t="array" ref="W1893">HLOOKUP($J1893,'Type Chart'!$C$2:$T$20,4,false)*HLOOKUP($K1893,'Type Chart'!$C$2:$U$20,4,false)</f>
        <v>2</v>
      </c>
      <c r="X1893" s="960">
        <f t="array" ref="X1893">HLOOKUP($J1893,'Type Chart'!$C$2:$T$20,5,false)*HLOOKUP($K1893,'Type Chart'!$C$2:$U$20,5,false)</f>
        <v>2</v>
      </c>
      <c r="Y1893" s="960">
        <f t="array" ref="Y1893">HLOOKUP($J1893,'Type Chart'!$C$2:$T$20,6,false)*HLOOKUP($K1893,'Type Chart'!$C$2:$U$20,6,false)</f>
        <v>0.5</v>
      </c>
      <c r="Z1893" s="960">
        <f t="array" ref="Z1893">HLOOKUP($J1893,'Type Chart'!$C$2:$T$20,7,false)*HLOOKUP($K1893,'Type Chart'!$C$2:$U$20,7,false)</f>
        <v>1</v>
      </c>
      <c r="AA1893" s="960">
        <f t="array" ref="AA1893">HLOOKUP($J1893,'Type Chart'!$C$2:$T$20,8,false)*HLOOKUP($K1893,'Type Chart'!$C$2:$U$20,8,false)</f>
        <v>2</v>
      </c>
      <c r="AB1893" s="960">
        <f t="array" ref="AB1893">HLOOKUP($J1893,'Type Chart'!$C$2:$T$20,9,false)*HLOOKUP($K1893,'Type Chart'!$C$2:$U$20,9,false)</f>
        <v>1</v>
      </c>
      <c r="AC1893" s="960">
        <f t="array" ref="AC1893">HLOOKUP($J1893,'Type Chart'!$C$2:$T$20,10,false)*HLOOKUP($K1893,'Type Chart'!$C$2:$U$20,10,false)</f>
        <v>1</v>
      </c>
      <c r="AD1893" s="960">
        <f t="array" ref="AD1893">HLOOKUP($J1893,'Type Chart'!$C$2:$T$20,11,false)*HLOOKUP($K1893,'Type Chart'!$C$2:$U$20,11,false)</f>
        <v>2</v>
      </c>
      <c r="AE1893" s="960">
        <f t="array" ref="AE1893">HLOOKUP($J1893,'Type Chart'!$C$2:$T$20,12,false)*HLOOKUP($K1893,'Type Chart'!$C$2:$U$20,12,false)</f>
        <v>0.5</v>
      </c>
      <c r="AF1893" s="960">
        <f t="array" ref="AF1893">HLOOKUP($J1893,'Type Chart'!$C$2:$T$20,13,false)*HLOOKUP($K1893,'Type Chart'!$C$2:$U$20,13,false)</f>
        <v>0.5</v>
      </c>
      <c r="AG1893" s="960">
        <f t="array" ref="AG1893">HLOOKUP($J1893,'Type Chart'!$C$2:$T$20,14,false)*HLOOKUP($K1893,'Type Chart'!$C$2:$U$20,14,false)</f>
        <v>0.5</v>
      </c>
      <c r="AH1893" s="960">
        <f t="array" ref="AH1893">HLOOKUP($J1893,'Type Chart'!$C$2:$T$20,15,false)*HLOOKUP($K1893,'Type Chart'!$C$2:$U$20,15,false)</f>
        <v>1</v>
      </c>
      <c r="AI1893" s="960">
        <f t="array" ref="AI1893">HLOOKUP($J1893,'Type Chart'!$C$2:$T$20,16,false)*HLOOKUP($K1893,'Type Chart'!$C$2:$U$20,16,false)</f>
        <v>2</v>
      </c>
      <c r="AJ1893" s="960">
        <f t="array" ref="AJ1893">HLOOKUP($J1893,'Type Chart'!$C$2:$T$20,17,false)*HLOOKUP($K1893,'Type Chart'!$C$2:$U$20,17,false)</f>
        <v>1</v>
      </c>
      <c r="AK1893" s="960">
        <f t="array" ref="AK1893">HLOOKUP($J1893,'Type Chart'!$C$2:$T$20,18,false)*HLOOKUP($K1893,'Type Chart'!$C$2:$U$20,18,false)</f>
        <v>1</v>
      </c>
      <c r="AL1893" s="960">
        <f t="array" ref="AL1893">HLOOKUP($J1893,'Type Chart'!$C$2:$T$20,19,false)*HLOOKUP($K1893,'Type Chart'!$C$2:$U$20,19,false)</f>
        <v>1</v>
      </c>
      <c r="AM1893" s="964" t="s">
        <v>2742</v>
      </c>
      <c r="AN1893" s="965"/>
      <c r="AO1893" s="966"/>
      <c r="AP1893" s="936"/>
      <c r="AQ1893" s="1245"/>
      <c r="AR1893" s="1245"/>
      <c r="AS1893" s="936"/>
    </row>
    <row r="1894" ht="15.75" customHeight="1">
      <c r="A1894" s="1099"/>
      <c r="B1894" s="948" t="s">
        <v>2740</v>
      </c>
      <c r="C1894" s="1197" t="s">
        <v>2763</v>
      </c>
      <c r="D1894" s="1197" t="s">
        <v>2763</v>
      </c>
      <c r="E1894" s="1147" t="s">
        <v>2763</v>
      </c>
      <c r="F1894" s="940"/>
      <c r="G1894" s="953"/>
      <c r="H1894" s="969"/>
      <c r="I1894" s="998" t="s">
        <v>4993</v>
      </c>
      <c r="J1894" s="1204" t="s">
        <v>80</v>
      </c>
      <c r="K1894" s="984" t="s">
        <v>216</v>
      </c>
      <c r="L1894" s="959">
        <v>120.0</v>
      </c>
      <c r="M1894" s="960">
        <v>120.0</v>
      </c>
      <c r="N1894" s="960">
        <v>120.0</v>
      </c>
      <c r="O1894" s="960">
        <v>120.0</v>
      </c>
      <c r="P1894" s="960">
        <v>120.0</v>
      </c>
      <c r="Q1894" s="960">
        <v>120.0</v>
      </c>
      <c r="R1894" s="960">
        <v>276.0</v>
      </c>
      <c r="S1894" s="960">
        <v>339.0</v>
      </c>
      <c r="T1894" s="960">
        <v>372.0</v>
      </c>
      <c r="U1894" s="960">
        <f t="array" ref="U1894">HLOOKUP($J1894,'Type Chart'!$C$2:$T$20,2,false)*HLOOKUP($K1894,'Type Chart'!$C$2:$U$20,2,false)</f>
        <v>1</v>
      </c>
      <c r="V1894" s="960">
        <f t="array" ref="V1894">HLOOKUP($J1894,'Type Chart'!$C$2:$T$20,3,false)*HLOOKUP($K1894,'Type Chart'!$C$2:$U$20,3,false)</f>
        <v>1</v>
      </c>
      <c r="W1894" s="960">
        <f t="array" ref="W1894">HLOOKUP($J1894,'Type Chart'!$C$2:$T$20,4,false)*HLOOKUP($K1894,'Type Chart'!$C$2:$U$20,4,false)</f>
        <v>1</v>
      </c>
      <c r="X1894" s="960">
        <f t="array" ref="X1894">HLOOKUP($J1894,'Type Chart'!$C$2:$T$20,5,false)*HLOOKUP($K1894,'Type Chart'!$C$2:$U$20,5,false)</f>
        <v>0.5</v>
      </c>
      <c r="Y1894" s="960">
        <f t="array" ref="Y1894">HLOOKUP($J1894,'Type Chart'!$C$2:$T$20,6,false)*HLOOKUP($K1894,'Type Chart'!$C$2:$U$20,6,false)</f>
        <v>1</v>
      </c>
      <c r="Z1894" s="960">
        <f t="array" ref="Z1894">HLOOKUP($J1894,'Type Chart'!$C$2:$T$20,7,false)*HLOOKUP($K1894,'Type Chart'!$C$2:$U$20,7,false)</f>
        <v>0.5</v>
      </c>
      <c r="AA1894" s="960">
        <f t="array" ref="AA1894">HLOOKUP($J1894,'Type Chart'!$C$2:$T$20,8,false)*HLOOKUP($K1894,'Type Chart'!$C$2:$U$20,8,false)</f>
        <v>1</v>
      </c>
      <c r="AB1894" s="960">
        <f t="array" ref="AB1894">HLOOKUP($J1894,'Type Chart'!$C$2:$T$20,9,false)*HLOOKUP($K1894,'Type Chart'!$C$2:$U$20,9,false)</f>
        <v>1</v>
      </c>
      <c r="AC1894" s="960">
        <f t="array" ref="AC1894">HLOOKUP($J1894,'Type Chart'!$C$2:$T$20,10,false)*HLOOKUP($K1894,'Type Chart'!$C$2:$U$20,10,false)</f>
        <v>1</v>
      </c>
      <c r="AD1894" s="960">
        <f t="array" ref="AD1894">HLOOKUP($J1894,'Type Chart'!$C$2:$T$20,11,false)*HLOOKUP($K1894,'Type Chart'!$C$2:$U$20,11,false)</f>
        <v>1</v>
      </c>
      <c r="AE1894" s="960">
        <f t="array" ref="AE1894">HLOOKUP($J1894,'Type Chart'!$C$2:$T$20,12,false)*HLOOKUP($K1894,'Type Chart'!$C$2:$U$20,12,false)</f>
        <v>2</v>
      </c>
      <c r="AF1894" s="960">
        <f t="array" ref="AF1894">HLOOKUP($J1894,'Type Chart'!$C$2:$T$20,13,false)*HLOOKUP($K1894,'Type Chart'!$C$2:$U$20,13,false)</f>
        <v>2</v>
      </c>
      <c r="AG1894" s="960">
        <f t="array" ref="AG1894">HLOOKUP($J1894,'Type Chart'!$C$2:$T$20,14,false)*HLOOKUP($K1894,'Type Chart'!$C$2:$U$20,14,false)</f>
        <v>0</v>
      </c>
      <c r="AH1894" s="960">
        <f t="array" ref="AH1894">HLOOKUP($J1894,'Type Chart'!$C$2:$T$20,15,false)*HLOOKUP($K1894,'Type Chart'!$C$2:$U$20,15,false)</f>
        <v>1</v>
      </c>
      <c r="AI1894" s="960">
        <f t="array" ref="AI1894">HLOOKUP($J1894,'Type Chart'!$C$2:$T$20,16,false)*HLOOKUP($K1894,'Type Chart'!$C$2:$U$20,16,false)</f>
        <v>2</v>
      </c>
      <c r="AJ1894" s="960">
        <f t="array" ref="AJ1894">HLOOKUP($J1894,'Type Chart'!$C$2:$T$20,17,false)*HLOOKUP($K1894,'Type Chart'!$C$2:$U$20,17,false)</f>
        <v>1</v>
      </c>
      <c r="AK1894" s="960">
        <f t="array" ref="AK1894">HLOOKUP($J1894,'Type Chart'!$C$2:$T$20,18,false)*HLOOKUP($K1894,'Type Chart'!$C$2:$U$20,18,false)</f>
        <v>1</v>
      </c>
      <c r="AL1894" s="960">
        <f t="array" ref="AL1894">HLOOKUP($J1894,'Type Chart'!$C$2:$T$20,19,false)*HLOOKUP($K1894,'Type Chart'!$C$2:$U$20,19,false)</f>
        <v>1</v>
      </c>
      <c r="AM1894" s="964" t="s">
        <v>2742</v>
      </c>
      <c r="AN1894" s="965"/>
      <c r="AO1894" s="966"/>
      <c r="AP1894" s="936"/>
      <c r="AQ1894" s="1245"/>
      <c r="AR1894" s="1245"/>
      <c r="AS1894" s="936"/>
    </row>
    <row r="1895" ht="15.75" customHeight="1">
      <c r="A1895" s="1099"/>
      <c r="B1895" s="948" t="s">
        <v>2740</v>
      </c>
      <c r="C1895" s="1197" t="s">
        <v>2765</v>
      </c>
      <c r="D1895" s="1197" t="s">
        <v>2765</v>
      </c>
      <c r="E1895" s="1147" t="s">
        <v>2765</v>
      </c>
      <c r="F1895" s="940"/>
      <c r="G1895" s="953"/>
      <c r="H1895" s="969"/>
      <c r="I1895" s="998" t="s">
        <v>4994</v>
      </c>
      <c r="J1895" s="1205" t="s">
        <v>345</v>
      </c>
      <c r="K1895" s="984" t="s">
        <v>216</v>
      </c>
      <c r="L1895" s="959">
        <v>120.0</v>
      </c>
      <c r="M1895" s="960">
        <v>120.0</v>
      </c>
      <c r="N1895" s="960">
        <v>120.0</v>
      </c>
      <c r="O1895" s="960">
        <v>120.0</v>
      </c>
      <c r="P1895" s="960">
        <v>120.0</v>
      </c>
      <c r="Q1895" s="960">
        <v>120.0</v>
      </c>
      <c r="R1895" s="960">
        <v>276.0</v>
      </c>
      <c r="S1895" s="960">
        <v>339.0</v>
      </c>
      <c r="T1895" s="960">
        <v>372.0</v>
      </c>
      <c r="U1895" s="960">
        <f t="array" ref="U1895">HLOOKUP($J1895,'Type Chart'!$C$2:$T$20,2,false)*HLOOKUP($K1895,'Type Chart'!$C$2:$U$20,2,false)</f>
        <v>1</v>
      </c>
      <c r="V1895" s="960">
        <f t="array" ref="V1895">HLOOKUP($J1895,'Type Chart'!$C$2:$T$20,3,false)*HLOOKUP($K1895,'Type Chart'!$C$2:$U$20,3,false)</f>
        <v>2</v>
      </c>
      <c r="W1895" s="960">
        <f t="array" ref="W1895">HLOOKUP($J1895,'Type Chart'!$C$2:$T$20,4,false)*HLOOKUP($K1895,'Type Chart'!$C$2:$U$20,4,false)</f>
        <v>1</v>
      </c>
      <c r="X1895" s="960">
        <f t="array" ref="X1895">HLOOKUP($J1895,'Type Chart'!$C$2:$T$20,5,false)*HLOOKUP($K1895,'Type Chart'!$C$2:$U$20,5,false)</f>
        <v>1</v>
      </c>
      <c r="Y1895" s="960">
        <f t="array" ref="Y1895">HLOOKUP($J1895,'Type Chart'!$C$2:$T$20,6,false)*HLOOKUP($K1895,'Type Chart'!$C$2:$U$20,6,false)</f>
        <v>1</v>
      </c>
      <c r="Z1895" s="960">
        <f t="array" ref="Z1895">HLOOKUP($J1895,'Type Chart'!$C$2:$T$20,7,false)*HLOOKUP($K1895,'Type Chart'!$C$2:$U$20,7,false)</f>
        <v>2</v>
      </c>
      <c r="AA1895" s="960">
        <f t="array" ref="AA1895">HLOOKUP($J1895,'Type Chart'!$C$2:$T$20,8,false)*HLOOKUP($K1895,'Type Chart'!$C$2:$U$20,8,false)</f>
        <v>1</v>
      </c>
      <c r="AB1895" s="960">
        <f t="array" ref="AB1895">HLOOKUP($J1895,'Type Chart'!$C$2:$T$20,9,false)*HLOOKUP($K1895,'Type Chart'!$C$2:$U$20,9,false)</f>
        <v>1</v>
      </c>
      <c r="AC1895" s="960">
        <f t="array" ref="AC1895">HLOOKUP($J1895,'Type Chart'!$C$2:$T$20,10,false)*HLOOKUP($K1895,'Type Chart'!$C$2:$U$20,10,false)</f>
        <v>2</v>
      </c>
      <c r="AD1895" s="960">
        <f t="array" ref="AD1895">HLOOKUP($J1895,'Type Chart'!$C$2:$T$20,11,false)*HLOOKUP($K1895,'Type Chart'!$C$2:$U$20,11,false)</f>
        <v>2</v>
      </c>
      <c r="AE1895" s="960">
        <f t="array" ref="AE1895">HLOOKUP($J1895,'Type Chart'!$C$2:$T$20,12,false)*HLOOKUP($K1895,'Type Chart'!$C$2:$U$20,12,false)</f>
        <v>1</v>
      </c>
      <c r="AF1895" s="960">
        <f t="array" ref="AF1895">HLOOKUP($J1895,'Type Chart'!$C$2:$T$20,13,false)*HLOOKUP($K1895,'Type Chart'!$C$2:$U$20,13,false)</f>
        <v>1</v>
      </c>
      <c r="AG1895" s="960">
        <f t="array" ref="AG1895">HLOOKUP($J1895,'Type Chart'!$C$2:$T$20,14,false)*HLOOKUP($K1895,'Type Chart'!$C$2:$U$20,14,false)</f>
        <v>1</v>
      </c>
      <c r="AH1895" s="960">
        <f t="array" ref="AH1895">HLOOKUP($J1895,'Type Chart'!$C$2:$T$20,15,false)*HLOOKUP($K1895,'Type Chart'!$C$2:$U$20,15,false)</f>
        <v>1</v>
      </c>
      <c r="AI1895" s="960">
        <f t="array" ref="AI1895">HLOOKUP($J1895,'Type Chart'!$C$2:$T$20,16,false)*HLOOKUP($K1895,'Type Chart'!$C$2:$U$20,16,false)</f>
        <v>0.5</v>
      </c>
      <c r="AJ1895" s="960">
        <f t="array" ref="AJ1895">HLOOKUP($J1895,'Type Chart'!$C$2:$T$20,17,false)*HLOOKUP($K1895,'Type Chart'!$C$2:$U$20,17,false)</f>
        <v>1</v>
      </c>
      <c r="AK1895" s="960">
        <f t="array" ref="AK1895">HLOOKUP($J1895,'Type Chart'!$C$2:$T$20,18,false)*HLOOKUP($K1895,'Type Chart'!$C$2:$U$20,18,false)</f>
        <v>1</v>
      </c>
      <c r="AL1895" s="960">
        <f t="array" ref="AL1895">HLOOKUP($J1895,'Type Chart'!$C$2:$T$20,19,false)*HLOOKUP($K1895,'Type Chart'!$C$2:$U$20,19,false)</f>
        <v>1</v>
      </c>
      <c r="AM1895" s="964" t="s">
        <v>2742</v>
      </c>
      <c r="AN1895" s="965"/>
      <c r="AO1895" s="966"/>
      <c r="AP1895" s="936"/>
      <c r="AQ1895" s="1245"/>
      <c r="AR1895" s="1245"/>
      <c r="AS1895" s="936"/>
    </row>
    <row r="1896" ht="15.75" customHeight="1">
      <c r="A1896" s="1099"/>
      <c r="B1896" s="948" t="s">
        <v>2740</v>
      </c>
      <c r="C1896" s="1197" t="s">
        <v>2767</v>
      </c>
      <c r="D1896" s="1197" t="s">
        <v>2767</v>
      </c>
      <c r="E1896" s="1147" t="s">
        <v>2767</v>
      </c>
      <c r="F1896" s="940"/>
      <c r="G1896" s="953"/>
      <c r="H1896" s="969"/>
      <c r="I1896" s="998" t="s">
        <v>4995</v>
      </c>
      <c r="J1896" s="958" t="s">
        <v>178</v>
      </c>
      <c r="K1896" s="984" t="s">
        <v>216</v>
      </c>
      <c r="L1896" s="959">
        <v>120.0</v>
      </c>
      <c r="M1896" s="960">
        <v>120.0</v>
      </c>
      <c r="N1896" s="960">
        <v>120.0</v>
      </c>
      <c r="O1896" s="960">
        <v>120.0</v>
      </c>
      <c r="P1896" s="960">
        <v>120.0</v>
      </c>
      <c r="Q1896" s="960">
        <v>120.0</v>
      </c>
      <c r="R1896" s="960">
        <v>276.0</v>
      </c>
      <c r="S1896" s="960">
        <v>339.0</v>
      </c>
      <c r="T1896" s="960">
        <v>372.0</v>
      </c>
      <c r="U1896" s="960">
        <f t="array" ref="U1896">HLOOKUP($J1896,'Type Chart'!$C$2:$T$20,2,false)*HLOOKUP($K1896,'Type Chart'!$C$2:$U$20,2,false)</f>
        <v>1</v>
      </c>
      <c r="V1896" s="960">
        <f t="array" ref="V1896">HLOOKUP($J1896,'Type Chart'!$C$2:$T$20,3,false)*HLOOKUP($K1896,'Type Chart'!$C$2:$U$20,3,false)</f>
        <v>0.5</v>
      </c>
      <c r="W1896" s="960">
        <f t="array" ref="W1896">HLOOKUP($J1896,'Type Chart'!$C$2:$T$20,4,false)*HLOOKUP($K1896,'Type Chart'!$C$2:$U$20,4,false)</f>
        <v>1</v>
      </c>
      <c r="X1896" s="960">
        <f t="array" ref="X1896">HLOOKUP($J1896,'Type Chart'!$C$2:$T$20,5,false)*HLOOKUP($K1896,'Type Chart'!$C$2:$U$20,5,false)</f>
        <v>0.5</v>
      </c>
      <c r="Y1896" s="960">
        <f t="array" ref="Y1896">HLOOKUP($J1896,'Type Chart'!$C$2:$T$20,6,false)*HLOOKUP($K1896,'Type Chart'!$C$2:$U$20,6,false)</f>
        <v>2</v>
      </c>
      <c r="Z1896" s="960">
        <f t="array" ref="Z1896">HLOOKUP($J1896,'Type Chart'!$C$2:$T$20,7,false)*HLOOKUP($K1896,'Type Chart'!$C$2:$U$20,7,false)</f>
        <v>1</v>
      </c>
      <c r="AA1896" s="960">
        <f t="array" ref="AA1896">HLOOKUP($J1896,'Type Chart'!$C$2:$T$20,8,false)*HLOOKUP($K1896,'Type Chart'!$C$2:$U$20,8,false)</f>
        <v>0.5</v>
      </c>
      <c r="AB1896" s="960">
        <f t="array" ref="AB1896">HLOOKUP($J1896,'Type Chart'!$C$2:$T$20,9,false)*HLOOKUP($K1896,'Type Chart'!$C$2:$U$20,9,false)</f>
        <v>1</v>
      </c>
      <c r="AC1896" s="960">
        <f t="array" ref="AC1896">HLOOKUP($J1896,'Type Chart'!$C$2:$T$20,10,false)*HLOOKUP($K1896,'Type Chart'!$C$2:$U$20,10,false)</f>
        <v>1</v>
      </c>
      <c r="AD1896" s="960">
        <f t="array" ref="AD1896">HLOOKUP($J1896,'Type Chart'!$C$2:$T$20,11,false)*HLOOKUP($K1896,'Type Chart'!$C$2:$U$20,11,false)</f>
        <v>1</v>
      </c>
      <c r="AE1896" s="960">
        <f t="array" ref="AE1896">HLOOKUP($J1896,'Type Chart'!$C$2:$T$20,12,false)*HLOOKUP($K1896,'Type Chart'!$C$2:$U$20,12,false)</f>
        <v>1</v>
      </c>
      <c r="AF1896" s="960">
        <f t="array" ref="AF1896">HLOOKUP($J1896,'Type Chart'!$C$2:$T$20,13,false)*HLOOKUP($K1896,'Type Chart'!$C$2:$U$20,13,false)</f>
        <v>0.5</v>
      </c>
      <c r="AG1896" s="960">
        <f t="array" ref="AG1896">HLOOKUP($J1896,'Type Chart'!$C$2:$T$20,14,false)*HLOOKUP($K1896,'Type Chart'!$C$2:$U$20,14,false)</f>
        <v>1</v>
      </c>
      <c r="AH1896" s="960">
        <f t="array" ref="AH1896">HLOOKUP($J1896,'Type Chart'!$C$2:$T$20,15,false)*HLOOKUP($K1896,'Type Chart'!$C$2:$U$20,15,false)</f>
        <v>2</v>
      </c>
      <c r="AI1896" s="960">
        <f t="array" ref="AI1896">HLOOKUP($J1896,'Type Chart'!$C$2:$T$20,16,false)*HLOOKUP($K1896,'Type Chart'!$C$2:$U$20,16,false)</f>
        <v>1</v>
      </c>
      <c r="AJ1896" s="960">
        <f t="array" ref="AJ1896">HLOOKUP($J1896,'Type Chart'!$C$2:$T$20,17,false)*HLOOKUP($K1896,'Type Chart'!$C$2:$U$20,17,false)</f>
        <v>1</v>
      </c>
      <c r="AK1896" s="960">
        <f t="array" ref="AK1896">HLOOKUP($J1896,'Type Chart'!$C$2:$T$20,18,false)*HLOOKUP($K1896,'Type Chart'!$C$2:$U$20,18,false)</f>
        <v>1</v>
      </c>
      <c r="AL1896" s="960">
        <f t="array" ref="AL1896">HLOOKUP($J1896,'Type Chart'!$C$2:$T$20,19,false)*HLOOKUP($K1896,'Type Chart'!$C$2:$U$20,19,false)</f>
        <v>0.5</v>
      </c>
      <c r="AM1896" s="964" t="s">
        <v>2742</v>
      </c>
      <c r="AN1896" s="965"/>
      <c r="AO1896" s="966"/>
      <c r="AP1896" s="936"/>
      <c r="AQ1896" s="1245"/>
      <c r="AR1896" s="1245"/>
      <c r="AS1896" s="936"/>
    </row>
    <row r="1897" ht="15.75" customHeight="1">
      <c r="A1897" s="1099"/>
      <c r="B1897" s="948" t="s">
        <v>2740</v>
      </c>
      <c r="C1897" s="1197" t="s">
        <v>2769</v>
      </c>
      <c r="D1897" s="1197" t="s">
        <v>2769</v>
      </c>
      <c r="E1897" s="1147" t="s">
        <v>2769</v>
      </c>
      <c r="F1897" s="940"/>
      <c r="G1897" s="953"/>
      <c r="H1897" s="969"/>
      <c r="I1897" s="998" t="s">
        <v>4996</v>
      </c>
      <c r="J1897" s="1203" t="s">
        <v>344</v>
      </c>
      <c r="K1897" s="984" t="s">
        <v>216</v>
      </c>
      <c r="L1897" s="959">
        <v>120.0</v>
      </c>
      <c r="M1897" s="960">
        <v>120.0</v>
      </c>
      <c r="N1897" s="960">
        <v>120.0</v>
      </c>
      <c r="O1897" s="960">
        <v>120.0</v>
      </c>
      <c r="P1897" s="960">
        <v>120.0</v>
      </c>
      <c r="Q1897" s="960">
        <v>120.0</v>
      </c>
      <c r="R1897" s="960">
        <v>276.0</v>
      </c>
      <c r="S1897" s="960">
        <v>339.0</v>
      </c>
      <c r="T1897" s="960">
        <v>372.0</v>
      </c>
      <c r="U1897" s="960">
        <f t="array" ref="U1897">HLOOKUP($J1897,'Type Chart'!$C$2:$T$20,2,false)*HLOOKUP($K1897,'Type Chart'!$C$2:$U$20,2,false)</f>
        <v>1</v>
      </c>
      <c r="V1897" s="960">
        <f t="array" ref="V1897">HLOOKUP($J1897,'Type Chart'!$C$2:$T$20,3,false)*HLOOKUP($K1897,'Type Chart'!$C$2:$U$20,3,false)</f>
        <v>0.5</v>
      </c>
      <c r="W1897" s="960">
        <f t="array" ref="W1897">HLOOKUP($J1897,'Type Chart'!$C$2:$T$20,4,false)*HLOOKUP($K1897,'Type Chart'!$C$2:$U$20,4,false)</f>
        <v>1</v>
      </c>
      <c r="X1897" s="960">
        <f t="array" ref="X1897">HLOOKUP($J1897,'Type Chart'!$C$2:$T$20,5,false)*HLOOKUP($K1897,'Type Chart'!$C$2:$U$20,5,false)</f>
        <v>1</v>
      </c>
      <c r="Y1897" s="960">
        <f t="array" ref="Y1897">HLOOKUP($J1897,'Type Chart'!$C$2:$T$20,6,false)*HLOOKUP($K1897,'Type Chart'!$C$2:$U$20,6,false)</f>
        <v>1</v>
      </c>
      <c r="Z1897" s="960">
        <f t="array" ref="Z1897">HLOOKUP($J1897,'Type Chart'!$C$2:$T$20,7,false)*HLOOKUP($K1897,'Type Chart'!$C$2:$U$20,7,false)</f>
        <v>1</v>
      </c>
      <c r="AA1897" s="960">
        <f t="array" ref="AA1897">HLOOKUP($J1897,'Type Chart'!$C$2:$T$20,8,false)*HLOOKUP($K1897,'Type Chart'!$C$2:$U$20,8,false)</f>
        <v>2</v>
      </c>
      <c r="AB1897" s="960">
        <f t="array" ref="AB1897">HLOOKUP($J1897,'Type Chart'!$C$2:$T$20,9,false)*HLOOKUP($K1897,'Type Chart'!$C$2:$U$20,9,false)</f>
        <v>2</v>
      </c>
      <c r="AC1897" s="960">
        <f t="array" ref="AC1897">HLOOKUP($J1897,'Type Chart'!$C$2:$T$20,10,false)*HLOOKUP($K1897,'Type Chart'!$C$2:$U$20,10,false)</f>
        <v>1</v>
      </c>
      <c r="AD1897" s="960">
        <f t="array" ref="AD1897">HLOOKUP($J1897,'Type Chart'!$C$2:$T$20,11,false)*HLOOKUP($K1897,'Type Chart'!$C$2:$U$20,11,false)</f>
        <v>1</v>
      </c>
      <c r="AE1897" s="960">
        <f t="array" ref="AE1897">HLOOKUP($J1897,'Type Chart'!$C$2:$T$20,12,false)*HLOOKUP($K1897,'Type Chart'!$C$2:$U$20,12,false)</f>
        <v>1</v>
      </c>
      <c r="AF1897" s="960">
        <f t="array" ref="AF1897">HLOOKUP($J1897,'Type Chart'!$C$2:$T$20,13,false)*HLOOKUP($K1897,'Type Chart'!$C$2:$U$20,13,false)</f>
        <v>1</v>
      </c>
      <c r="AG1897" s="960">
        <f t="array" ref="AG1897">HLOOKUP($J1897,'Type Chart'!$C$2:$T$20,14,false)*HLOOKUP($K1897,'Type Chart'!$C$2:$U$20,14,false)</f>
        <v>1</v>
      </c>
      <c r="AH1897" s="960">
        <f t="array" ref="AH1897">HLOOKUP($J1897,'Type Chart'!$C$2:$T$20,15,false)*HLOOKUP($K1897,'Type Chart'!$C$2:$U$20,15,false)</f>
        <v>0.5</v>
      </c>
      <c r="AI1897" s="960">
        <f t="array" ref="AI1897">HLOOKUP($J1897,'Type Chart'!$C$2:$T$20,16,false)*HLOOKUP($K1897,'Type Chart'!$C$2:$U$20,16,false)</f>
        <v>1</v>
      </c>
      <c r="AJ1897" s="960">
        <f t="array" ref="AJ1897">HLOOKUP($J1897,'Type Chart'!$C$2:$T$20,17,false)*HLOOKUP($K1897,'Type Chart'!$C$2:$U$20,17,false)</f>
        <v>1</v>
      </c>
      <c r="AK1897" s="960">
        <f t="array" ref="AK1897">HLOOKUP($J1897,'Type Chart'!$C$2:$T$20,18,false)*HLOOKUP($K1897,'Type Chart'!$C$2:$U$20,18,false)</f>
        <v>2</v>
      </c>
      <c r="AL1897" s="960">
        <f t="array" ref="AL1897">HLOOKUP($J1897,'Type Chart'!$C$2:$T$20,19,false)*HLOOKUP($K1897,'Type Chart'!$C$2:$U$20,19,false)</f>
        <v>1</v>
      </c>
      <c r="AM1897" s="964" t="s">
        <v>2742</v>
      </c>
      <c r="AN1897" s="965"/>
      <c r="AO1897" s="966"/>
      <c r="AP1897" s="936"/>
      <c r="AQ1897" s="1245"/>
      <c r="AR1897" s="1245"/>
      <c r="AS1897" s="936"/>
    </row>
    <row r="1898" ht="15.75" customHeight="1">
      <c r="A1898" s="1099"/>
      <c r="B1898" s="948" t="s">
        <v>2740</v>
      </c>
      <c r="C1898" s="1197" t="s">
        <v>2771</v>
      </c>
      <c r="D1898" s="1197" t="s">
        <v>2771</v>
      </c>
      <c r="E1898" s="1147" t="s">
        <v>2771</v>
      </c>
      <c r="F1898" s="940"/>
      <c r="G1898" s="953"/>
      <c r="H1898" s="969"/>
      <c r="I1898" s="998" t="s">
        <v>4997</v>
      </c>
      <c r="J1898" s="1214" t="s">
        <v>342</v>
      </c>
      <c r="K1898" s="984" t="s">
        <v>216</v>
      </c>
      <c r="L1898" s="959">
        <v>120.0</v>
      </c>
      <c r="M1898" s="960">
        <v>120.0</v>
      </c>
      <c r="N1898" s="960">
        <v>120.0</v>
      </c>
      <c r="O1898" s="960">
        <v>120.0</v>
      </c>
      <c r="P1898" s="960">
        <v>120.0</v>
      </c>
      <c r="Q1898" s="960">
        <v>120.0</v>
      </c>
      <c r="R1898" s="960">
        <v>276.0</v>
      </c>
      <c r="S1898" s="960">
        <v>339.0</v>
      </c>
      <c r="T1898" s="960">
        <v>372.0</v>
      </c>
      <c r="U1898" s="960">
        <f t="array" ref="U1898">HLOOKUP($J1898,'Type Chart'!$C$2:$T$20,2,false)*HLOOKUP($K1898,'Type Chart'!$C$2:$U$20,2,false)</f>
        <v>0.5</v>
      </c>
      <c r="V1898" s="960">
        <f t="array" ref="V1898">HLOOKUP($J1898,'Type Chart'!$C$2:$T$20,3,false)*HLOOKUP($K1898,'Type Chart'!$C$2:$U$20,3,false)</f>
        <v>2</v>
      </c>
      <c r="W1898" s="960">
        <f t="array" ref="W1898">HLOOKUP($J1898,'Type Chart'!$C$2:$T$20,4,false)*HLOOKUP($K1898,'Type Chart'!$C$2:$U$20,4,false)</f>
        <v>0.5</v>
      </c>
      <c r="X1898" s="960">
        <f t="array" ref="X1898">HLOOKUP($J1898,'Type Chart'!$C$2:$T$20,5,false)*HLOOKUP($K1898,'Type Chart'!$C$2:$U$20,5,false)</f>
        <v>0.5</v>
      </c>
      <c r="Y1898" s="960">
        <f t="array" ref="Y1898">HLOOKUP($J1898,'Type Chart'!$C$2:$T$20,6,false)*HLOOKUP($K1898,'Type Chart'!$C$2:$U$20,6,false)</f>
        <v>2</v>
      </c>
      <c r="Z1898" s="960">
        <f t="array" ref="Z1898">HLOOKUP($J1898,'Type Chart'!$C$2:$T$20,7,false)*HLOOKUP($K1898,'Type Chart'!$C$2:$U$20,7,false)</f>
        <v>1</v>
      </c>
      <c r="AA1898" s="960">
        <f t="array" ref="AA1898">HLOOKUP($J1898,'Type Chart'!$C$2:$T$20,8,false)*HLOOKUP($K1898,'Type Chart'!$C$2:$U$20,8,false)</f>
        <v>1</v>
      </c>
      <c r="AB1898" s="960">
        <f t="array" ref="AB1898">HLOOKUP($J1898,'Type Chart'!$C$2:$T$20,9,false)*HLOOKUP($K1898,'Type Chart'!$C$2:$U$20,9,false)</f>
        <v>1</v>
      </c>
      <c r="AC1898" s="960">
        <f t="array" ref="AC1898">HLOOKUP($J1898,'Type Chart'!$C$2:$T$20,10,false)*HLOOKUP($K1898,'Type Chart'!$C$2:$U$20,10,false)</f>
        <v>2</v>
      </c>
      <c r="AD1898" s="960">
        <f t="array" ref="AD1898">HLOOKUP($J1898,'Type Chart'!$C$2:$T$20,11,false)*HLOOKUP($K1898,'Type Chart'!$C$2:$U$20,11,false)</f>
        <v>0.5</v>
      </c>
      <c r="AE1898" s="960">
        <f t="array" ref="AE1898">HLOOKUP($J1898,'Type Chart'!$C$2:$T$20,12,false)*HLOOKUP($K1898,'Type Chart'!$C$2:$U$20,12,false)</f>
        <v>2</v>
      </c>
      <c r="AF1898" s="960">
        <f t="array" ref="AF1898">HLOOKUP($J1898,'Type Chart'!$C$2:$T$20,13,false)*HLOOKUP($K1898,'Type Chart'!$C$2:$U$20,13,false)</f>
        <v>2</v>
      </c>
      <c r="AG1898" s="960">
        <f t="array" ref="AG1898">HLOOKUP($J1898,'Type Chart'!$C$2:$T$20,14,false)*HLOOKUP($K1898,'Type Chart'!$C$2:$U$20,14,false)</f>
        <v>1</v>
      </c>
      <c r="AH1898" s="960">
        <f t="array" ref="AH1898">HLOOKUP($J1898,'Type Chart'!$C$2:$T$20,15,false)*HLOOKUP($K1898,'Type Chart'!$C$2:$U$20,15,false)</f>
        <v>1</v>
      </c>
      <c r="AI1898" s="960">
        <f t="array" ref="AI1898">HLOOKUP($J1898,'Type Chart'!$C$2:$T$20,16,false)*HLOOKUP($K1898,'Type Chart'!$C$2:$U$20,16,false)</f>
        <v>1</v>
      </c>
      <c r="AJ1898" s="960">
        <f t="array" ref="AJ1898">HLOOKUP($J1898,'Type Chart'!$C$2:$T$20,17,false)*HLOOKUP($K1898,'Type Chart'!$C$2:$U$20,17,false)</f>
        <v>1</v>
      </c>
      <c r="AK1898" s="960">
        <f t="array" ref="AK1898">HLOOKUP($J1898,'Type Chart'!$C$2:$T$20,18,false)*HLOOKUP($K1898,'Type Chart'!$C$2:$U$20,18,false)</f>
        <v>1</v>
      </c>
      <c r="AL1898" s="960">
        <f t="array" ref="AL1898">HLOOKUP($J1898,'Type Chart'!$C$2:$T$20,19,false)*HLOOKUP($K1898,'Type Chart'!$C$2:$U$20,19,false)</f>
        <v>1</v>
      </c>
      <c r="AM1898" s="964" t="s">
        <v>2742</v>
      </c>
      <c r="AN1898" s="965"/>
      <c r="AO1898" s="966"/>
      <c r="AP1898" s="936"/>
      <c r="AQ1898" s="1245"/>
      <c r="AR1898" s="1245"/>
      <c r="AS1898" s="936"/>
    </row>
    <row r="1899" ht="15.75" customHeight="1">
      <c r="A1899" s="1099"/>
      <c r="B1899" s="948" t="s">
        <v>2740</v>
      </c>
      <c r="C1899" s="1197" t="s">
        <v>2773</v>
      </c>
      <c r="D1899" s="1197" t="s">
        <v>2773</v>
      </c>
      <c r="E1899" s="1147" t="s">
        <v>2773</v>
      </c>
      <c r="F1899" s="940"/>
      <c r="G1899" s="953"/>
      <c r="H1899" s="969"/>
      <c r="I1899" s="998" t="s">
        <v>4998</v>
      </c>
      <c r="J1899" s="1206" t="s">
        <v>82</v>
      </c>
      <c r="K1899" s="984" t="s">
        <v>216</v>
      </c>
      <c r="L1899" s="959">
        <v>120.0</v>
      </c>
      <c r="M1899" s="960">
        <v>120.0</v>
      </c>
      <c r="N1899" s="960">
        <v>120.0</v>
      </c>
      <c r="O1899" s="960">
        <v>120.0</v>
      </c>
      <c r="P1899" s="960">
        <v>120.0</v>
      </c>
      <c r="Q1899" s="960">
        <v>120.0</v>
      </c>
      <c r="R1899" s="960">
        <v>276.0</v>
      </c>
      <c r="S1899" s="960">
        <v>339.0</v>
      </c>
      <c r="T1899" s="960">
        <v>372.0</v>
      </c>
      <c r="U1899" s="960">
        <f t="array" ref="U1899">HLOOKUP($J1899,'Type Chart'!$C$2:$T$20,2,false)*HLOOKUP($K1899,'Type Chart'!$C$2:$U$20,2,false)</f>
        <v>0.5</v>
      </c>
      <c r="V1899" s="960">
        <f t="array" ref="V1899">HLOOKUP($J1899,'Type Chart'!$C$2:$T$20,3,false)*HLOOKUP($K1899,'Type Chart'!$C$2:$U$20,3,false)</f>
        <v>2</v>
      </c>
      <c r="W1899" s="960">
        <f t="array" ref="W1899">HLOOKUP($J1899,'Type Chart'!$C$2:$T$20,4,false)*HLOOKUP($K1899,'Type Chart'!$C$2:$U$20,4,false)</f>
        <v>0.5</v>
      </c>
      <c r="X1899" s="960">
        <f t="array" ref="X1899">HLOOKUP($J1899,'Type Chart'!$C$2:$T$20,5,false)*HLOOKUP($K1899,'Type Chart'!$C$2:$U$20,5,false)</f>
        <v>0</v>
      </c>
      <c r="Y1899" s="960">
        <f t="array" ref="Y1899">HLOOKUP($J1899,'Type Chart'!$C$2:$T$20,6,false)*HLOOKUP($K1899,'Type Chart'!$C$2:$U$20,6,false)</f>
        <v>2</v>
      </c>
      <c r="Z1899" s="960">
        <f t="array" ref="Z1899">HLOOKUP($J1899,'Type Chart'!$C$2:$T$20,7,false)*HLOOKUP($K1899,'Type Chart'!$C$2:$U$20,7,false)</f>
        <v>0.5</v>
      </c>
      <c r="AA1899" s="960">
        <f t="array" ref="AA1899">HLOOKUP($J1899,'Type Chart'!$C$2:$T$20,8,false)*HLOOKUP($K1899,'Type Chart'!$C$2:$U$20,8,false)</f>
        <v>0.5</v>
      </c>
      <c r="AB1899" s="960">
        <f t="array" ref="AB1899">HLOOKUP($J1899,'Type Chart'!$C$2:$T$20,9,false)*HLOOKUP($K1899,'Type Chart'!$C$2:$U$20,9,false)</f>
        <v>1</v>
      </c>
      <c r="AC1899" s="960">
        <f t="array" ref="AC1899">HLOOKUP($J1899,'Type Chart'!$C$2:$T$20,10,false)*HLOOKUP($K1899,'Type Chart'!$C$2:$U$20,10,false)</f>
        <v>0.5</v>
      </c>
      <c r="AD1899" s="960">
        <f t="array" ref="AD1899">HLOOKUP($J1899,'Type Chart'!$C$2:$T$20,11,false)*HLOOKUP($K1899,'Type Chart'!$C$2:$U$20,11,false)</f>
        <v>2</v>
      </c>
      <c r="AE1899" s="960">
        <f t="array" ref="AE1899">HLOOKUP($J1899,'Type Chart'!$C$2:$T$20,12,false)*HLOOKUP($K1899,'Type Chart'!$C$2:$U$20,12,false)</f>
        <v>1</v>
      </c>
      <c r="AF1899" s="960">
        <f t="array" ref="AF1899">HLOOKUP($J1899,'Type Chart'!$C$2:$T$20,13,false)*HLOOKUP($K1899,'Type Chart'!$C$2:$U$20,13,false)</f>
        <v>0.5</v>
      </c>
      <c r="AG1899" s="960">
        <f t="array" ref="AG1899">HLOOKUP($J1899,'Type Chart'!$C$2:$T$20,14,false)*HLOOKUP($K1899,'Type Chart'!$C$2:$U$20,14,false)</f>
        <v>1</v>
      </c>
      <c r="AH1899" s="960">
        <f t="array" ref="AH1899">HLOOKUP($J1899,'Type Chart'!$C$2:$T$20,15,false)*HLOOKUP($K1899,'Type Chart'!$C$2:$U$20,15,false)</f>
        <v>0.5</v>
      </c>
      <c r="AI1899" s="960">
        <f t="array" ref="AI1899">HLOOKUP($J1899,'Type Chart'!$C$2:$T$20,16,false)*HLOOKUP($K1899,'Type Chart'!$C$2:$U$20,16,false)</f>
        <v>0.5</v>
      </c>
      <c r="AJ1899" s="960">
        <f t="array" ref="AJ1899">HLOOKUP($J1899,'Type Chart'!$C$2:$T$20,17,false)*HLOOKUP($K1899,'Type Chart'!$C$2:$U$20,17,false)</f>
        <v>0.5</v>
      </c>
      <c r="AK1899" s="960">
        <f t="array" ref="AK1899">HLOOKUP($J1899,'Type Chart'!$C$2:$T$20,18,false)*HLOOKUP($K1899,'Type Chart'!$C$2:$U$20,18,false)</f>
        <v>1</v>
      </c>
      <c r="AL1899" s="960">
        <f t="array" ref="AL1899">HLOOKUP($J1899,'Type Chart'!$C$2:$T$20,19,false)*HLOOKUP($K1899,'Type Chart'!$C$2:$U$20,19,false)</f>
        <v>0.5</v>
      </c>
      <c r="AM1899" s="964" t="s">
        <v>2742</v>
      </c>
      <c r="AN1899" s="965"/>
      <c r="AO1899" s="966"/>
      <c r="AP1899" s="936"/>
      <c r="AQ1899" s="1245"/>
      <c r="AR1899" s="1245"/>
      <c r="AS1899" s="936"/>
    </row>
    <row r="1900" ht="15.75" customHeight="1">
      <c r="A1900" s="1099"/>
      <c r="B1900" s="948" t="s">
        <v>2740</v>
      </c>
      <c r="C1900" s="1197" t="s">
        <v>2775</v>
      </c>
      <c r="D1900" s="1197" t="s">
        <v>2775</v>
      </c>
      <c r="E1900" s="1147" t="s">
        <v>2775</v>
      </c>
      <c r="F1900" s="940"/>
      <c r="G1900" s="953"/>
      <c r="H1900" s="969"/>
      <c r="I1900" s="998" t="s">
        <v>4999</v>
      </c>
      <c r="J1900" s="1056" t="s">
        <v>81</v>
      </c>
      <c r="K1900" s="984" t="s">
        <v>216</v>
      </c>
      <c r="L1900" s="959">
        <v>120.0</v>
      </c>
      <c r="M1900" s="960">
        <v>120.0</v>
      </c>
      <c r="N1900" s="960">
        <v>120.0</v>
      </c>
      <c r="O1900" s="960">
        <v>120.0</v>
      </c>
      <c r="P1900" s="960">
        <v>120.0</v>
      </c>
      <c r="Q1900" s="960">
        <v>120.0</v>
      </c>
      <c r="R1900" s="960">
        <v>276.0</v>
      </c>
      <c r="S1900" s="960">
        <v>339.0</v>
      </c>
      <c r="T1900" s="960">
        <v>372.0</v>
      </c>
      <c r="U1900" s="960">
        <f t="array" ref="U1900">HLOOKUP($J1900,'Type Chart'!$C$2:$T$20,2,false)*HLOOKUP($K1900,'Type Chart'!$C$2:$U$20,2,false)</f>
        <v>1</v>
      </c>
      <c r="V1900" s="960">
        <f t="array" ref="V1900">HLOOKUP($J1900,'Type Chart'!$C$2:$T$20,3,false)*HLOOKUP($K1900,'Type Chart'!$C$2:$U$20,3,false)</f>
        <v>1</v>
      </c>
      <c r="W1900" s="960">
        <f t="array" ref="W1900">HLOOKUP($J1900,'Type Chart'!$C$2:$T$20,4,false)*HLOOKUP($K1900,'Type Chart'!$C$2:$U$20,4,false)</f>
        <v>1</v>
      </c>
      <c r="X1900" s="960">
        <f t="array" ref="X1900">HLOOKUP($J1900,'Type Chart'!$C$2:$T$20,5,false)*HLOOKUP($K1900,'Type Chart'!$C$2:$U$20,5,false)</f>
        <v>1</v>
      </c>
      <c r="Y1900" s="960">
        <f t="array" ref="Y1900">HLOOKUP($J1900,'Type Chart'!$C$2:$T$20,6,false)*HLOOKUP($K1900,'Type Chart'!$C$2:$U$20,6,false)</f>
        <v>1</v>
      </c>
      <c r="Z1900" s="960">
        <f t="array" ref="Z1900">HLOOKUP($J1900,'Type Chart'!$C$2:$T$20,7,false)*HLOOKUP($K1900,'Type Chart'!$C$2:$U$20,7,false)</f>
        <v>1</v>
      </c>
      <c r="AA1900" s="960">
        <f t="array" ref="AA1900">HLOOKUP($J1900,'Type Chart'!$C$2:$T$20,8,false)*HLOOKUP($K1900,'Type Chart'!$C$2:$U$20,8,false)</f>
        <v>1</v>
      </c>
      <c r="AB1900" s="960">
        <f t="array" ref="AB1900">HLOOKUP($J1900,'Type Chart'!$C$2:$T$20,9,false)*HLOOKUP($K1900,'Type Chart'!$C$2:$U$20,9,false)</f>
        <v>1</v>
      </c>
      <c r="AC1900" s="960">
        <f t="array" ref="AC1900">HLOOKUP($J1900,'Type Chart'!$C$2:$T$20,10,false)*HLOOKUP($K1900,'Type Chart'!$C$2:$U$20,10,false)</f>
        <v>0.5</v>
      </c>
      <c r="AD1900" s="960">
        <f t="array" ref="AD1900">HLOOKUP($J1900,'Type Chart'!$C$2:$T$20,11,false)*HLOOKUP($K1900,'Type Chart'!$C$2:$U$20,11,false)</f>
        <v>0.5</v>
      </c>
      <c r="AE1900" s="960">
        <f t="array" ref="AE1900">HLOOKUP($J1900,'Type Chart'!$C$2:$T$20,12,false)*HLOOKUP($K1900,'Type Chart'!$C$2:$U$20,12,false)</f>
        <v>0.5</v>
      </c>
      <c r="AF1900" s="960">
        <f t="array" ref="AF1900">HLOOKUP($J1900,'Type Chart'!$C$2:$T$20,13,false)*HLOOKUP($K1900,'Type Chart'!$C$2:$U$20,13,false)</f>
        <v>2</v>
      </c>
      <c r="AG1900" s="960">
        <f t="array" ref="AG1900">HLOOKUP($J1900,'Type Chart'!$C$2:$T$20,14,false)*HLOOKUP($K1900,'Type Chart'!$C$2:$U$20,14,false)</f>
        <v>2</v>
      </c>
      <c r="AH1900" s="960">
        <f t="array" ref="AH1900">HLOOKUP($J1900,'Type Chart'!$C$2:$T$20,15,false)*HLOOKUP($K1900,'Type Chart'!$C$2:$U$20,15,false)</f>
        <v>1</v>
      </c>
      <c r="AI1900" s="960">
        <f t="array" ref="AI1900">HLOOKUP($J1900,'Type Chart'!$C$2:$T$20,16,false)*HLOOKUP($K1900,'Type Chart'!$C$2:$U$20,16,false)</f>
        <v>0.5</v>
      </c>
      <c r="AJ1900" s="960">
        <f t="array" ref="AJ1900">HLOOKUP($J1900,'Type Chart'!$C$2:$T$20,17,false)*HLOOKUP($K1900,'Type Chart'!$C$2:$U$20,17,false)</f>
        <v>1</v>
      </c>
      <c r="AK1900" s="960">
        <f t="array" ref="AK1900">HLOOKUP($J1900,'Type Chart'!$C$2:$T$20,18,false)*HLOOKUP($K1900,'Type Chart'!$C$2:$U$20,18,false)</f>
        <v>1</v>
      </c>
      <c r="AL1900" s="960">
        <f t="array" ref="AL1900">HLOOKUP($J1900,'Type Chart'!$C$2:$T$20,19,false)*HLOOKUP($K1900,'Type Chart'!$C$2:$U$20,19,false)</f>
        <v>1</v>
      </c>
      <c r="AM1900" s="964" t="s">
        <v>2742</v>
      </c>
      <c r="AN1900" s="965"/>
      <c r="AO1900" s="966"/>
      <c r="AP1900" s="936"/>
      <c r="AQ1900" s="1245"/>
      <c r="AR1900" s="1245"/>
      <c r="AS1900" s="936"/>
    </row>
    <row r="1901" ht="15.75" customHeight="1">
      <c r="A1901" s="1099"/>
      <c r="B1901" s="948" t="s">
        <v>2777</v>
      </c>
      <c r="C1901" s="1197" t="s">
        <v>2778</v>
      </c>
      <c r="D1901" s="1197" t="s">
        <v>2778</v>
      </c>
      <c r="E1901" s="1147" t="s">
        <v>2778</v>
      </c>
      <c r="F1901" s="940"/>
      <c r="G1901" s="953"/>
      <c r="H1901" s="969"/>
      <c r="I1901" s="998" t="s">
        <v>5000</v>
      </c>
      <c r="J1901" s="1203" t="s">
        <v>344</v>
      </c>
      <c r="K1901" s="982" t="s">
        <v>150</v>
      </c>
      <c r="L1901" s="959">
        <v>100.0</v>
      </c>
      <c r="M1901" s="960">
        <v>100.0</v>
      </c>
      <c r="N1901" s="960">
        <v>100.0</v>
      </c>
      <c r="O1901" s="960">
        <v>100.0</v>
      </c>
      <c r="P1901" s="960">
        <v>100.0</v>
      </c>
      <c r="Q1901" s="960">
        <v>100.0</v>
      </c>
      <c r="R1901" s="960">
        <v>236.0</v>
      </c>
      <c r="S1901" s="960">
        <v>299.0</v>
      </c>
      <c r="T1901" s="960">
        <v>328.0</v>
      </c>
      <c r="U1901" s="960">
        <f t="array" ref="U1901">HLOOKUP($J1901,'Type Chart'!$C$2:$T$20,2,false)*HLOOKUP($K1901,'Type Chart'!$C$2:$U$20,2,false)</f>
        <v>1</v>
      </c>
      <c r="V1901" s="960">
        <f t="array" ref="V1901">HLOOKUP($J1901,'Type Chart'!$C$2:$T$20,3,false)*HLOOKUP($K1901,'Type Chart'!$C$2:$U$20,3,false)</f>
        <v>0.5</v>
      </c>
      <c r="W1901" s="960">
        <f t="array" ref="W1901">HLOOKUP($J1901,'Type Chart'!$C$2:$T$20,4,false)*HLOOKUP($K1901,'Type Chart'!$C$2:$U$20,4,false)</f>
        <v>1</v>
      </c>
      <c r="X1901" s="960">
        <f t="array" ref="X1901">HLOOKUP($J1901,'Type Chart'!$C$2:$T$20,5,false)*HLOOKUP($K1901,'Type Chart'!$C$2:$U$20,5,false)</f>
        <v>1</v>
      </c>
      <c r="Y1901" s="960">
        <f t="array" ref="Y1901">HLOOKUP($J1901,'Type Chart'!$C$2:$T$20,6,false)*HLOOKUP($K1901,'Type Chart'!$C$2:$U$20,6,false)</f>
        <v>2</v>
      </c>
      <c r="Z1901" s="960">
        <f t="array" ref="Z1901">HLOOKUP($J1901,'Type Chart'!$C$2:$T$20,7,false)*HLOOKUP($K1901,'Type Chart'!$C$2:$U$20,7,false)</f>
        <v>2</v>
      </c>
      <c r="AA1901" s="960">
        <f t="array" ref="AA1901">HLOOKUP($J1901,'Type Chart'!$C$2:$T$20,8,false)*HLOOKUP($K1901,'Type Chart'!$C$2:$U$20,8,false)</f>
        <v>1</v>
      </c>
      <c r="AB1901" s="960">
        <f t="array" ref="AB1901">HLOOKUP($J1901,'Type Chart'!$C$2:$T$20,9,false)*HLOOKUP($K1901,'Type Chart'!$C$2:$U$20,9,false)</f>
        <v>2</v>
      </c>
      <c r="AC1901" s="960">
        <f t="array" ref="AC1901">HLOOKUP($J1901,'Type Chart'!$C$2:$T$20,10,false)*HLOOKUP($K1901,'Type Chart'!$C$2:$U$20,10,false)</f>
        <v>0.5</v>
      </c>
      <c r="AD1901" s="960">
        <f t="array" ref="AD1901">HLOOKUP($J1901,'Type Chart'!$C$2:$T$20,11,false)*HLOOKUP($K1901,'Type Chart'!$C$2:$U$20,11,false)</f>
        <v>0.5</v>
      </c>
      <c r="AE1901" s="960">
        <f t="array" ref="AE1901">HLOOKUP($J1901,'Type Chart'!$C$2:$T$20,12,false)*HLOOKUP($K1901,'Type Chart'!$C$2:$U$20,12,false)</f>
        <v>2</v>
      </c>
      <c r="AF1901" s="960">
        <f t="array" ref="AF1901">HLOOKUP($J1901,'Type Chart'!$C$2:$T$20,13,false)*HLOOKUP($K1901,'Type Chart'!$C$2:$U$20,13,false)</f>
        <v>0.5</v>
      </c>
      <c r="AG1901" s="960">
        <f t="array" ref="AG1901">HLOOKUP($J1901,'Type Chart'!$C$2:$T$20,14,false)*HLOOKUP($K1901,'Type Chart'!$C$2:$U$20,14,false)</f>
        <v>1</v>
      </c>
      <c r="AH1901" s="960">
        <f t="array" ref="AH1901">HLOOKUP($J1901,'Type Chart'!$C$2:$T$20,15,false)*HLOOKUP($K1901,'Type Chart'!$C$2:$U$20,15,false)</f>
        <v>0.5</v>
      </c>
      <c r="AI1901" s="960">
        <f t="array" ref="AI1901">HLOOKUP($J1901,'Type Chart'!$C$2:$T$20,16,false)*HLOOKUP($K1901,'Type Chart'!$C$2:$U$20,16,false)</f>
        <v>0.5</v>
      </c>
      <c r="AJ1901" s="960">
        <f t="array" ref="AJ1901">HLOOKUP($J1901,'Type Chart'!$C$2:$T$20,17,false)*HLOOKUP($K1901,'Type Chart'!$C$2:$U$20,17,false)</f>
        <v>1</v>
      </c>
      <c r="AK1901" s="960">
        <f t="array" ref="AK1901">HLOOKUP($J1901,'Type Chart'!$C$2:$T$20,18,false)*HLOOKUP($K1901,'Type Chart'!$C$2:$U$20,18,false)</f>
        <v>2</v>
      </c>
      <c r="AL1901" s="960">
        <f t="array" ref="AL1901">HLOOKUP($J1901,'Type Chart'!$C$2:$T$20,19,false)*HLOOKUP($K1901,'Type Chart'!$C$2:$U$20,19,false)</f>
        <v>0.5</v>
      </c>
      <c r="AM1901" s="964" t="s">
        <v>2780</v>
      </c>
      <c r="AN1901" s="965"/>
      <c r="AO1901" s="966"/>
      <c r="AP1901" s="936"/>
      <c r="AQ1901" s="1245"/>
      <c r="AR1901" s="1245"/>
      <c r="AS1901" s="936"/>
    </row>
    <row r="1902" ht="15.75" customHeight="1">
      <c r="A1902" s="1099"/>
      <c r="B1902" s="948" t="s">
        <v>2781</v>
      </c>
      <c r="C1902" s="1197" t="s">
        <v>2782</v>
      </c>
      <c r="D1902" s="1197" t="s">
        <v>2782</v>
      </c>
      <c r="E1902" s="1147" t="s">
        <v>2782</v>
      </c>
      <c r="F1902" s="940"/>
      <c r="G1902" s="953"/>
      <c r="H1902" s="969"/>
      <c r="I1902" s="998" t="s">
        <v>5001</v>
      </c>
      <c r="J1902" s="957" t="s">
        <v>209</v>
      </c>
      <c r="K1902" s="984" t="s">
        <v>216</v>
      </c>
      <c r="L1902" s="959">
        <v>45.0</v>
      </c>
      <c r="M1902" s="960">
        <v>45.0</v>
      </c>
      <c r="N1902" s="960">
        <v>55.0</v>
      </c>
      <c r="O1902" s="960">
        <v>45.0</v>
      </c>
      <c r="P1902" s="960">
        <v>55.0</v>
      </c>
      <c r="Q1902" s="960">
        <v>63.0</v>
      </c>
      <c r="R1902" s="960">
        <v>162.0</v>
      </c>
      <c r="S1902" s="960">
        <v>225.0</v>
      </c>
      <c r="T1902" s="960">
        <v>247.0</v>
      </c>
      <c r="U1902" s="960">
        <f t="array" ref="U1902">HLOOKUP($J1902,'Type Chart'!$C$2:$T$20,2,false)*HLOOKUP($K1902,'Type Chart'!$C$2:$U$20,2,false)</f>
        <v>1</v>
      </c>
      <c r="V1902" s="960">
        <f t="array" ref="V1902">HLOOKUP($J1902,'Type Chart'!$C$2:$T$20,3,false)*HLOOKUP($K1902,'Type Chart'!$C$2:$U$20,3,false)</f>
        <v>1</v>
      </c>
      <c r="W1902" s="960">
        <f t="array" ref="W1902">HLOOKUP($J1902,'Type Chart'!$C$2:$T$20,4,false)*HLOOKUP($K1902,'Type Chart'!$C$2:$U$20,4,false)</f>
        <v>2</v>
      </c>
      <c r="X1902" s="960">
        <f t="array" ref="X1902">HLOOKUP($J1902,'Type Chart'!$C$2:$T$20,5,false)*HLOOKUP($K1902,'Type Chart'!$C$2:$U$20,5,false)</f>
        <v>2</v>
      </c>
      <c r="Y1902" s="960">
        <f t="array" ref="Y1902">HLOOKUP($J1902,'Type Chart'!$C$2:$T$20,6,false)*HLOOKUP($K1902,'Type Chart'!$C$2:$U$20,6,false)</f>
        <v>0.5</v>
      </c>
      <c r="Z1902" s="960">
        <f t="array" ref="Z1902">HLOOKUP($J1902,'Type Chart'!$C$2:$T$20,7,false)*HLOOKUP($K1902,'Type Chart'!$C$2:$U$20,7,false)</f>
        <v>1</v>
      </c>
      <c r="AA1902" s="960">
        <f t="array" ref="AA1902">HLOOKUP($J1902,'Type Chart'!$C$2:$T$20,8,false)*HLOOKUP($K1902,'Type Chart'!$C$2:$U$20,8,false)</f>
        <v>2</v>
      </c>
      <c r="AB1902" s="960">
        <f t="array" ref="AB1902">HLOOKUP($J1902,'Type Chart'!$C$2:$T$20,9,false)*HLOOKUP($K1902,'Type Chart'!$C$2:$U$20,9,false)</f>
        <v>1</v>
      </c>
      <c r="AC1902" s="960">
        <f t="array" ref="AC1902">HLOOKUP($J1902,'Type Chart'!$C$2:$T$20,10,false)*HLOOKUP($K1902,'Type Chart'!$C$2:$U$20,10,false)</f>
        <v>1</v>
      </c>
      <c r="AD1902" s="960">
        <f t="array" ref="AD1902">HLOOKUP($J1902,'Type Chart'!$C$2:$T$20,11,false)*HLOOKUP($K1902,'Type Chart'!$C$2:$U$20,11,false)</f>
        <v>2</v>
      </c>
      <c r="AE1902" s="960">
        <f t="array" ref="AE1902">HLOOKUP($J1902,'Type Chart'!$C$2:$T$20,12,false)*HLOOKUP($K1902,'Type Chart'!$C$2:$U$20,12,false)</f>
        <v>0.5</v>
      </c>
      <c r="AF1902" s="960">
        <f t="array" ref="AF1902">HLOOKUP($J1902,'Type Chart'!$C$2:$T$20,13,false)*HLOOKUP($K1902,'Type Chart'!$C$2:$U$20,13,false)</f>
        <v>0.5</v>
      </c>
      <c r="AG1902" s="960">
        <f t="array" ref="AG1902">HLOOKUP($J1902,'Type Chart'!$C$2:$T$20,14,false)*HLOOKUP($K1902,'Type Chart'!$C$2:$U$20,14,false)</f>
        <v>0.5</v>
      </c>
      <c r="AH1902" s="960">
        <f t="array" ref="AH1902">HLOOKUP($J1902,'Type Chart'!$C$2:$T$20,15,false)*HLOOKUP($K1902,'Type Chart'!$C$2:$U$20,15,false)</f>
        <v>1</v>
      </c>
      <c r="AI1902" s="960">
        <f t="array" ref="AI1902">HLOOKUP($J1902,'Type Chart'!$C$2:$T$20,16,false)*HLOOKUP($K1902,'Type Chart'!$C$2:$U$20,16,false)</f>
        <v>2</v>
      </c>
      <c r="AJ1902" s="960">
        <f t="array" ref="AJ1902">HLOOKUP($J1902,'Type Chart'!$C$2:$T$20,17,false)*HLOOKUP($K1902,'Type Chart'!$C$2:$U$20,17,false)</f>
        <v>1</v>
      </c>
      <c r="AK1902" s="960">
        <f t="array" ref="AK1902">HLOOKUP($J1902,'Type Chart'!$C$2:$T$20,18,false)*HLOOKUP($K1902,'Type Chart'!$C$2:$U$20,18,false)</f>
        <v>1</v>
      </c>
      <c r="AL1902" s="960">
        <f t="array" ref="AL1902">HLOOKUP($J1902,'Type Chart'!$C$2:$T$20,19,false)*HLOOKUP($K1902,'Type Chart'!$C$2:$U$20,19,false)</f>
        <v>1</v>
      </c>
      <c r="AM1902" s="964" t="s">
        <v>522</v>
      </c>
      <c r="AN1902" s="965"/>
      <c r="AO1902" s="966" t="s">
        <v>1861</v>
      </c>
      <c r="AP1902" s="936"/>
      <c r="AQ1902" s="1245"/>
      <c r="AR1902" s="1245"/>
      <c r="AS1902" s="936"/>
    </row>
    <row r="1903" ht="15.75" customHeight="1">
      <c r="A1903" s="1099"/>
      <c r="B1903" s="948" t="s">
        <v>2784</v>
      </c>
      <c r="C1903" s="1197" t="s">
        <v>2785</v>
      </c>
      <c r="D1903" s="1197" t="s">
        <v>2785</v>
      </c>
      <c r="E1903" s="1147" t="s">
        <v>2785</v>
      </c>
      <c r="F1903" s="940"/>
      <c r="G1903" s="953"/>
      <c r="H1903" s="969"/>
      <c r="I1903" s="998" t="s">
        <v>5002</v>
      </c>
      <c r="J1903" s="957" t="s">
        <v>209</v>
      </c>
      <c r="K1903" s="984" t="s">
        <v>216</v>
      </c>
      <c r="L1903" s="959">
        <v>60.0</v>
      </c>
      <c r="M1903" s="960">
        <v>60.0</v>
      </c>
      <c r="N1903" s="960">
        <v>75.0</v>
      </c>
      <c r="O1903" s="960">
        <v>60.0</v>
      </c>
      <c r="P1903" s="960">
        <v>75.0</v>
      </c>
      <c r="Q1903" s="960">
        <v>83.0</v>
      </c>
      <c r="R1903" s="960">
        <v>202.0</v>
      </c>
      <c r="S1903" s="960">
        <v>265.0</v>
      </c>
      <c r="T1903" s="960">
        <v>291.0</v>
      </c>
      <c r="U1903" s="960">
        <f t="array" ref="U1903">HLOOKUP($J1903,'Type Chart'!$C$2:$T$20,2,false)*HLOOKUP($K1903,'Type Chart'!$C$2:$U$20,2,false)</f>
        <v>1</v>
      </c>
      <c r="V1903" s="960">
        <f t="array" ref="V1903">HLOOKUP($J1903,'Type Chart'!$C$2:$T$20,3,false)*HLOOKUP($K1903,'Type Chart'!$C$2:$U$20,3,false)</f>
        <v>1</v>
      </c>
      <c r="W1903" s="960">
        <f t="array" ref="W1903">HLOOKUP($J1903,'Type Chart'!$C$2:$T$20,4,false)*HLOOKUP($K1903,'Type Chart'!$C$2:$U$20,4,false)</f>
        <v>2</v>
      </c>
      <c r="X1903" s="960">
        <f t="array" ref="X1903">HLOOKUP($J1903,'Type Chart'!$C$2:$T$20,5,false)*HLOOKUP($K1903,'Type Chart'!$C$2:$U$20,5,false)</f>
        <v>2</v>
      </c>
      <c r="Y1903" s="960">
        <f t="array" ref="Y1903">HLOOKUP($J1903,'Type Chart'!$C$2:$T$20,6,false)*HLOOKUP($K1903,'Type Chart'!$C$2:$U$20,6,false)</f>
        <v>0.5</v>
      </c>
      <c r="Z1903" s="960">
        <f t="array" ref="Z1903">HLOOKUP($J1903,'Type Chart'!$C$2:$T$20,7,false)*HLOOKUP($K1903,'Type Chart'!$C$2:$U$20,7,false)</f>
        <v>1</v>
      </c>
      <c r="AA1903" s="960">
        <f t="array" ref="AA1903">HLOOKUP($J1903,'Type Chart'!$C$2:$T$20,8,false)*HLOOKUP($K1903,'Type Chart'!$C$2:$U$20,8,false)</f>
        <v>2</v>
      </c>
      <c r="AB1903" s="960">
        <f t="array" ref="AB1903">HLOOKUP($J1903,'Type Chart'!$C$2:$T$20,9,false)*HLOOKUP($K1903,'Type Chart'!$C$2:$U$20,9,false)</f>
        <v>1</v>
      </c>
      <c r="AC1903" s="960">
        <f t="array" ref="AC1903">HLOOKUP($J1903,'Type Chart'!$C$2:$T$20,10,false)*HLOOKUP($K1903,'Type Chart'!$C$2:$U$20,10,false)</f>
        <v>1</v>
      </c>
      <c r="AD1903" s="960">
        <f t="array" ref="AD1903">HLOOKUP($J1903,'Type Chart'!$C$2:$T$20,11,false)*HLOOKUP($K1903,'Type Chart'!$C$2:$U$20,11,false)</f>
        <v>2</v>
      </c>
      <c r="AE1903" s="960">
        <f t="array" ref="AE1903">HLOOKUP($J1903,'Type Chart'!$C$2:$T$20,12,false)*HLOOKUP($K1903,'Type Chart'!$C$2:$U$20,12,false)</f>
        <v>0.5</v>
      </c>
      <c r="AF1903" s="960">
        <f t="array" ref="AF1903">HLOOKUP($J1903,'Type Chart'!$C$2:$T$20,13,false)*HLOOKUP($K1903,'Type Chart'!$C$2:$U$20,13,false)</f>
        <v>0.5</v>
      </c>
      <c r="AG1903" s="960">
        <f t="array" ref="AG1903">HLOOKUP($J1903,'Type Chart'!$C$2:$T$20,14,false)*HLOOKUP($K1903,'Type Chart'!$C$2:$U$20,14,false)</f>
        <v>0.5</v>
      </c>
      <c r="AH1903" s="960">
        <f t="array" ref="AH1903">HLOOKUP($J1903,'Type Chart'!$C$2:$T$20,15,false)*HLOOKUP($K1903,'Type Chart'!$C$2:$U$20,15,false)</f>
        <v>1</v>
      </c>
      <c r="AI1903" s="960">
        <f t="array" ref="AI1903">HLOOKUP($J1903,'Type Chart'!$C$2:$T$20,16,false)*HLOOKUP($K1903,'Type Chart'!$C$2:$U$20,16,false)</f>
        <v>2</v>
      </c>
      <c r="AJ1903" s="960">
        <f t="array" ref="AJ1903">HLOOKUP($J1903,'Type Chart'!$C$2:$T$20,17,false)*HLOOKUP($K1903,'Type Chart'!$C$2:$U$20,17,false)</f>
        <v>1</v>
      </c>
      <c r="AK1903" s="960">
        <f t="array" ref="AK1903">HLOOKUP($J1903,'Type Chart'!$C$2:$T$20,18,false)*HLOOKUP($K1903,'Type Chart'!$C$2:$U$20,18,false)</f>
        <v>1</v>
      </c>
      <c r="AL1903" s="960">
        <f t="array" ref="AL1903">HLOOKUP($J1903,'Type Chart'!$C$2:$T$20,19,false)*HLOOKUP($K1903,'Type Chart'!$C$2:$U$20,19,false)</f>
        <v>1</v>
      </c>
      <c r="AM1903" s="964" t="s">
        <v>522</v>
      </c>
      <c r="AN1903" s="965"/>
      <c r="AO1903" s="966" t="s">
        <v>1861</v>
      </c>
      <c r="AP1903" s="936"/>
      <c r="AQ1903" s="1245"/>
      <c r="AR1903" s="1245"/>
      <c r="AS1903" s="936"/>
    </row>
    <row r="1904" ht="15.75" customHeight="1">
      <c r="A1904" s="1099"/>
      <c r="B1904" s="948" t="s">
        <v>2786</v>
      </c>
      <c r="C1904" s="1197" t="s">
        <v>2787</v>
      </c>
      <c r="D1904" s="1197" t="s">
        <v>2787</v>
      </c>
      <c r="E1904" s="1147" t="s">
        <v>2787</v>
      </c>
      <c r="F1904" s="940"/>
      <c r="G1904" s="953"/>
      <c r="H1904" s="969"/>
      <c r="I1904" s="998" t="s">
        <v>5003</v>
      </c>
      <c r="J1904" s="957" t="s">
        <v>209</v>
      </c>
      <c r="K1904" s="984" t="s">
        <v>216</v>
      </c>
      <c r="L1904" s="959">
        <v>75.0</v>
      </c>
      <c r="M1904" s="960">
        <v>75.0</v>
      </c>
      <c r="N1904" s="960">
        <v>95.0</v>
      </c>
      <c r="O1904" s="960">
        <v>75.0</v>
      </c>
      <c r="P1904" s="960">
        <v>95.0</v>
      </c>
      <c r="Q1904" s="960">
        <v>113.0</v>
      </c>
      <c r="R1904" s="960">
        <v>262.0</v>
      </c>
      <c r="S1904" s="960">
        <v>325.0</v>
      </c>
      <c r="T1904" s="960">
        <v>357.0</v>
      </c>
      <c r="U1904" s="960">
        <f t="array" ref="U1904">HLOOKUP($J1904,'Type Chart'!$C$2:$T$20,2,false)*HLOOKUP($K1904,'Type Chart'!$C$2:$U$20,2,false)</f>
        <v>1</v>
      </c>
      <c r="V1904" s="960">
        <f t="array" ref="V1904">HLOOKUP($J1904,'Type Chart'!$C$2:$T$20,3,false)*HLOOKUP($K1904,'Type Chart'!$C$2:$U$20,3,false)</f>
        <v>1</v>
      </c>
      <c r="W1904" s="960">
        <f t="array" ref="W1904">HLOOKUP($J1904,'Type Chart'!$C$2:$T$20,4,false)*HLOOKUP($K1904,'Type Chart'!$C$2:$U$20,4,false)</f>
        <v>2</v>
      </c>
      <c r="X1904" s="960">
        <f t="array" ref="X1904">HLOOKUP($J1904,'Type Chart'!$C$2:$T$20,5,false)*HLOOKUP($K1904,'Type Chart'!$C$2:$U$20,5,false)</f>
        <v>2</v>
      </c>
      <c r="Y1904" s="960">
        <f t="array" ref="Y1904">HLOOKUP($J1904,'Type Chart'!$C$2:$T$20,6,false)*HLOOKUP($K1904,'Type Chart'!$C$2:$U$20,6,false)</f>
        <v>0.5</v>
      </c>
      <c r="Z1904" s="960">
        <f t="array" ref="Z1904">HLOOKUP($J1904,'Type Chart'!$C$2:$T$20,7,false)*HLOOKUP($K1904,'Type Chart'!$C$2:$U$20,7,false)</f>
        <v>1</v>
      </c>
      <c r="AA1904" s="960">
        <f t="array" ref="AA1904">HLOOKUP($J1904,'Type Chart'!$C$2:$T$20,8,false)*HLOOKUP($K1904,'Type Chart'!$C$2:$U$20,8,false)</f>
        <v>2</v>
      </c>
      <c r="AB1904" s="960">
        <f t="array" ref="AB1904">HLOOKUP($J1904,'Type Chart'!$C$2:$T$20,9,false)*HLOOKUP($K1904,'Type Chart'!$C$2:$U$20,9,false)</f>
        <v>1</v>
      </c>
      <c r="AC1904" s="960">
        <f t="array" ref="AC1904">HLOOKUP($J1904,'Type Chart'!$C$2:$T$20,10,false)*HLOOKUP($K1904,'Type Chart'!$C$2:$U$20,10,false)</f>
        <v>1</v>
      </c>
      <c r="AD1904" s="960">
        <f t="array" ref="AD1904">HLOOKUP($J1904,'Type Chart'!$C$2:$T$20,11,false)*HLOOKUP($K1904,'Type Chart'!$C$2:$U$20,11,false)</f>
        <v>2</v>
      </c>
      <c r="AE1904" s="960">
        <f t="array" ref="AE1904">HLOOKUP($J1904,'Type Chart'!$C$2:$T$20,12,false)*HLOOKUP($K1904,'Type Chart'!$C$2:$U$20,12,false)</f>
        <v>0.5</v>
      </c>
      <c r="AF1904" s="960">
        <f t="array" ref="AF1904">HLOOKUP($J1904,'Type Chart'!$C$2:$T$20,13,false)*HLOOKUP($K1904,'Type Chart'!$C$2:$U$20,13,false)</f>
        <v>0.5</v>
      </c>
      <c r="AG1904" s="960">
        <f t="array" ref="AG1904">HLOOKUP($J1904,'Type Chart'!$C$2:$T$20,14,false)*HLOOKUP($K1904,'Type Chart'!$C$2:$U$20,14,false)</f>
        <v>0.5</v>
      </c>
      <c r="AH1904" s="960">
        <f t="array" ref="AH1904">HLOOKUP($J1904,'Type Chart'!$C$2:$T$20,15,false)*HLOOKUP($K1904,'Type Chart'!$C$2:$U$20,15,false)</f>
        <v>1</v>
      </c>
      <c r="AI1904" s="960">
        <f t="array" ref="AI1904">HLOOKUP($J1904,'Type Chart'!$C$2:$T$20,16,false)*HLOOKUP($K1904,'Type Chart'!$C$2:$U$20,16,false)</f>
        <v>2</v>
      </c>
      <c r="AJ1904" s="960">
        <f t="array" ref="AJ1904">HLOOKUP($J1904,'Type Chart'!$C$2:$T$20,17,false)*HLOOKUP($K1904,'Type Chart'!$C$2:$U$20,17,false)</f>
        <v>1</v>
      </c>
      <c r="AK1904" s="960">
        <f t="array" ref="AK1904">HLOOKUP($J1904,'Type Chart'!$C$2:$T$20,18,false)*HLOOKUP($K1904,'Type Chart'!$C$2:$U$20,18,false)</f>
        <v>1</v>
      </c>
      <c r="AL1904" s="960">
        <f t="array" ref="AL1904">HLOOKUP($J1904,'Type Chart'!$C$2:$T$20,19,false)*HLOOKUP($K1904,'Type Chart'!$C$2:$U$20,19,false)</f>
        <v>1</v>
      </c>
      <c r="AM1904" s="964" t="s">
        <v>522</v>
      </c>
      <c r="AN1904" s="965"/>
      <c r="AO1904" s="966" t="s">
        <v>1861</v>
      </c>
      <c r="AP1904" s="936"/>
      <c r="AQ1904" s="1245"/>
      <c r="AR1904" s="1245"/>
      <c r="AS1904" s="936"/>
    </row>
    <row r="1905" ht="15.75" customHeight="1">
      <c r="A1905" s="1099"/>
      <c r="B1905" s="948" t="s">
        <v>2788</v>
      </c>
      <c r="C1905" s="1197" t="s">
        <v>2789</v>
      </c>
      <c r="D1905" s="1197" t="s">
        <v>2789</v>
      </c>
      <c r="E1905" s="1147" t="s">
        <v>2789</v>
      </c>
      <c r="F1905" s="940"/>
      <c r="G1905" s="953"/>
      <c r="H1905" s="969"/>
      <c r="I1905" s="998" t="s">
        <v>5004</v>
      </c>
      <c r="J1905" s="982" t="s">
        <v>150</v>
      </c>
      <c r="K1905" s="984" t="s">
        <v>216</v>
      </c>
      <c r="L1905" s="959">
        <v>65.0</v>
      </c>
      <c r="M1905" s="960">
        <v>63.0</v>
      </c>
      <c r="N1905" s="960">
        <v>45.0</v>
      </c>
      <c r="O1905" s="960">
        <v>45.0</v>
      </c>
      <c r="P1905" s="960">
        <v>45.0</v>
      </c>
      <c r="Q1905" s="960">
        <v>45.0</v>
      </c>
      <c r="R1905" s="960">
        <v>126.0</v>
      </c>
      <c r="S1905" s="960">
        <v>189.0</v>
      </c>
      <c r="T1905" s="960">
        <v>207.0</v>
      </c>
      <c r="U1905" s="960">
        <f t="array" ref="U1905">HLOOKUP($J1905,'Type Chart'!$C$2:$T$20,2,false)*HLOOKUP($K1905,'Type Chart'!$C$2:$U$20,2,false)</f>
        <v>1</v>
      </c>
      <c r="V1905" s="960">
        <f t="array" ref="V1905">HLOOKUP($J1905,'Type Chart'!$C$2:$T$20,3,false)*HLOOKUP($K1905,'Type Chart'!$C$2:$U$20,3,false)</f>
        <v>1</v>
      </c>
      <c r="W1905" s="960">
        <f t="array" ref="W1905">HLOOKUP($J1905,'Type Chart'!$C$2:$T$20,4,false)*HLOOKUP($K1905,'Type Chart'!$C$2:$U$20,4,false)</f>
        <v>1</v>
      </c>
      <c r="X1905" s="960">
        <f t="array" ref="X1905">HLOOKUP($J1905,'Type Chart'!$C$2:$T$20,5,false)*HLOOKUP($K1905,'Type Chart'!$C$2:$U$20,5,false)</f>
        <v>1</v>
      </c>
      <c r="Y1905" s="960">
        <f t="array" ref="Y1905">HLOOKUP($J1905,'Type Chart'!$C$2:$T$20,6,false)*HLOOKUP($K1905,'Type Chart'!$C$2:$U$20,6,false)</f>
        <v>2</v>
      </c>
      <c r="Z1905" s="960">
        <f t="array" ref="Z1905">HLOOKUP($J1905,'Type Chart'!$C$2:$T$20,7,false)*HLOOKUP($K1905,'Type Chart'!$C$2:$U$20,7,false)</f>
        <v>2</v>
      </c>
      <c r="AA1905" s="960">
        <f t="array" ref="AA1905">HLOOKUP($J1905,'Type Chart'!$C$2:$T$20,8,false)*HLOOKUP($K1905,'Type Chart'!$C$2:$U$20,8,false)</f>
        <v>0.5</v>
      </c>
      <c r="AB1905" s="960">
        <f t="array" ref="AB1905">HLOOKUP($J1905,'Type Chart'!$C$2:$T$20,9,false)*HLOOKUP($K1905,'Type Chart'!$C$2:$U$20,9,false)</f>
        <v>1</v>
      </c>
      <c r="AC1905" s="960">
        <f t="array" ref="AC1905">HLOOKUP($J1905,'Type Chart'!$C$2:$T$20,10,false)*HLOOKUP($K1905,'Type Chart'!$C$2:$U$20,10,false)</f>
        <v>0.5</v>
      </c>
      <c r="AD1905" s="960">
        <f t="array" ref="AD1905">HLOOKUP($J1905,'Type Chart'!$C$2:$T$20,11,false)*HLOOKUP($K1905,'Type Chart'!$C$2:$U$20,11,false)</f>
        <v>0.5</v>
      </c>
      <c r="AE1905" s="960">
        <f t="array" ref="AE1905">HLOOKUP($J1905,'Type Chart'!$C$2:$T$20,12,false)*HLOOKUP($K1905,'Type Chart'!$C$2:$U$20,12,false)</f>
        <v>2</v>
      </c>
      <c r="AF1905" s="960">
        <f t="array" ref="AF1905">HLOOKUP($J1905,'Type Chart'!$C$2:$T$20,13,false)*HLOOKUP($K1905,'Type Chart'!$C$2:$U$20,13,false)</f>
        <v>0.5</v>
      </c>
      <c r="AG1905" s="960">
        <f t="array" ref="AG1905">HLOOKUP($J1905,'Type Chart'!$C$2:$T$20,14,false)*HLOOKUP($K1905,'Type Chart'!$C$2:$U$20,14,false)</f>
        <v>1</v>
      </c>
      <c r="AH1905" s="960">
        <f t="array" ref="AH1905">HLOOKUP($J1905,'Type Chart'!$C$2:$T$20,15,false)*HLOOKUP($K1905,'Type Chart'!$C$2:$U$20,15,false)</f>
        <v>1</v>
      </c>
      <c r="AI1905" s="960">
        <f t="array" ref="AI1905">HLOOKUP($J1905,'Type Chart'!$C$2:$T$20,16,false)*HLOOKUP($K1905,'Type Chart'!$C$2:$U$20,16,false)</f>
        <v>0.5</v>
      </c>
      <c r="AJ1905" s="960">
        <f t="array" ref="AJ1905">HLOOKUP($J1905,'Type Chart'!$C$2:$T$20,17,false)*HLOOKUP($K1905,'Type Chart'!$C$2:$U$20,17,false)</f>
        <v>1</v>
      </c>
      <c r="AK1905" s="960">
        <f t="array" ref="AK1905">HLOOKUP($J1905,'Type Chart'!$C$2:$T$20,18,false)*HLOOKUP($K1905,'Type Chart'!$C$2:$U$20,18,false)</f>
        <v>1</v>
      </c>
      <c r="AL1905" s="960">
        <f t="array" ref="AL1905">HLOOKUP($J1905,'Type Chart'!$C$2:$T$20,19,false)*HLOOKUP($K1905,'Type Chart'!$C$2:$U$20,19,false)</f>
        <v>0.5</v>
      </c>
      <c r="AM1905" s="964" t="s">
        <v>830</v>
      </c>
      <c r="AN1905" s="965"/>
      <c r="AO1905" s="966" t="s">
        <v>760</v>
      </c>
      <c r="AP1905" s="936"/>
      <c r="AQ1905" s="1245"/>
      <c r="AR1905" s="1245"/>
      <c r="AS1905" s="936"/>
    </row>
    <row r="1906" ht="15.75" customHeight="1">
      <c r="A1906" s="1099"/>
      <c r="B1906" s="948" t="s">
        <v>2791</v>
      </c>
      <c r="C1906" s="1197" t="s">
        <v>2792</v>
      </c>
      <c r="D1906" s="1197" t="s">
        <v>2792</v>
      </c>
      <c r="E1906" s="1147" t="s">
        <v>2792</v>
      </c>
      <c r="F1906" s="940"/>
      <c r="G1906" s="953"/>
      <c r="H1906" s="969"/>
      <c r="I1906" s="998" t="s">
        <v>5005</v>
      </c>
      <c r="J1906" s="982" t="s">
        <v>150</v>
      </c>
      <c r="K1906" s="1213" t="s">
        <v>341</v>
      </c>
      <c r="L1906" s="959">
        <v>90.0</v>
      </c>
      <c r="M1906" s="960">
        <v>93.0</v>
      </c>
      <c r="N1906" s="960">
        <v>55.0</v>
      </c>
      <c r="O1906" s="960">
        <v>70.0</v>
      </c>
      <c r="P1906" s="960">
        <v>55.0</v>
      </c>
      <c r="Q1906" s="960">
        <v>55.0</v>
      </c>
      <c r="R1906" s="960">
        <v>146.0</v>
      </c>
      <c r="S1906" s="960">
        <v>209.0</v>
      </c>
      <c r="T1906" s="960">
        <v>229.0</v>
      </c>
      <c r="U1906" s="960">
        <f t="array" ref="U1906">HLOOKUP($J1906,'Type Chart'!$C$2:$T$20,2,false)*HLOOKUP($K1906,'Type Chart'!$C$2:$U$20,2,false)</f>
        <v>1</v>
      </c>
      <c r="V1906" s="960">
        <f t="array" ref="V1906">HLOOKUP($J1906,'Type Chart'!$C$2:$T$20,3,false)*HLOOKUP($K1906,'Type Chart'!$C$2:$U$20,3,false)</f>
        <v>1</v>
      </c>
      <c r="W1906" s="960">
        <f t="array" ref="W1906">HLOOKUP($J1906,'Type Chart'!$C$2:$T$20,4,false)*HLOOKUP($K1906,'Type Chart'!$C$2:$U$20,4,false)</f>
        <v>2</v>
      </c>
      <c r="X1906" s="960">
        <f t="array" ref="X1906">HLOOKUP($J1906,'Type Chart'!$C$2:$T$20,5,false)*HLOOKUP($K1906,'Type Chart'!$C$2:$U$20,5,false)</f>
        <v>1</v>
      </c>
      <c r="Y1906" s="960">
        <f t="array" ref="Y1906">HLOOKUP($J1906,'Type Chart'!$C$2:$T$20,6,false)*HLOOKUP($K1906,'Type Chart'!$C$2:$U$20,6,false)</f>
        <v>2</v>
      </c>
      <c r="Z1906" s="960">
        <f t="array" ref="Z1906">HLOOKUP($J1906,'Type Chart'!$C$2:$T$20,7,false)*HLOOKUP($K1906,'Type Chart'!$C$2:$U$20,7,false)</f>
        <v>1</v>
      </c>
      <c r="AA1906" s="960">
        <f t="array" ref="AA1906">HLOOKUP($J1906,'Type Chart'!$C$2:$T$20,8,false)*HLOOKUP($K1906,'Type Chart'!$C$2:$U$20,8,false)</f>
        <v>0.25</v>
      </c>
      <c r="AB1906" s="960">
        <f t="array" ref="AB1906">HLOOKUP($J1906,'Type Chart'!$C$2:$T$20,9,false)*HLOOKUP($K1906,'Type Chart'!$C$2:$U$20,9,false)</f>
        <v>1</v>
      </c>
      <c r="AC1906" s="960">
        <f t="array" ref="AC1906">HLOOKUP($J1906,'Type Chart'!$C$2:$T$20,10,false)*HLOOKUP($K1906,'Type Chart'!$C$2:$U$20,10,false)</f>
        <v>0.5</v>
      </c>
      <c r="AD1906" s="960">
        <f t="array" ref="AD1906">HLOOKUP($J1906,'Type Chart'!$C$2:$T$20,11,false)*HLOOKUP($K1906,'Type Chart'!$C$2:$U$20,11,false)</f>
        <v>0.5</v>
      </c>
      <c r="AE1906" s="960">
        <f t="array" ref="AE1906">HLOOKUP($J1906,'Type Chart'!$C$2:$T$20,12,false)*HLOOKUP($K1906,'Type Chart'!$C$2:$U$20,12,false)</f>
        <v>2</v>
      </c>
      <c r="AF1906" s="960">
        <f t="array" ref="AF1906">HLOOKUP($J1906,'Type Chart'!$C$2:$T$20,13,false)*HLOOKUP($K1906,'Type Chart'!$C$2:$U$20,13,false)</f>
        <v>0.5</v>
      </c>
      <c r="AG1906" s="960">
        <f t="array" ref="AG1906">HLOOKUP($J1906,'Type Chart'!$C$2:$T$20,14,false)*HLOOKUP($K1906,'Type Chart'!$C$2:$U$20,14,false)</f>
        <v>1</v>
      </c>
      <c r="AH1906" s="960">
        <f t="array" ref="AH1906">HLOOKUP($J1906,'Type Chart'!$C$2:$T$20,15,false)*HLOOKUP($K1906,'Type Chart'!$C$2:$U$20,15,false)</f>
        <v>2</v>
      </c>
      <c r="AI1906" s="960">
        <f t="array" ref="AI1906">HLOOKUP($J1906,'Type Chart'!$C$2:$T$20,16,false)*HLOOKUP($K1906,'Type Chart'!$C$2:$U$20,16,false)</f>
        <v>0.5</v>
      </c>
      <c r="AJ1906" s="960">
        <f t="array" ref="AJ1906">HLOOKUP($J1906,'Type Chart'!$C$2:$T$20,17,false)*HLOOKUP($K1906,'Type Chart'!$C$2:$U$20,17,false)</f>
        <v>1</v>
      </c>
      <c r="AK1906" s="960">
        <f t="array" ref="AK1906">HLOOKUP($J1906,'Type Chart'!$C$2:$T$20,18,false)*HLOOKUP($K1906,'Type Chart'!$C$2:$U$20,18,false)</f>
        <v>0.5</v>
      </c>
      <c r="AL1906" s="960">
        <f t="array" ref="AL1906">HLOOKUP($J1906,'Type Chart'!$C$2:$T$20,19,false)*HLOOKUP($K1906,'Type Chart'!$C$2:$U$20,19,false)</f>
        <v>1</v>
      </c>
      <c r="AM1906" s="964" t="s">
        <v>830</v>
      </c>
      <c r="AN1906" s="965"/>
      <c r="AO1906" s="966" t="s">
        <v>760</v>
      </c>
      <c r="AP1906" s="936"/>
      <c r="AQ1906" s="1245"/>
      <c r="AR1906" s="1245"/>
      <c r="AS1906" s="936"/>
    </row>
    <row r="1907" ht="15.75" customHeight="1">
      <c r="A1907" s="1099"/>
      <c r="B1907" s="948" t="s">
        <v>2793</v>
      </c>
      <c r="C1907" s="1197" t="s">
        <v>2794</v>
      </c>
      <c r="D1907" s="1197" t="s">
        <v>2794</v>
      </c>
      <c r="E1907" s="1147" t="s">
        <v>2794</v>
      </c>
      <c r="F1907" s="940"/>
      <c r="G1907" s="953"/>
      <c r="H1907" s="969"/>
      <c r="I1907" s="998" t="s">
        <v>5006</v>
      </c>
      <c r="J1907" s="1208" t="s">
        <v>150</v>
      </c>
      <c r="K1907" s="1212" t="s">
        <v>341</v>
      </c>
      <c r="L1907" s="1200">
        <v>110.0</v>
      </c>
      <c r="M1907" s="1201">
        <v>123.0</v>
      </c>
      <c r="N1907" s="1201">
        <v>65.0</v>
      </c>
      <c r="O1907" s="1201">
        <v>100.0</v>
      </c>
      <c r="P1907" s="1201">
        <v>65.0</v>
      </c>
      <c r="Q1907" s="1201">
        <v>65.0</v>
      </c>
      <c r="R1907" s="960">
        <v>166.0</v>
      </c>
      <c r="S1907" s="960">
        <v>229.0</v>
      </c>
      <c r="T1907" s="960">
        <v>251.0</v>
      </c>
      <c r="U1907" s="960">
        <f t="array" ref="U1907">HLOOKUP($J1907,'Type Chart'!$C$2:$T$20,2,false)*HLOOKUP($K1907,'Type Chart'!$C$2:$U$20,2,false)</f>
        <v>1</v>
      </c>
      <c r="V1907" s="960">
        <f t="array" ref="V1907">HLOOKUP($J1907,'Type Chart'!$C$2:$T$20,3,false)*HLOOKUP($K1907,'Type Chart'!$C$2:$U$20,3,false)</f>
        <v>1</v>
      </c>
      <c r="W1907" s="960">
        <f t="array" ref="W1907">HLOOKUP($J1907,'Type Chart'!$C$2:$T$20,4,false)*HLOOKUP($K1907,'Type Chart'!$C$2:$U$20,4,false)</f>
        <v>2</v>
      </c>
      <c r="X1907" s="960">
        <f t="array" ref="X1907">HLOOKUP($J1907,'Type Chart'!$C$2:$T$20,5,false)*HLOOKUP($K1907,'Type Chart'!$C$2:$U$20,5,false)</f>
        <v>1</v>
      </c>
      <c r="Y1907" s="960">
        <f t="array" ref="Y1907">HLOOKUP($J1907,'Type Chart'!$C$2:$T$20,6,false)*HLOOKUP($K1907,'Type Chart'!$C$2:$U$20,6,false)</f>
        <v>2</v>
      </c>
      <c r="Z1907" s="960">
        <f t="array" ref="Z1907">HLOOKUP($J1907,'Type Chart'!$C$2:$T$20,7,false)*HLOOKUP($K1907,'Type Chart'!$C$2:$U$20,7,false)</f>
        <v>1</v>
      </c>
      <c r="AA1907" s="960">
        <f t="array" ref="AA1907">HLOOKUP($J1907,'Type Chart'!$C$2:$T$20,8,false)*HLOOKUP($K1907,'Type Chart'!$C$2:$U$20,8,false)</f>
        <v>0.25</v>
      </c>
      <c r="AB1907" s="960">
        <f t="array" ref="AB1907">HLOOKUP($J1907,'Type Chart'!$C$2:$T$20,9,false)*HLOOKUP($K1907,'Type Chart'!$C$2:$U$20,9,false)</f>
        <v>1</v>
      </c>
      <c r="AC1907" s="960">
        <f t="array" ref="AC1907">HLOOKUP($J1907,'Type Chart'!$C$2:$T$20,10,false)*HLOOKUP($K1907,'Type Chart'!$C$2:$U$20,10,false)</f>
        <v>0.5</v>
      </c>
      <c r="AD1907" s="960">
        <f t="array" ref="AD1907">HLOOKUP($J1907,'Type Chart'!$C$2:$T$20,11,false)*HLOOKUP($K1907,'Type Chart'!$C$2:$U$20,11,false)</f>
        <v>0.5</v>
      </c>
      <c r="AE1907" s="960">
        <f t="array" ref="AE1907">HLOOKUP($J1907,'Type Chart'!$C$2:$T$20,12,false)*HLOOKUP($K1907,'Type Chart'!$C$2:$U$20,12,false)</f>
        <v>2</v>
      </c>
      <c r="AF1907" s="960">
        <f t="array" ref="AF1907">HLOOKUP($J1907,'Type Chart'!$C$2:$T$20,13,false)*HLOOKUP($K1907,'Type Chart'!$C$2:$U$20,13,false)</f>
        <v>0.5</v>
      </c>
      <c r="AG1907" s="960">
        <f t="array" ref="AG1907">HLOOKUP($J1907,'Type Chart'!$C$2:$T$20,14,false)*HLOOKUP($K1907,'Type Chart'!$C$2:$U$20,14,false)</f>
        <v>1</v>
      </c>
      <c r="AH1907" s="960">
        <f t="array" ref="AH1907">HLOOKUP($J1907,'Type Chart'!$C$2:$T$20,15,false)*HLOOKUP($K1907,'Type Chart'!$C$2:$U$20,15,false)</f>
        <v>2</v>
      </c>
      <c r="AI1907" s="960">
        <f t="array" ref="AI1907">HLOOKUP($J1907,'Type Chart'!$C$2:$T$20,16,false)*HLOOKUP($K1907,'Type Chart'!$C$2:$U$20,16,false)</f>
        <v>0.5</v>
      </c>
      <c r="AJ1907" s="960">
        <f t="array" ref="AJ1907">HLOOKUP($J1907,'Type Chart'!$C$2:$T$20,17,false)*HLOOKUP($K1907,'Type Chart'!$C$2:$U$20,17,false)</f>
        <v>1</v>
      </c>
      <c r="AK1907" s="960">
        <f t="array" ref="AK1907">HLOOKUP($J1907,'Type Chart'!$C$2:$T$20,18,false)*HLOOKUP($K1907,'Type Chart'!$C$2:$U$20,18,false)</f>
        <v>0.5</v>
      </c>
      <c r="AL1907" s="960">
        <f t="array" ref="AL1907">HLOOKUP($J1907,'Type Chart'!$C$2:$T$20,19,false)*HLOOKUP($K1907,'Type Chart'!$C$2:$U$20,19,false)</f>
        <v>1</v>
      </c>
      <c r="AM1907" s="1145" t="s">
        <v>830</v>
      </c>
      <c r="AN1907" s="1202"/>
      <c r="AO1907" s="1146" t="s">
        <v>1497</v>
      </c>
      <c r="AP1907" s="936"/>
      <c r="AQ1907" s="1245"/>
      <c r="AR1907" s="1245"/>
      <c r="AS1907" s="936"/>
    </row>
    <row r="1908" ht="15.75" customHeight="1">
      <c r="A1908" s="1099"/>
      <c r="B1908" s="948" t="s">
        <v>2795</v>
      </c>
      <c r="C1908" s="1197" t="s">
        <v>2796</v>
      </c>
      <c r="D1908" s="1197" t="s">
        <v>2796</v>
      </c>
      <c r="E1908" s="1147" t="s">
        <v>2796</v>
      </c>
      <c r="F1908" s="940"/>
      <c r="G1908" s="953"/>
      <c r="H1908" s="969"/>
      <c r="I1908" s="998" t="s">
        <v>5007</v>
      </c>
      <c r="J1908" s="1056" t="s">
        <v>81</v>
      </c>
      <c r="K1908" s="984" t="s">
        <v>216</v>
      </c>
      <c r="L1908" s="959">
        <v>55.0</v>
      </c>
      <c r="M1908" s="960">
        <v>55.0</v>
      </c>
      <c r="N1908" s="960">
        <v>45.0</v>
      </c>
      <c r="O1908" s="960">
        <v>63.0</v>
      </c>
      <c r="P1908" s="960">
        <v>45.0</v>
      </c>
      <c r="Q1908" s="960">
        <v>45.0</v>
      </c>
      <c r="R1908" s="960">
        <v>126.0</v>
      </c>
      <c r="S1908" s="960">
        <v>189.0</v>
      </c>
      <c r="T1908" s="960">
        <v>207.0</v>
      </c>
      <c r="U1908" s="960">
        <f t="array" ref="U1908">HLOOKUP($J1908,'Type Chart'!$C$2:$T$20,2,false)*HLOOKUP($K1908,'Type Chart'!$C$2:$U$20,2,false)</f>
        <v>1</v>
      </c>
      <c r="V1908" s="960">
        <f t="array" ref="V1908">HLOOKUP($J1908,'Type Chart'!$C$2:$T$20,3,false)*HLOOKUP($K1908,'Type Chart'!$C$2:$U$20,3,false)</f>
        <v>1</v>
      </c>
      <c r="W1908" s="960">
        <f t="array" ref="W1908">HLOOKUP($J1908,'Type Chart'!$C$2:$T$20,4,false)*HLOOKUP($K1908,'Type Chart'!$C$2:$U$20,4,false)</f>
        <v>1</v>
      </c>
      <c r="X1908" s="960">
        <f t="array" ref="X1908">HLOOKUP($J1908,'Type Chart'!$C$2:$T$20,5,false)*HLOOKUP($K1908,'Type Chart'!$C$2:$U$20,5,false)</f>
        <v>1</v>
      </c>
      <c r="Y1908" s="960">
        <f t="array" ref="Y1908">HLOOKUP($J1908,'Type Chart'!$C$2:$T$20,6,false)*HLOOKUP($K1908,'Type Chart'!$C$2:$U$20,6,false)</f>
        <v>1</v>
      </c>
      <c r="Z1908" s="960">
        <f t="array" ref="Z1908">HLOOKUP($J1908,'Type Chart'!$C$2:$T$20,7,false)*HLOOKUP($K1908,'Type Chart'!$C$2:$U$20,7,false)</f>
        <v>1</v>
      </c>
      <c r="AA1908" s="960">
        <f t="array" ref="AA1908">HLOOKUP($J1908,'Type Chart'!$C$2:$T$20,8,false)*HLOOKUP($K1908,'Type Chart'!$C$2:$U$20,8,false)</f>
        <v>1</v>
      </c>
      <c r="AB1908" s="960">
        <f t="array" ref="AB1908">HLOOKUP($J1908,'Type Chart'!$C$2:$T$20,9,false)*HLOOKUP($K1908,'Type Chart'!$C$2:$U$20,9,false)</f>
        <v>1</v>
      </c>
      <c r="AC1908" s="960">
        <f t="array" ref="AC1908">HLOOKUP($J1908,'Type Chart'!$C$2:$T$20,10,false)*HLOOKUP($K1908,'Type Chart'!$C$2:$U$20,10,false)</f>
        <v>0.5</v>
      </c>
      <c r="AD1908" s="960">
        <f t="array" ref="AD1908">HLOOKUP($J1908,'Type Chart'!$C$2:$T$20,11,false)*HLOOKUP($K1908,'Type Chart'!$C$2:$U$20,11,false)</f>
        <v>0.5</v>
      </c>
      <c r="AE1908" s="960">
        <f t="array" ref="AE1908">HLOOKUP($J1908,'Type Chart'!$C$2:$T$20,12,false)*HLOOKUP($K1908,'Type Chart'!$C$2:$U$20,12,false)</f>
        <v>0.5</v>
      </c>
      <c r="AF1908" s="960">
        <f t="array" ref="AF1908">HLOOKUP($J1908,'Type Chart'!$C$2:$T$20,13,false)*HLOOKUP($K1908,'Type Chart'!$C$2:$U$20,13,false)</f>
        <v>2</v>
      </c>
      <c r="AG1908" s="960">
        <f t="array" ref="AG1908">HLOOKUP($J1908,'Type Chart'!$C$2:$T$20,14,false)*HLOOKUP($K1908,'Type Chart'!$C$2:$U$20,14,false)</f>
        <v>2</v>
      </c>
      <c r="AH1908" s="960">
        <f t="array" ref="AH1908">HLOOKUP($J1908,'Type Chart'!$C$2:$T$20,15,false)*HLOOKUP($K1908,'Type Chart'!$C$2:$U$20,15,false)</f>
        <v>1</v>
      </c>
      <c r="AI1908" s="960">
        <f t="array" ref="AI1908">HLOOKUP($J1908,'Type Chart'!$C$2:$T$20,16,false)*HLOOKUP($K1908,'Type Chart'!$C$2:$U$20,16,false)</f>
        <v>0.5</v>
      </c>
      <c r="AJ1908" s="960">
        <f t="array" ref="AJ1908">HLOOKUP($J1908,'Type Chart'!$C$2:$T$20,17,false)*HLOOKUP($K1908,'Type Chart'!$C$2:$U$20,17,false)</f>
        <v>1</v>
      </c>
      <c r="AK1908" s="960">
        <f t="array" ref="AK1908">HLOOKUP($J1908,'Type Chart'!$C$2:$T$20,18,false)*HLOOKUP($K1908,'Type Chart'!$C$2:$U$20,18,false)</f>
        <v>1</v>
      </c>
      <c r="AL1908" s="960">
        <f t="array" ref="AL1908">HLOOKUP($J1908,'Type Chart'!$C$2:$T$20,19,false)*HLOOKUP($K1908,'Type Chart'!$C$2:$U$20,19,false)</f>
        <v>1</v>
      </c>
      <c r="AM1908" s="964" t="s">
        <v>959</v>
      </c>
      <c r="AN1908" s="965"/>
      <c r="AO1908" s="966" t="s">
        <v>1385</v>
      </c>
      <c r="AP1908" s="936"/>
      <c r="AQ1908" s="1245"/>
      <c r="AR1908" s="1245"/>
      <c r="AS1908" s="936"/>
    </row>
    <row r="1909" ht="15.75" customHeight="1">
      <c r="A1909" s="1099"/>
      <c r="B1909" s="948" t="s">
        <v>2798</v>
      </c>
      <c r="C1909" s="1197" t="s">
        <v>2799</v>
      </c>
      <c r="D1909" s="1197" t="s">
        <v>2799</v>
      </c>
      <c r="E1909" s="1147" t="s">
        <v>2799</v>
      </c>
      <c r="F1909" s="940"/>
      <c r="G1909" s="953"/>
      <c r="H1909" s="969"/>
      <c r="I1909" s="998" t="s">
        <v>5008</v>
      </c>
      <c r="J1909" s="1211" t="s">
        <v>81</v>
      </c>
      <c r="K1909" s="1199" t="s">
        <v>216</v>
      </c>
      <c r="L1909" s="1200">
        <v>75.0</v>
      </c>
      <c r="M1909" s="1201">
        <v>75.0</v>
      </c>
      <c r="N1909" s="1201">
        <v>60.0</v>
      </c>
      <c r="O1909" s="1201">
        <v>83.0</v>
      </c>
      <c r="P1909" s="1201">
        <v>60.0</v>
      </c>
      <c r="Q1909" s="1201">
        <v>60.0</v>
      </c>
      <c r="R1909" s="960">
        <v>156.0</v>
      </c>
      <c r="S1909" s="960">
        <v>219.0</v>
      </c>
      <c r="T1909" s="960">
        <v>240.0</v>
      </c>
      <c r="U1909" s="960">
        <f t="array" ref="U1909">HLOOKUP($J1909,'Type Chart'!$C$2:$T$20,2,false)*HLOOKUP($K1909,'Type Chart'!$C$2:$U$20,2,false)</f>
        <v>1</v>
      </c>
      <c r="V1909" s="960">
        <f t="array" ref="V1909">HLOOKUP($J1909,'Type Chart'!$C$2:$T$20,3,false)*HLOOKUP($K1909,'Type Chart'!$C$2:$U$20,3,false)</f>
        <v>1</v>
      </c>
      <c r="W1909" s="960">
        <f t="array" ref="W1909">HLOOKUP($J1909,'Type Chart'!$C$2:$T$20,4,false)*HLOOKUP($K1909,'Type Chart'!$C$2:$U$20,4,false)</f>
        <v>1</v>
      </c>
      <c r="X1909" s="960">
        <f t="array" ref="X1909">HLOOKUP($J1909,'Type Chart'!$C$2:$T$20,5,false)*HLOOKUP($K1909,'Type Chart'!$C$2:$U$20,5,false)</f>
        <v>1</v>
      </c>
      <c r="Y1909" s="960">
        <f t="array" ref="Y1909">HLOOKUP($J1909,'Type Chart'!$C$2:$T$20,6,false)*HLOOKUP($K1909,'Type Chart'!$C$2:$U$20,6,false)</f>
        <v>1</v>
      </c>
      <c r="Z1909" s="960">
        <f t="array" ref="Z1909">HLOOKUP($J1909,'Type Chart'!$C$2:$T$20,7,false)*HLOOKUP($K1909,'Type Chart'!$C$2:$U$20,7,false)</f>
        <v>1</v>
      </c>
      <c r="AA1909" s="960">
        <f t="array" ref="AA1909">HLOOKUP($J1909,'Type Chart'!$C$2:$T$20,8,false)*HLOOKUP($K1909,'Type Chart'!$C$2:$U$20,8,false)</f>
        <v>1</v>
      </c>
      <c r="AB1909" s="960">
        <f t="array" ref="AB1909">HLOOKUP($J1909,'Type Chart'!$C$2:$T$20,9,false)*HLOOKUP($K1909,'Type Chart'!$C$2:$U$20,9,false)</f>
        <v>1</v>
      </c>
      <c r="AC1909" s="960">
        <f t="array" ref="AC1909">HLOOKUP($J1909,'Type Chart'!$C$2:$T$20,10,false)*HLOOKUP($K1909,'Type Chart'!$C$2:$U$20,10,false)</f>
        <v>0.5</v>
      </c>
      <c r="AD1909" s="960">
        <f t="array" ref="AD1909">HLOOKUP($J1909,'Type Chart'!$C$2:$T$20,11,false)*HLOOKUP($K1909,'Type Chart'!$C$2:$U$20,11,false)</f>
        <v>0.5</v>
      </c>
      <c r="AE1909" s="960">
        <f t="array" ref="AE1909">HLOOKUP($J1909,'Type Chart'!$C$2:$T$20,12,false)*HLOOKUP($K1909,'Type Chart'!$C$2:$U$20,12,false)</f>
        <v>0.5</v>
      </c>
      <c r="AF1909" s="960">
        <f t="array" ref="AF1909">HLOOKUP($J1909,'Type Chart'!$C$2:$T$20,13,false)*HLOOKUP($K1909,'Type Chart'!$C$2:$U$20,13,false)</f>
        <v>2</v>
      </c>
      <c r="AG1909" s="960">
        <f t="array" ref="AG1909">HLOOKUP($J1909,'Type Chart'!$C$2:$T$20,14,false)*HLOOKUP($K1909,'Type Chart'!$C$2:$U$20,14,false)</f>
        <v>2</v>
      </c>
      <c r="AH1909" s="960">
        <f t="array" ref="AH1909">HLOOKUP($J1909,'Type Chart'!$C$2:$T$20,15,false)*HLOOKUP($K1909,'Type Chart'!$C$2:$U$20,15,false)</f>
        <v>1</v>
      </c>
      <c r="AI1909" s="960">
        <f t="array" ref="AI1909">HLOOKUP($J1909,'Type Chart'!$C$2:$T$20,16,false)*HLOOKUP($K1909,'Type Chart'!$C$2:$U$20,16,false)</f>
        <v>0.5</v>
      </c>
      <c r="AJ1909" s="960">
        <f t="array" ref="AJ1909">HLOOKUP($J1909,'Type Chart'!$C$2:$T$20,17,false)*HLOOKUP($K1909,'Type Chart'!$C$2:$U$20,17,false)</f>
        <v>1</v>
      </c>
      <c r="AK1909" s="960">
        <f t="array" ref="AK1909">HLOOKUP($J1909,'Type Chart'!$C$2:$T$20,18,false)*HLOOKUP($K1909,'Type Chart'!$C$2:$U$20,18,false)</f>
        <v>1</v>
      </c>
      <c r="AL1909" s="960">
        <f t="array" ref="AL1909">HLOOKUP($J1909,'Type Chart'!$C$2:$T$20,19,false)*HLOOKUP($K1909,'Type Chart'!$C$2:$U$20,19,false)</f>
        <v>1</v>
      </c>
      <c r="AM1909" s="1145" t="s">
        <v>959</v>
      </c>
      <c r="AN1909" s="1202"/>
      <c r="AO1909" s="1146" t="s">
        <v>1385</v>
      </c>
      <c r="AP1909" s="936"/>
      <c r="AQ1909" s="1245"/>
      <c r="AR1909" s="1245"/>
      <c r="AS1909" s="936"/>
    </row>
    <row r="1910" ht="15.75" customHeight="1">
      <c r="A1910" s="1099"/>
      <c r="B1910" s="948" t="s">
        <v>2801</v>
      </c>
      <c r="C1910" s="1197" t="s">
        <v>2802</v>
      </c>
      <c r="D1910" s="1197" t="s">
        <v>2802</v>
      </c>
      <c r="E1910" s="1147" t="s">
        <v>2802</v>
      </c>
      <c r="F1910" s="940"/>
      <c r="G1910" s="953"/>
      <c r="H1910" s="969"/>
      <c r="I1910" s="998" t="s">
        <v>5009</v>
      </c>
      <c r="J1910" s="1056" t="s">
        <v>81</v>
      </c>
      <c r="K1910" s="984" t="s">
        <v>216</v>
      </c>
      <c r="L1910" s="959">
        <v>95.0</v>
      </c>
      <c r="M1910" s="960">
        <v>100.0</v>
      </c>
      <c r="N1910" s="960">
        <v>85.0</v>
      </c>
      <c r="O1910" s="960">
        <v>108.0</v>
      </c>
      <c r="P1910" s="960">
        <v>70.0</v>
      </c>
      <c r="Q1910" s="960">
        <v>70.0</v>
      </c>
      <c r="R1910" s="960">
        <v>176.0</v>
      </c>
      <c r="S1910" s="960">
        <v>239.0</v>
      </c>
      <c r="T1910" s="960">
        <v>262.0</v>
      </c>
      <c r="U1910" s="960">
        <f t="array" ref="U1910">HLOOKUP($J1910,'Type Chart'!$C$2:$T$20,2,false)*HLOOKUP($K1910,'Type Chart'!$C$2:$U$20,2,false)</f>
        <v>1</v>
      </c>
      <c r="V1910" s="960">
        <f t="array" ref="V1910">HLOOKUP($J1910,'Type Chart'!$C$2:$T$20,3,false)*HLOOKUP($K1910,'Type Chart'!$C$2:$U$20,3,false)</f>
        <v>1</v>
      </c>
      <c r="W1910" s="960">
        <f t="array" ref="W1910">HLOOKUP($J1910,'Type Chart'!$C$2:$T$20,4,false)*HLOOKUP($K1910,'Type Chart'!$C$2:$U$20,4,false)</f>
        <v>1</v>
      </c>
      <c r="X1910" s="960">
        <f t="array" ref="X1910">HLOOKUP($J1910,'Type Chart'!$C$2:$T$20,5,false)*HLOOKUP($K1910,'Type Chart'!$C$2:$U$20,5,false)</f>
        <v>1</v>
      </c>
      <c r="Y1910" s="960">
        <f t="array" ref="Y1910">HLOOKUP($J1910,'Type Chart'!$C$2:$T$20,6,false)*HLOOKUP($K1910,'Type Chart'!$C$2:$U$20,6,false)</f>
        <v>1</v>
      </c>
      <c r="Z1910" s="960">
        <f t="array" ref="Z1910">HLOOKUP($J1910,'Type Chart'!$C$2:$T$20,7,false)*HLOOKUP($K1910,'Type Chart'!$C$2:$U$20,7,false)</f>
        <v>1</v>
      </c>
      <c r="AA1910" s="960">
        <f t="array" ref="AA1910">HLOOKUP($J1910,'Type Chart'!$C$2:$T$20,8,false)*HLOOKUP($K1910,'Type Chart'!$C$2:$U$20,8,false)</f>
        <v>1</v>
      </c>
      <c r="AB1910" s="960">
        <f t="array" ref="AB1910">HLOOKUP($J1910,'Type Chart'!$C$2:$T$20,9,false)*HLOOKUP($K1910,'Type Chart'!$C$2:$U$20,9,false)</f>
        <v>1</v>
      </c>
      <c r="AC1910" s="960">
        <f t="array" ref="AC1910">HLOOKUP($J1910,'Type Chart'!$C$2:$T$20,10,false)*HLOOKUP($K1910,'Type Chart'!$C$2:$U$20,10,false)</f>
        <v>0.5</v>
      </c>
      <c r="AD1910" s="960">
        <f t="array" ref="AD1910">HLOOKUP($J1910,'Type Chart'!$C$2:$T$20,11,false)*HLOOKUP($K1910,'Type Chart'!$C$2:$U$20,11,false)</f>
        <v>0.5</v>
      </c>
      <c r="AE1910" s="960">
        <f t="array" ref="AE1910">HLOOKUP($J1910,'Type Chart'!$C$2:$T$20,12,false)*HLOOKUP($K1910,'Type Chart'!$C$2:$U$20,12,false)</f>
        <v>0.5</v>
      </c>
      <c r="AF1910" s="960">
        <f t="array" ref="AF1910">HLOOKUP($J1910,'Type Chart'!$C$2:$T$20,13,false)*HLOOKUP($K1910,'Type Chart'!$C$2:$U$20,13,false)</f>
        <v>2</v>
      </c>
      <c r="AG1910" s="960">
        <f t="array" ref="AG1910">HLOOKUP($J1910,'Type Chart'!$C$2:$T$20,14,false)*HLOOKUP($K1910,'Type Chart'!$C$2:$U$20,14,false)</f>
        <v>2</v>
      </c>
      <c r="AH1910" s="960">
        <f t="array" ref="AH1910">HLOOKUP($J1910,'Type Chart'!$C$2:$T$20,15,false)*HLOOKUP($K1910,'Type Chart'!$C$2:$U$20,15,false)</f>
        <v>1</v>
      </c>
      <c r="AI1910" s="960">
        <f t="array" ref="AI1910">HLOOKUP($J1910,'Type Chart'!$C$2:$T$20,16,false)*HLOOKUP($K1910,'Type Chart'!$C$2:$U$20,16,false)</f>
        <v>0.5</v>
      </c>
      <c r="AJ1910" s="960">
        <f t="array" ref="AJ1910">HLOOKUP($J1910,'Type Chart'!$C$2:$T$20,17,false)*HLOOKUP($K1910,'Type Chart'!$C$2:$U$20,17,false)</f>
        <v>1</v>
      </c>
      <c r="AK1910" s="960">
        <f t="array" ref="AK1910">HLOOKUP($J1910,'Type Chart'!$C$2:$T$20,18,false)*HLOOKUP($K1910,'Type Chart'!$C$2:$U$20,18,false)</f>
        <v>1</v>
      </c>
      <c r="AL1910" s="960">
        <f t="array" ref="AL1910">HLOOKUP($J1910,'Type Chart'!$C$2:$T$20,19,false)*HLOOKUP($K1910,'Type Chart'!$C$2:$U$20,19,false)</f>
        <v>1</v>
      </c>
      <c r="AM1910" s="964" t="s">
        <v>959</v>
      </c>
      <c r="AN1910" s="965"/>
      <c r="AO1910" s="966" t="s">
        <v>1385</v>
      </c>
      <c r="AP1910" s="936"/>
      <c r="AQ1910" s="1245"/>
      <c r="AR1910" s="1245"/>
      <c r="AS1910" s="936"/>
    </row>
    <row r="1911" ht="15.75" customHeight="1">
      <c r="A1911" s="1099"/>
      <c r="B1911" s="948" t="s">
        <v>2803</v>
      </c>
      <c r="C1911" s="1197" t="s">
        <v>5010</v>
      </c>
      <c r="D1911" s="1197" t="s">
        <v>5010</v>
      </c>
      <c r="E1911" s="1147" t="s">
        <v>5010</v>
      </c>
      <c r="F1911" s="940"/>
      <c r="G1911" s="953"/>
      <c r="H1911" s="969"/>
      <c r="I1911" s="998" t="s">
        <v>5011</v>
      </c>
      <c r="J1911" s="1056" t="s">
        <v>81</v>
      </c>
      <c r="K1911" s="1195" t="s">
        <v>193</v>
      </c>
      <c r="L1911" s="959">
        <v>90.0</v>
      </c>
      <c r="M1911" s="960">
        <v>108.0</v>
      </c>
      <c r="N1911" s="960">
        <v>80.0</v>
      </c>
      <c r="O1911" s="960">
        <v>100.0</v>
      </c>
      <c r="P1911" s="960">
        <v>65.0</v>
      </c>
      <c r="Q1911" s="960">
        <v>85.0</v>
      </c>
      <c r="R1911" s="960">
        <v>206.0</v>
      </c>
      <c r="S1911" s="960">
        <v>269.0</v>
      </c>
      <c r="T1911" s="960">
        <v>295.0</v>
      </c>
      <c r="U1911" s="960">
        <f t="array" ref="U1911">HLOOKUP($J1911,'Type Chart'!$C$2:$T$20,2,false)*HLOOKUP($K1911,'Type Chart'!$C$2:$U$20,2,false)</f>
        <v>1</v>
      </c>
      <c r="V1911" s="960">
        <f t="array" ref="V1911">HLOOKUP($J1911,'Type Chart'!$C$2:$T$20,3,false)*HLOOKUP($K1911,'Type Chart'!$C$2:$U$20,3,false)</f>
        <v>2</v>
      </c>
      <c r="W1911" s="960">
        <f t="array" ref="W1911">HLOOKUP($J1911,'Type Chart'!$C$2:$T$20,4,false)*HLOOKUP($K1911,'Type Chart'!$C$2:$U$20,4,false)</f>
        <v>1</v>
      </c>
      <c r="X1911" s="960">
        <f t="array" ref="X1911">HLOOKUP($J1911,'Type Chart'!$C$2:$T$20,5,false)*HLOOKUP($K1911,'Type Chart'!$C$2:$U$20,5,false)</f>
        <v>1</v>
      </c>
      <c r="Y1911" s="960">
        <f t="array" ref="Y1911">HLOOKUP($J1911,'Type Chart'!$C$2:$T$20,6,false)*HLOOKUP($K1911,'Type Chart'!$C$2:$U$20,6,false)</f>
        <v>1</v>
      </c>
      <c r="Z1911" s="960">
        <f t="array" ref="Z1911">HLOOKUP($J1911,'Type Chart'!$C$2:$T$20,7,false)*HLOOKUP($K1911,'Type Chart'!$C$2:$U$20,7,false)</f>
        <v>1</v>
      </c>
      <c r="AA1911" s="960">
        <f t="array" ref="AA1911">HLOOKUP($J1911,'Type Chart'!$C$2:$T$20,8,false)*HLOOKUP($K1911,'Type Chart'!$C$2:$U$20,8,false)</f>
        <v>2</v>
      </c>
      <c r="AB1911" s="960">
        <f t="array" ref="AB1911">HLOOKUP($J1911,'Type Chart'!$C$2:$T$20,9,false)*HLOOKUP($K1911,'Type Chart'!$C$2:$U$20,9,false)</f>
        <v>0.5</v>
      </c>
      <c r="AC1911" s="960">
        <f t="array" ref="AC1911">HLOOKUP($J1911,'Type Chart'!$C$2:$T$20,10,false)*HLOOKUP($K1911,'Type Chart'!$C$2:$U$20,10,false)</f>
        <v>0.5</v>
      </c>
      <c r="AD1911" s="960">
        <f t="array" ref="AD1911">HLOOKUP($J1911,'Type Chart'!$C$2:$T$20,11,false)*HLOOKUP($K1911,'Type Chart'!$C$2:$U$20,11,false)</f>
        <v>0.5</v>
      </c>
      <c r="AE1911" s="960">
        <f t="array" ref="AE1911">HLOOKUP($J1911,'Type Chart'!$C$2:$T$20,12,false)*HLOOKUP($K1911,'Type Chart'!$C$2:$U$20,12,false)</f>
        <v>0.5</v>
      </c>
      <c r="AF1911" s="960">
        <f t="array" ref="AF1911">HLOOKUP($J1911,'Type Chart'!$C$2:$T$20,13,false)*HLOOKUP($K1911,'Type Chart'!$C$2:$U$20,13,false)</f>
        <v>2</v>
      </c>
      <c r="AG1911" s="960">
        <f t="array" ref="AG1911">HLOOKUP($J1911,'Type Chart'!$C$2:$T$20,14,false)*HLOOKUP($K1911,'Type Chart'!$C$2:$U$20,14,false)</f>
        <v>2</v>
      </c>
      <c r="AH1911" s="960">
        <f t="array" ref="AH1911">HLOOKUP($J1911,'Type Chart'!$C$2:$T$20,15,false)*HLOOKUP($K1911,'Type Chart'!$C$2:$U$20,15,false)</f>
        <v>0</v>
      </c>
      <c r="AI1911" s="960">
        <f t="array" ref="AI1911">HLOOKUP($J1911,'Type Chart'!$C$2:$T$20,16,false)*HLOOKUP($K1911,'Type Chart'!$C$2:$U$20,16,false)</f>
        <v>0.5</v>
      </c>
      <c r="AJ1911" s="960">
        <f t="array" ref="AJ1911">HLOOKUP($J1911,'Type Chart'!$C$2:$T$20,17,false)*HLOOKUP($K1911,'Type Chart'!$C$2:$U$20,17,false)</f>
        <v>1</v>
      </c>
      <c r="AK1911" s="960">
        <f t="array" ref="AK1911">HLOOKUP($J1911,'Type Chart'!$C$2:$T$20,18,false)*HLOOKUP($K1911,'Type Chart'!$C$2:$U$20,18,false)</f>
        <v>0.5</v>
      </c>
      <c r="AL1911" s="960">
        <f t="array" ref="AL1911">HLOOKUP($J1911,'Type Chart'!$C$2:$T$20,19,false)*HLOOKUP($K1911,'Type Chart'!$C$2:$U$20,19,false)</f>
        <v>2</v>
      </c>
      <c r="AM1911" s="964" t="s">
        <v>959</v>
      </c>
      <c r="AN1911" s="965"/>
      <c r="AO1911" s="966" t="s">
        <v>2804</v>
      </c>
      <c r="AP1911" s="936"/>
      <c r="AQ1911" s="1245"/>
      <c r="AR1911" s="1245"/>
      <c r="AS1911" s="936"/>
    </row>
    <row r="1912" ht="15.75" customHeight="1">
      <c r="A1912" s="1099"/>
      <c r="B1912" s="948" t="s">
        <v>2805</v>
      </c>
      <c r="C1912" s="1197" t="s">
        <v>2806</v>
      </c>
      <c r="D1912" s="1197" t="s">
        <v>2806</v>
      </c>
      <c r="E1912" s="1147" t="s">
        <v>2806</v>
      </c>
      <c r="F1912" s="940"/>
      <c r="G1912" s="953"/>
      <c r="H1912" s="969"/>
      <c r="I1912" s="998" t="s">
        <v>5012</v>
      </c>
      <c r="J1912" s="1194" t="s">
        <v>136</v>
      </c>
      <c r="K1912" s="984" t="s">
        <v>216</v>
      </c>
      <c r="L1912" s="959">
        <v>45.0</v>
      </c>
      <c r="M1912" s="960">
        <v>55.0</v>
      </c>
      <c r="N1912" s="960">
        <v>39.0</v>
      </c>
      <c r="O1912" s="960">
        <v>35.0</v>
      </c>
      <c r="P1912" s="960">
        <v>39.0</v>
      </c>
      <c r="Q1912" s="960">
        <v>42.0</v>
      </c>
      <c r="R1912" s="960">
        <v>120.0</v>
      </c>
      <c r="S1912" s="960">
        <v>183.0</v>
      </c>
      <c r="T1912" s="960">
        <v>201.0</v>
      </c>
      <c r="U1912" s="960">
        <f t="array" ref="U1912">HLOOKUP($J1912,'Type Chart'!$C$2:$T$20,2,false)*HLOOKUP($K1912,'Type Chart'!$C$2:$U$20,2,false)</f>
        <v>1</v>
      </c>
      <c r="V1912" s="960">
        <f t="array" ref="V1912">HLOOKUP($J1912,'Type Chart'!$C$2:$T$20,3,false)*HLOOKUP($K1912,'Type Chart'!$C$2:$U$20,3,false)</f>
        <v>2</v>
      </c>
      <c r="W1912" s="960">
        <f t="array" ref="W1912">HLOOKUP($J1912,'Type Chart'!$C$2:$T$20,4,false)*HLOOKUP($K1912,'Type Chart'!$C$2:$U$20,4,false)</f>
        <v>1</v>
      </c>
      <c r="X1912" s="960">
        <f t="array" ref="X1912">HLOOKUP($J1912,'Type Chart'!$C$2:$T$20,5,false)*HLOOKUP($K1912,'Type Chart'!$C$2:$U$20,5,false)</f>
        <v>1</v>
      </c>
      <c r="Y1912" s="960">
        <f t="array" ref="Y1912">HLOOKUP($J1912,'Type Chart'!$C$2:$T$20,6,false)*HLOOKUP($K1912,'Type Chart'!$C$2:$U$20,6,false)</f>
        <v>1</v>
      </c>
      <c r="Z1912" s="960">
        <f t="array" ref="Z1912">HLOOKUP($J1912,'Type Chart'!$C$2:$T$20,7,false)*HLOOKUP($K1912,'Type Chart'!$C$2:$U$20,7,false)</f>
        <v>1</v>
      </c>
      <c r="AA1912" s="960">
        <f t="array" ref="AA1912">HLOOKUP($J1912,'Type Chart'!$C$2:$T$20,8,false)*HLOOKUP($K1912,'Type Chart'!$C$2:$U$20,8,false)</f>
        <v>1</v>
      </c>
      <c r="AB1912" s="960">
        <f t="array" ref="AB1912">HLOOKUP($J1912,'Type Chart'!$C$2:$T$20,9,false)*HLOOKUP($K1912,'Type Chart'!$C$2:$U$20,9,false)</f>
        <v>0</v>
      </c>
      <c r="AC1912" s="960">
        <f t="array" ref="AC1912">HLOOKUP($J1912,'Type Chart'!$C$2:$T$20,10,false)*HLOOKUP($K1912,'Type Chart'!$C$2:$U$20,10,false)</f>
        <v>1</v>
      </c>
      <c r="AD1912" s="960">
        <f t="array" ref="AD1912">HLOOKUP($J1912,'Type Chart'!$C$2:$T$20,11,false)*HLOOKUP($K1912,'Type Chart'!$C$2:$U$20,11,false)</f>
        <v>1</v>
      </c>
      <c r="AE1912" s="960">
        <f t="array" ref="AE1912">HLOOKUP($J1912,'Type Chart'!$C$2:$T$20,12,false)*HLOOKUP($K1912,'Type Chart'!$C$2:$U$20,12,false)</f>
        <v>1</v>
      </c>
      <c r="AF1912" s="960">
        <f t="array" ref="AF1912">HLOOKUP($J1912,'Type Chart'!$C$2:$T$20,13,false)*HLOOKUP($K1912,'Type Chart'!$C$2:$U$20,13,false)</f>
        <v>1</v>
      </c>
      <c r="AG1912" s="960">
        <f t="array" ref="AG1912">HLOOKUP($J1912,'Type Chart'!$C$2:$T$20,14,false)*HLOOKUP($K1912,'Type Chart'!$C$2:$U$20,14,false)</f>
        <v>1</v>
      </c>
      <c r="AH1912" s="960">
        <f t="array" ref="AH1912">HLOOKUP($J1912,'Type Chart'!$C$2:$T$20,15,false)*HLOOKUP($K1912,'Type Chart'!$C$2:$U$20,15,false)</f>
        <v>1</v>
      </c>
      <c r="AI1912" s="960">
        <f t="array" ref="AI1912">HLOOKUP($J1912,'Type Chart'!$C$2:$T$20,16,false)*HLOOKUP($K1912,'Type Chart'!$C$2:$U$20,16,false)</f>
        <v>1</v>
      </c>
      <c r="AJ1912" s="960">
        <f t="array" ref="AJ1912">HLOOKUP($J1912,'Type Chart'!$C$2:$T$20,17,false)*HLOOKUP($K1912,'Type Chart'!$C$2:$U$20,17,false)</f>
        <v>1</v>
      </c>
      <c r="AK1912" s="960">
        <f t="array" ref="AK1912">HLOOKUP($J1912,'Type Chart'!$C$2:$T$20,18,false)*HLOOKUP($K1912,'Type Chart'!$C$2:$U$20,18,false)</f>
        <v>1</v>
      </c>
      <c r="AL1912" s="960">
        <f t="array" ref="AL1912">HLOOKUP($J1912,'Type Chart'!$C$2:$T$20,19,false)*HLOOKUP($K1912,'Type Chart'!$C$2:$U$20,19,false)</f>
        <v>1</v>
      </c>
      <c r="AM1912" s="964" t="s">
        <v>988</v>
      </c>
      <c r="AN1912" s="965" t="s">
        <v>1022</v>
      </c>
      <c r="AO1912" s="966" t="s">
        <v>1389</v>
      </c>
      <c r="AP1912" s="936"/>
      <c r="AQ1912" s="1245"/>
      <c r="AR1912" s="1245"/>
      <c r="AS1912" s="936"/>
    </row>
    <row r="1913" ht="15.75" customHeight="1">
      <c r="A1913" s="1099"/>
      <c r="B1913" s="948" t="s">
        <v>2808</v>
      </c>
      <c r="C1913" s="1197" t="s">
        <v>2809</v>
      </c>
      <c r="D1913" s="1197" t="s">
        <v>2809</v>
      </c>
      <c r="E1913" s="1147" t="s">
        <v>2809</v>
      </c>
      <c r="F1913" s="940"/>
      <c r="G1913" s="953"/>
      <c r="H1913" s="969"/>
      <c r="I1913" s="998" t="s">
        <v>5013</v>
      </c>
      <c r="J1913" s="1194" t="s">
        <v>136</v>
      </c>
      <c r="K1913" s="984" t="s">
        <v>216</v>
      </c>
      <c r="L1913" s="959">
        <v>60.0</v>
      </c>
      <c r="M1913" s="960">
        <v>85.0</v>
      </c>
      <c r="N1913" s="960">
        <v>69.0</v>
      </c>
      <c r="O1913" s="960">
        <v>60.0</v>
      </c>
      <c r="P1913" s="960">
        <v>69.0</v>
      </c>
      <c r="Q1913" s="960">
        <v>77.0</v>
      </c>
      <c r="R1913" s="960">
        <v>190.0</v>
      </c>
      <c r="S1913" s="960">
        <v>253.0</v>
      </c>
      <c r="T1913" s="960">
        <v>278.0</v>
      </c>
      <c r="U1913" s="960">
        <f t="array" ref="U1913">HLOOKUP($J1913,'Type Chart'!$C$2:$T$20,2,false)*HLOOKUP($K1913,'Type Chart'!$C$2:$U$20,2,false)</f>
        <v>1</v>
      </c>
      <c r="V1913" s="960">
        <f t="array" ref="V1913">HLOOKUP($J1913,'Type Chart'!$C$2:$T$20,3,false)*HLOOKUP($K1913,'Type Chart'!$C$2:$U$20,3,false)</f>
        <v>2</v>
      </c>
      <c r="W1913" s="960">
        <f t="array" ref="W1913">HLOOKUP($J1913,'Type Chart'!$C$2:$T$20,4,false)*HLOOKUP($K1913,'Type Chart'!$C$2:$U$20,4,false)</f>
        <v>1</v>
      </c>
      <c r="X1913" s="960">
        <f t="array" ref="X1913">HLOOKUP($J1913,'Type Chart'!$C$2:$T$20,5,false)*HLOOKUP($K1913,'Type Chart'!$C$2:$U$20,5,false)</f>
        <v>1</v>
      </c>
      <c r="Y1913" s="960">
        <f t="array" ref="Y1913">HLOOKUP($J1913,'Type Chart'!$C$2:$T$20,6,false)*HLOOKUP($K1913,'Type Chart'!$C$2:$U$20,6,false)</f>
        <v>1</v>
      </c>
      <c r="Z1913" s="960">
        <f t="array" ref="Z1913">HLOOKUP($J1913,'Type Chart'!$C$2:$T$20,7,false)*HLOOKUP($K1913,'Type Chart'!$C$2:$U$20,7,false)</f>
        <v>1</v>
      </c>
      <c r="AA1913" s="960">
        <f t="array" ref="AA1913">HLOOKUP($J1913,'Type Chart'!$C$2:$T$20,8,false)*HLOOKUP($K1913,'Type Chart'!$C$2:$U$20,8,false)</f>
        <v>1</v>
      </c>
      <c r="AB1913" s="960">
        <f t="array" ref="AB1913">HLOOKUP($J1913,'Type Chart'!$C$2:$T$20,9,false)*HLOOKUP($K1913,'Type Chart'!$C$2:$U$20,9,false)</f>
        <v>0</v>
      </c>
      <c r="AC1913" s="960">
        <f t="array" ref="AC1913">HLOOKUP($J1913,'Type Chart'!$C$2:$T$20,10,false)*HLOOKUP($K1913,'Type Chart'!$C$2:$U$20,10,false)</f>
        <v>1</v>
      </c>
      <c r="AD1913" s="960">
        <f t="array" ref="AD1913">HLOOKUP($J1913,'Type Chart'!$C$2:$T$20,11,false)*HLOOKUP($K1913,'Type Chart'!$C$2:$U$20,11,false)</f>
        <v>1</v>
      </c>
      <c r="AE1913" s="960">
        <f t="array" ref="AE1913">HLOOKUP($J1913,'Type Chart'!$C$2:$T$20,12,false)*HLOOKUP($K1913,'Type Chart'!$C$2:$U$20,12,false)</f>
        <v>1</v>
      </c>
      <c r="AF1913" s="960">
        <f t="array" ref="AF1913">HLOOKUP($J1913,'Type Chart'!$C$2:$T$20,13,false)*HLOOKUP($K1913,'Type Chart'!$C$2:$U$20,13,false)</f>
        <v>1</v>
      </c>
      <c r="AG1913" s="960">
        <f t="array" ref="AG1913">HLOOKUP($J1913,'Type Chart'!$C$2:$T$20,14,false)*HLOOKUP($K1913,'Type Chart'!$C$2:$U$20,14,false)</f>
        <v>1</v>
      </c>
      <c r="AH1913" s="960">
        <f t="array" ref="AH1913">HLOOKUP($J1913,'Type Chart'!$C$2:$T$20,15,false)*HLOOKUP($K1913,'Type Chart'!$C$2:$U$20,15,false)</f>
        <v>1</v>
      </c>
      <c r="AI1913" s="960">
        <f t="array" ref="AI1913">HLOOKUP($J1913,'Type Chart'!$C$2:$T$20,16,false)*HLOOKUP($K1913,'Type Chart'!$C$2:$U$20,16,false)</f>
        <v>1</v>
      </c>
      <c r="AJ1913" s="960">
        <f t="array" ref="AJ1913">HLOOKUP($J1913,'Type Chart'!$C$2:$T$20,17,false)*HLOOKUP($K1913,'Type Chart'!$C$2:$U$20,17,false)</f>
        <v>1</v>
      </c>
      <c r="AK1913" s="960">
        <f t="array" ref="AK1913">HLOOKUP($J1913,'Type Chart'!$C$2:$T$20,18,false)*HLOOKUP($K1913,'Type Chart'!$C$2:$U$20,18,false)</f>
        <v>1</v>
      </c>
      <c r="AL1913" s="960">
        <f t="array" ref="AL1913">HLOOKUP($J1913,'Type Chart'!$C$2:$T$20,19,false)*HLOOKUP($K1913,'Type Chart'!$C$2:$U$20,19,false)</f>
        <v>1</v>
      </c>
      <c r="AM1913" s="964" t="s">
        <v>1549</v>
      </c>
      <c r="AN1913" s="965" t="s">
        <v>1022</v>
      </c>
      <c r="AO1913" s="966" t="s">
        <v>1389</v>
      </c>
      <c r="AP1913" s="936"/>
      <c r="AQ1913" s="1245"/>
      <c r="AR1913" s="1245"/>
      <c r="AS1913" s="936"/>
    </row>
    <row r="1914" ht="15.75" customHeight="1">
      <c r="A1914" s="1099"/>
      <c r="B1914" s="948" t="s">
        <v>2811</v>
      </c>
      <c r="C1914" s="1197" t="s">
        <v>2812</v>
      </c>
      <c r="D1914" s="1197" t="s">
        <v>2812</v>
      </c>
      <c r="E1914" s="1147" t="s">
        <v>2812</v>
      </c>
      <c r="F1914" s="940"/>
      <c r="G1914" s="953"/>
      <c r="H1914" s="969"/>
      <c r="I1914" s="998" t="s">
        <v>5014</v>
      </c>
      <c r="J1914" s="1194" t="s">
        <v>136</v>
      </c>
      <c r="K1914" s="984" t="s">
        <v>216</v>
      </c>
      <c r="L1914" s="959">
        <v>45.0</v>
      </c>
      <c r="M1914" s="960">
        <v>60.0</v>
      </c>
      <c r="N1914" s="960">
        <v>45.0</v>
      </c>
      <c r="O1914" s="960">
        <v>25.0</v>
      </c>
      <c r="P1914" s="960">
        <v>45.0</v>
      </c>
      <c r="Q1914" s="960">
        <v>55.0</v>
      </c>
      <c r="R1914" s="960">
        <v>146.0</v>
      </c>
      <c r="S1914" s="960">
        <v>209.0</v>
      </c>
      <c r="T1914" s="960">
        <v>229.0</v>
      </c>
      <c r="U1914" s="960">
        <f t="array" ref="U1914">HLOOKUP($J1914,'Type Chart'!$C$2:$T$20,2,false)*HLOOKUP($K1914,'Type Chart'!$C$2:$U$20,2,false)</f>
        <v>1</v>
      </c>
      <c r="V1914" s="960">
        <f t="array" ref="V1914">HLOOKUP($J1914,'Type Chart'!$C$2:$T$20,3,false)*HLOOKUP($K1914,'Type Chart'!$C$2:$U$20,3,false)</f>
        <v>2</v>
      </c>
      <c r="W1914" s="960">
        <f t="array" ref="W1914">HLOOKUP($J1914,'Type Chart'!$C$2:$T$20,4,false)*HLOOKUP($K1914,'Type Chart'!$C$2:$U$20,4,false)</f>
        <v>1</v>
      </c>
      <c r="X1914" s="960">
        <f t="array" ref="X1914">HLOOKUP($J1914,'Type Chart'!$C$2:$T$20,5,false)*HLOOKUP($K1914,'Type Chart'!$C$2:$U$20,5,false)</f>
        <v>1</v>
      </c>
      <c r="Y1914" s="960">
        <f t="array" ref="Y1914">HLOOKUP($J1914,'Type Chart'!$C$2:$T$20,6,false)*HLOOKUP($K1914,'Type Chart'!$C$2:$U$20,6,false)</f>
        <v>1</v>
      </c>
      <c r="Z1914" s="960">
        <f t="array" ref="Z1914">HLOOKUP($J1914,'Type Chart'!$C$2:$T$20,7,false)*HLOOKUP($K1914,'Type Chart'!$C$2:$U$20,7,false)</f>
        <v>1</v>
      </c>
      <c r="AA1914" s="960">
        <f t="array" ref="AA1914">HLOOKUP($J1914,'Type Chart'!$C$2:$T$20,8,false)*HLOOKUP($K1914,'Type Chart'!$C$2:$U$20,8,false)</f>
        <v>1</v>
      </c>
      <c r="AB1914" s="960">
        <f t="array" ref="AB1914">HLOOKUP($J1914,'Type Chart'!$C$2:$T$20,9,false)*HLOOKUP($K1914,'Type Chart'!$C$2:$U$20,9,false)</f>
        <v>0</v>
      </c>
      <c r="AC1914" s="960">
        <f t="array" ref="AC1914">HLOOKUP($J1914,'Type Chart'!$C$2:$T$20,10,false)*HLOOKUP($K1914,'Type Chart'!$C$2:$U$20,10,false)</f>
        <v>1</v>
      </c>
      <c r="AD1914" s="960">
        <f t="array" ref="AD1914">HLOOKUP($J1914,'Type Chart'!$C$2:$T$20,11,false)*HLOOKUP($K1914,'Type Chart'!$C$2:$U$20,11,false)</f>
        <v>1</v>
      </c>
      <c r="AE1914" s="960">
        <f t="array" ref="AE1914">HLOOKUP($J1914,'Type Chart'!$C$2:$T$20,12,false)*HLOOKUP($K1914,'Type Chart'!$C$2:$U$20,12,false)</f>
        <v>1</v>
      </c>
      <c r="AF1914" s="960">
        <f t="array" ref="AF1914">HLOOKUP($J1914,'Type Chart'!$C$2:$T$20,13,false)*HLOOKUP($K1914,'Type Chart'!$C$2:$U$20,13,false)</f>
        <v>1</v>
      </c>
      <c r="AG1914" s="960">
        <f t="array" ref="AG1914">HLOOKUP($J1914,'Type Chart'!$C$2:$T$20,14,false)*HLOOKUP($K1914,'Type Chart'!$C$2:$U$20,14,false)</f>
        <v>1</v>
      </c>
      <c r="AH1914" s="960">
        <f t="array" ref="AH1914">HLOOKUP($J1914,'Type Chart'!$C$2:$T$20,15,false)*HLOOKUP($K1914,'Type Chart'!$C$2:$U$20,15,false)</f>
        <v>1</v>
      </c>
      <c r="AI1914" s="960">
        <f t="array" ref="AI1914">HLOOKUP($J1914,'Type Chart'!$C$2:$T$20,16,false)*HLOOKUP($K1914,'Type Chart'!$C$2:$U$20,16,false)</f>
        <v>1</v>
      </c>
      <c r="AJ1914" s="960">
        <f t="array" ref="AJ1914">HLOOKUP($J1914,'Type Chart'!$C$2:$T$20,17,false)*HLOOKUP($K1914,'Type Chart'!$C$2:$U$20,17,false)</f>
        <v>1</v>
      </c>
      <c r="AK1914" s="960">
        <f t="array" ref="AK1914">HLOOKUP($J1914,'Type Chart'!$C$2:$T$20,18,false)*HLOOKUP($K1914,'Type Chart'!$C$2:$U$20,18,false)</f>
        <v>1</v>
      </c>
      <c r="AL1914" s="960">
        <f t="array" ref="AL1914">HLOOKUP($J1914,'Type Chart'!$C$2:$T$20,19,false)*HLOOKUP($K1914,'Type Chart'!$C$2:$U$20,19,false)</f>
        <v>1</v>
      </c>
      <c r="AM1914" s="964" t="s">
        <v>1265</v>
      </c>
      <c r="AN1914" s="965" t="s">
        <v>1238</v>
      </c>
      <c r="AO1914" s="966" t="s">
        <v>988</v>
      </c>
      <c r="AP1914" s="936"/>
      <c r="AQ1914" s="1245"/>
      <c r="AR1914" s="1245"/>
      <c r="AS1914" s="936"/>
    </row>
    <row r="1915" ht="15.75" customHeight="1">
      <c r="A1915" s="1099"/>
      <c r="B1915" s="948" t="s">
        <v>2814</v>
      </c>
      <c r="C1915" s="1197" t="s">
        <v>2815</v>
      </c>
      <c r="D1915" s="1197" t="s">
        <v>2815</v>
      </c>
      <c r="E1915" s="1147" t="s">
        <v>2815</v>
      </c>
      <c r="F1915" s="940"/>
      <c r="G1915" s="953"/>
      <c r="H1915" s="969"/>
      <c r="I1915" s="998" t="s">
        <v>5015</v>
      </c>
      <c r="J1915" s="1194" t="s">
        <v>136</v>
      </c>
      <c r="K1915" s="984" t="s">
        <v>216</v>
      </c>
      <c r="L1915" s="959">
        <v>65.0</v>
      </c>
      <c r="M1915" s="960">
        <v>80.0</v>
      </c>
      <c r="N1915" s="960">
        <v>65.0</v>
      </c>
      <c r="O1915" s="960">
        <v>35.0</v>
      </c>
      <c r="P1915" s="960">
        <v>65.0</v>
      </c>
      <c r="Q1915" s="960">
        <v>60.0</v>
      </c>
      <c r="R1915" s="960">
        <v>156.0</v>
      </c>
      <c r="S1915" s="960">
        <v>219.0</v>
      </c>
      <c r="T1915" s="960">
        <v>240.0</v>
      </c>
      <c r="U1915" s="960">
        <f t="array" ref="U1915">HLOOKUP($J1915,'Type Chart'!$C$2:$T$20,2,false)*HLOOKUP($K1915,'Type Chart'!$C$2:$U$20,2,false)</f>
        <v>1</v>
      </c>
      <c r="V1915" s="960">
        <f t="array" ref="V1915">HLOOKUP($J1915,'Type Chart'!$C$2:$T$20,3,false)*HLOOKUP($K1915,'Type Chart'!$C$2:$U$20,3,false)</f>
        <v>2</v>
      </c>
      <c r="W1915" s="960">
        <f t="array" ref="W1915">HLOOKUP($J1915,'Type Chart'!$C$2:$T$20,4,false)*HLOOKUP($K1915,'Type Chart'!$C$2:$U$20,4,false)</f>
        <v>1</v>
      </c>
      <c r="X1915" s="960">
        <f t="array" ref="X1915">HLOOKUP($J1915,'Type Chart'!$C$2:$T$20,5,false)*HLOOKUP($K1915,'Type Chart'!$C$2:$U$20,5,false)</f>
        <v>1</v>
      </c>
      <c r="Y1915" s="960">
        <f t="array" ref="Y1915">HLOOKUP($J1915,'Type Chart'!$C$2:$T$20,6,false)*HLOOKUP($K1915,'Type Chart'!$C$2:$U$20,6,false)</f>
        <v>1</v>
      </c>
      <c r="Z1915" s="960">
        <f t="array" ref="Z1915">HLOOKUP($J1915,'Type Chart'!$C$2:$T$20,7,false)*HLOOKUP($K1915,'Type Chart'!$C$2:$U$20,7,false)</f>
        <v>1</v>
      </c>
      <c r="AA1915" s="960">
        <f t="array" ref="AA1915">HLOOKUP($J1915,'Type Chart'!$C$2:$T$20,8,false)*HLOOKUP($K1915,'Type Chart'!$C$2:$U$20,8,false)</f>
        <v>1</v>
      </c>
      <c r="AB1915" s="960">
        <f t="array" ref="AB1915">HLOOKUP($J1915,'Type Chart'!$C$2:$T$20,9,false)*HLOOKUP($K1915,'Type Chart'!$C$2:$U$20,9,false)</f>
        <v>0</v>
      </c>
      <c r="AC1915" s="960">
        <f t="array" ref="AC1915">HLOOKUP($J1915,'Type Chart'!$C$2:$T$20,10,false)*HLOOKUP($K1915,'Type Chart'!$C$2:$U$20,10,false)</f>
        <v>1</v>
      </c>
      <c r="AD1915" s="960">
        <f t="array" ref="AD1915">HLOOKUP($J1915,'Type Chart'!$C$2:$T$20,11,false)*HLOOKUP($K1915,'Type Chart'!$C$2:$U$20,11,false)</f>
        <v>1</v>
      </c>
      <c r="AE1915" s="960">
        <f t="array" ref="AE1915">HLOOKUP($J1915,'Type Chart'!$C$2:$T$20,12,false)*HLOOKUP($K1915,'Type Chart'!$C$2:$U$20,12,false)</f>
        <v>1</v>
      </c>
      <c r="AF1915" s="960">
        <f t="array" ref="AF1915">HLOOKUP($J1915,'Type Chart'!$C$2:$T$20,13,false)*HLOOKUP($K1915,'Type Chart'!$C$2:$U$20,13,false)</f>
        <v>1</v>
      </c>
      <c r="AG1915" s="960">
        <f t="array" ref="AG1915">HLOOKUP($J1915,'Type Chart'!$C$2:$T$20,14,false)*HLOOKUP($K1915,'Type Chart'!$C$2:$U$20,14,false)</f>
        <v>1</v>
      </c>
      <c r="AH1915" s="960">
        <f t="array" ref="AH1915">HLOOKUP($J1915,'Type Chart'!$C$2:$T$20,15,false)*HLOOKUP($K1915,'Type Chart'!$C$2:$U$20,15,false)</f>
        <v>1</v>
      </c>
      <c r="AI1915" s="960">
        <f t="array" ref="AI1915">HLOOKUP($J1915,'Type Chart'!$C$2:$T$20,16,false)*HLOOKUP($K1915,'Type Chart'!$C$2:$U$20,16,false)</f>
        <v>1</v>
      </c>
      <c r="AJ1915" s="960">
        <f t="array" ref="AJ1915">HLOOKUP($J1915,'Type Chart'!$C$2:$T$20,17,false)*HLOOKUP($K1915,'Type Chart'!$C$2:$U$20,17,false)</f>
        <v>1</v>
      </c>
      <c r="AK1915" s="960">
        <f t="array" ref="AK1915">HLOOKUP($J1915,'Type Chart'!$C$2:$T$20,18,false)*HLOOKUP($K1915,'Type Chart'!$C$2:$U$20,18,false)</f>
        <v>1</v>
      </c>
      <c r="AL1915" s="960">
        <f t="array" ref="AL1915">HLOOKUP($J1915,'Type Chart'!$C$2:$T$20,19,false)*HLOOKUP($K1915,'Type Chart'!$C$2:$U$20,19,false)</f>
        <v>1</v>
      </c>
      <c r="AM1915" s="964" t="s">
        <v>1061</v>
      </c>
      <c r="AN1915" s="965" t="s">
        <v>1130</v>
      </c>
      <c r="AO1915" s="966" t="s">
        <v>1399</v>
      </c>
      <c r="AP1915" s="936"/>
      <c r="AQ1915" s="1245"/>
      <c r="AR1915" s="1245"/>
      <c r="AS1915" s="936"/>
    </row>
    <row r="1916" ht="15.75" customHeight="1">
      <c r="A1916" s="1099"/>
      <c r="B1916" s="948" t="s">
        <v>2817</v>
      </c>
      <c r="C1916" s="1197" t="s">
        <v>2818</v>
      </c>
      <c r="D1916" s="1197" t="s">
        <v>2818</v>
      </c>
      <c r="E1916" s="1147" t="s">
        <v>2818</v>
      </c>
      <c r="F1916" s="940"/>
      <c r="G1916" s="953"/>
      <c r="H1916" s="969"/>
      <c r="I1916" s="998" t="s">
        <v>5016</v>
      </c>
      <c r="J1916" s="1194" t="s">
        <v>136</v>
      </c>
      <c r="K1916" s="984" t="s">
        <v>216</v>
      </c>
      <c r="L1916" s="959">
        <v>85.0</v>
      </c>
      <c r="M1916" s="960">
        <v>110.0</v>
      </c>
      <c r="N1916" s="960">
        <v>90.0</v>
      </c>
      <c r="O1916" s="960">
        <v>45.0</v>
      </c>
      <c r="P1916" s="960">
        <v>90.0</v>
      </c>
      <c r="Q1916" s="960">
        <v>80.0</v>
      </c>
      <c r="R1916" s="960">
        <v>196.0</v>
      </c>
      <c r="S1916" s="960">
        <v>259.0</v>
      </c>
      <c r="T1916" s="960">
        <v>284.0</v>
      </c>
      <c r="U1916" s="960">
        <f t="array" ref="U1916">HLOOKUP($J1916,'Type Chart'!$C$2:$T$20,2,false)*HLOOKUP($K1916,'Type Chart'!$C$2:$U$20,2,false)</f>
        <v>1</v>
      </c>
      <c r="V1916" s="960">
        <f t="array" ref="V1916">HLOOKUP($J1916,'Type Chart'!$C$2:$T$20,3,false)*HLOOKUP($K1916,'Type Chart'!$C$2:$U$20,3,false)</f>
        <v>2</v>
      </c>
      <c r="W1916" s="960">
        <f t="array" ref="W1916">HLOOKUP($J1916,'Type Chart'!$C$2:$T$20,4,false)*HLOOKUP($K1916,'Type Chart'!$C$2:$U$20,4,false)</f>
        <v>1</v>
      </c>
      <c r="X1916" s="960">
        <f t="array" ref="X1916">HLOOKUP($J1916,'Type Chart'!$C$2:$T$20,5,false)*HLOOKUP($K1916,'Type Chart'!$C$2:$U$20,5,false)</f>
        <v>1</v>
      </c>
      <c r="Y1916" s="960">
        <f t="array" ref="Y1916">HLOOKUP($J1916,'Type Chart'!$C$2:$T$20,6,false)*HLOOKUP($K1916,'Type Chart'!$C$2:$U$20,6,false)</f>
        <v>1</v>
      </c>
      <c r="Z1916" s="960">
        <f t="array" ref="Z1916">HLOOKUP($J1916,'Type Chart'!$C$2:$T$20,7,false)*HLOOKUP($K1916,'Type Chart'!$C$2:$U$20,7,false)</f>
        <v>1</v>
      </c>
      <c r="AA1916" s="960">
        <f t="array" ref="AA1916">HLOOKUP($J1916,'Type Chart'!$C$2:$T$20,8,false)*HLOOKUP($K1916,'Type Chart'!$C$2:$U$20,8,false)</f>
        <v>1</v>
      </c>
      <c r="AB1916" s="960">
        <f t="array" ref="AB1916">HLOOKUP($J1916,'Type Chart'!$C$2:$T$20,9,false)*HLOOKUP($K1916,'Type Chart'!$C$2:$U$20,9,false)</f>
        <v>0</v>
      </c>
      <c r="AC1916" s="960">
        <f t="array" ref="AC1916">HLOOKUP($J1916,'Type Chart'!$C$2:$T$20,10,false)*HLOOKUP($K1916,'Type Chart'!$C$2:$U$20,10,false)</f>
        <v>1</v>
      </c>
      <c r="AD1916" s="960">
        <f t="array" ref="AD1916">HLOOKUP($J1916,'Type Chart'!$C$2:$T$20,11,false)*HLOOKUP($K1916,'Type Chart'!$C$2:$U$20,11,false)</f>
        <v>1</v>
      </c>
      <c r="AE1916" s="960">
        <f t="array" ref="AE1916">HLOOKUP($J1916,'Type Chart'!$C$2:$T$20,12,false)*HLOOKUP($K1916,'Type Chart'!$C$2:$U$20,12,false)</f>
        <v>1</v>
      </c>
      <c r="AF1916" s="960">
        <f t="array" ref="AF1916">HLOOKUP($J1916,'Type Chart'!$C$2:$T$20,13,false)*HLOOKUP($K1916,'Type Chart'!$C$2:$U$20,13,false)</f>
        <v>1</v>
      </c>
      <c r="AG1916" s="960">
        <f t="array" ref="AG1916">HLOOKUP($J1916,'Type Chart'!$C$2:$T$20,14,false)*HLOOKUP($K1916,'Type Chart'!$C$2:$U$20,14,false)</f>
        <v>1</v>
      </c>
      <c r="AH1916" s="960">
        <f t="array" ref="AH1916">HLOOKUP($J1916,'Type Chart'!$C$2:$T$20,15,false)*HLOOKUP($K1916,'Type Chart'!$C$2:$U$20,15,false)</f>
        <v>1</v>
      </c>
      <c r="AI1916" s="960">
        <f t="array" ref="AI1916">HLOOKUP($J1916,'Type Chart'!$C$2:$T$20,16,false)*HLOOKUP($K1916,'Type Chart'!$C$2:$U$20,16,false)</f>
        <v>1</v>
      </c>
      <c r="AJ1916" s="960">
        <f t="array" ref="AJ1916">HLOOKUP($J1916,'Type Chart'!$C$2:$T$20,17,false)*HLOOKUP($K1916,'Type Chart'!$C$2:$U$20,17,false)</f>
        <v>1</v>
      </c>
      <c r="AK1916" s="960">
        <f t="array" ref="AK1916">HLOOKUP($J1916,'Type Chart'!$C$2:$T$20,18,false)*HLOOKUP($K1916,'Type Chart'!$C$2:$U$20,18,false)</f>
        <v>1</v>
      </c>
      <c r="AL1916" s="960">
        <f t="array" ref="AL1916">HLOOKUP($J1916,'Type Chart'!$C$2:$T$20,19,false)*HLOOKUP($K1916,'Type Chart'!$C$2:$U$20,19,false)</f>
        <v>1</v>
      </c>
      <c r="AM1916" s="964" t="s">
        <v>1061</v>
      </c>
      <c r="AN1916" s="965" t="s">
        <v>1130</v>
      </c>
      <c r="AO1916" s="966" t="s">
        <v>1399</v>
      </c>
      <c r="AP1916" s="936"/>
      <c r="AQ1916" s="1245"/>
      <c r="AR1916" s="1245"/>
      <c r="AS1916" s="936"/>
    </row>
    <row r="1917" ht="15.75" customHeight="1">
      <c r="A1917" s="1099"/>
      <c r="B1917" s="948" t="s">
        <v>2820</v>
      </c>
      <c r="C1917" s="1197" t="s">
        <v>2821</v>
      </c>
      <c r="D1917" s="1197" t="s">
        <v>2821</v>
      </c>
      <c r="E1917" s="1147" t="s">
        <v>2821</v>
      </c>
      <c r="F1917" s="940"/>
      <c r="G1917" s="953"/>
      <c r="H1917" s="969"/>
      <c r="I1917" s="998" t="s">
        <v>5017</v>
      </c>
      <c r="J1917" s="1195" t="s">
        <v>193</v>
      </c>
      <c r="K1917" s="984" t="s">
        <v>216</v>
      </c>
      <c r="L1917" s="959">
        <v>41.0</v>
      </c>
      <c r="M1917" s="960">
        <v>50.0</v>
      </c>
      <c r="N1917" s="960">
        <v>37.0</v>
      </c>
      <c r="O1917" s="960">
        <v>50.0</v>
      </c>
      <c r="P1917" s="960">
        <v>37.0</v>
      </c>
      <c r="Q1917" s="960">
        <v>66.0</v>
      </c>
      <c r="R1917" s="960">
        <v>168.0</v>
      </c>
      <c r="S1917" s="960">
        <v>231.0</v>
      </c>
      <c r="T1917" s="960">
        <v>254.0</v>
      </c>
      <c r="U1917" s="960">
        <f t="array" ref="U1917">HLOOKUP($J1917,'Type Chart'!$C$2:$T$20,2,false)*HLOOKUP($K1917,'Type Chart'!$C$2:$U$20,2,false)</f>
        <v>1</v>
      </c>
      <c r="V1917" s="960">
        <f t="array" ref="V1917">HLOOKUP($J1917,'Type Chart'!$C$2:$T$20,3,false)*HLOOKUP($K1917,'Type Chart'!$C$2:$U$20,3,false)</f>
        <v>2</v>
      </c>
      <c r="W1917" s="960">
        <f t="array" ref="W1917">HLOOKUP($J1917,'Type Chart'!$C$2:$T$20,4,false)*HLOOKUP($K1917,'Type Chart'!$C$2:$U$20,4,false)</f>
        <v>1</v>
      </c>
      <c r="X1917" s="960">
        <f t="array" ref="X1917">HLOOKUP($J1917,'Type Chart'!$C$2:$T$20,5,false)*HLOOKUP($K1917,'Type Chart'!$C$2:$U$20,5,false)</f>
        <v>1</v>
      </c>
      <c r="Y1917" s="960">
        <f t="array" ref="Y1917">HLOOKUP($J1917,'Type Chart'!$C$2:$T$20,6,false)*HLOOKUP($K1917,'Type Chart'!$C$2:$U$20,6,false)</f>
        <v>1</v>
      </c>
      <c r="Z1917" s="960">
        <f t="array" ref="Z1917">HLOOKUP($J1917,'Type Chart'!$C$2:$T$20,7,false)*HLOOKUP($K1917,'Type Chart'!$C$2:$U$20,7,false)</f>
        <v>1</v>
      </c>
      <c r="AA1917" s="960">
        <f t="array" ref="AA1917">HLOOKUP($J1917,'Type Chart'!$C$2:$T$20,8,false)*HLOOKUP($K1917,'Type Chart'!$C$2:$U$20,8,false)</f>
        <v>2</v>
      </c>
      <c r="AB1917" s="960">
        <f t="array" ref="AB1917">HLOOKUP($J1917,'Type Chart'!$C$2:$T$20,9,false)*HLOOKUP($K1917,'Type Chart'!$C$2:$U$20,9,false)</f>
        <v>0.5</v>
      </c>
      <c r="AC1917" s="960">
        <f t="array" ref="AC1917">HLOOKUP($J1917,'Type Chart'!$C$2:$T$20,10,false)*HLOOKUP($K1917,'Type Chart'!$C$2:$U$20,10,false)</f>
        <v>1</v>
      </c>
      <c r="AD1917" s="960">
        <f t="array" ref="AD1917">HLOOKUP($J1917,'Type Chart'!$C$2:$T$20,11,false)*HLOOKUP($K1917,'Type Chart'!$C$2:$U$20,11,false)</f>
        <v>1</v>
      </c>
      <c r="AE1917" s="960">
        <f t="array" ref="AE1917">HLOOKUP($J1917,'Type Chart'!$C$2:$T$20,12,false)*HLOOKUP($K1917,'Type Chart'!$C$2:$U$20,12,false)</f>
        <v>1</v>
      </c>
      <c r="AF1917" s="960">
        <f t="array" ref="AF1917">HLOOKUP($J1917,'Type Chart'!$C$2:$T$20,13,false)*HLOOKUP($K1917,'Type Chart'!$C$2:$U$20,13,false)</f>
        <v>1</v>
      </c>
      <c r="AG1917" s="960">
        <f t="array" ref="AG1917">HLOOKUP($J1917,'Type Chart'!$C$2:$T$20,14,false)*HLOOKUP($K1917,'Type Chart'!$C$2:$U$20,14,false)</f>
        <v>1</v>
      </c>
      <c r="AH1917" s="960">
        <f t="array" ref="AH1917">HLOOKUP($J1917,'Type Chart'!$C$2:$T$20,15,false)*HLOOKUP($K1917,'Type Chart'!$C$2:$U$20,15,false)</f>
        <v>0</v>
      </c>
      <c r="AI1917" s="960">
        <f t="array" ref="AI1917">HLOOKUP($J1917,'Type Chart'!$C$2:$T$20,16,false)*HLOOKUP($K1917,'Type Chart'!$C$2:$U$20,16,false)</f>
        <v>1</v>
      </c>
      <c r="AJ1917" s="960">
        <f t="array" ref="AJ1917">HLOOKUP($J1917,'Type Chart'!$C$2:$T$20,17,false)*HLOOKUP($K1917,'Type Chart'!$C$2:$U$20,17,false)</f>
        <v>1</v>
      </c>
      <c r="AK1917" s="960">
        <f t="array" ref="AK1917">HLOOKUP($J1917,'Type Chart'!$C$2:$T$20,18,false)*HLOOKUP($K1917,'Type Chart'!$C$2:$U$20,18,false)</f>
        <v>0.5</v>
      </c>
      <c r="AL1917" s="960">
        <f t="array" ref="AL1917">HLOOKUP($J1917,'Type Chart'!$C$2:$T$20,19,false)*HLOOKUP($K1917,'Type Chart'!$C$2:$U$20,19,false)</f>
        <v>2</v>
      </c>
      <c r="AM1917" s="964" t="s">
        <v>1250</v>
      </c>
      <c r="AN1917" s="965" t="s">
        <v>1498</v>
      </c>
      <c r="AO1917" s="966" t="s">
        <v>1813</v>
      </c>
      <c r="AP1917" s="936"/>
      <c r="AQ1917" s="1245"/>
      <c r="AR1917" s="1245"/>
      <c r="AS1917" s="936"/>
    </row>
    <row r="1918" ht="15.75" customHeight="1">
      <c r="A1918" s="1099"/>
      <c r="B1918" s="948" t="s">
        <v>2823</v>
      </c>
      <c r="C1918" s="1197" t="s">
        <v>2824</v>
      </c>
      <c r="D1918" s="1197" t="s">
        <v>2824</v>
      </c>
      <c r="E1918" s="1147" t="s">
        <v>2824</v>
      </c>
      <c r="F1918" s="940"/>
      <c r="G1918" s="953"/>
      <c r="H1918" s="969"/>
      <c r="I1918" s="998" t="s">
        <v>5018</v>
      </c>
      <c r="J1918" s="1195" t="s">
        <v>193</v>
      </c>
      <c r="K1918" s="984" t="s">
        <v>216</v>
      </c>
      <c r="L1918" s="959">
        <v>64.0</v>
      </c>
      <c r="M1918" s="960">
        <v>88.0</v>
      </c>
      <c r="N1918" s="960">
        <v>50.0</v>
      </c>
      <c r="O1918" s="960">
        <v>88.0</v>
      </c>
      <c r="P1918" s="960">
        <v>50.0</v>
      </c>
      <c r="Q1918" s="960">
        <v>106.0</v>
      </c>
      <c r="R1918" s="960">
        <v>248.0</v>
      </c>
      <c r="S1918" s="960">
        <v>311.0</v>
      </c>
      <c r="T1918" s="960">
        <v>342.0</v>
      </c>
      <c r="U1918" s="960">
        <f t="array" ref="U1918">HLOOKUP($J1918,'Type Chart'!$C$2:$T$20,2,false)*HLOOKUP($K1918,'Type Chart'!$C$2:$U$20,2,false)</f>
        <v>1</v>
      </c>
      <c r="V1918" s="960">
        <f t="array" ref="V1918">HLOOKUP($J1918,'Type Chart'!$C$2:$T$20,3,false)*HLOOKUP($K1918,'Type Chart'!$C$2:$U$20,3,false)</f>
        <v>2</v>
      </c>
      <c r="W1918" s="960">
        <f t="array" ref="W1918">HLOOKUP($J1918,'Type Chart'!$C$2:$T$20,4,false)*HLOOKUP($K1918,'Type Chart'!$C$2:$U$20,4,false)</f>
        <v>1</v>
      </c>
      <c r="X1918" s="960">
        <f t="array" ref="X1918">HLOOKUP($J1918,'Type Chart'!$C$2:$T$20,5,false)*HLOOKUP($K1918,'Type Chart'!$C$2:$U$20,5,false)</f>
        <v>1</v>
      </c>
      <c r="Y1918" s="960">
        <f t="array" ref="Y1918">HLOOKUP($J1918,'Type Chart'!$C$2:$T$20,6,false)*HLOOKUP($K1918,'Type Chart'!$C$2:$U$20,6,false)</f>
        <v>1</v>
      </c>
      <c r="Z1918" s="960">
        <f t="array" ref="Z1918">HLOOKUP($J1918,'Type Chart'!$C$2:$T$20,7,false)*HLOOKUP($K1918,'Type Chart'!$C$2:$U$20,7,false)</f>
        <v>1</v>
      </c>
      <c r="AA1918" s="960">
        <f t="array" ref="AA1918">HLOOKUP($J1918,'Type Chart'!$C$2:$T$20,8,false)*HLOOKUP($K1918,'Type Chart'!$C$2:$U$20,8,false)</f>
        <v>2</v>
      </c>
      <c r="AB1918" s="960">
        <f t="array" ref="AB1918">HLOOKUP($J1918,'Type Chart'!$C$2:$T$20,9,false)*HLOOKUP($K1918,'Type Chart'!$C$2:$U$20,9,false)</f>
        <v>0.5</v>
      </c>
      <c r="AC1918" s="960">
        <f t="array" ref="AC1918">HLOOKUP($J1918,'Type Chart'!$C$2:$T$20,10,false)*HLOOKUP($K1918,'Type Chart'!$C$2:$U$20,10,false)</f>
        <v>1</v>
      </c>
      <c r="AD1918" s="960">
        <f t="array" ref="AD1918">HLOOKUP($J1918,'Type Chart'!$C$2:$T$20,11,false)*HLOOKUP($K1918,'Type Chart'!$C$2:$U$20,11,false)</f>
        <v>1</v>
      </c>
      <c r="AE1918" s="960">
        <f t="array" ref="AE1918">HLOOKUP($J1918,'Type Chart'!$C$2:$T$20,12,false)*HLOOKUP($K1918,'Type Chart'!$C$2:$U$20,12,false)</f>
        <v>1</v>
      </c>
      <c r="AF1918" s="960">
        <f t="array" ref="AF1918">HLOOKUP($J1918,'Type Chart'!$C$2:$T$20,13,false)*HLOOKUP($K1918,'Type Chart'!$C$2:$U$20,13,false)</f>
        <v>1</v>
      </c>
      <c r="AG1918" s="960">
        <f t="array" ref="AG1918">HLOOKUP($J1918,'Type Chart'!$C$2:$T$20,14,false)*HLOOKUP($K1918,'Type Chart'!$C$2:$U$20,14,false)</f>
        <v>1</v>
      </c>
      <c r="AH1918" s="960">
        <f t="array" ref="AH1918">HLOOKUP($J1918,'Type Chart'!$C$2:$T$20,15,false)*HLOOKUP($K1918,'Type Chart'!$C$2:$U$20,15,false)</f>
        <v>0</v>
      </c>
      <c r="AI1918" s="960">
        <f t="array" ref="AI1918">HLOOKUP($J1918,'Type Chart'!$C$2:$T$20,16,false)*HLOOKUP($K1918,'Type Chart'!$C$2:$U$20,16,false)</f>
        <v>1</v>
      </c>
      <c r="AJ1918" s="960">
        <f t="array" ref="AJ1918">HLOOKUP($J1918,'Type Chart'!$C$2:$T$20,17,false)*HLOOKUP($K1918,'Type Chart'!$C$2:$U$20,17,false)</f>
        <v>1</v>
      </c>
      <c r="AK1918" s="960">
        <f t="array" ref="AK1918">HLOOKUP($J1918,'Type Chart'!$C$2:$T$20,18,false)*HLOOKUP($K1918,'Type Chart'!$C$2:$U$20,18,false)</f>
        <v>0.5</v>
      </c>
      <c r="AL1918" s="960">
        <f t="array" ref="AL1918">HLOOKUP($J1918,'Type Chart'!$C$2:$T$20,19,false)*HLOOKUP($K1918,'Type Chart'!$C$2:$U$20,19,false)</f>
        <v>2</v>
      </c>
      <c r="AM1918" s="964" t="s">
        <v>1250</v>
      </c>
      <c r="AN1918" s="965" t="s">
        <v>1498</v>
      </c>
      <c r="AO1918" s="966" t="s">
        <v>1813</v>
      </c>
      <c r="AP1918" s="936"/>
      <c r="AQ1918" s="1245"/>
      <c r="AR1918" s="1245"/>
      <c r="AS1918" s="936"/>
    </row>
    <row r="1919" ht="15.75" customHeight="1">
      <c r="A1919" s="1099"/>
      <c r="B1919" s="948" t="s">
        <v>2826</v>
      </c>
      <c r="C1919" s="1197" t="s">
        <v>2827</v>
      </c>
      <c r="D1919" s="1197" t="s">
        <v>2827</v>
      </c>
      <c r="E1919" s="1147" t="s">
        <v>2827</v>
      </c>
      <c r="F1919" s="940"/>
      <c r="G1919" s="953"/>
      <c r="H1919" s="969"/>
      <c r="I1919" s="998" t="s">
        <v>5019</v>
      </c>
      <c r="J1919" s="957" t="s">
        <v>209</v>
      </c>
      <c r="K1919" s="984" t="s">
        <v>216</v>
      </c>
      <c r="L1919" s="959">
        <v>50.0</v>
      </c>
      <c r="M1919" s="960">
        <v>53.0</v>
      </c>
      <c r="N1919" s="960">
        <v>48.0</v>
      </c>
      <c r="O1919" s="960">
        <v>53.0</v>
      </c>
      <c r="P1919" s="960">
        <v>48.0</v>
      </c>
      <c r="Q1919" s="960">
        <v>64.0</v>
      </c>
      <c r="R1919" s="960">
        <v>164.0</v>
      </c>
      <c r="S1919" s="960">
        <v>227.0</v>
      </c>
      <c r="T1919" s="960">
        <v>249.0</v>
      </c>
      <c r="U1919" s="960">
        <f t="array" ref="U1919">HLOOKUP($J1919,'Type Chart'!$C$2:$T$20,2,false)*HLOOKUP($K1919,'Type Chart'!$C$2:$U$20,2,false)</f>
        <v>1</v>
      </c>
      <c r="V1919" s="960">
        <f t="array" ref="V1919">HLOOKUP($J1919,'Type Chart'!$C$2:$T$20,3,false)*HLOOKUP($K1919,'Type Chart'!$C$2:$U$20,3,false)</f>
        <v>1</v>
      </c>
      <c r="W1919" s="960">
        <f t="array" ref="W1919">HLOOKUP($J1919,'Type Chart'!$C$2:$T$20,4,false)*HLOOKUP($K1919,'Type Chart'!$C$2:$U$20,4,false)</f>
        <v>2</v>
      </c>
      <c r="X1919" s="960">
        <f t="array" ref="X1919">HLOOKUP($J1919,'Type Chart'!$C$2:$T$20,5,false)*HLOOKUP($K1919,'Type Chart'!$C$2:$U$20,5,false)</f>
        <v>2</v>
      </c>
      <c r="Y1919" s="960">
        <f t="array" ref="Y1919">HLOOKUP($J1919,'Type Chart'!$C$2:$T$20,6,false)*HLOOKUP($K1919,'Type Chart'!$C$2:$U$20,6,false)</f>
        <v>0.5</v>
      </c>
      <c r="Z1919" s="960">
        <f t="array" ref="Z1919">HLOOKUP($J1919,'Type Chart'!$C$2:$T$20,7,false)*HLOOKUP($K1919,'Type Chart'!$C$2:$U$20,7,false)</f>
        <v>1</v>
      </c>
      <c r="AA1919" s="960">
        <f t="array" ref="AA1919">HLOOKUP($J1919,'Type Chart'!$C$2:$T$20,8,false)*HLOOKUP($K1919,'Type Chart'!$C$2:$U$20,8,false)</f>
        <v>2</v>
      </c>
      <c r="AB1919" s="960">
        <f t="array" ref="AB1919">HLOOKUP($J1919,'Type Chart'!$C$2:$T$20,9,false)*HLOOKUP($K1919,'Type Chart'!$C$2:$U$20,9,false)</f>
        <v>1</v>
      </c>
      <c r="AC1919" s="960">
        <f t="array" ref="AC1919">HLOOKUP($J1919,'Type Chart'!$C$2:$T$20,10,false)*HLOOKUP($K1919,'Type Chart'!$C$2:$U$20,10,false)</f>
        <v>1</v>
      </c>
      <c r="AD1919" s="960">
        <f t="array" ref="AD1919">HLOOKUP($J1919,'Type Chart'!$C$2:$T$20,11,false)*HLOOKUP($K1919,'Type Chart'!$C$2:$U$20,11,false)</f>
        <v>2</v>
      </c>
      <c r="AE1919" s="960">
        <f t="array" ref="AE1919">HLOOKUP($J1919,'Type Chart'!$C$2:$T$20,12,false)*HLOOKUP($K1919,'Type Chart'!$C$2:$U$20,12,false)</f>
        <v>0.5</v>
      </c>
      <c r="AF1919" s="960">
        <f t="array" ref="AF1919">HLOOKUP($J1919,'Type Chart'!$C$2:$T$20,13,false)*HLOOKUP($K1919,'Type Chart'!$C$2:$U$20,13,false)</f>
        <v>0.5</v>
      </c>
      <c r="AG1919" s="960">
        <f t="array" ref="AG1919">HLOOKUP($J1919,'Type Chart'!$C$2:$T$20,14,false)*HLOOKUP($K1919,'Type Chart'!$C$2:$U$20,14,false)</f>
        <v>0.5</v>
      </c>
      <c r="AH1919" s="960">
        <f t="array" ref="AH1919">HLOOKUP($J1919,'Type Chart'!$C$2:$T$20,15,false)*HLOOKUP($K1919,'Type Chart'!$C$2:$U$20,15,false)</f>
        <v>1</v>
      </c>
      <c r="AI1919" s="960">
        <f t="array" ref="AI1919">HLOOKUP($J1919,'Type Chart'!$C$2:$T$20,16,false)*HLOOKUP($K1919,'Type Chart'!$C$2:$U$20,16,false)</f>
        <v>2</v>
      </c>
      <c r="AJ1919" s="960">
        <f t="array" ref="AJ1919">HLOOKUP($J1919,'Type Chart'!$C$2:$T$20,17,false)*HLOOKUP($K1919,'Type Chart'!$C$2:$U$20,17,false)</f>
        <v>1</v>
      </c>
      <c r="AK1919" s="960">
        <f t="array" ref="AK1919">HLOOKUP($J1919,'Type Chart'!$C$2:$T$20,18,false)*HLOOKUP($K1919,'Type Chart'!$C$2:$U$20,18,false)</f>
        <v>1</v>
      </c>
      <c r="AL1919" s="960">
        <f t="array" ref="AL1919">HLOOKUP($J1919,'Type Chart'!$C$2:$T$20,19,false)*HLOOKUP($K1919,'Type Chart'!$C$2:$U$20,19,false)</f>
        <v>1</v>
      </c>
      <c r="AM1919" s="964" t="s">
        <v>1044</v>
      </c>
      <c r="AN1919" s="965"/>
      <c r="AO1919" s="966" t="s">
        <v>522</v>
      </c>
      <c r="AP1919" s="936"/>
      <c r="AQ1919" s="1245"/>
      <c r="AR1919" s="1245"/>
      <c r="AS1919" s="936"/>
    </row>
    <row r="1920" ht="15.75" customHeight="1">
      <c r="A1920" s="1099"/>
      <c r="B1920" s="948" t="s">
        <v>2829</v>
      </c>
      <c r="C1920" s="1197" t="s">
        <v>2830</v>
      </c>
      <c r="D1920" s="1197" t="s">
        <v>2830</v>
      </c>
      <c r="E1920" s="1147" t="s">
        <v>2830</v>
      </c>
      <c r="F1920" s="940"/>
      <c r="G1920" s="953"/>
      <c r="H1920" s="969"/>
      <c r="I1920" s="998" t="s">
        <v>5020</v>
      </c>
      <c r="J1920" s="957" t="s">
        <v>209</v>
      </c>
      <c r="K1920" s="984" t="s">
        <v>216</v>
      </c>
      <c r="L1920" s="959">
        <v>75.0</v>
      </c>
      <c r="M1920" s="960">
        <v>98.0</v>
      </c>
      <c r="N1920" s="960">
        <v>63.0</v>
      </c>
      <c r="O1920" s="960">
        <v>98.0</v>
      </c>
      <c r="P1920" s="960">
        <v>63.0</v>
      </c>
      <c r="Q1920" s="960">
        <v>101.0</v>
      </c>
      <c r="R1920" s="960">
        <v>238.0</v>
      </c>
      <c r="S1920" s="960">
        <v>301.0</v>
      </c>
      <c r="T1920" s="960">
        <v>331.0</v>
      </c>
      <c r="U1920" s="960">
        <f t="array" ref="U1920">HLOOKUP($J1920,'Type Chart'!$C$2:$T$20,2,false)*HLOOKUP($K1920,'Type Chart'!$C$2:$U$20,2,false)</f>
        <v>1</v>
      </c>
      <c r="V1920" s="960">
        <f t="array" ref="V1920">HLOOKUP($J1920,'Type Chart'!$C$2:$T$20,3,false)*HLOOKUP($K1920,'Type Chart'!$C$2:$U$20,3,false)</f>
        <v>1</v>
      </c>
      <c r="W1920" s="960">
        <f t="array" ref="W1920">HLOOKUP($J1920,'Type Chart'!$C$2:$T$20,4,false)*HLOOKUP($K1920,'Type Chart'!$C$2:$U$20,4,false)</f>
        <v>2</v>
      </c>
      <c r="X1920" s="960">
        <f t="array" ref="X1920">HLOOKUP($J1920,'Type Chart'!$C$2:$T$20,5,false)*HLOOKUP($K1920,'Type Chart'!$C$2:$U$20,5,false)</f>
        <v>2</v>
      </c>
      <c r="Y1920" s="960">
        <f t="array" ref="Y1920">HLOOKUP($J1920,'Type Chart'!$C$2:$T$20,6,false)*HLOOKUP($K1920,'Type Chart'!$C$2:$U$20,6,false)</f>
        <v>0.5</v>
      </c>
      <c r="Z1920" s="960">
        <f t="array" ref="Z1920">HLOOKUP($J1920,'Type Chart'!$C$2:$T$20,7,false)*HLOOKUP($K1920,'Type Chart'!$C$2:$U$20,7,false)</f>
        <v>1</v>
      </c>
      <c r="AA1920" s="960">
        <f t="array" ref="AA1920">HLOOKUP($J1920,'Type Chart'!$C$2:$T$20,8,false)*HLOOKUP($K1920,'Type Chart'!$C$2:$U$20,8,false)</f>
        <v>2</v>
      </c>
      <c r="AB1920" s="960">
        <f t="array" ref="AB1920">HLOOKUP($J1920,'Type Chart'!$C$2:$T$20,9,false)*HLOOKUP($K1920,'Type Chart'!$C$2:$U$20,9,false)</f>
        <v>1</v>
      </c>
      <c r="AC1920" s="960">
        <f t="array" ref="AC1920">HLOOKUP($J1920,'Type Chart'!$C$2:$T$20,10,false)*HLOOKUP($K1920,'Type Chart'!$C$2:$U$20,10,false)</f>
        <v>1</v>
      </c>
      <c r="AD1920" s="960">
        <f t="array" ref="AD1920">HLOOKUP($J1920,'Type Chart'!$C$2:$T$20,11,false)*HLOOKUP($K1920,'Type Chart'!$C$2:$U$20,11,false)</f>
        <v>2</v>
      </c>
      <c r="AE1920" s="960">
        <f t="array" ref="AE1920">HLOOKUP($J1920,'Type Chart'!$C$2:$T$20,12,false)*HLOOKUP($K1920,'Type Chart'!$C$2:$U$20,12,false)</f>
        <v>0.5</v>
      </c>
      <c r="AF1920" s="960">
        <f t="array" ref="AF1920">HLOOKUP($J1920,'Type Chart'!$C$2:$T$20,13,false)*HLOOKUP($K1920,'Type Chart'!$C$2:$U$20,13,false)</f>
        <v>0.5</v>
      </c>
      <c r="AG1920" s="960">
        <f t="array" ref="AG1920">HLOOKUP($J1920,'Type Chart'!$C$2:$T$20,14,false)*HLOOKUP($K1920,'Type Chart'!$C$2:$U$20,14,false)</f>
        <v>0.5</v>
      </c>
      <c r="AH1920" s="960">
        <f t="array" ref="AH1920">HLOOKUP($J1920,'Type Chart'!$C$2:$T$20,15,false)*HLOOKUP($K1920,'Type Chart'!$C$2:$U$20,15,false)</f>
        <v>1</v>
      </c>
      <c r="AI1920" s="960">
        <f t="array" ref="AI1920">HLOOKUP($J1920,'Type Chart'!$C$2:$T$20,16,false)*HLOOKUP($K1920,'Type Chart'!$C$2:$U$20,16,false)</f>
        <v>2</v>
      </c>
      <c r="AJ1920" s="960">
        <f t="array" ref="AJ1920">HLOOKUP($J1920,'Type Chart'!$C$2:$T$20,17,false)*HLOOKUP($K1920,'Type Chart'!$C$2:$U$20,17,false)</f>
        <v>1</v>
      </c>
      <c r="AK1920" s="960">
        <f t="array" ref="AK1920">HLOOKUP($J1920,'Type Chart'!$C$2:$T$20,18,false)*HLOOKUP($K1920,'Type Chart'!$C$2:$U$20,18,false)</f>
        <v>1</v>
      </c>
      <c r="AL1920" s="960">
        <f t="array" ref="AL1920">HLOOKUP($J1920,'Type Chart'!$C$2:$T$20,19,false)*HLOOKUP($K1920,'Type Chart'!$C$2:$U$20,19,false)</f>
        <v>1</v>
      </c>
      <c r="AM1920" s="964" t="s">
        <v>1044</v>
      </c>
      <c r="AN1920" s="965"/>
      <c r="AO1920" s="966" t="s">
        <v>522</v>
      </c>
      <c r="AP1920" s="936"/>
      <c r="AQ1920" s="1245"/>
      <c r="AR1920" s="1245"/>
      <c r="AS1920" s="936"/>
    </row>
    <row r="1921" ht="15.75" customHeight="1">
      <c r="A1921" s="1099"/>
      <c r="B1921" s="948" t="s">
        <v>2832</v>
      </c>
      <c r="C1921" s="1197" t="s">
        <v>2833</v>
      </c>
      <c r="D1921" s="1197" t="s">
        <v>2833</v>
      </c>
      <c r="E1921" s="1147" t="s">
        <v>2833</v>
      </c>
      <c r="F1921" s="940"/>
      <c r="G1921" s="953"/>
      <c r="H1921" s="969"/>
      <c r="I1921" s="998" t="s">
        <v>5021</v>
      </c>
      <c r="J1921" s="982" t="s">
        <v>150</v>
      </c>
      <c r="K1921" s="984" t="s">
        <v>216</v>
      </c>
      <c r="L1921" s="959">
        <v>50.0</v>
      </c>
      <c r="M1921" s="960">
        <v>53.0</v>
      </c>
      <c r="N1921" s="960">
        <v>48.0</v>
      </c>
      <c r="O1921" s="960">
        <v>53.0</v>
      </c>
      <c r="P1921" s="960">
        <v>48.0</v>
      </c>
      <c r="Q1921" s="960">
        <v>64.0</v>
      </c>
      <c r="R1921" s="960">
        <v>164.0</v>
      </c>
      <c r="S1921" s="960">
        <v>227.0</v>
      </c>
      <c r="T1921" s="960">
        <v>249.0</v>
      </c>
      <c r="U1921" s="960">
        <f t="array" ref="U1921">HLOOKUP($J1921,'Type Chart'!$C$2:$T$20,2,false)*HLOOKUP($K1921,'Type Chart'!$C$2:$U$20,2,false)</f>
        <v>1</v>
      </c>
      <c r="V1921" s="960">
        <f t="array" ref="V1921">HLOOKUP($J1921,'Type Chart'!$C$2:$T$20,3,false)*HLOOKUP($K1921,'Type Chart'!$C$2:$U$20,3,false)</f>
        <v>1</v>
      </c>
      <c r="W1921" s="960">
        <f t="array" ref="W1921">HLOOKUP($J1921,'Type Chart'!$C$2:$T$20,4,false)*HLOOKUP($K1921,'Type Chart'!$C$2:$U$20,4,false)</f>
        <v>1</v>
      </c>
      <c r="X1921" s="960">
        <f t="array" ref="X1921">HLOOKUP($J1921,'Type Chart'!$C$2:$T$20,5,false)*HLOOKUP($K1921,'Type Chart'!$C$2:$U$20,5,false)</f>
        <v>1</v>
      </c>
      <c r="Y1921" s="960">
        <f t="array" ref="Y1921">HLOOKUP($J1921,'Type Chart'!$C$2:$T$20,6,false)*HLOOKUP($K1921,'Type Chart'!$C$2:$U$20,6,false)</f>
        <v>2</v>
      </c>
      <c r="Z1921" s="960">
        <f t="array" ref="Z1921">HLOOKUP($J1921,'Type Chart'!$C$2:$T$20,7,false)*HLOOKUP($K1921,'Type Chart'!$C$2:$U$20,7,false)</f>
        <v>2</v>
      </c>
      <c r="AA1921" s="960">
        <f t="array" ref="AA1921">HLOOKUP($J1921,'Type Chart'!$C$2:$T$20,8,false)*HLOOKUP($K1921,'Type Chart'!$C$2:$U$20,8,false)</f>
        <v>0.5</v>
      </c>
      <c r="AB1921" s="960">
        <f t="array" ref="AB1921">HLOOKUP($J1921,'Type Chart'!$C$2:$T$20,9,false)*HLOOKUP($K1921,'Type Chart'!$C$2:$U$20,9,false)</f>
        <v>1</v>
      </c>
      <c r="AC1921" s="960">
        <f t="array" ref="AC1921">HLOOKUP($J1921,'Type Chart'!$C$2:$T$20,10,false)*HLOOKUP($K1921,'Type Chart'!$C$2:$U$20,10,false)</f>
        <v>0.5</v>
      </c>
      <c r="AD1921" s="960">
        <f t="array" ref="AD1921">HLOOKUP($J1921,'Type Chart'!$C$2:$T$20,11,false)*HLOOKUP($K1921,'Type Chart'!$C$2:$U$20,11,false)</f>
        <v>0.5</v>
      </c>
      <c r="AE1921" s="960">
        <f t="array" ref="AE1921">HLOOKUP($J1921,'Type Chart'!$C$2:$T$20,12,false)*HLOOKUP($K1921,'Type Chart'!$C$2:$U$20,12,false)</f>
        <v>2</v>
      </c>
      <c r="AF1921" s="960">
        <f t="array" ref="AF1921">HLOOKUP($J1921,'Type Chart'!$C$2:$T$20,13,false)*HLOOKUP($K1921,'Type Chart'!$C$2:$U$20,13,false)</f>
        <v>0.5</v>
      </c>
      <c r="AG1921" s="960">
        <f t="array" ref="AG1921">HLOOKUP($J1921,'Type Chart'!$C$2:$T$20,14,false)*HLOOKUP($K1921,'Type Chart'!$C$2:$U$20,14,false)</f>
        <v>1</v>
      </c>
      <c r="AH1921" s="960">
        <f t="array" ref="AH1921">HLOOKUP($J1921,'Type Chart'!$C$2:$T$20,15,false)*HLOOKUP($K1921,'Type Chart'!$C$2:$U$20,15,false)</f>
        <v>1</v>
      </c>
      <c r="AI1921" s="960">
        <f t="array" ref="AI1921">HLOOKUP($J1921,'Type Chart'!$C$2:$T$20,16,false)*HLOOKUP($K1921,'Type Chart'!$C$2:$U$20,16,false)</f>
        <v>0.5</v>
      </c>
      <c r="AJ1921" s="960">
        <f t="array" ref="AJ1921">HLOOKUP($J1921,'Type Chart'!$C$2:$T$20,17,false)*HLOOKUP($K1921,'Type Chart'!$C$2:$U$20,17,false)</f>
        <v>1</v>
      </c>
      <c r="AK1921" s="960">
        <f t="array" ref="AK1921">HLOOKUP($J1921,'Type Chart'!$C$2:$T$20,18,false)*HLOOKUP($K1921,'Type Chart'!$C$2:$U$20,18,false)</f>
        <v>1</v>
      </c>
      <c r="AL1921" s="960">
        <f t="array" ref="AL1921">HLOOKUP($J1921,'Type Chart'!$C$2:$T$20,19,false)*HLOOKUP($K1921,'Type Chart'!$C$2:$U$20,19,false)</f>
        <v>0.5</v>
      </c>
      <c r="AM1921" s="964" t="s">
        <v>1044</v>
      </c>
      <c r="AN1921" s="965"/>
      <c r="AO1921" s="966" t="s">
        <v>830</v>
      </c>
      <c r="AP1921" s="936"/>
      <c r="AQ1921" s="1245"/>
      <c r="AR1921" s="1245"/>
      <c r="AS1921" s="936"/>
    </row>
    <row r="1922" ht="15.75" customHeight="1">
      <c r="A1922" s="1099"/>
      <c r="B1922" s="948" t="s">
        <v>2835</v>
      </c>
      <c r="C1922" s="1197" t="s">
        <v>2836</v>
      </c>
      <c r="D1922" s="1197" t="s">
        <v>2836</v>
      </c>
      <c r="E1922" s="1147" t="s">
        <v>2836</v>
      </c>
      <c r="F1922" s="940"/>
      <c r="G1922" s="953"/>
      <c r="H1922" s="969"/>
      <c r="I1922" s="998" t="s">
        <v>5022</v>
      </c>
      <c r="J1922" s="982" t="s">
        <v>150</v>
      </c>
      <c r="K1922" s="984" t="s">
        <v>216</v>
      </c>
      <c r="L1922" s="959">
        <v>75.0</v>
      </c>
      <c r="M1922" s="960">
        <v>98.0</v>
      </c>
      <c r="N1922" s="960">
        <v>63.0</v>
      </c>
      <c r="O1922" s="960">
        <v>98.0</v>
      </c>
      <c r="P1922" s="960">
        <v>63.0</v>
      </c>
      <c r="Q1922" s="960">
        <v>101.0</v>
      </c>
      <c r="R1922" s="960">
        <v>238.0</v>
      </c>
      <c r="S1922" s="960">
        <v>301.0</v>
      </c>
      <c r="T1922" s="960">
        <v>331.0</v>
      </c>
      <c r="U1922" s="960">
        <f t="array" ref="U1922">HLOOKUP($J1922,'Type Chart'!$C$2:$T$20,2,false)*HLOOKUP($K1922,'Type Chart'!$C$2:$U$20,2,false)</f>
        <v>1</v>
      </c>
      <c r="V1922" s="960">
        <f t="array" ref="V1922">HLOOKUP($J1922,'Type Chart'!$C$2:$T$20,3,false)*HLOOKUP($K1922,'Type Chart'!$C$2:$U$20,3,false)</f>
        <v>1</v>
      </c>
      <c r="W1922" s="960">
        <f t="array" ref="W1922">HLOOKUP($J1922,'Type Chart'!$C$2:$T$20,4,false)*HLOOKUP($K1922,'Type Chart'!$C$2:$U$20,4,false)</f>
        <v>1</v>
      </c>
      <c r="X1922" s="960">
        <f t="array" ref="X1922">HLOOKUP($J1922,'Type Chart'!$C$2:$T$20,5,false)*HLOOKUP($K1922,'Type Chart'!$C$2:$U$20,5,false)</f>
        <v>1</v>
      </c>
      <c r="Y1922" s="960">
        <f t="array" ref="Y1922">HLOOKUP($J1922,'Type Chart'!$C$2:$T$20,6,false)*HLOOKUP($K1922,'Type Chart'!$C$2:$U$20,6,false)</f>
        <v>2</v>
      </c>
      <c r="Z1922" s="960">
        <f t="array" ref="Z1922">HLOOKUP($J1922,'Type Chart'!$C$2:$T$20,7,false)*HLOOKUP($K1922,'Type Chart'!$C$2:$U$20,7,false)</f>
        <v>2</v>
      </c>
      <c r="AA1922" s="960">
        <f t="array" ref="AA1922">HLOOKUP($J1922,'Type Chart'!$C$2:$T$20,8,false)*HLOOKUP($K1922,'Type Chart'!$C$2:$U$20,8,false)</f>
        <v>0.5</v>
      </c>
      <c r="AB1922" s="960">
        <f t="array" ref="AB1922">HLOOKUP($J1922,'Type Chart'!$C$2:$T$20,9,false)*HLOOKUP($K1922,'Type Chart'!$C$2:$U$20,9,false)</f>
        <v>1</v>
      </c>
      <c r="AC1922" s="960">
        <f t="array" ref="AC1922">HLOOKUP($J1922,'Type Chart'!$C$2:$T$20,10,false)*HLOOKUP($K1922,'Type Chart'!$C$2:$U$20,10,false)</f>
        <v>0.5</v>
      </c>
      <c r="AD1922" s="960">
        <f t="array" ref="AD1922">HLOOKUP($J1922,'Type Chart'!$C$2:$T$20,11,false)*HLOOKUP($K1922,'Type Chart'!$C$2:$U$20,11,false)</f>
        <v>0.5</v>
      </c>
      <c r="AE1922" s="960">
        <f t="array" ref="AE1922">HLOOKUP($J1922,'Type Chart'!$C$2:$T$20,12,false)*HLOOKUP($K1922,'Type Chart'!$C$2:$U$20,12,false)</f>
        <v>2</v>
      </c>
      <c r="AF1922" s="960">
        <f t="array" ref="AF1922">HLOOKUP($J1922,'Type Chart'!$C$2:$T$20,13,false)*HLOOKUP($K1922,'Type Chart'!$C$2:$U$20,13,false)</f>
        <v>0.5</v>
      </c>
      <c r="AG1922" s="960">
        <f t="array" ref="AG1922">HLOOKUP($J1922,'Type Chart'!$C$2:$T$20,14,false)*HLOOKUP($K1922,'Type Chart'!$C$2:$U$20,14,false)</f>
        <v>1</v>
      </c>
      <c r="AH1922" s="960">
        <f t="array" ref="AH1922">HLOOKUP($J1922,'Type Chart'!$C$2:$T$20,15,false)*HLOOKUP($K1922,'Type Chart'!$C$2:$U$20,15,false)</f>
        <v>1</v>
      </c>
      <c r="AI1922" s="960">
        <f t="array" ref="AI1922">HLOOKUP($J1922,'Type Chart'!$C$2:$T$20,16,false)*HLOOKUP($K1922,'Type Chart'!$C$2:$U$20,16,false)</f>
        <v>0.5</v>
      </c>
      <c r="AJ1922" s="960">
        <f t="array" ref="AJ1922">HLOOKUP($J1922,'Type Chart'!$C$2:$T$20,17,false)*HLOOKUP($K1922,'Type Chart'!$C$2:$U$20,17,false)</f>
        <v>1</v>
      </c>
      <c r="AK1922" s="960">
        <f t="array" ref="AK1922">HLOOKUP($J1922,'Type Chart'!$C$2:$T$20,18,false)*HLOOKUP($K1922,'Type Chart'!$C$2:$U$20,18,false)</f>
        <v>1</v>
      </c>
      <c r="AL1922" s="960">
        <f t="array" ref="AL1922">HLOOKUP($J1922,'Type Chart'!$C$2:$T$20,19,false)*HLOOKUP($K1922,'Type Chart'!$C$2:$U$20,19,false)</f>
        <v>0.5</v>
      </c>
      <c r="AM1922" s="964" t="s">
        <v>1044</v>
      </c>
      <c r="AN1922" s="965"/>
      <c r="AO1922" s="966" t="s">
        <v>830</v>
      </c>
      <c r="AP1922" s="936"/>
      <c r="AQ1922" s="1245"/>
      <c r="AR1922" s="1245"/>
      <c r="AS1922" s="936"/>
    </row>
    <row r="1923" ht="15.75" customHeight="1">
      <c r="A1923" s="1099"/>
      <c r="B1923" s="948" t="s">
        <v>2838</v>
      </c>
      <c r="C1923" s="1197" t="s">
        <v>2839</v>
      </c>
      <c r="D1923" s="1197" t="s">
        <v>2839</v>
      </c>
      <c r="E1923" s="1147" t="s">
        <v>2839</v>
      </c>
      <c r="F1923" s="940"/>
      <c r="G1923" s="953"/>
      <c r="H1923" s="969"/>
      <c r="I1923" s="998" t="s">
        <v>5023</v>
      </c>
      <c r="J1923" s="1056" t="s">
        <v>81</v>
      </c>
      <c r="K1923" s="984" t="s">
        <v>216</v>
      </c>
      <c r="L1923" s="959">
        <v>50.0</v>
      </c>
      <c r="M1923" s="960">
        <v>53.0</v>
      </c>
      <c r="N1923" s="960">
        <v>48.0</v>
      </c>
      <c r="O1923" s="960">
        <v>53.0</v>
      </c>
      <c r="P1923" s="960">
        <v>48.0</v>
      </c>
      <c r="Q1923" s="960">
        <v>64.0</v>
      </c>
      <c r="R1923" s="960">
        <v>164.0</v>
      </c>
      <c r="S1923" s="960">
        <v>227.0</v>
      </c>
      <c r="T1923" s="960">
        <v>249.0</v>
      </c>
      <c r="U1923" s="960">
        <f t="array" ref="U1923">HLOOKUP($J1923,'Type Chart'!$C$2:$T$20,2,false)*HLOOKUP($K1923,'Type Chart'!$C$2:$U$20,2,false)</f>
        <v>1</v>
      </c>
      <c r="V1923" s="960">
        <f t="array" ref="V1923">HLOOKUP($J1923,'Type Chart'!$C$2:$T$20,3,false)*HLOOKUP($K1923,'Type Chart'!$C$2:$U$20,3,false)</f>
        <v>1</v>
      </c>
      <c r="W1923" s="960">
        <f t="array" ref="W1923">HLOOKUP($J1923,'Type Chart'!$C$2:$T$20,4,false)*HLOOKUP($K1923,'Type Chart'!$C$2:$U$20,4,false)</f>
        <v>1</v>
      </c>
      <c r="X1923" s="960">
        <f t="array" ref="X1923">HLOOKUP($J1923,'Type Chart'!$C$2:$T$20,5,false)*HLOOKUP($K1923,'Type Chart'!$C$2:$U$20,5,false)</f>
        <v>1</v>
      </c>
      <c r="Y1923" s="960">
        <f t="array" ref="Y1923">HLOOKUP($J1923,'Type Chart'!$C$2:$T$20,6,false)*HLOOKUP($K1923,'Type Chart'!$C$2:$U$20,6,false)</f>
        <v>1</v>
      </c>
      <c r="Z1923" s="960">
        <f t="array" ref="Z1923">HLOOKUP($J1923,'Type Chart'!$C$2:$T$20,7,false)*HLOOKUP($K1923,'Type Chart'!$C$2:$U$20,7,false)</f>
        <v>1</v>
      </c>
      <c r="AA1923" s="960">
        <f t="array" ref="AA1923">HLOOKUP($J1923,'Type Chart'!$C$2:$T$20,8,false)*HLOOKUP($K1923,'Type Chart'!$C$2:$U$20,8,false)</f>
        <v>1</v>
      </c>
      <c r="AB1923" s="960">
        <f t="array" ref="AB1923">HLOOKUP($J1923,'Type Chart'!$C$2:$T$20,9,false)*HLOOKUP($K1923,'Type Chart'!$C$2:$U$20,9,false)</f>
        <v>1</v>
      </c>
      <c r="AC1923" s="960">
        <f t="array" ref="AC1923">HLOOKUP($J1923,'Type Chart'!$C$2:$T$20,10,false)*HLOOKUP($K1923,'Type Chart'!$C$2:$U$20,10,false)</f>
        <v>0.5</v>
      </c>
      <c r="AD1923" s="960">
        <f t="array" ref="AD1923">HLOOKUP($J1923,'Type Chart'!$C$2:$T$20,11,false)*HLOOKUP($K1923,'Type Chart'!$C$2:$U$20,11,false)</f>
        <v>0.5</v>
      </c>
      <c r="AE1923" s="960">
        <f t="array" ref="AE1923">HLOOKUP($J1923,'Type Chart'!$C$2:$T$20,12,false)*HLOOKUP($K1923,'Type Chart'!$C$2:$U$20,12,false)</f>
        <v>0.5</v>
      </c>
      <c r="AF1923" s="960">
        <f t="array" ref="AF1923">HLOOKUP($J1923,'Type Chart'!$C$2:$T$20,13,false)*HLOOKUP($K1923,'Type Chart'!$C$2:$U$20,13,false)</f>
        <v>2</v>
      </c>
      <c r="AG1923" s="960">
        <f t="array" ref="AG1923">HLOOKUP($J1923,'Type Chart'!$C$2:$T$20,14,false)*HLOOKUP($K1923,'Type Chart'!$C$2:$U$20,14,false)</f>
        <v>2</v>
      </c>
      <c r="AH1923" s="960">
        <f t="array" ref="AH1923">HLOOKUP($J1923,'Type Chart'!$C$2:$T$20,15,false)*HLOOKUP($K1923,'Type Chart'!$C$2:$U$20,15,false)</f>
        <v>1</v>
      </c>
      <c r="AI1923" s="960">
        <f t="array" ref="AI1923">HLOOKUP($J1923,'Type Chart'!$C$2:$T$20,16,false)*HLOOKUP($K1923,'Type Chart'!$C$2:$U$20,16,false)</f>
        <v>0.5</v>
      </c>
      <c r="AJ1923" s="960">
        <f t="array" ref="AJ1923">HLOOKUP($J1923,'Type Chart'!$C$2:$T$20,17,false)*HLOOKUP($K1923,'Type Chart'!$C$2:$U$20,17,false)</f>
        <v>1</v>
      </c>
      <c r="AK1923" s="960">
        <f t="array" ref="AK1923">HLOOKUP($J1923,'Type Chart'!$C$2:$T$20,18,false)*HLOOKUP($K1923,'Type Chart'!$C$2:$U$20,18,false)</f>
        <v>1</v>
      </c>
      <c r="AL1923" s="960">
        <f t="array" ref="AL1923">HLOOKUP($J1923,'Type Chart'!$C$2:$T$20,19,false)*HLOOKUP($K1923,'Type Chart'!$C$2:$U$20,19,false)</f>
        <v>1</v>
      </c>
      <c r="AM1923" s="964" t="s">
        <v>1044</v>
      </c>
      <c r="AN1923" s="965"/>
      <c r="AO1923" s="966" t="s">
        <v>959</v>
      </c>
      <c r="AP1923" s="936"/>
      <c r="AQ1923" s="1245"/>
      <c r="AR1923" s="1245"/>
      <c r="AS1923" s="936"/>
    </row>
    <row r="1924" ht="15.75" customHeight="1">
      <c r="A1924" s="1099"/>
      <c r="B1924" s="948" t="s">
        <v>2841</v>
      </c>
      <c r="C1924" s="1197" t="s">
        <v>2842</v>
      </c>
      <c r="D1924" s="1197" t="s">
        <v>2842</v>
      </c>
      <c r="E1924" s="1147" t="s">
        <v>2842</v>
      </c>
      <c r="F1924" s="940"/>
      <c r="G1924" s="953"/>
      <c r="H1924" s="969"/>
      <c r="I1924" s="998" t="s">
        <v>5024</v>
      </c>
      <c r="J1924" s="1056" t="s">
        <v>81</v>
      </c>
      <c r="K1924" s="984" t="s">
        <v>216</v>
      </c>
      <c r="L1924" s="959">
        <v>75.0</v>
      </c>
      <c r="M1924" s="960">
        <v>98.0</v>
      </c>
      <c r="N1924" s="960">
        <v>63.0</v>
      </c>
      <c r="O1924" s="960">
        <v>98.0</v>
      </c>
      <c r="P1924" s="960">
        <v>63.0</v>
      </c>
      <c r="Q1924" s="960">
        <v>101.0</v>
      </c>
      <c r="R1924" s="960">
        <v>238.0</v>
      </c>
      <c r="S1924" s="960">
        <v>301.0</v>
      </c>
      <c r="T1924" s="960">
        <v>331.0</v>
      </c>
      <c r="U1924" s="960">
        <f t="array" ref="U1924">HLOOKUP($J1924,'Type Chart'!$C$2:$T$20,2,false)*HLOOKUP($K1924,'Type Chart'!$C$2:$U$20,2,false)</f>
        <v>1</v>
      </c>
      <c r="V1924" s="960">
        <f t="array" ref="V1924">HLOOKUP($J1924,'Type Chart'!$C$2:$T$20,3,false)*HLOOKUP($K1924,'Type Chart'!$C$2:$U$20,3,false)</f>
        <v>1</v>
      </c>
      <c r="W1924" s="960">
        <f t="array" ref="W1924">HLOOKUP($J1924,'Type Chart'!$C$2:$T$20,4,false)*HLOOKUP($K1924,'Type Chart'!$C$2:$U$20,4,false)</f>
        <v>1</v>
      </c>
      <c r="X1924" s="960">
        <f t="array" ref="X1924">HLOOKUP($J1924,'Type Chart'!$C$2:$T$20,5,false)*HLOOKUP($K1924,'Type Chart'!$C$2:$U$20,5,false)</f>
        <v>1</v>
      </c>
      <c r="Y1924" s="960">
        <f t="array" ref="Y1924">HLOOKUP($J1924,'Type Chart'!$C$2:$T$20,6,false)*HLOOKUP($K1924,'Type Chart'!$C$2:$U$20,6,false)</f>
        <v>1</v>
      </c>
      <c r="Z1924" s="960">
        <f t="array" ref="Z1924">HLOOKUP($J1924,'Type Chart'!$C$2:$T$20,7,false)*HLOOKUP($K1924,'Type Chart'!$C$2:$U$20,7,false)</f>
        <v>1</v>
      </c>
      <c r="AA1924" s="960">
        <f t="array" ref="AA1924">HLOOKUP($J1924,'Type Chart'!$C$2:$T$20,8,false)*HLOOKUP($K1924,'Type Chart'!$C$2:$U$20,8,false)</f>
        <v>1</v>
      </c>
      <c r="AB1924" s="960">
        <f t="array" ref="AB1924">HLOOKUP($J1924,'Type Chart'!$C$2:$T$20,9,false)*HLOOKUP($K1924,'Type Chart'!$C$2:$U$20,9,false)</f>
        <v>1</v>
      </c>
      <c r="AC1924" s="960">
        <f t="array" ref="AC1924">HLOOKUP($J1924,'Type Chart'!$C$2:$T$20,10,false)*HLOOKUP($K1924,'Type Chart'!$C$2:$U$20,10,false)</f>
        <v>0.5</v>
      </c>
      <c r="AD1924" s="960">
        <f t="array" ref="AD1924">HLOOKUP($J1924,'Type Chart'!$C$2:$T$20,11,false)*HLOOKUP($K1924,'Type Chart'!$C$2:$U$20,11,false)</f>
        <v>0.5</v>
      </c>
      <c r="AE1924" s="960">
        <f t="array" ref="AE1924">HLOOKUP($J1924,'Type Chart'!$C$2:$T$20,12,false)*HLOOKUP($K1924,'Type Chart'!$C$2:$U$20,12,false)</f>
        <v>0.5</v>
      </c>
      <c r="AF1924" s="960">
        <f t="array" ref="AF1924">HLOOKUP($J1924,'Type Chart'!$C$2:$T$20,13,false)*HLOOKUP($K1924,'Type Chart'!$C$2:$U$20,13,false)</f>
        <v>2</v>
      </c>
      <c r="AG1924" s="960">
        <f t="array" ref="AG1924">HLOOKUP($J1924,'Type Chart'!$C$2:$T$20,14,false)*HLOOKUP($K1924,'Type Chart'!$C$2:$U$20,14,false)</f>
        <v>2</v>
      </c>
      <c r="AH1924" s="960">
        <f t="array" ref="AH1924">HLOOKUP($J1924,'Type Chart'!$C$2:$T$20,15,false)*HLOOKUP($K1924,'Type Chart'!$C$2:$U$20,15,false)</f>
        <v>1</v>
      </c>
      <c r="AI1924" s="960">
        <f t="array" ref="AI1924">HLOOKUP($J1924,'Type Chart'!$C$2:$T$20,16,false)*HLOOKUP($K1924,'Type Chart'!$C$2:$U$20,16,false)</f>
        <v>0.5</v>
      </c>
      <c r="AJ1924" s="960">
        <f t="array" ref="AJ1924">HLOOKUP($J1924,'Type Chart'!$C$2:$T$20,17,false)*HLOOKUP($K1924,'Type Chart'!$C$2:$U$20,17,false)</f>
        <v>1</v>
      </c>
      <c r="AK1924" s="960">
        <f t="array" ref="AK1924">HLOOKUP($J1924,'Type Chart'!$C$2:$T$20,18,false)*HLOOKUP($K1924,'Type Chart'!$C$2:$U$20,18,false)</f>
        <v>1</v>
      </c>
      <c r="AL1924" s="960">
        <f t="array" ref="AL1924">HLOOKUP($J1924,'Type Chart'!$C$2:$T$20,19,false)*HLOOKUP($K1924,'Type Chart'!$C$2:$U$20,19,false)</f>
        <v>1</v>
      </c>
      <c r="AM1924" s="964" t="s">
        <v>1044</v>
      </c>
      <c r="AN1924" s="965"/>
      <c r="AO1924" s="966" t="s">
        <v>959</v>
      </c>
      <c r="AP1924" s="936"/>
      <c r="AQ1924" s="1245"/>
      <c r="AR1924" s="1245"/>
      <c r="AS1924" s="936"/>
    </row>
    <row r="1925" ht="15.75" customHeight="1">
      <c r="A1925" s="1099"/>
      <c r="B1925" s="948" t="s">
        <v>2844</v>
      </c>
      <c r="C1925" s="1197" t="s">
        <v>2845</v>
      </c>
      <c r="D1925" s="1197" t="s">
        <v>2845</v>
      </c>
      <c r="E1925" s="1147" t="s">
        <v>2845</v>
      </c>
      <c r="F1925" s="940"/>
      <c r="G1925" s="953"/>
      <c r="H1925" s="969"/>
      <c r="I1925" s="998" t="s">
        <v>5025</v>
      </c>
      <c r="J1925" s="1203" t="s">
        <v>344</v>
      </c>
      <c r="K1925" s="984" t="s">
        <v>216</v>
      </c>
      <c r="L1925" s="959">
        <v>76.0</v>
      </c>
      <c r="M1925" s="960">
        <v>25.0</v>
      </c>
      <c r="N1925" s="960">
        <v>45.0</v>
      </c>
      <c r="O1925" s="960">
        <v>67.0</v>
      </c>
      <c r="P1925" s="960">
        <v>55.0</v>
      </c>
      <c r="Q1925" s="960">
        <v>24.0</v>
      </c>
      <c r="R1925" s="960">
        <v>84.0</v>
      </c>
      <c r="S1925" s="960">
        <v>147.0</v>
      </c>
      <c r="T1925" s="960">
        <v>161.0</v>
      </c>
      <c r="U1925" s="960">
        <f t="array" ref="U1925">HLOOKUP($J1925,'Type Chart'!$C$2:$T$20,2,false)*HLOOKUP($K1925,'Type Chart'!$C$2:$U$20,2,false)</f>
        <v>1</v>
      </c>
      <c r="V1925" s="960">
        <f t="array" ref="V1925">HLOOKUP($J1925,'Type Chart'!$C$2:$T$20,3,false)*HLOOKUP($K1925,'Type Chart'!$C$2:$U$20,3,false)</f>
        <v>0.5</v>
      </c>
      <c r="W1925" s="960">
        <f t="array" ref="W1925">HLOOKUP($J1925,'Type Chart'!$C$2:$T$20,4,false)*HLOOKUP($K1925,'Type Chart'!$C$2:$U$20,4,false)</f>
        <v>1</v>
      </c>
      <c r="X1925" s="960">
        <f t="array" ref="X1925">HLOOKUP($J1925,'Type Chart'!$C$2:$T$20,5,false)*HLOOKUP($K1925,'Type Chart'!$C$2:$U$20,5,false)</f>
        <v>1</v>
      </c>
      <c r="Y1925" s="960">
        <f t="array" ref="Y1925">HLOOKUP($J1925,'Type Chart'!$C$2:$T$20,6,false)*HLOOKUP($K1925,'Type Chart'!$C$2:$U$20,6,false)</f>
        <v>1</v>
      </c>
      <c r="Z1925" s="960">
        <f t="array" ref="Z1925">HLOOKUP($J1925,'Type Chart'!$C$2:$T$20,7,false)*HLOOKUP($K1925,'Type Chart'!$C$2:$U$20,7,false)</f>
        <v>1</v>
      </c>
      <c r="AA1925" s="960">
        <f t="array" ref="AA1925">HLOOKUP($J1925,'Type Chart'!$C$2:$T$20,8,false)*HLOOKUP($K1925,'Type Chart'!$C$2:$U$20,8,false)</f>
        <v>2</v>
      </c>
      <c r="AB1925" s="960">
        <f t="array" ref="AB1925">HLOOKUP($J1925,'Type Chart'!$C$2:$T$20,9,false)*HLOOKUP($K1925,'Type Chart'!$C$2:$U$20,9,false)</f>
        <v>2</v>
      </c>
      <c r="AC1925" s="960">
        <f t="array" ref="AC1925">HLOOKUP($J1925,'Type Chart'!$C$2:$T$20,10,false)*HLOOKUP($K1925,'Type Chart'!$C$2:$U$20,10,false)</f>
        <v>1</v>
      </c>
      <c r="AD1925" s="960">
        <f t="array" ref="AD1925">HLOOKUP($J1925,'Type Chart'!$C$2:$T$20,11,false)*HLOOKUP($K1925,'Type Chart'!$C$2:$U$20,11,false)</f>
        <v>1</v>
      </c>
      <c r="AE1925" s="960">
        <f t="array" ref="AE1925">HLOOKUP($J1925,'Type Chart'!$C$2:$T$20,12,false)*HLOOKUP($K1925,'Type Chart'!$C$2:$U$20,12,false)</f>
        <v>1</v>
      </c>
      <c r="AF1925" s="960">
        <f t="array" ref="AF1925">HLOOKUP($J1925,'Type Chart'!$C$2:$T$20,13,false)*HLOOKUP($K1925,'Type Chart'!$C$2:$U$20,13,false)</f>
        <v>1</v>
      </c>
      <c r="AG1925" s="960">
        <f t="array" ref="AG1925">HLOOKUP($J1925,'Type Chart'!$C$2:$T$20,14,false)*HLOOKUP($K1925,'Type Chart'!$C$2:$U$20,14,false)</f>
        <v>1</v>
      </c>
      <c r="AH1925" s="960">
        <f t="array" ref="AH1925">HLOOKUP($J1925,'Type Chart'!$C$2:$T$20,15,false)*HLOOKUP($K1925,'Type Chart'!$C$2:$U$20,15,false)</f>
        <v>0.5</v>
      </c>
      <c r="AI1925" s="960">
        <f t="array" ref="AI1925">HLOOKUP($J1925,'Type Chart'!$C$2:$T$20,16,false)*HLOOKUP($K1925,'Type Chart'!$C$2:$U$20,16,false)</f>
        <v>1</v>
      </c>
      <c r="AJ1925" s="960">
        <f t="array" ref="AJ1925">HLOOKUP($J1925,'Type Chart'!$C$2:$T$20,17,false)*HLOOKUP($K1925,'Type Chart'!$C$2:$U$20,17,false)</f>
        <v>1</v>
      </c>
      <c r="AK1925" s="960">
        <f t="array" ref="AK1925">HLOOKUP($J1925,'Type Chart'!$C$2:$T$20,18,false)*HLOOKUP($K1925,'Type Chart'!$C$2:$U$20,18,false)</f>
        <v>2</v>
      </c>
      <c r="AL1925" s="960">
        <f t="array" ref="AL1925">HLOOKUP($J1925,'Type Chart'!$C$2:$T$20,19,false)*HLOOKUP($K1925,'Type Chart'!$C$2:$U$20,19,false)</f>
        <v>1</v>
      </c>
      <c r="AM1925" s="964" t="s">
        <v>1455</v>
      </c>
      <c r="AN1925" s="965" t="s">
        <v>1292</v>
      </c>
      <c r="AO1925" s="966" t="s">
        <v>1828</v>
      </c>
      <c r="AP1925" s="936"/>
      <c r="AQ1925" s="1245"/>
      <c r="AR1925" s="1245"/>
      <c r="AS1925" s="936"/>
    </row>
    <row r="1926" ht="15.75" customHeight="1">
      <c r="A1926" s="1099"/>
      <c r="B1926" s="948" t="s">
        <v>2847</v>
      </c>
      <c r="C1926" s="1197" t="s">
        <v>2848</v>
      </c>
      <c r="D1926" s="1197" t="s">
        <v>2848</v>
      </c>
      <c r="E1926" s="1147" t="s">
        <v>2848</v>
      </c>
      <c r="F1926" s="940"/>
      <c r="G1926" s="953"/>
      <c r="H1926" s="969"/>
      <c r="I1926" s="998" t="s">
        <v>5026</v>
      </c>
      <c r="J1926" s="1203" t="s">
        <v>344</v>
      </c>
      <c r="K1926" s="984" t="s">
        <v>216</v>
      </c>
      <c r="L1926" s="959">
        <v>116.0</v>
      </c>
      <c r="M1926" s="960">
        <v>55.0</v>
      </c>
      <c r="N1926" s="960">
        <v>85.0</v>
      </c>
      <c r="O1926" s="960">
        <v>107.0</v>
      </c>
      <c r="P1926" s="960">
        <v>95.0</v>
      </c>
      <c r="Q1926" s="960">
        <v>29.0</v>
      </c>
      <c r="R1926" s="960">
        <v>94.0</v>
      </c>
      <c r="S1926" s="960">
        <v>157.0</v>
      </c>
      <c r="T1926" s="960">
        <v>172.0</v>
      </c>
      <c r="U1926" s="960">
        <f t="array" ref="U1926">HLOOKUP($J1926,'Type Chart'!$C$2:$T$20,2,false)*HLOOKUP($K1926,'Type Chart'!$C$2:$U$20,2,false)</f>
        <v>1</v>
      </c>
      <c r="V1926" s="960">
        <f t="array" ref="V1926">HLOOKUP($J1926,'Type Chart'!$C$2:$T$20,3,false)*HLOOKUP($K1926,'Type Chart'!$C$2:$U$20,3,false)</f>
        <v>0.5</v>
      </c>
      <c r="W1926" s="960">
        <f t="array" ref="W1926">HLOOKUP($J1926,'Type Chart'!$C$2:$T$20,4,false)*HLOOKUP($K1926,'Type Chart'!$C$2:$U$20,4,false)</f>
        <v>1</v>
      </c>
      <c r="X1926" s="960">
        <f t="array" ref="X1926">HLOOKUP($J1926,'Type Chart'!$C$2:$T$20,5,false)*HLOOKUP($K1926,'Type Chart'!$C$2:$U$20,5,false)</f>
        <v>1</v>
      </c>
      <c r="Y1926" s="960">
        <f t="array" ref="Y1926">HLOOKUP($J1926,'Type Chart'!$C$2:$T$20,6,false)*HLOOKUP($K1926,'Type Chart'!$C$2:$U$20,6,false)</f>
        <v>1</v>
      </c>
      <c r="Z1926" s="960">
        <f t="array" ref="Z1926">HLOOKUP($J1926,'Type Chart'!$C$2:$T$20,7,false)*HLOOKUP($K1926,'Type Chart'!$C$2:$U$20,7,false)</f>
        <v>1</v>
      </c>
      <c r="AA1926" s="960">
        <f t="array" ref="AA1926">HLOOKUP($J1926,'Type Chart'!$C$2:$T$20,8,false)*HLOOKUP($K1926,'Type Chart'!$C$2:$U$20,8,false)</f>
        <v>2</v>
      </c>
      <c r="AB1926" s="960">
        <f t="array" ref="AB1926">HLOOKUP($J1926,'Type Chart'!$C$2:$T$20,9,false)*HLOOKUP($K1926,'Type Chart'!$C$2:$U$20,9,false)</f>
        <v>2</v>
      </c>
      <c r="AC1926" s="960">
        <f t="array" ref="AC1926">HLOOKUP($J1926,'Type Chart'!$C$2:$T$20,10,false)*HLOOKUP($K1926,'Type Chart'!$C$2:$U$20,10,false)</f>
        <v>1</v>
      </c>
      <c r="AD1926" s="960">
        <f t="array" ref="AD1926">HLOOKUP($J1926,'Type Chart'!$C$2:$T$20,11,false)*HLOOKUP($K1926,'Type Chart'!$C$2:$U$20,11,false)</f>
        <v>1</v>
      </c>
      <c r="AE1926" s="960">
        <f t="array" ref="AE1926">HLOOKUP($J1926,'Type Chart'!$C$2:$T$20,12,false)*HLOOKUP($K1926,'Type Chart'!$C$2:$U$20,12,false)</f>
        <v>1</v>
      </c>
      <c r="AF1926" s="960">
        <f t="array" ref="AF1926">HLOOKUP($J1926,'Type Chart'!$C$2:$T$20,13,false)*HLOOKUP($K1926,'Type Chart'!$C$2:$U$20,13,false)</f>
        <v>1</v>
      </c>
      <c r="AG1926" s="960">
        <f t="array" ref="AG1926">HLOOKUP($J1926,'Type Chart'!$C$2:$T$20,14,false)*HLOOKUP($K1926,'Type Chart'!$C$2:$U$20,14,false)</f>
        <v>1</v>
      </c>
      <c r="AH1926" s="960">
        <f t="array" ref="AH1926">HLOOKUP($J1926,'Type Chart'!$C$2:$T$20,15,false)*HLOOKUP($K1926,'Type Chart'!$C$2:$U$20,15,false)</f>
        <v>0.5</v>
      </c>
      <c r="AI1926" s="960">
        <f t="array" ref="AI1926">HLOOKUP($J1926,'Type Chart'!$C$2:$T$20,16,false)*HLOOKUP($K1926,'Type Chart'!$C$2:$U$20,16,false)</f>
        <v>1</v>
      </c>
      <c r="AJ1926" s="960">
        <f t="array" ref="AJ1926">HLOOKUP($J1926,'Type Chart'!$C$2:$T$20,17,false)*HLOOKUP($K1926,'Type Chart'!$C$2:$U$20,17,false)</f>
        <v>1</v>
      </c>
      <c r="AK1926" s="960">
        <f t="array" ref="AK1926">HLOOKUP($J1926,'Type Chart'!$C$2:$T$20,18,false)*HLOOKUP($K1926,'Type Chart'!$C$2:$U$20,18,false)</f>
        <v>2</v>
      </c>
      <c r="AL1926" s="960">
        <f t="array" ref="AL1926">HLOOKUP($J1926,'Type Chart'!$C$2:$T$20,19,false)*HLOOKUP($K1926,'Type Chart'!$C$2:$U$20,19,false)</f>
        <v>1</v>
      </c>
      <c r="AM1926" s="964" t="s">
        <v>1455</v>
      </c>
      <c r="AN1926" s="965" t="s">
        <v>1292</v>
      </c>
      <c r="AO1926" s="966" t="s">
        <v>1828</v>
      </c>
      <c r="AP1926" s="936"/>
      <c r="AQ1926" s="1245"/>
      <c r="AR1926" s="1245"/>
      <c r="AS1926" s="936"/>
    </row>
    <row r="1927" ht="15.75" customHeight="1">
      <c r="A1927" s="1099"/>
      <c r="B1927" s="948" t="s">
        <v>2850</v>
      </c>
      <c r="C1927" s="1197" t="s">
        <v>2851</v>
      </c>
      <c r="D1927" s="1197" t="s">
        <v>2851</v>
      </c>
      <c r="E1927" s="1147" t="s">
        <v>2851</v>
      </c>
      <c r="F1927" s="940"/>
      <c r="G1927" s="953"/>
      <c r="H1927" s="969"/>
      <c r="I1927" s="998" t="s">
        <v>5027</v>
      </c>
      <c r="J1927" s="1194" t="s">
        <v>136</v>
      </c>
      <c r="K1927" s="1001" t="s">
        <v>128</v>
      </c>
      <c r="L1927" s="959">
        <v>50.0</v>
      </c>
      <c r="M1927" s="960">
        <v>55.0</v>
      </c>
      <c r="N1927" s="960">
        <v>50.0</v>
      </c>
      <c r="O1927" s="960">
        <v>36.0</v>
      </c>
      <c r="P1927" s="960">
        <v>30.0</v>
      </c>
      <c r="Q1927" s="960">
        <v>43.0</v>
      </c>
      <c r="R1927" s="960">
        <v>122.0</v>
      </c>
      <c r="S1927" s="960">
        <v>185.0</v>
      </c>
      <c r="T1927" s="960">
        <v>203.0</v>
      </c>
      <c r="U1927" s="960">
        <f t="array" ref="U1927">HLOOKUP($J1927,'Type Chart'!$C$2:$T$20,2,false)*HLOOKUP($K1927,'Type Chart'!$C$2:$U$20,2,false)</f>
        <v>1</v>
      </c>
      <c r="V1927" s="960">
        <f t="array" ref="V1927">HLOOKUP($J1927,'Type Chart'!$C$2:$T$20,3,false)*HLOOKUP($K1927,'Type Chart'!$C$2:$U$20,3,false)</f>
        <v>1</v>
      </c>
      <c r="W1927" s="960">
        <f t="array" ref="W1927">HLOOKUP($J1927,'Type Chart'!$C$2:$T$20,4,false)*HLOOKUP($K1927,'Type Chart'!$C$2:$U$20,4,false)</f>
        <v>1</v>
      </c>
      <c r="X1927" s="960">
        <f t="array" ref="X1927">HLOOKUP($J1927,'Type Chart'!$C$2:$T$20,5,false)*HLOOKUP($K1927,'Type Chart'!$C$2:$U$20,5,false)</f>
        <v>1</v>
      </c>
      <c r="Y1927" s="960">
        <f t="array" ref="Y1927">HLOOKUP($J1927,'Type Chart'!$C$2:$T$20,6,false)*HLOOKUP($K1927,'Type Chart'!$C$2:$U$20,6,false)</f>
        <v>0</v>
      </c>
      <c r="Z1927" s="960">
        <f t="array" ref="Z1927">HLOOKUP($J1927,'Type Chart'!$C$2:$T$20,7,false)*HLOOKUP($K1927,'Type Chart'!$C$2:$U$20,7,false)</f>
        <v>2</v>
      </c>
      <c r="AA1927" s="960">
        <f t="array" ref="AA1927">HLOOKUP($J1927,'Type Chart'!$C$2:$T$20,8,false)*HLOOKUP($K1927,'Type Chart'!$C$2:$U$20,8,false)</f>
        <v>0.5</v>
      </c>
      <c r="AB1927" s="960">
        <f t="array" ref="AB1927">HLOOKUP($J1927,'Type Chart'!$C$2:$T$20,9,false)*HLOOKUP($K1927,'Type Chart'!$C$2:$U$20,9,false)</f>
        <v>0</v>
      </c>
      <c r="AC1927" s="960">
        <f t="array" ref="AC1927">HLOOKUP($J1927,'Type Chart'!$C$2:$T$20,10,false)*HLOOKUP($K1927,'Type Chart'!$C$2:$U$20,10,false)</f>
        <v>1</v>
      </c>
      <c r="AD1927" s="960">
        <f t="array" ref="AD1927">HLOOKUP($J1927,'Type Chart'!$C$2:$T$20,11,false)*HLOOKUP($K1927,'Type Chart'!$C$2:$U$20,11,false)</f>
        <v>1</v>
      </c>
      <c r="AE1927" s="960">
        <f t="array" ref="AE1927">HLOOKUP($J1927,'Type Chart'!$C$2:$T$20,12,false)*HLOOKUP($K1927,'Type Chart'!$C$2:$U$20,12,false)</f>
        <v>1</v>
      </c>
      <c r="AF1927" s="960">
        <f t="array" ref="AF1927">HLOOKUP($J1927,'Type Chart'!$C$2:$T$20,13,false)*HLOOKUP($K1927,'Type Chart'!$C$2:$U$20,13,false)</f>
        <v>0.5</v>
      </c>
      <c r="AG1927" s="960">
        <f t="array" ref="AG1927">HLOOKUP($J1927,'Type Chart'!$C$2:$T$20,14,false)*HLOOKUP($K1927,'Type Chart'!$C$2:$U$20,14,false)</f>
        <v>2</v>
      </c>
      <c r="AH1927" s="960">
        <f t="array" ref="AH1927">HLOOKUP($J1927,'Type Chart'!$C$2:$T$20,15,false)*HLOOKUP($K1927,'Type Chart'!$C$2:$U$20,15,false)</f>
        <v>1</v>
      </c>
      <c r="AI1927" s="960">
        <f t="array" ref="AI1927">HLOOKUP($J1927,'Type Chart'!$C$2:$T$20,16,false)*HLOOKUP($K1927,'Type Chart'!$C$2:$U$20,16,false)</f>
        <v>2</v>
      </c>
      <c r="AJ1927" s="960">
        <f t="array" ref="AJ1927">HLOOKUP($J1927,'Type Chart'!$C$2:$T$20,17,false)*HLOOKUP($K1927,'Type Chart'!$C$2:$U$20,17,false)</f>
        <v>1</v>
      </c>
      <c r="AK1927" s="960">
        <f t="array" ref="AK1927">HLOOKUP($J1927,'Type Chart'!$C$2:$T$20,18,false)*HLOOKUP($K1927,'Type Chart'!$C$2:$U$20,18,false)</f>
        <v>1</v>
      </c>
      <c r="AL1927" s="960">
        <f t="array" ref="AL1927">HLOOKUP($J1927,'Type Chart'!$C$2:$T$20,19,false)*HLOOKUP($K1927,'Type Chart'!$C$2:$U$20,19,false)</f>
        <v>1</v>
      </c>
      <c r="AM1927" s="964" t="s">
        <v>1024</v>
      </c>
      <c r="AN1927" s="965" t="s">
        <v>1745</v>
      </c>
      <c r="AO1927" s="966" t="s">
        <v>1147</v>
      </c>
      <c r="AP1927" s="936"/>
      <c r="AQ1927" s="1245"/>
      <c r="AR1927" s="1245"/>
      <c r="AS1927" s="936"/>
    </row>
    <row r="1928" ht="15.75" customHeight="1">
      <c r="A1928" s="1099"/>
      <c r="B1928" s="948" t="s">
        <v>2853</v>
      </c>
      <c r="C1928" s="1197" t="s">
        <v>2854</v>
      </c>
      <c r="D1928" s="1197" t="s">
        <v>2854</v>
      </c>
      <c r="E1928" s="1147" t="s">
        <v>2854</v>
      </c>
      <c r="F1928" s="940"/>
      <c r="G1928" s="953"/>
      <c r="H1928" s="969"/>
      <c r="I1928" s="998" t="s">
        <v>5028</v>
      </c>
      <c r="J1928" s="1194" t="s">
        <v>136</v>
      </c>
      <c r="K1928" s="1001" t="s">
        <v>128</v>
      </c>
      <c r="L1928" s="959">
        <v>62.0</v>
      </c>
      <c r="M1928" s="960">
        <v>77.0</v>
      </c>
      <c r="N1928" s="960">
        <v>62.0</v>
      </c>
      <c r="O1928" s="960">
        <v>50.0</v>
      </c>
      <c r="P1928" s="960">
        <v>42.0</v>
      </c>
      <c r="Q1928" s="960">
        <v>65.0</v>
      </c>
      <c r="R1928" s="960">
        <v>166.0</v>
      </c>
      <c r="S1928" s="960">
        <v>229.0</v>
      </c>
      <c r="T1928" s="960">
        <v>251.0</v>
      </c>
      <c r="U1928" s="960">
        <f t="array" ref="U1928">HLOOKUP($J1928,'Type Chart'!$C$2:$T$20,2,false)*HLOOKUP($K1928,'Type Chart'!$C$2:$U$20,2,false)</f>
        <v>1</v>
      </c>
      <c r="V1928" s="960">
        <f t="array" ref="V1928">HLOOKUP($J1928,'Type Chart'!$C$2:$T$20,3,false)*HLOOKUP($K1928,'Type Chart'!$C$2:$U$20,3,false)</f>
        <v>1</v>
      </c>
      <c r="W1928" s="960">
        <f t="array" ref="W1928">HLOOKUP($J1928,'Type Chart'!$C$2:$T$20,4,false)*HLOOKUP($K1928,'Type Chart'!$C$2:$U$20,4,false)</f>
        <v>1</v>
      </c>
      <c r="X1928" s="960">
        <f t="array" ref="X1928">HLOOKUP($J1928,'Type Chart'!$C$2:$T$20,5,false)*HLOOKUP($K1928,'Type Chart'!$C$2:$U$20,5,false)</f>
        <v>1</v>
      </c>
      <c r="Y1928" s="960">
        <f t="array" ref="Y1928">HLOOKUP($J1928,'Type Chart'!$C$2:$T$20,6,false)*HLOOKUP($K1928,'Type Chart'!$C$2:$U$20,6,false)</f>
        <v>0</v>
      </c>
      <c r="Z1928" s="960">
        <f t="array" ref="Z1928">HLOOKUP($J1928,'Type Chart'!$C$2:$T$20,7,false)*HLOOKUP($K1928,'Type Chart'!$C$2:$U$20,7,false)</f>
        <v>2</v>
      </c>
      <c r="AA1928" s="960">
        <f t="array" ref="AA1928">HLOOKUP($J1928,'Type Chart'!$C$2:$T$20,8,false)*HLOOKUP($K1928,'Type Chart'!$C$2:$U$20,8,false)</f>
        <v>0.5</v>
      </c>
      <c r="AB1928" s="960">
        <f t="array" ref="AB1928">HLOOKUP($J1928,'Type Chart'!$C$2:$T$20,9,false)*HLOOKUP($K1928,'Type Chart'!$C$2:$U$20,9,false)</f>
        <v>0</v>
      </c>
      <c r="AC1928" s="960">
        <f t="array" ref="AC1928">HLOOKUP($J1928,'Type Chart'!$C$2:$T$20,10,false)*HLOOKUP($K1928,'Type Chart'!$C$2:$U$20,10,false)</f>
        <v>1</v>
      </c>
      <c r="AD1928" s="960">
        <f t="array" ref="AD1928">HLOOKUP($J1928,'Type Chart'!$C$2:$T$20,11,false)*HLOOKUP($K1928,'Type Chart'!$C$2:$U$20,11,false)</f>
        <v>1</v>
      </c>
      <c r="AE1928" s="960">
        <f t="array" ref="AE1928">HLOOKUP($J1928,'Type Chart'!$C$2:$T$20,12,false)*HLOOKUP($K1928,'Type Chart'!$C$2:$U$20,12,false)</f>
        <v>1</v>
      </c>
      <c r="AF1928" s="960">
        <f t="array" ref="AF1928">HLOOKUP($J1928,'Type Chart'!$C$2:$T$20,13,false)*HLOOKUP($K1928,'Type Chart'!$C$2:$U$20,13,false)</f>
        <v>0.5</v>
      </c>
      <c r="AG1928" s="960">
        <f t="array" ref="AG1928">HLOOKUP($J1928,'Type Chart'!$C$2:$T$20,14,false)*HLOOKUP($K1928,'Type Chart'!$C$2:$U$20,14,false)</f>
        <v>2</v>
      </c>
      <c r="AH1928" s="960">
        <f t="array" ref="AH1928">HLOOKUP($J1928,'Type Chart'!$C$2:$T$20,15,false)*HLOOKUP($K1928,'Type Chart'!$C$2:$U$20,15,false)</f>
        <v>1</v>
      </c>
      <c r="AI1928" s="960">
        <f t="array" ref="AI1928">HLOOKUP($J1928,'Type Chart'!$C$2:$T$20,16,false)*HLOOKUP($K1928,'Type Chart'!$C$2:$U$20,16,false)</f>
        <v>2</v>
      </c>
      <c r="AJ1928" s="960">
        <f t="array" ref="AJ1928">HLOOKUP($J1928,'Type Chart'!$C$2:$T$20,17,false)*HLOOKUP($K1928,'Type Chart'!$C$2:$U$20,17,false)</f>
        <v>1</v>
      </c>
      <c r="AK1928" s="960">
        <f t="array" ref="AK1928">HLOOKUP($J1928,'Type Chart'!$C$2:$T$20,18,false)*HLOOKUP($K1928,'Type Chart'!$C$2:$U$20,18,false)</f>
        <v>1</v>
      </c>
      <c r="AL1928" s="960">
        <f t="array" ref="AL1928">HLOOKUP($J1928,'Type Chart'!$C$2:$T$20,19,false)*HLOOKUP($K1928,'Type Chart'!$C$2:$U$20,19,false)</f>
        <v>1</v>
      </c>
      <c r="AM1928" s="964" t="s">
        <v>1024</v>
      </c>
      <c r="AN1928" s="965" t="s">
        <v>1745</v>
      </c>
      <c r="AO1928" s="966" t="s">
        <v>1147</v>
      </c>
      <c r="AP1928" s="936"/>
      <c r="AQ1928" s="1245"/>
      <c r="AR1928" s="1245"/>
      <c r="AS1928" s="936"/>
    </row>
    <row r="1929" ht="15.75" customHeight="1">
      <c r="A1929" s="1099"/>
      <c r="B1929" s="948" t="s">
        <v>2856</v>
      </c>
      <c r="C1929" s="1197" t="s">
        <v>2857</v>
      </c>
      <c r="D1929" s="1197" t="s">
        <v>2857</v>
      </c>
      <c r="E1929" s="1147" t="s">
        <v>2857</v>
      </c>
      <c r="F1929" s="940"/>
      <c r="G1929" s="953"/>
      <c r="H1929" s="969"/>
      <c r="I1929" s="998" t="s">
        <v>5029</v>
      </c>
      <c r="J1929" s="1194" t="s">
        <v>136</v>
      </c>
      <c r="K1929" s="1001" t="s">
        <v>128</v>
      </c>
      <c r="L1929" s="959">
        <v>80.0</v>
      </c>
      <c r="M1929" s="960">
        <v>115.0</v>
      </c>
      <c r="N1929" s="960">
        <v>80.0</v>
      </c>
      <c r="O1929" s="960">
        <v>65.0</v>
      </c>
      <c r="P1929" s="960">
        <v>55.0</v>
      </c>
      <c r="Q1929" s="960">
        <v>93.0</v>
      </c>
      <c r="R1929" s="960">
        <v>222.0</v>
      </c>
      <c r="S1929" s="960">
        <v>285.0</v>
      </c>
      <c r="T1929" s="960">
        <v>313.0</v>
      </c>
      <c r="U1929" s="960">
        <f t="array" ref="U1929">HLOOKUP($J1929,'Type Chart'!$C$2:$T$20,2,false)*HLOOKUP($K1929,'Type Chart'!$C$2:$U$20,2,false)</f>
        <v>1</v>
      </c>
      <c r="V1929" s="960">
        <f t="array" ref="V1929">HLOOKUP($J1929,'Type Chart'!$C$2:$T$20,3,false)*HLOOKUP($K1929,'Type Chart'!$C$2:$U$20,3,false)</f>
        <v>1</v>
      </c>
      <c r="W1929" s="960">
        <f t="array" ref="W1929">HLOOKUP($J1929,'Type Chart'!$C$2:$T$20,4,false)*HLOOKUP($K1929,'Type Chart'!$C$2:$U$20,4,false)</f>
        <v>1</v>
      </c>
      <c r="X1929" s="960">
        <f t="array" ref="X1929">HLOOKUP($J1929,'Type Chart'!$C$2:$T$20,5,false)*HLOOKUP($K1929,'Type Chart'!$C$2:$U$20,5,false)</f>
        <v>1</v>
      </c>
      <c r="Y1929" s="960">
        <f t="array" ref="Y1929">HLOOKUP($J1929,'Type Chart'!$C$2:$T$20,6,false)*HLOOKUP($K1929,'Type Chart'!$C$2:$U$20,6,false)</f>
        <v>0</v>
      </c>
      <c r="Z1929" s="960">
        <f t="array" ref="Z1929">HLOOKUP($J1929,'Type Chart'!$C$2:$T$20,7,false)*HLOOKUP($K1929,'Type Chart'!$C$2:$U$20,7,false)</f>
        <v>2</v>
      </c>
      <c r="AA1929" s="960">
        <f t="array" ref="AA1929">HLOOKUP($J1929,'Type Chart'!$C$2:$T$20,8,false)*HLOOKUP($K1929,'Type Chart'!$C$2:$U$20,8,false)</f>
        <v>0.5</v>
      </c>
      <c r="AB1929" s="960">
        <f t="array" ref="AB1929">HLOOKUP($J1929,'Type Chart'!$C$2:$T$20,9,false)*HLOOKUP($K1929,'Type Chart'!$C$2:$U$20,9,false)</f>
        <v>0</v>
      </c>
      <c r="AC1929" s="960">
        <f t="array" ref="AC1929">HLOOKUP($J1929,'Type Chart'!$C$2:$T$20,10,false)*HLOOKUP($K1929,'Type Chart'!$C$2:$U$20,10,false)</f>
        <v>1</v>
      </c>
      <c r="AD1929" s="960">
        <f t="array" ref="AD1929">HLOOKUP($J1929,'Type Chart'!$C$2:$T$20,11,false)*HLOOKUP($K1929,'Type Chart'!$C$2:$U$20,11,false)</f>
        <v>1</v>
      </c>
      <c r="AE1929" s="960">
        <f t="array" ref="AE1929">HLOOKUP($J1929,'Type Chart'!$C$2:$T$20,12,false)*HLOOKUP($K1929,'Type Chart'!$C$2:$U$20,12,false)</f>
        <v>1</v>
      </c>
      <c r="AF1929" s="960">
        <f t="array" ref="AF1929">HLOOKUP($J1929,'Type Chart'!$C$2:$T$20,13,false)*HLOOKUP($K1929,'Type Chart'!$C$2:$U$20,13,false)</f>
        <v>0.5</v>
      </c>
      <c r="AG1929" s="960">
        <f t="array" ref="AG1929">HLOOKUP($J1929,'Type Chart'!$C$2:$T$20,14,false)*HLOOKUP($K1929,'Type Chart'!$C$2:$U$20,14,false)</f>
        <v>2</v>
      </c>
      <c r="AH1929" s="960">
        <f t="array" ref="AH1929">HLOOKUP($J1929,'Type Chart'!$C$2:$T$20,15,false)*HLOOKUP($K1929,'Type Chart'!$C$2:$U$20,15,false)</f>
        <v>1</v>
      </c>
      <c r="AI1929" s="960">
        <f t="array" ref="AI1929">HLOOKUP($J1929,'Type Chart'!$C$2:$T$20,16,false)*HLOOKUP($K1929,'Type Chart'!$C$2:$U$20,16,false)</f>
        <v>2</v>
      </c>
      <c r="AJ1929" s="960">
        <f t="array" ref="AJ1929">HLOOKUP($J1929,'Type Chart'!$C$2:$T$20,17,false)*HLOOKUP($K1929,'Type Chart'!$C$2:$U$20,17,false)</f>
        <v>1</v>
      </c>
      <c r="AK1929" s="960">
        <f t="array" ref="AK1929">HLOOKUP($J1929,'Type Chart'!$C$2:$T$20,18,false)*HLOOKUP($K1929,'Type Chart'!$C$2:$U$20,18,false)</f>
        <v>1</v>
      </c>
      <c r="AL1929" s="960">
        <f t="array" ref="AL1929">HLOOKUP($J1929,'Type Chart'!$C$2:$T$20,19,false)*HLOOKUP($K1929,'Type Chart'!$C$2:$U$20,19,false)</f>
        <v>1</v>
      </c>
      <c r="AM1929" s="964" t="s">
        <v>1024</v>
      </c>
      <c r="AN1929" s="965" t="s">
        <v>1745</v>
      </c>
      <c r="AO1929" s="966" t="s">
        <v>1147</v>
      </c>
      <c r="AP1929" s="936"/>
      <c r="AQ1929" s="1245"/>
      <c r="AR1929" s="1245"/>
      <c r="AS1929" s="936"/>
    </row>
    <row r="1930" ht="15.75" customHeight="1">
      <c r="A1930" s="1099"/>
      <c r="B1930" s="948" t="s">
        <v>2859</v>
      </c>
      <c r="C1930" s="1197" t="s">
        <v>2860</v>
      </c>
      <c r="D1930" s="1197" t="s">
        <v>2860</v>
      </c>
      <c r="E1930" s="1147" t="s">
        <v>2860</v>
      </c>
      <c r="F1930" s="940"/>
      <c r="G1930" s="953"/>
      <c r="H1930" s="969"/>
      <c r="I1930" s="998" t="s">
        <v>5030</v>
      </c>
      <c r="J1930" s="1196" t="s">
        <v>203</v>
      </c>
      <c r="K1930" s="984" t="s">
        <v>216</v>
      </c>
      <c r="L1930" s="959">
        <v>45.0</v>
      </c>
      <c r="M1930" s="960">
        <v>60.0</v>
      </c>
      <c r="N1930" s="960">
        <v>32.0</v>
      </c>
      <c r="O1930" s="960">
        <v>50.0</v>
      </c>
      <c r="P1930" s="960">
        <v>32.0</v>
      </c>
      <c r="Q1930" s="960">
        <v>76.0</v>
      </c>
      <c r="R1930" s="960">
        <v>188.0</v>
      </c>
      <c r="S1930" s="960">
        <v>251.0</v>
      </c>
      <c r="T1930" s="960">
        <v>276.0</v>
      </c>
      <c r="U1930" s="960">
        <f t="array" ref="U1930">HLOOKUP($J1930,'Type Chart'!$C$2:$T$20,2,false)*HLOOKUP($K1930,'Type Chart'!$C$2:$U$20,2,false)</f>
        <v>1</v>
      </c>
      <c r="V1930" s="960">
        <f t="array" ref="V1930">HLOOKUP($J1930,'Type Chart'!$C$2:$T$20,3,false)*HLOOKUP($K1930,'Type Chart'!$C$2:$U$20,3,false)</f>
        <v>1</v>
      </c>
      <c r="W1930" s="960">
        <f t="array" ref="W1930">HLOOKUP($J1930,'Type Chart'!$C$2:$T$20,4,false)*HLOOKUP($K1930,'Type Chart'!$C$2:$U$20,4,false)</f>
        <v>0.5</v>
      </c>
      <c r="X1930" s="960">
        <f t="array" ref="X1930">HLOOKUP($J1930,'Type Chart'!$C$2:$T$20,5,false)*HLOOKUP($K1930,'Type Chart'!$C$2:$U$20,5,false)</f>
        <v>1</v>
      </c>
      <c r="Y1930" s="960">
        <f t="array" ref="Y1930">HLOOKUP($J1930,'Type Chart'!$C$2:$T$20,6,false)*HLOOKUP($K1930,'Type Chart'!$C$2:$U$20,6,false)</f>
        <v>2</v>
      </c>
      <c r="Z1930" s="960">
        <f t="array" ref="Z1930">HLOOKUP($J1930,'Type Chart'!$C$2:$T$20,7,false)*HLOOKUP($K1930,'Type Chart'!$C$2:$U$20,7,false)</f>
        <v>1</v>
      </c>
      <c r="AA1930" s="960">
        <f t="array" ref="AA1930">HLOOKUP($J1930,'Type Chart'!$C$2:$T$20,8,false)*HLOOKUP($K1930,'Type Chart'!$C$2:$U$20,8,false)</f>
        <v>1</v>
      </c>
      <c r="AB1930" s="960">
        <f t="array" ref="AB1930">HLOOKUP($J1930,'Type Chart'!$C$2:$T$20,9,false)*HLOOKUP($K1930,'Type Chart'!$C$2:$U$20,9,false)</f>
        <v>1</v>
      </c>
      <c r="AC1930" s="960">
        <f t="array" ref="AC1930">HLOOKUP($J1930,'Type Chart'!$C$2:$T$20,10,false)*HLOOKUP($K1930,'Type Chart'!$C$2:$U$20,10,false)</f>
        <v>0.5</v>
      </c>
      <c r="AD1930" s="960">
        <f t="array" ref="AD1930">HLOOKUP($J1930,'Type Chart'!$C$2:$T$20,11,false)*HLOOKUP($K1930,'Type Chart'!$C$2:$U$20,11,false)</f>
        <v>1</v>
      </c>
      <c r="AE1930" s="960">
        <f t="array" ref="AE1930">HLOOKUP($J1930,'Type Chart'!$C$2:$T$20,12,false)*HLOOKUP($K1930,'Type Chart'!$C$2:$U$20,12,false)</f>
        <v>1</v>
      </c>
      <c r="AF1930" s="960">
        <f t="array" ref="AF1930">HLOOKUP($J1930,'Type Chart'!$C$2:$T$20,13,false)*HLOOKUP($K1930,'Type Chart'!$C$2:$U$20,13,false)</f>
        <v>1</v>
      </c>
      <c r="AG1930" s="960">
        <f t="array" ref="AG1930">HLOOKUP($J1930,'Type Chart'!$C$2:$T$20,14,false)*HLOOKUP($K1930,'Type Chart'!$C$2:$U$20,14,false)</f>
        <v>0.5</v>
      </c>
      <c r="AH1930" s="960">
        <f t="array" ref="AH1930">HLOOKUP($J1930,'Type Chart'!$C$2:$T$20,15,false)*HLOOKUP($K1930,'Type Chart'!$C$2:$U$20,15,false)</f>
        <v>1</v>
      </c>
      <c r="AI1930" s="960">
        <f t="array" ref="AI1930">HLOOKUP($J1930,'Type Chart'!$C$2:$T$20,16,false)*HLOOKUP($K1930,'Type Chart'!$C$2:$U$20,16,false)</f>
        <v>1</v>
      </c>
      <c r="AJ1930" s="960">
        <f t="array" ref="AJ1930">HLOOKUP($J1930,'Type Chart'!$C$2:$T$20,17,false)*HLOOKUP($K1930,'Type Chart'!$C$2:$U$20,17,false)</f>
        <v>1</v>
      </c>
      <c r="AK1930" s="960">
        <f t="array" ref="AK1930">HLOOKUP($J1930,'Type Chart'!$C$2:$T$20,18,false)*HLOOKUP($K1930,'Type Chart'!$C$2:$U$20,18,false)</f>
        <v>1</v>
      </c>
      <c r="AL1930" s="960">
        <f t="array" ref="AL1930">HLOOKUP($J1930,'Type Chart'!$C$2:$T$20,19,false)*HLOOKUP($K1930,'Type Chart'!$C$2:$U$20,19,false)</f>
        <v>1</v>
      </c>
      <c r="AM1930" s="964" t="s">
        <v>1068</v>
      </c>
      <c r="AN1930" s="965" t="s">
        <v>2663</v>
      </c>
      <c r="AO1930" s="966" t="s">
        <v>1772</v>
      </c>
      <c r="AP1930" s="936"/>
      <c r="AQ1930" s="1245"/>
      <c r="AR1930" s="1245"/>
      <c r="AS1930" s="936"/>
    </row>
    <row r="1931" ht="15.75" customHeight="1">
      <c r="A1931" s="1099"/>
      <c r="B1931" s="948" t="s">
        <v>2862</v>
      </c>
      <c r="C1931" s="1197" t="s">
        <v>2863</v>
      </c>
      <c r="D1931" s="1197" t="s">
        <v>2863</v>
      </c>
      <c r="E1931" s="1147" t="s">
        <v>2863</v>
      </c>
      <c r="F1931" s="940"/>
      <c r="G1931" s="953"/>
      <c r="H1931" s="969"/>
      <c r="I1931" s="998" t="s">
        <v>5031</v>
      </c>
      <c r="J1931" s="1196" t="s">
        <v>203</v>
      </c>
      <c r="K1931" s="984" t="s">
        <v>216</v>
      </c>
      <c r="L1931" s="959">
        <v>75.0</v>
      </c>
      <c r="M1931" s="960">
        <v>100.0</v>
      </c>
      <c r="N1931" s="960">
        <v>63.0</v>
      </c>
      <c r="O1931" s="960">
        <v>80.0</v>
      </c>
      <c r="P1931" s="960">
        <v>63.0</v>
      </c>
      <c r="Q1931" s="960">
        <v>116.0</v>
      </c>
      <c r="R1931" s="960">
        <v>268.0</v>
      </c>
      <c r="S1931" s="960">
        <v>331.0</v>
      </c>
      <c r="T1931" s="960">
        <v>364.0</v>
      </c>
      <c r="U1931" s="960">
        <f t="array" ref="U1931">HLOOKUP($J1931,'Type Chart'!$C$2:$T$20,2,false)*HLOOKUP($K1931,'Type Chart'!$C$2:$U$20,2,false)</f>
        <v>1</v>
      </c>
      <c r="V1931" s="960">
        <f t="array" ref="V1931">HLOOKUP($J1931,'Type Chart'!$C$2:$T$20,3,false)*HLOOKUP($K1931,'Type Chart'!$C$2:$U$20,3,false)</f>
        <v>1</v>
      </c>
      <c r="W1931" s="960">
        <f t="array" ref="W1931">HLOOKUP($J1931,'Type Chart'!$C$2:$T$20,4,false)*HLOOKUP($K1931,'Type Chart'!$C$2:$U$20,4,false)</f>
        <v>0.5</v>
      </c>
      <c r="X1931" s="960">
        <f t="array" ref="X1931">HLOOKUP($J1931,'Type Chart'!$C$2:$T$20,5,false)*HLOOKUP($K1931,'Type Chart'!$C$2:$U$20,5,false)</f>
        <v>1</v>
      </c>
      <c r="Y1931" s="960">
        <f t="array" ref="Y1931">HLOOKUP($J1931,'Type Chart'!$C$2:$T$20,6,false)*HLOOKUP($K1931,'Type Chart'!$C$2:$U$20,6,false)</f>
        <v>2</v>
      </c>
      <c r="Z1931" s="960">
        <f t="array" ref="Z1931">HLOOKUP($J1931,'Type Chart'!$C$2:$T$20,7,false)*HLOOKUP($K1931,'Type Chart'!$C$2:$U$20,7,false)</f>
        <v>1</v>
      </c>
      <c r="AA1931" s="960">
        <f t="array" ref="AA1931">HLOOKUP($J1931,'Type Chart'!$C$2:$T$20,8,false)*HLOOKUP($K1931,'Type Chart'!$C$2:$U$20,8,false)</f>
        <v>1</v>
      </c>
      <c r="AB1931" s="960">
        <f t="array" ref="AB1931">HLOOKUP($J1931,'Type Chart'!$C$2:$T$20,9,false)*HLOOKUP($K1931,'Type Chart'!$C$2:$U$20,9,false)</f>
        <v>1</v>
      </c>
      <c r="AC1931" s="960">
        <f t="array" ref="AC1931">HLOOKUP($J1931,'Type Chart'!$C$2:$T$20,10,false)*HLOOKUP($K1931,'Type Chart'!$C$2:$U$20,10,false)</f>
        <v>0.5</v>
      </c>
      <c r="AD1931" s="960">
        <f t="array" ref="AD1931">HLOOKUP($J1931,'Type Chart'!$C$2:$T$20,11,false)*HLOOKUP($K1931,'Type Chart'!$C$2:$U$20,11,false)</f>
        <v>1</v>
      </c>
      <c r="AE1931" s="960">
        <f t="array" ref="AE1931">HLOOKUP($J1931,'Type Chart'!$C$2:$T$20,12,false)*HLOOKUP($K1931,'Type Chart'!$C$2:$U$20,12,false)</f>
        <v>1</v>
      </c>
      <c r="AF1931" s="960">
        <f t="array" ref="AF1931">HLOOKUP($J1931,'Type Chart'!$C$2:$T$20,13,false)*HLOOKUP($K1931,'Type Chart'!$C$2:$U$20,13,false)</f>
        <v>1</v>
      </c>
      <c r="AG1931" s="960">
        <f t="array" ref="AG1931">HLOOKUP($J1931,'Type Chart'!$C$2:$T$20,14,false)*HLOOKUP($K1931,'Type Chart'!$C$2:$U$20,14,false)</f>
        <v>0.5</v>
      </c>
      <c r="AH1931" s="960">
        <f t="array" ref="AH1931">HLOOKUP($J1931,'Type Chart'!$C$2:$T$20,15,false)*HLOOKUP($K1931,'Type Chart'!$C$2:$U$20,15,false)</f>
        <v>1</v>
      </c>
      <c r="AI1931" s="960">
        <f t="array" ref="AI1931">HLOOKUP($J1931,'Type Chart'!$C$2:$T$20,16,false)*HLOOKUP($K1931,'Type Chart'!$C$2:$U$20,16,false)</f>
        <v>1</v>
      </c>
      <c r="AJ1931" s="960">
        <f t="array" ref="AJ1931">HLOOKUP($J1931,'Type Chart'!$C$2:$T$20,17,false)*HLOOKUP($K1931,'Type Chart'!$C$2:$U$20,17,false)</f>
        <v>1</v>
      </c>
      <c r="AK1931" s="960">
        <f t="array" ref="AK1931">HLOOKUP($J1931,'Type Chart'!$C$2:$T$20,18,false)*HLOOKUP($K1931,'Type Chart'!$C$2:$U$20,18,false)</f>
        <v>1</v>
      </c>
      <c r="AL1931" s="960">
        <f t="array" ref="AL1931">HLOOKUP($J1931,'Type Chart'!$C$2:$T$20,19,false)*HLOOKUP($K1931,'Type Chart'!$C$2:$U$20,19,false)</f>
        <v>1</v>
      </c>
      <c r="AM1931" s="964" t="s">
        <v>1068</v>
      </c>
      <c r="AN1931" s="965" t="s">
        <v>2663</v>
      </c>
      <c r="AO1931" s="966" t="s">
        <v>1772</v>
      </c>
      <c r="AP1931" s="936"/>
      <c r="AQ1931" s="1245"/>
      <c r="AR1931" s="1245"/>
      <c r="AS1931" s="936"/>
    </row>
    <row r="1932" ht="15.75" customHeight="1">
      <c r="A1932" s="1099"/>
      <c r="B1932" s="948" t="s">
        <v>2864</v>
      </c>
      <c r="C1932" s="1197" t="s">
        <v>2865</v>
      </c>
      <c r="D1932" s="1197" t="s">
        <v>2865</v>
      </c>
      <c r="E1932" s="1147" t="s">
        <v>2865</v>
      </c>
      <c r="F1932" s="940"/>
      <c r="G1932" s="953"/>
      <c r="H1932" s="969"/>
      <c r="I1932" s="998" t="s">
        <v>5032</v>
      </c>
      <c r="J1932" s="1214" t="s">
        <v>342</v>
      </c>
      <c r="K1932" s="984" t="s">
        <v>216</v>
      </c>
      <c r="L1932" s="959">
        <v>55.0</v>
      </c>
      <c r="M1932" s="960">
        <v>75.0</v>
      </c>
      <c r="N1932" s="960">
        <v>85.0</v>
      </c>
      <c r="O1932" s="960">
        <v>25.0</v>
      </c>
      <c r="P1932" s="960">
        <v>25.0</v>
      </c>
      <c r="Q1932" s="960">
        <v>15.0</v>
      </c>
      <c r="R1932" s="960">
        <v>66.0</v>
      </c>
      <c r="S1932" s="960">
        <v>129.0</v>
      </c>
      <c r="T1932" s="960">
        <v>141.0</v>
      </c>
      <c r="U1932" s="960">
        <f t="array" ref="U1932">HLOOKUP($J1932,'Type Chart'!$C$2:$T$20,2,false)*HLOOKUP($K1932,'Type Chart'!$C$2:$U$20,2,false)</f>
        <v>0.5</v>
      </c>
      <c r="V1932" s="960">
        <f t="array" ref="V1932">HLOOKUP($J1932,'Type Chart'!$C$2:$T$20,3,false)*HLOOKUP($K1932,'Type Chart'!$C$2:$U$20,3,false)</f>
        <v>2</v>
      </c>
      <c r="W1932" s="960">
        <f t="array" ref="W1932">HLOOKUP($J1932,'Type Chart'!$C$2:$T$20,4,false)*HLOOKUP($K1932,'Type Chart'!$C$2:$U$20,4,false)</f>
        <v>0.5</v>
      </c>
      <c r="X1932" s="960">
        <f t="array" ref="X1932">HLOOKUP($J1932,'Type Chart'!$C$2:$T$20,5,false)*HLOOKUP($K1932,'Type Chart'!$C$2:$U$20,5,false)</f>
        <v>0.5</v>
      </c>
      <c r="Y1932" s="960">
        <f t="array" ref="Y1932">HLOOKUP($J1932,'Type Chart'!$C$2:$T$20,6,false)*HLOOKUP($K1932,'Type Chart'!$C$2:$U$20,6,false)</f>
        <v>2</v>
      </c>
      <c r="Z1932" s="960">
        <f t="array" ref="Z1932">HLOOKUP($J1932,'Type Chart'!$C$2:$T$20,7,false)*HLOOKUP($K1932,'Type Chart'!$C$2:$U$20,7,false)</f>
        <v>1</v>
      </c>
      <c r="AA1932" s="960">
        <f t="array" ref="AA1932">HLOOKUP($J1932,'Type Chart'!$C$2:$T$20,8,false)*HLOOKUP($K1932,'Type Chart'!$C$2:$U$20,8,false)</f>
        <v>1</v>
      </c>
      <c r="AB1932" s="960">
        <f t="array" ref="AB1932">HLOOKUP($J1932,'Type Chart'!$C$2:$T$20,9,false)*HLOOKUP($K1932,'Type Chart'!$C$2:$U$20,9,false)</f>
        <v>1</v>
      </c>
      <c r="AC1932" s="960">
        <f t="array" ref="AC1932">HLOOKUP($J1932,'Type Chart'!$C$2:$T$20,10,false)*HLOOKUP($K1932,'Type Chart'!$C$2:$U$20,10,false)</f>
        <v>2</v>
      </c>
      <c r="AD1932" s="960">
        <f t="array" ref="AD1932">HLOOKUP($J1932,'Type Chart'!$C$2:$T$20,11,false)*HLOOKUP($K1932,'Type Chart'!$C$2:$U$20,11,false)</f>
        <v>0.5</v>
      </c>
      <c r="AE1932" s="960">
        <f t="array" ref="AE1932">HLOOKUP($J1932,'Type Chart'!$C$2:$T$20,12,false)*HLOOKUP($K1932,'Type Chart'!$C$2:$U$20,12,false)</f>
        <v>2</v>
      </c>
      <c r="AF1932" s="960">
        <f t="array" ref="AF1932">HLOOKUP($J1932,'Type Chart'!$C$2:$T$20,13,false)*HLOOKUP($K1932,'Type Chart'!$C$2:$U$20,13,false)</f>
        <v>2</v>
      </c>
      <c r="AG1932" s="960">
        <f t="array" ref="AG1932">HLOOKUP($J1932,'Type Chart'!$C$2:$T$20,14,false)*HLOOKUP($K1932,'Type Chart'!$C$2:$U$20,14,false)</f>
        <v>1</v>
      </c>
      <c r="AH1932" s="960">
        <f t="array" ref="AH1932">HLOOKUP($J1932,'Type Chart'!$C$2:$T$20,15,false)*HLOOKUP($K1932,'Type Chart'!$C$2:$U$20,15,false)</f>
        <v>1</v>
      </c>
      <c r="AI1932" s="960">
        <f t="array" ref="AI1932">HLOOKUP($J1932,'Type Chart'!$C$2:$T$20,16,false)*HLOOKUP($K1932,'Type Chart'!$C$2:$U$20,16,false)</f>
        <v>1</v>
      </c>
      <c r="AJ1932" s="960">
        <f t="array" ref="AJ1932">HLOOKUP($J1932,'Type Chart'!$C$2:$T$20,17,false)*HLOOKUP($K1932,'Type Chart'!$C$2:$U$20,17,false)</f>
        <v>1</v>
      </c>
      <c r="AK1932" s="960">
        <f t="array" ref="AK1932">HLOOKUP($J1932,'Type Chart'!$C$2:$T$20,18,false)*HLOOKUP($K1932,'Type Chart'!$C$2:$U$20,18,false)</f>
        <v>1</v>
      </c>
      <c r="AL1932" s="960">
        <f t="array" ref="AL1932">HLOOKUP($J1932,'Type Chart'!$C$2:$T$20,19,false)*HLOOKUP($K1932,'Type Chart'!$C$2:$U$20,19,false)</f>
        <v>1</v>
      </c>
      <c r="AM1932" s="964" t="s">
        <v>1331</v>
      </c>
      <c r="AN1932" s="965" t="s">
        <v>1450</v>
      </c>
      <c r="AO1932" s="966" t="s">
        <v>1224</v>
      </c>
      <c r="AP1932" s="936"/>
      <c r="AQ1932" s="1245"/>
      <c r="AR1932" s="1245"/>
      <c r="AS1932" s="936"/>
    </row>
    <row r="1933" ht="15.75" customHeight="1">
      <c r="A1933" s="1099"/>
      <c r="B1933" s="948" t="s">
        <v>2867</v>
      </c>
      <c r="C1933" s="1197" t="s">
        <v>2868</v>
      </c>
      <c r="D1933" s="1197" t="s">
        <v>2868</v>
      </c>
      <c r="E1933" s="1147" t="s">
        <v>2868</v>
      </c>
      <c r="F1933" s="940"/>
      <c r="G1933" s="953"/>
      <c r="H1933" s="969"/>
      <c r="I1933" s="998" t="s">
        <v>5033</v>
      </c>
      <c r="J1933" s="1214" t="s">
        <v>342</v>
      </c>
      <c r="K1933" s="984" t="s">
        <v>216</v>
      </c>
      <c r="L1933" s="959">
        <v>70.0</v>
      </c>
      <c r="M1933" s="960">
        <v>105.0</v>
      </c>
      <c r="N1933" s="960">
        <v>105.0</v>
      </c>
      <c r="O1933" s="960">
        <v>50.0</v>
      </c>
      <c r="P1933" s="960">
        <v>40.0</v>
      </c>
      <c r="Q1933" s="960">
        <v>20.0</v>
      </c>
      <c r="R1933" s="960">
        <v>76.0</v>
      </c>
      <c r="S1933" s="960">
        <v>139.0</v>
      </c>
      <c r="T1933" s="960">
        <v>152.0</v>
      </c>
      <c r="U1933" s="960">
        <f t="array" ref="U1933">HLOOKUP($J1933,'Type Chart'!$C$2:$T$20,2,false)*HLOOKUP($K1933,'Type Chart'!$C$2:$U$20,2,false)</f>
        <v>0.5</v>
      </c>
      <c r="V1933" s="960">
        <f t="array" ref="V1933">HLOOKUP($J1933,'Type Chart'!$C$2:$T$20,3,false)*HLOOKUP($K1933,'Type Chart'!$C$2:$U$20,3,false)</f>
        <v>2</v>
      </c>
      <c r="W1933" s="960">
        <f t="array" ref="W1933">HLOOKUP($J1933,'Type Chart'!$C$2:$T$20,4,false)*HLOOKUP($K1933,'Type Chart'!$C$2:$U$20,4,false)</f>
        <v>0.5</v>
      </c>
      <c r="X1933" s="960">
        <f t="array" ref="X1933">HLOOKUP($J1933,'Type Chart'!$C$2:$T$20,5,false)*HLOOKUP($K1933,'Type Chart'!$C$2:$U$20,5,false)</f>
        <v>0.5</v>
      </c>
      <c r="Y1933" s="960">
        <f t="array" ref="Y1933">HLOOKUP($J1933,'Type Chart'!$C$2:$T$20,6,false)*HLOOKUP($K1933,'Type Chart'!$C$2:$U$20,6,false)</f>
        <v>2</v>
      </c>
      <c r="Z1933" s="960">
        <f t="array" ref="Z1933">HLOOKUP($J1933,'Type Chart'!$C$2:$T$20,7,false)*HLOOKUP($K1933,'Type Chart'!$C$2:$U$20,7,false)</f>
        <v>1</v>
      </c>
      <c r="AA1933" s="960">
        <f t="array" ref="AA1933">HLOOKUP($J1933,'Type Chart'!$C$2:$T$20,8,false)*HLOOKUP($K1933,'Type Chart'!$C$2:$U$20,8,false)</f>
        <v>1</v>
      </c>
      <c r="AB1933" s="960">
        <f t="array" ref="AB1933">HLOOKUP($J1933,'Type Chart'!$C$2:$T$20,9,false)*HLOOKUP($K1933,'Type Chart'!$C$2:$U$20,9,false)</f>
        <v>1</v>
      </c>
      <c r="AC1933" s="960">
        <f t="array" ref="AC1933">HLOOKUP($J1933,'Type Chart'!$C$2:$T$20,10,false)*HLOOKUP($K1933,'Type Chart'!$C$2:$U$20,10,false)</f>
        <v>2</v>
      </c>
      <c r="AD1933" s="960">
        <f t="array" ref="AD1933">HLOOKUP($J1933,'Type Chart'!$C$2:$T$20,11,false)*HLOOKUP($K1933,'Type Chart'!$C$2:$U$20,11,false)</f>
        <v>0.5</v>
      </c>
      <c r="AE1933" s="960">
        <f t="array" ref="AE1933">HLOOKUP($J1933,'Type Chart'!$C$2:$T$20,12,false)*HLOOKUP($K1933,'Type Chart'!$C$2:$U$20,12,false)</f>
        <v>2</v>
      </c>
      <c r="AF1933" s="960">
        <f t="array" ref="AF1933">HLOOKUP($J1933,'Type Chart'!$C$2:$T$20,13,false)*HLOOKUP($K1933,'Type Chart'!$C$2:$U$20,13,false)</f>
        <v>2</v>
      </c>
      <c r="AG1933" s="960">
        <f t="array" ref="AG1933">HLOOKUP($J1933,'Type Chart'!$C$2:$T$20,14,false)*HLOOKUP($K1933,'Type Chart'!$C$2:$U$20,14,false)</f>
        <v>1</v>
      </c>
      <c r="AH1933" s="960">
        <f t="array" ref="AH1933">HLOOKUP($J1933,'Type Chart'!$C$2:$T$20,15,false)*HLOOKUP($K1933,'Type Chart'!$C$2:$U$20,15,false)</f>
        <v>1</v>
      </c>
      <c r="AI1933" s="960">
        <f t="array" ref="AI1933">HLOOKUP($J1933,'Type Chart'!$C$2:$T$20,16,false)*HLOOKUP($K1933,'Type Chart'!$C$2:$U$20,16,false)</f>
        <v>1</v>
      </c>
      <c r="AJ1933" s="960">
        <f t="array" ref="AJ1933">HLOOKUP($J1933,'Type Chart'!$C$2:$T$20,17,false)*HLOOKUP($K1933,'Type Chart'!$C$2:$U$20,17,false)</f>
        <v>1</v>
      </c>
      <c r="AK1933" s="960">
        <f t="array" ref="AK1933">HLOOKUP($J1933,'Type Chart'!$C$2:$T$20,18,false)*HLOOKUP($K1933,'Type Chart'!$C$2:$U$20,18,false)</f>
        <v>1</v>
      </c>
      <c r="AL1933" s="960">
        <f t="array" ref="AL1933">HLOOKUP($J1933,'Type Chart'!$C$2:$T$20,19,false)*HLOOKUP($K1933,'Type Chart'!$C$2:$U$20,19,false)</f>
        <v>1</v>
      </c>
      <c r="AM1933" s="964" t="s">
        <v>1331</v>
      </c>
      <c r="AN1933" s="965" t="s">
        <v>1450</v>
      </c>
      <c r="AO1933" s="966" t="s">
        <v>1224</v>
      </c>
      <c r="AP1933" s="936"/>
      <c r="AQ1933" s="1245"/>
      <c r="AR1933" s="1245"/>
      <c r="AS1933" s="936"/>
    </row>
    <row r="1934" ht="15.75" customHeight="1">
      <c r="A1934" s="1099"/>
      <c r="B1934" s="948" t="s">
        <v>2870</v>
      </c>
      <c r="C1934" s="1197" t="s">
        <v>2871</v>
      </c>
      <c r="D1934" s="1197" t="s">
        <v>2871</v>
      </c>
      <c r="E1934" s="1147" t="s">
        <v>2871</v>
      </c>
      <c r="F1934" s="940"/>
      <c r="G1934" s="953"/>
      <c r="H1934" s="969"/>
      <c r="I1934" s="998" t="s">
        <v>5034</v>
      </c>
      <c r="J1934" s="1214" t="s">
        <v>342</v>
      </c>
      <c r="K1934" s="984" t="s">
        <v>216</v>
      </c>
      <c r="L1934" s="959">
        <v>85.0</v>
      </c>
      <c r="M1934" s="960">
        <v>135.0</v>
      </c>
      <c r="N1934" s="960">
        <v>130.0</v>
      </c>
      <c r="O1934" s="960">
        <v>60.0</v>
      </c>
      <c r="P1934" s="960">
        <v>80.0</v>
      </c>
      <c r="Q1934" s="960">
        <v>25.0</v>
      </c>
      <c r="R1934" s="960">
        <v>86.0</v>
      </c>
      <c r="S1934" s="960">
        <v>149.0</v>
      </c>
      <c r="T1934" s="960">
        <v>163.0</v>
      </c>
      <c r="U1934" s="960">
        <f t="array" ref="U1934">HLOOKUP($J1934,'Type Chart'!$C$2:$T$20,2,false)*HLOOKUP($K1934,'Type Chart'!$C$2:$U$20,2,false)</f>
        <v>0.5</v>
      </c>
      <c r="V1934" s="960">
        <f t="array" ref="V1934">HLOOKUP($J1934,'Type Chart'!$C$2:$T$20,3,false)*HLOOKUP($K1934,'Type Chart'!$C$2:$U$20,3,false)</f>
        <v>2</v>
      </c>
      <c r="W1934" s="960">
        <f t="array" ref="W1934">HLOOKUP($J1934,'Type Chart'!$C$2:$T$20,4,false)*HLOOKUP($K1934,'Type Chart'!$C$2:$U$20,4,false)</f>
        <v>0.5</v>
      </c>
      <c r="X1934" s="960">
        <f t="array" ref="X1934">HLOOKUP($J1934,'Type Chart'!$C$2:$T$20,5,false)*HLOOKUP($K1934,'Type Chart'!$C$2:$U$20,5,false)</f>
        <v>0.5</v>
      </c>
      <c r="Y1934" s="960">
        <f t="array" ref="Y1934">HLOOKUP($J1934,'Type Chart'!$C$2:$T$20,6,false)*HLOOKUP($K1934,'Type Chart'!$C$2:$U$20,6,false)</f>
        <v>2</v>
      </c>
      <c r="Z1934" s="960">
        <f t="array" ref="Z1934">HLOOKUP($J1934,'Type Chart'!$C$2:$T$20,7,false)*HLOOKUP($K1934,'Type Chart'!$C$2:$U$20,7,false)</f>
        <v>1</v>
      </c>
      <c r="AA1934" s="960">
        <f t="array" ref="AA1934">HLOOKUP($J1934,'Type Chart'!$C$2:$T$20,8,false)*HLOOKUP($K1934,'Type Chart'!$C$2:$U$20,8,false)</f>
        <v>1</v>
      </c>
      <c r="AB1934" s="960">
        <f t="array" ref="AB1934">HLOOKUP($J1934,'Type Chart'!$C$2:$T$20,9,false)*HLOOKUP($K1934,'Type Chart'!$C$2:$U$20,9,false)</f>
        <v>1</v>
      </c>
      <c r="AC1934" s="960">
        <f t="array" ref="AC1934">HLOOKUP($J1934,'Type Chart'!$C$2:$T$20,10,false)*HLOOKUP($K1934,'Type Chart'!$C$2:$U$20,10,false)</f>
        <v>2</v>
      </c>
      <c r="AD1934" s="960">
        <f t="array" ref="AD1934">HLOOKUP($J1934,'Type Chart'!$C$2:$T$20,11,false)*HLOOKUP($K1934,'Type Chart'!$C$2:$U$20,11,false)</f>
        <v>0.5</v>
      </c>
      <c r="AE1934" s="960">
        <f t="array" ref="AE1934">HLOOKUP($J1934,'Type Chart'!$C$2:$T$20,12,false)*HLOOKUP($K1934,'Type Chart'!$C$2:$U$20,12,false)</f>
        <v>2</v>
      </c>
      <c r="AF1934" s="960">
        <f t="array" ref="AF1934">HLOOKUP($J1934,'Type Chart'!$C$2:$T$20,13,false)*HLOOKUP($K1934,'Type Chart'!$C$2:$U$20,13,false)</f>
        <v>2</v>
      </c>
      <c r="AG1934" s="960">
        <f t="array" ref="AG1934">HLOOKUP($J1934,'Type Chart'!$C$2:$T$20,14,false)*HLOOKUP($K1934,'Type Chart'!$C$2:$U$20,14,false)</f>
        <v>1</v>
      </c>
      <c r="AH1934" s="960">
        <f t="array" ref="AH1934">HLOOKUP($J1934,'Type Chart'!$C$2:$T$20,15,false)*HLOOKUP($K1934,'Type Chart'!$C$2:$U$20,15,false)</f>
        <v>1</v>
      </c>
      <c r="AI1934" s="960">
        <f t="array" ref="AI1934">HLOOKUP($J1934,'Type Chart'!$C$2:$T$20,16,false)*HLOOKUP($K1934,'Type Chart'!$C$2:$U$20,16,false)</f>
        <v>1</v>
      </c>
      <c r="AJ1934" s="960">
        <f t="array" ref="AJ1934">HLOOKUP($J1934,'Type Chart'!$C$2:$T$20,17,false)*HLOOKUP($K1934,'Type Chart'!$C$2:$U$20,17,false)</f>
        <v>1</v>
      </c>
      <c r="AK1934" s="960">
        <f t="array" ref="AK1934">HLOOKUP($J1934,'Type Chart'!$C$2:$T$20,18,false)*HLOOKUP($K1934,'Type Chart'!$C$2:$U$20,18,false)</f>
        <v>1</v>
      </c>
      <c r="AL1934" s="960">
        <f t="array" ref="AL1934">HLOOKUP($J1934,'Type Chart'!$C$2:$T$20,19,false)*HLOOKUP($K1934,'Type Chart'!$C$2:$U$20,19,false)</f>
        <v>1</v>
      </c>
      <c r="AM1934" s="964" t="s">
        <v>1331</v>
      </c>
      <c r="AN1934" s="965" t="s">
        <v>1964</v>
      </c>
      <c r="AO1934" s="966" t="s">
        <v>1224</v>
      </c>
      <c r="AP1934" s="936"/>
      <c r="AQ1934" s="1245"/>
      <c r="AR1934" s="1245"/>
      <c r="AS1934" s="936"/>
    </row>
    <row r="1935" ht="15.75" customHeight="1">
      <c r="A1935" s="1099"/>
      <c r="B1935" s="948" t="s">
        <v>2873</v>
      </c>
      <c r="C1935" s="1197" t="s">
        <v>2874</v>
      </c>
      <c r="D1935" s="1197" t="s">
        <v>2874</v>
      </c>
      <c r="E1935" s="1147" t="s">
        <v>2874</v>
      </c>
      <c r="F1935" s="940"/>
      <c r="G1935" s="953"/>
      <c r="H1935" s="969"/>
      <c r="I1935" s="998" t="s">
        <v>5035</v>
      </c>
      <c r="J1935" s="1203" t="s">
        <v>344</v>
      </c>
      <c r="K1935" s="1001" t="s">
        <v>128</v>
      </c>
      <c r="L1935" s="959">
        <v>65.0</v>
      </c>
      <c r="M1935" s="960">
        <v>45.0</v>
      </c>
      <c r="N1935" s="960">
        <v>43.0</v>
      </c>
      <c r="O1935" s="960">
        <v>55.0</v>
      </c>
      <c r="P1935" s="960">
        <v>43.0</v>
      </c>
      <c r="Q1935" s="960">
        <v>72.0</v>
      </c>
      <c r="R1935" s="960">
        <v>180.0</v>
      </c>
      <c r="S1935" s="960">
        <v>243.0</v>
      </c>
      <c r="T1935" s="960">
        <v>267.0</v>
      </c>
      <c r="U1935" s="960">
        <f t="array" ref="U1935">HLOOKUP($J1935,'Type Chart'!$C$2:$T$20,2,false)*HLOOKUP($K1935,'Type Chart'!$C$2:$U$20,2,false)</f>
        <v>1</v>
      </c>
      <c r="V1935" s="960">
        <f t="array" ref="V1935">HLOOKUP($J1935,'Type Chart'!$C$2:$T$20,3,false)*HLOOKUP($K1935,'Type Chart'!$C$2:$U$20,3,false)</f>
        <v>0.25</v>
      </c>
      <c r="W1935" s="960">
        <f t="array" ref="W1935">HLOOKUP($J1935,'Type Chart'!$C$2:$T$20,4,false)*HLOOKUP($K1935,'Type Chart'!$C$2:$U$20,4,false)</f>
        <v>1</v>
      </c>
      <c r="X1935" s="960">
        <f t="array" ref="X1935">HLOOKUP($J1935,'Type Chart'!$C$2:$T$20,5,false)*HLOOKUP($K1935,'Type Chart'!$C$2:$U$20,5,false)</f>
        <v>1</v>
      </c>
      <c r="Y1935" s="960">
        <f t="array" ref="Y1935">HLOOKUP($J1935,'Type Chart'!$C$2:$T$20,6,false)*HLOOKUP($K1935,'Type Chart'!$C$2:$U$20,6,false)</f>
        <v>0</v>
      </c>
      <c r="Z1935" s="960">
        <f t="array" ref="Z1935">HLOOKUP($J1935,'Type Chart'!$C$2:$T$20,7,false)*HLOOKUP($K1935,'Type Chart'!$C$2:$U$20,7,false)</f>
        <v>2</v>
      </c>
      <c r="AA1935" s="960">
        <f t="array" ref="AA1935">HLOOKUP($J1935,'Type Chart'!$C$2:$T$20,8,false)*HLOOKUP($K1935,'Type Chart'!$C$2:$U$20,8,false)</f>
        <v>1</v>
      </c>
      <c r="AB1935" s="960">
        <f t="array" ref="AB1935">HLOOKUP($J1935,'Type Chart'!$C$2:$T$20,9,false)*HLOOKUP($K1935,'Type Chart'!$C$2:$U$20,9,false)</f>
        <v>2</v>
      </c>
      <c r="AC1935" s="960">
        <f t="array" ref="AC1935">HLOOKUP($J1935,'Type Chart'!$C$2:$T$20,10,false)*HLOOKUP($K1935,'Type Chart'!$C$2:$U$20,10,false)</f>
        <v>1</v>
      </c>
      <c r="AD1935" s="960">
        <f t="array" ref="AD1935">HLOOKUP($J1935,'Type Chart'!$C$2:$T$20,11,false)*HLOOKUP($K1935,'Type Chart'!$C$2:$U$20,11,false)</f>
        <v>1</v>
      </c>
      <c r="AE1935" s="960">
        <f t="array" ref="AE1935">HLOOKUP($J1935,'Type Chart'!$C$2:$T$20,12,false)*HLOOKUP($K1935,'Type Chart'!$C$2:$U$20,12,false)</f>
        <v>1</v>
      </c>
      <c r="AF1935" s="960">
        <f t="array" ref="AF1935">HLOOKUP($J1935,'Type Chart'!$C$2:$T$20,13,false)*HLOOKUP($K1935,'Type Chart'!$C$2:$U$20,13,false)</f>
        <v>0.5</v>
      </c>
      <c r="AG1935" s="960">
        <f t="array" ref="AG1935">HLOOKUP($J1935,'Type Chart'!$C$2:$T$20,14,false)*HLOOKUP($K1935,'Type Chart'!$C$2:$U$20,14,false)</f>
        <v>2</v>
      </c>
      <c r="AH1935" s="960">
        <f t="array" ref="AH1935">HLOOKUP($J1935,'Type Chart'!$C$2:$T$20,15,false)*HLOOKUP($K1935,'Type Chart'!$C$2:$U$20,15,false)</f>
        <v>0.5</v>
      </c>
      <c r="AI1935" s="960">
        <f t="array" ref="AI1935">HLOOKUP($J1935,'Type Chart'!$C$2:$T$20,16,false)*HLOOKUP($K1935,'Type Chart'!$C$2:$U$20,16,false)</f>
        <v>2</v>
      </c>
      <c r="AJ1935" s="960">
        <f t="array" ref="AJ1935">HLOOKUP($J1935,'Type Chart'!$C$2:$T$20,17,false)*HLOOKUP($K1935,'Type Chart'!$C$2:$U$20,17,false)</f>
        <v>1</v>
      </c>
      <c r="AK1935" s="960">
        <f t="array" ref="AK1935">HLOOKUP($J1935,'Type Chart'!$C$2:$T$20,18,false)*HLOOKUP($K1935,'Type Chart'!$C$2:$U$20,18,false)</f>
        <v>2</v>
      </c>
      <c r="AL1935" s="960">
        <f t="array" ref="AL1935">HLOOKUP($J1935,'Type Chart'!$C$2:$T$20,19,false)*HLOOKUP($K1935,'Type Chart'!$C$2:$U$20,19,false)</f>
        <v>1</v>
      </c>
      <c r="AM1935" s="964" t="s">
        <v>1169</v>
      </c>
      <c r="AN1935" s="965" t="s">
        <v>2552</v>
      </c>
      <c r="AO1935" s="966" t="s">
        <v>2215</v>
      </c>
      <c r="AP1935" s="936"/>
      <c r="AQ1935" s="1245"/>
      <c r="AR1935" s="1245"/>
      <c r="AS1935" s="936"/>
    </row>
    <row r="1936" ht="15.75" customHeight="1">
      <c r="A1936" s="1099"/>
      <c r="B1936" s="948" t="s">
        <v>2876</v>
      </c>
      <c r="C1936" s="1197" t="s">
        <v>2877</v>
      </c>
      <c r="D1936" s="1197" t="s">
        <v>2877</v>
      </c>
      <c r="E1936" s="1147" t="s">
        <v>2877</v>
      </c>
      <c r="F1936" s="940"/>
      <c r="G1936" s="953"/>
      <c r="H1936" s="969"/>
      <c r="I1936" s="998" t="s">
        <v>5036</v>
      </c>
      <c r="J1936" s="1203" t="s">
        <v>344</v>
      </c>
      <c r="K1936" s="1001" t="s">
        <v>128</v>
      </c>
      <c r="L1936" s="959">
        <v>67.0</v>
      </c>
      <c r="M1936" s="960">
        <v>57.0</v>
      </c>
      <c r="N1936" s="960">
        <v>55.0</v>
      </c>
      <c r="O1936" s="960">
        <v>77.0</v>
      </c>
      <c r="P1936" s="960">
        <v>55.0</v>
      </c>
      <c r="Q1936" s="960">
        <v>114.0</v>
      </c>
      <c r="R1936" s="960">
        <v>264.0</v>
      </c>
      <c r="S1936" s="960">
        <v>327.0</v>
      </c>
      <c r="T1936" s="960">
        <v>359.0</v>
      </c>
      <c r="U1936" s="960">
        <f t="array" ref="U1936">HLOOKUP($J1936,'Type Chart'!$C$2:$T$20,2,false)*HLOOKUP($K1936,'Type Chart'!$C$2:$U$20,2,false)</f>
        <v>1</v>
      </c>
      <c r="V1936" s="960">
        <f t="array" ref="V1936">HLOOKUP($J1936,'Type Chart'!$C$2:$T$20,3,false)*HLOOKUP($K1936,'Type Chart'!$C$2:$U$20,3,false)</f>
        <v>0.25</v>
      </c>
      <c r="W1936" s="960">
        <f t="array" ref="W1936">HLOOKUP($J1936,'Type Chart'!$C$2:$T$20,4,false)*HLOOKUP($K1936,'Type Chart'!$C$2:$U$20,4,false)</f>
        <v>1</v>
      </c>
      <c r="X1936" s="960">
        <f t="array" ref="X1936">HLOOKUP($J1936,'Type Chart'!$C$2:$T$20,5,false)*HLOOKUP($K1936,'Type Chart'!$C$2:$U$20,5,false)</f>
        <v>1</v>
      </c>
      <c r="Y1936" s="960">
        <f t="array" ref="Y1936">HLOOKUP($J1936,'Type Chart'!$C$2:$T$20,6,false)*HLOOKUP($K1936,'Type Chart'!$C$2:$U$20,6,false)</f>
        <v>0</v>
      </c>
      <c r="Z1936" s="960">
        <f t="array" ref="Z1936">HLOOKUP($J1936,'Type Chart'!$C$2:$T$20,7,false)*HLOOKUP($K1936,'Type Chart'!$C$2:$U$20,7,false)</f>
        <v>2</v>
      </c>
      <c r="AA1936" s="960">
        <f t="array" ref="AA1936">HLOOKUP($J1936,'Type Chart'!$C$2:$T$20,8,false)*HLOOKUP($K1936,'Type Chart'!$C$2:$U$20,8,false)</f>
        <v>1</v>
      </c>
      <c r="AB1936" s="960">
        <f t="array" ref="AB1936">HLOOKUP($J1936,'Type Chart'!$C$2:$T$20,9,false)*HLOOKUP($K1936,'Type Chart'!$C$2:$U$20,9,false)</f>
        <v>2</v>
      </c>
      <c r="AC1936" s="960">
        <f t="array" ref="AC1936">HLOOKUP($J1936,'Type Chart'!$C$2:$T$20,10,false)*HLOOKUP($K1936,'Type Chart'!$C$2:$U$20,10,false)</f>
        <v>1</v>
      </c>
      <c r="AD1936" s="960">
        <f t="array" ref="AD1936">HLOOKUP($J1936,'Type Chart'!$C$2:$T$20,11,false)*HLOOKUP($K1936,'Type Chart'!$C$2:$U$20,11,false)</f>
        <v>1</v>
      </c>
      <c r="AE1936" s="960">
        <f t="array" ref="AE1936">HLOOKUP($J1936,'Type Chart'!$C$2:$T$20,12,false)*HLOOKUP($K1936,'Type Chart'!$C$2:$U$20,12,false)</f>
        <v>1</v>
      </c>
      <c r="AF1936" s="960">
        <f t="array" ref="AF1936">HLOOKUP($J1936,'Type Chart'!$C$2:$T$20,13,false)*HLOOKUP($K1936,'Type Chart'!$C$2:$U$20,13,false)</f>
        <v>0.5</v>
      </c>
      <c r="AG1936" s="960">
        <f t="array" ref="AG1936">HLOOKUP($J1936,'Type Chart'!$C$2:$T$20,14,false)*HLOOKUP($K1936,'Type Chart'!$C$2:$U$20,14,false)</f>
        <v>2</v>
      </c>
      <c r="AH1936" s="960">
        <f t="array" ref="AH1936">HLOOKUP($J1936,'Type Chart'!$C$2:$T$20,15,false)*HLOOKUP($K1936,'Type Chart'!$C$2:$U$20,15,false)</f>
        <v>0.5</v>
      </c>
      <c r="AI1936" s="960">
        <f t="array" ref="AI1936">HLOOKUP($J1936,'Type Chart'!$C$2:$T$20,16,false)*HLOOKUP($K1936,'Type Chart'!$C$2:$U$20,16,false)</f>
        <v>2</v>
      </c>
      <c r="AJ1936" s="960">
        <f t="array" ref="AJ1936">HLOOKUP($J1936,'Type Chart'!$C$2:$T$20,17,false)*HLOOKUP($K1936,'Type Chart'!$C$2:$U$20,17,false)</f>
        <v>1</v>
      </c>
      <c r="AK1936" s="960">
        <f t="array" ref="AK1936">HLOOKUP($J1936,'Type Chart'!$C$2:$T$20,18,false)*HLOOKUP($K1936,'Type Chart'!$C$2:$U$20,18,false)</f>
        <v>2</v>
      </c>
      <c r="AL1936" s="960">
        <f t="array" ref="AL1936">HLOOKUP($J1936,'Type Chart'!$C$2:$T$20,19,false)*HLOOKUP($K1936,'Type Chart'!$C$2:$U$20,19,false)</f>
        <v>1</v>
      </c>
      <c r="AM1936" s="964" t="s">
        <v>1169</v>
      </c>
      <c r="AN1936" s="965" t="s">
        <v>2552</v>
      </c>
      <c r="AO1936" s="966" t="s">
        <v>2215</v>
      </c>
      <c r="AP1936" s="936"/>
      <c r="AQ1936" s="1245"/>
      <c r="AR1936" s="1245"/>
      <c r="AS1936" s="936"/>
    </row>
    <row r="1937" ht="15.75" customHeight="1">
      <c r="A1937" s="1099"/>
      <c r="B1937" s="948" t="s">
        <v>2879</v>
      </c>
      <c r="C1937" s="1197" t="s">
        <v>2880</v>
      </c>
      <c r="D1937" s="1197" t="s">
        <v>2880</v>
      </c>
      <c r="E1937" s="1147" t="s">
        <v>2880</v>
      </c>
      <c r="F1937" s="940"/>
      <c r="G1937" s="953"/>
      <c r="H1937" s="969"/>
      <c r="I1937" s="998" t="s">
        <v>5037</v>
      </c>
      <c r="J1937" s="1204" t="s">
        <v>80</v>
      </c>
      <c r="K1937" s="984" t="s">
        <v>216</v>
      </c>
      <c r="L1937" s="959">
        <v>60.0</v>
      </c>
      <c r="M1937" s="960">
        <v>85.0</v>
      </c>
      <c r="N1937" s="960">
        <v>40.0</v>
      </c>
      <c r="O1937" s="960">
        <v>30.0</v>
      </c>
      <c r="P1937" s="960">
        <v>45.0</v>
      </c>
      <c r="Q1937" s="960">
        <v>68.0</v>
      </c>
      <c r="R1937" s="960">
        <v>172.0</v>
      </c>
      <c r="S1937" s="960">
        <v>235.0</v>
      </c>
      <c r="T1937" s="960">
        <v>258.0</v>
      </c>
      <c r="U1937" s="960">
        <f t="array" ref="U1937">HLOOKUP($J1937,'Type Chart'!$C$2:$T$20,2,false)*HLOOKUP($K1937,'Type Chart'!$C$2:$U$20,2,false)</f>
        <v>1</v>
      </c>
      <c r="V1937" s="960">
        <f t="array" ref="V1937">HLOOKUP($J1937,'Type Chart'!$C$2:$T$20,3,false)*HLOOKUP($K1937,'Type Chart'!$C$2:$U$20,3,false)</f>
        <v>1</v>
      </c>
      <c r="W1937" s="960">
        <f t="array" ref="W1937">HLOOKUP($J1937,'Type Chart'!$C$2:$T$20,4,false)*HLOOKUP($K1937,'Type Chart'!$C$2:$U$20,4,false)</f>
        <v>1</v>
      </c>
      <c r="X1937" s="960">
        <f t="array" ref="X1937">HLOOKUP($J1937,'Type Chart'!$C$2:$T$20,5,false)*HLOOKUP($K1937,'Type Chart'!$C$2:$U$20,5,false)</f>
        <v>0.5</v>
      </c>
      <c r="Y1937" s="960">
        <f t="array" ref="Y1937">HLOOKUP($J1937,'Type Chart'!$C$2:$T$20,6,false)*HLOOKUP($K1937,'Type Chart'!$C$2:$U$20,6,false)</f>
        <v>1</v>
      </c>
      <c r="Z1937" s="960">
        <f t="array" ref="Z1937">HLOOKUP($J1937,'Type Chart'!$C$2:$T$20,7,false)*HLOOKUP($K1937,'Type Chart'!$C$2:$U$20,7,false)</f>
        <v>0.5</v>
      </c>
      <c r="AA1937" s="960">
        <f t="array" ref="AA1937">HLOOKUP($J1937,'Type Chart'!$C$2:$T$20,8,false)*HLOOKUP($K1937,'Type Chart'!$C$2:$U$20,8,false)</f>
        <v>1</v>
      </c>
      <c r="AB1937" s="960">
        <f t="array" ref="AB1937">HLOOKUP($J1937,'Type Chart'!$C$2:$T$20,9,false)*HLOOKUP($K1937,'Type Chart'!$C$2:$U$20,9,false)</f>
        <v>1</v>
      </c>
      <c r="AC1937" s="960">
        <f t="array" ref="AC1937">HLOOKUP($J1937,'Type Chart'!$C$2:$T$20,10,false)*HLOOKUP($K1937,'Type Chart'!$C$2:$U$20,10,false)</f>
        <v>1</v>
      </c>
      <c r="AD1937" s="960">
        <f t="array" ref="AD1937">HLOOKUP($J1937,'Type Chart'!$C$2:$T$20,11,false)*HLOOKUP($K1937,'Type Chart'!$C$2:$U$20,11,false)</f>
        <v>1</v>
      </c>
      <c r="AE1937" s="960">
        <f t="array" ref="AE1937">HLOOKUP($J1937,'Type Chart'!$C$2:$T$20,12,false)*HLOOKUP($K1937,'Type Chart'!$C$2:$U$20,12,false)</f>
        <v>2</v>
      </c>
      <c r="AF1937" s="960">
        <f t="array" ref="AF1937">HLOOKUP($J1937,'Type Chart'!$C$2:$T$20,13,false)*HLOOKUP($K1937,'Type Chart'!$C$2:$U$20,13,false)</f>
        <v>2</v>
      </c>
      <c r="AG1937" s="960">
        <f t="array" ref="AG1937">HLOOKUP($J1937,'Type Chart'!$C$2:$T$20,14,false)*HLOOKUP($K1937,'Type Chart'!$C$2:$U$20,14,false)</f>
        <v>0</v>
      </c>
      <c r="AH1937" s="960">
        <f t="array" ref="AH1937">HLOOKUP($J1937,'Type Chart'!$C$2:$T$20,15,false)*HLOOKUP($K1937,'Type Chart'!$C$2:$U$20,15,false)</f>
        <v>1</v>
      </c>
      <c r="AI1937" s="960">
        <f t="array" ref="AI1937">HLOOKUP($J1937,'Type Chart'!$C$2:$T$20,16,false)*HLOOKUP($K1937,'Type Chart'!$C$2:$U$20,16,false)</f>
        <v>2</v>
      </c>
      <c r="AJ1937" s="960">
        <f t="array" ref="AJ1937">HLOOKUP($J1937,'Type Chart'!$C$2:$T$20,17,false)*HLOOKUP($K1937,'Type Chart'!$C$2:$U$20,17,false)</f>
        <v>1</v>
      </c>
      <c r="AK1937" s="960">
        <f t="array" ref="AK1937">HLOOKUP($J1937,'Type Chart'!$C$2:$T$20,18,false)*HLOOKUP($K1937,'Type Chart'!$C$2:$U$20,18,false)</f>
        <v>1</v>
      </c>
      <c r="AL1937" s="960">
        <f t="array" ref="AL1937">HLOOKUP($J1937,'Type Chart'!$C$2:$T$20,19,false)*HLOOKUP($K1937,'Type Chart'!$C$2:$U$20,19,false)</f>
        <v>1</v>
      </c>
      <c r="AM1937" s="1145" t="s">
        <v>1130</v>
      </c>
      <c r="AN1937" s="965" t="s">
        <v>1224</v>
      </c>
      <c r="AO1937" s="966" t="s">
        <v>1576</v>
      </c>
      <c r="AP1937" s="936"/>
      <c r="AQ1937" s="1245"/>
      <c r="AR1937" s="1245"/>
      <c r="AS1937" s="936"/>
    </row>
    <row r="1938" ht="15.75" customHeight="1">
      <c r="A1938" s="1099"/>
      <c r="B1938" s="948" t="s">
        <v>2882</v>
      </c>
      <c r="C1938" s="1197" t="s">
        <v>2883</v>
      </c>
      <c r="D1938" s="1197" t="s">
        <v>2883</v>
      </c>
      <c r="E1938" s="1147" t="s">
        <v>2883</v>
      </c>
      <c r="F1938" s="940"/>
      <c r="G1938" s="953"/>
      <c r="H1938" s="969"/>
      <c r="I1938" s="998" t="s">
        <v>5038</v>
      </c>
      <c r="J1938" s="1204" t="s">
        <v>80</v>
      </c>
      <c r="K1938" s="1206" t="s">
        <v>82</v>
      </c>
      <c r="L1938" s="959">
        <v>110.0</v>
      </c>
      <c r="M1938" s="960">
        <v>135.0</v>
      </c>
      <c r="N1938" s="960">
        <v>60.0</v>
      </c>
      <c r="O1938" s="960">
        <v>50.0</v>
      </c>
      <c r="P1938" s="960">
        <v>65.0</v>
      </c>
      <c r="Q1938" s="960">
        <v>88.0</v>
      </c>
      <c r="R1938" s="960">
        <v>212.0</v>
      </c>
      <c r="S1938" s="960">
        <v>275.0</v>
      </c>
      <c r="T1938" s="960">
        <v>302.0</v>
      </c>
      <c r="U1938" s="960">
        <f t="array" ref="U1938">HLOOKUP($J1938,'Type Chart'!$C$2:$T$20,2,false)*HLOOKUP($K1938,'Type Chart'!$C$2:$U$20,2,false)</f>
        <v>0.5</v>
      </c>
      <c r="V1938" s="960">
        <f t="array" ref="V1938">HLOOKUP($J1938,'Type Chart'!$C$2:$T$20,3,false)*HLOOKUP($K1938,'Type Chart'!$C$2:$U$20,3,false)</f>
        <v>2</v>
      </c>
      <c r="W1938" s="960">
        <f t="array" ref="W1938">HLOOKUP($J1938,'Type Chart'!$C$2:$T$20,4,false)*HLOOKUP($K1938,'Type Chart'!$C$2:$U$20,4,false)</f>
        <v>0.5</v>
      </c>
      <c r="X1938" s="960">
        <f t="array" ref="X1938">HLOOKUP($J1938,'Type Chart'!$C$2:$T$20,5,false)*HLOOKUP($K1938,'Type Chart'!$C$2:$U$20,5,false)</f>
        <v>0</v>
      </c>
      <c r="Y1938" s="960">
        <f t="array" ref="Y1938">HLOOKUP($J1938,'Type Chart'!$C$2:$T$20,6,false)*HLOOKUP($K1938,'Type Chart'!$C$2:$U$20,6,false)</f>
        <v>2</v>
      </c>
      <c r="Z1938" s="960">
        <f t="array" ref="Z1938">HLOOKUP($J1938,'Type Chart'!$C$2:$T$20,7,false)*HLOOKUP($K1938,'Type Chart'!$C$2:$U$20,7,false)</f>
        <v>0.25</v>
      </c>
      <c r="AA1938" s="960">
        <f t="array" ref="AA1938">HLOOKUP($J1938,'Type Chart'!$C$2:$T$20,8,false)*HLOOKUP($K1938,'Type Chart'!$C$2:$U$20,8,false)</f>
        <v>0.5</v>
      </c>
      <c r="AB1938" s="960">
        <f t="array" ref="AB1938">HLOOKUP($J1938,'Type Chart'!$C$2:$T$20,9,false)*HLOOKUP($K1938,'Type Chart'!$C$2:$U$20,9,false)</f>
        <v>1</v>
      </c>
      <c r="AC1938" s="960">
        <f t="array" ref="AC1938">HLOOKUP($J1938,'Type Chart'!$C$2:$T$20,10,false)*HLOOKUP($K1938,'Type Chart'!$C$2:$U$20,10,false)</f>
        <v>0.5</v>
      </c>
      <c r="AD1938" s="960">
        <f t="array" ref="AD1938">HLOOKUP($J1938,'Type Chart'!$C$2:$T$20,11,false)*HLOOKUP($K1938,'Type Chart'!$C$2:$U$20,11,false)</f>
        <v>2</v>
      </c>
      <c r="AE1938" s="960">
        <f t="array" ref="AE1938">HLOOKUP($J1938,'Type Chart'!$C$2:$T$20,12,false)*HLOOKUP($K1938,'Type Chart'!$C$2:$U$20,12,false)</f>
        <v>2</v>
      </c>
      <c r="AF1938" s="960">
        <f t="array" ref="AF1938">HLOOKUP($J1938,'Type Chart'!$C$2:$T$20,13,false)*HLOOKUP($K1938,'Type Chart'!$C$2:$U$20,13,false)</f>
        <v>1</v>
      </c>
      <c r="AG1938" s="960">
        <f t="array" ref="AG1938">HLOOKUP($J1938,'Type Chart'!$C$2:$T$20,14,false)*HLOOKUP($K1938,'Type Chart'!$C$2:$U$20,14,false)</f>
        <v>0</v>
      </c>
      <c r="AH1938" s="960">
        <f t="array" ref="AH1938">HLOOKUP($J1938,'Type Chart'!$C$2:$T$20,15,false)*HLOOKUP($K1938,'Type Chart'!$C$2:$U$20,15,false)</f>
        <v>0.5</v>
      </c>
      <c r="AI1938" s="960">
        <f t="array" ref="AI1938">HLOOKUP($J1938,'Type Chart'!$C$2:$T$20,16,false)*HLOOKUP($K1938,'Type Chart'!$C$2:$U$20,16,false)</f>
        <v>1</v>
      </c>
      <c r="AJ1938" s="960">
        <f t="array" ref="AJ1938">HLOOKUP($J1938,'Type Chart'!$C$2:$T$20,17,false)*HLOOKUP($K1938,'Type Chart'!$C$2:$U$20,17,false)</f>
        <v>0.5</v>
      </c>
      <c r="AK1938" s="960">
        <f t="array" ref="AK1938">HLOOKUP($J1938,'Type Chart'!$C$2:$T$20,18,false)*HLOOKUP($K1938,'Type Chart'!$C$2:$U$20,18,false)</f>
        <v>1</v>
      </c>
      <c r="AL1938" s="960">
        <f t="array" ref="AL1938">HLOOKUP($J1938,'Type Chart'!$C$2:$T$20,19,false)*HLOOKUP($K1938,'Type Chart'!$C$2:$U$20,19,false)</f>
        <v>0.5</v>
      </c>
      <c r="AM1938" s="964" t="s">
        <v>1130</v>
      </c>
      <c r="AN1938" s="965" t="s">
        <v>1224</v>
      </c>
      <c r="AO1938" s="966" t="s">
        <v>1576</v>
      </c>
      <c r="AP1938" s="936"/>
      <c r="AQ1938" s="1245"/>
      <c r="AR1938" s="1245"/>
      <c r="AS1938" s="936"/>
    </row>
    <row r="1939" ht="15.75" customHeight="1">
      <c r="A1939" s="1099"/>
      <c r="B1939" s="948" t="s">
        <v>2884</v>
      </c>
      <c r="C1939" s="1197" t="s">
        <v>2885</v>
      </c>
      <c r="D1939" s="1197" t="s">
        <v>2885</v>
      </c>
      <c r="E1939" s="1147" t="s">
        <v>2885</v>
      </c>
      <c r="F1939" s="940"/>
      <c r="G1939" s="953"/>
      <c r="H1939" s="969"/>
      <c r="I1939" s="998" t="s">
        <v>5039</v>
      </c>
      <c r="J1939" s="1194" t="s">
        <v>136</v>
      </c>
      <c r="K1939" s="984" t="s">
        <v>216</v>
      </c>
      <c r="L1939" s="959">
        <v>103.0</v>
      </c>
      <c r="M1939" s="960">
        <v>60.0</v>
      </c>
      <c r="N1939" s="960">
        <v>86.0</v>
      </c>
      <c r="O1939" s="960">
        <v>60.0</v>
      </c>
      <c r="P1939" s="960">
        <v>86.0</v>
      </c>
      <c r="Q1939" s="960">
        <v>50.0</v>
      </c>
      <c r="R1939" s="960">
        <v>136.0</v>
      </c>
      <c r="S1939" s="960">
        <v>199.0</v>
      </c>
      <c r="T1939" s="960">
        <v>218.0</v>
      </c>
      <c r="U1939" s="960">
        <f t="array" ref="U1939">HLOOKUP($J1939,'Type Chart'!$C$2:$T$20,2,false)*HLOOKUP($K1939,'Type Chart'!$C$2:$U$20,2,false)</f>
        <v>1</v>
      </c>
      <c r="V1939" s="960">
        <f t="array" ref="V1939">HLOOKUP($J1939,'Type Chart'!$C$2:$T$20,3,false)*HLOOKUP($K1939,'Type Chart'!$C$2:$U$20,3,false)</f>
        <v>2</v>
      </c>
      <c r="W1939" s="960">
        <f t="array" ref="W1939">HLOOKUP($J1939,'Type Chart'!$C$2:$T$20,4,false)*HLOOKUP($K1939,'Type Chart'!$C$2:$U$20,4,false)</f>
        <v>1</v>
      </c>
      <c r="X1939" s="960">
        <f t="array" ref="X1939">HLOOKUP($J1939,'Type Chart'!$C$2:$T$20,5,false)*HLOOKUP($K1939,'Type Chart'!$C$2:$U$20,5,false)</f>
        <v>1</v>
      </c>
      <c r="Y1939" s="960">
        <f t="array" ref="Y1939">HLOOKUP($J1939,'Type Chart'!$C$2:$T$20,6,false)*HLOOKUP($K1939,'Type Chart'!$C$2:$U$20,6,false)</f>
        <v>1</v>
      </c>
      <c r="Z1939" s="960">
        <f t="array" ref="Z1939">HLOOKUP($J1939,'Type Chart'!$C$2:$T$20,7,false)*HLOOKUP($K1939,'Type Chart'!$C$2:$U$20,7,false)</f>
        <v>1</v>
      </c>
      <c r="AA1939" s="960">
        <f t="array" ref="AA1939">HLOOKUP($J1939,'Type Chart'!$C$2:$T$20,8,false)*HLOOKUP($K1939,'Type Chart'!$C$2:$U$20,8,false)</f>
        <v>1</v>
      </c>
      <c r="AB1939" s="960">
        <f t="array" ref="AB1939">HLOOKUP($J1939,'Type Chart'!$C$2:$T$20,9,false)*HLOOKUP($K1939,'Type Chart'!$C$2:$U$20,9,false)</f>
        <v>0</v>
      </c>
      <c r="AC1939" s="960">
        <f t="array" ref="AC1939">HLOOKUP($J1939,'Type Chart'!$C$2:$T$20,10,false)*HLOOKUP($K1939,'Type Chart'!$C$2:$U$20,10,false)</f>
        <v>1</v>
      </c>
      <c r="AD1939" s="960">
        <f t="array" ref="AD1939">HLOOKUP($J1939,'Type Chart'!$C$2:$T$20,11,false)*HLOOKUP($K1939,'Type Chart'!$C$2:$U$20,11,false)</f>
        <v>1</v>
      </c>
      <c r="AE1939" s="960">
        <f t="array" ref="AE1939">HLOOKUP($J1939,'Type Chart'!$C$2:$T$20,12,false)*HLOOKUP($K1939,'Type Chart'!$C$2:$U$20,12,false)</f>
        <v>1</v>
      </c>
      <c r="AF1939" s="960">
        <f t="array" ref="AF1939">HLOOKUP($J1939,'Type Chart'!$C$2:$T$20,13,false)*HLOOKUP($K1939,'Type Chart'!$C$2:$U$20,13,false)</f>
        <v>1</v>
      </c>
      <c r="AG1939" s="960">
        <f t="array" ref="AG1939">HLOOKUP($J1939,'Type Chart'!$C$2:$T$20,14,false)*HLOOKUP($K1939,'Type Chart'!$C$2:$U$20,14,false)</f>
        <v>1</v>
      </c>
      <c r="AH1939" s="960">
        <f t="array" ref="AH1939">HLOOKUP($J1939,'Type Chart'!$C$2:$T$20,15,false)*HLOOKUP($K1939,'Type Chart'!$C$2:$U$20,15,false)</f>
        <v>1</v>
      </c>
      <c r="AI1939" s="960">
        <f t="array" ref="AI1939">HLOOKUP($J1939,'Type Chart'!$C$2:$T$20,16,false)*HLOOKUP($K1939,'Type Chart'!$C$2:$U$20,16,false)</f>
        <v>1</v>
      </c>
      <c r="AJ1939" s="960">
        <f t="array" ref="AJ1939">HLOOKUP($J1939,'Type Chart'!$C$2:$T$20,17,false)*HLOOKUP($K1939,'Type Chart'!$C$2:$U$20,17,false)</f>
        <v>1</v>
      </c>
      <c r="AK1939" s="960">
        <f t="array" ref="AK1939">HLOOKUP($J1939,'Type Chart'!$C$2:$T$20,18,false)*HLOOKUP($K1939,'Type Chart'!$C$2:$U$20,18,false)</f>
        <v>1</v>
      </c>
      <c r="AL1939" s="960">
        <f t="array" ref="AL1939">HLOOKUP($J1939,'Type Chart'!$C$2:$T$20,19,false)*HLOOKUP($K1939,'Type Chart'!$C$2:$U$20,19,false)</f>
        <v>1</v>
      </c>
      <c r="AM1939" s="964" t="s">
        <v>1522</v>
      </c>
      <c r="AN1939" s="965" t="s">
        <v>1371</v>
      </c>
      <c r="AO1939" s="966" t="s">
        <v>2552</v>
      </c>
      <c r="AP1939" s="936"/>
      <c r="AQ1939" s="1245"/>
      <c r="AR1939" s="1245"/>
      <c r="AS1939" s="936"/>
    </row>
    <row r="1940" ht="15.75" customHeight="1">
      <c r="A1940" s="1099"/>
      <c r="B1940" s="948" t="s">
        <v>2887</v>
      </c>
      <c r="C1940" s="1197" t="s">
        <v>2888</v>
      </c>
      <c r="D1940" s="1197" t="s">
        <v>2888</v>
      </c>
      <c r="E1940" s="1147" t="s">
        <v>2888</v>
      </c>
      <c r="F1940" s="940"/>
      <c r="G1940" s="953"/>
      <c r="H1940" s="969"/>
      <c r="I1940" s="998" t="s">
        <v>5040</v>
      </c>
      <c r="J1940" s="1194" t="s">
        <v>136</v>
      </c>
      <c r="K1940" s="1207" t="s">
        <v>127</v>
      </c>
      <c r="L1940" s="959">
        <v>103.0</v>
      </c>
      <c r="M1940" s="960">
        <v>60.0</v>
      </c>
      <c r="N1940" s="960">
        <v>126.0</v>
      </c>
      <c r="O1940" s="960">
        <v>80.0</v>
      </c>
      <c r="P1940" s="960">
        <v>126.0</v>
      </c>
      <c r="Q1940" s="960">
        <v>50.0</v>
      </c>
      <c r="R1940" s="960">
        <v>136.0</v>
      </c>
      <c r="S1940" s="960">
        <v>199.0</v>
      </c>
      <c r="T1940" s="960">
        <v>218.0</v>
      </c>
      <c r="U1940" s="960">
        <f t="array" ref="U1940">HLOOKUP($J1940,'Type Chart'!$C$2:$T$20,2,false)*HLOOKUP($K1940,'Type Chart'!$C$2:$U$20,2,false)</f>
        <v>1</v>
      </c>
      <c r="V1940" s="960">
        <f t="array" ref="V1940">HLOOKUP($J1940,'Type Chart'!$C$2:$T$20,3,false)*HLOOKUP($K1940,'Type Chart'!$C$2:$U$20,3,false)</f>
        <v>1</v>
      </c>
      <c r="W1940" s="960">
        <f t="array" ref="W1940">HLOOKUP($J1940,'Type Chart'!$C$2:$T$20,4,false)*HLOOKUP($K1940,'Type Chart'!$C$2:$U$20,4,false)</f>
        <v>1</v>
      </c>
      <c r="X1940" s="960">
        <f t="array" ref="X1940">HLOOKUP($J1940,'Type Chart'!$C$2:$T$20,5,false)*HLOOKUP($K1940,'Type Chart'!$C$2:$U$20,5,false)</f>
        <v>2</v>
      </c>
      <c r="Y1940" s="960">
        <f t="array" ref="Y1940">HLOOKUP($J1940,'Type Chart'!$C$2:$T$20,6,false)*HLOOKUP($K1940,'Type Chart'!$C$2:$U$20,6,false)</f>
        <v>1</v>
      </c>
      <c r="Z1940" s="960">
        <f t="array" ref="Z1940">HLOOKUP($J1940,'Type Chart'!$C$2:$T$20,7,false)*HLOOKUP($K1940,'Type Chart'!$C$2:$U$20,7,false)</f>
        <v>1</v>
      </c>
      <c r="AA1940" s="960">
        <f t="array" ref="AA1940">HLOOKUP($J1940,'Type Chart'!$C$2:$T$20,8,false)*HLOOKUP($K1940,'Type Chart'!$C$2:$U$20,8,false)</f>
        <v>0.5</v>
      </c>
      <c r="AB1940" s="960">
        <f t="array" ref="AB1940">HLOOKUP($J1940,'Type Chart'!$C$2:$T$20,9,false)*HLOOKUP($K1940,'Type Chart'!$C$2:$U$20,9,false)</f>
        <v>0</v>
      </c>
      <c r="AC1940" s="960">
        <f t="array" ref="AC1940">HLOOKUP($J1940,'Type Chart'!$C$2:$T$20,10,false)*HLOOKUP($K1940,'Type Chart'!$C$2:$U$20,10,false)</f>
        <v>2</v>
      </c>
      <c r="AD1940" s="960">
        <f t="array" ref="AD1940">HLOOKUP($J1940,'Type Chart'!$C$2:$T$20,11,false)*HLOOKUP($K1940,'Type Chart'!$C$2:$U$20,11,false)</f>
        <v>1</v>
      </c>
      <c r="AE1940" s="960">
        <f t="array" ref="AE1940">HLOOKUP($J1940,'Type Chart'!$C$2:$T$20,12,false)*HLOOKUP($K1940,'Type Chart'!$C$2:$U$20,12,false)</f>
        <v>1</v>
      </c>
      <c r="AF1940" s="960">
        <f t="array" ref="AF1940">HLOOKUP($J1940,'Type Chart'!$C$2:$T$20,13,false)*HLOOKUP($K1940,'Type Chart'!$C$2:$U$20,13,false)</f>
        <v>1</v>
      </c>
      <c r="AG1940" s="960">
        <f t="array" ref="AG1940">HLOOKUP($J1940,'Type Chart'!$C$2:$T$20,14,false)*HLOOKUP($K1940,'Type Chart'!$C$2:$U$20,14,false)</f>
        <v>1</v>
      </c>
      <c r="AH1940" s="960">
        <f t="array" ref="AH1940">HLOOKUP($J1940,'Type Chart'!$C$2:$T$20,15,false)*HLOOKUP($K1940,'Type Chart'!$C$2:$U$20,15,false)</f>
        <v>1</v>
      </c>
      <c r="AI1940" s="960">
        <f t="array" ref="AI1940">HLOOKUP($J1940,'Type Chart'!$C$2:$T$20,16,false)*HLOOKUP($K1940,'Type Chart'!$C$2:$U$20,16,false)</f>
        <v>1</v>
      </c>
      <c r="AJ1940" s="960">
        <f t="array" ref="AJ1940">HLOOKUP($J1940,'Type Chart'!$C$2:$T$20,17,false)*HLOOKUP($K1940,'Type Chart'!$C$2:$U$20,17,false)</f>
        <v>0</v>
      </c>
      <c r="AK1940" s="960">
        <f t="array" ref="AK1940">HLOOKUP($J1940,'Type Chart'!$C$2:$T$20,18,false)*HLOOKUP($K1940,'Type Chart'!$C$2:$U$20,18,false)</f>
        <v>0.5</v>
      </c>
      <c r="AL1940" s="960">
        <f t="array" ref="AL1940">HLOOKUP($J1940,'Type Chart'!$C$2:$T$20,19,false)*HLOOKUP($K1940,'Type Chart'!$C$2:$U$20,19,false)</f>
        <v>1</v>
      </c>
      <c r="AM1940" s="964" t="s">
        <v>1522</v>
      </c>
      <c r="AN1940" s="965"/>
      <c r="AO1940" s="966"/>
      <c r="AP1940" s="936"/>
      <c r="AQ1940" s="1245"/>
      <c r="AR1940" s="1245"/>
      <c r="AS1940" s="936"/>
    </row>
    <row r="1941" ht="15.75" customHeight="1">
      <c r="A1941" s="1099"/>
      <c r="B1941" s="948" t="s">
        <v>2890</v>
      </c>
      <c r="C1941" s="1197" t="s">
        <v>2891</v>
      </c>
      <c r="D1941" s="1197" t="s">
        <v>2891</v>
      </c>
      <c r="E1941" s="1147" t="s">
        <v>2891</v>
      </c>
      <c r="F1941" s="940"/>
      <c r="G1941" s="953"/>
      <c r="H1941" s="969"/>
      <c r="I1941" s="998" t="s">
        <v>5041</v>
      </c>
      <c r="J1941" s="1213" t="s">
        <v>341</v>
      </c>
      <c r="K1941" s="984" t="s">
        <v>216</v>
      </c>
      <c r="L1941" s="959">
        <v>75.0</v>
      </c>
      <c r="M1941" s="960">
        <v>80.0</v>
      </c>
      <c r="N1941" s="960">
        <v>55.0</v>
      </c>
      <c r="O1941" s="960">
        <v>25.0</v>
      </c>
      <c r="P1941" s="960">
        <v>35.0</v>
      </c>
      <c r="Q1941" s="960">
        <v>35.0</v>
      </c>
      <c r="R1941" s="960">
        <v>106.0</v>
      </c>
      <c r="S1941" s="960">
        <v>169.0</v>
      </c>
      <c r="T1941" s="960">
        <v>185.0</v>
      </c>
      <c r="U1941" s="960">
        <f t="array" ref="U1941">HLOOKUP($J1941,'Type Chart'!$C$2:$T$20,2,false)*HLOOKUP($K1941,'Type Chart'!$C$2:$U$20,2,false)</f>
        <v>1</v>
      </c>
      <c r="V1941" s="960">
        <f t="array" ref="V1941">HLOOKUP($J1941,'Type Chart'!$C$2:$T$20,3,false)*HLOOKUP($K1941,'Type Chart'!$C$2:$U$20,3,false)</f>
        <v>1</v>
      </c>
      <c r="W1941" s="960">
        <f t="array" ref="W1941">HLOOKUP($J1941,'Type Chart'!$C$2:$T$20,4,false)*HLOOKUP($K1941,'Type Chart'!$C$2:$U$20,4,false)</f>
        <v>2</v>
      </c>
      <c r="X1941" s="960">
        <f t="array" ref="X1941">HLOOKUP($J1941,'Type Chart'!$C$2:$T$20,5,false)*HLOOKUP($K1941,'Type Chart'!$C$2:$U$20,5,false)</f>
        <v>1</v>
      </c>
      <c r="Y1941" s="960">
        <f t="array" ref="Y1941">HLOOKUP($J1941,'Type Chart'!$C$2:$T$20,6,false)*HLOOKUP($K1941,'Type Chart'!$C$2:$U$20,6,false)</f>
        <v>1</v>
      </c>
      <c r="Z1941" s="960">
        <f t="array" ref="Z1941">HLOOKUP($J1941,'Type Chart'!$C$2:$T$20,7,false)*HLOOKUP($K1941,'Type Chart'!$C$2:$U$20,7,false)</f>
        <v>0.5</v>
      </c>
      <c r="AA1941" s="960">
        <f t="array" ref="AA1941">HLOOKUP($J1941,'Type Chart'!$C$2:$T$20,8,false)*HLOOKUP($K1941,'Type Chart'!$C$2:$U$20,8,false)</f>
        <v>0.5</v>
      </c>
      <c r="AB1941" s="960">
        <f t="array" ref="AB1941">HLOOKUP($J1941,'Type Chart'!$C$2:$T$20,9,false)*HLOOKUP($K1941,'Type Chart'!$C$2:$U$20,9,false)</f>
        <v>1</v>
      </c>
      <c r="AC1941" s="960">
        <f t="array" ref="AC1941">HLOOKUP($J1941,'Type Chart'!$C$2:$T$20,10,false)*HLOOKUP($K1941,'Type Chart'!$C$2:$U$20,10,false)</f>
        <v>1</v>
      </c>
      <c r="AD1941" s="960">
        <f t="array" ref="AD1941">HLOOKUP($J1941,'Type Chart'!$C$2:$T$20,11,false)*HLOOKUP($K1941,'Type Chart'!$C$2:$U$20,11,false)</f>
        <v>1</v>
      </c>
      <c r="AE1941" s="960">
        <f t="array" ref="AE1941">HLOOKUP($J1941,'Type Chart'!$C$2:$T$20,12,false)*HLOOKUP($K1941,'Type Chart'!$C$2:$U$20,12,false)</f>
        <v>1</v>
      </c>
      <c r="AF1941" s="960">
        <f t="array" ref="AF1941">HLOOKUP($J1941,'Type Chart'!$C$2:$T$20,13,false)*HLOOKUP($K1941,'Type Chart'!$C$2:$U$20,13,false)</f>
        <v>1</v>
      </c>
      <c r="AG1941" s="960">
        <f t="array" ref="AG1941">HLOOKUP($J1941,'Type Chart'!$C$2:$T$20,14,false)*HLOOKUP($K1941,'Type Chart'!$C$2:$U$20,14,false)</f>
        <v>1</v>
      </c>
      <c r="AH1941" s="960">
        <f t="array" ref="AH1941">HLOOKUP($J1941,'Type Chart'!$C$2:$T$20,15,false)*HLOOKUP($K1941,'Type Chart'!$C$2:$U$20,15,false)</f>
        <v>2</v>
      </c>
      <c r="AI1941" s="960">
        <f t="array" ref="AI1941">HLOOKUP($J1941,'Type Chart'!$C$2:$T$20,16,false)*HLOOKUP($K1941,'Type Chart'!$C$2:$U$20,16,false)</f>
        <v>1</v>
      </c>
      <c r="AJ1941" s="960">
        <f t="array" ref="AJ1941">HLOOKUP($J1941,'Type Chart'!$C$2:$T$20,17,false)*HLOOKUP($K1941,'Type Chart'!$C$2:$U$20,17,false)</f>
        <v>1</v>
      </c>
      <c r="AK1941" s="960">
        <f t="array" ref="AK1941">HLOOKUP($J1941,'Type Chart'!$C$2:$T$20,18,false)*HLOOKUP($K1941,'Type Chart'!$C$2:$U$20,18,false)</f>
        <v>0.5</v>
      </c>
      <c r="AL1941" s="960">
        <f t="array" ref="AL1941">HLOOKUP($J1941,'Type Chart'!$C$2:$T$20,19,false)*HLOOKUP($K1941,'Type Chart'!$C$2:$U$20,19,false)</f>
        <v>2</v>
      </c>
      <c r="AM1941" s="964" t="s">
        <v>1038</v>
      </c>
      <c r="AN1941" s="965" t="s">
        <v>1153</v>
      </c>
      <c r="AO1941" s="966" t="s">
        <v>1501</v>
      </c>
      <c r="AP1941" s="936"/>
      <c r="AQ1941" s="1245"/>
      <c r="AR1941" s="1245"/>
      <c r="AS1941" s="936"/>
    </row>
    <row r="1942" ht="15.75" customHeight="1">
      <c r="A1942" s="1099"/>
      <c r="B1942" s="948" t="s">
        <v>2893</v>
      </c>
      <c r="C1942" s="1197" t="s">
        <v>2894</v>
      </c>
      <c r="D1942" s="1197" t="s">
        <v>2894</v>
      </c>
      <c r="E1942" s="1147" t="s">
        <v>2894</v>
      </c>
      <c r="F1942" s="940"/>
      <c r="G1942" s="953"/>
      <c r="H1942" s="969"/>
      <c r="I1942" s="998" t="s">
        <v>5042</v>
      </c>
      <c r="J1942" s="1213" t="s">
        <v>341</v>
      </c>
      <c r="K1942" s="984" t="s">
        <v>216</v>
      </c>
      <c r="L1942" s="959">
        <v>85.0</v>
      </c>
      <c r="M1942" s="960">
        <v>105.0</v>
      </c>
      <c r="N1942" s="960">
        <v>85.0</v>
      </c>
      <c r="O1942" s="960">
        <v>40.0</v>
      </c>
      <c r="P1942" s="960">
        <v>50.0</v>
      </c>
      <c r="Q1942" s="960">
        <v>40.0</v>
      </c>
      <c r="R1942" s="960">
        <v>116.0</v>
      </c>
      <c r="S1942" s="960">
        <v>179.0</v>
      </c>
      <c r="T1942" s="960">
        <v>196.0</v>
      </c>
      <c r="U1942" s="960">
        <f t="array" ref="U1942">HLOOKUP($J1942,'Type Chart'!$C$2:$T$20,2,false)*HLOOKUP($K1942,'Type Chart'!$C$2:$U$20,2,false)</f>
        <v>1</v>
      </c>
      <c r="V1942" s="960">
        <f t="array" ref="V1942">HLOOKUP($J1942,'Type Chart'!$C$2:$T$20,3,false)*HLOOKUP($K1942,'Type Chart'!$C$2:$U$20,3,false)</f>
        <v>1</v>
      </c>
      <c r="W1942" s="960">
        <f t="array" ref="W1942">HLOOKUP($J1942,'Type Chart'!$C$2:$T$20,4,false)*HLOOKUP($K1942,'Type Chart'!$C$2:$U$20,4,false)</f>
        <v>2</v>
      </c>
      <c r="X1942" s="960">
        <f t="array" ref="X1942">HLOOKUP($J1942,'Type Chart'!$C$2:$T$20,5,false)*HLOOKUP($K1942,'Type Chart'!$C$2:$U$20,5,false)</f>
        <v>1</v>
      </c>
      <c r="Y1942" s="960">
        <f t="array" ref="Y1942">HLOOKUP($J1942,'Type Chart'!$C$2:$T$20,6,false)*HLOOKUP($K1942,'Type Chart'!$C$2:$U$20,6,false)</f>
        <v>1</v>
      </c>
      <c r="Z1942" s="960">
        <f t="array" ref="Z1942">HLOOKUP($J1942,'Type Chart'!$C$2:$T$20,7,false)*HLOOKUP($K1942,'Type Chart'!$C$2:$U$20,7,false)</f>
        <v>0.5</v>
      </c>
      <c r="AA1942" s="960">
        <f t="array" ref="AA1942">HLOOKUP($J1942,'Type Chart'!$C$2:$T$20,8,false)*HLOOKUP($K1942,'Type Chart'!$C$2:$U$20,8,false)</f>
        <v>0.5</v>
      </c>
      <c r="AB1942" s="960">
        <f t="array" ref="AB1942">HLOOKUP($J1942,'Type Chart'!$C$2:$T$20,9,false)*HLOOKUP($K1942,'Type Chart'!$C$2:$U$20,9,false)</f>
        <v>1</v>
      </c>
      <c r="AC1942" s="960">
        <f t="array" ref="AC1942">HLOOKUP($J1942,'Type Chart'!$C$2:$T$20,10,false)*HLOOKUP($K1942,'Type Chart'!$C$2:$U$20,10,false)</f>
        <v>1</v>
      </c>
      <c r="AD1942" s="960">
        <f t="array" ref="AD1942">HLOOKUP($J1942,'Type Chart'!$C$2:$T$20,11,false)*HLOOKUP($K1942,'Type Chart'!$C$2:$U$20,11,false)</f>
        <v>1</v>
      </c>
      <c r="AE1942" s="960">
        <f t="array" ref="AE1942">HLOOKUP($J1942,'Type Chart'!$C$2:$T$20,12,false)*HLOOKUP($K1942,'Type Chart'!$C$2:$U$20,12,false)</f>
        <v>1</v>
      </c>
      <c r="AF1942" s="960">
        <f t="array" ref="AF1942">HLOOKUP($J1942,'Type Chart'!$C$2:$T$20,13,false)*HLOOKUP($K1942,'Type Chart'!$C$2:$U$20,13,false)</f>
        <v>1</v>
      </c>
      <c r="AG1942" s="960">
        <f t="array" ref="AG1942">HLOOKUP($J1942,'Type Chart'!$C$2:$T$20,14,false)*HLOOKUP($K1942,'Type Chart'!$C$2:$U$20,14,false)</f>
        <v>1</v>
      </c>
      <c r="AH1942" s="960">
        <f t="array" ref="AH1942">HLOOKUP($J1942,'Type Chart'!$C$2:$T$20,15,false)*HLOOKUP($K1942,'Type Chart'!$C$2:$U$20,15,false)</f>
        <v>2</v>
      </c>
      <c r="AI1942" s="960">
        <f t="array" ref="AI1942">HLOOKUP($J1942,'Type Chart'!$C$2:$T$20,16,false)*HLOOKUP($K1942,'Type Chart'!$C$2:$U$20,16,false)</f>
        <v>1</v>
      </c>
      <c r="AJ1942" s="960">
        <f t="array" ref="AJ1942">HLOOKUP($J1942,'Type Chart'!$C$2:$T$20,17,false)*HLOOKUP($K1942,'Type Chart'!$C$2:$U$20,17,false)</f>
        <v>1</v>
      </c>
      <c r="AK1942" s="960">
        <f t="array" ref="AK1942">HLOOKUP($J1942,'Type Chart'!$C$2:$T$20,18,false)*HLOOKUP($K1942,'Type Chart'!$C$2:$U$20,18,false)</f>
        <v>0.5</v>
      </c>
      <c r="AL1942" s="960">
        <f t="array" ref="AL1942">HLOOKUP($J1942,'Type Chart'!$C$2:$T$20,19,false)*HLOOKUP($K1942,'Type Chart'!$C$2:$U$20,19,false)</f>
        <v>2</v>
      </c>
      <c r="AM1942" s="964" t="s">
        <v>1038</v>
      </c>
      <c r="AN1942" s="965" t="s">
        <v>1153</v>
      </c>
      <c r="AO1942" s="966" t="s">
        <v>1501</v>
      </c>
      <c r="AP1942" s="936"/>
      <c r="AQ1942" s="1245"/>
      <c r="AR1942" s="1245"/>
      <c r="AS1942" s="936"/>
    </row>
    <row r="1943" ht="15.75" customHeight="1">
      <c r="A1943" s="1099"/>
      <c r="B1943" s="948" t="s">
        <v>2895</v>
      </c>
      <c r="C1943" s="1197" t="s">
        <v>2896</v>
      </c>
      <c r="D1943" s="1197" t="s">
        <v>2896</v>
      </c>
      <c r="E1943" s="1147" t="s">
        <v>2896</v>
      </c>
      <c r="F1943" s="940"/>
      <c r="G1943" s="953"/>
      <c r="H1943" s="969"/>
      <c r="I1943" s="998" t="s">
        <v>5043</v>
      </c>
      <c r="J1943" s="1213" t="s">
        <v>341</v>
      </c>
      <c r="K1943" s="984" t="s">
        <v>216</v>
      </c>
      <c r="L1943" s="959">
        <v>105.0</v>
      </c>
      <c r="M1943" s="960">
        <v>140.0</v>
      </c>
      <c r="N1943" s="960">
        <v>95.0</v>
      </c>
      <c r="O1943" s="960">
        <v>55.0</v>
      </c>
      <c r="P1943" s="960">
        <v>65.0</v>
      </c>
      <c r="Q1943" s="960">
        <v>45.0</v>
      </c>
      <c r="R1943" s="960">
        <v>126.0</v>
      </c>
      <c r="S1943" s="960">
        <v>189.0</v>
      </c>
      <c r="T1943" s="960">
        <v>207.0</v>
      </c>
      <c r="U1943" s="960">
        <f t="array" ref="U1943">HLOOKUP($J1943,'Type Chart'!$C$2:$T$20,2,false)*HLOOKUP($K1943,'Type Chart'!$C$2:$U$20,2,false)</f>
        <v>1</v>
      </c>
      <c r="V1943" s="960">
        <f t="array" ref="V1943">HLOOKUP($J1943,'Type Chart'!$C$2:$T$20,3,false)*HLOOKUP($K1943,'Type Chart'!$C$2:$U$20,3,false)</f>
        <v>1</v>
      </c>
      <c r="W1943" s="960">
        <f t="array" ref="W1943">HLOOKUP($J1943,'Type Chart'!$C$2:$T$20,4,false)*HLOOKUP($K1943,'Type Chart'!$C$2:$U$20,4,false)</f>
        <v>2</v>
      </c>
      <c r="X1943" s="960">
        <f t="array" ref="X1943">HLOOKUP($J1943,'Type Chart'!$C$2:$T$20,5,false)*HLOOKUP($K1943,'Type Chart'!$C$2:$U$20,5,false)</f>
        <v>1</v>
      </c>
      <c r="Y1943" s="960">
        <f t="array" ref="Y1943">HLOOKUP($J1943,'Type Chart'!$C$2:$T$20,6,false)*HLOOKUP($K1943,'Type Chart'!$C$2:$U$20,6,false)</f>
        <v>1</v>
      </c>
      <c r="Z1943" s="960">
        <f t="array" ref="Z1943">HLOOKUP($J1943,'Type Chart'!$C$2:$T$20,7,false)*HLOOKUP($K1943,'Type Chart'!$C$2:$U$20,7,false)</f>
        <v>0.5</v>
      </c>
      <c r="AA1943" s="960">
        <f t="array" ref="AA1943">HLOOKUP($J1943,'Type Chart'!$C$2:$T$20,8,false)*HLOOKUP($K1943,'Type Chart'!$C$2:$U$20,8,false)</f>
        <v>0.5</v>
      </c>
      <c r="AB1943" s="960">
        <f t="array" ref="AB1943">HLOOKUP($J1943,'Type Chart'!$C$2:$T$20,9,false)*HLOOKUP($K1943,'Type Chart'!$C$2:$U$20,9,false)</f>
        <v>1</v>
      </c>
      <c r="AC1943" s="960">
        <f t="array" ref="AC1943">HLOOKUP($J1943,'Type Chart'!$C$2:$T$20,10,false)*HLOOKUP($K1943,'Type Chart'!$C$2:$U$20,10,false)</f>
        <v>1</v>
      </c>
      <c r="AD1943" s="960">
        <f t="array" ref="AD1943">HLOOKUP($J1943,'Type Chart'!$C$2:$T$20,11,false)*HLOOKUP($K1943,'Type Chart'!$C$2:$U$20,11,false)</f>
        <v>1</v>
      </c>
      <c r="AE1943" s="960">
        <f t="array" ref="AE1943">HLOOKUP($J1943,'Type Chart'!$C$2:$T$20,12,false)*HLOOKUP($K1943,'Type Chart'!$C$2:$U$20,12,false)</f>
        <v>1</v>
      </c>
      <c r="AF1943" s="960">
        <f t="array" ref="AF1943">HLOOKUP($J1943,'Type Chart'!$C$2:$T$20,13,false)*HLOOKUP($K1943,'Type Chart'!$C$2:$U$20,13,false)</f>
        <v>1</v>
      </c>
      <c r="AG1943" s="960">
        <f t="array" ref="AG1943">HLOOKUP($J1943,'Type Chart'!$C$2:$T$20,14,false)*HLOOKUP($K1943,'Type Chart'!$C$2:$U$20,14,false)</f>
        <v>1</v>
      </c>
      <c r="AH1943" s="960">
        <f t="array" ref="AH1943">HLOOKUP($J1943,'Type Chart'!$C$2:$T$20,15,false)*HLOOKUP($K1943,'Type Chart'!$C$2:$U$20,15,false)</f>
        <v>2</v>
      </c>
      <c r="AI1943" s="960">
        <f t="array" ref="AI1943">HLOOKUP($J1943,'Type Chart'!$C$2:$T$20,16,false)*HLOOKUP($K1943,'Type Chart'!$C$2:$U$20,16,false)</f>
        <v>1</v>
      </c>
      <c r="AJ1943" s="960">
        <f t="array" ref="AJ1943">HLOOKUP($J1943,'Type Chart'!$C$2:$T$20,17,false)*HLOOKUP($K1943,'Type Chart'!$C$2:$U$20,17,false)</f>
        <v>1</v>
      </c>
      <c r="AK1943" s="960">
        <f t="array" ref="AK1943">HLOOKUP($J1943,'Type Chart'!$C$2:$T$20,18,false)*HLOOKUP($K1943,'Type Chart'!$C$2:$U$20,18,false)</f>
        <v>0.5</v>
      </c>
      <c r="AL1943" s="960">
        <f t="array" ref="AL1943">HLOOKUP($J1943,'Type Chart'!$C$2:$T$20,19,false)*HLOOKUP($K1943,'Type Chart'!$C$2:$U$20,19,false)</f>
        <v>2</v>
      </c>
      <c r="AM1943" s="964" t="s">
        <v>1038</v>
      </c>
      <c r="AN1943" s="965" t="s">
        <v>1153</v>
      </c>
      <c r="AO1943" s="966" t="s">
        <v>1501</v>
      </c>
      <c r="AP1943" s="936"/>
      <c r="AQ1943" s="1245"/>
      <c r="AR1943" s="1245"/>
      <c r="AS1943" s="936"/>
    </row>
    <row r="1944" ht="15.75" customHeight="1">
      <c r="A1944" s="1099"/>
      <c r="B1944" s="948" t="s">
        <v>2897</v>
      </c>
      <c r="C1944" s="1197" t="s">
        <v>2898</v>
      </c>
      <c r="D1944" s="1197" t="s">
        <v>2898</v>
      </c>
      <c r="E1944" s="1147" t="s">
        <v>2898</v>
      </c>
      <c r="F1944" s="940"/>
      <c r="G1944" s="953"/>
      <c r="H1944" s="969"/>
      <c r="I1944" s="998" t="s">
        <v>5044</v>
      </c>
      <c r="J1944" s="1056" t="s">
        <v>81</v>
      </c>
      <c r="K1944" s="984" t="s">
        <v>216</v>
      </c>
      <c r="L1944" s="959">
        <v>50.0</v>
      </c>
      <c r="M1944" s="960">
        <v>50.0</v>
      </c>
      <c r="N1944" s="960">
        <v>40.0</v>
      </c>
      <c r="O1944" s="960">
        <v>50.0</v>
      </c>
      <c r="P1944" s="960">
        <v>40.0</v>
      </c>
      <c r="Q1944" s="960">
        <v>64.0</v>
      </c>
      <c r="R1944" s="960">
        <v>164.0</v>
      </c>
      <c r="S1944" s="960">
        <v>227.0</v>
      </c>
      <c r="T1944" s="960">
        <v>249.0</v>
      </c>
      <c r="U1944" s="960">
        <f t="array" ref="U1944">HLOOKUP($J1944,'Type Chart'!$C$2:$T$20,2,false)*HLOOKUP($K1944,'Type Chart'!$C$2:$U$20,2,false)</f>
        <v>1</v>
      </c>
      <c r="V1944" s="960">
        <f t="array" ref="V1944">HLOOKUP($J1944,'Type Chart'!$C$2:$T$20,3,false)*HLOOKUP($K1944,'Type Chart'!$C$2:$U$20,3,false)</f>
        <v>1</v>
      </c>
      <c r="W1944" s="960">
        <f t="array" ref="W1944">HLOOKUP($J1944,'Type Chart'!$C$2:$T$20,4,false)*HLOOKUP($K1944,'Type Chart'!$C$2:$U$20,4,false)</f>
        <v>1</v>
      </c>
      <c r="X1944" s="960">
        <f t="array" ref="X1944">HLOOKUP($J1944,'Type Chart'!$C$2:$T$20,5,false)*HLOOKUP($K1944,'Type Chart'!$C$2:$U$20,5,false)</f>
        <v>1</v>
      </c>
      <c r="Y1944" s="960">
        <f t="array" ref="Y1944">HLOOKUP($J1944,'Type Chart'!$C$2:$T$20,6,false)*HLOOKUP($K1944,'Type Chart'!$C$2:$U$20,6,false)</f>
        <v>1</v>
      </c>
      <c r="Z1944" s="960">
        <f t="array" ref="Z1944">HLOOKUP($J1944,'Type Chart'!$C$2:$T$20,7,false)*HLOOKUP($K1944,'Type Chart'!$C$2:$U$20,7,false)</f>
        <v>1</v>
      </c>
      <c r="AA1944" s="960">
        <f t="array" ref="AA1944">HLOOKUP($J1944,'Type Chart'!$C$2:$T$20,8,false)*HLOOKUP($K1944,'Type Chart'!$C$2:$U$20,8,false)</f>
        <v>1</v>
      </c>
      <c r="AB1944" s="960">
        <f t="array" ref="AB1944">HLOOKUP($J1944,'Type Chart'!$C$2:$T$20,9,false)*HLOOKUP($K1944,'Type Chart'!$C$2:$U$20,9,false)</f>
        <v>1</v>
      </c>
      <c r="AC1944" s="960">
        <f t="array" ref="AC1944">HLOOKUP($J1944,'Type Chart'!$C$2:$T$20,10,false)*HLOOKUP($K1944,'Type Chart'!$C$2:$U$20,10,false)</f>
        <v>0.5</v>
      </c>
      <c r="AD1944" s="960">
        <f t="array" ref="AD1944">HLOOKUP($J1944,'Type Chart'!$C$2:$T$20,11,false)*HLOOKUP($K1944,'Type Chart'!$C$2:$U$20,11,false)</f>
        <v>0.5</v>
      </c>
      <c r="AE1944" s="960">
        <f t="array" ref="AE1944">HLOOKUP($J1944,'Type Chart'!$C$2:$T$20,12,false)*HLOOKUP($K1944,'Type Chart'!$C$2:$U$20,12,false)</f>
        <v>0.5</v>
      </c>
      <c r="AF1944" s="960">
        <f t="array" ref="AF1944">HLOOKUP($J1944,'Type Chart'!$C$2:$T$20,13,false)*HLOOKUP($K1944,'Type Chart'!$C$2:$U$20,13,false)</f>
        <v>2</v>
      </c>
      <c r="AG1944" s="960">
        <f t="array" ref="AG1944">HLOOKUP($J1944,'Type Chart'!$C$2:$T$20,14,false)*HLOOKUP($K1944,'Type Chart'!$C$2:$U$20,14,false)</f>
        <v>2</v>
      </c>
      <c r="AH1944" s="960">
        <f t="array" ref="AH1944">HLOOKUP($J1944,'Type Chart'!$C$2:$T$20,15,false)*HLOOKUP($K1944,'Type Chart'!$C$2:$U$20,15,false)</f>
        <v>1</v>
      </c>
      <c r="AI1944" s="960">
        <f t="array" ref="AI1944">HLOOKUP($J1944,'Type Chart'!$C$2:$T$20,16,false)*HLOOKUP($K1944,'Type Chart'!$C$2:$U$20,16,false)</f>
        <v>0.5</v>
      </c>
      <c r="AJ1944" s="960">
        <f t="array" ref="AJ1944">HLOOKUP($J1944,'Type Chart'!$C$2:$T$20,17,false)*HLOOKUP($K1944,'Type Chart'!$C$2:$U$20,17,false)</f>
        <v>1</v>
      </c>
      <c r="AK1944" s="960">
        <f t="array" ref="AK1944">HLOOKUP($J1944,'Type Chart'!$C$2:$T$20,18,false)*HLOOKUP($K1944,'Type Chart'!$C$2:$U$20,18,false)</f>
        <v>1</v>
      </c>
      <c r="AL1944" s="960">
        <f t="array" ref="AL1944">HLOOKUP($J1944,'Type Chart'!$C$2:$T$20,19,false)*HLOOKUP($K1944,'Type Chart'!$C$2:$U$20,19,false)</f>
        <v>1</v>
      </c>
      <c r="AM1944" s="964" t="s">
        <v>1259</v>
      </c>
      <c r="AN1944" s="965" t="s">
        <v>1409</v>
      </c>
      <c r="AO1944" s="966" t="s">
        <v>1283</v>
      </c>
      <c r="AP1944" s="936"/>
      <c r="AQ1944" s="1245"/>
      <c r="AR1944" s="1245"/>
      <c r="AS1944" s="936"/>
    </row>
    <row r="1945" ht="15.75" customHeight="1">
      <c r="A1945" s="1099"/>
      <c r="B1945" s="948" t="s">
        <v>2900</v>
      </c>
      <c r="C1945" s="1197" t="s">
        <v>2901</v>
      </c>
      <c r="D1945" s="1197" t="s">
        <v>2901</v>
      </c>
      <c r="E1945" s="1147" t="s">
        <v>2901</v>
      </c>
      <c r="F1945" s="940"/>
      <c r="G1945" s="953"/>
      <c r="H1945" s="969"/>
      <c r="I1945" s="998" t="s">
        <v>5045</v>
      </c>
      <c r="J1945" s="1056" t="s">
        <v>81</v>
      </c>
      <c r="K1945" s="1204" t="s">
        <v>80</v>
      </c>
      <c r="L1945" s="959">
        <v>75.0</v>
      </c>
      <c r="M1945" s="960">
        <v>65.0</v>
      </c>
      <c r="N1945" s="960">
        <v>55.0</v>
      </c>
      <c r="O1945" s="960">
        <v>65.0</v>
      </c>
      <c r="P1945" s="960">
        <v>55.0</v>
      </c>
      <c r="Q1945" s="960">
        <v>69.0</v>
      </c>
      <c r="R1945" s="960">
        <v>174.0</v>
      </c>
      <c r="S1945" s="960">
        <v>237.0</v>
      </c>
      <c r="T1945" s="960">
        <v>260.0</v>
      </c>
      <c r="U1945" s="960">
        <f t="array" ref="U1945">HLOOKUP($J1945,'Type Chart'!$C$2:$T$20,2,false)*HLOOKUP($K1945,'Type Chart'!$C$2:$U$20,2,false)</f>
        <v>1</v>
      </c>
      <c r="V1945" s="960">
        <f t="array" ref="V1945">HLOOKUP($J1945,'Type Chart'!$C$2:$T$20,3,false)*HLOOKUP($K1945,'Type Chart'!$C$2:$U$20,3,false)</f>
        <v>1</v>
      </c>
      <c r="W1945" s="960">
        <f t="array" ref="W1945">HLOOKUP($J1945,'Type Chart'!$C$2:$T$20,4,false)*HLOOKUP($K1945,'Type Chart'!$C$2:$U$20,4,false)</f>
        <v>1</v>
      </c>
      <c r="X1945" s="960">
        <f t="array" ref="X1945">HLOOKUP($J1945,'Type Chart'!$C$2:$T$20,5,false)*HLOOKUP($K1945,'Type Chart'!$C$2:$U$20,5,false)</f>
        <v>0.5</v>
      </c>
      <c r="Y1945" s="960">
        <f t="array" ref="Y1945">HLOOKUP($J1945,'Type Chart'!$C$2:$T$20,6,false)*HLOOKUP($K1945,'Type Chart'!$C$2:$U$20,6,false)</f>
        <v>1</v>
      </c>
      <c r="Z1945" s="960">
        <f t="array" ref="Z1945">HLOOKUP($J1945,'Type Chart'!$C$2:$T$20,7,false)*HLOOKUP($K1945,'Type Chart'!$C$2:$U$20,7,false)</f>
        <v>0.5</v>
      </c>
      <c r="AA1945" s="960">
        <f t="array" ref="AA1945">HLOOKUP($J1945,'Type Chart'!$C$2:$T$20,8,false)*HLOOKUP($K1945,'Type Chart'!$C$2:$U$20,8,false)</f>
        <v>1</v>
      </c>
      <c r="AB1945" s="960">
        <f t="array" ref="AB1945">HLOOKUP($J1945,'Type Chart'!$C$2:$T$20,9,false)*HLOOKUP($K1945,'Type Chart'!$C$2:$U$20,9,false)</f>
        <v>1</v>
      </c>
      <c r="AC1945" s="960">
        <f t="array" ref="AC1945">HLOOKUP($J1945,'Type Chart'!$C$2:$T$20,10,false)*HLOOKUP($K1945,'Type Chart'!$C$2:$U$20,10,false)</f>
        <v>0.5</v>
      </c>
      <c r="AD1945" s="960">
        <f t="array" ref="AD1945">HLOOKUP($J1945,'Type Chart'!$C$2:$T$20,11,false)*HLOOKUP($K1945,'Type Chart'!$C$2:$U$20,11,false)</f>
        <v>0.5</v>
      </c>
      <c r="AE1945" s="960">
        <f t="array" ref="AE1945">HLOOKUP($J1945,'Type Chart'!$C$2:$T$20,12,false)*HLOOKUP($K1945,'Type Chart'!$C$2:$U$20,12,false)</f>
        <v>1</v>
      </c>
      <c r="AF1945" s="960">
        <f t="array" ref="AF1945">HLOOKUP($J1945,'Type Chart'!$C$2:$T$20,13,false)*HLOOKUP($K1945,'Type Chart'!$C$2:$U$20,13,false)</f>
        <v>4</v>
      </c>
      <c r="AG1945" s="960">
        <f t="array" ref="AG1945">HLOOKUP($J1945,'Type Chart'!$C$2:$T$20,14,false)*HLOOKUP($K1945,'Type Chart'!$C$2:$U$20,14,false)</f>
        <v>0</v>
      </c>
      <c r="AH1945" s="960">
        <f t="array" ref="AH1945">HLOOKUP($J1945,'Type Chart'!$C$2:$T$20,15,false)*HLOOKUP($K1945,'Type Chart'!$C$2:$U$20,15,false)</f>
        <v>1</v>
      </c>
      <c r="AI1945" s="960">
        <f t="array" ref="AI1945">HLOOKUP($J1945,'Type Chart'!$C$2:$T$20,16,false)*HLOOKUP($K1945,'Type Chart'!$C$2:$U$20,16,false)</f>
        <v>1</v>
      </c>
      <c r="AJ1945" s="960">
        <f t="array" ref="AJ1945">HLOOKUP($J1945,'Type Chart'!$C$2:$T$20,17,false)*HLOOKUP($K1945,'Type Chart'!$C$2:$U$20,17,false)</f>
        <v>1</v>
      </c>
      <c r="AK1945" s="960">
        <f t="array" ref="AK1945">HLOOKUP($J1945,'Type Chart'!$C$2:$T$20,18,false)*HLOOKUP($K1945,'Type Chart'!$C$2:$U$20,18,false)</f>
        <v>1</v>
      </c>
      <c r="AL1945" s="960">
        <f t="array" ref="AL1945">HLOOKUP($J1945,'Type Chart'!$C$2:$T$20,19,false)*HLOOKUP($K1945,'Type Chart'!$C$2:$U$20,19,false)</f>
        <v>1</v>
      </c>
      <c r="AM1945" s="964" t="s">
        <v>1259</v>
      </c>
      <c r="AN1945" s="965" t="s">
        <v>1409</v>
      </c>
      <c r="AO1945" s="966" t="s">
        <v>1283</v>
      </c>
      <c r="AP1945" s="936"/>
      <c r="AQ1945" s="1245"/>
      <c r="AR1945" s="1245"/>
      <c r="AS1945" s="936"/>
    </row>
    <row r="1946" ht="15.75" customHeight="1">
      <c r="A1946" s="1099"/>
      <c r="B1946" s="948" t="s">
        <v>2903</v>
      </c>
      <c r="C1946" s="1197" t="s">
        <v>2904</v>
      </c>
      <c r="D1946" s="1197" t="s">
        <v>2904</v>
      </c>
      <c r="E1946" s="1147" t="s">
        <v>2904</v>
      </c>
      <c r="F1946" s="940"/>
      <c r="G1946" s="953"/>
      <c r="H1946" s="969"/>
      <c r="I1946" s="998" t="s">
        <v>5046</v>
      </c>
      <c r="J1946" s="1056" t="s">
        <v>81</v>
      </c>
      <c r="K1946" s="1204" t="s">
        <v>80</v>
      </c>
      <c r="L1946" s="959">
        <v>105.0</v>
      </c>
      <c r="M1946" s="960">
        <v>95.0</v>
      </c>
      <c r="N1946" s="960">
        <v>75.0</v>
      </c>
      <c r="O1946" s="960">
        <v>85.0</v>
      </c>
      <c r="P1946" s="960">
        <v>75.0</v>
      </c>
      <c r="Q1946" s="960">
        <v>74.0</v>
      </c>
      <c r="R1946" s="960">
        <v>184.0</v>
      </c>
      <c r="S1946" s="960">
        <v>247.0</v>
      </c>
      <c r="T1946" s="960">
        <v>271.0</v>
      </c>
      <c r="U1946" s="960">
        <f t="array" ref="U1946">HLOOKUP($J1946,'Type Chart'!$C$2:$T$20,2,false)*HLOOKUP($K1946,'Type Chart'!$C$2:$U$20,2,false)</f>
        <v>1</v>
      </c>
      <c r="V1946" s="960">
        <f t="array" ref="V1946">HLOOKUP($J1946,'Type Chart'!$C$2:$T$20,3,false)*HLOOKUP($K1946,'Type Chart'!$C$2:$U$20,3,false)</f>
        <v>1</v>
      </c>
      <c r="W1946" s="960">
        <f t="array" ref="W1946">HLOOKUP($J1946,'Type Chart'!$C$2:$T$20,4,false)*HLOOKUP($K1946,'Type Chart'!$C$2:$U$20,4,false)</f>
        <v>1</v>
      </c>
      <c r="X1946" s="960">
        <f t="array" ref="X1946">HLOOKUP($J1946,'Type Chart'!$C$2:$T$20,5,false)*HLOOKUP($K1946,'Type Chart'!$C$2:$U$20,5,false)</f>
        <v>0.5</v>
      </c>
      <c r="Y1946" s="960">
        <f t="array" ref="Y1946">HLOOKUP($J1946,'Type Chart'!$C$2:$T$20,6,false)*HLOOKUP($K1946,'Type Chart'!$C$2:$U$20,6,false)</f>
        <v>1</v>
      </c>
      <c r="Z1946" s="960">
        <f t="array" ref="Z1946">HLOOKUP($J1946,'Type Chart'!$C$2:$T$20,7,false)*HLOOKUP($K1946,'Type Chart'!$C$2:$U$20,7,false)</f>
        <v>0.5</v>
      </c>
      <c r="AA1946" s="960">
        <f t="array" ref="AA1946">HLOOKUP($J1946,'Type Chart'!$C$2:$T$20,8,false)*HLOOKUP($K1946,'Type Chart'!$C$2:$U$20,8,false)</f>
        <v>1</v>
      </c>
      <c r="AB1946" s="960">
        <f t="array" ref="AB1946">HLOOKUP($J1946,'Type Chart'!$C$2:$T$20,9,false)*HLOOKUP($K1946,'Type Chart'!$C$2:$U$20,9,false)</f>
        <v>1</v>
      </c>
      <c r="AC1946" s="960">
        <f t="array" ref="AC1946">HLOOKUP($J1946,'Type Chart'!$C$2:$T$20,10,false)*HLOOKUP($K1946,'Type Chart'!$C$2:$U$20,10,false)</f>
        <v>0.5</v>
      </c>
      <c r="AD1946" s="960">
        <f t="array" ref="AD1946">HLOOKUP($J1946,'Type Chart'!$C$2:$T$20,11,false)*HLOOKUP($K1946,'Type Chart'!$C$2:$U$20,11,false)</f>
        <v>0.5</v>
      </c>
      <c r="AE1946" s="960">
        <f t="array" ref="AE1946">HLOOKUP($J1946,'Type Chart'!$C$2:$T$20,12,false)*HLOOKUP($K1946,'Type Chart'!$C$2:$U$20,12,false)</f>
        <v>1</v>
      </c>
      <c r="AF1946" s="960">
        <f t="array" ref="AF1946">HLOOKUP($J1946,'Type Chart'!$C$2:$T$20,13,false)*HLOOKUP($K1946,'Type Chart'!$C$2:$U$20,13,false)</f>
        <v>4</v>
      </c>
      <c r="AG1946" s="960">
        <f t="array" ref="AG1946">HLOOKUP($J1946,'Type Chart'!$C$2:$T$20,14,false)*HLOOKUP($K1946,'Type Chart'!$C$2:$U$20,14,false)</f>
        <v>0</v>
      </c>
      <c r="AH1946" s="960">
        <f t="array" ref="AH1946">HLOOKUP($J1946,'Type Chart'!$C$2:$T$20,15,false)*HLOOKUP($K1946,'Type Chart'!$C$2:$U$20,15,false)</f>
        <v>1</v>
      </c>
      <c r="AI1946" s="960">
        <f t="array" ref="AI1946">HLOOKUP($J1946,'Type Chart'!$C$2:$T$20,16,false)*HLOOKUP($K1946,'Type Chart'!$C$2:$U$20,16,false)</f>
        <v>1</v>
      </c>
      <c r="AJ1946" s="960">
        <f t="array" ref="AJ1946">HLOOKUP($J1946,'Type Chart'!$C$2:$T$20,17,false)*HLOOKUP($K1946,'Type Chart'!$C$2:$U$20,17,false)</f>
        <v>1</v>
      </c>
      <c r="AK1946" s="960">
        <f t="array" ref="AK1946">HLOOKUP($J1946,'Type Chart'!$C$2:$T$20,18,false)*HLOOKUP($K1946,'Type Chart'!$C$2:$U$20,18,false)</f>
        <v>1</v>
      </c>
      <c r="AL1946" s="960">
        <f t="array" ref="AL1946">HLOOKUP($J1946,'Type Chart'!$C$2:$T$20,19,false)*HLOOKUP($K1946,'Type Chart'!$C$2:$U$20,19,false)</f>
        <v>1</v>
      </c>
      <c r="AM1946" s="964" t="s">
        <v>1259</v>
      </c>
      <c r="AN1946" s="965" t="s">
        <v>1417</v>
      </c>
      <c r="AO1946" s="966" t="s">
        <v>1283</v>
      </c>
      <c r="AP1946" s="936"/>
      <c r="AQ1946" s="1245"/>
      <c r="AR1946" s="1245"/>
      <c r="AS1946" s="936"/>
    </row>
    <row r="1947" ht="15.75" customHeight="1">
      <c r="A1947" s="1099"/>
      <c r="B1947" s="948" t="s">
        <v>2906</v>
      </c>
      <c r="C1947" s="1197" t="s">
        <v>2907</v>
      </c>
      <c r="D1947" s="1197" t="s">
        <v>2907</v>
      </c>
      <c r="E1947" s="1147" t="s">
        <v>2907</v>
      </c>
      <c r="F1947" s="940"/>
      <c r="G1947" s="953"/>
      <c r="H1947" s="969"/>
      <c r="I1947" s="998" t="s">
        <v>5047</v>
      </c>
      <c r="J1947" s="1213" t="s">
        <v>341</v>
      </c>
      <c r="K1947" s="984" t="s">
        <v>216</v>
      </c>
      <c r="L1947" s="959">
        <v>120.0</v>
      </c>
      <c r="M1947" s="960">
        <v>100.0</v>
      </c>
      <c r="N1947" s="960">
        <v>85.0</v>
      </c>
      <c r="O1947" s="960">
        <v>30.0</v>
      </c>
      <c r="P1947" s="960">
        <v>85.0</v>
      </c>
      <c r="Q1947" s="960">
        <v>45.0</v>
      </c>
      <c r="R1947" s="960">
        <v>126.0</v>
      </c>
      <c r="S1947" s="960">
        <v>189.0</v>
      </c>
      <c r="T1947" s="960">
        <v>207.0</v>
      </c>
      <c r="U1947" s="960">
        <f t="array" ref="U1947">HLOOKUP($J1947,'Type Chart'!$C$2:$T$20,2,false)*HLOOKUP($K1947,'Type Chart'!$C$2:$U$20,2,false)</f>
        <v>1</v>
      </c>
      <c r="V1947" s="960">
        <f t="array" ref="V1947">HLOOKUP($J1947,'Type Chart'!$C$2:$T$20,3,false)*HLOOKUP($K1947,'Type Chart'!$C$2:$U$20,3,false)</f>
        <v>1</v>
      </c>
      <c r="W1947" s="960">
        <f t="array" ref="W1947">HLOOKUP($J1947,'Type Chart'!$C$2:$T$20,4,false)*HLOOKUP($K1947,'Type Chart'!$C$2:$U$20,4,false)</f>
        <v>2</v>
      </c>
      <c r="X1947" s="960">
        <f t="array" ref="X1947">HLOOKUP($J1947,'Type Chart'!$C$2:$T$20,5,false)*HLOOKUP($K1947,'Type Chart'!$C$2:$U$20,5,false)</f>
        <v>1</v>
      </c>
      <c r="Y1947" s="960">
        <f t="array" ref="Y1947">HLOOKUP($J1947,'Type Chart'!$C$2:$T$20,6,false)*HLOOKUP($K1947,'Type Chart'!$C$2:$U$20,6,false)</f>
        <v>1</v>
      </c>
      <c r="Z1947" s="960">
        <f t="array" ref="Z1947">HLOOKUP($J1947,'Type Chart'!$C$2:$T$20,7,false)*HLOOKUP($K1947,'Type Chart'!$C$2:$U$20,7,false)</f>
        <v>0.5</v>
      </c>
      <c r="AA1947" s="960">
        <f t="array" ref="AA1947">HLOOKUP($J1947,'Type Chart'!$C$2:$T$20,8,false)*HLOOKUP($K1947,'Type Chart'!$C$2:$U$20,8,false)</f>
        <v>0.5</v>
      </c>
      <c r="AB1947" s="960">
        <f t="array" ref="AB1947">HLOOKUP($J1947,'Type Chart'!$C$2:$T$20,9,false)*HLOOKUP($K1947,'Type Chart'!$C$2:$U$20,9,false)</f>
        <v>1</v>
      </c>
      <c r="AC1947" s="960">
        <f t="array" ref="AC1947">HLOOKUP($J1947,'Type Chart'!$C$2:$T$20,10,false)*HLOOKUP($K1947,'Type Chart'!$C$2:$U$20,10,false)</f>
        <v>1</v>
      </c>
      <c r="AD1947" s="960">
        <f t="array" ref="AD1947">HLOOKUP($J1947,'Type Chart'!$C$2:$T$20,11,false)*HLOOKUP($K1947,'Type Chart'!$C$2:$U$20,11,false)</f>
        <v>1</v>
      </c>
      <c r="AE1947" s="960">
        <f t="array" ref="AE1947">HLOOKUP($J1947,'Type Chart'!$C$2:$T$20,12,false)*HLOOKUP($K1947,'Type Chart'!$C$2:$U$20,12,false)</f>
        <v>1</v>
      </c>
      <c r="AF1947" s="960">
        <f t="array" ref="AF1947">HLOOKUP($J1947,'Type Chart'!$C$2:$T$20,13,false)*HLOOKUP($K1947,'Type Chart'!$C$2:$U$20,13,false)</f>
        <v>1</v>
      </c>
      <c r="AG1947" s="960">
        <f t="array" ref="AG1947">HLOOKUP($J1947,'Type Chart'!$C$2:$T$20,14,false)*HLOOKUP($K1947,'Type Chart'!$C$2:$U$20,14,false)</f>
        <v>1</v>
      </c>
      <c r="AH1947" s="960">
        <f t="array" ref="AH1947">HLOOKUP($J1947,'Type Chart'!$C$2:$T$20,15,false)*HLOOKUP($K1947,'Type Chart'!$C$2:$U$20,15,false)</f>
        <v>2</v>
      </c>
      <c r="AI1947" s="960">
        <f t="array" ref="AI1947">HLOOKUP($J1947,'Type Chart'!$C$2:$T$20,16,false)*HLOOKUP($K1947,'Type Chart'!$C$2:$U$20,16,false)</f>
        <v>1</v>
      </c>
      <c r="AJ1947" s="960">
        <f t="array" ref="AJ1947">HLOOKUP($J1947,'Type Chart'!$C$2:$T$20,17,false)*HLOOKUP($K1947,'Type Chart'!$C$2:$U$20,17,false)</f>
        <v>1</v>
      </c>
      <c r="AK1947" s="960">
        <f t="array" ref="AK1947">HLOOKUP($J1947,'Type Chart'!$C$2:$T$20,18,false)*HLOOKUP($K1947,'Type Chart'!$C$2:$U$20,18,false)</f>
        <v>0.5</v>
      </c>
      <c r="AL1947" s="960">
        <f t="array" ref="AL1947">HLOOKUP($J1947,'Type Chart'!$C$2:$T$20,19,false)*HLOOKUP($K1947,'Type Chart'!$C$2:$U$20,19,false)</f>
        <v>2</v>
      </c>
      <c r="AM1947" s="964" t="s">
        <v>1038</v>
      </c>
      <c r="AN1947" s="965" t="s">
        <v>1192</v>
      </c>
      <c r="AO1947" s="966" t="s">
        <v>1576</v>
      </c>
      <c r="AP1947" s="936"/>
      <c r="AQ1947" s="1245"/>
      <c r="AR1947" s="1245"/>
      <c r="AS1947" s="936"/>
    </row>
    <row r="1948" ht="15.75" customHeight="1">
      <c r="A1948" s="1099"/>
      <c r="B1948" s="948" t="s">
        <v>2909</v>
      </c>
      <c r="C1948" s="1197" t="s">
        <v>2910</v>
      </c>
      <c r="D1948" s="1197" t="s">
        <v>2910</v>
      </c>
      <c r="E1948" s="1147" t="s">
        <v>2910</v>
      </c>
      <c r="F1948" s="940"/>
      <c r="G1948" s="953"/>
      <c r="H1948" s="969"/>
      <c r="I1948" s="998" t="s">
        <v>5048</v>
      </c>
      <c r="J1948" s="1213" t="s">
        <v>341</v>
      </c>
      <c r="K1948" s="984" t="s">
        <v>216</v>
      </c>
      <c r="L1948" s="959">
        <v>75.0</v>
      </c>
      <c r="M1948" s="960">
        <v>125.0</v>
      </c>
      <c r="N1948" s="960">
        <v>75.0</v>
      </c>
      <c r="O1948" s="960">
        <v>30.0</v>
      </c>
      <c r="P1948" s="960">
        <v>75.0</v>
      </c>
      <c r="Q1948" s="960">
        <v>85.0</v>
      </c>
      <c r="R1948" s="960">
        <v>206.0</v>
      </c>
      <c r="S1948" s="960">
        <v>269.0</v>
      </c>
      <c r="T1948" s="960">
        <v>295.0</v>
      </c>
      <c r="U1948" s="960">
        <f t="array" ref="U1948">HLOOKUP($J1948,'Type Chart'!$C$2:$T$20,2,false)*HLOOKUP($K1948,'Type Chart'!$C$2:$U$20,2,false)</f>
        <v>1</v>
      </c>
      <c r="V1948" s="960">
        <f t="array" ref="V1948">HLOOKUP($J1948,'Type Chart'!$C$2:$T$20,3,false)*HLOOKUP($K1948,'Type Chart'!$C$2:$U$20,3,false)</f>
        <v>1</v>
      </c>
      <c r="W1948" s="960">
        <f t="array" ref="W1948">HLOOKUP($J1948,'Type Chart'!$C$2:$T$20,4,false)*HLOOKUP($K1948,'Type Chart'!$C$2:$U$20,4,false)</f>
        <v>2</v>
      </c>
      <c r="X1948" s="960">
        <f t="array" ref="X1948">HLOOKUP($J1948,'Type Chart'!$C$2:$T$20,5,false)*HLOOKUP($K1948,'Type Chart'!$C$2:$U$20,5,false)</f>
        <v>1</v>
      </c>
      <c r="Y1948" s="960">
        <f t="array" ref="Y1948">HLOOKUP($J1948,'Type Chart'!$C$2:$T$20,6,false)*HLOOKUP($K1948,'Type Chart'!$C$2:$U$20,6,false)</f>
        <v>1</v>
      </c>
      <c r="Z1948" s="960">
        <f t="array" ref="Z1948">HLOOKUP($J1948,'Type Chart'!$C$2:$T$20,7,false)*HLOOKUP($K1948,'Type Chart'!$C$2:$U$20,7,false)</f>
        <v>0.5</v>
      </c>
      <c r="AA1948" s="960">
        <f t="array" ref="AA1948">HLOOKUP($J1948,'Type Chart'!$C$2:$T$20,8,false)*HLOOKUP($K1948,'Type Chart'!$C$2:$U$20,8,false)</f>
        <v>0.5</v>
      </c>
      <c r="AB1948" s="960">
        <f t="array" ref="AB1948">HLOOKUP($J1948,'Type Chart'!$C$2:$T$20,9,false)*HLOOKUP($K1948,'Type Chart'!$C$2:$U$20,9,false)</f>
        <v>1</v>
      </c>
      <c r="AC1948" s="960">
        <f t="array" ref="AC1948">HLOOKUP($J1948,'Type Chart'!$C$2:$T$20,10,false)*HLOOKUP($K1948,'Type Chart'!$C$2:$U$20,10,false)</f>
        <v>1</v>
      </c>
      <c r="AD1948" s="960">
        <f t="array" ref="AD1948">HLOOKUP($J1948,'Type Chart'!$C$2:$T$20,11,false)*HLOOKUP($K1948,'Type Chart'!$C$2:$U$20,11,false)</f>
        <v>1</v>
      </c>
      <c r="AE1948" s="960">
        <f t="array" ref="AE1948">HLOOKUP($J1948,'Type Chart'!$C$2:$T$20,12,false)*HLOOKUP($K1948,'Type Chart'!$C$2:$U$20,12,false)</f>
        <v>1</v>
      </c>
      <c r="AF1948" s="960">
        <f t="array" ref="AF1948">HLOOKUP($J1948,'Type Chart'!$C$2:$T$20,13,false)*HLOOKUP($K1948,'Type Chart'!$C$2:$U$20,13,false)</f>
        <v>1</v>
      </c>
      <c r="AG1948" s="960">
        <f t="array" ref="AG1948">HLOOKUP($J1948,'Type Chart'!$C$2:$T$20,14,false)*HLOOKUP($K1948,'Type Chart'!$C$2:$U$20,14,false)</f>
        <v>1</v>
      </c>
      <c r="AH1948" s="960">
        <f t="array" ref="AH1948">HLOOKUP($J1948,'Type Chart'!$C$2:$T$20,15,false)*HLOOKUP($K1948,'Type Chart'!$C$2:$U$20,15,false)</f>
        <v>2</v>
      </c>
      <c r="AI1948" s="960">
        <f t="array" ref="AI1948">HLOOKUP($J1948,'Type Chart'!$C$2:$T$20,16,false)*HLOOKUP($K1948,'Type Chart'!$C$2:$U$20,16,false)</f>
        <v>1</v>
      </c>
      <c r="AJ1948" s="960">
        <f t="array" ref="AJ1948">HLOOKUP($J1948,'Type Chart'!$C$2:$T$20,17,false)*HLOOKUP($K1948,'Type Chart'!$C$2:$U$20,17,false)</f>
        <v>1</v>
      </c>
      <c r="AK1948" s="960">
        <f t="array" ref="AK1948">HLOOKUP($J1948,'Type Chart'!$C$2:$T$20,18,false)*HLOOKUP($K1948,'Type Chart'!$C$2:$U$20,18,false)</f>
        <v>0.5</v>
      </c>
      <c r="AL1948" s="960">
        <f t="array" ref="AL1948">HLOOKUP($J1948,'Type Chart'!$C$2:$T$20,19,false)*HLOOKUP($K1948,'Type Chart'!$C$2:$U$20,19,false)</f>
        <v>2</v>
      </c>
      <c r="AM1948" s="964" t="s">
        <v>1331</v>
      </c>
      <c r="AN1948" s="965" t="s">
        <v>1192</v>
      </c>
      <c r="AO1948" s="966" t="s">
        <v>1576</v>
      </c>
      <c r="AP1948" s="936"/>
      <c r="AQ1948" s="1245"/>
      <c r="AR1948" s="1245"/>
      <c r="AS1948" s="936"/>
    </row>
    <row r="1949" ht="15.75" customHeight="1">
      <c r="A1949" s="1099"/>
      <c r="B1949" s="948" t="s">
        <v>2912</v>
      </c>
      <c r="C1949" s="1197" t="s">
        <v>2913</v>
      </c>
      <c r="D1949" s="1197" t="s">
        <v>2913</v>
      </c>
      <c r="E1949" s="1147" t="s">
        <v>2913</v>
      </c>
      <c r="F1949" s="940"/>
      <c r="G1949" s="953"/>
      <c r="H1949" s="969"/>
      <c r="I1949" s="998" t="s">
        <v>5049</v>
      </c>
      <c r="J1949" s="1180" t="s">
        <v>343</v>
      </c>
      <c r="K1949" s="957" t="s">
        <v>209</v>
      </c>
      <c r="L1949" s="959">
        <v>45.0</v>
      </c>
      <c r="M1949" s="960">
        <v>53.0</v>
      </c>
      <c r="N1949" s="960">
        <v>70.0</v>
      </c>
      <c r="O1949" s="960">
        <v>40.0</v>
      </c>
      <c r="P1949" s="960">
        <v>60.0</v>
      </c>
      <c r="Q1949" s="960">
        <v>42.0</v>
      </c>
      <c r="R1949" s="960">
        <v>120.0</v>
      </c>
      <c r="S1949" s="960">
        <v>183.0</v>
      </c>
      <c r="T1949" s="960">
        <v>201.0</v>
      </c>
      <c r="U1949" s="960">
        <f t="array" ref="U1949">HLOOKUP($J1949,'Type Chart'!$C$2:$T$20,2,false)*HLOOKUP($K1949,'Type Chart'!$C$2:$U$20,2,false)</f>
        <v>1</v>
      </c>
      <c r="V1949" s="960">
        <f t="array" ref="V1949">HLOOKUP($J1949,'Type Chart'!$C$2:$T$20,3,false)*HLOOKUP($K1949,'Type Chart'!$C$2:$U$20,3,false)</f>
        <v>0.5</v>
      </c>
      <c r="W1949" s="960">
        <f t="array" ref="W1949">HLOOKUP($J1949,'Type Chart'!$C$2:$T$20,4,false)*HLOOKUP($K1949,'Type Chart'!$C$2:$U$20,4,false)</f>
        <v>4</v>
      </c>
      <c r="X1949" s="960">
        <f t="array" ref="X1949">HLOOKUP($J1949,'Type Chart'!$C$2:$T$20,5,false)*HLOOKUP($K1949,'Type Chart'!$C$2:$U$20,5,false)</f>
        <v>2</v>
      </c>
      <c r="Y1949" s="960">
        <f t="array" ref="Y1949">HLOOKUP($J1949,'Type Chart'!$C$2:$T$20,6,false)*HLOOKUP($K1949,'Type Chart'!$C$2:$U$20,6,false)</f>
        <v>0.25</v>
      </c>
      <c r="Z1949" s="960">
        <f t="array" ref="Z1949">HLOOKUP($J1949,'Type Chart'!$C$2:$T$20,7,false)*HLOOKUP($K1949,'Type Chart'!$C$2:$U$20,7,false)</f>
        <v>2</v>
      </c>
      <c r="AA1949" s="960">
        <f t="array" ref="AA1949">HLOOKUP($J1949,'Type Chart'!$C$2:$T$20,8,false)*HLOOKUP($K1949,'Type Chart'!$C$2:$U$20,8,false)</f>
        <v>2</v>
      </c>
      <c r="AB1949" s="960">
        <f t="array" ref="AB1949">HLOOKUP($J1949,'Type Chart'!$C$2:$T$20,9,false)*HLOOKUP($K1949,'Type Chart'!$C$2:$U$20,9,false)</f>
        <v>1</v>
      </c>
      <c r="AC1949" s="960">
        <f t="array" ref="AC1949">HLOOKUP($J1949,'Type Chart'!$C$2:$T$20,10,false)*HLOOKUP($K1949,'Type Chart'!$C$2:$U$20,10,false)</f>
        <v>1</v>
      </c>
      <c r="AD1949" s="960">
        <f t="array" ref="AD1949">HLOOKUP($J1949,'Type Chart'!$C$2:$T$20,11,false)*HLOOKUP($K1949,'Type Chart'!$C$2:$U$20,11,false)</f>
        <v>4</v>
      </c>
      <c r="AE1949" s="960">
        <f t="array" ref="AE1949">HLOOKUP($J1949,'Type Chart'!$C$2:$T$20,12,false)*HLOOKUP($K1949,'Type Chart'!$C$2:$U$20,12,false)</f>
        <v>0.5</v>
      </c>
      <c r="AF1949" s="960">
        <f t="array" ref="AF1949">HLOOKUP($J1949,'Type Chart'!$C$2:$T$20,13,false)*HLOOKUP($K1949,'Type Chart'!$C$2:$U$20,13,false)</f>
        <v>0.25</v>
      </c>
      <c r="AG1949" s="960">
        <f t="array" ref="AG1949">HLOOKUP($J1949,'Type Chart'!$C$2:$T$20,14,false)*HLOOKUP($K1949,'Type Chart'!$C$2:$U$20,14,false)</f>
        <v>0.5</v>
      </c>
      <c r="AH1949" s="960">
        <f t="array" ref="AH1949">HLOOKUP($J1949,'Type Chart'!$C$2:$T$20,15,false)*HLOOKUP($K1949,'Type Chart'!$C$2:$U$20,15,false)</f>
        <v>1</v>
      </c>
      <c r="AI1949" s="960">
        <f t="array" ref="AI1949">HLOOKUP($J1949,'Type Chart'!$C$2:$T$20,16,false)*HLOOKUP($K1949,'Type Chart'!$C$2:$U$20,16,false)</f>
        <v>2</v>
      </c>
      <c r="AJ1949" s="960">
        <f t="array" ref="AJ1949">HLOOKUP($J1949,'Type Chart'!$C$2:$T$20,17,false)*HLOOKUP($K1949,'Type Chart'!$C$2:$U$20,17,false)</f>
        <v>1</v>
      </c>
      <c r="AK1949" s="960">
        <f t="array" ref="AK1949">HLOOKUP($J1949,'Type Chart'!$C$2:$T$20,18,false)*HLOOKUP($K1949,'Type Chart'!$C$2:$U$20,18,false)</f>
        <v>1</v>
      </c>
      <c r="AL1949" s="960">
        <f t="array" ref="AL1949">HLOOKUP($J1949,'Type Chart'!$C$2:$T$20,19,false)*HLOOKUP($K1949,'Type Chart'!$C$2:$U$20,19,false)</f>
        <v>1</v>
      </c>
      <c r="AM1949" s="964" t="s">
        <v>1013</v>
      </c>
      <c r="AN1949" s="965" t="s">
        <v>524</v>
      </c>
      <c r="AO1949" s="966" t="s">
        <v>1431</v>
      </c>
      <c r="AP1949" s="936"/>
      <c r="AQ1949" s="1245"/>
      <c r="AR1949" s="1245"/>
      <c r="AS1949" s="936"/>
    </row>
    <row r="1950" ht="15.75" customHeight="1">
      <c r="A1950" s="1099"/>
      <c r="B1950" s="948" t="s">
        <v>2915</v>
      </c>
      <c r="C1950" s="1197" t="s">
        <v>2916</v>
      </c>
      <c r="D1950" s="1197" t="s">
        <v>2916</v>
      </c>
      <c r="E1950" s="1147" t="s">
        <v>2916</v>
      </c>
      <c r="F1950" s="940"/>
      <c r="G1950" s="953"/>
      <c r="H1950" s="969"/>
      <c r="I1950" s="998" t="s">
        <v>5050</v>
      </c>
      <c r="J1950" s="1180" t="s">
        <v>343</v>
      </c>
      <c r="K1950" s="957" t="s">
        <v>209</v>
      </c>
      <c r="L1950" s="959">
        <v>55.0</v>
      </c>
      <c r="M1950" s="960">
        <v>63.0</v>
      </c>
      <c r="N1950" s="960">
        <v>90.0</v>
      </c>
      <c r="O1950" s="960">
        <v>50.0</v>
      </c>
      <c r="P1950" s="960">
        <v>80.0</v>
      </c>
      <c r="Q1950" s="960">
        <v>42.0</v>
      </c>
      <c r="R1950" s="960">
        <v>120.0</v>
      </c>
      <c r="S1950" s="960">
        <v>183.0</v>
      </c>
      <c r="T1950" s="960">
        <v>201.0</v>
      </c>
      <c r="U1950" s="960">
        <f t="array" ref="U1950">HLOOKUP($J1950,'Type Chart'!$C$2:$T$20,2,false)*HLOOKUP($K1950,'Type Chart'!$C$2:$U$20,2,false)</f>
        <v>1</v>
      </c>
      <c r="V1950" s="960">
        <f t="array" ref="V1950">HLOOKUP($J1950,'Type Chart'!$C$2:$T$20,3,false)*HLOOKUP($K1950,'Type Chart'!$C$2:$U$20,3,false)</f>
        <v>0.5</v>
      </c>
      <c r="W1950" s="960">
        <f t="array" ref="W1950">HLOOKUP($J1950,'Type Chart'!$C$2:$T$20,4,false)*HLOOKUP($K1950,'Type Chart'!$C$2:$U$20,4,false)</f>
        <v>4</v>
      </c>
      <c r="X1950" s="960">
        <f t="array" ref="X1950">HLOOKUP($J1950,'Type Chart'!$C$2:$T$20,5,false)*HLOOKUP($K1950,'Type Chart'!$C$2:$U$20,5,false)</f>
        <v>2</v>
      </c>
      <c r="Y1950" s="960">
        <f t="array" ref="Y1950">HLOOKUP($J1950,'Type Chart'!$C$2:$T$20,6,false)*HLOOKUP($K1950,'Type Chart'!$C$2:$U$20,6,false)</f>
        <v>0.25</v>
      </c>
      <c r="Z1950" s="960">
        <f t="array" ref="Z1950">HLOOKUP($J1950,'Type Chart'!$C$2:$T$20,7,false)*HLOOKUP($K1950,'Type Chart'!$C$2:$U$20,7,false)</f>
        <v>2</v>
      </c>
      <c r="AA1950" s="960">
        <f t="array" ref="AA1950">HLOOKUP($J1950,'Type Chart'!$C$2:$T$20,8,false)*HLOOKUP($K1950,'Type Chart'!$C$2:$U$20,8,false)</f>
        <v>2</v>
      </c>
      <c r="AB1950" s="960">
        <f t="array" ref="AB1950">HLOOKUP($J1950,'Type Chart'!$C$2:$T$20,9,false)*HLOOKUP($K1950,'Type Chart'!$C$2:$U$20,9,false)</f>
        <v>1</v>
      </c>
      <c r="AC1950" s="960">
        <f t="array" ref="AC1950">HLOOKUP($J1950,'Type Chart'!$C$2:$T$20,10,false)*HLOOKUP($K1950,'Type Chart'!$C$2:$U$20,10,false)</f>
        <v>1</v>
      </c>
      <c r="AD1950" s="960">
        <f t="array" ref="AD1950">HLOOKUP($J1950,'Type Chart'!$C$2:$T$20,11,false)*HLOOKUP($K1950,'Type Chart'!$C$2:$U$20,11,false)</f>
        <v>4</v>
      </c>
      <c r="AE1950" s="960">
        <f t="array" ref="AE1950">HLOOKUP($J1950,'Type Chart'!$C$2:$T$20,12,false)*HLOOKUP($K1950,'Type Chart'!$C$2:$U$20,12,false)</f>
        <v>0.5</v>
      </c>
      <c r="AF1950" s="960">
        <f t="array" ref="AF1950">HLOOKUP($J1950,'Type Chart'!$C$2:$T$20,13,false)*HLOOKUP($K1950,'Type Chart'!$C$2:$U$20,13,false)</f>
        <v>0.25</v>
      </c>
      <c r="AG1950" s="960">
        <f t="array" ref="AG1950">HLOOKUP($J1950,'Type Chart'!$C$2:$T$20,14,false)*HLOOKUP($K1950,'Type Chart'!$C$2:$U$20,14,false)</f>
        <v>0.5</v>
      </c>
      <c r="AH1950" s="960">
        <f t="array" ref="AH1950">HLOOKUP($J1950,'Type Chart'!$C$2:$T$20,15,false)*HLOOKUP($K1950,'Type Chart'!$C$2:$U$20,15,false)</f>
        <v>1</v>
      </c>
      <c r="AI1950" s="960">
        <f t="array" ref="AI1950">HLOOKUP($J1950,'Type Chart'!$C$2:$T$20,16,false)*HLOOKUP($K1950,'Type Chart'!$C$2:$U$20,16,false)</f>
        <v>2</v>
      </c>
      <c r="AJ1950" s="960">
        <f t="array" ref="AJ1950">HLOOKUP($J1950,'Type Chart'!$C$2:$T$20,17,false)*HLOOKUP($K1950,'Type Chart'!$C$2:$U$20,17,false)</f>
        <v>1</v>
      </c>
      <c r="AK1950" s="960">
        <f t="array" ref="AK1950">HLOOKUP($J1950,'Type Chart'!$C$2:$T$20,18,false)*HLOOKUP($K1950,'Type Chart'!$C$2:$U$20,18,false)</f>
        <v>1</v>
      </c>
      <c r="AL1950" s="960">
        <f t="array" ref="AL1950">HLOOKUP($J1950,'Type Chart'!$C$2:$T$20,19,false)*HLOOKUP($K1950,'Type Chart'!$C$2:$U$20,19,false)</f>
        <v>1</v>
      </c>
      <c r="AM1950" s="964" t="s">
        <v>1526</v>
      </c>
      <c r="AN1950" s="965" t="s">
        <v>524</v>
      </c>
      <c r="AO1950" s="966" t="s">
        <v>1431</v>
      </c>
      <c r="AP1950" s="936"/>
      <c r="AQ1950" s="1245"/>
      <c r="AR1950" s="1245"/>
      <c r="AS1950" s="936"/>
    </row>
    <row r="1951" ht="15.75" customHeight="1">
      <c r="A1951" s="1099"/>
      <c r="B1951" s="948" t="s">
        <v>2918</v>
      </c>
      <c r="C1951" s="1197" t="s">
        <v>2919</v>
      </c>
      <c r="D1951" s="1197" t="s">
        <v>2919</v>
      </c>
      <c r="E1951" s="1147" t="s">
        <v>2919</v>
      </c>
      <c r="F1951" s="940"/>
      <c r="G1951" s="953"/>
      <c r="H1951" s="969"/>
      <c r="I1951" s="998" t="s">
        <v>5051</v>
      </c>
      <c r="J1951" s="1180" t="s">
        <v>343</v>
      </c>
      <c r="K1951" s="957" t="s">
        <v>209</v>
      </c>
      <c r="L1951" s="959">
        <v>75.0</v>
      </c>
      <c r="M1951" s="960">
        <v>103.0</v>
      </c>
      <c r="N1951" s="960">
        <v>80.0</v>
      </c>
      <c r="O1951" s="960">
        <v>70.0</v>
      </c>
      <c r="P1951" s="960">
        <v>80.0</v>
      </c>
      <c r="Q1951" s="960">
        <v>92.0</v>
      </c>
      <c r="R1951" s="960">
        <v>220.0</v>
      </c>
      <c r="S1951" s="960">
        <v>283.0</v>
      </c>
      <c r="T1951" s="960">
        <v>311.0</v>
      </c>
      <c r="U1951" s="960">
        <f t="array" ref="U1951">HLOOKUP($J1951,'Type Chart'!$C$2:$T$20,2,false)*HLOOKUP($K1951,'Type Chart'!$C$2:$U$20,2,false)</f>
        <v>1</v>
      </c>
      <c r="V1951" s="960">
        <f t="array" ref="V1951">HLOOKUP($J1951,'Type Chart'!$C$2:$T$20,3,false)*HLOOKUP($K1951,'Type Chart'!$C$2:$U$20,3,false)</f>
        <v>0.5</v>
      </c>
      <c r="W1951" s="960">
        <f t="array" ref="W1951">HLOOKUP($J1951,'Type Chart'!$C$2:$T$20,4,false)*HLOOKUP($K1951,'Type Chart'!$C$2:$U$20,4,false)</f>
        <v>4</v>
      </c>
      <c r="X1951" s="960">
        <f t="array" ref="X1951">HLOOKUP($J1951,'Type Chart'!$C$2:$T$20,5,false)*HLOOKUP($K1951,'Type Chart'!$C$2:$U$20,5,false)</f>
        <v>2</v>
      </c>
      <c r="Y1951" s="960">
        <f t="array" ref="Y1951">HLOOKUP($J1951,'Type Chart'!$C$2:$T$20,6,false)*HLOOKUP($K1951,'Type Chart'!$C$2:$U$20,6,false)</f>
        <v>0.25</v>
      </c>
      <c r="Z1951" s="960">
        <f t="array" ref="Z1951">HLOOKUP($J1951,'Type Chart'!$C$2:$T$20,7,false)*HLOOKUP($K1951,'Type Chart'!$C$2:$U$20,7,false)</f>
        <v>2</v>
      </c>
      <c r="AA1951" s="960">
        <f t="array" ref="AA1951">HLOOKUP($J1951,'Type Chart'!$C$2:$T$20,8,false)*HLOOKUP($K1951,'Type Chart'!$C$2:$U$20,8,false)</f>
        <v>2</v>
      </c>
      <c r="AB1951" s="960">
        <f t="array" ref="AB1951">HLOOKUP($J1951,'Type Chart'!$C$2:$T$20,9,false)*HLOOKUP($K1951,'Type Chart'!$C$2:$U$20,9,false)</f>
        <v>1</v>
      </c>
      <c r="AC1951" s="960">
        <f t="array" ref="AC1951">HLOOKUP($J1951,'Type Chart'!$C$2:$T$20,10,false)*HLOOKUP($K1951,'Type Chart'!$C$2:$U$20,10,false)</f>
        <v>1</v>
      </c>
      <c r="AD1951" s="960">
        <f t="array" ref="AD1951">HLOOKUP($J1951,'Type Chart'!$C$2:$T$20,11,false)*HLOOKUP($K1951,'Type Chart'!$C$2:$U$20,11,false)</f>
        <v>4</v>
      </c>
      <c r="AE1951" s="960">
        <f t="array" ref="AE1951">HLOOKUP($J1951,'Type Chart'!$C$2:$T$20,12,false)*HLOOKUP($K1951,'Type Chart'!$C$2:$U$20,12,false)</f>
        <v>0.5</v>
      </c>
      <c r="AF1951" s="960">
        <f t="array" ref="AF1951">HLOOKUP($J1951,'Type Chart'!$C$2:$T$20,13,false)*HLOOKUP($K1951,'Type Chart'!$C$2:$U$20,13,false)</f>
        <v>0.25</v>
      </c>
      <c r="AG1951" s="960">
        <f t="array" ref="AG1951">HLOOKUP($J1951,'Type Chart'!$C$2:$T$20,14,false)*HLOOKUP($K1951,'Type Chart'!$C$2:$U$20,14,false)</f>
        <v>0.5</v>
      </c>
      <c r="AH1951" s="960">
        <f t="array" ref="AH1951">HLOOKUP($J1951,'Type Chart'!$C$2:$T$20,15,false)*HLOOKUP($K1951,'Type Chart'!$C$2:$U$20,15,false)</f>
        <v>1</v>
      </c>
      <c r="AI1951" s="960">
        <f t="array" ref="AI1951">HLOOKUP($J1951,'Type Chart'!$C$2:$T$20,16,false)*HLOOKUP($K1951,'Type Chart'!$C$2:$U$20,16,false)</f>
        <v>2</v>
      </c>
      <c r="AJ1951" s="960">
        <f t="array" ref="AJ1951">HLOOKUP($J1951,'Type Chart'!$C$2:$T$20,17,false)*HLOOKUP($K1951,'Type Chart'!$C$2:$U$20,17,false)</f>
        <v>1</v>
      </c>
      <c r="AK1951" s="960">
        <f t="array" ref="AK1951">HLOOKUP($J1951,'Type Chart'!$C$2:$T$20,18,false)*HLOOKUP($K1951,'Type Chart'!$C$2:$U$20,18,false)</f>
        <v>1</v>
      </c>
      <c r="AL1951" s="960">
        <f t="array" ref="AL1951">HLOOKUP($J1951,'Type Chart'!$C$2:$T$20,19,false)*HLOOKUP($K1951,'Type Chart'!$C$2:$U$20,19,false)</f>
        <v>1</v>
      </c>
      <c r="AM1951" s="964" t="s">
        <v>1013</v>
      </c>
      <c r="AN1951" s="965" t="s">
        <v>524</v>
      </c>
      <c r="AO1951" s="966" t="s">
        <v>1431</v>
      </c>
      <c r="AP1951" s="936"/>
      <c r="AQ1951" s="1245"/>
      <c r="AR1951" s="1245"/>
      <c r="AS1951" s="936"/>
    </row>
    <row r="1952" ht="15.75" customHeight="1">
      <c r="A1952" s="1099"/>
      <c r="B1952" s="948" t="s">
        <v>2920</v>
      </c>
      <c r="C1952" s="1197" t="s">
        <v>2921</v>
      </c>
      <c r="D1952" s="1197" t="s">
        <v>2921</v>
      </c>
      <c r="E1952" s="1147" t="s">
        <v>2921</v>
      </c>
      <c r="F1952" s="940"/>
      <c r="G1952" s="953"/>
      <c r="H1952" s="969"/>
      <c r="I1952" s="998" t="s">
        <v>5052</v>
      </c>
      <c r="J1952" s="1180" t="s">
        <v>343</v>
      </c>
      <c r="K1952" s="958" t="s">
        <v>178</v>
      </c>
      <c r="L1952" s="959">
        <v>30.0</v>
      </c>
      <c r="M1952" s="960">
        <v>45.0</v>
      </c>
      <c r="N1952" s="960">
        <v>59.0</v>
      </c>
      <c r="O1952" s="960">
        <v>30.0</v>
      </c>
      <c r="P1952" s="960">
        <v>39.0</v>
      </c>
      <c r="Q1952" s="960">
        <v>57.0</v>
      </c>
      <c r="R1952" s="960">
        <v>150.0</v>
      </c>
      <c r="S1952" s="960">
        <v>213.0</v>
      </c>
      <c r="T1952" s="960">
        <v>234.0</v>
      </c>
      <c r="U1952" s="960">
        <f t="array" ref="U1952">HLOOKUP($J1952,'Type Chart'!$C$2:$T$20,2,false)*HLOOKUP($K1952,'Type Chart'!$C$2:$U$20,2,false)</f>
        <v>1</v>
      </c>
      <c r="V1952" s="960">
        <f t="array" ref="V1952">HLOOKUP($J1952,'Type Chart'!$C$2:$T$20,3,false)*HLOOKUP($K1952,'Type Chart'!$C$2:$U$20,3,false)</f>
        <v>0.25</v>
      </c>
      <c r="W1952" s="960">
        <f t="array" ref="W1952">HLOOKUP($J1952,'Type Chart'!$C$2:$T$20,4,false)*HLOOKUP($K1952,'Type Chart'!$C$2:$U$20,4,false)</f>
        <v>2</v>
      </c>
      <c r="X1952" s="960">
        <f t="array" ref="X1952">HLOOKUP($J1952,'Type Chart'!$C$2:$T$20,5,false)*HLOOKUP($K1952,'Type Chart'!$C$2:$U$20,5,false)</f>
        <v>0.5</v>
      </c>
      <c r="Y1952" s="960">
        <f t="array" ref="Y1952">HLOOKUP($J1952,'Type Chart'!$C$2:$T$20,6,false)*HLOOKUP($K1952,'Type Chart'!$C$2:$U$20,6,false)</f>
        <v>1</v>
      </c>
      <c r="Z1952" s="960">
        <f t="array" ref="Z1952">HLOOKUP($J1952,'Type Chart'!$C$2:$T$20,7,false)*HLOOKUP($K1952,'Type Chart'!$C$2:$U$20,7,false)</f>
        <v>2</v>
      </c>
      <c r="AA1952" s="960">
        <f t="array" ref="AA1952">HLOOKUP($J1952,'Type Chart'!$C$2:$T$20,8,false)*HLOOKUP($K1952,'Type Chart'!$C$2:$U$20,8,false)</f>
        <v>0.5</v>
      </c>
      <c r="AB1952" s="960">
        <f t="array" ref="AB1952">HLOOKUP($J1952,'Type Chart'!$C$2:$T$20,9,false)*HLOOKUP($K1952,'Type Chart'!$C$2:$U$20,9,false)</f>
        <v>1</v>
      </c>
      <c r="AC1952" s="960">
        <f t="array" ref="AC1952">HLOOKUP($J1952,'Type Chart'!$C$2:$T$20,10,false)*HLOOKUP($K1952,'Type Chart'!$C$2:$U$20,10,false)</f>
        <v>1</v>
      </c>
      <c r="AD1952" s="960">
        <f t="array" ref="AD1952">HLOOKUP($J1952,'Type Chart'!$C$2:$T$20,11,false)*HLOOKUP($K1952,'Type Chart'!$C$2:$U$20,11,false)</f>
        <v>2</v>
      </c>
      <c r="AE1952" s="960">
        <f t="array" ref="AE1952">HLOOKUP($J1952,'Type Chart'!$C$2:$T$20,12,false)*HLOOKUP($K1952,'Type Chart'!$C$2:$U$20,12,false)</f>
        <v>1</v>
      </c>
      <c r="AF1952" s="960">
        <f t="array" ref="AF1952">HLOOKUP($J1952,'Type Chart'!$C$2:$T$20,13,false)*HLOOKUP($K1952,'Type Chart'!$C$2:$U$20,13,false)</f>
        <v>0.25</v>
      </c>
      <c r="AG1952" s="960">
        <f t="array" ref="AG1952">HLOOKUP($J1952,'Type Chart'!$C$2:$T$20,14,false)*HLOOKUP($K1952,'Type Chart'!$C$2:$U$20,14,false)</f>
        <v>1</v>
      </c>
      <c r="AH1952" s="960">
        <f t="array" ref="AH1952">HLOOKUP($J1952,'Type Chart'!$C$2:$T$20,15,false)*HLOOKUP($K1952,'Type Chart'!$C$2:$U$20,15,false)</f>
        <v>2</v>
      </c>
      <c r="AI1952" s="960">
        <f t="array" ref="AI1952">HLOOKUP($J1952,'Type Chart'!$C$2:$T$20,16,false)*HLOOKUP($K1952,'Type Chart'!$C$2:$U$20,16,false)</f>
        <v>1</v>
      </c>
      <c r="AJ1952" s="960">
        <f t="array" ref="AJ1952">HLOOKUP($J1952,'Type Chart'!$C$2:$T$20,17,false)*HLOOKUP($K1952,'Type Chart'!$C$2:$U$20,17,false)</f>
        <v>1</v>
      </c>
      <c r="AK1952" s="960">
        <f t="array" ref="AK1952">HLOOKUP($J1952,'Type Chart'!$C$2:$T$20,18,false)*HLOOKUP($K1952,'Type Chart'!$C$2:$U$20,18,false)</f>
        <v>1</v>
      </c>
      <c r="AL1952" s="960">
        <f t="array" ref="AL1952">HLOOKUP($J1952,'Type Chart'!$C$2:$T$20,19,false)*HLOOKUP($K1952,'Type Chart'!$C$2:$U$20,19,false)</f>
        <v>0.5</v>
      </c>
      <c r="AM1952" s="964" t="s">
        <v>1146</v>
      </c>
      <c r="AN1952" s="965" t="s">
        <v>1013</v>
      </c>
      <c r="AO1952" s="966" t="s">
        <v>1798</v>
      </c>
      <c r="AP1952" s="936"/>
      <c r="AQ1952" s="1245"/>
      <c r="AR1952" s="1245"/>
      <c r="AS1952" s="936"/>
    </row>
    <row r="1953" ht="15.75" customHeight="1">
      <c r="A1953" s="1099"/>
      <c r="B1953" s="948" t="s">
        <v>2923</v>
      </c>
      <c r="C1953" s="1197" t="s">
        <v>2924</v>
      </c>
      <c r="D1953" s="1197" t="s">
        <v>2924</v>
      </c>
      <c r="E1953" s="1147" t="s">
        <v>2924</v>
      </c>
      <c r="F1953" s="940"/>
      <c r="G1953" s="953"/>
      <c r="H1953" s="969"/>
      <c r="I1953" s="998" t="s">
        <v>5053</v>
      </c>
      <c r="J1953" s="1180" t="s">
        <v>343</v>
      </c>
      <c r="K1953" s="958" t="s">
        <v>178</v>
      </c>
      <c r="L1953" s="959">
        <v>40.0</v>
      </c>
      <c r="M1953" s="960">
        <v>55.0</v>
      </c>
      <c r="N1953" s="960">
        <v>99.0</v>
      </c>
      <c r="O1953" s="960">
        <v>40.0</v>
      </c>
      <c r="P1953" s="960">
        <v>79.0</v>
      </c>
      <c r="Q1953" s="960">
        <v>47.0</v>
      </c>
      <c r="R1953" s="960">
        <v>130.0</v>
      </c>
      <c r="S1953" s="960">
        <v>193.0</v>
      </c>
      <c r="T1953" s="960">
        <v>212.0</v>
      </c>
      <c r="U1953" s="960">
        <f t="array" ref="U1953">HLOOKUP($J1953,'Type Chart'!$C$2:$T$20,2,false)*HLOOKUP($K1953,'Type Chart'!$C$2:$U$20,2,false)</f>
        <v>1</v>
      </c>
      <c r="V1953" s="960">
        <f t="array" ref="V1953">HLOOKUP($J1953,'Type Chart'!$C$2:$T$20,3,false)*HLOOKUP($K1953,'Type Chart'!$C$2:$U$20,3,false)</f>
        <v>0.25</v>
      </c>
      <c r="W1953" s="960">
        <f t="array" ref="W1953">HLOOKUP($J1953,'Type Chart'!$C$2:$T$20,4,false)*HLOOKUP($K1953,'Type Chart'!$C$2:$U$20,4,false)</f>
        <v>2</v>
      </c>
      <c r="X1953" s="960">
        <f t="array" ref="X1953">HLOOKUP($J1953,'Type Chart'!$C$2:$T$20,5,false)*HLOOKUP($K1953,'Type Chart'!$C$2:$U$20,5,false)</f>
        <v>0.5</v>
      </c>
      <c r="Y1953" s="960">
        <f t="array" ref="Y1953">HLOOKUP($J1953,'Type Chart'!$C$2:$T$20,6,false)*HLOOKUP($K1953,'Type Chart'!$C$2:$U$20,6,false)</f>
        <v>1</v>
      </c>
      <c r="Z1953" s="960">
        <f t="array" ref="Z1953">HLOOKUP($J1953,'Type Chart'!$C$2:$T$20,7,false)*HLOOKUP($K1953,'Type Chart'!$C$2:$U$20,7,false)</f>
        <v>2</v>
      </c>
      <c r="AA1953" s="960">
        <f t="array" ref="AA1953">HLOOKUP($J1953,'Type Chart'!$C$2:$T$20,8,false)*HLOOKUP($K1953,'Type Chart'!$C$2:$U$20,8,false)</f>
        <v>0.5</v>
      </c>
      <c r="AB1953" s="960">
        <f t="array" ref="AB1953">HLOOKUP($J1953,'Type Chart'!$C$2:$T$20,9,false)*HLOOKUP($K1953,'Type Chart'!$C$2:$U$20,9,false)</f>
        <v>1</v>
      </c>
      <c r="AC1953" s="960">
        <f t="array" ref="AC1953">HLOOKUP($J1953,'Type Chart'!$C$2:$T$20,10,false)*HLOOKUP($K1953,'Type Chart'!$C$2:$U$20,10,false)</f>
        <v>1</v>
      </c>
      <c r="AD1953" s="960">
        <f t="array" ref="AD1953">HLOOKUP($J1953,'Type Chart'!$C$2:$T$20,11,false)*HLOOKUP($K1953,'Type Chart'!$C$2:$U$20,11,false)</f>
        <v>2</v>
      </c>
      <c r="AE1953" s="960">
        <f t="array" ref="AE1953">HLOOKUP($J1953,'Type Chart'!$C$2:$T$20,12,false)*HLOOKUP($K1953,'Type Chart'!$C$2:$U$20,12,false)</f>
        <v>1</v>
      </c>
      <c r="AF1953" s="960">
        <f t="array" ref="AF1953">HLOOKUP($J1953,'Type Chart'!$C$2:$T$20,13,false)*HLOOKUP($K1953,'Type Chart'!$C$2:$U$20,13,false)</f>
        <v>0.25</v>
      </c>
      <c r="AG1953" s="960">
        <f t="array" ref="AG1953">HLOOKUP($J1953,'Type Chart'!$C$2:$T$20,14,false)*HLOOKUP($K1953,'Type Chart'!$C$2:$U$20,14,false)</f>
        <v>1</v>
      </c>
      <c r="AH1953" s="960">
        <f t="array" ref="AH1953">HLOOKUP($J1953,'Type Chart'!$C$2:$T$20,15,false)*HLOOKUP($K1953,'Type Chart'!$C$2:$U$20,15,false)</f>
        <v>2</v>
      </c>
      <c r="AI1953" s="960">
        <f t="array" ref="AI1953">HLOOKUP($J1953,'Type Chart'!$C$2:$T$20,16,false)*HLOOKUP($K1953,'Type Chart'!$C$2:$U$20,16,false)</f>
        <v>1</v>
      </c>
      <c r="AJ1953" s="960">
        <f t="array" ref="AJ1953">HLOOKUP($J1953,'Type Chart'!$C$2:$T$20,17,false)*HLOOKUP($K1953,'Type Chart'!$C$2:$U$20,17,false)</f>
        <v>1</v>
      </c>
      <c r="AK1953" s="960">
        <f t="array" ref="AK1953">HLOOKUP($J1953,'Type Chart'!$C$2:$T$20,18,false)*HLOOKUP($K1953,'Type Chart'!$C$2:$U$20,18,false)</f>
        <v>1</v>
      </c>
      <c r="AL1953" s="960">
        <f t="array" ref="AL1953">HLOOKUP($J1953,'Type Chart'!$C$2:$T$20,19,false)*HLOOKUP($K1953,'Type Chart'!$C$2:$U$20,19,false)</f>
        <v>0.5</v>
      </c>
      <c r="AM1953" s="964" t="s">
        <v>1146</v>
      </c>
      <c r="AN1953" s="965" t="s">
        <v>1013</v>
      </c>
      <c r="AO1953" s="966" t="s">
        <v>1798</v>
      </c>
      <c r="AP1953" s="936"/>
      <c r="AQ1953" s="1245"/>
      <c r="AR1953" s="1245"/>
      <c r="AS1953" s="936"/>
    </row>
    <row r="1954" ht="15.75" customHeight="1">
      <c r="A1954" s="1099"/>
      <c r="B1954" s="948" t="s">
        <v>2926</v>
      </c>
      <c r="C1954" s="1197" t="s">
        <v>2927</v>
      </c>
      <c r="D1954" s="1197" t="s">
        <v>2927</v>
      </c>
      <c r="E1954" s="1147" t="s">
        <v>2927</v>
      </c>
      <c r="F1954" s="940"/>
      <c r="G1954" s="953"/>
      <c r="H1954" s="969"/>
      <c r="I1954" s="998" t="s">
        <v>5054</v>
      </c>
      <c r="J1954" s="1180" t="s">
        <v>343</v>
      </c>
      <c r="K1954" s="958" t="s">
        <v>178</v>
      </c>
      <c r="L1954" s="959">
        <v>60.0</v>
      </c>
      <c r="M1954" s="960">
        <v>100.0</v>
      </c>
      <c r="N1954" s="960">
        <v>89.0</v>
      </c>
      <c r="O1954" s="960">
        <v>55.0</v>
      </c>
      <c r="P1954" s="960">
        <v>69.0</v>
      </c>
      <c r="Q1954" s="960">
        <v>112.0</v>
      </c>
      <c r="R1954" s="960">
        <v>260.0</v>
      </c>
      <c r="S1954" s="960">
        <v>323.0</v>
      </c>
      <c r="T1954" s="960">
        <v>355.0</v>
      </c>
      <c r="U1954" s="960">
        <f t="array" ref="U1954">HLOOKUP($J1954,'Type Chart'!$C$2:$T$20,2,false)*HLOOKUP($K1954,'Type Chart'!$C$2:$U$20,2,false)</f>
        <v>1</v>
      </c>
      <c r="V1954" s="960">
        <f t="array" ref="V1954">HLOOKUP($J1954,'Type Chart'!$C$2:$T$20,3,false)*HLOOKUP($K1954,'Type Chart'!$C$2:$U$20,3,false)</f>
        <v>0.25</v>
      </c>
      <c r="W1954" s="960">
        <f t="array" ref="W1954">HLOOKUP($J1954,'Type Chart'!$C$2:$T$20,4,false)*HLOOKUP($K1954,'Type Chart'!$C$2:$U$20,4,false)</f>
        <v>2</v>
      </c>
      <c r="X1954" s="960">
        <f t="array" ref="X1954">HLOOKUP($J1954,'Type Chart'!$C$2:$T$20,5,false)*HLOOKUP($K1954,'Type Chart'!$C$2:$U$20,5,false)</f>
        <v>0.5</v>
      </c>
      <c r="Y1954" s="960">
        <f t="array" ref="Y1954">HLOOKUP($J1954,'Type Chart'!$C$2:$T$20,6,false)*HLOOKUP($K1954,'Type Chart'!$C$2:$U$20,6,false)</f>
        <v>1</v>
      </c>
      <c r="Z1954" s="960">
        <f t="array" ref="Z1954">HLOOKUP($J1954,'Type Chart'!$C$2:$T$20,7,false)*HLOOKUP($K1954,'Type Chart'!$C$2:$U$20,7,false)</f>
        <v>2</v>
      </c>
      <c r="AA1954" s="960">
        <f t="array" ref="AA1954">HLOOKUP($J1954,'Type Chart'!$C$2:$T$20,8,false)*HLOOKUP($K1954,'Type Chart'!$C$2:$U$20,8,false)</f>
        <v>0.5</v>
      </c>
      <c r="AB1954" s="960">
        <f t="array" ref="AB1954">HLOOKUP($J1954,'Type Chart'!$C$2:$T$20,9,false)*HLOOKUP($K1954,'Type Chart'!$C$2:$U$20,9,false)</f>
        <v>1</v>
      </c>
      <c r="AC1954" s="960">
        <f t="array" ref="AC1954">HLOOKUP($J1954,'Type Chart'!$C$2:$T$20,10,false)*HLOOKUP($K1954,'Type Chart'!$C$2:$U$20,10,false)</f>
        <v>1</v>
      </c>
      <c r="AD1954" s="960">
        <f t="array" ref="AD1954">HLOOKUP($J1954,'Type Chart'!$C$2:$T$20,11,false)*HLOOKUP($K1954,'Type Chart'!$C$2:$U$20,11,false)</f>
        <v>2</v>
      </c>
      <c r="AE1954" s="960">
        <f t="array" ref="AE1954">HLOOKUP($J1954,'Type Chart'!$C$2:$T$20,12,false)*HLOOKUP($K1954,'Type Chart'!$C$2:$U$20,12,false)</f>
        <v>1</v>
      </c>
      <c r="AF1954" s="960">
        <f t="array" ref="AF1954">HLOOKUP($J1954,'Type Chart'!$C$2:$T$20,13,false)*HLOOKUP($K1954,'Type Chart'!$C$2:$U$20,13,false)</f>
        <v>0.25</v>
      </c>
      <c r="AG1954" s="960">
        <f t="array" ref="AG1954">HLOOKUP($J1954,'Type Chart'!$C$2:$T$20,14,false)*HLOOKUP($K1954,'Type Chart'!$C$2:$U$20,14,false)</f>
        <v>1</v>
      </c>
      <c r="AH1954" s="960">
        <f t="array" ref="AH1954">HLOOKUP($J1954,'Type Chart'!$C$2:$T$20,15,false)*HLOOKUP($K1954,'Type Chart'!$C$2:$U$20,15,false)</f>
        <v>2</v>
      </c>
      <c r="AI1954" s="960">
        <f t="array" ref="AI1954">HLOOKUP($J1954,'Type Chart'!$C$2:$T$20,16,false)*HLOOKUP($K1954,'Type Chart'!$C$2:$U$20,16,false)</f>
        <v>1</v>
      </c>
      <c r="AJ1954" s="960">
        <f t="array" ref="AJ1954">HLOOKUP($J1954,'Type Chart'!$C$2:$T$20,17,false)*HLOOKUP($K1954,'Type Chart'!$C$2:$U$20,17,false)</f>
        <v>1</v>
      </c>
      <c r="AK1954" s="960">
        <f t="array" ref="AK1954">HLOOKUP($J1954,'Type Chart'!$C$2:$T$20,18,false)*HLOOKUP($K1954,'Type Chart'!$C$2:$U$20,18,false)</f>
        <v>1</v>
      </c>
      <c r="AL1954" s="960">
        <f t="array" ref="AL1954">HLOOKUP($J1954,'Type Chart'!$C$2:$T$20,19,false)*HLOOKUP($K1954,'Type Chart'!$C$2:$U$20,19,false)</f>
        <v>0.5</v>
      </c>
      <c r="AM1954" s="964" t="s">
        <v>1146</v>
      </c>
      <c r="AN1954" s="965" t="s">
        <v>1013</v>
      </c>
      <c r="AO1954" s="966" t="s">
        <v>1798</v>
      </c>
      <c r="AP1954" s="936"/>
      <c r="AQ1954" s="1245"/>
      <c r="AR1954" s="1245"/>
      <c r="AS1954" s="936"/>
    </row>
    <row r="1955" ht="15.75" customHeight="1">
      <c r="A1955" s="1099"/>
      <c r="B1955" s="948" t="s">
        <v>2929</v>
      </c>
      <c r="C1955" s="1197" t="s">
        <v>2930</v>
      </c>
      <c r="D1955" s="1197" t="s">
        <v>2930</v>
      </c>
      <c r="E1955" s="1147" t="s">
        <v>2930</v>
      </c>
      <c r="F1955" s="940"/>
      <c r="G1955" s="953"/>
      <c r="H1955" s="969"/>
      <c r="I1955" s="998" t="s">
        <v>5055</v>
      </c>
      <c r="J1955" s="957" t="s">
        <v>209</v>
      </c>
      <c r="K1955" s="1207" t="s">
        <v>127</v>
      </c>
      <c r="L1955" s="959">
        <v>40.0</v>
      </c>
      <c r="M1955" s="960">
        <v>27.0</v>
      </c>
      <c r="N1955" s="960">
        <v>60.0</v>
      </c>
      <c r="O1955" s="960">
        <v>37.0</v>
      </c>
      <c r="P1955" s="960">
        <v>50.0</v>
      </c>
      <c r="Q1955" s="960">
        <v>66.0</v>
      </c>
      <c r="R1955" s="960">
        <v>168.0</v>
      </c>
      <c r="S1955" s="960">
        <v>231.0</v>
      </c>
      <c r="T1955" s="960">
        <v>254.0</v>
      </c>
      <c r="U1955" s="960">
        <f t="array" ref="U1955">HLOOKUP($J1955,'Type Chart'!$C$2:$T$20,2,false)*HLOOKUP($K1955,'Type Chart'!$C$2:$U$20,2,false)</f>
        <v>1</v>
      </c>
      <c r="V1955" s="960">
        <f t="array" ref="V1955">HLOOKUP($J1955,'Type Chart'!$C$2:$T$20,3,false)*HLOOKUP($K1955,'Type Chart'!$C$2:$U$20,3,false)</f>
        <v>0.5</v>
      </c>
      <c r="W1955" s="960">
        <f t="array" ref="W1955">HLOOKUP($J1955,'Type Chart'!$C$2:$T$20,4,false)*HLOOKUP($K1955,'Type Chart'!$C$2:$U$20,4,false)</f>
        <v>2</v>
      </c>
      <c r="X1955" s="960">
        <f t="array" ref="X1955">HLOOKUP($J1955,'Type Chart'!$C$2:$T$20,5,false)*HLOOKUP($K1955,'Type Chart'!$C$2:$U$20,5,false)</f>
        <v>4</v>
      </c>
      <c r="Y1955" s="960">
        <f t="array" ref="Y1955">HLOOKUP($J1955,'Type Chart'!$C$2:$T$20,6,false)*HLOOKUP($K1955,'Type Chart'!$C$2:$U$20,6,false)</f>
        <v>0.5</v>
      </c>
      <c r="Z1955" s="960">
        <f t="array" ref="Z1955">HLOOKUP($J1955,'Type Chart'!$C$2:$T$20,7,false)*HLOOKUP($K1955,'Type Chart'!$C$2:$U$20,7,false)</f>
        <v>1</v>
      </c>
      <c r="AA1955" s="960">
        <f t="array" ref="AA1955">HLOOKUP($J1955,'Type Chart'!$C$2:$T$20,8,false)*HLOOKUP($K1955,'Type Chart'!$C$2:$U$20,8,false)</f>
        <v>1</v>
      </c>
      <c r="AB1955" s="960">
        <f t="array" ref="AB1955">HLOOKUP($J1955,'Type Chart'!$C$2:$T$20,9,false)*HLOOKUP($K1955,'Type Chart'!$C$2:$U$20,9,false)</f>
        <v>1</v>
      </c>
      <c r="AC1955" s="960">
        <f t="array" ref="AC1955">HLOOKUP($J1955,'Type Chart'!$C$2:$T$20,10,false)*HLOOKUP($K1955,'Type Chart'!$C$2:$U$20,10,false)</f>
        <v>2</v>
      </c>
      <c r="AD1955" s="960">
        <f t="array" ref="AD1955">HLOOKUP($J1955,'Type Chart'!$C$2:$T$20,11,false)*HLOOKUP($K1955,'Type Chart'!$C$2:$U$20,11,false)</f>
        <v>2</v>
      </c>
      <c r="AE1955" s="960">
        <f t="array" ref="AE1955">HLOOKUP($J1955,'Type Chart'!$C$2:$T$20,12,false)*HLOOKUP($K1955,'Type Chart'!$C$2:$U$20,12,false)</f>
        <v>0.5</v>
      </c>
      <c r="AF1955" s="960">
        <f t="array" ref="AF1955">HLOOKUP($J1955,'Type Chart'!$C$2:$T$20,13,false)*HLOOKUP($K1955,'Type Chart'!$C$2:$U$20,13,false)</f>
        <v>0.5</v>
      </c>
      <c r="AG1955" s="960">
        <f t="array" ref="AG1955">HLOOKUP($J1955,'Type Chart'!$C$2:$T$20,14,false)*HLOOKUP($K1955,'Type Chart'!$C$2:$U$20,14,false)</f>
        <v>0.5</v>
      </c>
      <c r="AH1955" s="960">
        <f t="array" ref="AH1955">HLOOKUP($J1955,'Type Chart'!$C$2:$T$20,15,false)*HLOOKUP($K1955,'Type Chart'!$C$2:$U$20,15,false)</f>
        <v>1</v>
      </c>
      <c r="AI1955" s="960">
        <f t="array" ref="AI1955">HLOOKUP($J1955,'Type Chart'!$C$2:$T$20,16,false)*HLOOKUP($K1955,'Type Chart'!$C$2:$U$20,16,false)</f>
        <v>2</v>
      </c>
      <c r="AJ1955" s="960">
        <f t="array" ref="AJ1955">HLOOKUP($J1955,'Type Chart'!$C$2:$T$20,17,false)*HLOOKUP($K1955,'Type Chart'!$C$2:$U$20,17,false)</f>
        <v>0</v>
      </c>
      <c r="AK1955" s="960">
        <f t="array" ref="AK1955">HLOOKUP($J1955,'Type Chart'!$C$2:$T$20,18,false)*HLOOKUP($K1955,'Type Chart'!$C$2:$U$20,18,false)</f>
        <v>0.5</v>
      </c>
      <c r="AL1955" s="960">
        <f t="array" ref="AL1955">HLOOKUP($J1955,'Type Chart'!$C$2:$T$20,19,false)*HLOOKUP($K1955,'Type Chart'!$C$2:$U$20,19,false)</f>
        <v>1</v>
      </c>
      <c r="AM1955" s="964" t="s">
        <v>1813</v>
      </c>
      <c r="AN1955" s="965" t="s">
        <v>1193</v>
      </c>
      <c r="AO1955" s="966" t="s">
        <v>524</v>
      </c>
      <c r="AP1955" s="936"/>
      <c r="AQ1955" s="1245"/>
      <c r="AR1955" s="1245"/>
      <c r="AS1955" s="936"/>
    </row>
    <row r="1956" ht="15.75" customHeight="1">
      <c r="A1956" s="1099"/>
      <c r="B1956" s="948" t="s">
        <v>2932</v>
      </c>
      <c r="C1956" s="1197" t="s">
        <v>2933</v>
      </c>
      <c r="D1956" s="1197" t="s">
        <v>2933</v>
      </c>
      <c r="E1956" s="1147" t="s">
        <v>2933</v>
      </c>
      <c r="F1956" s="940"/>
      <c r="G1956" s="953"/>
      <c r="H1956" s="969"/>
      <c r="I1956" s="998" t="s">
        <v>5056</v>
      </c>
      <c r="J1956" s="957" t="s">
        <v>209</v>
      </c>
      <c r="K1956" s="1207" t="s">
        <v>127</v>
      </c>
      <c r="L1956" s="959">
        <v>60.0</v>
      </c>
      <c r="M1956" s="960">
        <v>67.0</v>
      </c>
      <c r="N1956" s="960">
        <v>85.0</v>
      </c>
      <c r="O1956" s="960">
        <v>77.0</v>
      </c>
      <c r="P1956" s="960">
        <v>75.0</v>
      </c>
      <c r="Q1956" s="960">
        <v>116.0</v>
      </c>
      <c r="R1956" s="960">
        <v>268.0</v>
      </c>
      <c r="S1956" s="960">
        <v>331.0</v>
      </c>
      <c r="T1956" s="960">
        <v>364.0</v>
      </c>
      <c r="U1956" s="960">
        <f t="array" ref="U1956">HLOOKUP($J1956,'Type Chart'!$C$2:$T$20,2,false)*HLOOKUP($K1956,'Type Chart'!$C$2:$U$20,2,false)</f>
        <v>1</v>
      </c>
      <c r="V1956" s="960">
        <f t="array" ref="V1956">HLOOKUP($J1956,'Type Chart'!$C$2:$T$20,3,false)*HLOOKUP($K1956,'Type Chart'!$C$2:$U$20,3,false)</f>
        <v>0.5</v>
      </c>
      <c r="W1956" s="960">
        <f t="array" ref="W1956">HLOOKUP($J1956,'Type Chart'!$C$2:$T$20,4,false)*HLOOKUP($K1956,'Type Chart'!$C$2:$U$20,4,false)</f>
        <v>2</v>
      </c>
      <c r="X1956" s="960">
        <f t="array" ref="X1956">HLOOKUP($J1956,'Type Chart'!$C$2:$T$20,5,false)*HLOOKUP($K1956,'Type Chart'!$C$2:$U$20,5,false)</f>
        <v>4</v>
      </c>
      <c r="Y1956" s="960">
        <f t="array" ref="Y1956">HLOOKUP($J1956,'Type Chart'!$C$2:$T$20,6,false)*HLOOKUP($K1956,'Type Chart'!$C$2:$U$20,6,false)</f>
        <v>0.5</v>
      </c>
      <c r="Z1956" s="960">
        <f t="array" ref="Z1956">HLOOKUP($J1956,'Type Chart'!$C$2:$T$20,7,false)*HLOOKUP($K1956,'Type Chart'!$C$2:$U$20,7,false)</f>
        <v>1</v>
      </c>
      <c r="AA1956" s="960">
        <f t="array" ref="AA1956">HLOOKUP($J1956,'Type Chart'!$C$2:$T$20,8,false)*HLOOKUP($K1956,'Type Chart'!$C$2:$U$20,8,false)</f>
        <v>1</v>
      </c>
      <c r="AB1956" s="960">
        <f t="array" ref="AB1956">HLOOKUP($J1956,'Type Chart'!$C$2:$T$20,9,false)*HLOOKUP($K1956,'Type Chart'!$C$2:$U$20,9,false)</f>
        <v>1</v>
      </c>
      <c r="AC1956" s="960">
        <f t="array" ref="AC1956">HLOOKUP($J1956,'Type Chart'!$C$2:$T$20,10,false)*HLOOKUP($K1956,'Type Chart'!$C$2:$U$20,10,false)</f>
        <v>2</v>
      </c>
      <c r="AD1956" s="960">
        <f t="array" ref="AD1956">HLOOKUP($J1956,'Type Chart'!$C$2:$T$20,11,false)*HLOOKUP($K1956,'Type Chart'!$C$2:$U$20,11,false)</f>
        <v>2</v>
      </c>
      <c r="AE1956" s="960">
        <f t="array" ref="AE1956">HLOOKUP($J1956,'Type Chart'!$C$2:$T$20,12,false)*HLOOKUP($K1956,'Type Chart'!$C$2:$U$20,12,false)</f>
        <v>0.5</v>
      </c>
      <c r="AF1956" s="960">
        <f t="array" ref="AF1956">HLOOKUP($J1956,'Type Chart'!$C$2:$T$20,13,false)*HLOOKUP($K1956,'Type Chart'!$C$2:$U$20,13,false)</f>
        <v>0.5</v>
      </c>
      <c r="AG1956" s="960">
        <f t="array" ref="AG1956">HLOOKUP($J1956,'Type Chart'!$C$2:$T$20,14,false)*HLOOKUP($K1956,'Type Chart'!$C$2:$U$20,14,false)</f>
        <v>0.5</v>
      </c>
      <c r="AH1956" s="960">
        <f t="array" ref="AH1956">HLOOKUP($J1956,'Type Chart'!$C$2:$T$20,15,false)*HLOOKUP($K1956,'Type Chart'!$C$2:$U$20,15,false)</f>
        <v>1</v>
      </c>
      <c r="AI1956" s="960">
        <f t="array" ref="AI1956">HLOOKUP($J1956,'Type Chart'!$C$2:$T$20,16,false)*HLOOKUP($K1956,'Type Chart'!$C$2:$U$20,16,false)</f>
        <v>2</v>
      </c>
      <c r="AJ1956" s="960">
        <f t="array" ref="AJ1956">HLOOKUP($J1956,'Type Chart'!$C$2:$T$20,17,false)*HLOOKUP($K1956,'Type Chart'!$C$2:$U$20,17,false)</f>
        <v>0</v>
      </c>
      <c r="AK1956" s="960">
        <f t="array" ref="AK1956">HLOOKUP($J1956,'Type Chart'!$C$2:$T$20,18,false)*HLOOKUP($K1956,'Type Chart'!$C$2:$U$20,18,false)</f>
        <v>0.5</v>
      </c>
      <c r="AL1956" s="960">
        <f t="array" ref="AL1956">HLOOKUP($J1956,'Type Chart'!$C$2:$T$20,19,false)*HLOOKUP($K1956,'Type Chart'!$C$2:$U$20,19,false)</f>
        <v>1</v>
      </c>
      <c r="AM1956" s="964" t="s">
        <v>1813</v>
      </c>
      <c r="AN1956" s="965" t="s">
        <v>1193</v>
      </c>
      <c r="AO1956" s="966" t="s">
        <v>524</v>
      </c>
      <c r="AP1956" s="936"/>
      <c r="AQ1956" s="1245"/>
      <c r="AR1956" s="1245"/>
      <c r="AS1956" s="936"/>
    </row>
    <row r="1957" ht="15.75" customHeight="1">
      <c r="A1957" s="1099"/>
      <c r="B1957" s="948" t="s">
        <v>2934</v>
      </c>
      <c r="C1957" s="1197" t="s">
        <v>2935</v>
      </c>
      <c r="D1957" s="1197" t="s">
        <v>2935</v>
      </c>
      <c r="E1957" s="1147" t="s">
        <v>2935</v>
      </c>
      <c r="F1957" s="940"/>
      <c r="G1957" s="953"/>
      <c r="H1957" s="969"/>
      <c r="I1957" s="998" t="s">
        <v>5057</v>
      </c>
      <c r="J1957" s="957" t="s">
        <v>209</v>
      </c>
      <c r="K1957" s="984" t="s">
        <v>216</v>
      </c>
      <c r="L1957" s="959">
        <v>45.0</v>
      </c>
      <c r="M1957" s="960">
        <v>35.0</v>
      </c>
      <c r="N1957" s="960">
        <v>50.0</v>
      </c>
      <c r="O1957" s="960">
        <v>70.0</v>
      </c>
      <c r="P1957" s="960">
        <v>50.0</v>
      </c>
      <c r="Q1957" s="960">
        <v>30.0</v>
      </c>
      <c r="R1957" s="960">
        <v>96.0</v>
      </c>
      <c r="S1957" s="960">
        <v>159.0</v>
      </c>
      <c r="T1957" s="960">
        <v>174.0</v>
      </c>
      <c r="U1957" s="960">
        <f t="array" ref="U1957">HLOOKUP($J1957,'Type Chart'!$C$2:$T$20,2,false)*HLOOKUP($K1957,'Type Chart'!$C$2:$U$20,2,false)</f>
        <v>1</v>
      </c>
      <c r="V1957" s="960">
        <f t="array" ref="V1957">HLOOKUP($J1957,'Type Chart'!$C$2:$T$20,3,false)*HLOOKUP($K1957,'Type Chart'!$C$2:$U$20,3,false)</f>
        <v>1</v>
      </c>
      <c r="W1957" s="960">
        <f t="array" ref="W1957">HLOOKUP($J1957,'Type Chart'!$C$2:$T$20,4,false)*HLOOKUP($K1957,'Type Chart'!$C$2:$U$20,4,false)</f>
        <v>2</v>
      </c>
      <c r="X1957" s="960">
        <f t="array" ref="X1957">HLOOKUP($J1957,'Type Chart'!$C$2:$T$20,5,false)*HLOOKUP($K1957,'Type Chart'!$C$2:$U$20,5,false)</f>
        <v>2</v>
      </c>
      <c r="Y1957" s="960">
        <f t="array" ref="Y1957">HLOOKUP($J1957,'Type Chart'!$C$2:$T$20,6,false)*HLOOKUP($K1957,'Type Chart'!$C$2:$U$20,6,false)</f>
        <v>0.5</v>
      </c>
      <c r="Z1957" s="960">
        <f t="array" ref="Z1957">HLOOKUP($J1957,'Type Chart'!$C$2:$T$20,7,false)*HLOOKUP($K1957,'Type Chart'!$C$2:$U$20,7,false)</f>
        <v>1</v>
      </c>
      <c r="AA1957" s="960">
        <f t="array" ref="AA1957">HLOOKUP($J1957,'Type Chart'!$C$2:$T$20,8,false)*HLOOKUP($K1957,'Type Chart'!$C$2:$U$20,8,false)</f>
        <v>2</v>
      </c>
      <c r="AB1957" s="960">
        <f t="array" ref="AB1957">HLOOKUP($J1957,'Type Chart'!$C$2:$T$20,9,false)*HLOOKUP($K1957,'Type Chart'!$C$2:$U$20,9,false)</f>
        <v>1</v>
      </c>
      <c r="AC1957" s="960">
        <f t="array" ref="AC1957">HLOOKUP($J1957,'Type Chart'!$C$2:$T$20,10,false)*HLOOKUP($K1957,'Type Chart'!$C$2:$U$20,10,false)</f>
        <v>1</v>
      </c>
      <c r="AD1957" s="960">
        <f t="array" ref="AD1957">HLOOKUP($J1957,'Type Chart'!$C$2:$T$20,11,false)*HLOOKUP($K1957,'Type Chart'!$C$2:$U$20,11,false)</f>
        <v>2</v>
      </c>
      <c r="AE1957" s="960">
        <f t="array" ref="AE1957">HLOOKUP($J1957,'Type Chart'!$C$2:$T$20,12,false)*HLOOKUP($K1957,'Type Chart'!$C$2:$U$20,12,false)</f>
        <v>0.5</v>
      </c>
      <c r="AF1957" s="960">
        <f t="array" ref="AF1957">HLOOKUP($J1957,'Type Chart'!$C$2:$T$20,13,false)*HLOOKUP($K1957,'Type Chart'!$C$2:$U$20,13,false)</f>
        <v>0.5</v>
      </c>
      <c r="AG1957" s="960">
        <f t="array" ref="AG1957">HLOOKUP($J1957,'Type Chart'!$C$2:$T$20,14,false)*HLOOKUP($K1957,'Type Chart'!$C$2:$U$20,14,false)</f>
        <v>0.5</v>
      </c>
      <c r="AH1957" s="960">
        <f t="array" ref="AH1957">HLOOKUP($J1957,'Type Chart'!$C$2:$T$20,15,false)*HLOOKUP($K1957,'Type Chart'!$C$2:$U$20,15,false)</f>
        <v>1</v>
      </c>
      <c r="AI1957" s="960">
        <f t="array" ref="AI1957">HLOOKUP($J1957,'Type Chart'!$C$2:$T$20,16,false)*HLOOKUP($K1957,'Type Chart'!$C$2:$U$20,16,false)</f>
        <v>2</v>
      </c>
      <c r="AJ1957" s="960">
        <f t="array" ref="AJ1957">HLOOKUP($J1957,'Type Chart'!$C$2:$T$20,17,false)*HLOOKUP($K1957,'Type Chart'!$C$2:$U$20,17,false)</f>
        <v>1</v>
      </c>
      <c r="AK1957" s="960">
        <f t="array" ref="AK1957">HLOOKUP($J1957,'Type Chart'!$C$2:$T$20,18,false)*HLOOKUP($K1957,'Type Chart'!$C$2:$U$20,18,false)</f>
        <v>1</v>
      </c>
      <c r="AL1957" s="960">
        <f t="array" ref="AL1957">HLOOKUP($J1957,'Type Chart'!$C$2:$T$20,19,false)*HLOOKUP($K1957,'Type Chart'!$C$2:$U$20,19,false)</f>
        <v>1</v>
      </c>
      <c r="AM1957" s="964" t="s">
        <v>524</v>
      </c>
      <c r="AN1957" s="965" t="s">
        <v>1370</v>
      </c>
      <c r="AO1957" s="966" t="s">
        <v>1526</v>
      </c>
      <c r="AP1957" s="936"/>
      <c r="AQ1957" s="1245"/>
      <c r="AR1957" s="1245"/>
      <c r="AS1957" s="936"/>
    </row>
    <row r="1958" ht="15.75" customHeight="1">
      <c r="A1958" s="1099"/>
      <c r="B1958" s="948" t="s">
        <v>2937</v>
      </c>
      <c r="C1958" s="1197" t="s">
        <v>2938</v>
      </c>
      <c r="D1958" s="1197" t="s">
        <v>2938</v>
      </c>
      <c r="E1958" s="1147" t="s">
        <v>2938</v>
      </c>
      <c r="F1958" s="940"/>
      <c r="G1958" s="953"/>
      <c r="H1958" s="969"/>
      <c r="I1958" s="998" t="s">
        <v>5058</v>
      </c>
      <c r="J1958" s="957" t="s">
        <v>209</v>
      </c>
      <c r="K1958" s="984" t="s">
        <v>216</v>
      </c>
      <c r="L1958" s="959">
        <v>70.0</v>
      </c>
      <c r="M1958" s="960">
        <v>60.0</v>
      </c>
      <c r="N1958" s="960">
        <v>75.0</v>
      </c>
      <c r="O1958" s="960">
        <v>110.0</v>
      </c>
      <c r="P1958" s="960">
        <v>75.0</v>
      </c>
      <c r="Q1958" s="960">
        <v>90.0</v>
      </c>
      <c r="R1958" s="960">
        <v>216.0</v>
      </c>
      <c r="S1958" s="960">
        <v>279.0</v>
      </c>
      <c r="T1958" s="960">
        <v>306.0</v>
      </c>
      <c r="U1958" s="960">
        <f t="array" ref="U1958">HLOOKUP($J1958,'Type Chart'!$C$2:$T$20,2,false)*HLOOKUP($K1958,'Type Chart'!$C$2:$U$20,2,false)</f>
        <v>1</v>
      </c>
      <c r="V1958" s="960">
        <f t="array" ref="V1958">HLOOKUP($J1958,'Type Chart'!$C$2:$T$20,3,false)*HLOOKUP($K1958,'Type Chart'!$C$2:$U$20,3,false)</f>
        <v>1</v>
      </c>
      <c r="W1958" s="960">
        <f t="array" ref="W1958">HLOOKUP($J1958,'Type Chart'!$C$2:$T$20,4,false)*HLOOKUP($K1958,'Type Chart'!$C$2:$U$20,4,false)</f>
        <v>2</v>
      </c>
      <c r="X1958" s="960">
        <f t="array" ref="X1958">HLOOKUP($J1958,'Type Chart'!$C$2:$T$20,5,false)*HLOOKUP($K1958,'Type Chart'!$C$2:$U$20,5,false)</f>
        <v>2</v>
      </c>
      <c r="Y1958" s="960">
        <f t="array" ref="Y1958">HLOOKUP($J1958,'Type Chart'!$C$2:$T$20,6,false)*HLOOKUP($K1958,'Type Chart'!$C$2:$U$20,6,false)</f>
        <v>0.5</v>
      </c>
      <c r="Z1958" s="960">
        <f t="array" ref="Z1958">HLOOKUP($J1958,'Type Chart'!$C$2:$T$20,7,false)*HLOOKUP($K1958,'Type Chart'!$C$2:$U$20,7,false)</f>
        <v>1</v>
      </c>
      <c r="AA1958" s="960">
        <f t="array" ref="AA1958">HLOOKUP($J1958,'Type Chart'!$C$2:$T$20,8,false)*HLOOKUP($K1958,'Type Chart'!$C$2:$U$20,8,false)</f>
        <v>2</v>
      </c>
      <c r="AB1958" s="960">
        <f t="array" ref="AB1958">HLOOKUP($J1958,'Type Chart'!$C$2:$T$20,9,false)*HLOOKUP($K1958,'Type Chart'!$C$2:$U$20,9,false)</f>
        <v>1</v>
      </c>
      <c r="AC1958" s="960">
        <f t="array" ref="AC1958">HLOOKUP($J1958,'Type Chart'!$C$2:$T$20,10,false)*HLOOKUP($K1958,'Type Chart'!$C$2:$U$20,10,false)</f>
        <v>1</v>
      </c>
      <c r="AD1958" s="960">
        <f t="array" ref="AD1958">HLOOKUP($J1958,'Type Chart'!$C$2:$T$20,11,false)*HLOOKUP($K1958,'Type Chart'!$C$2:$U$20,11,false)</f>
        <v>2</v>
      </c>
      <c r="AE1958" s="960">
        <f t="array" ref="AE1958">HLOOKUP($J1958,'Type Chart'!$C$2:$T$20,12,false)*HLOOKUP($K1958,'Type Chart'!$C$2:$U$20,12,false)</f>
        <v>0.5</v>
      </c>
      <c r="AF1958" s="960">
        <f t="array" ref="AF1958">HLOOKUP($J1958,'Type Chart'!$C$2:$T$20,13,false)*HLOOKUP($K1958,'Type Chart'!$C$2:$U$20,13,false)</f>
        <v>0.5</v>
      </c>
      <c r="AG1958" s="960">
        <f t="array" ref="AG1958">HLOOKUP($J1958,'Type Chart'!$C$2:$T$20,14,false)*HLOOKUP($K1958,'Type Chart'!$C$2:$U$20,14,false)</f>
        <v>0.5</v>
      </c>
      <c r="AH1958" s="960">
        <f t="array" ref="AH1958">HLOOKUP($J1958,'Type Chart'!$C$2:$T$20,15,false)*HLOOKUP($K1958,'Type Chart'!$C$2:$U$20,15,false)</f>
        <v>1</v>
      </c>
      <c r="AI1958" s="960">
        <f t="array" ref="AI1958">HLOOKUP($J1958,'Type Chart'!$C$2:$T$20,16,false)*HLOOKUP($K1958,'Type Chart'!$C$2:$U$20,16,false)</f>
        <v>2</v>
      </c>
      <c r="AJ1958" s="960">
        <f t="array" ref="AJ1958">HLOOKUP($J1958,'Type Chart'!$C$2:$T$20,17,false)*HLOOKUP($K1958,'Type Chart'!$C$2:$U$20,17,false)</f>
        <v>1</v>
      </c>
      <c r="AK1958" s="960">
        <f t="array" ref="AK1958">HLOOKUP($J1958,'Type Chart'!$C$2:$T$20,18,false)*HLOOKUP($K1958,'Type Chart'!$C$2:$U$20,18,false)</f>
        <v>1</v>
      </c>
      <c r="AL1958" s="960">
        <f t="array" ref="AL1958">HLOOKUP($J1958,'Type Chart'!$C$2:$T$20,19,false)*HLOOKUP($K1958,'Type Chart'!$C$2:$U$20,19,false)</f>
        <v>1</v>
      </c>
      <c r="AM1958" s="964" t="s">
        <v>524</v>
      </c>
      <c r="AN1958" s="965" t="s">
        <v>1370</v>
      </c>
      <c r="AO1958" s="966" t="s">
        <v>1526</v>
      </c>
      <c r="AP1958" s="936"/>
      <c r="AQ1958" s="1245"/>
      <c r="AR1958" s="1245"/>
      <c r="AS1958" s="936"/>
    </row>
    <row r="1959" ht="15.75" customHeight="1">
      <c r="A1959" s="1099"/>
      <c r="B1959" s="948" t="s">
        <v>2939</v>
      </c>
      <c r="C1959" s="1197" t="s">
        <v>2940</v>
      </c>
      <c r="D1959" s="1197" t="s">
        <v>2941</v>
      </c>
      <c r="E1959" s="1147" t="s">
        <v>2940</v>
      </c>
      <c r="F1959" s="940"/>
      <c r="G1959" s="953"/>
      <c r="H1959" s="969"/>
      <c r="I1959" s="998" t="s">
        <v>5059</v>
      </c>
      <c r="J1959" s="1235" t="s">
        <v>209</v>
      </c>
      <c r="K1959" s="1236" t="s">
        <v>341</v>
      </c>
      <c r="L1959" s="959">
        <v>70.0</v>
      </c>
      <c r="M1959" s="960">
        <v>60.0</v>
      </c>
      <c r="N1959" s="960">
        <v>75.0</v>
      </c>
      <c r="O1959" s="960">
        <v>110.0</v>
      </c>
      <c r="P1959" s="960">
        <v>75.0</v>
      </c>
      <c r="Q1959" s="960">
        <v>90.0</v>
      </c>
      <c r="R1959" s="960">
        <v>216.0</v>
      </c>
      <c r="S1959" s="960">
        <v>279.0</v>
      </c>
      <c r="T1959" s="960">
        <v>306.0</v>
      </c>
      <c r="U1959" s="960">
        <f t="array" ref="U1959">HLOOKUP($J1959,'Type Chart'!$C$2:$T$20,2,false)*HLOOKUP($K1959,'Type Chart'!$C$2:$U$20,2,false)</f>
        <v>1</v>
      </c>
      <c r="V1959" s="960">
        <f t="array" ref="V1959">HLOOKUP($J1959,'Type Chart'!$C$2:$T$20,3,false)*HLOOKUP($K1959,'Type Chart'!$C$2:$U$20,3,false)</f>
        <v>1</v>
      </c>
      <c r="W1959" s="960">
        <f t="array" ref="W1959">HLOOKUP($J1959,'Type Chart'!$C$2:$T$20,4,false)*HLOOKUP($K1959,'Type Chart'!$C$2:$U$20,4,false)</f>
        <v>4</v>
      </c>
      <c r="X1959" s="960">
        <f t="array" ref="X1959">HLOOKUP($J1959,'Type Chart'!$C$2:$T$20,5,false)*HLOOKUP($K1959,'Type Chart'!$C$2:$U$20,5,false)</f>
        <v>2</v>
      </c>
      <c r="Y1959" s="960">
        <f t="array" ref="Y1959">HLOOKUP($J1959,'Type Chart'!$C$2:$T$20,6,false)*HLOOKUP($K1959,'Type Chart'!$C$2:$U$20,6,false)</f>
        <v>0.5</v>
      </c>
      <c r="Z1959" s="960">
        <f t="array" ref="Z1959">HLOOKUP($J1959,'Type Chart'!$C$2:$T$20,7,false)*HLOOKUP($K1959,'Type Chart'!$C$2:$U$20,7,false)</f>
        <v>0.5</v>
      </c>
      <c r="AA1959" s="960">
        <f t="array" ref="AA1959">HLOOKUP($J1959,'Type Chart'!$C$2:$T$20,8,false)*HLOOKUP($K1959,'Type Chart'!$C$2:$U$20,8,false)</f>
        <v>1</v>
      </c>
      <c r="AB1959" s="960">
        <f t="array" ref="AB1959">HLOOKUP($J1959,'Type Chart'!$C$2:$T$20,9,false)*HLOOKUP($K1959,'Type Chart'!$C$2:$U$20,9,false)</f>
        <v>1</v>
      </c>
      <c r="AC1959" s="960">
        <f t="array" ref="AC1959">HLOOKUP($J1959,'Type Chart'!$C$2:$T$20,10,false)*HLOOKUP($K1959,'Type Chart'!$C$2:$U$20,10,false)</f>
        <v>1</v>
      </c>
      <c r="AD1959" s="960">
        <f t="array" ref="AD1959">HLOOKUP($J1959,'Type Chart'!$C$2:$T$20,11,false)*HLOOKUP($K1959,'Type Chart'!$C$2:$U$20,11,false)</f>
        <v>2</v>
      </c>
      <c r="AE1959" s="960">
        <f t="array" ref="AE1959">HLOOKUP($J1959,'Type Chart'!$C$2:$T$20,12,false)*HLOOKUP($K1959,'Type Chart'!$C$2:$U$20,12,false)</f>
        <v>0.5</v>
      </c>
      <c r="AF1959" s="960">
        <f t="array" ref="AF1959">HLOOKUP($J1959,'Type Chart'!$C$2:$T$20,13,false)*HLOOKUP($K1959,'Type Chart'!$C$2:$U$20,13,false)</f>
        <v>0.5</v>
      </c>
      <c r="AG1959" s="960">
        <f t="array" ref="AG1959">HLOOKUP($J1959,'Type Chart'!$C$2:$T$20,14,false)*HLOOKUP($K1959,'Type Chart'!$C$2:$U$20,14,false)</f>
        <v>0.5</v>
      </c>
      <c r="AH1959" s="960">
        <f t="array" ref="AH1959">HLOOKUP($J1959,'Type Chart'!$C$2:$T$20,15,false)*HLOOKUP($K1959,'Type Chart'!$C$2:$U$20,15,false)</f>
        <v>2</v>
      </c>
      <c r="AI1959" s="960">
        <f t="array" ref="AI1959">HLOOKUP($J1959,'Type Chart'!$C$2:$T$20,16,false)*HLOOKUP($K1959,'Type Chart'!$C$2:$U$20,16,false)</f>
        <v>2</v>
      </c>
      <c r="AJ1959" s="960">
        <f t="array" ref="AJ1959">HLOOKUP($J1959,'Type Chart'!$C$2:$T$20,17,false)*HLOOKUP($K1959,'Type Chart'!$C$2:$U$20,17,false)</f>
        <v>1</v>
      </c>
      <c r="AK1959" s="960">
        <f t="array" ref="AK1959">HLOOKUP($J1959,'Type Chart'!$C$2:$T$20,18,false)*HLOOKUP($K1959,'Type Chart'!$C$2:$U$20,18,false)</f>
        <v>0.5</v>
      </c>
      <c r="AL1959" s="960">
        <f t="array" ref="AL1959">HLOOKUP($J1959,'Type Chart'!$C$2:$T$20,19,false)*HLOOKUP($K1959,'Type Chart'!$C$2:$U$20,19,false)</f>
        <v>2</v>
      </c>
      <c r="AM1959" s="964"/>
      <c r="AN1959" s="965"/>
      <c r="AO1959" s="966"/>
      <c r="AP1959" s="936"/>
      <c r="AQ1959" s="1245"/>
      <c r="AR1959" s="1245"/>
      <c r="AS1959" s="936"/>
    </row>
    <row r="1960" ht="15.75" customHeight="1">
      <c r="A1960" s="1099"/>
      <c r="B1960" s="948" t="s">
        <v>2942</v>
      </c>
      <c r="C1960" s="1197" t="s">
        <v>2943</v>
      </c>
      <c r="D1960" s="1197" t="s">
        <v>2943</v>
      </c>
      <c r="E1960" s="1147" t="s">
        <v>2943</v>
      </c>
      <c r="F1960" s="940"/>
      <c r="G1960" s="953"/>
      <c r="H1960" s="969"/>
      <c r="I1960" s="998" t="s">
        <v>5060</v>
      </c>
      <c r="J1960" s="1056" t="s">
        <v>81</v>
      </c>
      <c r="K1960" s="984" t="s">
        <v>216</v>
      </c>
      <c r="L1960" s="959">
        <v>70.0</v>
      </c>
      <c r="M1960" s="960">
        <v>92.0</v>
      </c>
      <c r="N1960" s="960">
        <v>65.0</v>
      </c>
      <c r="O1960" s="960">
        <v>80.0</v>
      </c>
      <c r="P1960" s="960">
        <v>55.0</v>
      </c>
      <c r="Q1960" s="960">
        <v>98.0</v>
      </c>
      <c r="R1960" s="960">
        <v>232.0</v>
      </c>
      <c r="S1960" s="960">
        <v>295.0</v>
      </c>
      <c r="T1960" s="960">
        <v>324.0</v>
      </c>
      <c r="U1960" s="960">
        <f t="array" ref="U1960">HLOOKUP($J1960,'Type Chart'!$C$2:$T$20,2,false)*HLOOKUP($K1960,'Type Chart'!$C$2:$U$20,2,false)</f>
        <v>1</v>
      </c>
      <c r="V1960" s="960">
        <f t="array" ref="V1960">HLOOKUP($J1960,'Type Chart'!$C$2:$T$20,3,false)*HLOOKUP($K1960,'Type Chart'!$C$2:$U$20,3,false)</f>
        <v>1</v>
      </c>
      <c r="W1960" s="960">
        <f t="array" ref="W1960">HLOOKUP($J1960,'Type Chart'!$C$2:$T$20,4,false)*HLOOKUP($K1960,'Type Chart'!$C$2:$U$20,4,false)</f>
        <v>1</v>
      </c>
      <c r="X1960" s="960">
        <f t="array" ref="X1960">HLOOKUP($J1960,'Type Chart'!$C$2:$T$20,5,false)*HLOOKUP($K1960,'Type Chart'!$C$2:$U$20,5,false)</f>
        <v>1</v>
      </c>
      <c r="Y1960" s="960">
        <f t="array" ref="Y1960">HLOOKUP($J1960,'Type Chart'!$C$2:$T$20,6,false)*HLOOKUP($K1960,'Type Chart'!$C$2:$U$20,6,false)</f>
        <v>1</v>
      </c>
      <c r="Z1960" s="960">
        <f t="array" ref="Z1960">HLOOKUP($J1960,'Type Chart'!$C$2:$T$20,7,false)*HLOOKUP($K1960,'Type Chart'!$C$2:$U$20,7,false)</f>
        <v>1</v>
      </c>
      <c r="AA1960" s="960">
        <f t="array" ref="AA1960">HLOOKUP($J1960,'Type Chart'!$C$2:$T$20,8,false)*HLOOKUP($K1960,'Type Chart'!$C$2:$U$20,8,false)</f>
        <v>1</v>
      </c>
      <c r="AB1960" s="960">
        <f t="array" ref="AB1960">HLOOKUP($J1960,'Type Chart'!$C$2:$T$20,9,false)*HLOOKUP($K1960,'Type Chart'!$C$2:$U$20,9,false)</f>
        <v>1</v>
      </c>
      <c r="AC1960" s="960">
        <f t="array" ref="AC1960">HLOOKUP($J1960,'Type Chart'!$C$2:$T$20,10,false)*HLOOKUP($K1960,'Type Chart'!$C$2:$U$20,10,false)</f>
        <v>0.5</v>
      </c>
      <c r="AD1960" s="960">
        <f t="array" ref="AD1960">HLOOKUP($J1960,'Type Chart'!$C$2:$T$20,11,false)*HLOOKUP($K1960,'Type Chart'!$C$2:$U$20,11,false)</f>
        <v>0.5</v>
      </c>
      <c r="AE1960" s="960">
        <f t="array" ref="AE1960">HLOOKUP($J1960,'Type Chart'!$C$2:$T$20,12,false)*HLOOKUP($K1960,'Type Chart'!$C$2:$U$20,12,false)</f>
        <v>0.5</v>
      </c>
      <c r="AF1960" s="960">
        <f t="array" ref="AF1960">HLOOKUP($J1960,'Type Chart'!$C$2:$T$20,13,false)*HLOOKUP($K1960,'Type Chart'!$C$2:$U$20,13,false)</f>
        <v>2</v>
      </c>
      <c r="AG1960" s="960">
        <f t="array" ref="AG1960">HLOOKUP($J1960,'Type Chart'!$C$2:$T$20,14,false)*HLOOKUP($K1960,'Type Chart'!$C$2:$U$20,14,false)</f>
        <v>2</v>
      </c>
      <c r="AH1960" s="960">
        <f t="array" ref="AH1960">HLOOKUP($J1960,'Type Chart'!$C$2:$T$20,15,false)*HLOOKUP($K1960,'Type Chart'!$C$2:$U$20,15,false)</f>
        <v>1</v>
      </c>
      <c r="AI1960" s="960">
        <f t="array" ref="AI1960">HLOOKUP($J1960,'Type Chart'!$C$2:$T$20,16,false)*HLOOKUP($K1960,'Type Chart'!$C$2:$U$20,16,false)</f>
        <v>0.5</v>
      </c>
      <c r="AJ1960" s="960">
        <f t="array" ref="AJ1960">HLOOKUP($J1960,'Type Chart'!$C$2:$T$20,17,false)*HLOOKUP($K1960,'Type Chart'!$C$2:$U$20,17,false)</f>
        <v>1</v>
      </c>
      <c r="AK1960" s="960">
        <f t="array" ref="AK1960">HLOOKUP($J1960,'Type Chart'!$C$2:$T$20,18,false)*HLOOKUP($K1960,'Type Chart'!$C$2:$U$20,18,false)</f>
        <v>1</v>
      </c>
      <c r="AL1960" s="960">
        <f t="array" ref="AL1960">HLOOKUP($J1960,'Type Chart'!$C$2:$T$20,19,false)*HLOOKUP($K1960,'Type Chart'!$C$2:$U$20,19,false)</f>
        <v>1</v>
      </c>
      <c r="AM1960" s="964" t="s">
        <v>1497</v>
      </c>
      <c r="AN1960" s="965" t="s">
        <v>1018</v>
      </c>
      <c r="AO1960" s="966" t="s">
        <v>1576</v>
      </c>
      <c r="AP1960" s="936"/>
      <c r="AQ1960" s="1245"/>
      <c r="AR1960" s="1245"/>
      <c r="AS1960" s="936"/>
    </row>
    <row r="1961" ht="15.75" customHeight="1">
      <c r="A1961" s="1099"/>
      <c r="B1961" s="948" t="s">
        <v>2944</v>
      </c>
      <c r="C1961" s="1197" t="s">
        <v>2945</v>
      </c>
      <c r="D1961" s="1197" t="s">
        <v>2946</v>
      </c>
      <c r="E1961" s="1147" t="s">
        <v>2945</v>
      </c>
      <c r="F1961" s="940"/>
      <c r="G1961" s="953"/>
      <c r="H1961" s="969"/>
      <c r="I1961" s="998" t="s">
        <v>5061</v>
      </c>
      <c r="J1961" s="1056" t="s">
        <v>81</v>
      </c>
      <c r="K1961" s="984" t="s">
        <v>216</v>
      </c>
      <c r="L1961" s="959">
        <v>70.0</v>
      </c>
      <c r="M1961" s="960">
        <v>92.0</v>
      </c>
      <c r="N1961" s="960">
        <v>65.0</v>
      </c>
      <c r="O1961" s="960">
        <v>80.0</v>
      </c>
      <c r="P1961" s="960">
        <v>55.0</v>
      </c>
      <c r="Q1961" s="960">
        <v>98.0</v>
      </c>
      <c r="R1961" s="960">
        <v>232.0</v>
      </c>
      <c r="S1961" s="960">
        <v>295.0</v>
      </c>
      <c r="T1961" s="960">
        <v>324.0</v>
      </c>
      <c r="U1961" s="960">
        <f t="array" ref="U1961">HLOOKUP($J1961,'Type Chart'!$C$2:$T$20,2,false)*HLOOKUP($K1961,'Type Chart'!$C$2:$U$20,2,false)</f>
        <v>1</v>
      </c>
      <c r="V1961" s="960">
        <f t="array" ref="V1961">HLOOKUP($J1961,'Type Chart'!$C$2:$T$20,3,false)*HLOOKUP($K1961,'Type Chart'!$C$2:$U$20,3,false)</f>
        <v>1</v>
      </c>
      <c r="W1961" s="960">
        <f t="array" ref="W1961">HLOOKUP($J1961,'Type Chart'!$C$2:$T$20,4,false)*HLOOKUP($K1961,'Type Chart'!$C$2:$U$20,4,false)</f>
        <v>1</v>
      </c>
      <c r="X1961" s="960">
        <f t="array" ref="X1961">HLOOKUP($J1961,'Type Chart'!$C$2:$T$20,5,false)*HLOOKUP($K1961,'Type Chart'!$C$2:$U$20,5,false)</f>
        <v>1</v>
      </c>
      <c r="Y1961" s="960">
        <f t="array" ref="Y1961">HLOOKUP($J1961,'Type Chart'!$C$2:$T$20,6,false)*HLOOKUP($K1961,'Type Chart'!$C$2:$U$20,6,false)</f>
        <v>1</v>
      </c>
      <c r="Z1961" s="960">
        <f t="array" ref="Z1961">HLOOKUP($J1961,'Type Chart'!$C$2:$T$20,7,false)*HLOOKUP($K1961,'Type Chart'!$C$2:$U$20,7,false)</f>
        <v>1</v>
      </c>
      <c r="AA1961" s="960">
        <f t="array" ref="AA1961">HLOOKUP($J1961,'Type Chart'!$C$2:$T$20,8,false)*HLOOKUP($K1961,'Type Chart'!$C$2:$U$20,8,false)</f>
        <v>1</v>
      </c>
      <c r="AB1961" s="960">
        <f t="array" ref="AB1961">HLOOKUP($J1961,'Type Chart'!$C$2:$T$20,9,false)*HLOOKUP($K1961,'Type Chart'!$C$2:$U$20,9,false)</f>
        <v>1</v>
      </c>
      <c r="AC1961" s="960">
        <f t="array" ref="AC1961">HLOOKUP($J1961,'Type Chart'!$C$2:$T$20,10,false)*HLOOKUP($K1961,'Type Chart'!$C$2:$U$20,10,false)</f>
        <v>0.5</v>
      </c>
      <c r="AD1961" s="960">
        <f t="array" ref="AD1961">HLOOKUP($J1961,'Type Chart'!$C$2:$T$20,11,false)*HLOOKUP($K1961,'Type Chart'!$C$2:$U$20,11,false)</f>
        <v>0.5</v>
      </c>
      <c r="AE1961" s="960">
        <f t="array" ref="AE1961">HLOOKUP($J1961,'Type Chart'!$C$2:$T$20,12,false)*HLOOKUP($K1961,'Type Chart'!$C$2:$U$20,12,false)</f>
        <v>0.5</v>
      </c>
      <c r="AF1961" s="960">
        <f t="array" ref="AF1961">HLOOKUP($J1961,'Type Chart'!$C$2:$T$20,13,false)*HLOOKUP($K1961,'Type Chart'!$C$2:$U$20,13,false)</f>
        <v>2</v>
      </c>
      <c r="AG1961" s="960">
        <f t="array" ref="AG1961">HLOOKUP($J1961,'Type Chart'!$C$2:$T$20,14,false)*HLOOKUP($K1961,'Type Chart'!$C$2:$U$20,14,false)</f>
        <v>2</v>
      </c>
      <c r="AH1961" s="960">
        <f t="array" ref="AH1961">HLOOKUP($J1961,'Type Chart'!$C$2:$T$20,15,false)*HLOOKUP($K1961,'Type Chart'!$C$2:$U$20,15,false)</f>
        <v>1</v>
      </c>
      <c r="AI1961" s="960">
        <f t="array" ref="AI1961">HLOOKUP($J1961,'Type Chart'!$C$2:$T$20,16,false)*HLOOKUP($K1961,'Type Chart'!$C$2:$U$20,16,false)</f>
        <v>0.5</v>
      </c>
      <c r="AJ1961" s="960">
        <f t="array" ref="AJ1961">HLOOKUP($J1961,'Type Chart'!$C$2:$T$20,17,false)*HLOOKUP($K1961,'Type Chart'!$C$2:$U$20,17,false)</f>
        <v>1</v>
      </c>
      <c r="AK1961" s="960">
        <f t="array" ref="AK1961">HLOOKUP($J1961,'Type Chart'!$C$2:$T$20,18,false)*HLOOKUP($K1961,'Type Chart'!$C$2:$U$20,18,false)</f>
        <v>1</v>
      </c>
      <c r="AL1961" s="960">
        <f t="array" ref="AL1961">HLOOKUP($J1961,'Type Chart'!$C$2:$T$20,19,false)*HLOOKUP($K1961,'Type Chart'!$C$2:$U$20,19,false)</f>
        <v>1</v>
      </c>
      <c r="AM1961" s="964" t="s">
        <v>1276</v>
      </c>
      <c r="AN1961" s="965" t="s">
        <v>1018</v>
      </c>
      <c r="AO1961" s="966" t="s">
        <v>1576</v>
      </c>
      <c r="AP1961" s="936"/>
      <c r="AQ1961" s="1245"/>
      <c r="AR1961" s="1245"/>
      <c r="AS1961" s="936"/>
    </row>
    <row r="1962" ht="15.75" customHeight="1">
      <c r="A1962" s="1099"/>
      <c r="B1962" s="948" t="s">
        <v>2948</v>
      </c>
      <c r="C1962" s="1197" t="s">
        <v>2949</v>
      </c>
      <c r="D1962" s="1197" t="s">
        <v>2949</v>
      </c>
      <c r="E1962" s="1147" t="s">
        <v>2949</v>
      </c>
      <c r="F1962" s="940"/>
      <c r="G1962" s="953"/>
      <c r="H1962" s="969"/>
      <c r="I1962" s="998" t="s">
        <v>5062</v>
      </c>
      <c r="J1962" s="1204" t="s">
        <v>80</v>
      </c>
      <c r="K1962" s="1195" t="s">
        <v>193</v>
      </c>
      <c r="L1962" s="959">
        <v>50.0</v>
      </c>
      <c r="M1962" s="960">
        <v>72.0</v>
      </c>
      <c r="N1962" s="960">
        <v>35.0</v>
      </c>
      <c r="O1962" s="960">
        <v>35.0</v>
      </c>
      <c r="P1962" s="960">
        <v>35.0</v>
      </c>
      <c r="Q1962" s="960">
        <v>65.0</v>
      </c>
      <c r="R1962" s="960">
        <v>166.0</v>
      </c>
      <c r="S1962" s="960">
        <v>229.0</v>
      </c>
      <c r="T1962" s="960">
        <v>251.0</v>
      </c>
      <c r="U1962" s="960">
        <f t="array" ref="U1962">HLOOKUP($J1962,'Type Chart'!$C$2:$T$20,2,false)*HLOOKUP($K1962,'Type Chart'!$C$2:$U$20,2,false)</f>
        <v>1</v>
      </c>
      <c r="V1962" s="960">
        <f t="array" ref="V1962">HLOOKUP($J1962,'Type Chart'!$C$2:$T$20,3,false)*HLOOKUP($K1962,'Type Chart'!$C$2:$U$20,3,false)</f>
        <v>2</v>
      </c>
      <c r="W1962" s="960">
        <f t="array" ref="W1962">HLOOKUP($J1962,'Type Chart'!$C$2:$T$20,4,false)*HLOOKUP($K1962,'Type Chart'!$C$2:$U$20,4,false)</f>
        <v>1</v>
      </c>
      <c r="X1962" s="960">
        <f t="array" ref="X1962">HLOOKUP($J1962,'Type Chart'!$C$2:$T$20,5,false)*HLOOKUP($K1962,'Type Chart'!$C$2:$U$20,5,false)</f>
        <v>0.5</v>
      </c>
      <c r="Y1962" s="960">
        <f t="array" ref="Y1962">HLOOKUP($J1962,'Type Chart'!$C$2:$T$20,6,false)*HLOOKUP($K1962,'Type Chart'!$C$2:$U$20,6,false)</f>
        <v>1</v>
      </c>
      <c r="Z1962" s="960">
        <f t="array" ref="Z1962">HLOOKUP($J1962,'Type Chart'!$C$2:$T$20,7,false)*HLOOKUP($K1962,'Type Chart'!$C$2:$U$20,7,false)</f>
        <v>0.5</v>
      </c>
      <c r="AA1962" s="960">
        <f t="array" ref="AA1962">HLOOKUP($J1962,'Type Chart'!$C$2:$T$20,8,false)*HLOOKUP($K1962,'Type Chart'!$C$2:$U$20,8,false)</f>
        <v>2</v>
      </c>
      <c r="AB1962" s="960">
        <f t="array" ref="AB1962">HLOOKUP($J1962,'Type Chart'!$C$2:$T$20,9,false)*HLOOKUP($K1962,'Type Chart'!$C$2:$U$20,9,false)</f>
        <v>0.5</v>
      </c>
      <c r="AC1962" s="960">
        <f t="array" ref="AC1962">HLOOKUP($J1962,'Type Chart'!$C$2:$T$20,10,false)*HLOOKUP($K1962,'Type Chart'!$C$2:$U$20,10,false)</f>
        <v>1</v>
      </c>
      <c r="AD1962" s="960">
        <f t="array" ref="AD1962">HLOOKUP($J1962,'Type Chart'!$C$2:$T$20,11,false)*HLOOKUP($K1962,'Type Chart'!$C$2:$U$20,11,false)</f>
        <v>1</v>
      </c>
      <c r="AE1962" s="960">
        <f t="array" ref="AE1962">HLOOKUP($J1962,'Type Chart'!$C$2:$T$20,12,false)*HLOOKUP($K1962,'Type Chart'!$C$2:$U$20,12,false)</f>
        <v>2</v>
      </c>
      <c r="AF1962" s="960">
        <f t="array" ref="AF1962">HLOOKUP($J1962,'Type Chart'!$C$2:$T$20,13,false)*HLOOKUP($K1962,'Type Chart'!$C$2:$U$20,13,false)</f>
        <v>2</v>
      </c>
      <c r="AG1962" s="960">
        <f t="array" ref="AG1962">HLOOKUP($J1962,'Type Chart'!$C$2:$T$20,14,false)*HLOOKUP($K1962,'Type Chart'!$C$2:$U$20,14,false)</f>
        <v>0</v>
      </c>
      <c r="AH1962" s="960">
        <f t="array" ref="AH1962">HLOOKUP($J1962,'Type Chart'!$C$2:$T$20,15,false)*HLOOKUP($K1962,'Type Chart'!$C$2:$U$20,15,false)</f>
        <v>0</v>
      </c>
      <c r="AI1962" s="960">
        <f t="array" ref="AI1962">HLOOKUP($J1962,'Type Chart'!$C$2:$T$20,16,false)*HLOOKUP($K1962,'Type Chart'!$C$2:$U$20,16,false)</f>
        <v>2</v>
      </c>
      <c r="AJ1962" s="960">
        <f t="array" ref="AJ1962">HLOOKUP($J1962,'Type Chart'!$C$2:$T$20,17,false)*HLOOKUP($K1962,'Type Chart'!$C$2:$U$20,17,false)</f>
        <v>1</v>
      </c>
      <c r="AK1962" s="960">
        <f t="array" ref="AK1962">HLOOKUP($J1962,'Type Chart'!$C$2:$T$20,18,false)*HLOOKUP($K1962,'Type Chart'!$C$2:$U$20,18,false)</f>
        <v>0.5</v>
      </c>
      <c r="AL1962" s="960">
        <f t="array" ref="AL1962">HLOOKUP($J1962,'Type Chart'!$C$2:$T$20,19,false)*HLOOKUP($K1962,'Type Chart'!$C$2:$U$20,19,false)</f>
        <v>2</v>
      </c>
      <c r="AM1962" s="1145" t="s">
        <v>1061</v>
      </c>
      <c r="AN1962" s="965" t="s">
        <v>1577</v>
      </c>
      <c r="AO1962" s="966" t="s">
        <v>1266</v>
      </c>
      <c r="AP1962" s="936"/>
      <c r="AQ1962" s="1245"/>
      <c r="AR1962" s="1245"/>
      <c r="AS1962" s="936"/>
    </row>
    <row r="1963" ht="15.75" customHeight="1">
      <c r="A1963" s="1099"/>
      <c r="B1963" s="948" t="s">
        <v>2951</v>
      </c>
      <c r="C1963" s="1197" t="s">
        <v>2952</v>
      </c>
      <c r="D1963" s="1197" t="s">
        <v>2952</v>
      </c>
      <c r="E1963" s="1147" t="s">
        <v>2952</v>
      </c>
      <c r="F1963" s="940"/>
      <c r="G1963" s="953"/>
      <c r="H1963" s="969"/>
      <c r="I1963" s="998" t="s">
        <v>5063</v>
      </c>
      <c r="J1963" s="1204" t="s">
        <v>80</v>
      </c>
      <c r="K1963" s="1195" t="s">
        <v>193</v>
      </c>
      <c r="L1963" s="959">
        <v>60.0</v>
      </c>
      <c r="M1963" s="960">
        <v>82.0</v>
      </c>
      <c r="N1963" s="960">
        <v>45.0</v>
      </c>
      <c r="O1963" s="960">
        <v>45.0</v>
      </c>
      <c r="P1963" s="960">
        <v>45.0</v>
      </c>
      <c r="Q1963" s="960">
        <v>74.0</v>
      </c>
      <c r="R1963" s="960">
        <v>184.0</v>
      </c>
      <c r="S1963" s="960">
        <v>247.0</v>
      </c>
      <c r="T1963" s="960">
        <v>271.0</v>
      </c>
      <c r="U1963" s="960">
        <f t="array" ref="U1963">HLOOKUP($J1963,'Type Chart'!$C$2:$T$20,2,false)*HLOOKUP($K1963,'Type Chart'!$C$2:$U$20,2,false)</f>
        <v>1</v>
      </c>
      <c r="V1963" s="960">
        <f t="array" ref="V1963">HLOOKUP($J1963,'Type Chart'!$C$2:$T$20,3,false)*HLOOKUP($K1963,'Type Chart'!$C$2:$U$20,3,false)</f>
        <v>2</v>
      </c>
      <c r="W1963" s="960">
        <f t="array" ref="W1963">HLOOKUP($J1963,'Type Chart'!$C$2:$T$20,4,false)*HLOOKUP($K1963,'Type Chart'!$C$2:$U$20,4,false)</f>
        <v>1</v>
      </c>
      <c r="X1963" s="960">
        <f t="array" ref="X1963">HLOOKUP($J1963,'Type Chart'!$C$2:$T$20,5,false)*HLOOKUP($K1963,'Type Chart'!$C$2:$U$20,5,false)</f>
        <v>0.5</v>
      </c>
      <c r="Y1963" s="960">
        <f t="array" ref="Y1963">HLOOKUP($J1963,'Type Chart'!$C$2:$T$20,6,false)*HLOOKUP($K1963,'Type Chart'!$C$2:$U$20,6,false)</f>
        <v>1</v>
      </c>
      <c r="Z1963" s="960">
        <f t="array" ref="Z1963">HLOOKUP($J1963,'Type Chart'!$C$2:$T$20,7,false)*HLOOKUP($K1963,'Type Chart'!$C$2:$U$20,7,false)</f>
        <v>0.5</v>
      </c>
      <c r="AA1963" s="960">
        <f t="array" ref="AA1963">HLOOKUP($J1963,'Type Chart'!$C$2:$T$20,8,false)*HLOOKUP($K1963,'Type Chart'!$C$2:$U$20,8,false)</f>
        <v>2</v>
      </c>
      <c r="AB1963" s="960">
        <f t="array" ref="AB1963">HLOOKUP($J1963,'Type Chart'!$C$2:$T$20,9,false)*HLOOKUP($K1963,'Type Chart'!$C$2:$U$20,9,false)</f>
        <v>0.5</v>
      </c>
      <c r="AC1963" s="960">
        <f t="array" ref="AC1963">HLOOKUP($J1963,'Type Chart'!$C$2:$T$20,10,false)*HLOOKUP($K1963,'Type Chart'!$C$2:$U$20,10,false)</f>
        <v>1</v>
      </c>
      <c r="AD1963" s="960">
        <f t="array" ref="AD1963">HLOOKUP($J1963,'Type Chart'!$C$2:$T$20,11,false)*HLOOKUP($K1963,'Type Chart'!$C$2:$U$20,11,false)</f>
        <v>1</v>
      </c>
      <c r="AE1963" s="960">
        <f t="array" ref="AE1963">HLOOKUP($J1963,'Type Chart'!$C$2:$T$20,12,false)*HLOOKUP($K1963,'Type Chart'!$C$2:$U$20,12,false)</f>
        <v>2</v>
      </c>
      <c r="AF1963" s="960">
        <f t="array" ref="AF1963">HLOOKUP($J1963,'Type Chart'!$C$2:$T$20,13,false)*HLOOKUP($K1963,'Type Chart'!$C$2:$U$20,13,false)</f>
        <v>2</v>
      </c>
      <c r="AG1963" s="960">
        <f t="array" ref="AG1963">HLOOKUP($J1963,'Type Chart'!$C$2:$T$20,14,false)*HLOOKUP($K1963,'Type Chart'!$C$2:$U$20,14,false)</f>
        <v>0</v>
      </c>
      <c r="AH1963" s="960">
        <f t="array" ref="AH1963">HLOOKUP($J1963,'Type Chart'!$C$2:$T$20,15,false)*HLOOKUP($K1963,'Type Chart'!$C$2:$U$20,15,false)</f>
        <v>0</v>
      </c>
      <c r="AI1963" s="960">
        <f t="array" ref="AI1963">HLOOKUP($J1963,'Type Chart'!$C$2:$T$20,16,false)*HLOOKUP($K1963,'Type Chart'!$C$2:$U$20,16,false)</f>
        <v>2</v>
      </c>
      <c r="AJ1963" s="960">
        <f t="array" ref="AJ1963">HLOOKUP($J1963,'Type Chart'!$C$2:$T$20,17,false)*HLOOKUP($K1963,'Type Chart'!$C$2:$U$20,17,false)</f>
        <v>1</v>
      </c>
      <c r="AK1963" s="960">
        <f t="array" ref="AK1963">HLOOKUP($J1963,'Type Chart'!$C$2:$T$20,18,false)*HLOOKUP($K1963,'Type Chart'!$C$2:$U$20,18,false)</f>
        <v>0.5</v>
      </c>
      <c r="AL1963" s="960">
        <f t="array" ref="AL1963">HLOOKUP($J1963,'Type Chart'!$C$2:$T$20,19,false)*HLOOKUP($K1963,'Type Chart'!$C$2:$U$20,19,false)</f>
        <v>2</v>
      </c>
      <c r="AM1963" s="1145" t="s">
        <v>1061</v>
      </c>
      <c r="AN1963" s="965" t="s">
        <v>1577</v>
      </c>
      <c r="AO1963" s="966" t="s">
        <v>1266</v>
      </c>
      <c r="AP1963" s="936"/>
      <c r="AQ1963" s="1245"/>
      <c r="AR1963" s="1245"/>
      <c r="AS1963" s="936"/>
    </row>
    <row r="1964" ht="15.75" customHeight="1">
      <c r="A1964" s="1099"/>
      <c r="B1964" s="948" t="s">
        <v>2953</v>
      </c>
      <c r="C1964" s="1197" t="s">
        <v>98</v>
      </c>
      <c r="D1964" s="1197" t="s">
        <v>98</v>
      </c>
      <c r="E1964" s="1147" t="s">
        <v>98</v>
      </c>
      <c r="F1964" s="940"/>
      <c r="G1964" s="953"/>
      <c r="H1964" s="969"/>
      <c r="I1964" s="998" t="s">
        <v>5064</v>
      </c>
      <c r="J1964" s="1204" t="s">
        <v>80</v>
      </c>
      <c r="K1964" s="1195" t="s">
        <v>193</v>
      </c>
      <c r="L1964" s="959">
        <v>95.0</v>
      </c>
      <c r="M1964" s="960">
        <v>117.0</v>
      </c>
      <c r="N1964" s="960">
        <v>80.0</v>
      </c>
      <c r="O1964" s="960">
        <v>65.0</v>
      </c>
      <c r="P1964" s="960">
        <v>70.0</v>
      </c>
      <c r="Q1964" s="960">
        <v>92.0</v>
      </c>
      <c r="R1964" s="960">
        <v>220.0</v>
      </c>
      <c r="S1964" s="960">
        <v>283.0</v>
      </c>
      <c r="T1964" s="960">
        <v>311.0</v>
      </c>
      <c r="U1964" s="960">
        <f t="array" ref="U1964">HLOOKUP($J1964,'Type Chart'!$C$2:$T$20,2,false)*HLOOKUP($K1964,'Type Chart'!$C$2:$U$20,2,false)</f>
        <v>1</v>
      </c>
      <c r="V1964" s="960">
        <f t="array" ref="V1964">HLOOKUP($J1964,'Type Chart'!$C$2:$T$20,3,false)*HLOOKUP($K1964,'Type Chart'!$C$2:$U$20,3,false)</f>
        <v>2</v>
      </c>
      <c r="W1964" s="960">
        <f t="array" ref="W1964">HLOOKUP($J1964,'Type Chart'!$C$2:$T$20,4,false)*HLOOKUP($K1964,'Type Chart'!$C$2:$U$20,4,false)</f>
        <v>1</v>
      </c>
      <c r="X1964" s="960">
        <f t="array" ref="X1964">HLOOKUP($J1964,'Type Chart'!$C$2:$T$20,5,false)*HLOOKUP($K1964,'Type Chart'!$C$2:$U$20,5,false)</f>
        <v>0.5</v>
      </c>
      <c r="Y1964" s="960">
        <f t="array" ref="Y1964">HLOOKUP($J1964,'Type Chart'!$C$2:$T$20,6,false)*HLOOKUP($K1964,'Type Chart'!$C$2:$U$20,6,false)</f>
        <v>1</v>
      </c>
      <c r="Z1964" s="960">
        <f t="array" ref="Z1964">HLOOKUP($J1964,'Type Chart'!$C$2:$T$20,7,false)*HLOOKUP($K1964,'Type Chart'!$C$2:$U$20,7,false)</f>
        <v>0.5</v>
      </c>
      <c r="AA1964" s="960">
        <f t="array" ref="AA1964">HLOOKUP($J1964,'Type Chart'!$C$2:$T$20,8,false)*HLOOKUP($K1964,'Type Chart'!$C$2:$U$20,8,false)</f>
        <v>2</v>
      </c>
      <c r="AB1964" s="960">
        <f t="array" ref="AB1964">HLOOKUP($J1964,'Type Chart'!$C$2:$T$20,9,false)*HLOOKUP($K1964,'Type Chart'!$C$2:$U$20,9,false)</f>
        <v>0.5</v>
      </c>
      <c r="AC1964" s="960">
        <f t="array" ref="AC1964">HLOOKUP($J1964,'Type Chart'!$C$2:$T$20,10,false)*HLOOKUP($K1964,'Type Chart'!$C$2:$U$20,10,false)</f>
        <v>1</v>
      </c>
      <c r="AD1964" s="960">
        <f t="array" ref="AD1964">HLOOKUP($J1964,'Type Chart'!$C$2:$T$20,11,false)*HLOOKUP($K1964,'Type Chart'!$C$2:$U$20,11,false)</f>
        <v>1</v>
      </c>
      <c r="AE1964" s="960">
        <f t="array" ref="AE1964">HLOOKUP($J1964,'Type Chart'!$C$2:$T$20,12,false)*HLOOKUP($K1964,'Type Chart'!$C$2:$U$20,12,false)</f>
        <v>2</v>
      </c>
      <c r="AF1964" s="960">
        <f t="array" ref="AF1964">HLOOKUP($J1964,'Type Chart'!$C$2:$T$20,13,false)*HLOOKUP($K1964,'Type Chart'!$C$2:$U$20,13,false)</f>
        <v>2</v>
      </c>
      <c r="AG1964" s="960">
        <f t="array" ref="AG1964">HLOOKUP($J1964,'Type Chart'!$C$2:$T$20,14,false)*HLOOKUP($K1964,'Type Chart'!$C$2:$U$20,14,false)</f>
        <v>0</v>
      </c>
      <c r="AH1964" s="960">
        <f t="array" ref="AH1964">HLOOKUP($J1964,'Type Chart'!$C$2:$T$20,15,false)*HLOOKUP($K1964,'Type Chart'!$C$2:$U$20,15,false)</f>
        <v>0</v>
      </c>
      <c r="AI1964" s="960">
        <f t="array" ref="AI1964">HLOOKUP($J1964,'Type Chart'!$C$2:$T$20,16,false)*HLOOKUP($K1964,'Type Chart'!$C$2:$U$20,16,false)</f>
        <v>2</v>
      </c>
      <c r="AJ1964" s="960">
        <f t="array" ref="AJ1964">HLOOKUP($J1964,'Type Chart'!$C$2:$T$20,17,false)*HLOOKUP($K1964,'Type Chart'!$C$2:$U$20,17,false)</f>
        <v>1</v>
      </c>
      <c r="AK1964" s="960">
        <f t="array" ref="AK1964">HLOOKUP($J1964,'Type Chart'!$C$2:$T$20,18,false)*HLOOKUP($K1964,'Type Chart'!$C$2:$U$20,18,false)</f>
        <v>0.5</v>
      </c>
      <c r="AL1964" s="960">
        <f t="array" ref="AL1964">HLOOKUP($J1964,'Type Chart'!$C$2:$T$20,19,false)*HLOOKUP($K1964,'Type Chart'!$C$2:$U$20,19,false)</f>
        <v>2</v>
      </c>
      <c r="AM1964" s="1145" t="s">
        <v>1061</v>
      </c>
      <c r="AN1964" s="965" t="s">
        <v>1577</v>
      </c>
      <c r="AO1964" s="966" t="s">
        <v>1266</v>
      </c>
      <c r="AP1964" s="936"/>
      <c r="AQ1964" s="1245"/>
      <c r="AR1964" s="1245"/>
      <c r="AS1964" s="936"/>
    </row>
    <row r="1965" ht="15.75" customHeight="1">
      <c r="A1965" s="1099"/>
      <c r="B1965" s="948" t="s">
        <v>2954</v>
      </c>
      <c r="C1965" s="1197" t="s">
        <v>2955</v>
      </c>
      <c r="D1965" s="1197" t="s">
        <v>2955</v>
      </c>
      <c r="E1965" s="1147" t="s">
        <v>2955</v>
      </c>
      <c r="F1965" s="940"/>
      <c r="G1965" s="953"/>
      <c r="H1965" s="969"/>
      <c r="I1965" s="998" t="s">
        <v>5065</v>
      </c>
      <c r="J1965" s="982" t="s">
        <v>150</v>
      </c>
      <c r="K1965" s="984" t="s">
        <v>216</v>
      </c>
      <c r="L1965" s="959">
        <v>70.0</v>
      </c>
      <c r="M1965" s="960">
        <v>90.0</v>
      </c>
      <c r="N1965" s="960">
        <v>45.0</v>
      </c>
      <c r="O1965" s="960">
        <v>15.0</v>
      </c>
      <c r="P1965" s="960">
        <v>45.0</v>
      </c>
      <c r="Q1965" s="960">
        <v>50.0</v>
      </c>
      <c r="R1965" s="960">
        <v>136.0</v>
      </c>
      <c r="S1965" s="960">
        <v>199.0</v>
      </c>
      <c r="T1965" s="960">
        <v>218.0</v>
      </c>
      <c r="U1965" s="960">
        <f t="array" ref="U1965">HLOOKUP($J1965,'Type Chart'!$C$2:$T$20,2,false)*HLOOKUP($K1965,'Type Chart'!$C$2:$U$20,2,false)</f>
        <v>1</v>
      </c>
      <c r="V1965" s="960">
        <f t="array" ref="V1965">HLOOKUP($J1965,'Type Chart'!$C$2:$T$20,3,false)*HLOOKUP($K1965,'Type Chart'!$C$2:$U$20,3,false)</f>
        <v>1</v>
      </c>
      <c r="W1965" s="960">
        <f t="array" ref="W1965">HLOOKUP($J1965,'Type Chart'!$C$2:$T$20,4,false)*HLOOKUP($K1965,'Type Chart'!$C$2:$U$20,4,false)</f>
        <v>1</v>
      </c>
      <c r="X1965" s="960">
        <f t="array" ref="X1965">HLOOKUP($J1965,'Type Chart'!$C$2:$T$20,5,false)*HLOOKUP($K1965,'Type Chart'!$C$2:$U$20,5,false)</f>
        <v>1</v>
      </c>
      <c r="Y1965" s="960">
        <f t="array" ref="Y1965">HLOOKUP($J1965,'Type Chart'!$C$2:$T$20,6,false)*HLOOKUP($K1965,'Type Chart'!$C$2:$U$20,6,false)</f>
        <v>2</v>
      </c>
      <c r="Z1965" s="960">
        <f t="array" ref="Z1965">HLOOKUP($J1965,'Type Chart'!$C$2:$T$20,7,false)*HLOOKUP($K1965,'Type Chart'!$C$2:$U$20,7,false)</f>
        <v>2</v>
      </c>
      <c r="AA1965" s="960">
        <f t="array" ref="AA1965">HLOOKUP($J1965,'Type Chart'!$C$2:$T$20,8,false)*HLOOKUP($K1965,'Type Chart'!$C$2:$U$20,8,false)</f>
        <v>0.5</v>
      </c>
      <c r="AB1965" s="960">
        <f t="array" ref="AB1965">HLOOKUP($J1965,'Type Chart'!$C$2:$T$20,9,false)*HLOOKUP($K1965,'Type Chart'!$C$2:$U$20,9,false)</f>
        <v>1</v>
      </c>
      <c r="AC1965" s="960">
        <f t="array" ref="AC1965">HLOOKUP($J1965,'Type Chart'!$C$2:$T$20,10,false)*HLOOKUP($K1965,'Type Chart'!$C$2:$U$20,10,false)</f>
        <v>0.5</v>
      </c>
      <c r="AD1965" s="960">
        <f t="array" ref="AD1965">HLOOKUP($J1965,'Type Chart'!$C$2:$T$20,11,false)*HLOOKUP($K1965,'Type Chart'!$C$2:$U$20,11,false)</f>
        <v>0.5</v>
      </c>
      <c r="AE1965" s="960">
        <f t="array" ref="AE1965">HLOOKUP($J1965,'Type Chart'!$C$2:$T$20,12,false)*HLOOKUP($K1965,'Type Chart'!$C$2:$U$20,12,false)</f>
        <v>2</v>
      </c>
      <c r="AF1965" s="960">
        <f t="array" ref="AF1965">HLOOKUP($J1965,'Type Chart'!$C$2:$T$20,13,false)*HLOOKUP($K1965,'Type Chart'!$C$2:$U$20,13,false)</f>
        <v>0.5</v>
      </c>
      <c r="AG1965" s="960">
        <f t="array" ref="AG1965">HLOOKUP($J1965,'Type Chart'!$C$2:$T$20,14,false)*HLOOKUP($K1965,'Type Chart'!$C$2:$U$20,14,false)</f>
        <v>1</v>
      </c>
      <c r="AH1965" s="960">
        <f t="array" ref="AH1965">HLOOKUP($J1965,'Type Chart'!$C$2:$T$20,15,false)*HLOOKUP($K1965,'Type Chart'!$C$2:$U$20,15,false)</f>
        <v>1</v>
      </c>
      <c r="AI1965" s="960">
        <f t="array" ref="AI1965">HLOOKUP($J1965,'Type Chart'!$C$2:$T$20,16,false)*HLOOKUP($K1965,'Type Chart'!$C$2:$U$20,16,false)</f>
        <v>0.5</v>
      </c>
      <c r="AJ1965" s="960">
        <f t="array" ref="AJ1965">HLOOKUP($J1965,'Type Chart'!$C$2:$T$20,17,false)*HLOOKUP($K1965,'Type Chart'!$C$2:$U$20,17,false)</f>
        <v>1</v>
      </c>
      <c r="AK1965" s="960">
        <f t="array" ref="AK1965">HLOOKUP($J1965,'Type Chart'!$C$2:$T$20,18,false)*HLOOKUP($K1965,'Type Chart'!$C$2:$U$20,18,false)</f>
        <v>1</v>
      </c>
      <c r="AL1965" s="960">
        <f t="array" ref="AL1965">HLOOKUP($J1965,'Type Chart'!$C$2:$T$20,19,false)*HLOOKUP($K1965,'Type Chart'!$C$2:$U$20,19,false)</f>
        <v>0.5</v>
      </c>
      <c r="AM1965" s="1145" t="s">
        <v>1039</v>
      </c>
      <c r="AN1965" s="965"/>
      <c r="AO1965" s="966" t="s">
        <v>1192</v>
      </c>
      <c r="AP1965" s="936"/>
      <c r="AQ1965" s="1245"/>
      <c r="AR1965" s="1245"/>
      <c r="AS1965" s="936"/>
    </row>
    <row r="1966" ht="15.75" customHeight="1">
      <c r="A1966" s="1099"/>
      <c r="B1966" s="948" t="s">
        <v>2957</v>
      </c>
      <c r="C1966" s="1197" t="s">
        <v>2958</v>
      </c>
      <c r="D1966" s="1197" t="s">
        <v>2958</v>
      </c>
      <c r="E1966" s="1147" t="s">
        <v>2959</v>
      </c>
      <c r="F1966" s="940"/>
      <c r="G1966" s="953"/>
      <c r="H1966" s="969"/>
      <c r="I1966" s="998" t="s">
        <v>5066</v>
      </c>
      <c r="J1966" s="1224" t="s">
        <v>345</v>
      </c>
      <c r="K1966" s="1199" t="s">
        <v>216</v>
      </c>
      <c r="L1966" s="1200">
        <v>70.0</v>
      </c>
      <c r="M1966" s="1201">
        <v>90.0</v>
      </c>
      <c r="N1966" s="1201">
        <v>45.0</v>
      </c>
      <c r="O1966" s="1201">
        <v>15.0</v>
      </c>
      <c r="P1966" s="1201">
        <v>45.0</v>
      </c>
      <c r="Q1966" s="1201">
        <v>50.0</v>
      </c>
      <c r="R1966" s="960">
        <v>136.0</v>
      </c>
      <c r="S1966" s="960">
        <v>199.0</v>
      </c>
      <c r="T1966" s="960">
        <v>218.0</v>
      </c>
      <c r="U1966" s="960">
        <f t="array" ref="U1966">HLOOKUP($J1966,'Type Chart'!$C$2:$T$20,2,false)*HLOOKUP($K1966,'Type Chart'!$C$2:$U$20,2,false)</f>
        <v>1</v>
      </c>
      <c r="V1966" s="960">
        <f t="array" ref="V1966">HLOOKUP($J1966,'Type Chart'!$C$2:$T$20,3,false)*HLOOKUP($K1966,'Type Chart'!$C$2:$U$20,3,false)</f>
        <v>2</v>
      </c>
      <c r="W1966" s="960">
        <f t="array" ref="W1966">HLOOKUP($J1966,'Type Chart'!$C$2:$T$20,4,false)*HLOOKUP($K1966,'Type Chart'!$C$2:$U$20,4,false)</f>
        <v>1</v>
      </c>
      <c r="X1966" s="960">
        <f t="array" ref="X1966">HLOOKUP($J1966,'Type Chart'!$C$2:$T$20,5,false)*HLOOKUP($K1966,'Type Chart'!$C$2:$U$20,5,false)</f>
        <v>1</v>
      </c>
      <c r="Y1966" s="960">
        <f t="array" ref="Y1966">HLOOKUP($J1966,'Type Chart'!$C$2:$T$20,6,false)*HLOOKUP($K1966,'Type Chart'!$C$2:$U$20,6,false)</f>
        <v>1</v>
      </c>
      <c r="Z1966" s="960">
        <f t="array" ref="Z1966">HLOOKUP($J1966,'Type Chart'!$C$2:$T$20,7,false)*HLOOKUP($K1966,'Type Chart'!$C$2:$U$20,7,false)</f>
        <v>2</v>
      </c>
      <c r="AA1966" s="960">
        <f t="array" ref="AA1966">HLOOKUP($J1966,'Type Chart'!$C$2:$T$20,8,false)*HLOOKUP($K1966,'Type Chart'!$C$2:$U$20,8,false)</f>
        <v>1</v>
      </c>
      <c r="AB1966" s="960">
        <f t="array" ref="AB1966">HLOOKUP($J1966,'Type Chart'!$C$2:$T$20,9,false)*HLOOKUP($K1966,'Type Chart'!$C$2:$U$20,9,false)</f>
        <v>1</v>
      </c>
      <c r="AC1966" s="960">
        <f t="array" ref="AC1966">HLOOKUP($J1966,'Type Chart'!$C$2:$T$20,10,false)*HLOOKUP($K1966,'Type Chart'!$C$2:$U$20,10,false)</f>
        <v>2</v>
      </c>
      <c r="AD1966" s="960">
        <f t="array" ref="AD1966">HLOOKUP($J1966,'Type Chart'!$C$2:$T$20,11,false)*HLOOKUP($K1966,'Type Chart'!$C$2:$U$20,11,false)</f>
        <v>2</v>
      </c>
      <c r="AE1966" s="960">
        <f t="array" ref="AE1966">HLOOKUP($J1966,'Type Chart'!$C$2:$T$20,12,false)*HLOOKUP($K1966,'Type Chart'!$C$2:$U$20,12,false)</f>
        <v>1</v>
      </c>
      <c r="AF1966" s="960">
        <f t="array" ref="AF1966">HLOOKUP($J1966,'Type Chart'!$C$2:$T$20,13,false)*HLOOKUP($K1966,'Type Chart'!$C$2:$U$20,13,false)</f>
        <v>1</v>
      </c>
      <c r="AG1966" s="960">
        <f t="array" ref="AG1966">HLOOKUP($J1966,'Type Chart'!$C$2:$T$20,14,false)*HLOOKUP($K1966,'Type Chart'!$C$2:$U$20,14,false)</f>
        <v>1</v>
      </c>
      <c r="AH1966" s="960">
        <f t="array" ref="AH1966">HLOOKUP($J1966,'Type Chart'!$C$2:$T$20,15,false)*HLOOKUP($K1966,'Type Chart'!$C$2:$U$20,15,false)</f>
        <v>1</v>
      </c>
      <c r="AI1966" s="960">
        <f t="array" ref="AI1966">HLOOKUP($J1966,'Type Chart'!$C$2:$T$20,16,false)*HLOOKUP($K1966,'Type Chart'!$C$2:$U$20,16,false)</f>
        <v>0.5</v>
      </c>
      <c r="AJ1966" s="960">
        <f t="array" ref="AJ1966">HLOOKUP($J1966,'Type Chart'!$C$2:$T$20,17,false)*HLOOKUP($K1966,'Type Chart'!$C$2:$U$20,17,false)</f>
        <v>1</v>
      </c>
      <c r="AK1966" s="960">
        <f t="array" ref="AK1966">HLOOKUP($J1966,'Type Chart'!$C$2:$T$20,18,false)*HLOOKUP($K1966,'Type Chart'!$C$2:$U$20,18,false)</f>
        <v>1</v>
      </c>
      <c r="AL1966" s="960">
        <f t="array" ref="AL1966">HLOOKUP($J1966,'Type Chart'!$C$2:$T$20,19,false)*HLOOKUP($K1966,'Type Chart'!$C$2:$U$20,19,false)</f>
        <v>1</v>
      </c>
      <c r="AM1966" s="1145" t="s">
        <v>1039</v>
      </c>
      <c r="AN1966" s="965"/>
      <c r="AO1966" s="1146" t="s">
        <v>1192</v>
      </c>
      <c r="AP1966" s="936"/>
      <c r="AQ1966" s="1245"/>
      <c r="AR1966" s="1245"/>
      <c r="AS1966" s="936"/>
    </row>
    <row r="1967" ht="15.75" customHeight="1">
      <c r="A1967" s="1099"/>
      <c r="B1967" s="948" t="s">
        <v>2961</v>
      </c>
      <c r="C1967" s="1197" t="s">
        <v>2962</v>
      </c>
      <c r="D1967" s="1197" t="s">
        <v>2962</v>
      </c>
      <c r="E1967" s="1147" t="s">
        <v>2963</v>
      </c>
      <c r="F1967" s="940"/>
      <c r="G1967" s="953"/>
      <c r="H1967" s="969"/>
      <c r="I1967" s="998" t="s">
        <v>5067</v>
      </c>
      <c r="J1967" s="982" t="s">
        <v>150</v>
      </c>
      <c r="K1967" s="984" t="s">
        <v>216</v>
      </c>
      <c r="L1967" s="959">
        <v>105.0</v>
      </c>
      <c r="M1967" s="960">
        <v>140.0</v>
      </c>
      <c r="N1967" s="960">
        <v>55.0</v>
      </c>
      <c r="O1967" s="960">
        <v>30.0</v>
      </c>
      <c r="P1967" s="960">
        <v>55.0</v>
      </c>
      <c r="Q1967" s="960">
        <v>95.0</v>
      </c>
      <c r="R1967" s="960">
        <v>226.0</v>
      </c>
      <c r="S1967" s="960">
        <v>289.0</v>
      </c>
      <c r="T1967" s="960">
        <v>317.0</v>
      </c>
      <c r="U1967" s="960">
        <f t="array" ref="U1967">HLOOKUP($J1967,'Type Chart'!$C$2:$T$20,2,false)*HLOOKUP($K1967,'Type Chart'!$C$2:$U$20,2,false)</f>
        <v>1</v>
      </c>
      <c r="V1967" s="960">
        <f t="array" ref="V1967">HLOOKUP($J1967,'Type Chart'!$C$2:$T$20,3,false)*HLOOKUP($K1967,'Type Chart'!$C$2:$U$20,3,false)</f>
        <v>1</v>
      </c>
      <c r="W1967" s="960">
        <f t="array" ref="W1967">HLOOKUP($J1967,'Type Chart'!$C$2:$T$20,4,false)*HLOOKUP($K1967,'Type Chart'!$C$2:$U$20,4,false)</f>
        <v>1</v>
      </c>
      <c r="X1967" s="960">
        <f t="array" ref="X1967">HLOOKUP($J1967,'Type Chart'!$C$2:$T$20,5,false)*HLOOKUP($K1967,'Type Chart'!$C$2:$U$20,5,false)</f>
        <v>1</v>
      </c>
      <c r="Y1967" s="960">
        <f t="array" ref="Y1967">HLOOKUP($J1967,'Type Chart'!$C$2:$T$20,6,false)*HLOOKUP($K1967,'Type Chart'!$C$2:$U$20,6,false)</f>
        <v>2</v>
      </c>
      <c r="Z1967" s="960">
        <f t="array" ref="Z1967">HLOOKUP($J1967,'Type Chart'!$C$2:$T$20,7,false)*HLOOKUP($K1967,'Type Chart'!$C$2:$U$20,7,false)</f>
        <v>2</v>
      </c>
      <c r="AA1967" s="960">
        <f t="array" ref="AA1967">HLOOKUP($J1967,'Type Chart'!$C$2:$T$20,8,false)*HLOOKUP($K1967,'Type Chart'!$C$2:$U$20,8,false)</f>
        <v>0.5</v>
      </c>
      <c r="AB1967" s="960">
        <f t="array" ref="AB1967">HLOOKUP($J1967,'Type Chart'!$C$2:$T$20,9,false)*HLOOKUP($K1967,'Type Chart'!$C$2:$U$20,9,false)</f>
        <v>1</v>
      </c>
      <c r="AC1967" s="960">
        <f t="array" ref="AC1967">HLOOKUP($J1967,'Type Chart'!$C$2:$T$20,10,false)*HLOOKUP($K1967,'Type Chart'!$C$2:$U$20,10,false)</f>
        <v>0.5</v>
      </c>
      <c r="AD1967" s="960">
        <f t="array" ref="AD1967">HLOOKUP($J1967,'Type Chart'!$C$2:$T$20,11,false)*HLOOKUP($K1967,'Type Chart'!$C$2:$U$20,11,false)</f>
        <v>0.5</v>
      </c>
      <c r="AE1967" s="960">
        <f t="array" ref="AE1967">HLOOKUP($J1967,'Type Chart'!$C$2:$T$20,12,false)*HLOOKUP($K1967,'Type Chart'!$C$2:$U$20,12,false)</f>
        <v>2</v>
      </c>
      <c r="AF1967" s="960">
        <f t="array" ref="AF1967">HLOOKUP($J1967,'Type Chart'!$C$2:$T$20,13,false)*HLOOKUP($K1967,'Type Chart'!$C$2:$U$20,13,false)</f>
        <v>0.5</v>
      </c>
      <c r="AG1967" s="960">
        <f t="array" ref="AG1967">HLOOKUP($J1967,'Type Chart'!$C$2:$T$20,14,false)*HLOOKUP($K1967,'Type Chart'!$C$2:$U$20,14,false)</f>
        <v>1</v>
      </c>
      <c r="AH1967" s="960">
        <f t="array" ref="AH1967">HLOOKUP($J1967,'Type Chart'!$C$2:$T$20,15,false)*HLOOKUP($K1967,'Type Chart'!$C$2:$U$20,15,false)</f>
        <v>1</v>
      </c>
      <c r="AI1967" s="960">
        <f t="array" ref="AI1967">HLOOKUP($J1967,'Type Chart'!$C$2:$T$20,16,false)*HLOOKUP($K1967,'Type Chart'!$C$2:$U$20,16,false)</f>
        <v>0.5</v>
      </c>
      <c r="AJ1967" s="960">
        <f t="array" ref="AJ1967">HLOOKUP($J1967,'Type Chart'!$C$2:$T$20,17,false)*HLOOKUP($K1967,'Type Chart'!$C$2:$U$20,17,false)</f>
        <v>1</v>
      </c>
      <c r="AK1967" s="960">
        <f t="array" ref="AK1967">HLOOKUP($J1967,'Type Chart'!$C$2:$T$20,18,false)*HLOOKUP($K1967,'Type Chart'!$C$2:$U$20,18,false)</f>
        <v>1</v>
      </c>
      <c r="AL1967" s="960">
        <f t="array" ref="AL1967">HLOOKUP($J1967,'Type Chart'!$C$2:$T$20,19,false)*HLOOKUP($K1967,'Type Chart'!$C$2:$U$20,19,false)</f>
        <v>0.5</v>
      </c>
      <c r="AM1967" s="964" t="s">
        <v>1153</v>
      </c>
      <c r="AN1967" s="965"/>
      <c r="AO1967" s="966" t="s">
        <v>2965</v>
      </c>
      <c r="AP1967" s="936"/>
      <c r="AQ1967" s="1245"/>
      <c r="AR1967" s="1245"/>
      <c r="AS1967" s="936"/>
    </row>
    <row r="1968" ht="15.75" customHeight="1">
      <c r="A1968" s="1099"/>
      <c r="B1968" s="948" t="s">
        <v>2966</v>
      </c>
      <c r="C1968" s="1197" t="s">
        <v>2967</v>
      </c>
      <c r="D1968" s="1197" t="s">
        <v>2967</v>
      </c>
      <c r="E1968" s="1147" t="s">
        <v>2967</v>
      </c>
      <c r="F1968" s="940"/>
      <c r="G1968" s="953"/>
      <c r="H1968" s="969"/>
      <c r="I1968" s="998" t="s">
        <v>5068</v>
      </c>
      <c r="J1968" s="982" t="s">
        <v>150</v>
      </c>
      <c r="K1968" s="1203" t="s">
        <v>344</v>
      </c>
      <c r="L1968" s="959">
        <v>105.0</v>
      </c>
      <c r="M1968" s="960">
        <v>30.0</v>
      </c>
      <c r="N1968" s="960">
        <v>105.0</v>
      </c>
      <c r="O1968" s="960">
        <v>140.0</v>
      </c>
      <c r="P1968" s="960">
        <v>105.0</v>
      </c>
      <c r="Q1968" s="960">
        <v>55.0</v>
      </c>
      <c r="R1968" s="960">
        <v>146.0</v>
      </c>
      <c r="S1968" s="960">
        <v>209.0</v>
      </c>
      <c r="T1968" s="960">
        <v>229.0</v>
      </c>
      <c r="U1968" s="960">
        <f t="array" ref="U1968">HLOOKUP($J1968,'Type Chart'!$C$2:$T$20,2,false)*HLOOKUP($K1968,'Type Chart'!$C$2:$U$20,2,false)</f>
        <v>1</v>
      </c>
      <c r="V1968" s="960">
        <f t="array" ref="V1968">HLOOKUP($J1968,'Type Chart'!$C$2:$T$20,3,false)*HLOOKUP($K1968,'Type Chart'!$C$2:$U$20,3,false)</f>
        <v>0.5</v>
      </c>
      <c r="W1968" s="960">
        <f t="array" ref="W1968">HLOOKUP($J1968,'Type Chart'!$C$2:$T$20,4,false)*HLOOKUP($K1968,'Type Chart'!$C$2:$U$20,4,false)</f>
        <v>1</v>
      </c>
      <c r="X1968" s="960">
        <f t="array" ref="X1968">HLOOKUP($J1968,'Type Chart'!$C$2:$T$20,5,false)*HLOOKUP($K1968,'Type Chart'!$C$2:$U$20,5,false)</f>
        <v>1</v>
      </c>
      <c r="Y1968" s="960">
        <f t="array" ref="Y1968">HLOOKUP($J1968,'Type Chart'!$C$2:$T$20,6,false)*HLOOKUP($K1968,'Type Chart'!$C$2:$U$20,6,false)</f>
        <v>2</v>
      </c>
      <c r="Z1968" s="960">
        <f t="array" ref="Z1968">HLOOKUP($J1968,'Type Chart'!$C$2:$T$20,7,false)*HLOOKUP($K1968,'Type Chart'!$C$2:$U$20,7,false)</f>
        <v>2</v>
      </c>
      <c r="AA1968" s="960">
        <f t="array" ref="AA1968">HLOOKUP($J1968,'Type Chart'!$C$2:$T$20,8,false)*HLOOKUP($K1968,'Type Chart'!$C$2:$U$20,8,false)</f>
        <v>1</v>
      </c>
      <c r="AB1968" s="960">
        <f t="array" ref="AB1968">HLOOKUP($J1968,'Type Chart'!$C$2:$T$20,9,false)*HLOOKUP($K1968,'Type Chart'!$C$2:$U$20,9,false)</f>
        <v>2</v>
      </c>
      <c r="AC1968" s="960">
        <f t="array" ref="AC1968">HLOOKUP($J1968,'Type Chart'!$C$2:$T$20,10,false)*HLOOKUP($K1968,'Type Chart'!$C$2:$U$20,10,false)</f>
        <v>0.5</v>
      </c>
      <c r="AD1968" s="960">
        <f t="array" ref="AD1968">HLOOKUP($J1968,'Type Chart'!$C$2:$T$20,11,false)*HLOOKUP($K1968,'Type Chart'!$C$2:$U$20,11,false)</f>
        <v>0.5</v>
      </c>
      <c r="AE1968" s="960">
        <f t="array" ref="AE1968">HLOOKUP($J1968,'Type Chart'!$C$2:$T$20,12,false)*HLOOKUP($K1968,'Type Chart'!$C$2:$U$20,12,false)</f>
        <v>2</v>
      </c>
      <c r="AF1968" s="960">
        <f t="array" ref="AF1968">HLOOKUP($J1968,'Type Chart'!$C$2:$T$20,13,false)*HLOOKUP($K1968,'Type Chart'!$C$2:$U$20,13,false)</f>
        <v>0.5</v>
      </c>
      <c r="AG1968" s="960">
        <f t="array" ref="AG1968">HLOOKUP($J1968,'Type Chart'!$C$2:$T$20,14,false)*HLOOKUP($K1968,'Type Chart'!$C$2:$U$20,14,false)</f>
        <v>1</v>
      </c>
      <c r="AH1968" s="960">
        <f t="array" ref="AH1968">HLOOKUP($J1968,'Type Chart'!$C$2:$T$20,15,false)*HLOOKUP($K1968,'Type Chart'!$C$2:$U$20,15,false)</f>
        <v>0.5</v>
      </c>
      <c r="AI1968" s="960">
        <f t="array" ref="AI1968">HLOOKUP($J1968,'Type Chart'!$C$2:$T$20,16,false)*HLOOKUP($K1968,'Type Chart'!$C$2:$U$20,16,false)</f>
        <v>0.5</v>
      </c>
      <c r="AJ1968" s="960">
        <f t="array" ref="AJ1968">HLOOKUP($J1968,'Type Chart'!$C$2:$T$20,17,false)*HLOOKUP($K1968,'Type Chart'!$C$2:$U$20,17,false)</f>
        <v>1</v>
      </c>
      <c r="AK1968" s="960">
        <f t="array" ref="AK1968">HLOOKUP($J1968,'Type Chart'!$C$2:$T$20,18,false)*HLOOKUP($K1968,'Type Chart'!$C$2:$U$20,18,false)</f>
        <v>2</v>
      </c>
      <c r="AL1968" s="960">
        <f t="array" ref="AL1968">HLOOKUP($J1968,'Type Chart'!$C$2:$T$20,19,false)*HLOOKUP($K1968,'Type Chart'!$C$2:$U$20,19,false)</f>
        <v>0.5</v>
      </c>
      <c r="AM1968" s="964"/>
      <c r="AN1968" s="965"/>
      <c r="AO1968" s="966" t="s">
        <v>2965</v>
      </c>
      <c r="AP1968" s="936"/>
      <c r="AQ1968" s="1245"/>
      <c r="AR1968" s="1245"/>
      <c r="AS1968" s="936"/>
    </row>
    <row r="1969" ht="15.75" customHeight="1">
      <c r="A1969" s="1099"/>
      <c r="B1969" s="948" t="s">
        <v>2969</v>
      </c>
      <c r="C1969" s="1197" t="s">
        <v>2970</v>
      </c>
      <c r="D1969" s="1197" t="s">
        <v>2970</v>
      </c>
      <c r="E1969" s="1147" t="s">
        <v>2971</v>
      </c>
      <c r="F1969" s="940"/>
      <c r="G1969" s="953"/>
      <c r="H1969" s="969"/>
      <c r="I1969" s="998" t="s">
        <v>5069</v>
      </c>
      <c r="J1969" s="1205" t="s">
        <v>345</v>
      </c>
      <c r="K1969" s="984" t="s">
        <v>216</v>
      </c>
      <c r="L1969" s="959">
        <v>105.0</v>
      </c>
      <c r="M1969" s="960">
        <v>140.0</v>
      </c>
      <c r="N1969" s="960">
        <v>55.0</v>
      </c>
      <c r="O1969" s="960">
        <v>30.0</v>
      </c>
      <c r="P1969" s="960">
        <v>55.0</v>
      </c>
      <c r="Q1969" s="960">
        <v>95.0</v>
      </c>
      <c r="R1969" s="960">
        <v>226.0</v>
      </c>
      <c r="S1969" s="960">
        <v>289.0</v>
      </c>
      <c r="T1969" s="960">
        <v>317.0</v>
      </c>
      <c r="U1969" s="960">
        <f t="array" ref="U1969">HLOOKUP($J1969,'Type Chart'!$C$2:$T$20,2,false)*HLOOKUP($K1969,'Type Chart'!$C$2:$U$20,2,false)</f>
        <v>1</v>
      </c>
      <c r="V1969" s="960">
        <f t="array" ref="V1969">HLOOKUP($J1969,'Type Chart'!$C$2:$T$20,3,false)*HLOOKUP($K1969,'Type Chart'!$C$2:$U$20,3,false)</f>
        <v>2</v>
      </c>
      <c r="W1969" s="960">
        <f t="array" ref="W1969">HLOOKUP($J1969,'Type Chart'!$C$2:$T$20,4,false)*HLOOKUP($K1969,'Type Chart'!$C$2:$U$20,4,false)</f>
        <v>1</v>
      </c>
      <c r="X1969" s="960">
        <f t="array" ref="X1969">HLOOKUP($J1969,'Type Chart'!$C$2:$T$20,5,false)*HLOOKUP($K1969,'Type Chart'!$C$2:$U$20,5,false)</f>
        <v>1</v>
      </c>
      <c r="Y1969" s="960">
        <f t="array" ref="Y1969">HLOOKUP($J1969,'Type Chart'!$C$2:$T$20,6,false)*HLOOKUP($K1969,'Type Chart'!$C$2:$U$20,6,false)</f>
        <v>1</v>
      </c>
      <c r="Z1969" s="960">
        <f t="array" ref="Z1969">HLOOKUP($J1969,'Type Chart'!$C$2:$T$20,7,false)*HLOOKUP($K1969,'Type Chart'!$C$2:$U$20,7,false)</f>
        <v>2</v>
      </c>
      <c r="AA1969" s="960">
        <f t="array" ref="AA1969">HLOOKUP($J1969,'Type Chart'!$C$2:$T$20,8,false)*HLOOKUP($K1969,'Type Chart'!$C$2:$U$20,8,false)</f>
        <v>1</v>
      </c>
      <c r="AB1969" s="960">
        <f t="array" ref="AB1969">HLOOKUP($J1969,'Type Chart'!$C$2:$T$20,9,false)*HLOOKUP($K1969,'Type Chart'!$C$2:$U$20,9,false)</f>
        <v>1</v>
      </c>
      <c r="AC1969" s="960">
        <f t="array" ref="AC1969">HLOOKUP($J1969,'Type Chart'!$C$2:$T$20,10,false)*HLOOKUP($K1969,'Type Chart'!$C$2:$U$20,10,false)</f>
        <v>2</v>
      </c>
      <c r="AD1969" s="960">
        <f t="array" ref="AD1969">HLOOKUP($J1969,'Type Chart'!$C$2:$T$20,11,false)*HLOOKUP($K1969,'Type Chart'!$C$2:$U$20,11,false)</f>
        <v>2</v>
      </c>
      <c r="AE1969" s="960">
        <f t="array" ref="AE1969">HLOOKUP($J1969,'Type Chart'!$C$2:$T$20,12,false)*HLOOKUP($K1969,'Type Chart'!$C$2:$U$20,12,false)</f>
        <v>1</v>
      </c>
      <c r="AF1969" s="960">
        <f t="array" ref="AF1969">HLOOKUP($J1969,'Type Chart'!$C$2:$T$20,13,false)*HLOOKUP($K1969,'Type Chart'!$C$2:$U$20,13,false)</f>
        <v>1</v>
      </c>
      <c r="AG1969" s="960">
        <f t="array" ref="AG1969">HLOOKUP($J1969,'Type Chart'!$C$2:$T$20,14,false)*HLOOKUP($K1969,'Type Chart'!$C$2:$U$20,14,false)</f>
        <v>1</v>
      </c>
      <c r="AH1969" s="960">
        <f t="array" ref="AH1969">HLOOKUP($J1969,'Type Chart'!$C$2:$T$20,15,false)*HLOOKUP($K1969,'Type Chart'!$C$2:$U$20,15,false)</f>
        <v>1</v>
      </c>
      <c r="AI1969" s="960">
        <f t="array" ref="AI1969">HLOOKUP($J1969,'Type Chart'!$C$2:$T$20,16,false)*HLOOKUP($K1969,'Type Chart'!$C$2:$U$20,16,false)</f>
        <v>0.5</v>
      </c>
      <c r="AJ1969" s="960">
        <f t="array" ref="AJ1969">HLOOKUP($J1969,'Type Chart'!$C$2:$T$20,17,false)*HLOOKUP($K1969,'Type Chart'!$C$2:$U$20,17,false)</f>
        <v>1</v>
      </c>
      <c r="AK1969" s="960">
        <f t="array" ref="AK1969">HLOOKUP($J1969,'Type Chart'!$C$2:$T$20,18,false)*HLOOKUP($K1969,'Type Chart'!$C$2:$U$20,18,false)</f>
        <v>1</v>
      </c>
      <c r="AL1969" s="960">
        <f t="array" ref="AL1969">HLOOKUP($J1969,'Type Chart'!$C$2:$T$20,19,false)*HLOOKUP($K1969,'Type Chart'!$C$2:$U$20,19,false)</f>
        <v>1</v>
      </c>
      <c r="AM1969" s="964" t="s">
        <v>2973</v>
      </c>
      <c r="AN1969" s="965"/>
      <c r="AO1969" s="966" t="s">
        <v>2965</v>
      </c>
      <c r="AP1969" s="936"/>
      <c r="AQ1969" s="1245"/>
      <c r="AR1969" s="1245"/>
      <c r="AS1969" s="936"/>
    </row>
    <row r="1970" ht="15.75" customHeight="1">
      <c r="A1970" s="1099"/>
      <c r="B1970" s="948" t="s">
        <v>2974</v>
      </c>
      <c r="C1970" s="1197" t="s">
        <v>2975</v>
      </c>
      <c r="D1970" s="1197" t="s">
        <v>2976</v>
      </c>
      <c r="E1970" s="1147" t="s">
        <v>2977</v>
      </c>
      <c r="F1970" s="940"/>
      <c r="G1970" s="953"/>
      <c r="H1970" s="969"/>
      <c r="I1970" s="998" t="s">
        <v>5070</v>
      </c>
      <c r="J1970" s="1205" t="s">
        <v>345</v>
      </c>
      <c r="K1970" s="982" t="s">
        <v>150</v>
      </c>
      <c r="L1970" s="959">
        <v>105.0</v>
      </c>
      <c r="M1970" s="960">
        <v>160.0</v>
      </c>
      <c r="N1970" s="960">
        <v>55.0</v>
      </c>
      <c r="O1970" s="960">
        <v>30.0</v>
      </c>
      <c r="P1970" s="960">
        <v>55.0</v>
      </c>
      <c r="Q1970" s="960">
        <v>135.0</v>
      </c>
      <c r="R1970" s="960">
        <v>306.0</v>
      </c>
      <c r="S1970" s="960">
        <v>369.0</v>
      </c>
      <c r="T1970" s="960">
        <v>405.0</v>
      </c>
      <c r="U1970" s="960">
        <f t="array" ref="U1970">HLOOKUP($J1970,'Type Chart'!$C$2:$T$20,2,false)*HLOOKUP($K1970,'Type Chart'!$C$2:$U$20,2,false)</f>
        <v>1</v>
      </c>
      <c r="V1970" s="960">
        <f t="array" ref="V1970">HLOOKUP($J1970,'Type Chart'!$C$2:$T$20,3,false)*HLOOKUP($K1970,'Type Chart'!$C$2:$U$20,3,false)</f>
        <v>2</v>
      </c>
      <c r="W1970" s="960">
        <f t="array" ref="W1970">HLOOKUP($J1970,'Type Chart'!$C$2:$T$20,4,false)*HLOOKUP($K1970,'Type Chart'!$C$2:$U$20,4,false)</f>
        <v>1</v>
      </c>
      <c r="X1970" s="960">
        <f t="array" ref="X1970">HLOOKUP($J1970,'Type Chart'!$C$2:$T$20,5,false)*HLOOKUP($K1970,'Type Chart'!$C$2:$U$20,5,false)</f>
        <v>1</v>
      </c>
      <c r="Y1970" s="960">
        <f t="array" ref="Y1970">HLOOKUP($J1970,'Type Chart'!$C$2:$T$20,6,false)*HLOOKUP($K1970,'Type Chart'!$C$2:$U$20,6,false)</f>
        <v>2</v>
      </c>
      <c r="Z1970" s="960">
        <f t="array" ref="Z1970">HLOOKUP($J1970,'Type Chart'!$C$2:$T$20,7,false)*HLOOKUP($K1970,'Type Chart'!$C$2:$U$20,7,false)</f>
        <v>4</v>
      </c>
      <c r="AA1970" s="960">
        <f t="array" ref="AA1970">HLOOKUP($J1970,'Type Chart'!$C$2:$T$20,8,false)*HLOOKUP($K1970,'Type Chart'!$C$2:$U$20,8,false)</f>
        <v>0.5</v>
      </c>
      <c r="AB1970" s="960">
        <f t="array" ref="AB1970">HLOOKUP($J1970,'Type Chart'!$C$2:$T$20,9,false)*HLOOKUP($K1970,'Type Chart'!$C$2:$U$20,9,false)</f>
        <v>1</v>
      </c>
      <c r="AC1970" s="960">
        <f t="array" ref="AC1970">HLOOKUP($J1970,'Type Chart'!$C$2:$T$20,10,false)*HLOOKUP($K1970,'Type Chart'!$C$2:$U$20,10,false)</f>
        <v>1</v>
      </c>
      <c r="AD1970" s="960">
        <f t="array" ref="AD1970">HLOOKUP($J1970,'Type Chart'!$C$2:$T$20,11,false)*HLOOKUP($K1970,'Type Chart'!$C$2:$U$20,11,false)</f>
        <v>1</v>
      </c>
      <c r="AE1970" s="960">
        <f t="array" ref="AE1970">HLOOKUP($J1970,'Type Chart'!$C$2:$T$20,12,false)*HLOOKUP($K1970,'Type Chart'!$C$2:$U$20,12,false)</f>
        <v>2</v>
      </c>
      <c r="AF1970" s="960">
        <f t="array" ref="AF1970">HLOOKUP($J1970,'Type Chart'!$C$2:$T$20,13,false)*HLOOKUP($K1970,'Type Chart'!$C$2:$U$20,13,false)</f>
        <v>0.5</v>
      </c>
      <c r="AG1970" s="960">
        <f t="array" ref="AG1970">HLOOKUP($J1970,'Type Chart'!$C$2:$T$20,14,false)*HLOOKUP($K1970,'Type Chart'!$C$2:$U$20,14,false)</f>
        <v>1</v>
      </c>
      <c r="AH1970" s="960">
        <f t="array" ref="AH1970">HLOOKUP($J1970,'Type Chart'!$C$2:$T$20,15,false)*HLOOKUP($K1970,'Type Chart'!$C$2:$U$20,15,false)</f>
        <v>1</v>
      </c>
      <c r="AI1970" s="960">
        <f t="array" ref="AI1970">HLOOKUP($J1970,'Type Chart'!$C$2:$T$20,16,false)*HLOOKUP($K1970,'Type Chart'!$C$2:$U$20,16,false)</f>
        <v>0.25</v>
      </c>
      <c r="AJ1970" s="960">
        <f t="array" ref="AJ1970">HLOOKUP($J1970,'Type Chart'!$C$2:$T$20,17,false)*HLOOKUP($K1970,'Type Chart'!$C$2:$U$20,17,false)</f>
        <v>1</v>
      </c>
      <c r="AK1970" s="960">
        <f t="array" ref="AK1970">HLOOKUP($J1970,'Type Chart'!$C$2:$T$20,18,false)*HLOOKUP($K1970,'Type Chart'!$C$2:$U$20,18,false)</f>
        <v>1</v>
      </c>
      <c r="AL1970" s="960">
        <f t="array" ref="AL1970">HLOOKUP($J1970,'Type Chart'!$C$2:$T$20,19,false)*HLOOKUP($K1970,'Type Chart'!$C$2:$U$20,19,false)</f>
        <v>0.5</v>
      </c>
      <c r="AM1970" s="964"/>
      <c r="AN1970" s="965"/>
      <c r="AO1970" s="966" t="s">
        <v>2965</v>
      </c>
      <c r="AP1970" s="936"/>
      <c r="AQ1970" s="1245"/>
      <c r="AR1970" s="1245"/>
      <c r="AS1970" s="936"/>
    </row>
    <row r="1971" ht="15.75" customHeight="1">
      <c r="A1971" s="1099"/>
      <c r="B1971" s="948" t="s">
        <v>2979</v>
      </c>
      <c r="C1971" s="1197" t="s">
        <v>2980</v>
      </c>
      <c r="D1971" s="1197" t="s">
        <v>2980</v>
      </c>
      <c r="E1971" s="1147" t="s">
        <v>2980</v>
      </c>
      <c r="F1971" s="940"/>
      <c r="G1971" s="953"/>
      <c r="H1971" s="969"/>
      <c r="I1971" s="998" t="s">
        <v>5071</v>
      </c>
      <c r="J1971" s="957" t="s">
        <v>209</v>
      </c>
      <c r="K1971" s="984" t="s">
        <v>216</v>
      </c>
      <c r="L1971" s="959">
        <v>75.0</v>
      </c>
      <c r="M1971" s="960">
        <v>86.0</v>
      </c>
      <c r="N1971" s="960">
        <v>67.0</v>
      </c>
      <c r="O1971" s="960">
        <v>106.0</v>
      </c>
      <c r="P1971" s="960">
        <v>67.0</v>
      </c>
      <c r="Q1971" s="960">
        <v>60.0</v>
      </c>
      <c r="R1971" s="960">
        <v>156.0</v>
      </c>
      <c r="S1971" s="960">
        <v>219.0</v>
      </c>
      <c r="T1971" s="960">
        <v>240.0</v>
      </c>
      <c r="U1971" s="960">
        <f t="array" ref="U1971">HLOOKUP($J1971,'Type Chart'!$C$2:$T$20,2,false)*HLOOKUP($K1971,'Type Chart'!$C$2:$U$20,2,false)</f>
        <v>1</v>
      </c>
      <c r="V1971" s="960">
        <f t="array" ref="V1971">HLOOKUP($J1971,'Type Chart'!$C$2:$T$20,3,false)*HLOOKUP($K1971,'Type Chart'!$C$2:$U$20,3,false)</f>
        <v>1</v>
      </c>
      <c r="W1971" s="960">
        <f t="array" ref="W1971">HLOOKUP($J1971,'Type Chart'!$C$2:$T$20,4,false)*HLOOKUP($K1971,'Type Chart'!$C$2:$U$20,4,false)</f>
        <v>2</v>
      </c>
      <c r="X1971" s="960">
        <f t="array" ref="X1971">HLOOKUP($J1971,'Type Chart'!$C$2:$T$20,5,false)*HLOOKUP($K1971,'Type Chart'!$C$2:$U$20,5,false)</f>
        <v>2</v>
      </c>
      <c r="Y1971" s="960">
        <f t="array" ref="Y1971">HLOOKUP($J1971,'Type Chart'!$C$2:$T$20,6,false)*HLOOKUP($K1971,'Type Chart'!$C$2:$U$20,6,false)</f>
        <v>0.5</v>
      </c>
      <c r="Z1971" s="960">
        <f t="array" ref="Z1971">HLOOKUP($J1971,'Type Chart'!$C$2:$T$20,7,false)*HLOOKUP($K1971,'Type Chart'!$C$2:$U$20,7,false)</f>
        <v>1</v>
      </c>
      <c r="AA1971" s="960">
        <f t="array" ref="AA1971">HLOOKUP($J1971,'Type Chart'!$C$2:$T$20,8,false)*HLOOKUP($K1971,'Type Chart'!$C$2:$U$20,8,false)</f>
        <v>2</v>
      </c>
      <c r="AB1971" s="960">
        <f t="array" ref="AB1971">HLOOKUP($J1971,'Type Chart'!$C$2:$T$20,9,false)*HLOOKUP($K1971,'Type Chart'!$C$2:$U$20,9,false)</f>
        <v>1</v>
      </c>
      <c r="AC1971" s="960">
        <f t="array" ref="AC1971">HLOOKUP($J1971,'Type Chart'!$C$2:$T$20,10,false)*HLOOKUP($K1971,'Type Chart'!$C$2:$U$20,10,false)</f>
        <v>1</v>
      </c>
      <c r="AD1971" s="960">
        <f t="array" ref="AD1971">HLOOKUP($J1971,'Type Chart'!$C$2:$T$20,11,false)*HLOOKUP($K1971,'Type Chart'!$C$2:$U$20,11,false)</f>
        <v>2</v>
      </c>
      <c r="AE1971" s="960">
        <f t="array" ref="AE1971">HLOOKUP($J1971,'Type Chart'!$C$2:$T$20,12,false)*HLOOKUP($K1971,'Type Chart'!$C$2:$U$20,12,false)</f>
        <v>0.5</v>
      </c>
      <c r="AF1971" s="960">
        <f t="array" ref="AF1971">HLOOKUP($J1971,'Type Chart'!$C$2:$T$20,13,false)*HLOOKUP($K1971,'Type Chart'!$C$2:$U$20,13,false)</f>
        <v>0.5</v>
      </c>
      <c r="AG1971" s="960">
        <f t="array" ref="AG1971">HLOOKUP($J1971,'Type Chart'!$C$2:$T$20,14,false)*HLOOKUP($K1971,'Type Chart'!$C$2:$U$20,14,false)</f>
        <v>0.5</v>
      </c>
      <c r="AH1971" s="960">
        <f t="array" ref="AH1971">HLOOKUP($J1971,'Type Chart'!$C$2:$T$20,15,false)*HLOOKUP($K1971,'Type Chart'!$C$2:$U$20,15,false)</f>
        <v>1</v>
      </c>
      <c r="AI1971" s="960">
        <f t="array" ref="AI1971">HLOOKUP($J1971,'Type Chart'!$C$2:$T$20,16,false)*HLOOKUP($K1971,'Type Chart'!$C$2:$U$20,16,false)</f>
        <v>2</v>
      </c>
      <c r="AJ1971" s="960">
        <f t="array" ref="AJ1971">HLOOKUP($J1971,'Type Chart'!$C$2:$T$20,17,false)*HLOOKUP($K1971,'Type Chart'!$C$2:$U$20,17,false)</f>
        <v>1</v>
      </c>
      <c r="AK1971" s="960">
        <f t="array" ref="AK1971">HLOOKUP($J1971,'Type Chart'!$C$2:$T$20,18,false)*HLOOKUP($K1971,'Type Chart'!$C$2:$U$20,18,false)</f>
        <v>1</v>
      </c>
      <c r="AL1971" s="960">
        <f t="array" ref="AL1971">HLOOKUP($J1971,'Type Chart'!$C$2:$T$20,19,false)*HLOOKUP($K1971,'Type Chart'!$C$2:$U$20,19,false)</f>
        <v>1</v>
      </c>
      <c r="AM1971" s="964" t="s">
        <v>1283</v>
      </c>
      <c r="AN1971" s="965" t="s">
        <v>524</v>
      </c>
      <c r="AO1971" s="966" t="s">
        <v>2282</v>
      </c>
      <c r="AP1971" s="936"/>
      <c r="AQ1971" s="1245"/>
      <c r="AR1971" s="1245"/>
      <c r="AS1971" s="936"/>
    </row>
    <row r="1972" ht="15.75" customHeight="1">
      <c r="A1972" s="1099"/>
      <c r="B1972" s="948" t="s">
        <v>2982</v>
      </c>
      <c r="C1972" s="1197" t="s">
        <v>2983</v>
      </c>
      <c r="D1972" s="1197" t="s">
        <v>2983</v>
      </c>
      <c r="E1972" s="1147" t="s">
        <v>2983</v>
      </c>
      <c r="F1972" s="940"/>
      <c r="G1972" s="953"/>
      <c r="H1972" s="969"/>
      <c r="I1972" s="998" t="s">
        <v>5072</v>
      </c>
      <c r="J1972" s="1180" t="s">
        <v>343</v>
      </c>
      <c r="K1972" s="1214" t="s">
        <v>342</v>
      </c>
      <c r="L1972" s="959">
        <v>50.0</v>
      </c>
      <c r="M1972" s="960">
        <v>65.0</v>
      </c>
      <c r="N1972" s="960">
        <v>85.0</v>
      </c>
      <c r="O1972" s="960">
        <v>35.0</v>
      </c>
      <c r="P1972" s="960">
        <v>35.0</v>
      </c>
      <c r="Q1972" s="960">
        <v>55.0</v>
      </c>
      <c r="R1972" s="960">
        <v>146.0</v>
      </c>
      <c r="S1972" s="960">
        <v>209.0</v>
      </c>
      <c r="T1972" s="960">
        <v>229.0</v>
      </c>
      <c r="U1972" s="960">
        <f t="array" ref="U1972">HLOOKUP($J1972,'Type Chart'!$C$2:$T$20,2,false)*HLOOKUP($K1972,'Type Chart'!$C$2:$U$20,2,false)</f>
        <v>0.5</v>
      </c>
      <c r="V1972" s="960">
        <f t="array" ref="V1972">HLOOKUP($J1972,'Type Chart'!$C$2:$T$20,3,false)*HLOOKUP($K1972,'Type Chart'!$C$2:$U$20,3,false)</f>
        <v>1</v>
      </c>
      <c r="W1972" s="960">
        <f t="array" ref="W1972">HLOOKUP($J1972,'Type Chart'!$C$2:$T$20,4,false)*HLOOKUP($K1972,'Type Chart'!$C$2:$U$20,4,false)</f>
        <v>1</v>
      </c>
      <c r="X1972" s="960">
        <f t="array" ref="X1972">HLOOKUP($J1972,'Type Chart'!$C$2:$T$20,5,false)*HLOOKUP($K1972,'Type Chart'!$C$2:$U$20,5,false)</f>
        <v>0.5</v>
      </c>
      <c r="Y1972" s="960">
        <f t="array" ref="Y1972">HLOOKUP($J1972,'Type Chart'!$C$2:$T$20,6,false)*HLOOKUP($K1972,'Type Chart'!$C$2:$U$20,6,false)</f>
        <v>1</v>
      </c>
      <c r="Z1972" s="960">
        <f t="array" ref="Z1972">HLOOKUP($J1972,'Type Chart'!$C$2:$T$20,7,false)*HLOOKUP($K1972,'Type Chart'!$C$2:$U$20,7,false)</f>
        <v>2</v>
      </c>
      <c r="AA1972" s="960">
        <f t="array" ref="AA1972">HLOOKUP($J1972,'Type Chart'!$C$2:$T$20,8,false)*HLOOKUP($K1972,'Type Chart'!$C$2:$U$20,8,false)</f>
        <v>1</v>
      </c>
      <c r="AB1972" s="960">
        <f t="array" ref="AB1972">HLOOKUP($J1972,'Type Chart'!$C$2:$T$20,9,false)*HLOOKUP($K1972,'Type Chart'!$C$2:$U$20,9,false)</f>
        <v>1</v>
      </c>
      <c r="AC1972" s="960">
        <f t="array" ref="AC1972">HLOOKUP($J1972,'Type Chart'!$C$2:$T$20,10,false)*HLOOKUP($K1972,'Type Chart'!$C$2:$U$20,10,false)</f>
        <v>2</v>
      </c>
      <c r="AD1972" s="960">
        <f t="array" ref="AD1972">HLOOKUP($J1972,'Type Chart'!$C$2:$T$20,11,false)*HLOOKUP($K1972,'Type Chart'!$C$2:$U$20,11,false)</f>
        <v>1</v>
      </c>
      <c r="AE1972" s="960">
        <f t="array" ref="AE1972">HLOOKUP($J1972,'Type Chart'!$C$2:$T$20,12,false)*HLOOKUP($K1972,'Type Chart'!$C$2:$U$20,12,false)</f>
        <v>2</v>
      </c>
      <c r="AF1972" s="960">
        <f t="array" ref="AF1972">HLOOKUP($J1972,'Type Chart'!$C$2:$T$20,13,false)*HLOOKUP($K1972,'Type Chart'!$C$2:$U$20,13,false)</f>
        <v>1</v>
      </c>
      <c r="AG1972" s="960">
        <f t="array" ref="AG1972">HLOOKUP($J1972,'Type Chart'!$C$2:$T$20,14,false)*HLOOKUP($K1972,'Type Chart'!$C$2:$U$20,14,false)</f>
        <v>1</v>
      </c>
      <c r="AH1972" s="960">
        <f t="array" ref="AH1972">HLOOKUP($J1972,'Type Chart'!$C$2:$T$20,15,false)*HLOOKUP($K1972,'Type Chart'!$C$2:$U$20,15,false)</f>
        <v>1</v>
      </c>
      <c r="AI1972" s="960">
        <f t="array" ref="AI1972">HLOOKUP($J1972,'Type Chart'!$C$2:$T$20,16,false)*HLOOKUP($K1972,'Type Chart'!$C$2:$U$20,16,false)</f>
        <v>1</v>
      </c>
      <c r="AJ1972" s="960">
        <f t="array" ref="AJ1972">HLOOKUP($J1972,'Type Chart'!$C$2:$T$20,17,false)*HLOOKUP($K1972,'Type Chart'!$C$2:$U$20,17,false)</f>
        <v>1</v>
      </c>
      <c r="AK1972" s="960">
        <f t="array" ref="AK1972">HLOOKUP($J1972,'Type Chart'!$C$2:$T$20,18,false)*HLOOKUP($K1972,'Type Chart'!$C$2:$U$20,18,false)</f>
        <v>1</v>
      </c>
      <c r="AL1972" s="960">
        <f t="array" ref="AL1972">HLOOKUP($J1972,'Type Chart'!$C$2:$T$20,19,false)*HLOOKUP($K1972,'Type Chart'!$C$2:$U$20,19,false)</f>
        <v>1</v>
      </c>
      <c r="AM1972" s="964" t="s">
        <v>1331</v>
      </c>
      <c r="AN1972" s="965" t="s">
        <v>1385</v>
      </c>
      <c r="AO1972" s="966" t="s">
        <v>1450</v>
      </c>
      <c r="AP1972" s="936"/>
      <c r="AQ1972" s="1245"/>
      <c r="AR1972" s="1245"/>
      <c r="AS1972" s="936"/>
    </row>
    <row r="1973" ht="15.75" customHeight="1">
      <c r="A1973" s="1099"/>
      <c r="B1973" s="948" t="s">
        <v>2984</v>
      </c>
      <c r="C1973" s="1197" t="s">
        <v>2985</v>
      </c>
      <c r="D1973" s="1197" t="s">
        <v>2985</v>
      </c>
      <c r="E1973" s="1147" t="s">
        <v>2985</v>
      </c>
      <c r="F1973" s="940"/>
      <c r="G1973" s="953"/>
      <c r="H1973" s="969"/>
      <c r="I1973" s="998" t="s">
        <v>5073</v>
      </c>
      <c r="J1973" s="1180" t="s">
        <v>343</v>
      </c>
      <c r="K1973" s="1214" t="s">
        <v>342</v>
      </c>
      <c r="L1973" s="959">
        <v>70.0</v>
      </c>
      <c r="M1973" s="960">
        <v>105.0</v>
      </c>
      <c r="N1973" s="960">
        <v>125.0</v>
      </c>
      <c r="O1973" s="960">
        <v>65.0</v>
      </c>
      <c r="P1973" s="960">
        <v>75.0</v>
      </c>
      <c r="Q1973" s="960">
        <v>45.0</v>
      </c>
      <c r="R1973" s="960">
        <v>126.0</v>
      </c>
      <c r="S1973" s="960">
        <v>189.0</v>
      </c>
      <c r="T1973" s="960">
        <v>207.0</v>
      </c>
      <c r="U1973" s="960">
        <f t="array" ref="U1973">HLOOKUP($J1973,'Type Chart'!$C$2:$T$20,2,false)*HLOOKUP($K1973,'Type Chart'!$C$2:$U$20,2,false)</f>
        <v>0.5</v>
      </c>
      <c r="V1973" s="960">
        <f t="array" ref="V1973">HLOOKUP($J1973,'Type Chart'!$C$2:$T$20,3,false)*HLOOKUP($K1973,'Type Chart'!$C$2:$U$20,3,false)</f>
        <v>1</v>
      </c>
      <c r="W1973" s="960">
        <f t="array" ref="W1973">HLOOKUP($J1973,'Type Chart'!$C$2:$T$20,4,false)*HLOOKUP($K1973,'Type Chart'!$C$2:$U$20,4,false)</f>
        <v>1</v>
      </c>
      <c r="X1973" s="960">
        <f t="array" ref="X1973">HLOOKUP($J1973,'Type Chart'!$C$2:$T$20,5,false)*HLOOKUP($K1973,'Type Chart'!$C$2:$U$20,5,false)</f>
        <v>0.5</v>
      </c>
      <c r="Y1973" s="960">
        <f t="array" ref="Y1973">HLOOKUP($J1973,'Type Chart'!$C$2:$T$20,6,false)*HLOOKUP($K1973,'Type Chart'!$C$2:$U$20,6,false)</f>
        <v>1</v>
      </c>
      <c r="Z1973" s="960">
        <f t="array" ref="Z1973">HLOOKUP($J1973,'Type Chart'!$C$2:$T$20,7,false)*HLOOKUP($K1973,'Type Chart'!$C$2:$U$20,7,false)</f>
        <v>2</v>
      </c>
      <c r="AA1973" s="960">
        <f t="array" ref="AA1973">HLOOKUP($J1973,'Type Chart'!$C$2:$T$20,8,false)*HLOOKUP($K1973,'Type Chart'!$C$2:$U$20,8,false)</f>
        <v>1</v>
      </c>
      <c r="AB1973" s="960">
        <f t="array" ref="AB1973">HLOOKUP($J1973,'Type Chart'!$C$2:$T$20,9,false)*HLOOKUP($K1973,'Type Chart'!$C$2:$U$20,9,false)</f>
        <v>1</v>
      </c>
      <c r="AC1973" s="960">
        <f t="array" ref="AC1973">HLOOKUP($J1973,'Type Chart'!$C$2:$T$20,10,false)*HLOOKUP($K1973,'Type Chart'!$C$2:$U$20,10,false)</f>
        <v>2</v>
      </c>
      <c r="AD1973" s="960">
        <f t="array" ref="AD1973">HLOOKUP($J1973,'Type Chart'!$C$2:$T$20,11,false)*HLOOKUP($K1973,'Type Chart'!$C$2:$U$20,11,false)</f>
        <v>1</v>
      </c>
      <c r="AE1973" s="960">
        <f t="array" ref="AE1973">HLOOKUP($J1973,'Type Chart'!$C$2:$T$20,12,false)*HLOOKUP($K1973,'Type Chart'!$C$2:$U$20,12,false)</f>
        <v>2</v>
      </c>
      <c r="AF1973" s="960">
        <f t="array" ref="AF1973">HLOOKUP($J1973,'Type Chart'!$C$2:$T$20,13,false)*HLOOKUP($K1973,'Type Chart'!$C$2:$U$20,13,false)</f>
        <v>1</v>
      </c>
      <c r="AG1973" s="960">
        <f t="array" ref="AG1973">HLOOKUP($J1973,'Type Chart'!$C$2:$T$20,14,false)*HLOOKUP($K1973,'Type Chart'!$C$2:$U$20,14,false)</f>
        <v>1</v>
      </c>
      <c r="AH1973" s="960">
        <f t="array" ref="AH1973">HLOOKUP($J1973,'Type Chart'!$C$2:$T$20,15,false)*HLOOKUP($K1973,'Type Chart'!$C$2:$U$20,15,false)</f>
        <v>1</v>
      </c>
      <c r="AI1973" s="960">
        <f t="array" ref="AI1973">HLOOKUP($J1973,'Type Chart'!$C$2:$T$20,16,false)*HLOOKUP($K1973,'Type Chart'!$C$2:$U$20,16,false)</f>
        <v>1</v>
      </c>
      <c r="AJ1973" s="960">
        <f t="array" ref="AJ1973">HLOOKUP($J1973,'Type Chart'!$C$2:$T$20,17,false)*HLOOKUP($K1973,'Type Chart'!$C$2:$U$20,17,false)</f>
        <v>1</v>
      </c>
      <c r="AK1973" s="960">
        <f t="array" ref="AK1973">HLOOKUP($J1973,'Type Chart'!$C$2:$T$20,18,false)*HLOOKUP($K1973,'Type Chart'!$C$2:$U$20,18,false)</f>
        <v>1</v>
      </c>
      <c r="AL1973" s="960">
        <f t="array" ref="AL1973">HLOOKUP($J1973,'Type Chart'!$C$2:$T$20,19,false)*HLOOKUP($K1973,'Type Chart'!$C$2:$U$20,19,false)</f>
        <v>1</v>
      </c>
      <c r="AM1973" s="964" t="s">
        <v>1331</v>
      </c>
      <c r="AN1973" s="965" t="s">
        <v>1385</v>
      </c>
      <c r="AO1973" s="966" t="s">
        <v>1450</v>
      </c>
      <c r="AP1973" s="936"/>
      <c r="AQ1973" s="1245"/>
      <c r="AR1973" s="1245"/>
      <c r="AS1973" s="936"/>
    </row>
    <row r="1974" ht="15.75" customHeight="1">
      <c r="A1974" s="1099"/>
      <c r="B1974" s="948" t="s">
        <v>2986</v>
      </c>
      <c r="C1974" s="1197" t="s">
        <v>2987</v>
      </c>
      <c r="D1974" s="1197" t="s">
        <v>2987</v>
      </c>
      <c r="E1974" s="1147" t="s">
        <v>2987</v>
      </c>
      <c r="F1974" s="940"/>
      <c r="G1974" s="953"/>
      <c r="H1974" s="969"/>
      <c r="I1974" s="998" t="s">
        <v>5074</v>
      </c>
      <c r="J1974" s="1195" t="s">
        <v>193</v>
      </c>
      <c r="K1974" s="1213" t="s">
        <v>341</v>
      </c>
      <c r="L1974" s="959">
        <v>50.0</v>
      </c>
      <c r="M1974" s="960">
        <v>75.0</v>
      </c>
      <c r="N1974" s="960">
        <v>70.0</v>
      </c>
      <c r="O1974" s="960">
        <v>35.0</v>
      </c>
      <c r="P1974" s="960">
        <v>70.0</v>
      </c>
      <c r="Q1974" s="960">
        <v>48.0</v>
      </c>
      <c r="R1974" s="960">
        <v>132.0</v>
      </c>
      <c r="S1974" s="960">
        <v>195.0</v>
      </c>
      <c r="T1974" s="960">
        <v>214.0</v>
      </c>
      <c r="U1974" s="960">
        <f t="array" ref="U1974">HLOOKUP($J1974,'Type Chart'!$C$2:$T$20,2,false)*HLOOKUP($K1974,'Type Chart'!$C$2:$U$20,2,false)</f>
        <v>1</v>
      </c>
      <c r="V1974" s="960">
        <f t="array" ref="V1974">HLOOKUP($J1974,'Type Chart'!$C$2:$T$20,3,false)*HLOOKUP($K1974,'Type Chart'!$C$2:$U$20,3,false)</f>
        <v>2</v>
      </c>
      <c r="W1974" s="960">
        <f t="array" ref="W1974">HLOOKUP($J1974,'Type Chart'!$C$2:$T$20,4,false)*HLOOKUP($K1974,'Type Chart'!$C$2:$U$20,4,false)</f>
        <v>2</v>
      </c>
      <c r="X1974" s="960">
        <f t="array" ref="X1974">HLOOKUP($J1974,'Type Chart'!$C$2:$T$20,5,false)*HLOOKUP($K1974,'Type Chart'!$C$2:$U$20,5,false)</f>
        <v>1</v>
      </c>
      <c r="Y1974" s="960">
        <f t="array" ref="Y1974">HLOOKUP($J1974,'Type Chart'!$C$2:$T$20,6,false)*HLOOKUP($K1974,'Type Chart'!$C$2:$U$20,6,false)</f>
        <v>1</v>
      </c>
      <c r="Z1974" s="960">
        <f t="array" ref="Z1974">HLOOKUP($J1974,'Type Chart'!$C$2:$T$20,7,false)*HLOOKUP($K1974,'Type Chart'!$C$2:$U$20,7,false)</f>
        <v>0.5</v>
      </c>
      <c r="AA1974" s="960">
        <f t="array" ref="AA1974">HLOOKUP($J1974,'Type Chart'!$C$2:$T$20,8,false)*HLOOKUP($K1974,'Type Chart'!$C$2:$U$20,8,false)</f>
        <v>1</v>
      </c>
      <c r="AB1974" s="960">
        <f t="array" ref="AB1974">HLOOKUP($J1974,'Type Chart'!$C$2:$T$20,9,false)*HLOOKUP($K1974,'Type Chart'!$C$2:$U$20,9,false)</f>
        <v>0.5</v>
      </c>
      <c r="AC1974" s="960">
        <f t="array" ref="AC1974">HLOOKUP($J1974,'Type Chart'!$C$2:$T$20,10,false)*HLOOKUP($K1974,'Type Chart'!$C$2:$U$20,10,false)</f>
        <v>1</v>
      </c>
      <c r="AD1974" s="960">
        <f t="array" ref="AD1974">HLOOKUP($J1974,'Type Chart'!$C$2:$T$20,11,false)*HLOOKUP($K1974,'Type Chart'!$C$2:$U$20,11,false)</f>
        <v>1</v>
      </c>
      <c r="AE1974" s="960">
        <f t="array" ref="AE1974">HLOOKUP($J1974,'Type Chart'!$C$2:$T$20,12,false)*HLOOKUP($K1974,'Type Chart'!$C$2:$U$20,12,false)</f>
        <v>1</v>
      </c>
      <c r="AF1974" s="960">
        <f t="array" ref="AF1974">HLOOKUP($J1974,'Type Chart'!$C$2:$T$20,13,false)*HLOOKUP($K1974,'Type Chart'!$C$2:$U$20,13,false)</f>
        <v>1</v>
      </c>
      <c r="AG1974" s="960">
        <f t="array" ref="AG1974">HLOOKUP($J1974,'Type Chart'!$C$2:$T$20,14,false)*HLOOKUP($K1974,'Type Chart'!$C$2:$U$20,14,false)</f>
        <v>1</v>
      </c>
      <c r="AH1974" s="960">
        <f t="array" ref="AH1974">HLOOKUP($J1974,'Type Chart'!$C$2:$T$20,15,false)*HLOOKUP($K1974,'Type Chart'!$C$2:$U$20,15,false)</f>
        <v>0</v>
      </c>
      <c r="AI1974" s="960">
        <f t="array" ref="AI1974">HLOOKUP($J1974,'Type Chart'!$C$2:$T$20,16,false)*HLOOKUP($K1974,'Type Chart'!$C$2:$U$20,16,false)</f>
        <v>1</v>
      </c>
      <c r="AJ1974" s="960">
        <f t="array" ref="AJ1974">HLOOKUP($J1974,'Type Chart'!$C$2:$T$20,17,false)*HLOOKUP($K1974,'Type Chart'!$C$2:$U$20,17,false)</f>
        <v>1</v>
      </c>
      <c r="AK1974" s="960">
        <f t="array" ref="AK1974">HLOOKUP($J1974,'Type Chart'!$C$2:$T$20,18,false)*HLOOKUP($K1974,'Type Chart'!$C$2:$U$20,18,false)</f>
        <v>0.25</v>
      </c>
      <c r="AL1974" s="960">
        <f t="array" ref="AL1974">HLOOKUP($J1974,'Type Chart'!$C$2:$T$20,19,false)*HLOOKUP($K1974,'Type Chart'!$C$2:$U$20,19,false)</f>
        <v>4</v>
      </c>
      <c r="AM1974" s="964" t="s">
        <v>998</v>
      </c>
      <c r="AN1974" s="965" t="s">
        <v>1577</v>
      </c>
      <c r="AO1974" s="966" t="s">
        <v>1061</v>
      </c>
      <c r="AP1974" s="936"/>
      <c r="AQ1974" s="1245"/>
      <c r="AR1974" s="1245"/>
      <c r="AS1974" s="936"/>
    </row>
    <row r="1975" ht="15.75" customHeight="1">
      <c r="A1975" s="1099"/>
      <c r="B1975" s="948" t="s">
        <v>2989</v>
      </c>
      <c r="C1975" s="1197" t="s">
        <v>2990</v>
      </c>
      <c r="D1975" s="1197" t="s">
        <v>2990</v>
      </c>
      <c r="E1975" s="1147" t="s">
        <v>2990</v>
      </c>
      <c r="F1975" s="940"/>
      <c r="G1975" s="953"/>
      <c r="H1975" s="969"/>
      <c r="I1975" s="998" t="s">
        <v>5075</v>
      </c>
      <c r="J1975" s="1195" t="s">
        <v>193</v>
      </c>
      <c r="K1975" s="1213" t="s">
        <v>341</v>
      </c>
      <c r="L1975" s="959">
        <v>65.0</v>
      </c>
      <c r="M1975" s="960">
        <v>90.0</v>
      </c>
      <c r="N1975" s="960">
        <v>115.0</v>
      </c>
      <c r="O1975" s="960">
        <v>45.0</v>
      </c>
      <c r="P1975" s="960">
        <v>115.0</v>
      </c>
      <c r="Q1975" s="960">
        <v>58.0</v>
      </c>
      <c r="R1975" s="960">
        <v>152.0</v>
      </c>
      <c r="S1975" s="960">
        <v>215.0</v>
      </c>
      <c r="T1975" s="960">
        <v>236.0</v>
      </c>
      <c r="U1975" s="960">
        <f t="array" ref="U1975">HLOOKUP($J1975,'Type Chart'!$C$2:$T$20,2,false)*HLOOKUP($K1975,'Type Chart'!$C$2:$U$20,2,false)</f>
        <v>1</v>
      </c>
      <c r="V1975" s="960">
        <f t="array" ref="V1975">HLOOKUP($J1975,'Type Chart'!$C$2:$T$20,3,false)*HLOOKUP($K1975,'Type Chart'!$C$2:$U$20,3,false)</f>
        <v>2</v>
      </c>
      <c r="W1975" s="960">
        <f t="array" ref="W1975">HLOOKUP($J1975,'Type Chart'!$C$2:$T$20,4,false)*HLOOKUP($K1975,'Type Chart'!$C$2:$U$20,4,false)</f>
        <v>2</v>
      </c>
      <c r="X1975" s="960">
        <f t="array" ref="X1975">HLOOKUP($J1975,'Type Chart'!$C$2:$T$20,5,false)*HLOOKUP($K1975,'Type Chart'!$C$2:$U$20,5,false)</f>
        <v>1</v>
      </c>
      <c r="Y1975" s="960">
        <f t="array" ref="Y1975">HLOOKUP($J1975,'Type Chart'!$C$2:$T$20,6,false)*HLOOKUP($K1975,'Type Chart'!$C$2:$U$20,6,false)</f>
        <v>1</v>
      </c>
      <c r="Z1975" s="960">
        <f t="array" ref="Z1975">HLOOKUP($J1975,'Type Chart'!$C$2:$T$20,7,false)*HLOOKUP($K1975,'Type Chart'!$C$2:$U$20,7,false)</f>
        <v>0.5</v>
      </c>
      <c r="AA1975" s="960">
        <f t="array" ref="AA1975">HLOOKUP($J1975,'Type Chart'!$C$2:$T$20,8,false)*HLOOKUP($K1975,'Type Chart'!$C$2:$U$20,8,false)</f>
        <v>1</v>
      </c>
      <c r="AB1975" s="960">
        <f t="array" ref="AB1975">HLOOKUP($J1975,'Type Chart'!$C$2:$T$20,9,false)*HLOOKUP($K1975,'Type Chart'!$C$2:$U$20,9,false)</f>
        <v>0.5</v>
      </c>
      <c r="AC1975" s="960">
        <f t="array" ref="AC1975">HLOOKUP($J1975,'Type Chart'!$C$2:$T$20,10,false)*HLOOKUP($K1975,'Type Chart'!$C$2:$U$20,10,false)</f>
        <v>1</v>
      </c>
      <c r="AD1975" s="960">
        <f t="array" ref="AD1975">HLOOKUP($J1975,'Type Chart'!$C$2:$T$20,11,false)*HLOOKUP($K1975,'Type Chart'!$C$2:$U$20,11,false)</f>
        <v>1</v>
      </c>
      <c r="AE1975" s="960">
        <f t="array" ref="AE1975">HLOOKUP($J1975,'Type Chart'!$C$2:$T$20,12,false)*HLOOKUP($K1975,'Type Chart'!$C$2:$U$20,12,false)</f>
        <v>1</v>
      </c>
      <c r="AF1975" s="960">
        <f t="array" ref="AF1975">HLOOKUP($J1975,'Type Chart'!$C$2:$T$20,13,false)*HLOOKUP($K1975,'Type Chart'!$C$2:$U$20,13,false)</f>
        <v>1</v>
      </c>
      <c r="AG1975" s="960">
        <f t="array" ref="AG1975">HLOOKUP($J1975,'Type Chart'!$C$2:$T$20,14,false)*HLOOKUP($K1975,'Type Chart'!$C$2:$U$20,14,false)</f>
        <v>1</v>
      </c>
      <c r="AH1975" s="960">
        <f t="array" ref="AH1975">HLOOKUP($J1975,'Type Chart'!$C$2:$T$20,15,false)*HLOOKUP($K1975,'Type Chart'!$C$2:$U$20,15,false)</f>
        <v>0</v>
      </c>
      <c r="AI1975" s="960">
        <f t="array" ref="AI1975">HLOOKUP($J1975,'Type Chart'!$C$2:$T$20,16,false)*HLOOKUP($K1975,'Type Chart'!$C$2:$U$20,16,false)</f>
        <v>1</v>
      </c>
      <c r="AJ1975" s="960">
        <f t="array" ref="AJ1975">HLOOKUP($J1975,'Type Chart'!$C$2:$T$20,17,false)*HLOOKUP($K1975,'Type Chart'!$C$2:$U$20,17,false)</f>
        <v>1</v>
      </c>
      <c r="AK1975" s="960">
        <f t="array" ref="AK1975">HLOOKUP($J1975,'Type Chart'!$C$2:$T$20,18,false)*HLOOKUP($K1975,'Type Chart'!$C$2:$U$20,18,false)</f>
        <v>0.25</v>
      </c>
      <c r="AL1975" s="960">
        <f t="array" ref="AL1975">HLOOKUP($J1975,'Type Chart'!$C$2:$T$20,19,false)*HLOOKUP($K1975,'Type Chart'!$C$2:$U$20,19,false)</f>
        <v>4</v>
      </c>
      <c r="AM1975" s="964" t="s">
        <v>998</v>
      </c>
      <c r="AN1975" s="965" t="s">
        <v>1577</v>
      </c>
      <c r="AO1975" s="966" t="s">
        <v>1061</v>
      </c>
      <c r="AP1975" s="936"/>
      <c r="AQ1975" s="1245"/>
      <c r="AR1975" s="1245"/>
      <c r="AS1975" s="936"/>
    </row>
    <row r="1976" ht="15.75" customHeight="1">
      <c r="A1976" s="1099"/>
      <c r="B1976" s="948" t="s">
        <v>2991</v>
      </c>
      <c r="C1976" s="1197" t="s">
        <v>2992</v>
      </c>
      <c r="D1976" s="1197" t="s">
        <v>2992</v>
      </c>
      <c r="E1976" s="1147" t="s">
        <v>2992</v>
      </c>
      <c r="F1976" s="940"/>
      <c r="G1976" s="953"/>
      <c r="H1976" s="969"/>
      <c r="I1976" s="998" t="s">
        <v>5076</v>
      </c>
      <c r="J1976" s="1203" t="s">
        <v>344</v>
      </c>
      <c r="K1976" s="1001" t="s">
        <v>128</v>
      </c>
      <c r="L1976" s="959">
        <v>72.0</v>
      </c>
      <c r="M1976" s="960">
        <v>58.0</v>
      </c>
      <c r="N1976" s="960">
        <v>80.0</v>
      </c>
      <c r="O1976" s="960">
        <v>103.0</v>
      </c>
      <c r="P1976" s="960">
        <v>80.0</v>
      </c>
      <c r="Q1976" s="960">
        <v>97.0</v>
      </c>
      <c r="R1976" s="960">
        <v>230.0</v>
      </c>
      <c r="S1976" s="960">
        <v>293.0</v>
      </c>
      <c r="T1976" s="960">
        <v>322.0</v>
      </c>
      <c r="U1976" s="960">
        <f t="array" ref="U1976">HLOOKUP($J1976,'Type Chart'!$C$2:$T$20,2,false)*HLOOKUP($K1976,'Type Chart'!$C$2:$U$20,2,false)</f>
        <v>1</v>
      </c>
      <c r="V1976" s="960">
        <f t="array" ref="V1976">HLOOKUP($J1976,'Type Chart'!$C$2:$T$20,3,false)*HLOOKUP($K1976,'Type Chart'!$C$2:$U$20,3,false)</f>
        <v>0.25</v>
      </c>
      <c r="W1976" s="960">
        <f t="array" ref="W1976">HLOOKUP($J1976,'Type Chart'!$C$2:$T$20,4,false)*HLOOKUP($K1976,'Type Chart'!$C$2:$U$20,4,false)</f>
        <v>1</v>
      </c>
      <c r="X1976" s="960">
        <f t="array" ref="X1976">HLOOKUP($J1976,'Type Chart'!$C$2:$T$20,5,false)*HLOOKUP($K1976,'Type Chart'!$C$2:$U$20,5,false)</f>
        <v>1</v>
      </c>
      <c r="Y1976" s="960">
        <f t="array" ref="Y1976">HLOOKUP($J1976,'Type Chart'!$C$2:$T$20,6,false)*HLOOKUP($K1976,'Type Chart'!$C$2:$U$20,6,false)</f>
        <v>0</v>
      </c>
      <c r="Z1976" s="960">
        <f t="array" ref="Z1976">HLOOKUP($J1976,'Type Chart'!$C$2:$T$20,7,false)*HLOOKUP($K1976,'Type Chart'!$C$2:$U$20,7,false)</f>
        <v>2</v>
      </c>
      <c r="AA1976" s="960">
        <f t="array" ref="AA1976">HLOOKUP($J1976,'Type Chart'!$C$2:$T$20,8,false)*HLOOKUP($K1976,'Type Chart'!$C$2:$U$20,8,false)</f>
        <v>1</v>
      </c>
      <c r="AB1976" s="960">
        <f t="array" ref="AB1976">HLOOKUP($J1976,'Type Chart'!$C$2:$T$20,9,false)*HLOOKUP($K1976,'Type Chart'!$C$2:$U$20,9,false)</f>
        <v>2</v>
      </c>
      <c r="AC1976" s="960">
        <f t="array" ref="AC1976">HLOOKUP($J1976,'Type Chart'!$C$2:$T$20,10,false)*HLOOKUP($K1976,'Type Chart'!$C$2:$U$20,10,false)</f>
        <v>1</v>
      </c>
      <c r="AD1976" s="960">
        <f t="array" ref="AD1976">HLOOKUP($J1976,'Type Chart'!$C$2:$T$20,11,false)*HLOOKUP($K1976,'Type Chart'!$C$2:$U$20,11,false)</f>
        <v>1</v>
      </c>
      <c r="AE1976" s="960">
        <f t="array" ref="AE1976">HLOOKUP($J1976,'Type Chart'!$C$2:$T$20,12,false)*HLOOKUP($K1976,'Type Chart'!$C$2:$U$20,12,false)</f>
        <v>1</v>
      </c>
      <c r="AF1976" s="960">
        <f t="array" ref="AF1976">HLOOKUP($J1976,'Type Chart'!$C$2:$T$20,13,false)*HLOOKUP($K1976,'Type Chart'!$C$2:$U$20,13,false)</f>
        <v>0.5</v>
      </c>
      <c r="AG1976" s="960">
        <f t="array" ref="AG1976">HLOOKUP($J1976,'Type Chart'!$C$2:$T$20,14,false)*HLOOKUP($K1976,'Type Chart'!$C$2:$U$20,14,false)</f>
        <v>2</v>
      </c>
      <c r="AH1976" s="960">
        <f t="array" ref="AH1976">HLOOKUP($J1976,'Type Chart'!$C$2:$T$20,15,false)*HLOOKUP($K1976,'Type Chart'!$C$2:$U$20,15,false)</f>
        <v>0.5</v>
      </c>
      <c r="AI1976" s="960">
        <f t="array" ref="AI1976">HLOOKUP($J1976,'Type Chart'!$C$2:$T$20,16,false)*HLOOKUP($K1976,'Type Chart'!$C$2:$U$20,16,false)</f>
        <v>2</v>
      </c>
      <c r="AJ1976" s="960">
        <f t="array" ref="AJ1976">HLOOKUP($J1976,'Type Chart'!$C$2:$T$20,17,false)*HLOOKUP($K1976,'Type Chart'!$C$2:$U$20,17,false)</f>
        <v>1</v>
      </c>
      <c r="AK1976" s="960">
        <f t="array" ref="AK1976">HLOOKUP($J1976,'Type Chart'!$C$2:$T$20,18,false)*HLOOKUP($K1976,'Type Chart'!$C$2:$U$20,18,false)</f>
        <v>2</v>
      </c>
      <c r="AL1976" s="960">
        <f t="array" ref="AL1976">HLOOKUP($J1976,'Type Chart'!$C$2:$T$20,19,false)*HLOOKUP($K1976,'Type Chart'!$C$2:$U$20,19,false)</f>
        <v>1</v>
      </c>
      <c r="AM1976" s="964" t="s">
        <v>1220</v>
      </c>
      <c r="AN1976" s="965" t="s">
        <v>1166</v>
      </c>
      <c r="AO1976" s="966" t="s">
        <v>1003</v>
      </c>
      <c r="AP1976" s="936"/>
      <c r="AQ1976" s="1245"/>
      <c r="AR1976" s="1245"/>
      <c r="AS1976" s="936"/>
    </row>
    <row r="1977" ht="15.75" customHeight="1">
      <c r="A1977" s="1099"/>
      <c r="B1977" s="948" t="s">
        <v>2994</v>
      </c>
      <c r="C1977" s="1197" t="s">
        <v>2995</v>
      </c>
      <c r="D1977" s="1197" t="s">
        <v>2995</v>
      </c>
      <c r="E1977" s="1147" t="s">
        <v>2995</v>
      </c>
      <c r="F1977" s="940"/>
      <c r="G1977" s="953"/>
      <c r="H1977" s="969"/>
      <c r="I1977" s="998" t="s">
        <v>5077</v>
      </c>
      <c r="J1977" s="1220" t="s">
        <v>215</v>
      </c>
      <c r="K1977" s="984" t="s">
        <v>216</v>
      </c>
      <c r="L1977" s="959">
        <v>38.0</v>
      </c>
      <c r="M1977" s="960">
        <v>30.0</v>
      </c>
      <c r="N1977" s="960">
        <v>85.0</v>
      </c>
      <c r="O1977" s="960">
        <v>55.0</v>
      </c>
      <c r="P1977" s="960">
        <v>65.0</v>
      </c>
      <c r="Q1977" s="960">
        <v>30.0</v>
      </c>
      <c r="R1977" s="960">
        <v>96.0</v>
      </c>
      <c r="S1977" s="960">
        <v>159.0</v>
      </c>
      <c r="T1977" s="960">
        <v>174.0</v>
      </c>
      <c r="U1977" s="960">
        <f t="array" ref="U1977">HLOOKUP($J1977,'Type Chart'!$C$2:$T$20,2,false)*HLOOKUP($K1977,'Type Chart'!$C$2:$U$20,2,false)</f>
        <v>0</v>
      </c>
      <c r="V1977" s="960">
        <f t="array" ref="V1977">HLOOKUP($J1977,'Type Chart'!$C$2:$T$20,3,false)*HLOOKUP($K1977,'Type Chart'!$C$2:$U$20,3,false)</f>
        <v>0</v>
      </c>
      <c r="W1977" s="960">
        <f t="array" ref="W1977">HLOOKUP($J1977,'Type Chart'!$C$2:$T$20,4,false)*HLOOKUP($K1977,'Type Chart'!$C$2:$U$20,4,false)</f>
        <v>1</v>
      </c>
      <c r="X1977" s="960">
        <f t="array" ref="X1977">HLOOKUP($J1977,'Type Chart'!$C$2:$T$20,5,false)*HLOOKUP($K1977,'Type Chart'!$C$2:$U$20,5,false)</f>
        <v>0.5</v>
      </c>
      <c r="Y1977" s="960">
        <f t="array" ref="Y1977">HLOOKUP($J1977,'Type Chart'!$C$2:$T$20,6,false)*HLOOKUP($K1977,'Type Chart'!$C$2:$U$20,6,false)</f>
        <v>1</v>
      </c>
      <c r="Z1977" s="960">
        <f t="array" ref="Z1977">HLOOKUP($J1977,'Type Chart'!$C$2:$T$20,7,false)*HLOOKUP($K1977,'Type Chart'!$C$2:$U$20,7,false)</f>
        <v>1</v>
      </c>
      <c r="AA1977" s="960">
        <f t="array" ref="AA1977">HLOOKUP($J1977,'Type Chart'!$C$2:$T$20,8,false)*HLOOKUP($K1977,'Type Chart'!$C$2:$U$20,8,false)</f>
        <v>0.5</v>
      </c>
      <c r="AB1977" s="960">
        <f t="array" ref="AB1977">HLOOKUP($J1977,'Type Chart'!$C$2:$T$20,9,false)*HLOOKUP($K1977,'Type Chart'!$C$2:$U$20,9,false)</f>
        <v>2</v>
      </c>
      <c r="AC1977" s="960">
        <f t="array" ref="AC1977">HLOOKUP($J1977,'Type Chart'!$C$2:$T$20,10,false)*HLOOKUP($K1977,'Type Chart'!$C$2:$U$20,10,false)</f>
        <v>1</v>
      </c>
      <c r="AD1977" s="960">
        <f t="array" ref="AD1977">HLOOKUP($J1977,'Type Chart'!$C$2:$T$20,11,false)*HLOOKUP($K1977,'Type Chart'!$C$2:$U$20,11,false)</f>
        <v>1</v>
      </c>
      <c r="AE1977" s="960">
        <f t="array" ref="AE1977">HLOOKUP($J1977,'Type Chart'!$C$2:$T$20,12,false)*HLOOKUP($K1977,'Type Chart'!$C$2:$U$20,12,false)</f>
        <v>1</v>
      </c>
      <c r="AF1977" s="960">
        <f t="array" ref="AF1977">HLOOKUP($J1977,'Type Chart'!$C$2:$T$20,13,false)*HLOOKUP($K1977,'Type Chart'!$C$2:$U$20,13,false)</f>
        <v>1</v>
      </c>
      <c r="AG1977" s="960">
        <f t="array" ref="AG1977">HLOOKUP($J1977,'Type Chart'!$C$2:$T$20,14,false)*HLOOKUP($K1977,'Type Chart'!$C$2:$U$20,14,false)</f>
        <v>1</v>
      </c>
      <c r="AH1977" s="960">
        <f t="array" ref="AH1977">HLOOKUP($J1977,'Type Chart'!$C$2:$T$20,15,false)*HLOOKUP($K1977,'Type Chart'!$C$2:$U$20,15,false)</f>
        <v>1</v>
      </c>
      <c r="AI1977" s="960">
        <f t="array" ref="AI1977">HLOOKUP($J1977,'Type Chart'!$C$2:$T$20,16,false)*HLOOKUP($K1977,'Type Chart'!$C$2:$U$20,16,false)</f>
        <v>1</v>
      </c>
      <c r="AJ1977" s="960">
        <f t="array" ref="AJ1977">HLOOKUP($J1977,'Type Chart'!$C$2:$T$20,17,false)*HLOOKUP($K1977,'Type Chart'!$C$2:$U$20,17,false)</f>
        <v>1</v>
      </c>
      <c r="AK1977" s="960">
        <f t="array" ref="AK1977">HLOOKUP($J1977,'Type Chart'!$C$2:$T$20,18,false)*HLOOKUP($K1977,'Type Chart'!$C$2:$U$20,18,false)</f>
        <v>2</v>
      </c>
      <c r="AL1977" s="960">
        <f t="array" ref="AL1977">HLOOKUP($J1977,'Type Chart'!$C$2:$T$20,19,false)*HLOOKUP($K1977,'Type Chart'!$C$2:$U$20,19,false)</f>
        <v>1</v>
      </c>
      <c r="AM1977" s="964" t="s">
        <v>2997</v>
      </c>
      <c r="AN1977" s="965"/>
      <c r="AO1977" s="966"/>
      <c r="AP1977" s="936"/>
      <c r="AQ1977" s="1245"/>
      <c r="AR1977" s="1245"/>
      <c r="AS1977" s="936"/>
    </row>
    <row r="1978" ht="15.75" customHeight="1">
      <c r="A1978" s="1099"/>
      <c r="B1978" s="948" t="s">
        <v>2998</v>
      </c>
      <c r="C1978" s="1197" t="s">
        <v>2999</v>
      </c>
      <c r="D1978" s="1197" t="s">
        <v>2999</v>
      </c>
      <c r="E1978" s="1147" t="s">
        <v>3000</v>
      </c>
      <c r="F1978" s="940"/>
      <c r="G1978" s="953"/>
      <c r="H1978" s="969"/>
      <c r="I1978" s="998" t="s">
        <v>5078</v>
      </c>
      <c r="J1978" s="1204" t="s">
        <v>80</v>
      </c>
      <c r="K1978" s="1220" t="s">
        <v>215</v>
      </c>
      <c r="L1978" s="959">
        <v>38.0</v>
      </c>
      <c r="M1978" s="960">
        <v>55.0</v>
      </c>
      <c r="N1978" s="960">
        <v>85.0</v>
      </c>
      <c r="O1978" s="960">
        <v>30.0</v>
      </c>
      <c r="P1978" s="960">
        <v>65.0</v>
      </c>
      <c r="Q1978" s="960">
        <v>30.0</v>
      </c>
      <c r="R1978" s="960">
        <v>96.0</v>
      </c>
      <c r="S1978" s="960">
        <v>159.0</v>
      </c>
      <c r="T1978" s="960">
        <v>174.0</v>
      </c>
      <c r="U1978" s="960">
        <f t="array" ref="U1978">HLOOKUP($J1978,'Type Chart'!$C$2:$T$20,2,false)*HLOOKUP($K1978,'Type Chart'!$C$2:$U$20,2,false)</f>
        <v>0</v>
      </c>
      <c r="V1978" s="960">
        <f t="array" ref="V1978">HLOOKUP($J1978,'Type Chart'!$C$2:$T$20,3,false)*HLOOKUP($K1978,'Type Chart'!$C$2:$U$20,3,false)</f>
        <v>0</v>
      </c>
      <c r="W1978" s="960">
        <f t="array" ref="W1978">HLOOKUP($J1978,'Type Chart'!$C$2:$T$20,4,false)*HLOOKUP($K1978,'Type Chart'!$C$2:$U$20,4,false)</f>
        <v>1</v>
      </c>
      <c r="X1978" s="960">
        <f t="array" ref="X1978">HLOOKUP($J1978,'Type Chart'!$C$2:$T$20,5,false)*HLOOKUP($K1978,'Type Chart'!$C$2:$U$20,5,false)</f>
        <v>0.25</v>
      </c>
      <c r="Y1978" s="960">
        <f t="array" ref="Y1978">HLOOKUP($J1978,'Type Chart'!$C$2:$T$20,6,false)*HLOOKUP($K1978,'Type Chart'!$C$2:$U$20,6,false)</f>
        <v>1</v>
      </c>
      <c r="Z1978" s="960">
        <f t="array" ref="Z1978">HLOOKUP($J1978,'Type Chart'!$C$2:$T$20,7,false)*HLOOKUP($K1978,'Type Chart'!$C$2:$U$20,7,false)</f>
        <v>0.5</v>
      </c>
      <c r="AA1978" s="960">
        <f t="array" ref="AA1978">HLOOKUP($J1978,'Type Chart'!$C$2:$T$20,8,false)*HLOOKUP($K1978,'Type Chart'!$C$2:$U$20,8,false)</f>
        <v>0.5</v>
      </c>
      <c r="AB1978" s="960">
        <f t="array" ref="AB1978">HLOOKUP($J1978,'Type Chart'!$C$2:$T$20,9,false)*HLOOKUP($K1978,'Type Chart'!$C$2:$U$20,9,false)</f>
        <v>2</v>
      </c>
      <c r="AC1978" s="960">
        <f t="array" ref="AC1978">HLOOKUP($J1978,'Type Chart'!$C$2:$T$20,10,false)*HLOOKUP($K1978,'Type Chart'!$C$2:$U$20,10,false)</f>
        <v>1</v>
      </c>
      <c r="AD1978" s="960">
        <f t="array" ref="AD1978">HLOOKUP($J1978,'Type Chart'!$C$2:$T$20,11,false)*HLOOKUP($K1978,'Type Chart'!$C$2:$U$20,11,false)</f>
        <v>1</v>
      </c>
      <c r="AE1978" s="960">
        <f t="array" ref="AE1978">HLOOKUP($J1978,'Type Chart'!$C$2:$T$20,12,false)*HLOOKUP($K1978,'Type Chart'!$C$2:$U$20,12,false)</f>
        <v>2</v>
      </c>
      <c r="AF1978" s="960">
        <f t="array" ref="AF1978">HLOOKUP($J1978,'Type Chart'!$C$2:$T$20,13,false)*HLOOKUP($K1978,'Type Chart'!$C$2:$U$20,13,false)</f>
        <v>2</v>
      </c>
      <c r="AG1978" s="960">
        <f t="array" ref="AG1978">HLOOKUP($J1978,'Type Chart'!$C$2:$T$20,14,false)*HLOOKUP($K1978,'Type Chart'!$C$2:$U$20,14,false)</f>
        <v>0</v>
      </c>
      <c r="AH1978" s="960">
        <f t="array" ref="AH1978">HLOOKUP($J1978,'Type Chart'!$C$2:$T$20,15,false)*HLOOKUP($K1978,'Type Chart'!$C$2:$U$20,15,false)</f>
        <v>1</v>
      </c>
      <c r="AI1978" s="960">
        <f t="array" ref="AI1978">HLOOKUP($J1978,'Type Chart'!$C$2:$T$20,16,false)*HLOOKUP($K1978,'Type Chart'!$C$2:$U$20,16,false)</f>
        <v>2</v>
      </c>
      <c r="AJ1978" s="960">
        <f t="array" ref="AJ1978">HLOOKUP($J1978,'Type Chart'!$C$2:$T$20,17,false)*HLOOKUP($K1978,'Type Chart'!$C$2:$U$20,17,false)</f>
        <v>1</v>
      </c>
      <c r="AK1978" s="960">
        <f t="array" ref="AK1978">HLOOKUP($J1978,'Type Chart'!$C$2:$T$20,18,false)*HLOOKUP($K1978,'Type Chart'!$C$2:$U$20,18,false)</f>
        <v>2</v>
      </c>
      <c r="AL1978" s="960">
        <f t="array" ref="AL1978">HLOOKUP($J1978,'Type Chart'!$C$2:$T$20,19,false)*HLOOKUP($K1978,'Type Chart'!$C$2:$U$20,19,false)</f>
        <v>1</v>
      </c>
      <c r="AM1978" s="964" t="s">
        <v>3002</v>
      </c>
      <c r="AN1978" s="965"/>
      <c r="AO1978" s="966"/>
      <c r="AP1978" s="936"/>
      <c r="AQ1978" s="1245"/>
      <c r="AR1978" s="1245"/>
      <c r="AS1978" s="936"/>
    </row>
    <row r="1979" ht="15.75" customHeight="1">
      <c r="A1979" s="1099"/>
      <c r="B1979" s="948" t="s">
        <v>3003</v>
      </c>
      <c r="C1979" s="1197" t="s">
        <v>3004</v>
      </c>
      <c r="D1979" s="1197" t="s">
        <v>3004</v>
      </c>
      <c r="E1979" s="1147" t="s">
        <v>3004</v>
      </c>
      <c r="F1979" s="940"/>
      <c r="G1979" s="953"/>
      <c r="H1979" s="969"/>
      <c r="I1979" s="998" t="s">
        <v>5079</v>
      </c>
      <c r="J1979" s="1220" t="s">
        <v>215</v>
      </c>
      <c r="K1979" s="984" t="s">
        <v>216</v>
      </c>
      <c r="L1979" s="959">
        <v>58.0</v>
      </c>
      <c r="M1979" s="960">
        <v>50.0</v>
      </c>
      <c r="N1979" s="960">
        <v>145.0</v>
      </c>
      <c r="O1979" s="960">
        <v>95.0</v>
      </c>
      <c r="P1979" s="960">
        <v>105.0</v>
      </c>
      <c r="Q1979" s="960">
        <v>30.0</v>
      </c>
      <c r="R1979" s="960">
        <v>96.0</v>
      </c>
      <c r="S1979" s="960">
        <v>159.0</v>
      </c>
      <c r="T1979" s="960">
        <v>174.0</v>
      </c>
      <c r="U1979" s="960">
        <f t="array" ref="U1979">HLOOKUP($J1979,'Type Chart'!$C$2:$T$20,2,false)*HLOOKUP($K1979,'Type Chart'!$C$2:$U$20,2,false)</f>
        <v>0</v>
      </c>
      <c r="V1979" s="960">
        <f t="array" ref="V1979">HLOOKUP($J1979,'Type Chart'!$C$2:$T$20,3,false)*HLOOKUP($K1979,'Type Chart'!$C$2:$U$20,3,false)</f>
        <v>0</v>
      </c>
      <c r="W1979" s="960">
        <f t="array" ref="W1979">HLOOKUP($J1979,'Type Chart'!$C$2:$T$20,4,false)*HLOOKUP($K1979,'Type Chart'!$C$2:$U$20,4,false)</f>
        <v>1</v>
      </c>
      <c r="X1979" s="960">
        <f t="array" ref="X1979">HLOOKUP($J1979,'Type Chart'!$C$2:$T$20,5,false)*HLOOKUP($K1979,'Type Chart'!$C$2:$U$20,5,false)</f>
        <v>0.5</v>
      </c>
      <c r="Y1979" s="960">
        <f t="array" ref="Y1979">HLOOKUP($J1979,'Type Chart'!$C$2:$T$20,6,false)*HLOOKUP($K1979,'Type Chart'!$C$2:$U$20,6,false)</f>
        <v>1</v>
      </c>
      <c r="Z1979" s="960">
        <f t="array" ref="Z1979">HLOOKUP($J1979,'Type Chart'!$C$2:$T$20,7,false)*HLOOKUP($K1979,'Type Chart'!$C$2:$U$20,7,false)</f>
        <v>1</v>
      </c>
      <c r="AA1979" s="960">
        <f t="array" ref="AA1979">HLOOKUP($J1979,'Type Chart'!$C$2:$T$20,8,false)*HLOOKUP($K1979,'Type Chart'!$C$2:$U$20,8,false)</f>
        <v>0.5</v>
      </c>
      <c r="AB1979" s="960">
        <f t="array" ref="AB1979">HLOOKUP($J1979,'Type Chart'!$C$2:$T$20,9,false)*HLOOKUP($K1979,'Type Chart'!$C$2:$U$20,9,false)</f>
        <v>2</v>
      </c>
      <c r="AC1979" s="960">
        <f t="array" ref="AC1979">HLOOKUP($J1979,'Type Chart'!$C$2:$T$20,10,false)*HLOOKUP($K1979,'Type Chart'!$C$2:$U$20,10,false)</f>
        <v>1</v>
      </c>
      <c r="AD1979" s="960">
        <f t="array" ref="AD1979">HLOOKUP($J1979,'Type Chart'!$C$2:$T$20,11,false)*HLOOKUP($K1979,'Type Chart'!$C$2:$U$20,11,false)</f>
        <v>1</v>
      </c>
      <c r="AE1979" s="960">
        <f t="array" ref="AE1979">HLOOKUP($J1979,'Type Chart'!$C$2:$T$20,12,false)*HLOOKUP($K1979,'Type Chart'!$C$2:$U$20,12,false)</f>
        <v>1</v>
      </c>
      <c r="AF1979" s="960">
        <f t="array" ref="AF1979">HLOOKUP($J1979,'Type Chart'!$C$2:$T$20,13,false)*HLOOKUP($K1979,'Type Chart'!$C$2:$U$20,13,false)</f>
        <v>1</v>
      </c>
      <c r="AG1979" s="960">
        <f t="array" ref="AG1979">HLOOKUP($J1979,'Type Chart'!$C$2:$T$20,14,false)*HLOOKUP($K1979,'Type Chart'!$C$2:$U$20,14,false)</f>
        <v>1</v>
      </c>
      <c r="AH1979" s="960">
        <f t="array" ref="AH1979">HLOOKUP($J1979,'Type Chart'!$C$2:$T$20,15,false)*HLOOKUP($K1979,'Type Chart'!$C$2:$U$20,15,false)</f>
        <v>1</v>
      </c>
      <c r="AI1979" s="960">
        <f t="array" ref="AI1979">HLOOKUP($J1979,'Type Chart'!$C$2:$T$20,16,false)*HLOOKUP($K1979,'Type Chart'!$C$2:$U$20,16,false)</f>
        <v>1</v>
      </c>
      <c r="AJ1979" s="960">
        <f t="array" ref="AJ1979">HLOOKUP($J1979,'Type Chart'!$C$2:$T$20,17,false)*HLOOKUP($K1979,'Type Chart'!$C$2:$U$20,17,false)</f>
        <v>1</v>
      </c>
      <c r="AK1979" s="960">
        <f t="array" ref="AK1979">HLOOKUP($J1979,'Type Chart'!$C$2:$T$20,18,false)*HLOOKUP($K1979,'Type Chart'!$C$2:$U$20,18,false)</f>
        <v>2</v>
      </c>
      <c r="AL1979" s="960">
        <f t="array" ref="AL1979">HLOOKUP($J1979,'Type Chart'!$C$2:$T$20,19,false)*HLOOKUP($K1979,'Type Chart'!$C$2:$U$20,19,false)</f>
        <v>1</v>
      </c>
      <c r="AM1979" s="1145" t="s">
        <v>2997</v>
      </c>
      <c r="AN1979" s="965"/>
      <c r="AO1979" s="1146"/>
      <c r="AP1979" s="936"/>
      <c r="AQ1979" s="1245"/>
      <c r="AR1979" s="1245"/>
      <c r="AS1979" s="936"/>
    </row>
    <row r="1980" ht="15.75" customHeight="1">
      <c r="A1980" s="1099"/>
      <c r="B1980" s="948" t="s">
        <v>3006</v>
      </c>
      <c r="C1980" s="1197" t="s">
        <v>3007</v>
      </c>
      <c r="D1980" s="1197" t="s">
        <v>3007</v>
      </c>
      <c r="E1980" s="1147" t="s">
        <v>3007</v>
      </c>
      <c r="F1980" s="940"/>
      <c r="G1980" s="953"/>
      <c r="H1980" s="969"/>
      <c r="I1980" s="998" t="s">
        <v>5080</v>
      </c>
      <c r="J1980" s="1056" t="s">
        <v>81</v>
      </c>
      <c r="K1980" s="1214" t="s">
        <v>342</v>
      </c>
      <c r="L1980" s="959">
        <v>54.0</v>
      </c>
      <c r="M1980" s="960">
        <v>78.0</v>
      </c>
      <c r="N1980" s="960">
        <v>103.0</v>
      </c>
      <c r="O1980" s="960">
        <v>53.0</v>
      </c>
      <c r="P1980" s="960">
        <v>45.0</v>
      </c>
      <c r="Q1980" s="960">
        <v>22.0</v>
      </c>
      <c r="R1980" s="960">
        <v>80.0</v>
      </c>
      <c r="S1980" s="960">
        <v>143.0</v>
      </c>
      <c r="T1980" s="960">
        <v>157.0</v>
      </c>
      <c r="U1980" s="960">
        <f t="array" ref="U1980">HLOOKUP($J1980,'Type Chart'!$C$2:$T$20,2,false)*HLOOKUP($K1980,'Type Chart'!$C$2:$U$20,2,false)</f>
        <v>0.5</v>
      </c>
      <c r="V1980" s="960">
        <f t="array" ref="V1980">HLOOKUP($J1980,'Type Chart'!$C$2:$T$20,3,false)*HLOOKUP($K1980,'Type Chart'!$C$2:$U$20,3,false)</f>
        <v>2</v>
      </c>
      <c r="W1980" s="960">
        <f t="array" ref="W1980">HLOOKUP($J1980,'Type Chart'!$C$2:$T$20,4,false)*HLOOKUP($K1980,'Type Chart'!$C$2:$U$20,4,false)</f>
        <v>0.5</v>
      </c>
      <c r="X1980" s="960">
        <f t="array" ref="X1980">HLOOKUP($J1980,'Type Chart'!$C$2:$T$20,5,false)*HLOOKUP($K1980,'Type Chart'!$C$2:$U$20,5,false)</f>
        <v>0.5</v>
      </c>
      <c r="Y1980" s="960">
        <f t="array" ref="Y1980">HLOOKUP($J1980,'Type Chart'!$C$2:$T$20,6,false)*HLOOKUP($K1980,'Type Chart'!$C$2:$U$20,6,false)</f>
        <v>2</v>
      </c>
      <c r="Z1980" s="960">
        <f t="array" ref="Z1980">HLOOKUP($J1980,'Type Chart'!$C$2:$T$20,7,false)*HLOOKUP($K1980,'Type Chart'!$C$2:$U$20,7,false)</f>
        <v>1</v>
      </c>
      <c r="AA1980" s="960">
        <f t="array" ref="AA1980">HLOOKUP($J1980,'Type Chart'!$C$2:$T$20,8,false)*HLOOKUP($K1980,'Type Chart'!$C$2:$U$20,8,false)</f>
        <v>1</v>
      </c>
      <c r="AB1980" s="960">
        <f t="array" ref="AB1980">HLOOKUP($J1980,'Type Chart'!$C$2:$T$20,9,false)*HLOOKUP($K1980,'Type Chart'!$C$2:$U$20,9,false)</f>
        <v>1</v>
      </c>
      <c r="AC1980" s="960">
        <f t="array" ref="AC1980">HLOOKUP($J1980,'Type Chart'!$C$2:$T$20,10,false)*HLOOKUP($K1980,'Type Chart'!$C$2:$U$20,10,false)</f>
        <v>1</v>
      </c>
      <c r="AD1980" s="960">
        <f t="array" ref="AD1980">HLOOKUP($J1980,'Type Chart'!$C$2:$T$20,11,false)*HLOOKUP($K1980,'Type Chart'!$C$2:$U$20,11,false)</f>
        <v>0.25</v>
      </c>
      <c r="AE1980" s="960">
        <f t="array" ref="AE1980">HLOOKUP($J1980,'Type Chart'!$C$2:$T$20,12,false)*HLOOKUP($K1980,'Type Chart'!$C$2:$U$20,12,false)</f>
        <v>1</v>
      </c>
      <c r="AF1980" s="960">
        <f t="array" ref="AF1980">HLOOKUP($J1980,'Type Chart'!$C$2:$T$20,13,false)*HLOOKUP($K1980,'Type Chart'!$C$2:$U$20,13,false)</f>
        <v>4</v>
      </c>
      <c r="AG1980" s="960">
        <f t="array" ref="AG1980">HLOOKUP($J1980,'Type Chart'!$C$2:$T$20,14,false)*HLOOKUP($K1980,'Type Chart'!$C$2:$U$20,14,false)</f>
        <v>2</v>
      </c>
      <c r="AH1980" s="960">
        <f t="array" ref="AH1980">HLOOKUP($J1980,'Type Chart'!$C$2:$T$20,15,false)*HLOOKUP($K1980,'Type Chart'!$C$2:$U$20,15,false)</f>
        <v>1</v>
      </c>
      <c r="AI1980" s="960">
        <f t="array" ref="AI1980">HLOOKUP($J1980,'Type Chart'!$C$2:$T$20,16,false)*HLOOKUP($K1980,'Type Chart'!$C$2:$U$20,16,false)</f>
        <v>0.5</v>
      </c>
      <c r="AJ1980" s="960">
        <f t="array" ref="AJ1980">HLOOKUP($J1980,'Type Chart'!$C$2:$T$20,17,false)*HLOOKUP($K1980,'Type Chart'!$C$2:$U$20,17,false)</f>
        <v>1</v>
      </c>
      <c r="AK1980" s="960">
        <f t="array" ref="AK1980">HLOOKUP($J1980,'Type Chart'!$C$2:$T$20,18,false)*HLOOKUP($K1980,'Type Chart'!$C$2:$U$20,18,false)</f>
        <v>1</v>
      </c>
      <c r="AL1980" s="960">
        <f t="array" ref="AL1980">HLOOKUP($J1980,'Type Chart'!$C$2:$T$20,19,false)*HLOOKUP($K1980,'Type Chart'!$C$2:$U$20,19,false)</f>
        <v>1</v>
      </c>
      <c r="AM1980" s="964" t="s">
        <v>2218</v>
      </c>
      <c r="AN1980" s="965" t="s">
        <v>1331</v>
      </c>
      <c r="AO1980" s="966" t="s">
        <v>1259</v>
      </c>
      <c r="AP1980" s="936"/>
      <c r="AQ1980" s="1245"/>
      <c r="AR1980" s="1245"/>
      <c r="AS1980" s="936"/>
    </row>
    <row r="1981" ht="15.75" customHeight="1">
      <c r="A1981" s="1099"/>
      <c r="B1981" s="948" t="s">
        <v>3009</v>
      </c>
      <c r="C1981" s="1197" t="s">
        <v>3010</v>
      </c>
      <c r="D1981" s="1197" t="s">
        <v>3010</v>
      </c>
      <c r="E1981" s="1147" t="s">
        <v>3010</v>
      </c>
      <c r="F1981" s="940"/>
      <c r="G1981" s="953"/>
      <c r="H1981" s="969"/>
      <c r="I1981" s="998" t="s">
        <v>5081</v>
      </c>
      <c r="J1981" s="1056" t="s">
        <v>81</v>
      </c>
      <c r="K1981" s="1214" t="s">
        <v>342</v>
      </c>
      <c r="L1981" s="959">
        <v>74.0</v>
      </c>
      <c r="M1981" s="960">
        <v>108.0</v>
      </c>
      <c r="N1981" s="960">
        <v>133.0</v>
      </c>
      <c r="O1981" s="960">
        <v>83.0</v>
      </c>
      <c r="P1981" s="960">
        <v>65.0</v>
      </c>
      <c r="Q1981" s="960">
        <v>32.0</v>
      </c>
      <c r="R1981" s="960">
        <v>100.0</v>
      </c>
      <c r="S1981" s="960">
        <v>163.0</v>
      </c>
      <c r="T1981" s="960">
        <v>179.0</v>
      </c>
      <c r="U1981" s="960">
        <f t="array" ref="U1981">HLOOKUP($J1981,'Type Chart'!$C$2:$T$20,2,false)*HLOOKUP($K1981,'Type Chart'!$C$2:$U$20,2,false)</f>
        <v>0.5</v>
      </c>
      <c r="V1981" s="960">
        <f t="array" ref="V1981">HLOOKUP($J1981,'Type Chart'!$C$2:$T$20,3,false)*HLOOKUP($K1981,'Type Chart'!$C$2:$U$20,3,false)</f>
        <v>2</v>
      </c>
      <c r="W1981" s="960">
        <f t="array" ref="W1981">HLOOKUP($J1981,'Type Chart'!$C$2:$T$20,4,false)*HLOOKUP($K1981,'Type Chart'!$C$2:$U$20,4,false)</f>
        <v>0.5</v>
      </c>
      <c r="X1981" s="960">
        <f t="array" ref="X1981">HLOOKUP($J1981,'Type Chart'!$C$2:$T$20,5,false)*HLOOKUP($K1981,'Type Chart'!$C$2:$U$20,5,false)</f>
        <v>0.5</v>
      </c>
      <c r="Y1981" s="960">
        <f t="array" ref="Y1981">HLOOKUP($J1981,'Type Chart'!$C$2:$T$20,6,false)*HLOOKUP($K1981,'Type Chart'!$C$2:$U$20,6,false)</f>
        <v>2</v>
      </c>
      <c r="Z1981" s="960">
        <f t="array" ref="Z1981">HLOOKUP($J1981,'Type Chart'!$C$2:$T$20,7,false)*HLOOKUP($K1981,'Type Chart'!$C$2:$U$20,7,false)</f>
        <v>1</v>
      </c>
      <c r="AA1981" s="960">
        <f t="array" ref="AA1981">HLOOKUP($J1981,'Type Chart'!$C$2:$T$20,8,false)*HLOOKUP($K1981,'Type Chart'!$C$2:$U$20,8,false)</f>
        <v>1</v>
      </c>
      <c r="AB1981" s="960">
        <f t="array" ref="AB1981">HLOOKUP($J1981,'Type Chart'!$C$2:$T$20,9,false)*HLOOKUP($K1981,'Type Chart'!$C$2:$U$20,9,false)</f>
        <v>1</v>
      </c>
      <c r="AC1981" s="960">
        <f t="array" ref="AC1981">HLOOKUP($J1981,'Type Chart'!$C$2:$T$20,10,false)*HLOOKUP($K1981,'Type Chart'!$C$2:$U$20,10,false)</f>
        <v>1</v>
      </c>
      <c r="AD1981" s="960">
        <f t="array" ref="AD1981">HLOOKUP($J1981,'Type Chart'!$C$2:$T$20,11,false)*HLOOKUP($K1981,'Type Chart'!$C$2:$U$20,11,false)</f>
        <v>0.25</v>
      </c>
      <c r="AE1981" s="960">
        <f t="array" ref="AE1981">HLOOKUP($J1981,'Type Chart'!$C$2:$T$20,12,false)*HLOOKUP($K1981,'Type Chart'!$C$2:$U$20,12,false)</f>
        <v>1</v>
      </c>
      <c r="AF1981" s="960">
        <f t="array" ref="AF1981">HLOOKUP($J1981,'Type Chart'!$C$2:$T$20,13,false)*HLOOKUP($K1981,'Type Chart'!$C$2:$U$20,13,false)</f>
        <v>4</v>
      </c>
      <c r="AG1981" s="960">
        <f t="array" ref="AG1981">HLOOKUP($J1981,'Type Chart'!$C$2:$T$20,14,false)*HLOOKUP($K1981,'Type Chart'!$C$2:$U$20,14,false)</f>
        <v>2</v>
      </c>
      <c r="AH1981" s="960">
        <f t="array" ref="AH1981">HLOOKUP($J1981,'Type Chart'!$C$2:$T$20,15,false)*HLOOKUP($K1981,'Type Chart'!$C$2:$U$20,15,false)</f>
        <v>1</v>
      </c>
      <c r="AI1981" s="960">
        <f t="array" ref="AI1981">HLOOKUP($J1981,'Type Chart'!$C$2:$T$20,16,false)*HLOOKUP($K1981,'Type Chart'!$C$2:$U$20,16,false)</f>
        <v>0.5</v>
      </c>
      <c r="AJ1981" s="960">
        <f t="array" ref="AJ1981">HLOOKUP($J1981,'Type Chart'!$C$2:$T$20,17,false)*HLOOKUP($K1981,'Type Chart'!$C$2:$U$20,17,false)</f>
        <v>1</v>
      </c>
      <c r="AK1981" s="960">
        <f t="array" ref="AK1981">HLOOKUP($J1981,'Type Chart'!$C$2:$T$20,18,false)*HLOOKUP($K1981,'Type Chart'!$C$2:$U$20,18,false)</f>
        <v>1</v>
      </c>
      <c r="AL1981" s="960">
        <f t="array" ref="AL1981">HLOOKUP($J1981,'Type Chart'!$C$2:$T$20,19,false)*HLOOKUP($K1981,'Type Chart'!$C$2:$U$20,19,false)</f>
        <v>1</v>
      </c>
      <c r="AM1981" s="964" t="s">
        <v>2218</v>
      </c>
      <c r="AN1981" s="965" t="s">
        <v>1331</v>
      </c>
      <c r="AO1981" s="966" t="s">
        <v>1259</v>
      </c>
      <c r="AP1981" s="936"/>
      <c r="AQ1981" s="1245"/>
      <c r="AR1981" s="1245"/>
      <c r="AS1981" s="936"/>
    </row>
    <row r="1982" ht="15.75" customHeight="1">
      <c r="A1982" s="1099"/>
      <c r="B1982" s="948" t="s">
        <v>3012</v>
      </c>
      <c r="C1982" s="1197" t="s">
        <v>3013</v>
      </c>
      <c r="D1982" s="1197" t="s">
        <v>3013</v>
      </c>
      <c r="E1982" s="1147" t="s">
        <v>3013</v>
      </c>
      <c r="F1982" s="940"/>
      <c r="G1982" s="953"/>
      <c r="H1982" s="969"/>
      <c r="I1982" s="998" t="s">
        <v>5082</v>
      </c>
      <c r="J1982" s="1214" t="s">
        <v>342</v>
      </c>
      <c r="K1982" s="1001" t="s">
        <v>128</v>
      </c>
      <c r="L1982" s="959">
        <v>55.0</v>
      </c>
      <c r="M1982" s="960">
        <v>112.0</v>
      </c>
      <c r="N1982" s="960">
        <v>45.0</v>
      </c>
      <c r="O1982" s="960">
        <v>74.0</v>
      </c>
      <c r="P1982" s="960">
        <v>45.0</v>
      </c>
      <c r="Q1982" s="960">
        <v>70.0</v>
      </c>
      <c r="R1982" s="960">
        <v>176.0</v>
      </c>
      <c r="S1982" s="960">
        <v>239.0</v>
      </c>
      <c r="T1982" s="960">
        <v>262.0</v>
      </c>
      <c r="U1982" s="960">
        <f t="array" ref="U1982">HLOOKUP($J1982,'Type Chart'!$C$2:$T$20,2,false)*HLOOKUP($K1982,'Type Chart'!$C$2:$U$20,2,false)</f>
        <v>0.5</v>
      </c>
      <c r="V1982" s="960">
        <f t="array" ref="V1982">HLOOKUP($J1982,'Type Chart'!$C$2:$T$20,3,false)*HLOOKUP($K1982,'Type Chart'!$C$2:$U$20,3,false)</f>
        <v>1</v>
      </c>
      <c r="W1982" s="960">
        <f t="array" ref="W1982">HLOOKUP($J1982,'Type Chart'!$C$2:$T$20,4,false)*HLOOKUP($K1982,'Type Chart'!$C$2:$U$20,4,false)</f>
        <v>0.5</v>
      </c>
      <c r="X1982" s="960">
        <f t="array" ref="X1982">HLOOKUP($J1982,'Type Chart'!$C$2:$T$20,5,false)*HLOOKUP($K1982,'Type Chart'!$C$2:$U$20,5,false)</f>
        <v>0.5</v>
      </c>
      <c r="Y1982" s="960">
        <f t="array" ref="Y1982">HLOOKUP($J1982,'Type Chart'!$C$2:$T$20,6,false)*HLOOKUP($K1982,'Type Chart'!$C$2:$U$20,6,false)</f>
        <v>0</v>
      </c>
      <c r="Z1982" s="960">
        <f t="array" ref="Z1982">HLOOKUP($J1982,'Type Chart'!$C$2:$T$20,7,false)*HLOOKUP($K1982,'Type Chart'!$C$2:$U$20,7,false)</f>
        <v>2</v>
      </c>
      <c r="AA1982" s="960">
        <f t="array" ref="AA1982">HLOOKUP($J1982,'Type Chart'!$C$2:$T$20,8,false)*HLOOKUP($K1982,'Type Chart'!$C$2:$U$20,8,false)</f>
        <v>0.5</v>
      </c>
      <c r="AB1982" s="960">
        <f t="array" ref="AB1982">HLOOKUP($J1982,'Type Chart'!$C$2:$T$20,9,false)*HLOOKUP($K1982,'Type Chart'!$C$2:$U$20,9,false)</f>
        <v>1</v>
      </c>
      <c r="AC1982" s="960">
        <f t="array" ref="AC1982">HLOOKUP($J1982,'Type Chart'!$C$2:$T$20,10,false)*HLOOKUP($K1982,'Type Chart'!$C$2:$U$20,10,false)</f>
        <v>2</v>
      </c>
      <c r="AD1982" s="960">
        <f t="array" ref="AD1982">HLOOKUP($J1982,'Type Chart'!$C$2:$T$20,11,false)*HLOOKUP($K1982,'Type Chart'!$C$2:$U$20,11,false)</f>
        <v>0.5</v>
      </c>
      <c r="AE1982" s="960">
        <f t="array" ref="AE1982">HLOOKUP($J1982,'Type Chart'!$C$2:$T$20,12,false)*HLOOKUP($K1982,'Type Chart'!$C$2:$U$20,12,false)</f>
        <v>2</v>
      </c>
      <c r="AF1982" s="960">
        <f t="array" ref="AF1982">HLOOKUP($J1982,'Type Chart'!$C$2:$T$20,13,false)*HLOOKUP($K1982,'Type Chart'!$C$2:$U$20,13,false)</f>
        <v>1</v>
      </c>
      <c r="AG1982" s="960">
        <f t="array" ref="AG1982">HLOOKUP($J1982,'Type Chart'!$C$2:$T$20,14,false)*HLOOKUP($K1982,'Type Chart'!$C$2:$U$20,14,false)</f>
        <v>2</v>
      </c>
      <c r="AH1982" s="960">
        <f t="array" ref="AH1982">HLOOKUP($J1982,'Type Chart'!$C$2:$T$20,15,false)*HLOOKUP($K1982,'Type Chart'!$C$2:$U$20,15,false)</f>
        <v>1</v>
      </c>
      <c r="AI1982" s="960">
        <f t="array" ref="AI1982">HLOOKUP($J1982,'Type Chart'!$C$2:$T$20,16,false)*HLOOKUP($K1982,'Type Chart'!$C$2:$U$20,16,false)</f>
        <v>2</v>
      </c>
      <c r="AJ1982" s="960">
        <f t="array" ref="AJ1982">HLOOKUP($J1982,'Type Chart'!$C$2:$T$20,17,false)*HLOOKUP($K1982,'Type Chart'!$C$2:$U$20,17,false)</f>
        <v>1</v>
      </c>
      <c r="AK1982" s="960">
        <f t="array" ref="AK1982">HLOOKUP($J1982,'Type Chart'!$C$2:$T$20,18,false)*HLOOKUP($K1982,'Type Chart'!$C$2:$U$20,18,false)</f>
        <v>1</v>
      </c>
      <c r="AL1982" s="960">
        <f t="array" ref="AL1982">HLOOKUP($J1982,'Type Chart'!$C$2:$T$20,19,false)*HLOOKUP($K1982,'Type Chart'!$C$2:$U$20,19,false)</f>
        <v>1</v>
      </c>
      <c r="AM1982" s="964" t="s">
        <v>3015</v>
      </c>
      <c r="AN1982" s="965"/>
      <c r="AO1982" s="966"/>
      <c r="AP1982" s="936"/>
      <c r="AQ1982" s="1245"/>
      <c r="AR1982" s="1245"/>
      <c r="AS1982" s="936"/>
    </row>
    <row r="1983" ht="15.75" customHeight="1">
      <c r="A1983" s="1099"/>
      <c r="B1983" s="948" t="s">
        <v>3016</v>
      </c>
      <c r="C1983" s="1197" t="s">
        <v>3017</v>
      </c>
      <c r="D1983" s="1197" t="s">
        <v>3017</v>
      </c>
      <c r="E1983" s="1147" t="s">
        <v>3017</v>
      </c>
      <c r="F1983" s="940"/>
      <c r="G1983" s="953"/>
      <c r="H1983" s="969"/>
      <c r="I1983" s="998" t="s">
        <v>5083</v>
      </c>
      <c r="J1983" s="1214" t="s">
        <v>342</v>
      </c>
      <c r="K1983" s="1001" t="s">
        <v>128</v>
      </c>
      <c r="L1983" s="959">
        <v>75.0</v>
      </c>
      <c r="M1983" s="960">
        <v>140.0</v>
      </c>
      <c r="N1983" s="960">
        <v>65.0</v>
      </c>
      <c r="O1983" s="960">
        <v>112.0</v>
      </c>
      <c r="P1983" s="960">
        <v>65.0</v>
      </c>
      <c r="Q1983" s="960">
        <v>110.0</v>
      </c>
      <c r="R1983" s="960">
        <v>256.0</v>
      </c>
      <c r="S1983" s="960">
        <v>319.0</v>
      </c>
      <c r="T1983" s="960">
        <v>350.0</v>
      </c>
      <c r="U1983" s="960">
        <f t="array" ref="U1983">HLOOKUP($J1983,'Type Chart'!$C$2:$T$20,2,false)*HLOOKUP($K1983,'Type Chart'!$C$2:$U$20,2,false)</f>
        <v>0.5</v>
      </c>
      <c r="V1983" s="960">
        <f t="array" ref="V1983">HLOOKUP($J1983,'Type Chart'!$C$2:$T$20,3,false)*HLOOKUP($K1983,'Type Chart'!$C$2:$U$20,3,false)</f>
        <v>1</v>
      </c>
      <c r="W1983" s="960">
        <f t="array" ref="W1983">HLOOKUP($J1983,'Type Chart'!$C$2:$T$20,4,false)*HLOOKUP($K1983,'Type Chart'!$C$2:$U$20,4,false)</f>
        <v>0.5</v>
      </c>
      <c r="X1983" s="960">
        <f t="array" ref="X1983">HLOOKUP($J1983,'Type Chart'!$C$2:$T$20,5,false)*HLOOKUP($K1983,'Type Chart'!$C$2:$U$20,5,false)</f>
        <v>0.5</v>
      </c>
      <c r="Y1983" s="960">
        <f t="array" ref="Y1983">HLOOKUP($J1983,'Type Chart'!$C$2:$T$20,6,false)*HLOOKUP($K1983,'Type Chart'!$C$2:$U$20,6,false)</f>
        <v>0</v>
      </c>
      <c r="Z1983" s="960">
        <f t="array" ref="Z1983">HLOOKUP($J1983,'Type Chart'!$C$2:$T$20,7,false)*HLOOKUP($K1983,'Type Chart'!$C$2:$U$20,7,false)</f>
        <v>2</v>
      </c>
      <c r="AA1983" s="960">
        <f t="array" ref="AA1983">HLOOKUP($J1983,'Type Chart'!$C$2:$T$20,8,false)*HLOOKUP($K1983,'Type Chart'!$C$2:$U$20,8,false)</f>
        <v>0.5</v>
      </c>
      <c r="AB1983" s="960">
        <f t="array" ref="AB1983">HLOOKUP($J1983,'Type Chart'!$C$2:$T$20,9,false)*HLOOKUP($K1983,'Type Chart'!$C$2:$U$20,9,false)</f>
        <v>1</v>
      </c>
      <c r="AC1983" s="960">
        <f t="array" ref="AC1983">HLOOKUP($J1983,'Type Chart'!$C$2:$T$20,10,false)*HLOOKUP($K1983,'Type Chart'!$C$2:$U$20,10,false)</f>
        <v>2</v>
      </c>
      <c r="AD1983" s="960">
        <f t="array" ref="AD1983">HLOOKUP($J1983,'Type Chart'!$C$2:$T$20,11,false)*HLOOKUP($K1983,'Type Chart'!$C$2:$U$20,11,false)</f>
        <v>0.5</v>
      </c>
      <c r="AE1983" s="960">
        <f t="array" ref="AE1983">HLOOKUP($J1983,'Type Chart'!$C$2:$T$20,12,false)*HLOOKUP($K1983,'Type Chart'!$C$2:$U$20,12,false)</f>
        <v>2</v>
      </c>
      <c r="AF1983" s="960">
        <f t="array" ref="AF1983">HLOOKUP($J1983,'Type Chart'!$C$2:$T$20,13,false)*HLOOKUP($K1983,'Type Chart'!$C$2:$U$20,13,false)</f>
        <v>1</v>
      </c>
      <c r="AG1983" s="960">
        <f t="array" ref="AG1983">HLOOKUP($J1983,'Type Chart'!$C$2:$T$20,14,false)*HLOOKUP($K1983,'Type Chart'!$C$2:$U$20,14,false)</f>
        <v>2</v>
      </c>
      <c r="AH1983" s="960">
        <f t="array" ref="AH1983">HLOOKUP($J1983,'Type Chart'!$C$2:$T$20,15,false)*HLOOKUP($K1983,'Type Chart'!$C$2:$U$20,15,false)</f>
        <v>1</v>
      </c>
      <c r="AI1983" s="960">
        <f t="array" ref="AI1983">HLOOKUP($J1983,'Type Chart'!$C$2:$T$20,16,false)*HLOOKUP($K1983,'Type Chart'!$C$2:$U$20,16,false)</f>
        <v>2</v>
      </c>
      <c r="AJ1983" s="960">
        <f t="array" ref="AJ1983">HLOOKUP($J1983,'Type Chart'!$C$2:$T$20,17,false)*HLOOKUP($K1983,'Type Chart'!$C$2:$U$20,17,false)</f>
        <v>1</v>
      </c>
      <c r="AK1983" s="960">
        <f t="array" ref="AK1983">HLOOKUP($J1983,'Type Chart'!$C$2:$T$20,18,false)*HLOOKUP($K1983,'Type Chart'!$C$2:$U$20,18,false)</f>
        <v>1</v>
      </c>
      <c r="AL1983" s="960">
        <f t="array" ref="AL1983">HLOOKUP($J1983,'Type Chart'!$C$2:$T$20,19,false)*HLOOKUP($K1983,'Type Chart'!$C$2:$U$20,19,false)</f>
        <v>1</v>
      </c>
      <c r="AM1983" s="964" t="s">
        <v>3015</v>
      </c>
      <c r="AN1983" s="965"/>
      <c r="AO1983" s="966"/>
      <c r="AP1983" s="936"/>
      <c r="AQ1983" s="1245"/>
      <c r="AR1983" s="1245"/>
      <c r="AS1983" s="936"/>
    </row>
    <row r="1984" ht="15.75" customHeight="1">
      <c r="A1984" s="1099"/>
      <c r="B1984" s="948" t="s">
        <v>3019</v>
      </c>
      <c r="C1984" s="1197" t="s">
        <v>3020</v>
      </c>
      <c r="D1984" s="1197" t="s">
        <v>3020</v>
      </c>
      <c r="E1984" s="1147" t="s">
        <v>3020</v>
      </c>
      <c r="F1984" s="940"/>
      <c r="G1984" s="953"/>
      <c r="H1984" s="969"/>
      <c r="I1984" s="998" t="s">
        <v>5084</v>
      </c>
      <c r="J1984" s="958" t="s">
        <v>178</v>
      </c>
      <c r="K1984" s="984" t="s">
        <v>216</v>
      </c>
      <c r="L1984" s="959">
        <v>50.0</v>
      </c>
      <c r="M1984" s="960">
        <v>50.0</v>
      </c>
      <c r="N1984" s="960">
        <v>62.0</v>
      </c>
      <c r="O1984" s="960">
        <v>40.0</v>
      </c>
      <c r="P1984" s="960">
        <v>62.0</v>
      </c>
      <c r="Q1984" s="960">
        <v>65.0</v>
      </c>
      <c r="R1984" s="960">
        <v>166.0</v>
      </c>
      <c r="S1984" s="960">
        <v>229.0</v>
      </c>
      <c r="T1984" s="960">
        <v>251.0</v>
      </c>
      <c r="U1984" s="960">
        <f t="array" ref="U1984">HLOOKUP($J1984,'Type Chart'!$C$2:$T$20,2,false)*HLOOKUP($K1984,'Type Chart'!$C$2:$U$20,2,false)</f>
        <v>1</v>
      </c>
      <c r="V1984" s="960">
        <f t="array" ref="V1984">HLOOKUP($J1984,'Type Chart'!$C$2:$T$20,3,false)*HLOOKUP($K1984,'Type Chart'!$C$2:$U$20,3,false)</f>
        <v>0.5</v>
      </c>
      <c r="W1984" s="960">
        <f t="array" ref="W1984">HLOOKUP($J1984,'Type Chart'!$C$2:$T$20,4,false)*HLOOKUP($K1984,'Type Chart'!$C$2:$U$20,4,false)</f>
        <v>1</v>
      </c>
      <c r="X1984" s="960">
        <f t="array" ref="X1984">HLOOKUP($J1984,'Type Chart'!$C$2:$T$20,5,false)*HLOOKUP($K1984,'Type Chart'!$C$2:$U$20,5,false)</f>
        <v>0.5</v>
      </c>
      <c r="Y1984" s="960">
        <f t="array" ref="Y1984">HLOOKUP($J1984,'Type Chart'!$C$2:$T$20,6,false)*HLOOKUP($K1984,'Type Chart'!$C$2:$U$20,6,false)</f>
        <v>2</v>
      </c>
      <c r="Z1984" s="960">
        <f t="array" ref="Z1984">HLOOKUP($J1984,'Type Chart'!$C$2:$T$20,7,false)*HLOOKUP($K1984,'Type Chart'!$C$2:$U$20,7,false)</f>
        <v>1</v>
      </c>
      <c r="AA1984" s="960">
        <f t="array" ref="AA1984">HLOOKUP($J1984,'Type Chart'!$C$2:$T$20,8,false)*HLOOKUP($K1984,'Type Chart'!$C$2:$U$20,8,false)</f>
        <v>0.5</v>
      </c>
      <c r="AB1984" s="960">
        <f t="array" ref="AB1984">HLOOKUP($J1984,'Type Chart'!$C$2:$T$20,9,false)*HLOOKUP($K1984,'Type Chart'!$C$2:$U$20,9,false)</f>
        <v>1</v>
      </c>
      <c r="AC1984" s="960">
        <f t="array" ref="AC1984">HLOOKUP($J1984,'Type Chart'!$C$2:$T$20,10,false)*HLOOKUP($K1984,'Type Chart'!$C$2:$U$20,10,false)</f>
        <v>1</v>
      </c>
      <c r="AD1984" s="960">
        <f t="array" ref="AD1984">HLOOKUP($J1984,'Type Chart'!$C$2:$T$20,11,false)*HLOOKUP($K1984,'Type Chart'!$C$2:$U$20,11,false)</f>
        <v>1</v>
      </c>
      <c r="AE1984" s="960">
        <f t="array" ref="AE1984">HLOOKUP($J1984,'Type Chart'!$C$2:$T$20,12,false)*HLOOKUP($K1984,'Type Chart'!$C$2:$U$20,12,false)</f>
        <v>1</v>
      </c>
      <c r="AF1984" s="960">
        <f t="array" ref="AF1984">HLOOKUP($J1984,'Type Chart'!$C$2:$T$20,13,false)*HLOOKUP($K1984,'Type Chart'!$C$2:$U$20,13,false)</f>
        <v>0.5</v>
      </c>
      <c r="AG1984" s="960">
        <f t="array" ref="AG1984">HLOOKUP($J1984,'Type Chart'!$C$2:$T$20,14,false)*HLOOKUP($K1984,'Type Chart'!$C$2:$U$20,14,false)</f>
        <v>1</v>
      </c>
      <c r="AH1984" s="960">
        <f t="array" ref="AH1984">HLOOKUP($J1984,'Type Chart'!$C$2:$T$20,15,false)*HLOOKUP($K1984,'Type Chart'!$C$2:$U$20,15,false)</f>
        <v>2</v>
      </c>
      <c r="AI1984" s="960">
        <f t="array" ref="AI1984">HLOOKUP($J1984,'Type Chart'!$C$2:$T$20,16,false)*HLOOKUP($K1984,'Type Chart'!$C$2:$U$20,16,false)</f>
        <v>1</v>
      </c>
      <c r="AJ1984" s="960">
        <f t="array" ref="AJ1984">HLOOKUP($J1984,'Type Chart'!$C$2:$T$20,17,false)*HLOOKUP($K1984,'Type Chart'!$C$2:$U$20,17,false)</f>
        <v>1</v>
      </c>
      <c r="AK1984" s="960">
        <f t="array" ref="AK1984">HLOOKUP($J1984,'Type Chart'!$C$2:$T$20,18,false)*HLOOKUP($K1984,'Type Chart'!$C$2:$U$20,18,false)</f>
        <v>1</v>
      </c>
      <c r="AL1984" s="960">
        <f t="array" ref="AL1984">HLOOKUP($J1984,'Type Chart'!$C$2:$T$20,19,false)*HLOOKUP($K1984,'Type Chart'!$C$2:$U$20,19,false)</f>
        <v>0.5</v>
      </c>
      <c r="AM1984" s="964" t="s">
        <v>1203</v>
      </c>
      <c r="AN1984" s="965" t="s">
        <v>1416</v>
      </c>
      <c r="AO1984" s="966" t="s">
        <v>1469</v>
      </c>
      <c r="AP1984" s="936"/>
      <c r="AQ1984" s="1245"/>
      <c r="AR1984" s="1245"/>
      <c r="AS1984" s="936"/>
    </row>
    <row r="1985" ht="15.75" customHeight="1">
      <c r="A1985" s="1099"/>
      <c r="B1985" s="948" t="s">
        <v>3022</v>
      </c>
      <c r="C1985" s="1197" t="s">
        <v>3023</v>
      </c>
      <c r="D1985" s="1197" t="s">
        <v>3023</v>
      </c>
      <c r="E1985" s="1147" t="s">
        <v>3023</v>
      </c>
      <c r="F1985" s="940"/>
      <c r="G1985" s="953"/>
      <c r="H1985" s="969"/>
      <c r="I1985" s="998" t="s">
        <v>5085</v>
      </c>
      <c r="J1985" s="958" t="s">
        <v>178</v>
      </c>
      <c r="K1985" s="984" t="s">
        <v>216</v>
      </c>
      <c r="L1985" s="959">
        <v>80.0</v>
      </c>
      <c r="M1985" s="960">
        <v>95.0</v>
      </c>
      <c r="N1985" s="960">
        <v>82.0</v>
      </c>
      <c r="O1985" s="960">
        <v>60.0</v>
      </c>
      <c r="P1985" s="960">
        <v>82.0</v>
      </c>
      <c r="Q1985" s="960">
        <v>75.0</v>
      </c>
      <c r="R1985" s="960">
        <v>186.0</v>
      </c>
      <c r="S1985" s="960">
        <v>249.0</v>
      </c>
      <c r="T1985" s="960">
        <v>273.0</v>
      </c>
      <c r="U1985" s="960">
        <f t="array" ref="U1985">HLOOKUP($J1985,'Type Chart'!$C$2:$T$20,2,false)*HLOOKUP($K1985,'Type Chart'!$C$2:$U$20,2,false)</f>
        <v>1</v>
      </c>
      <c r="V1985" s="960">
        <f t="array" ref="V1985">HLOOKUP($J1985,'Type Chart'!$C$2:$T$20,3,false)*HLOOKUP($K1985,'Type Chart'!$C$2:$U$20,3,false)</f>
        <v>0.5</v>
      </c>
      <c r="W1985" s="960">
        <f t="array" ref="W1985">HLOOKUP($J1985,'Type Chart'!$C$2:$T$20,4,false)*HLOOKUP($K1985,'Type Chart'!$C$2:$U$20,4,false)</f>
        <v>1</v>
      </c>
      <c r="X1985" s="960">
        <f t="array" ref="X1985">HLOOKUP($J1985,'Type Chart'!$C$2:$T$20,5,false)*HLOOKUP($K1985,'Type Chart'!$C$2:$U$20,5,false)</f>
        <v>0.5</v>
      </c>
      <c r="Y1985" s="960">
        <f t="array" ref="Y1985">HLOOKUP($J1985,'Type Chart'!$C$2:$T$20,6,false)*HLOOKUP($K1985,'Type Chart'!$C$2:$U$20,6,false)</f>
        <v>2</v>
      </c>
      <c r="Z1985" s="960">
        <f t="array" ref="Z1985">HLOOKUP($J1985,'Type Chart'!$C$2:$T$20,7,false)*HLOOKUP($K1985,'Type Chart'!$C$2:$U$20,7,false)</f>
        <v>1</v>
      </c>
      <c r="AA1985" s="960">
        <f t="array" ref="AA1985">HLOOKUP($J1985,'Type Chart'!$C$2:$T$20,8,false)*HLOOKUP($K1985,'Type Chart'!$C$2:$U$20,8,false)</f>
        <v>0.5</v>
      </c>
      <c r="AB1985" s="960">
        <f t="array" ref="AB1985">HLOOKUP($J1985,'Type Chart'!$C$2:$T$20,9,false)*HLOOKUP($K1985,'Type Chart'!$C$2:$U$20,9,false)</f>
        <v>1</v>
      </c>
      <c r="AC1985" s="960">
        <f t="array" ref="AC1985">HLOOKUP($J1985,'Type Chart'!$C$2:$T$20,10,false)*HLOOKUP($K1985,'Type Chart'!$C$2:$U$20,10,false)</f>
        <v>1</v>
      </c>
      <c r="AD1985" s="960">
        <f t="array" ref="AD1985">HLOOKUP($J1985,'Type Chart'!$C$2:$T$20,11,false)*HLOOKUP($K1985,'Type Chart'!$C$2:$U$20,11,false)</f>
        <v>1</v>
      </c>
      <c r="AE1985" s="960">
        <f t="array" ref="AE1985">HLOOKUP($J1985,'Type Chart'!$C$2:$T$20,12,false)*HLOOKUP($K1985,'Type Chart'!$C$2:$U$20,12,false)</f>
        <v>1</v>
      </c>
      <c r="AF1985" s="960">
        <f t="array" ref="AF1985">HLOOKUP($J1985,'Type Chart'!$C$2:$T$20,13,false)*HLOOKUP($K1985,'Type Chart'!$C$2:$U$20,13,false)</f>
        <v>0.5</v>
      </c>
      <c r="AG1985" s="960">
        <f t="array" ref="AG1985">HLOOKUP($J1985,'Type Chart'!$C$2:$T$20,14,false)*HLOOKUP($K1985,'Type Chart'!$C$2:$U$20,14,false)</f>
        <v>1</v>
      </c>
      <c r="AH1985" s="960">
        <f t="array" ref="AH1985">HLOOKUP($J1985,'Type Chart'!$C$2:$T$20,15,false)*HLOOKUP($K1985,'Type Chart'!$C$2:$U$20,15,false)</f>
        <v>2</v>
      </c>
      <c r="AI1985" s="960">
        <f t="array" ref="AI1985">HLOOKUP($J1985,'Type Chart'!$C$2:$T$20,16,false)*HLOOKUP($K1985,'Type Chart'!$C$2:$U$20,16,false)</f>
        <v>1</v>
      </c>
      <c r="AJ1985" s="960">
        <f t="array" ref="AJ1985">HLOOKUP($J1985,'Type Chart'!$C$2:$T$20,17,false)*HLOOKUP($K1985,'Type Chart'!$C$2:$U$20,17,false)</f>
        <v>1</v>
      </c>
      <c r="AK1985" s="960">
        <f t="array" ref="AK1985">HLOOKUP($J1985,'Type Chart'!$C$2:$T$20,18,false)*HLOOKUP($K1985,'Type Chart'!$C$2:$U$20,18,false)</f>
        <v>1</v>
      </c>
      <c r="AL1985" s="960">
        <f t="array" ref="AL1985">HLOOKUP($J1985,'Type Chart'!$C$2:$T$20,19,false)*HLOOKUP($K1985,'Type Chart'!$C$2:$U$20,19,false)</f>
        <v>0.5</v>
      </c>
      <c r="AM1985" s="964" t="s">
        <v>1203</v>
      </c>
      <c r="AN1985" s="965" t="s">
        <v>1450</v>
      </c>
      <c r="AO1985" s="966" t="s">
        <v>1469</v>
      </c>
      <c r="AP1985" s="936"/>
      <c r="AQ1985" s="1245"/>
      <c r="AR1985" s="1245"/>
      <c r="AS1985" s="936"/>
    </row>
    <row r="1986" ht="15.75" customHeight="1">
      <c r="A1986" s="1099"/>
      <c r="B1986" s="948" t="s">
        <v>3025</v>
      </c>
      <c r="C1986" s="1197" t="s">
        <v>3026</v>
      </c>
      <c r="D1986" s="1197" t="s">
        <v>3026</v>
      </c>
      <c r="E1986" s="1147" t="s">
        <v>3026</v>
      </c>
      <c r="F1986" s="940"/>
      <c r="G1986" s="953"/>
      <c r="H1986" s="969"/>
      <c r="I1986" s="998" t="s">
        <v>5086</v>
      </c>
      <c r="J1986" s="1195" t="s">
        <v>193</v>
      </c>
      <c r="K1986" s="984" t="s">
        <v>216</v>
      </c>
      <c r="L1986" s="959">
        <v>40.0</v>
      </c>
      <c r="M1986" s="960">
        <v>65.0</v>
      </c>
      <c r="N1986" s="960">
        <v>40.0</v>
      </c>
      <c r="O1986" s="960">
        <v>80.0</v>
      </c>
      <c r="P1986" s="960">
        <v>40.0</v>
      </c>
      <c r="Q1986" s="960">
        <v>65.0</v>
      </c>
      <c r="R1986" s="960">
        <v>166.0</v>
      </c>
      <c r="S1986" s="960">
        <v>229.0</v>
      </c>
      <c r="T1986" s="960">
        <v>251.0</v>
      </c>
      <c r="U1986" s="960">
        <f t="array" ref="U1986">HLOOKUP($J1986,'Type Chart'!$C$2:$T$20,2,false)*HLOOKUP($K1986,'Type Chart'!$C$2:$U$20,2,false)</f>
        <v>1</v>
      </c>
      <c r="V1986" s="960">
        <f t="array" ref="V1986">HLOOKUP($J1986,'Type Chart'!$C$2:$T$20,3,false)*HLOOKUP($K1986,'Type Chart'!$C$2:$U$20,3,false)</f>
        <v>2</v>
      </c>
      <c r="W1986" s="960">
        <f t="array" ref="W1986">HLOOKUP($J1986,'Type Chart'!$C$2:$T$20,4,false)*HLOOKUP($K1986,'Type Chart'!$C$2:$U$20,4,false)</f>
        <v>1</v>
      </c>
      <c r="X1986" s="960">
        <f t="array" ref="X1986">HLOOKUP($J1986,'Type Chart'!$C$2:$T$20,5,false)*HLOOKUP($K1986,'Type Chart'!$C$2:$U$20,5,false)</f>
        <v>1</v>
      </c>
      <c r="Y1986" s="960">
        <f t="array" ref="Y1986">HLOOKUP($J1986,'Type Chart'!$C$2:$T$20,6,false)*HLOOKUP($K1986,'Type Chart'!$C$2:$U$20,6,false)</f>
        <v>1</v>
      </c>
      <c r="Z1986" s="960">
        <f t="array" ref="Z1986">HLOOKUP($J1986,'Type Chart'!$C$2:$T$20,7,false)*HLOOKUP($K1986,'Type Chart'!$C$2:$U$20,7,false)</f>
        <v>1</v>
      </c>
      <c r="AA1986" s="960">
        <f t="array" ref="AA1986">HLOOKUP($J1986,'Type Chart'!$C$2:$T$20,8,false)*HLOOKUP($K1986,'Type Chart'!$C$2:$U$20,8,false)</f>
        <v>2</v>
      </c>
      <c r="AB1986" s="960">
        <f t="array" ref="AB1986">HLOOKUP($J1986,'Type Chart'!$C$2:$T$20,9,false)*HLOOKUP($K1986,'Type Chart'!$C$2:$U$20,9,false)</f>
        <v>0.5</v>
      </c>
      <c r="AC1986" s="960">
        <f t="array" ref="AC1986">HLOOKUP($J1986,'Type Chart'!$C$2:$T$20,10,false)*HLOOKUP($K1986,'Type Chart'!$C$2:$U$20,10,false)</f>
        <v>1</v>
      </c>
      <c r="AD1986" s="960">
        <f t="array" ref="AD1986">HLOOKUP($J1986,'Type Chart'!$C$2:$T$20,11,false)*HLOOKUP($K1986,'Type Chart'!$C$2:$U$20,11,false)</f>
        <v>1</v>
      </c>
      <c r="AE1986" s="960">
        <f t="array" ref="AE1986">HLOOKUP($J1986,'Type Chart'!$C$2:$T$20,12,false)*HLOOKUP($K1986,'Type Chart'!$C$2:$U$20,12,false)</f>
        <v>1</v>
      </c>
      <c r="AF1986" s="960">
        <f t="array" ref="AF1986">HLOOKUP($J1986,'Type Chart'!$C$2:$T$20,13,false)*HLOOKUP($K1986,'Type Chart'!$C$2:$U$20,13,false)</f>
        <v>1</v>
      </c>
      <c r="AG1986" s="960">
        <f t="array" ref="AG1986">HLOOKUP($J1986,'Type Chart'!$C$2:$T$20,14,false)*HLOOKUP($K1986,'Type Chart'!$C$2:$U$20,14,false)</f>
        <v>1</v>
      </c>
      <c r="AH1986" s="960">
        <f t="array" ref="AH1986">HLOOKUP($J1986,'Type Chart'!$C$2:$T$20,15,false)*HLOOKUP($K1986,'Type Chart'!$C$2:$U$20,15,false)</f>
        <v>0</v>
      </c>
      <c r="AI1986" s="960">
        <f t="array" ref="AI1986">HLOOKUP($J1986,'Type Chart'!$C$2:$T$20,16,false)*HLOOKUP($K1986,'Type Chart'!$C$2:$U$20,16,false)</f>
        <v>1</v>
      </c>
      <c r="AJ1986" s="960">
        <f t="array" ref="AJ1986">HLOOKUP($J1986,'Type Chart'!$C$2:$T$20,17,false)*HLOOKUP($K1986,'Type Chart'!$C$2:$U$20,17,false)</f>
        <v>1</v>
      </c>
      <c r="AK1986" s="960">
        <f t="array" ref="AK1986">HLOOKUP($J1986,'Type Chart'!$C$2:$T$20,18,false)*HLOOKUP($K1986,'Type Chart'!$C$2:$U$20,18,false)</f>
        <v>0.5</v>
      </c>
      <c r="AL1986" s="960">
        <f t="array" ref="AL1986">HLOOKUP($J1986,'Type Chart'!$C$2:$T$20,19,false)*HLOOKUP($K1986,'Type Chart'!$C$2:$U$20,19,false)</f>
        <v>2</v>
      </c>
      <c r="AM1986" s="964" t="s">
        <v>3028</v>
      </c>
      <c r="AN1986" s="965"/>
      <c r="AO1986" s="966"/>
      <c r="AP1986" s="936"/>
      <c r="AQ1986" s="1245"/>
      <c r="AR1986" s="1245"/>
      <c r="AS1986" s="936"/>
    </row>
    <row r="1987" ht="15.75" customHeight="1">
      <c r="A1987" s="1099"/>
      <c r="B1987" s="948" t="s">
        <v>3029</v>
      </c>
      <c r="C1987" s="1197" t="s">
        <v>5087</v>
      </c>
      <c r="D1987" s="1197" t="s">
        <v>5087</v>
      </c>
      <c r="E1987" s="1147" t="s">
        <v>5087</v>
      </c>
      <c r="F1987" s="940"/>
      <c r="G1987" s="953"/>
      <c r="H1987" s="969"/>
      <c r="I1987" s="998" t="s">
        <v>5088</v>
      </c>
      <c r="J1987" s="1194" t="s">
        <v>136</v>
      </c>
      <c r="K1987" s="1220" t="s">
        <v>215</v>
      </c>
      <c r="L1987" s="959">
        <v>35.0</v>
      </c>
      <c r="M1987" s="960">
        <v>60.0</v>
      </c>
      <c r="N1987" s="960">
        <v>40.0</v>
      </c>
      <c r="O1987" s="960">
        <v>85.0</v>
      </c>
      <c r="P1987" s="960">
        <v>40.0</v>
      </c>
      <c r="Q1987" s="960">
        <v>70.0</v>
      </c>
      <c r="R1987" s="960">
        <v>176.0</v>
      </c>
      <c r="S1987" s="960">
        <v>239.0</v>
      </c>
      <c r="T1987" s="960">
        <v>262.0</v>
      </c>
      <c r="U1987" s="960">
        <f t="array" ref="U1987">HLOOKUP($J1987,'Type Chart'!$C$2:$T$20,2,false)*HLOOKUP($K1987,'Type Chart'!$C$2:$U$20,2,false)</f>
        <v>0</v>
      </c>
      <c r="V1987" s="960">
        <f t="array" ref="V1987">HLOOKUP($J1987,'Type Chart'!$C$2:$T$20,3,false)*HLOOKUP($K1987,'Type Chart'!$C$2:$U$20,3,false)</f>
        <v>0</v>
      </c>
      <c r="W1987" s="960">
        <f t="array" ref="W1987">HLOOKUP($J1987,'Type Chart'!$C$2:$T$20,4,false)*HLOOKUP($K1987,'Type Chart'!$C$2:$U$20,4,false)</f>
        <v>1</v>
      </c>
      <c r="X1987" s="960">
        <f t="array" ref="X1987">HLOOKUP($J1987,'Type Chart'!$C$2:$T$20,5,false)*HLOOKUP($K1987,'Type Chart'!$C$2:$U$20,5,false)</f>
        <v>0.5</v>
      </c>
      <c r="Y1987" s="960">
        <f t="array" ref="Y1987">HLOOKUP($J1987,'Type Chart'!$C$2:$T$20,6,false)*HLOOKUP($K1987,'Type Chart'!$C$2:$U$20,6,false)</f>
        <v>1</v>
      </c>
      <c r="Z1987" s="960">
        <f t="array" ref="Z1987">HLOOKUP($J1987,'Type Chart'!$C$2:$T$20,7,false)*HLOOKUP($K1987,'Type Chart'!$C$2:$U$20,7,false)</f>
        <v>1</v>
      </c>
      <c r="AA1987" s="960">
        <f t="array" ref="AA1987">HLOOKUP($J1987,'Type Chart'!$C$2:$T$20,8,false)*HLOOKUP($K1987,'Type Chart'!$C$2:$U$20,8,false)</f>
        <v>0.5</v>
      </c>
      <c r="AB1987" s="960">
        <f t="array" ref="AB1987">HLOOKUP($J1987,'Type Chart'!$C$2:$T$20,9,false)*HLOOKUP($K1987,'Type Chart'!$C$2:$U$20,9,false)</f>
        <v>0</v>
      </c>
      <c r="AC1987" s="960">
        <f t="array" ref="AC1987">HLOOKUP($J1987,'Type Chart'!$C$2:$T$20,10,false)*HLOOKUP($K1987,'Type Chart'!$C$2:$U$20,10,false)</f>
        <v>1</v>
      </c>
      <c r="AD1987" s="960">
        <f t="array" ref="AD1987">HLOOKUP($J1987,'Type Chart'!$C$2:$T$20,11,false)*HLOOKUP($K1987,'Type Chart'!$C$2:$U$20,11,false)</f>
        <v>1</v>
      </c>
      <c r="AE1987" s="960">
        <f t="array" ref="AE1987">HLOOKUP($J1987,'Type Chart'!$C$2:$T$20,12,false)*HLOOKUP($K1987,'Type Chart'!$C$2:$U$20,12,false)</f>
        <v>1</v>
      </c>
      <c r="AF1987" s="960">
        <f t="array" ref="AF1987">HLOOKUP($J1987,'Type Chart'!$C$2:$T$20,13,false)*HLOOKUP($K1987,'Type Chart'!$C$2:$U$20,13,false)</f>
        <v>1</v>
      </c>
      <c r="AG1987" s="960">
        <f t="array" ref="AG1987">HLOOKUP($J1987,'Type Chart'!$C$2:$T$20,14,false)*HLOOKUP($K1987,'Type Chart'!$C$2:$U$20,14,false)</f>
        <v>1</v>
      </c>
      <c r="AH1987" s="960">
        <f t="array" ref="AH1987">HLOOKUP($J1987,'Type Chart'!$C$2:$T$20,15,false)*HLOOKUP($K1987,'Type Chart'!$C$2:$U$20,15,false)</f>
        <v>1</v>
      </c>
      <c r="AI1987" s="960">
        <f t="array" ref="AI1987">HLOOKUP($J1987,'Type Chart'!$C$2:$T$20,16,false)*HLOOKUP($K1987,'Type Chart'!$C$2:$U$20,16,false)</f>
        <v>1</v>
      </c>
      <c r="AJ1987" s="960">
        <f t="array" ref="AJ1987">HLOOKUP($J1987,'Type Chart'!$C$2:$T$20,17,false)*HLOOKUP($K1987,'Type Chart'!$C$2:$U$20,17,false)</f>
        <v>1</v>
      </c>
      <c r="AK1987" s="960">
        <f t="array" ref="AK1987">HLOOKUP($J1987,'Type Chart'!$C$2:$T$20,18,false)*HLOOKUP($K1987,'Type Chart'!$C$2:$U$20,18,false)</f>
        <v>2</v>
      </c>
      <c r="AL1987" s="960">
        <f t="array" ref="AL1987">HLOOKUP($J1987,'Type Chart'!$C$2:$T$20,19,false)*HLOOKUP($K1987,'Type Chart'!$C$2:$U$20,19,false)</f>
        <v>1</v>
      </c>
      <c r="AM1987" s="964" t="s">
        <v>3028</v>
      </c>
      <c r="AN1987" s="965"/>
      <c r="AO1987" s="966"/>
      <c r="AP1987" s="936"/>
      <c r="AQ1987" s="1245"/>
      <c r="AR1987" s="1245"/>
      <c r="AS1987" s="936"/>
    </row>
    <row r="1988" ht="15.75" customHeight="1">
      <c r="A1988" s="1099"/>
      <c r="B1988" s="948" t="s">
        <v>3030</v>
      </c>
      <c r="C1988" s="1197" t="s">
        <v>3031</v>
      </c>
      <c r="D1988" s="1197" t="s">
        <v>3031</v>
      </c>
      <c r="E1988" s="1147" t="s">
        <v>3031</v>
      </c>
      <c r="F1988" s="940"/>
      <c r="G1988" s="953"/>
      <c r="H1988" s="969"/>
      <c r="I1988" s="998" t="s">
        <v>5089</v>
      </c>
      <c r="J1988" s="1229" t="s">
        <v>193</v>
      </c>
      <c r="K1988" s="1199" t="s">
        <v>216</v>
      </c>
      <c r="L1988" s="1200">
        <v>60.0</v>
      </c>
      <c r="M1988" s="1201">
        <v>105.0</v>
      </c>
      <c r="N1988" s="1201">
        <v>60.0</v>
      </c>
      <c r="O1988" s="1201">
        <v>120.0</v>
      </c>
      <c r="P1988" s="1201">
        <v>60.0</v>
      </c>
      <c r="Q1988" s="1201">
        <v>105.0</v>
      </c>
      <c r="R1988" s="960">
        <v>246.0</v>
      </c>
      <c r="S1988" s="960">
        <v>309.0</v>
      </c>
      <c r="T1988" s="960">
        <v>339.0</v>
      </c>
      <c r="U1988" s="960">
        <f t="array" ref="U1988">HLOOKUP($J1988,'Type Chart'!$C$2:$T$20,2,false)*HLOOKUP($K1988,'Type Chart'!$C$2:$U$20,2,false)</f>
        <v>1</v>
      </c>
      <c r="V1988" s="960">
        <f t="array" ref="V1988">HLOOKUP($J1988,'Type Chart'!$C$2:$T$20,3,false)*HLOOKUP($K1988,'Type Chart'!$C$2:$U$20,3,false)</f>
        <v>2</v>
      </c>
      <c r="W1988" s="960">
        <f t="array" ref="W1988">HLOOKUP($J1988,'Type Chart'!$C$2:$T$20,4,false)*HLOOKUP($K1988,'Type Chart'!$C$2:$U$20,4,false)</f>
        <v>1</v>
      </c>
      <c r="X1988" s="960">
        <f t="array" ref="X1988">HLOOKUP($J1988,'Type Chart'!$C$2:$T$20,5,false)*HLOOKUP($K1988,'Type Chart'!$C$2:$U$20,5,false)</f>
        <v>1</v>
      </c>
      <c r="Y1988" s="960">
        <f t="array" ref="Y1988">HLOOKUP($J1988,'Type Chart'!$C$2:$T$20,6,false)*HLOOKUP($K1988,'Type Chart'!$C$2:$U$20,6,false)</f>
        <v>1</v>
      </c>
      <c r="Z1988" s="960">
        <f t="array" ref="Z1988">HLOOKUP($J1988,'Type Chart'!$C$2:$T$20,7,false)*HLOOKUP($K1988,'Type Chart'!$C$2:$U$20,7,false)</f>
        <v>1</v>
      </c>
      <c r="AA1988" s="960">
        <f t="array" ref="AA1988">HLOOKUP($J1988,'Type Chart'!$C$2:$T$20,8,false)*HLOOKUP($K1988,'Type Chart'!$C$2:$U$20,8,false)</f>
        <v>2</v>
      </c>
      <c r="AB1988" s="960">
        <f t="array" ref="AB1988">HLOOKUP($J1988,'Type Chart'!$C$2:$T$20,9,false)*HLOOKUP($K1988,'Type Chart'!$C$2:$U$20,9,false)</f>
        <v>0.5</v>
      </c>
      <c r="AC1988" s="960">
        <f t="array" ref="AC1988">HLOOKUP($J1988,'Type Chart'!$C$2:$T$20,10,false)*HLOOKUP($K1988,'Type Chart'!$C$2:$U$20,10,false)</f>
        <v>1</v>
      </c>
      <c r="AD1988" s="960">
        <f t="array" ref="AD1988">HLOOKUP($J1988,'Type Chart'!$C$2:$T$20,11,false)*HLOOKUP($K1988,'Type Chart'!$C$2:$U$20,11,false)</f>
        <v>1</v>
      </c>
      <c r="AE1988" s="960">
        <f t="array" ref="AE1988">HLOOKUP($J1988,'Type Chart'!$C$2:$T$20,12,false)*HLOOKUP($K1988,'Type Chart'!$C$2:$U$20,12,false)</f>
        <v>1</v>
      </c>
      <c r="AF1988" s="960">
        <f t="array" ref="AF1988">HLOOKUP($J1988,'Type Chart'!$C$2:$T$20,13,false)*HLOOKUP($K1988,'Type Chart'!$C$2:$U$20,13,false)</f>
        <v>1</v>
      </c>
      <c r="AG1988" s="960">
        <f t="array" ref="AG1988">HLOOKUP($J1988,'Type Chart'!$C$2:$T$20,14,false)*HLOOKUP($K1988,'Type Chart'!$C$2:$U$20,14,false)</f>
        <v>1</v>
      </c>
      <c r="AH1988" s="960">
        <f t="array" ref="AH1988">HLOOKUP($J1988,'Type Chart'!$C$2:$T$20,15,false)*HLOOKUP($K1988,'Type Chart'!$C$2:$U$20,15,false)</f>
        <v>0</v>
      </c>
      <c r="AI1988" s="960">
        <f t="array" ref="AI1988">HLOOKUP($J1988,'Type Chart'!$C$2:$T$20,16,false)*HLOOKUP($K1988,'Type Chart'!$C$2:$U$20,16,false)</f>
        <v>1</v>
      </c>
      <c r="AJ1988" s="960">
        <f t="array" ref="AJ1988">HLOOKUP($J1988,'Type Chart'!$C$2:$T$20,17,false)*HLOOKUP($K1988,'Type Chart'!$C$2:$U$20,17,false)</f>
        <v>1</v>
      </c>
      <c r="AK1988" s="960">
        <f t="array" ref="AK1988">HLOOKUP($J1988,'Type Chart'!$C$2:$T$20,18,false)*HLOOKUP($K1988,'Type Chart'!$C$2:$U$20,18,false)</f>
        <v>0.5</v>
      </c>
      <c r="AL1988" s="960">
        <f t="array" ref="AL1988">HLOOKUP($J1988,'Type Chart'!$C$2:$T$20,19,false)*HLOOKUP($K1988,'Type Chart'!$C$2:$U$20,19,false)</f>
        <v>2</v>
      </c>
      <c r="AM1988" s="1145" t="s">
        <v>3028</v>
      </c>
      <c r="AN1988" s="1202"/>
      <c r="AO1988" s="1146"/>
      <c r="AP1988" s="936"/>
      <c r="AQ1988" s="1245"/>
      <c r="AR1988" s="1245"/>
      <c r="AS1988" s="936"/>
    </row>
    <row r="1989" ht="15.75" customHeight="1">
      <c r="A1989" s="1099"/>
      <c r="B1989" s="948" t="s">
        <v>3032</v>
      </c>
      <c r="C1989" s="1197" t="s">
        <v>5090</v>
      </c>
      <c r="D1989" s="1197" t="s">
        <v>5090</v>
      </c>
      <c r="E1989" s="1147" t="s">
        <v>5090</v>
      </c>
      <c r="F1989" s="940"/>
      <c r="G1989" s="953"/>
      <c r="H1989" s="969"/>
      <c r="I1989" s="998" t="s">
        <v>5091</v>
      </c>
      <c r="J1989" s="1194" t="s">
        <v>136</v>
      </c>
      <c r="K1989" s="1220" t="s">
        <v>215</v>
      </c>
      <c r="L1989" s="1237">
        <v>55.0</v>
      </c>
      <c r="M1989" s="1238">
        <v>100.0</v>
      </c>
      <c r="N1989" s="960">
        <v>60.0</v>
      </c>
      <c r="O1989" s="1238">
        <v>125.0</v>
      </c>
      <c r="P1989" s="960">
        <v>60.0</v>
      </c>
      <c r="Q1989" s="1238">
        <v>110.0</v>
      </c>
      <c r="R1989" s="960">
        <v>256.0</v>
      </c>
      <c r="S1989" s="960">
        <v>319.0</v>
      </c>
      <c r="T1989" s="960">
        <v>350.0</v>
      </c>
      <c r="U1989" s="960">
        <f t="array" ref="U1989">HLOOKUP($J1989,'Type Chart'!$C$2:$T$20,2,false)*HLOOKUP($K1989,'Type Chart'!$C$2:$U$20,2,false)</f>
        <v>0</v>
      </c>
      <c r="V1989" s="960">
        <f t="array" ref="V1989">HLOOKUP($J1989,'Type Chart'!$C$2:$T$20,3,false)*HLOOKUP($K1989,'Type Chart'!$C$2:$U$20,3,false)</f>
        <v>0</v>
      </c>
      <c r="W1989" s="960">
        <f t="array" ref="W1989">HLOOKUP($J1989,'Type Chart'!$C$2:$T$20,4,false)*HLOOKUP($K1989,'Type Chart'!$C$2:$U$20,4,false)</f>
        <v>1</v>
      </c>
      <c r="X1989" s="960">
        <f t="array" ref="X1989">HLOOKUP($J1989,'Type Chart'!$C$2:$T$20,5,false)*HLOOKUP($K1989,'Type Chart'!$C$2:$U$20,5,false)</f>
        <v>0.5</v>
      </c>
      <c r="Y1989" s="960">
        <f t="array" ref="Y1989">HLOOKUP($J1989,'Type Chart'!$C$2:$T$20,6,false)*HLOOKUP($K1989,'Type Chart'!$C$2:$U$20,6,false)</f>
        <v>1</v>
      </c>
      <c r="Z1989" s="960">
        <f t="array" ref="Z1989">HLOOKUP($J1989,'Type Chart'!$C$2:$T$20,7,false)*HLOOKUP($K1989,'Type Chart'!$C$2:$U$20,7,false)</f>
        <v>1</v>
      </c>
      <c r="AA1989" s="960">
        <f t="array" ref="AA1989">HLOOKUP($J1989,'Type Chart'!$C$2:$T$20,8,false)*HLOOKUP($K1989,'Type Chart'!$C$2:$U$20,8,false)</f>
        <v>0.5</v>
      </c>
      <c r="AB1989" s="960">
        <f t="array" ref="AB1989">HLOOKUP($J1989,'Type Chart'!$C$2:$T$20,9,false)*HLOOKUP($K1989,'Type Chart'!$C$2:$U$20,9,false)</f>
        <v>0</v>
      </c>
      <c r="AC1989" s="960">
        <f t="array" ref="AC1989">HLOOKUP($J1989,'Type Chart'!$C$2:$T$20,10,false)*HLOOKUP($K1989,'Type Chart'!$C$2:$U$20,10,false)</f>
        <v>1</v>
      </c>
      <c r="AD1989" s="960">
        <f t="array" ref="AD1989">HLOOKUP($J1989,'Type Chart'!$C$2:$T$20,11,false)*HLOOKUP($K1989,'Type Chart'!$C$2:$U$20,11,false)</f>
        <v>1</v>
      </c>
      <c r="AE1989" s="960">
        <f t="array" ref="AE1989">HLOOKUP($J1989,'Type Chart'!$C$2:$T$20,12,false)*HLOOKUP($K1989,'Type Chart'!$C$2:$U$20,12,false)</f>
        <v>1</v>
      </c>
      <c r="AF1989" s="960">
        <f t="array" ref="AF1989">HLOOKUP($J1989,'Type Chart'!$C$2:$T$20,13,false)*HLOOKUP($K1989,'Type Chart'!$C$2:$U$20,13,false)</f>
        <v>1</v>
      </c>
      <c r="AG1989" s="960">
        <f t="array" ref="AG1989">HLOOKUP($J1989,'Type Chart'!$C$2:$T$20,14,false)*HLOOKUP($K1989,'Type Chart'!$C$2:$U$20,14,false)</f>
        <v>1</v>
      </c>
      <c r="AH1989" s="960">
        <f t="array" ref="AH1989">HLOOKUP($J1989,'Type Chart'!$C$2:$T$20,15,false)*HLOOKUP($K1989,'Type Chart'!$C$2:$U$20,15,false)</f>
        <v>1</v>
      </c>
      <c r="AI1989" s="960">
        <f t="array" ref="AI1989">HLOOKUP($J1989,'Type Chart'!$C$2:$T$20,16,false)*HLOOKUP($K1989,'Type Chart'!$C$2:$U$20,16,false)</f>
        <v>1</v>
      </c>
      <c r="AJ1989" s="960">
        <f t="array" ref="AJ1989">HLOOKUP($J1989,'Type Chart'!$C$2:$T$20,17,false)*HLOOKUP($K1989,'Type Chart'!$C$2:$U$20,17,false)</f>
        <v>1</v>
      </c>
      <c r="AK1989" s="960">
        <f t="array" ref="AK1989">HLOOKUP($J1989,'Type Chart'!$C$2:$T$20,18,false)*HLOOKUP($K1989,'Type Chart'!$C$2:$U$20,18,false)</f>
        <v>2</v>
      </c>
      <c r="AL1989" s="960">
        <f t="array" ref="AL1989">HLOOKUP($J1989,'Type Chart'!$C$2:$T$20,19,false)*HLOOKUP($K1989,'Type Chart'!$C$2:$U$20,19,false)</f>
        <v>1</v>
      </c>
      <c r="AM1989" s="964" t="s">
        <v>3028</v>
      </c>
      <c r="AN1989" s="965"/>
      <c r="AO1989" s="966"/>
      <c r="AP1989" s="936"/>
      <c r="AQ1989" s="1245"/>
      <c r="AR1989" s="1245"/>
      <c r="AS1989" s="936"/>
    </row>
    <row r="1990" ht="15.75" customHeight="1">
      <c r="A1990" s="1099"/>
      <c r="B1990" s="948" t="s">
        <v>3033</v>
      </c>
      <c r="C1990" s="1197" t="s">
        <v>3034</v>
      </c>
      <c r="D1990" s="1197" t="s">
        <v>3034</v>
      </c>
      <c r="E1990" s="1147" t="s">
        <v>3034</v>
      </c>
      <c r="F1990" s="940"/>
      <c r="G1990" s="953"/>
      <c r="H1990" s="969"/>
      <c r="I1990" s="998" t="s">
        <v>5092</v>
      </c>
      <c r="J1990" s="1194" t="s">
        <v>136</v>
      </c>
      <c r="K1990" s="984" t="s">
        <v>216</v>
      </c>
      <c r="L1990" s="959">
        <v>55.0</v>
      </c>
      <c r="M1990" s="960">
        <v>50.0</v>
      </c>
      <c r="N1990" s="960">
        <v>40.0</v>
      </c>
      <c r="O1990" s="960">
        <v>40.0</v>
      </c>
      <c r="P1990" s="960">
        <v>40.0</v>
      </c>
      <c r="Q1990" s="960">
        <v>75.0</v>
      </c>
      <c r="R1990" s="960">
        <v>186.0</v>
      </c>
      <c r="S1990" s="960">
        <v>249.0</v>
      </c>
      <c r="T1990" s="960">
        <v>273.0</v>
      </c>
      <c r="U1990" s="960">
        <f t="array" ref="U1990">HLOOKUP($J1990,'Type Chart'!$C$2:$T$20,2,false)*HLOOKUP($K1990,'Type Chart'!$C$2:$U$20,2,false)</f>
        <v>1</v>
      </c>
      <c r="V1990" s="960">
        <f t="array" ref="V1990">HLOOKUP($J1990,'Type Chart'!$C$2:$T$20,3,false)*HLOOKUP($K1990,'Type Chart'!$C$2:$U$20,3,false)</f>
        <v>2</v>
      </c>
      <c r="W1990" s="960">
        <f t="array" ref="W1990">HLOOKUP($J1990,'Type Chart'!$C$2:$T$20,4,false)*HLOOKUP($K1990,'Type Chart'!$C$2:$U$20,4,false)</f>
        <v>1</v>
      </c>
      <c r="X1990" s="960">
        <f t="array" ref="X1990">HLOOKUP($J1990,'Type Chart'!$C$2:$T$20,5,false)*HLOOKUP($K1990,'Type Chart'!$C$2:$U$20,5,false)</f>
        <v>1</v>
      </c>
      <c r="Y1990" s="960">
        <f t="array" ref="Y1990">HLOOKUP($J1990,'Type Chart'!$C$2:$T$20,6,false)*HLOOKUP($K1990,'Type Chart'!$C$2:$U$20,6,false)</f>
        <v>1</v>
      </c>
      <c r="Z1990" s="960">
        <f t="array" ref="Z1990">HLOOKUP($J1990,'Type Chart'!$C$2:$T$20,7,false)*HLOOKUP($K1990,'Type Chart'!$C$2:$U$20,7,false)</f>
        <v>1</v>
      </c>
      <c r="AA1990" s="960">
        <f t="array" ref="AA1990">HLOOKUP($J1990,'Type Chart'!$C$2:$T$20,8,false)*HLOOKUP($K1990,'Type Chart'!$C$2:$U$20,8,false)</f>
        <v>1</v>
      </c>
      <c r="AB1990" s="960">
        <f t="array" ref="AB1990">HLOOKUP($J1990,'Type Chart'!$C$2:$T$20,9,false)*HLOOKUP($K1990,'Type Chart'!$C$2:$U$20,9,false)</f>
        <v>0</v>
      </c>
      <c r="AC1990" s="960">
        <f t="array" ref="AC1990">HLOOKUP($J1990,'Type Chart'!$C$2:$T$20,10,false)*HLOOKUP($K1990,'Type Chart'!$C$2:$U$20,10,false)</f>
        <v>1</v>
      </c>
      <c r="AD1990" s="960">
        <f t="array" ref="AD1990">HLOOKUP($J1990,'Type Chart'!$C$2:$T$20,11,false)*HLOOKUP($K1990,'Type Chart'!$C$2:$U$20,11,false)</f>
        <v>1</v>
      </c>
      <c r="AE1990" s="960">
        <f t="array" ref="AE1990">HLOOKUP($J1990,'Type Chart'!$C$2:$T$20,12,false)*HLOOKUP($K1990,'Type Chart'!$C$2:$U$20,12,false)</f>
        <v>1</v>
      </c>
      <c r="AF1990" s="960">
        <f t="array" ref="AF1990">HLOOKUP($J1990,'Type Chart'!$C$2:$T$20,13,false)*HLOOKUP($K1990,'Type Chart'!$C$2:$U$20,13,false)</f>
        <v>1</v>
      </c>
      <c r="AG1990" s="960">
        <f t="array" ref="AG1990">HLOOKUP($J1990,'Type Chart'!$C$2:$T$20,14,false)*HLOOKUP($K1990,'Type Chart'!$C$2:$U$20,14,false)</f>
        <v>1</v>
      </c>
      <c r="AH1990" s="960">
        <f t="array" ref="AH1990">HLOOKUP($J1990,'Type Chart'!$C$2:$T$20,15,false)*HLOOKUP($K1990,'Type Chart'!$C$2:$U$20,15,false)</f>
        <v>1</v>
      </c>
      <c r="AI1990" s="960">
        <f t="array" ref="AI1990">HLOOKUP($J1990,'Type Chart'!$C$2:$T$20,16,false)*HLOOKUP($K1990,'Type Chart'!$C$2:$U$20,16,false)</f>
        <v>1</v>
      </c>
      <c r="AJ1990" s="960">
        <f t="array" ref="AJ1990">HLOOKUP($J1990,'Type Chart'!$C$2:$T$20,17,false)*HLOOKUP($K1990,'Type Chart'!$C$2:$U$20,17,false)</f>
        <v>1</v>
      </c>
      <c r="AK1990" s="960">
        <f t="array" ref="AK1990">HLOOKUP($J1990,'Type Chart'!$C$2:$T$20,18,false)*HLOOKUP($K1990,'Type Chart'!$C$2:$U$20,18,false)</f>
        <v>1</v>
      </c>
      <c r="AL1990" s="960">
        <f t="array" ref="AL1990">HLOOKUP($J1990,'Type Chart'!$C$2:$T$20,19,false)*HLOOKUP($K1990,'Type Chart'!$C$2:$U$20,19,false)</f>
        <v>1</v>
      </c>
      <c r="AM1990" s="964" t="s">
        <v>1165</v>
      </c>
      <c r="AN1990" s="965" t="s">
        <v>1239</v>
      </c>
      <c r="AO1990" s="966" t="s">
        <v>1430</v>
      </c>
      <c r="AP1990" s="936"/>
      <c r="AQ1990" s="1245"/>
      <c r="AR1990" s="1245"/>
      <c r="AS1990" s="936"/>
    </row>
    <row r="1991" ht="15.75" customHeight="1">
      <c r="A1991" s="1099"/>
      <c r="B1991" s="948" t="s">
        <v>3036</v>
      </c>
      <c r="C1991" s="1197" t="s">
        <v>189</v>
      </c>
      <c r="D1991" s="1197" t="s">
        <v>189</v>
      </c>
      <c r="E1991" s="1147" t="s">
        <v>189</v>
      </c>
      <c r="F1991" s="940"/>
      <c r="G1991" s="953"/>
      <c r="H1991" s="969"/>
      <c r="I1991" s="998" t="s">
        <v>5093</v>
      </c>
      <c r="J1991" s="1194" t="s">
        <v>136</v>
      </c>
      <c r="K1991" s="984" t="s">
        <v>216</v>
      </c>
      <c r="L1991" s="959">
        <v>75.0</v>
      </c>
      <c r="M1991" s="960">
        <v>95.0</v>
      </c>
      <c r="N1991" s="960">
        <v>60.0</v>
      </c>
      <c r="O1991" s="960">
        <v>65.0</v>
      </c>
      <c r="P1991" s="960">
        <v>60.0</v>
      </c>
      <c r="Q1991" s="960">
        <v>115.0</v>
      </c>
      <c r="R1991" s="960">
        <v>266.0</v>
      </c>
      <c r="S1991" s="960">
        <v>329.0</v>
      </c>
      <c r="T1991" s="960">
        <v>361.0</v>
      </c>
      <c r="U1991" s="960">
        <f t="array" ref="U1991">HLOOKUP($J1991,'Type Chart'!$C$2:$T$20,2,false)*HLOOKUP($K1991,'Type Chart'!$C$2:$U$20,2,false)</f>
        <v>1</v>
      </c>
      <c r="V1991" s="960">
        <f t="array" ref="V1991">HLOOKUP($J1991,'Type Chart'!$C$2:$T$20,3,false)*HLOOKUP($K1991,'Type Chart'!$C$2:$U$20,3,false)</f>
        <v>2</v>
      </c>
      <c r="W1991" s="960">
        <f t="array" ref="W1991">HLOOKUP($J1991,'Type Chart'!$C$2:$T$20,4,false)*HLOOKUP($K1991,'Type Chart'!$C$2:$U$20,4,false)</f>
        <v>1</v>
      </c>
      <c r="X1991" s="960">
        <f t="array" ref="X1991">HLOOKUP($J1991,'Type Chart'!$C$2:$T$20,5,false)*HLOOKUP($K1991,'Type Chart'!$C$2:$U$20,5,false)</f>
        <v>1</v>
      </c>
      <c r="Y1991" s="960">
        <f t="array" ref="Y1991">HLOOKUP($J1991,'Type Chart'!$C$2:$T$20,6,false)*HLOOKUP($K1991,'Type Chart'!$C$2:$U$20,6,false)</f>
        <v>1</v>
      </c>
      <c r="Z1991" s="960">
        <f t="array" ref="Z1991">HLOOKUP($J1991,'Type Chart'!$C$2:$T$20,7,false)*HLOOKUP($K1991,'Type Chart'!$C$2:$U$20,7,false)</f>
        <v>1</v>
      </c>
      <c r="AA1991" s="960">
        <f t="array" ref="AA1991">HLOOKUP($J1991,'Type Chart'!$C$2:$T$20,8,false)*HLOOKUP($K1991,'Type Chart'!$C$2:$U$20,8,false)</f>
        <v>1</v>
      </c>
      <c r="AB1991" s="960">
        <f t="array" ref="AB1991">HLOOKUP($J1991,'Type Chart'!$C$2:$T$20,9,false)*HLOOKUP($K1991,'Type Chart'!$C$2:$U$20,9,false)</f>
        <v>0</v>
      </c>
      <c r="AC1991" s="960">
        <f t="array" ref="AC1991">HLOOKUP($J1991,'Type Chart'!$C$2:$T$20,10,false)*HLOOKUP($K1991,'Type Chart'!$C$2:$U$20,10,false)</f>
        <v>1</v>
      </c>
      <c r="AD1991" s="960">
        <f t="array" ref="AD1991">HLOOKUP($J1991,'Type Chart'!$C$2:$T$20,11,false)*HLOOKUP($K1991,'Type Chart'!$C$2:$U$20,11,false)</f>
        <v>1</v>
      </c>
      <c r="AE1991" s="960">
        <f t="array" ref="AE1991">HLOOKUP($J1991,'Type Chart'!$C$2:$T$20,12,false)*HLOOKUP($K1991,'Type Chart'!$C$2:$U$20,12,false)</f>
        <v>1</v>
      </c>
      <c r="AF1991" s="960">
        <f t="array" ref="AF1991">HLOOKUP($J1991,'Type Chart'!$C$2:$T$20,13,false)*HLOOKUP($K1991,'Type Chart'!$C$2:$U$20,13,false)</f>
        <v>1</v>
      </c>
      <c r="AG1991" s="960">
        <f t="array" ref="AG1991">HLOOKUP($J1991,'Type Chart'!$C$2:$T$20,14,false)*HLOOKUP($K1991,'Type Chart'!$C$2:$U$20,14,false)</f>
        <v>1</v>
      </c>
      <c r="AH1991" s="960">
        <f t="array" ref="AH1991">HLOOKUP($J1991,'Type Chart'!$C$2:$T$20,15,false)*HLOOKUP($K1991,'Type Chart'!$C$2:$U$20,15,false)</f>
        <v>1</v>
      </c>
      <c r="AI1991" s="960">
        <f t="array" ref="AI1991">HLOOKUP($J1991,'Type Chart'!$C$2:$T$20,16,false)*HLOOKUP($K1991,'Type Chart'!$C$2:$U$20,16,false)</f>
        <v>1</v>
      </c>
      <c r="AJ1991" s="960">
        <f t="array" ref="AJ1991">HLOOKUP($J1991,'Type Chart'!$C$2:$T$20,17,false)*HLOOKUP($K1991,'Type Chart'!$C$2:$U$20,17,false)</f>
        <v>1</v>
      </c>
      <c r="AK1991" s="960">
        <f t="array" ref="AK1991">HLOOKUP($J1991,'Type Chart'!$C$2:$T$20,18,false)*HLOOKUP($K1991,'Type Chart'!$C$2:$U$20,18,false)</f>
        <v>1</v>
      </c>
      <c r="AL1991" s="960">
        <f t="array" ref="AL1991">HLOOKUP($J1991,'Type Chart'!$C$2:$T$20,19,false)*HLOOKUP($K1991,'Type Chart'!$C$2:$U$20,19,false)</f>
        <v>1</v>
      </c>
      <c r="AM1991" s="964" t="s">
        <v>1165</v>
      </c>
      <c r="AN1991" s="965" t="s">
        <v>1239</v>
      </c>
      <c r="AO1991" s="966" t="s">
        <v>1430</v>
      </c>
      <c r="AP1991" s="936"/>
      <c r="AQ1991" s="1245"/>
      <c r="AR1991" s="1245"/>
      <c r="AS1991" s="936"/>
    </row>
    <row r="1992" ht="15.75" customHeight="1">
      <c r="A1992" s="1099"/>
      <c r="B1992" s="948" t="s">
        <v>3037</v>
      </c>
      <c r="C1992" s="1197" t="s">
        <v>3038</v>
      </c>
      <c r="D1992" s="1197" t="s">
        <v>3038</v>
      </c>
      <c r="E1992" s="1147" t="s">
        <v>3038</v>
      </c>
      <c r="F1992" s="940"/>
      <c r="G1992" s="953"/>
      <c r="H1992" s="969"/>
      <c r="I1992" s="998" t="s">
        <v>5094</v>
      </c>
      <c r="J1992" s="1203" t="s">
        <v>344</v>
      </c>
      <c r="K1992" s="984" t="s">
        <v>216</v>
      </c>
      <c r="L1992" s="959">
        <v>45.0</v>
      </c>
      <c r="M1992" s="960">
        <v>30.0</v>
      </c>
      <c r="N1992" s="960">
        <v>50.0</v>
      </c>
      <c r="O1992" s="960">
        <v>55.0</v>
      </c>
      <c r="P1992" s="960">
        <v>65.0</v>
      </c>
      <c r="Q1992" s="960">
        <v>45.0</v>
      </c>
      <c r="R1992" s="960">
        <v>126.0</v>
      </c>
      <c r="S1992" s="960">
        <v>189.0</v>
      </c>
      <c r="T1992" s="960">
        <v>207.0</v>
      </c>
      <c r="U1992" s="960">
        <f t="array" ref="U1992">HLOOKUP($J1992,'Type Chart'!$C$2:$T$20,2,false)*HLOOKUP($K1992,'Type Chart'!$C$2:$U$20,2,false)</f>
        <v>1</v>
      </c>
      <c r="V1992" s="960">
        <f t="array" ref="V1992">HLOOKUP($J1992,'Type Chart'!$C$2:$T$20,3,false)*HLOOKUP($K1992,'Type Chart'!$C$2:$U$20,3,false)</f>
        <v>0.5</v>
      </c>
      <c r="W1992" s="960">
        <f t="array" ref="W1992">HLOOKUP($J1992,'Type Chart'!$C$2:$T$20,4,false)*HLOOKUP($K1992,'Type Chart'!$C$2:$U$20,4,false)</f>
        <v>1</v>
      </c>
      <c r="X1992" s="960">
        <f t="array" ref="X1992">HLOOKUP($J1992,'Type Chart'!$C$2:$T$20,5,false)*HLOOKUP($K1992,'Type Chart'!$C$2:$U$20,5,false)</f>
        <v>1</v>
      </c>
      <c r="Y1992" s="960">
        <f t="array" ref="Y1992">HLOOKUP($J1992,'Type Chart'!$C$2:$T$20,6,false)*HLOOKUP($K1992,'Type Chart'!$C$2:$U$20,6,false)</f>
        <v>1</v>
      </c>
      <c r="Z1992" s="960">
        <f t="array" ref="Z1992">HLOOKUP($J1992,'Type Chart'!$C$2:$T$20,7,false)*HLOOKUP($K1992,'Type Chart'!$C$2:$U$20,7,false)</f>
        <v>1</v>
      </c>
      <c r="AA1992" s="960">
        <f t="array" ref="AA1992">HLOOKUP($J1992,'Type Chart'!$C$2:$T$20,8,false)*HLOOKUP($K1992,'Type Chart'!$C$2:$U$20,8,false)</f>
        <v>2</v>
      </c>
      <c r="AB1992" s="960">
        <f t="array" ref="AB1992">HLOOKUP($J1992,'Type Chart'!$C$2:$T$20,9,false)*HLOOKUP($K1992,'Type Chart'!$C$2:$U$20,9,false)</f>
        <v>2</v>
      </c>
      <c r="AC1992" s="960">
        <f t="array" ref="AC1992">HLOOKUP($J1992,'Type Chart'!$C$2:$T$20,10,false)*HLOOKUP($K1992,'Type Chart'!$C$2:$U$20,10,false)</f>
        <v>1</v>
      </c>
      <c r="AD1992" s="960">
        <f t="array" ref="AD1992">HLOOKUP($J1992,'Type Chart'!$C$2:$T$20,11,false)*HLOOKUP($K1992,'Type Chart'!$C$2:$U$20,11,false)</f>
        <v>1</v>
      </c>
      <c r="AE1992" s="960">
        <f t="array" ref="AE1992">HLOOKUP($J1992,'Type Chart'!$C$2:$T$20,12,false)*HLOOKUP($K1992,'Type Chart'!$C$2:$U$20,12,false)</f>
        <v>1</v>
      </c>
      <c r="AF1992" s="960">
        <f t="array" ref="AF1992">HLOOKUP($J1992,'Type Chart'!$C$2:$T$20,13,false)*HLOOKUP($K1992,'Type Chart'!$C$2:$U$20,13,false)</f>
        <v>1</v>
      </c>
      <c r="AG1992" s="960">
        <f t="array" ref="AG1992">HLOOKUP($J1992,'Type Chart'!$C$2:$T$20,14,false)*HLOOKUP($K1992,'Type Chart'!$C$2:$U$20,14,false)</f>
        <v>1</v>
      </c>
      <c r="AH1992" s="960">
        <f t="array" ref="AH1992">HLOOKUP($J1992,'Type Chart'!$C$2:$T$20,15,false)*HLOOKUP($K1992,'Type Chart'!$C$2:$U$20,15,false)</f>
        <v>0.5</v>
      </c>
      <c r="AI1992" s="960">
        <f t="array" ref="AI1992">HLOOKUP($J1992,'Type Chart'!$C$2:$T$20,16,false)*HLOOKUP($K1992,'Type Chart'!$C$2:$U$20,16,false)</f>
        <v>1</v>
      </c>
      <c r="AJ1992" s="960">
        <f t="array" ref="AJ1992">HLOOKUP($J1992,'Type Chart'!$C$2:$T$20,17,false)*HLOOKUP($K1992,'Type Chart'!$C$2:$U$20,17,false)</f>
        <v>1</v>
      </c>
      <c r="AK1992" s="960">
        <f t="array" ref="AK1992">HLOOKUP($J1992,'Type Chart'!$C$2:$T$20,18,false)*HLOOKUP($K1992,'Type Chart'!$C$2:$U$20,18,false)</f>
        <v>2</v>
      </c>
      <c r="AL1992" s="960">
        <f t="array" ref="AL1992">HLOOKUP($J1992,'Type Chart'!$C$2:$T$20,19,false)*HLOOKUP($K1992,'Type Chart'!$C$2:$U$20,19,false)</f>
        <v>1</v>
      </c>
      <c r="AM1992" s="964" t="s">
        <v>1188</v>
      </c>
      <c r="AN1992" s="965" t="s">
        <v>1185</v>
      </c>
      <c r="AO1992" s="966" t="s">
        <v>1446</v>
      </c>
      <c r="AP1992" s="936"/>
      <c r="AQ1992" s="1245"/>
      <c r="AR1992" s="1245"/>
      <c r="AS1992" s="936"/>
    </row>
    <row r="1993" ht="15.75" customHeight="1">
      <c r="A1993" s="1099"/>
      <c r="B1993" s="948" t="s">
        <v>3040</v>
      </c>
      <c r="C1993" s="1197" t="s">
        <v>3041</v>
      </c>
      <c r="D1993" s="1197" t="s">
        <v>3041</v>
      </c>
      <c r="E1993" s="1147" t="s">
        <v>3041</v>
      </c>
      <c r="F1993" s="940"/>
      <c r="G1993" s="953"/>
      <c r="H1993" s="969"/>
      <c r="I1993" s="998" t="s">
        <v>5095</v>
      </c>
      <c r="J1993" s="1203" t="s">
        <v>344</v>
      </c>
      <c r="K1993" s="984" t="s">
        <v>216</v>
      </c>
      <c r="L1993" s="959">
        <v>60.0</v>
      </c>
      <c r="M1993" s="960">
        <v>45.0</v>
      </c>
      <c r="N1993" s="960">
        <v>70.0</v>
      </c>
      <c r="O1993" s="960">
        <v>75.0</v>
      </c>
      <c r="P1993" s="960">
        <v>85.0</v>
      </c>
      <c r="Q1993" s="960">
        <v>55.0</v>
      </c>
      <c r="R1993" s="960">
        <v>146.0</v>
      </c>
      <c r="S1993" s="960">
        <v>209.0</v>
      </c>
      <c r="T1993" s="960">
        <v>229.0</v>
      </c>
      <c r="U1993" s="960">
        <f t="array" ref="U1993">HLOOKUP($J1993,'Type Chart'!$C$2:$T$20,2,false)*HLOOKUP($K1993,'Type Chart'!$C$2:$U$20,2,false)</f>
        <v>1</v>
      </c>
      <c r="V1993" s="960">
        <f t="array" ref="V1993">HLOOKUP($J1993,'Type Chart'!$C$2:$T$20,3,false)*HLOOKUP($K1993,'Type Chart'!$C$2:$U$20,3,false)</f>
        <v>0.5</v>
      </c>
      <c r="W1993" s="960">
        <f t="array" ref="W1993">HLOOKUP($J1993,'Type Chart'!$C$2:$T$20,4,false)*HLOOKUP($K1993,'Type Chart'!$C$2:$U$20,4,false)</f>
        <v>1</v>
      </c>
      <c r="X1993" s="960">
        <f t="array" ref="X1993">HLOOKUP($J1993,'Type Chart'!$C$2:$T$20,5,false)*HLOOKUP($K1993,'Type Chart'!$C$2:$U$20,5,false)</f>
        <v>1</v>
      </c>
      <c r="Y1993" s="960">
        <f t="array" ref="Y1993">HLOOKUP($J1993,'Type Chart'!$C$2:$T$20,6,false)*HLOOKUP($K1993,'Type Chart'!$C$2:$U$20,6,false)</f>
        <v>1</v>
      </c>
      <c r="Z1993" s="960">
        <f t="array" ref="Z1993">HLOOKUP($J1993,'Type Chart'!$C$2:$T$20,7,false)*HLOOKUP($K1993,'Type Chart'!$C$2:$U$20,7,false)</f>
        <v>1</v>
      </c>
      <c r="AA1993" s="960">
        <f t="array" ref="AA1993">HLOOKUP($J1993,'Type Chart'!$C$2:$T$20,8,false)*HLOOKUP($K1993,'Type Chart'!$C$2:$U$20,8,false)</f>
        <v>2</v>
      </c>
      <c r="AB1993" s="960">
        <f t="array" ref="AB1993">HLOOKUP($J1993,'Type Chart'!$C$2:$T$20,9,false)*HLOOKUP($K1993,'Type Chart'!$C$2:$U$20,9,false)</f>
        <v>2</v>
      </c>
      <c r="AC1993" s="960">
        <f t="array" ref="AC1993">HLOOKUP($J1993,'Type Chart'!$C$2:$T$20,10,false)*HLOOKUP($K1993,'Type Chart'!$C$2:$U$20,10,false)</f>
        <v>1</v>
      </c>
      <c r="AD1993" s="960">
        <f t="array" ref="AD1993">HLOOKUP($J1993,'Type Chart'!$C$2:$T$20,11,false)*HLOOKUP($K1993,'Type Chart'!$C$2:$U$20,11,false)</f>
        <v>1</v>
      </c>
      <c r="AE1993" s="960">
        <f t="array" ref="AE1993">HLOOKUP($J1993,'Type Chart'!$C$2:$T$20,12,false)*HLOOKUP($K1993,'Type Chart'!$C$2:$U$20,12,false)</f>
        <v>1</v>
      </c>
      <c r="AF1993" s="960">
        <f t="array" ref="AF1993">HLOOKUP($J1993,'Type Chart'!$C$2:$T$20,13,false)*HLOOKUP($K1993,'Type Chart'!$C$2:$U$20,13,false)</f>
        <v>1</v>
      </c>
      <c r="AG1993" s="960">
        <f t="array" ref="AG1993">HLOOKUP($J1993,'Type Chart'!$C$2:$T$20,14,false)*HLOOKUP($K1993,'Type Chart'!$C$2:$U$20,14,false)</f>
        <v>1</v>
      </c>
      <c r="AH1993" s="960">
        <f t="array" ref="AH1993">HLOOKUP($J1993,'Type Chart'!$C$2:$T$20,15,false)*HLOOKUP($K1993,'Type Chart'!$C$2:$U$20,15,false)</f>
        <v>0.5</v>
      </c>
      <c r="AI1993" s="960">
        <f t="array" ref="AI1993">HLOOKUP($J1993,'Type Chart'!$C$2:$T$20,16,false)*HLOOKUP($K1993,'Type Chart'!$C$2:$U$20,16,false)</f>
        <v>1</v>
      </c>
      <c r="AJ1993" s="960">
        <f t="array" ref="AJ1993">HLOOKUP($J1993,'Type Chart'!$C$2:$T$20,17,false)*HLOOKUP($K1993,'Type Chart'!$C$2:$U$20,17,false)</f>
        <v>1</v>
      </c>
      <c r="AK1993" s="960">
        <f t="array" ref="AK1993">HLOOKUP($J1993,'Type Chart'!$C$2:$T$20,18,false)*HLOOKUP($K1993,'Type Chart'!$C$2:$U$20,18,false)</f>
        <v>2</v>
      </c>
      <c r="AL1993" s="960">
        <f t="array" ref="AL1993">HLOOKUP($J1993,'Type Chart'!$C$2:$T$20,19,false)*HLOOKUP($K1993,'Type Chart'!$C$2:$U$20,19,false)</f>
        <v>1</v>
      </c>
      <c r="AM1993" s="964" t="s">
        <v>1188</v>
      </c>
      <c r="AN1993" s="965" t="s">
        <v>1185</v>
      </c>
      <c r="AO1993" s="966" t="s">
        <v>1446</v>
      </c>
      <c r="AP1993" s="936"/>
      <c r="AQ1993" s="1245"/>
      <c r="AR1993" s="1245"/>
      <c r="AS1993" s="936"/>
    </row>
    <row r="1994" ht="15.75" customHeight="1">
      <c r="A1994" s="1099"/>
      <c r="B1994" s="948" t="s">
        <v>3042</v>
      </c>
      <c r="C1994" s="1197" t="s">
        <v>3043</v>
      </c>
      <c r="D1994" s="1197" t="s">
        <v>3043</v>
      </c>
      <c r="E1994" s="1147" t="s">
        <v>3043</v>
      </c>
      <c r="F1994" s="940"/>
      <c r="G1994" s="953"/>
      <c r="H1994" s="969"/>
      <c r="I1994" s="998" t="s">
        <v>5096</v>
      </c>
      <c r="J1994" s="1203" t="s">
        <v>344</v>
      </c>
      <c r="K1994" s="984" t="s">
        <v>216</v>
      </c>
      <c r="L1994" s="959">
        <v>70.0</v>
      </c>
      <c r="M1994" s="960">
        <v>55.0</v>
      </c>
      <c r="N1994" s="960">
        <v>95.0</v>
      </c>
      <c r="O1994" s="960">
        <v>95.0</v>
      </c>
      <c r="P1994" s="960">
        <v>110.0</v>
      </c>
      <c r="Q1994" s="960">
        <v>65.0</v>
      </c>
      <c r="R1994" s="960">
        <v>166.0</v>
      </c>
      <c r="S1994" s="960">
        <v>229.0</v>
      </c>
      <c r="T1994" s="960">
        <v>251.0</v>
      </c>
      <c r="U1994" s="960">
        <f t="array" ref="U1994">HLOOKUP($J1994,'Type Chart'!$C$2:$T$20,2,false)*HLOOKUP($K1994,'Type Chart'!$C$2:$U$20,2,false)</f>
        <v>1</v>
      </c>
      <c r="V1994" s="960">
        <f t="array" ref="V1994">HLOOKUP($J1994,'Type Chart'!$C$2:$T$20,3,false)*HLOOKUP($K1994,'Type Chart'!$C$2:$U$20,3,false)</f>
        <v>0.5</v>
      </c>
      <c r="W1994" s="960">
        <f t="array" ref="W1994">HLOOKUP($J1994,'Type Chart'!$C$2:$T$20,4,false)*HLOOKUP($K1994,'Type Chart'!$C$2:$U$20,4,false)</f>
        <v>1</v>
      </c>
      <c r="X1994" s="960">
        <f t="array" ref="X1994">HLOOKUP($J1994,'Type Chart'!$C$2:$T$20,5,false)*HLOOKUP($K1994,'Type Chart'!$C$2:$U$20,5,false)</f>
        <v>1</v>
      </c>
      <c r="Y1994" s="960">
        <f t="array" ref="Y1994">HLOOKUP($J1994,'Type Chart'!$C$2:$T$20,6,false)*HLOOKUP($K1994,'Type Chart'!$C$2:$U$20,6,false)</f>
        <v>1</v>
      </c>
      <c r="Z1994" s="960">
        <f t="array" ref="Z1994">HLOOKUP($J1994,'Type Chart'!$C$2:$T$20,7,false)*HLOOKUP($K1994,'Type Chart'!$C$2:$U$20,7,false)</f>
        <v>1</v>
      </c>
      <c r="AA1994" s="960">
        <f t="array" ref="AA1994">HLOOKUP($J1994,'Type Chart'!$C$2:$T$20,8,false)*HLOOKUP($K1994,'Type Chart'!$C$2:$U$20,8,false)</f>
        <v>2</v>
      </c>
      <c r="AB1994" s="960">
        <f t="array" ref="AB1994">HLOOKUP($J1994,'Type Chart'!$C$2:$T$20,9,false)*HLOOKUP($K1994,'Type Chart'!$C$2:$U$20,9,false)</f>
        <v>2</v>
      </c>
      <c r="AC1994" s="960">
        <f t="array" ref="AC1994">HLOOKUP($J1994,'Type Chart'!$C$2:$T$20,10,false)*HLOOKUP($K1994,'Type Chart'!$C$2:$U$20,10,false)</f>
        <v>1</v>
      </c>
      <c r="AD1994" s="960">
        <f t="array" ref="AD1994">HLOOKUP($J1994,'Type Chart'!$C$2:$T$20,11,false)*HLOOKUP($K1994,'Type Chart'!$C$2:$U$20,11,false)</f>
        <v>1</v>
      </c>
      <c r="AE1994" s="960">
        <f t="array" ref="AE1994">HLOOKUP($J1994,'Type Chart'!$C$2:$T$20,12,false)*HLOOKUP($K1994,'Type Chart'!$C$2:$U$20,12,false)</f>
        <v>1</v>
      </c>
      <c r="AF1994" s="960">
        <f t="array" ref="AF1994">HLOOKUP($J1994,'Type Chart'!$C$2:$T$20,13,false)*HLOOKUP($K1994,'Type Chart'!$C$2:$U$20,13,false)</f>
        <v>1</v>
      </c>
      <c r="AG1994" s="960">
        <f t="array" ref="AG1994">HLOOKUP($J1994,'Type Chart'!$C$2:$T$20,14,false)*HLOOKUP($K1994,'Type Chart'!$C$2:$U$20,14,false)</f>
        <v>1</v>
      </c>
      <c r="AH1994" s="960">
        <f t="array" ref="AH1994">HLOOKUP($J1994,'Type Chart'!$C$2:$T$20,15,false)*HLOOKUP($K1994,'Type Chart'!$C$2:$U$20,15,false)</f>
        <v>0.5</v>
      </c>
      <c r="AI1994" s="960">
        <f t="array" ref="AI1994">HLOOKUP($J1994,'Type Chart'!$C$2:$T$20,16,false)*HLOOKUP($K1994,'Type Chart'!$C$2:$U$20,16,false)</f>
        <v>1</v>
      </c>
      <c r="AJ1994" s="960">
        <f t="array" ref="AJ1994">HLOOKUP($J1994,'Type Chart'!$C$2:$T$20,17,false)*HLOOKUP($K1994,'Type Chart'!$C$2:$U$20,17,false)</f>
        <v>1</v>
      </c>
      <c r="AK1994" s="960">
        <f t="array" ref="AK1994">HLOOKUP($J1994,'Type Chart'!$C$2:$T$20,18,false)*HLOOKUP($K1994,'Type Chart'!$C$2:$U$20,18,false)</f>
        <v>2</v>
      </c>
      <c r="AL1994" s="960">
        <f t="array" ref="AL1994">HLOOKUP($J1994,'Type Chart'!$C$2:$T$20,19,false)*HLOOKUP($K1994,'Type Chart'!$C$2:$U$20,19,false)</f>
        <v>1</v>
      </c>
      <c r="AM1994" s="1145" t="s">
        <v>1188</v>
      </c>
      <c r="AN1994" s="1202" t="s">
        <v>1185</v>
      </c>
      <c r="AO1994" s="1146" t="s">
        <v>1446</v>
      </c>
      <c r="AP1994" s="936"/>
      <c r="AQ1994" s="1245"/>
      <c r="AR1994" s="1245"/>
      <c r="AS1994" s="936"/>
    </row>
    <row r="1995" ht="15.75" customHeight="1">
      <c r="A1995" s="1099"/>
      <c r="B1995" s="948" t="s">
        <v>3044</v>
      </c>
      <c r="C1995" s="1197" t="s">
        <v>3045</v>
      </c>
      <c r="D1995" s="1197" t="s">
        <v>3045</v>
      </c>
      <c r="E1995" s="1147" t="s">
        <v>3045</v>
      </c>
      <c r="F1995" s="940"/>
      <c r="G1995" s="953"/>
      <c r="H1995" s="969"/>
      <c r="I1995" s="998" t="s">
        <v>5097</v>
      </c>
      <c r="J1995" s="1203" t="s">
        <v>344</v>
      </c>
      <c r="K1995" s="984" t="s">
        <v>216</v>
      </c>
      <c r="L1995" s="959">
        <v>45.0</v>
      </c>
      <c r="M1995" s="960">
        <v>30.0</v>
      </c>
      <c r="N1995" s="960">
        <v>40.0</v>
      </c>
      <c r="O1995" s="960">
        <v>105.0</v>
      </c>
      <c r="P1995" s="960">
        <v>50.0</v>
      </c>
      <c r="Q1995" s="960">
        <v>20.0</v>
      </c>
      <c r="R1995" s="960">
        <v>76.0</v>
      </c>
      <c r="S1995" s="960">
        <v>139.0</v>
      </c>
      <c r="T1995" s="960">
        <v>152.0</v>
      </c>
      <c r="U1995" s="960">
        <f t="array" ref="U1995">HLOOKUP($J1995,'Type Chart'!$C$2:$T$20,2,false)*HLOOKUP($K1995,'Type Chart'!$C$2:$U$20,2,false)</f>
        <v>1</v>
      </c>
      <c r="V1995" s="960">
        <f t="array" ref="V1995">HLOOKUP($J1995,'Type Chart'!$C$2:$T$20,3,false)*HLOOKUP($K1995,'Type Chart'!$C$2:$U$20,3,false)</f>
        <v>0.5</v>
      </c>
      <c r="W1995" s="960">
        <f t="array" ref="W1995">HLOOKUP($J1995,'Type Chart'!$C$2:$T$20,4,false)*HLOOKUP($K1995,'Type Chart'!$C$2:$U$20,4,false)</f>
        <v>1</v>
      </c>
      <c r="X1995" s="960">
        <f t="array" ref="X1995">HLOOKUP($J1995,'Type Chart'!$C$2:$T$20,5,false)*HLOOKUP($K1995,'Type Chart'!$C$2:$U$20,5,false)</f>
        <v>1</v>
      </c>
      <c r="Y1995" s="960">
        <f t="array" ref="Y1995">HLOOKUP($J1995,'Type Chart'!$C$2:$T$20,6,false)*HLOOKUP($K1995,'Type Chart'!$C$2:$U$20,6,false)</f>
        <v>1</v>
      </c>
      <c r="Z1995" s="960">
        <f t="array" ref="Z1995">HLOOKUP($J1995,'Type Chart'!$C$2:$T$20,7,false)*HLOOKUP($K1995,'Type Chart'!$C$2:$U$20,7,false)</f>
        <v>1</v>
      </c>
      <c r="AA1995" s="960">
        <f t="array" ref="AA1995">HLOOKUP($J1995,'Type Chart'!$C$2:$T$20,8,false)*HLOOKUP($K1995,'Type Chart'!$C$2:$U$20,8,false)</f>
        <v>2</v>
      </c>
      <c r="AB1995" s="960">
        <f t="array" ref="AB1995">HLOOKUP($J1995,'Type Chart'!$C$2:$T$20,9,false)*HLOOKUP($K1995,'Type Chart'!$C$2:$U$20,9,false)</f>
        <v>2</v>
      </c>
      <c r="AC1995" s="960">
        <f t="array" ref="AC1995">HLOOKUP($J1995,'Type Chart'!$C$2:$T$20,10,false)*HLOOKUP($K1995,'Type Chart'!$C$2:$U$20,10,false)</f>
        <v>1</v>
      </c>
      <c r="AD1995" s="960">
        <f t="array" ref="AD1995">HLOOKUP($J1995,'Type Chart'!$C$2:$T$20,11,false)*HLOOKUP($K1995,'Type Chart'!$C$2:$U$20,11,false)</f>
        <v>1</v>
      </c>
      <c r="AE1995" s="960">
        <f t="array" ref="AE1995">HLOOKUP($J1995,'Type Chart'!$C$2:$T$20,12,false)*HLOOKUP($K1995,'Type Chart'!$C$2:$U$20,12,false)</f>
        <v>1</v>
      </c>
      <c r="AF1995" s="960">
        <f t="array" ref="AF1995">HLOOKUP($J1995,'Type Chart'!$C$2:$T$20,13,false)*HLOOKUP($K1995,'Type Chart'!$C$2:$U$20,13,false)</f>
        <v>1</v>
      </c>
      <c r="AG1995" s="960">
        <f t="array" ref="AG1995">HLOOKUP($J1995,'Type Chart'!$C$2:$T$20,14,false)*HLOOKUP($K1995,'Type Chart'!$C$2:$U$20,14,false)</f>
        <v>1</v>
      </c>
      <c r="AH1995" s="960">
        <f t="array" ref="AH1995">HLOOKUP($J1995,'Type Chart'!$C$2:$T$20,15,false)*HLOOKUP($K1995,'Type Chart'!$C$2:$U$20,15,false)</f>
        <v>0.5</v>
      </c>
      <c r="AI1995" s="960">
        <f t="array" ref="AI1995">HLOOKUP($J1995,'Type Chart'!$C$2:$T$20,16,false)*HLOOKUP($K1995,'Type Chart'!$C$2:$U$20,16,false)</f>
        <v>1</v>
      </c>
      <c r="AJ1995" s="960">
        <f t="array" ref="AJ1995">HLOOKUP($J1995,'Type Chart'!$C$2:$T$20,17,false)*HLOOKUP($K1995,'Type Chart'!$C$2:$U$20,17,false)</f>
        <v>1</v>
      </c>
      <c r="AK1995" s="960">
        <f t="array" ref="AK1995">HLOOKUP($J1995,'Type Chart'!$C$2:$T$20,18,false)*HLOOKUP($K1995,'Type Chart'!$C$2:$U$20,18,false)</f>
        <v>2</v>
      </c>
      <c r="AL1995" s="960">
        <f t="array" ref="AL1995">HLOOKUP($J1995,'Type Chart'!$C$2:$T$20,19,false)*HLOOKUP($K1995,'Type Chart'!$C$2:$U$20,19,false)</f>
        <v>1</v>
      </c>
      <c r="AM1995" s="1145" t="s">
        <v>1431</v>
      </c>
      <c r="AN1995" s="965" t="s">
        <v>1166</v>
      </c>
      <c r="AO1995" s="966" t="s">
        <v>1371</v>
      </c>
      <c r="AP1995" s="936"/>
      <c r="AQ1995" s="1245"/>
      <c r="AR1995" s="1245"/>
      <c r="AS1995" s="936"/>
    </row>
    <row r="1996" ht="15.75" customHeight="1">
      <c r="A1996" s="1099"/>
      <c r="B1996" s="948" t="s">
        <v>3047</v>
      </c>
      <c r="C1996" s="1197" t="s">
        <v>3048</v>
      </c>
      <c r="D1996" s="1197" t="s">
        <v>3048</v>
      </c>
      <c r="E1996" s="1147" t="s">
        <v>3048</v>
      </c>
      <c r="F1996" s="940"/>
      <c r="G1996" s="953"/>
      <c r="H1996" s="969"/>
      <c r="I1996" s="998" t="s">
        <v>5098</v>
      </c>
      <c r="J1996" s="1203" t="s">
        <v>344</v>
      </c>
      <c r="K1996" s="984" t="s">
        <v>216</v>
      </c>
      <c r="L1996" s="959">
        <v>65.0</v>
      </c>
      <c r="M1996" s="960">
        <v>40.0</v>
      </c>
      <c r="N1996" s="960">
        <v>50.0</v>
      </c>
      <c r="O1996" s="960">
        <v>125.0</v>
      </c>
      <c r="P1996" s="960">
        <v>60.0</v>
      </c>
      <c r="Q1996" s="960">
        <v>30.0</v>
      </c>
      <c r="R1996" s="960">
        <v>96.0</v>
      </c>
      <c r="S1996" s="960">
        <v>159.0</v>
      </c>
      <c r="T1996" s="960">
        <v>174.0</v>
      </c>
      <c r="U1996" s="960">
        <f t="array" ref="U1996">HLOOKUP($J1996,'Type Chart'!$C$2:$T$20,2,false)*HLOOKUP($K1996,'Type Chart'!$C$2:$U$20,2,false)</f>
        <v>1</v>
      </c>
      <c r="V1996" s="960">
        <f t="array" ref="V1996">HLOOKUP($J1996,'Type Chart'!$C$2:$T$20,3,false)*HLOOKUP($K1996,'Type Chart'!$C$2:$U$20,3,false)</f>
        <v>0.5</v>
      </c>
      <c r="W1996" s="960">
        <f t="array" ref="W1996">HLOOKUP($J1996,'Type Chart'!$C$2:$T$20,4,false)*HLOOKUP($K1996,'Type Chart'!$C$2:$U$20,4,false)</f>
        <v>1</v>
      </c>
      <c r="X1996" s="960">
        <f t="array" ref="X1996">HLOOKUP($J1996,'Type Chart'!$C$2:$T$20,5,false)*HLOOKUP($K1996,'Type Chart'!$C$2:$U$20,5,false)</f>
        <v>1</v>
      </c>
      <c r="Y1996" s="960">
        <f t="array" ref="Y1996">HLOOKUP($J1996,'Type Chart'!$C$2:$T$20,6,false)*HLOOKUP($K1996,'Type Chart'!$C$2:$U$20,6,false)</f>
        <v>1</v>
      </c>
      <c r="Z1996" s="960">
        <f t="array" ref="Z1996">HLOOKUP($J1996,'Type Chart'!$C$2:$T$20,7,false)*HLOOKUP($K1996,'Type Chart'!$C$2:$U$20,7,false)</f>
        <v>1</v>
      </c>
      <c r="AA1996" s="960">
        <f t="array" ref="AA1996">HLOOKUP($J1996,'Type Chart'!$C$2:$T$20,8,false)*HLOOKUP($K1996,'Type Chart'!$C$2:$U$20,8,false)</f>
        <v>2</v>
      </c>
      <c r="AB1996" s="960">
        <f t="array" ref="AB1996">HLOOKUP($J1996,'Type Chart'!$C$2:$T$20,9,false)*HLOOKUP($K1996,'Type Chart'!$C$2:$U$20,9,false)</f>
        <v>2</v>
      </c>
      <c r="AC1996" s="960">
        <f t="array" ref="AC1996">HLOOKUP($J1996,'Type Chart'!$C$2:$T$20,10,false)*HLOOKUP($K1996,'Type Chart'!$C$2:$U$20,10,false)</f>
        <v>1</v>
      </c>
      <c r="AD1996" s="960">
        <f t="array" ref="AD1996">HLOOKUP($J1996,'Type Chart'!$C$2:$T$20,11,false)*HLOOKUP($K1996,'Type Chart'!$C$2:$U$20,11,false)</f>
        <v>1</v>
      </c>
      <c r="AE1996" s="960">
        <f t="array" ref="AE1996">HLOOKUP($J1996,'Type Chart'!$C$2:$T$20,12,false)*HLOOKUP($K1996,'Type Chart'!$C$2:$U$20,12,false)</f>
        <v>1</v>
      </c>
      <c r="AF1996" s="960">
        <f t="array" ref="AF1996">HLOOKUP($J1996,'Type Chart'!$C$2:$T$20,13,false)*HLOOKUP($K1996,'Type Chart'!$C$2:$U$20,13,false)</f>
        <v>1</v>
      </c>
      <c r="AG1996" s="960">
        <f t="array" ref="AG1996">HLOOKUP($J1996,'Type Chart'!$C$2:$T$20,14,false)*HLOOKUP($K1996,'Type Chart'!$C$2:$U$20,14,false)</f>
        <v>1</v>
      </c>
      <c r="AH1996" s="960">
        <f t="array" ref="AH1996">HLOOKUP($J1996,'Type Chart'!$C$2:$T$20,15,false)*HLOOKUP($K1996,'Type Chart'!$C$2:$U$20,15,false)</f>
        <v>0.5</v>
      </c>
      <c r="AI1996" s="960">
        <f t="array" ref="AI1996">HLOOKUP($J1996,'Type Chart'!$C$2:$T$20,16,false)*HLOOKUP($K1996,'Type Chart'!$C$2:$U$20,16,false)</f>
        <v>1</v>
      </c>
      <c r="AJ1996" s="960">
        <f t="array" ref="AJ1996">HLOOKUP($J1996,'Type Chart'!$C$2:$T$20,17,false)*HLOOKUP($K1996,'Type Chart'!$C$2:$U$20,17,false)</f>
        <v>1</v>
      </c>
      <c r="AK1996" s="960">
        <f t="array" ref="AK1996">HLOOKUP($J1996,'Type Chart'!$C$2:$T$20,18,false)*HLOOKUP($K1996,'Type Chart'!$C$2:$U$20,18,false)</f>
        <v>2</v>
      </c>
      <c r="AL1996" s="960">
        <f t="array" ref="AL1996">HLOOKUP($J1996,'Type Chart'!$C$2:$T$20,19,false)*HLOOKUP($K1996,'Type Chart'!$C$2:$U$20,19,false)</f>
        <v>1</v>
      </c>
      <c r="AM1996" s="1145" t="s">
        <v>1431</v>
      </c>
      <c r="AN1996" s="965" t="s">
        <v>1166</v>
      </c>
      <c r="AO1996" s="966" t="s">
        <v>1371</v>
      </c>
      <c r="AP1996" s="936"/>
      <c r="AQ1996" s="1245"/>
      <c r="AR1996" s="1245"/>
      <c r="AS1996" s="936"/>
    </row>
    <row r="1997" ht="15.75" customHeight="1">
      <c r="A1997" s="1099"/>
      <c r="B1997" s="948" t="s">
        <v>3049</v>
      </c>
      <c r="C1997" s="1197" t="s">
        <v>3050</v>
      </c>
      <c r="D1997" s="1197" t="s">
        <v>3050</v>
      </c>
      <c r="E1997" s="1147" t="s">
        <v>3050</v>
      </c>
      <c r="F1997" s="940"/>
      <c r="G1997" s="953"/>
      <c r="H1997" s="969"/>
      <c r="I1997" s="998" t="s">
        <v>5099</v>
      </c>
      <c r="J1997" s="1203" t="s">
        <v>344</v>
      </c>
      <c r="K1997" s="984" t="s">
        <v>216</v>
      </c>
      <c r="L1997" s="959">
        <v>110.0</v>
      </c>
      <c r="M1997" s="960">
        <v>65.0</v>
      </c>
      <c r="N1997" s="960">
        <v>75.0</v>
      </c>
      <c r="O1997" s="960">
        <v>125.0</v>
      </c>
      <c r="P1997" s="960">
        <v>85.0</v>
      </c>
      <c r="Q1997" s="960">
        <v>30.0</v>
      </c>
      <c r="R1997" s="960">
        <v>96.0</v>
      </c>
      <c r="S1997" s="960">
        <v>159.0</v>
      </c>
      <c r="T1997" s="960">
        <v>174.0</v>
      </c>
      <c r="U1997" s="960">
        <f t="array" ref="U1997">HLOOKUP($J1997,'Type Chart'!$C$2:$T$20,2,false)*HLOOKUP($K1997,'Type Chart'!$C$2:$U$20,2,false)</f>
        <v>1</v>
      </c>
      <c r="V1997" s="960">
        <f t="array" ref="V1997">HLOOKUP($J1997,'Type Chart'!$C$2:$T$20,3,false)*HLOOKUP($K1997,'Type Chart'!$C$2:$U$20,3,false)</f>
        <v>0.5</v>
      </c>
      <c r="W1997" s="960">
        <f t="array" ref="W1997">HLOOKUP($J1997,'Type Chart'!$C$2:$T$20,4,false)*HLOOKUP($K1997,'Type Chart'!$C$2:$U$20,4,false)</f>
        <v>1</v>
      </c>
      <c r="X1997" s="960">
        <f t="array" ref="X1997">HLOOKUP($J1997,'Type Chart'!$C$2:$T$20,5,false)*HLOOKUP($K1997,'Type Chart'!$C$2:$U$20,5,false)</f>
        <v>1</v>
      </c>
      <c r="Y1997" s="960">
        <f t="array" ref="Y1997">HLOOKUP($J1997,'Type Chart'!$C$2:$T$20,6,false)*HLOOKUP($K1997,'Type Chart'!$C$2:$U$20,6,false)</f>
        <v>1</v>
      </c>
      <c r="Z1997" s="960">
        <f t="array" ref="Z1997">HLOOKUP($J1997,'Type Chart'!$C$2:$T$20,7,false)*HLOOKUP($K1997,'Type Chart'!$C$2:$U$20,7,false)</f>
        <v>1</v>
      </c>
      <c r="AA1997" s="960">
        <f t="array" ref="AA1997">HLOOKUP($J1997,'Type Chart'!$C$2:$T$20,8,false)*HLOOKUP($K1997,'Type Chart'!$C$2:$U$20,8,false)</f>
        <v>2</v>
      </c>
      <c r="AB1997" s="960">
        <f t="array" ref="AB1997">HLOOKUP($J1997,'Type Chart'!$C$2:$T$20,9,false)*HLOOKUP($K1997,'Type Chart'!$C$2:$U$20,9,false)</f>
        <v>2</v>
      </c>
      <c r="AC1997" s="960">
        <f t="array" ref="AC1997">HLOOKUP($J1997,'Type Chart'!$C$2:$T$20,10,false)*HLOOKUP($K1997,'Type Chart'!$C$2:$U$20,10,false)</f>
        <v>1</v>
      </c>
      <c r="AD1997" s="960">
        <f t="array" ref="AD1997">HLOOKUP($J1997,'Type Chart'!$C$2:$T$20,11,false)*HLOOKUP($K1997,'Type Chart'!$C$2:$U$20,11,false)</f>
        <v>1</v>
      </c>
      <c r="AE1997" s="960">
        <f t="array" ref="AE1997">HLOOKUP($J1997,'Type Chart'!$C$2:$T$20,12,false)*HLOOKUP($K1997,'Type Chart'!$C$2:$U$20,12,false)</f>
        <v>1</v>
      </c>
      <c r="AF1997" s="960">
        <f t="array" ref="AF1997">HLOOKUP($J1997,'Type Chart'!$C$2:$T$20,13,false)*HLOOKUP($K1997,'Type Chart'!$C$2:$U$20,13,false)</f>
        <v>1</v>
      </c>
      <c r="AG1997" s="960">
        <f t="array" ref="AG1997">HLOOKUP($J1997,'Type Chart'!$C$2:$T$20,14,false)*HLOOKUP($K1997,'Type Chart'!$C$2:$U$20,14,false)</f>
        <v>1</v>
      </c>
      <c r="AH1997" s="960">
        <f t="array" ref="AH1997">HLOOKUP($J1997,'Type Chart'!$C$2:$T$20,15,false)*HLOOKUP($K1997,'Type Chart'!$C$2:$U$20,15,false)</f>
        <v>0.5</v>
      </c>
      <c r="AI1997" s="960">
        <f t="array" ref="AI1997">HLOOKUP($J1997,'Type Chart'!$C$2:$T$20,16,false)*HLOOKUP($K1997,'Type Chart'!$C$2:$U$20,16,false)</f>
        <v>1</v>
      </c>
      <c r="AJ1997" s="960">
        <f t="array" ref="AJ1997">HLOOKUP($J1997,'Type Chart'!$C$2:$T$20,17,false)*HLOOKUP($K1997,'Type Chart'!$C$2:$U$20,17,false)</f>
        <v>1</v>
      </c>
      <c r="AK1997" s="960">
        <f t="array" ref="AK1997">HLOOKUP($J1997,'Type Chart'!$C$2:$T$20,18,false)*HLOOKUP($K1997,'Type Chart'!$C$2:$U$20,18,false)</f>
        <v>2</v>
      </c>
      <c r="AL1997" s="960">
        <f t="array" ref="AL1997">HLOOKUP($J1997,'Type Chart'!$C$2:$T$20,19,false)*HLOOKUP($K1997,'Type Chart'!$C$2:$U$20,19,false)</f>
        <v>1</v>
      </c>
      <c r="AM1997" s="964" t="s">
        <v>1431</v>
      </c>
      <c r="AN1997" s="965" t="s">
        <v>1166</v>
      </c>
      <c r="AO1997" s="966" t="s">
        <v>1371</v>
      </c>
      <c r="AP1997" s="936"/>
      <c r="AQ1997" s="1245"/>
      <c r="AR1997" s="1245"/>
      <c r="AS1997" s="936"/>
    </row>
    <row r="1998" ht="15.75" customHeight="1">
      <c r="A1998" s="1099"/>
      <c r="B1998" s="948" t="s">
        <v>3051</v>
      </c>
      <c r="C1998" s="1197" t="s">
        <v>3052</v>
      </c>
      <c r="D1998" s="1197" t="s">
        <v>3052</v>
      </c>
      <c r="E1998" s="1147" t="s">
        <v>3052</v>
      </c>
      <c r="F1998" s="940"/>
      <c r="G1998" s="953"/>
      <c r="H1998" s="969"/>
      <c r="I1998" s="998" t="s">
        <v>5100</v>
      </c>
      <c r="J1998" s="1056" t="s">
        <v>81</v>
      </c>
      <c r="K1998" s="1001" t="s">
        <v>128</v>
      </c>
      <c r="L1998" s="959">
        <v>62.0</v>
      </c>
      <c r="M1998" s="960">
        <v>44.0</v>
      </c>
      <c r="N1998" s="960">
        <v>50.0</v>
      </c>
      <c r="O1998" s="960">
        <v>44.0</v>
      </c>
      <c r="P1998" s="960">
        <v>50.0</v>
      </c>
      <c r="Q1998" s="960">
        <v>55.0</v>
      </c>
      <c r="R1998" s="960">
        <v>146.0</v>
      </c>
      <c r="S1998" s="960">
        <v>209.0</v>
      </c>
      <c r="T1998" s="960">
        <v>229.0</v>
      </c>
      <c r="U1998" s="960">
        <f t="array" ref="U1998">HLOOKUP($J1998,'Type Chart'!$C$2:$T$20,2,false)*HLOOKUP($K1998,'Type Chart'!$C$2:$U$20,2,false)</f>
        <v>1</v>
      </c>
      <c r="V1998" s="960">
        <f t="array" ref="V1998">HLOOKUP($J1998,'Type Chart'!$C$2:$T$20,3,false)*HLOOKUP($K1998,'Type Chart'!$C$2:$U$20,3,false)</f>
        <v>0.5</v>
      </c>
      <c r="W1998" s="960">
        <f t="array" ref="W1998">HLOOKUP($J1998,'Type Chart'!$C$2:$T$20,4,false)*HLOOKUP($K1998,'Type Chart'!$C$2:$U$20,4,false)</f>
        <v>1</v>
      </c>
      <c r="X1998" s="960">
        <f t="array" ref="X1998">HLOOKUP($J1998,'Type Chart'!$C$2:$T$20,5,false)*HLOOKUP($K1998,'Type Chart'!$C$2:$U$20,5,false)</f>
        <v>1</v>
      </c>
      <c r="Y1998" s="960">
        <f t="array" ref="Y1998">HLOOKUP($J1998,'Type Chart'!$C$2:$T$20,6,false)*HLOOKUP($K1998,'Type Chart'!$C$2:$U$20,6,false)</f>
        <v>0</v>
      </c>
      <c r="Z1998" s="960">
        <f t="array" ref="Z1998">HLOOKUP($J1998,'Type Chart'!$C$2:$T$20,7,false)*HLOOKUP($K1998,'Type Chart'!$C$2:$U$20,7,false)</f>
        <v>2</v>
      </c>
      <c r="AA1998" s="960">
        <f t="array" ref="AA1998">HLOOKUP($J1998,'Type Chart'!$C$2:$T$20,8,false)*HLOOKUP($K1998,'Type Chart'!$C$2:$U$20,8,false)</f>
        <v>0.5</v>
      </c>
      <c r="AB1998" s="960">
        <f t="array" ref="AB1998">HLOOKUP($J1998,'Type Chart'!$C$2:$T$20,9,false)*HLOOKUP($K1998,'Type Chart'!$C$2:$U$20,9,false)</f>
        <v>1</v>
      </c>
      <c r="AC1998" s="960">
        <f t="array" ref="AC1998">HLOOKUP($J1998,'Type Chart'!$C$2:$T$20,10,false)*HLOOKUP($K1998,'Type Chart'!$C$2:$U$20,10,false)</f>
        <v>0.5</v>
      </c>
      <c r="AD1998" s="960">
        <f t="array" ref="AD1998">HLOOKUP($J1998,'Type Chart'!$C$2:$T$20,11,false)*HLOOKUP($K1998,'Type Chart'!$C$2:$U$20,11,false)</f>
        <v>0.5</v>
      </c>
      <c r="AE1998" s="960">
        <f t="array" ref="AE1998">HLOOKUP($J1998,'Type Chart'!$C$2:$T$20,12,false)*HLOOKUP($K1998,'Type Chart'!$C$2:$U$20,12,false)</f>
        <v>0.5</v>
      </c>
      <c r="AF1998" s="960">
        <f t="array" ref="AF1998">HLOOKUP($J1998,'Type Chart'!$C$2:$T$20,13,false)*HLOOKUP($K1998,'Type Chart'!$C$2:$U$20,13,false)</f>
        <v>1</v>
      </c>
      <c r="AG1998" s="960">
        <f t="array" ref="AG1998">HLOOKUP($J1998,'Type Chart'!$C$2:$T$20,14,false)*HLOOKUP($K1998,'Type Chart'!$C$2:$U$20,14,false)</f>
        <v>4</v>
      </c>
      <c r="AH1998" s="960">
        <f t="array" ref="AH1998">HLOOKUP($J1998,'Type Chart'!$C$2:$T$20,15,false)*HLOOKUP($K1998,'Type Chart'!$C$2:$U$20,15,false)</f>
        <v>1</v>
      </c>
      <c r="AI1998" s="960">
        <f t="array" ref="AI1998">HLOOKUP($J1998,'Type Chart'!$C$2:$T$20,16,false)*HLOOKUP($K1998,'Type Chart'!$C$2:$U$20,16,false)</f>
        <v>1</v>
      </c>
      <c r="AJ1998" s="960">
        <f t="array" ref="AJ1998">HLOOKUP($J1998,'Type Chart'!$C$2:$T$20,17,false)*HLOOKUP($K1998,'Type Chart'!$C$2:$U$20,17,false)</f>
        <v>1</v>
      </c>
      <c r="AK1998" s="960">
        <f t="array" ref="AK1998">HLOOKUP($J1998,'Type Chart'!$C$2:$T$20,18,false)*HLOOKUP($K1998,'Type Chart'!$C$2:$U$20,18,false)</f>
        <v>1</v>
      </c>
      <c r="AL1998" s="960">
        <f t="array" ref="AL1998">HLOOKUP($J1998,'Type Chart'!$C$2:$T$20,19,false)*HLOOKUP($K1998,'Type Chart'!$C$2:$U$20,19,false)</f>
        <v>1</v>
      </c>
      <c r="AM1998" s="964" t="s">
        <v>1022</v>
      </c>
      <c r="AN1998" s="965" t="s">
        <v>1024</v>
      </c>
      <c r="AO1998" s="966" t="s">
        <v>1409</v>
      </c>
      <c r="AP1998" s="936"/>
      <c r="AQ1998" s="1245"/>
      <c r="AR1998" s="1245"/>
      <c r="AS1998" s="936"/>
    </row>
    <row r="1999" ht="15.75" customHeight="1">
      <c r="A1999" s="1099"/>
      <c r="B1999" s="948" t="s">
        <v>3054</v>
      </c>
      <c r="C1999" s="1197" t="s">
        <v>3055</v>
      </c>
      <c r="D1999" s="1197" t="s">
        <v>3055</v>
      </c>
      <c r="E1999" s="1147" t="s">
        <v>3055</v>
      </c>
      <c r="F1999" s="940"/>
      <c r="G1999" s="953"/>
      <c r="H1999" s="969"/>
      <c r="I1999" s="998" t="s">
        <v>5101</v>
      </c>
      <c r="J1999" s="1056" t="s">
        <v>81</v>
      </c>
      <c r="K1999" s="1001" t="s">
        <v>128</v>
      </c>
      <c r="L1999" s="959">
        <v>75.0</v>
      </c>
      <c r="M1999" s="960">
        <v>87.0</v>
      </c>
      <c r="N1999" s="960">
        <v>63.0</v>
      </c>
      <c r="O1999" s="960">
        <v>87.0</v>
      </c>
      <c r="P1999" s="960">
        <v>63.0</v>
      </c>
      <c r="Q1999" s="960">
        <v>98.0</v>
      </c>
      <c r="R1999" s="960">
        <v>232.0</v>
      </c>
      <c r="S1999" s="960">
        <v>295.0</v>
      </c>
      <c r="T1999" s="960">
        <v>324.0</v>
      </c>
      <c r="U1999" s="960">
        <f t="array" ref="U1999">HLOOKUP($J1999,'Type Chart'!$C$2:$T$20,2,false)*HLOOKUP($K1999,'Type Chart'!$C$2:$U$20,2,false)</f>
        <v>1</v>
      </c>
      <c r="V1999" s="960">
        <f t="array" ref="V1999">HLOOKUP($J1999,'Type Chart'!$C$2:$T$20,3,false)*HLOOKUP($K1999,'Type Chart'!$C$2:$U$20,3,false)</f>
        <v>0.5</v>
      </c>
      <c r="W1999" s="960">
        <f t="array" ref="W1999">HLOOKUP($J1999,'Type Chart'!$C$2:$T$20,4,false)*HLOOKUP($K1999,'Type Chart'!$C$2:$U$20,4,false)</f>
        <v>1</v>
      </c>
      <c r="X1999" s="960">
        <f t="array" ref="X1999">HLOOKUP($J1999,'Type Chart'!$C$2:$T$20,5,false)*HLOOKUP($K1999,'Type Chart'!$C$2:$U$20,5,false)</f>
        <v>1</v>
      </c>
      <c r="Y1999" s="960">
        <f t="array" ref="Y1999">HLOOKUP($J1999,'Type Chart'!$C$2:$T$20,6,false)*HLOOKUP($K1999,'Type Chart'!$C$2:$U$20,6,false)</f>
        <v>0</v>
      </c>
      <c r="Z1999" s="960">
        <f t="array" ref="Z1999">HLOOKUP($J1999,'Type Chart'!$C$2:$T$20,7,false)*HLOOKUP($K1999,'Type Chart'!$C$2:$U$20,7,false)</f>
        <v>2</v>
      </c>
      <c r="AA1999" s="960">
        <f t="array" ref="AA1999">HLOOKUP($J1999,'Type Chart'!$C$2:$T$20,8,false)*HLOOKUP($K1999,'Type Chart'!$C$2:$U$20,8,false)</f>
        <v>0.5</v>
      </c>
      <c r="AB1999" s="960">
        <f t="array" ref="AB1999">HLOOKUP($J1999,'Type Chart'!$C$2:$T$20,9,false)*HLOOKUP($K1999,'Type Chart'!$C$2:$U$20,9,false)</f>
        <v>1</v>
      </c>
      <c r="AC1999" s="960">
        <f t="array" ref="AC1999">HLOOKUP($J1999,'Type Chart'!$C$2:$T$20,10,false)*HLOOKUP($K1999,'Type Chart'!$C$2:$U$20,10,false)</f>
        <v>0.5</v>
      </c>
      <c r="AD1999" s="960">
        <f t="array" ref="AD1999">HLOOKUP($J1999,'Type Chart'!$C$2:$T$20,11,false)*HLOOKUP($K1999,'Type Chart'!$C$2:$U$20,11,false)</f>
        <v>0.5</v>
      </c>
      <c r="AE1999" s="960">
        <f t="array" ref="AE1999">HLOOKUP($J1999,'Type Chart'!$C$2:$T$20,12,false)*HLOOKUP($K1999,'Type Chart'!$C$2:$U$20,12,false)</f>
        <v>0.5</v>
      </c>
      <c r="AF1999" s="960">
        <f t="array" ref="AF1999">HLOOKUP($J1999,'Type Chart'!$C$2:$T$20,13,false)*HLOOKUP($K1999,'Type Chart'!$C$2:$U$20,13,false)</f>
        <v>1</v>
      </c>
      <c r="AG1999" s="960">
        <f t="array" ref="AG1999">HLOOKUP($J1999,'Type Chart'!$C$2:$T$20,14,false)*HLOOKUP($K1999,'Type Chart'!$C$2:$U$20,14,false)</f>
        <v>4</v>
      </c>
      <c r="AH1999" s="960">
        <f t="array" ref="AH1999">HLOOKUP($J1999,'Type Chart'!$C$2:$T$20,15,false)*HLOOKUP($K1999,'Type Chart'!$C$2:$U$20,15,false)</f>
        <v>1</v>
      </c>
      <c r="AI1999" s="960">
        <f t="array" ref="AI1999">HLOOKUP($J1999,'Type Chart'!$C$2:$T$20,16,false)*HLOOKUP($K1999,'Type Chart'!$C$2:$U$20,16,false)</f>
        <v>1</v>
      </c>
      <c r="AJ1999" s="960">
        <f t="array" ref="AJ1999">HLOOKUP($J1999,'Type Chart'!$C$2:$T$20,17,false)*HLOOKUP($K1999,'Type Chart'!$C$2:$U$20,17,false)</f>
        <v>1</v>
      </c>
      <c r="AK1999" s="960">
        <f t="array" ref="AK1999">HLOOKUP($J1999,'Type Chart'!$C$2:$T$20,18,false)*HLOOKUP($K1999,'Type Chart'!$C$2:$U$20,18,false)</f>
        <v>1</v>
      </c>
      <c r="AL1999" s="960">
        <f t="array" ref="AL1999">HLOOKUP($J1999,'Type Chart'!$C$2:$T$20,19,false)*HLOOKUP($K1999,'Type Chart'!$C$2:$U$20,19,false)</f>
        <v>1</v>
      </c>
      <c r="AM1999" s="1145" t="s">
        <v>1022</v>
      </c>
      <c r="AN1999" s="1202" t="s">
        <v>1024</v>
      </c>
      <c r="AO1999" s="1146" t="s">
        <v>1409</v>
      </c>
      <c r="AP1999" s="936"/>
      <c r="AQ1999" s="1245"/>
      <c r="AR1999" s="1245"/>
      <c r="AS1999" s="936"/>
    </row>
    <row r="2000" ht="15.75" customHeight="1">
      <c r="A2000" s="1099"/>
      <c r="B2000" s="948" t="s">
        <v>3056</v>
      </c>
      <c r="C2000" s="1197" t="s">
        <v>3057</v>
      </c>
      <c r="D2000" s="1197" t="s">
        <v>3057</v>
      </c>
      <c r="E2000" s="1147" t="s">
        <v>3057</v>
      </c>
      <c r="F2000" s="940"/>
      <c r="G2000" s="953"/>
      <c r="H2000" s="969"/>
      <c r="I2000" s="998" t="s">
        <v>5102</v>
      </c>
      <c r="J2000" s="1205" t="s">
        <v>345</v>
      </c>
      <c r="K2000" s="984" t="s">
        <v>216</v>
      </c>
      <c r="L2000" s="959">
        <v>36.0</v>
      </c>
      <c r="M2000" s="960">
        <v>50.0</v>
      </c>
      <c r="N2000" s="960">
        <v>50.0</v>
      </c>
      <c r="O2000" s="960">
        <v>65.0</v>
      </c>
      <c r="P2000" s="960">
        <v>60.0</v>
      </c>
      <c r="Q2000" s="960">
        <v>44.0</v>
      </c>
      <c r="R2000" s="960">
        <v>124.0</v>
      </c>
      <c r="S2000" s="960">
        <v>187.0</v>
      </c>
      <c r="T2000" s="960">
        <v>205.0</v>
      </c>
      <c r="U2000" s="960">
        <f t="array" ref="U2000">HLOOKUP($J2000,'Type Chart'!$C$2:$T$20,2,false)*HLOOKUP($K2000,'Type Chart'!$C$2:$U$20,2,false)</f>
        <v>1</v>
      </c>
      <c r="V2000" s="960">
        <f t="array" ref="V2000">HLOOKUP($J2000,'Type Chart'!$C$2:$T$20,3,false)*HLOOKUP($K2000,'Type Chart'!$C$2:$U$20,3,false)</f>
        <v>2</v>
      </c>
      <c r="W2000" s="960">
        <f t="array" ref="W2000">HLOOKUP($J2000,'Type Chart'!$C$2:$T$20,4,false)*HLOOKUP($K2000,'Type Chart'!$C$2:$U$20,4,false)</f>
        <v>1</v>
      </c>
      <c r="X2000" s="960">
        <f t="array" ref="X2000">HLOOKUP($J2000,'Type Chart'!$C$2:$T$20,5,false)*HLOOKUP($K2000,'Type Chart'!$C$2:$U$20,5,false)</f>
        <v>1</v>
      </c>
      <c r="Y2000" s="960">
        <f t="array" ref="Y2000">HLOOKUP($J2000,'Type Chart'!$C$2:$T$20,6,false)*HLOOKUP($K2000,'Type Chart'!$C$2:$U$20,6,false)</f>
        <v>1</v>
      </c>
      <c r="Z2000" s="960">
        <f t="array" ref="Z2000">HLOOKUP($J2000,'Type Chart'!$C$2:$T$20,7,false)*HLOOKUP($K2000,'Type Chart'!$C$2:$U$20,7,false)</f>
        <v>2</v>
      </c>
      <c r="AA2000" s="960">
        <f t="array" ref="AA2000">HLOOKUP($J2000,'Type Chart'!$C$2:$T$20,8,false)*HLOOKUP($K2000,'Type Chart'!$C$2:$U$20,8,false)</f>
        <v>1</v>
      </c>
      <c r="AB2000" s="960">
        <f t="array" ref="AB2000">HLOOKUP($J2000,'Type Chart'!$C$2:$T$20,9,false)*HLOOKUP($K2000,'Type Chart'!$C$2:$U$20,9,false)</f>
        <v>1</v>
      </c>
      <c r="AC2000" s="960">
        <f t="array" ref="AC2000">HLOOKUP($J2000,'Type Chart'!$C$2:$T$20,10,false)*HLOOKUP($K2000,'Type Chart'!$C$2:$U$20,10,false)</f>
        <v>2</v>
      </c>
      <c r="AD2000" s="960">
        <f t="array" ref="AD2000">HLOOKUP($J2000,'Type Chart'!$C$2:$T$20,11,false)*HLOOKUP($K2000,'Type Chart'!$C$2:$U$20,11,false)</f>
        <v>2</v>
      </c>
      <c r="AE2000" s="960">
        <f t="array" ref="AE2000">HLOOKUP($J2000,'Type Chart'!$C$2:$T$20,12,false)*HLOOKUP($K2000,'Type Chart'!$C$2:$U$20,12,false)</f>
        <v>1</v>
      </c>
      <c r="AF2000" s="960">
        <f t="array" ref="AF2000">HLOOKUP($J2000,'Type Chart'!$C$2:$T$20,13,false)*HLOOKUP($K2000,'Type Chart'!$C$2:$U$20,13,false)</f>
        <v>1</v>
      </c>
      <c r="AG2000" s="960">
        <f t="array" ref="AG2000">HLOOKUP($J2000,'Type Chart'!$C$2:$T$20,14,false)*HLOOKUP($K2000,'Type Chart'!$C$2:$U$20,14,false)</f>
        <v>1</v>
      </c>
      <c r="AH2000" s="960">
        <f t="array" ref="AH2000">HLOOKUP($J2000,'Type Chart'!$C$2:$T$20,15,false)*HLOOKUP($K2000,'Type Chart'!$C$2:$U$20,15,false)</f>
        <v>1</v>
      </c>
      <c r="AI2000" s="960">
        <f t="array" ref="AI2000">HLOOKUP($J2000,'Type Chart'!$C$2:$T$20,16,false)*HLOOKUP($K2000,'Type Chart'!$C$2:$U$20,16,false)</f>
        <v>0.5</v>
      </c>
      <c r="AJ2000" s="960">
        <f t="array" ref="AJ2000">HLOOKUP($J2000,'Type Chart'!$C$2:$T$20,17,false)*HLOOKUP($K2000,'Type Chart'!$C$2:$U$20,17,false)</f>
        <v>1</v>
      </c>
      <c r="AK2000" s="960">
        <f t="array" ref="AK2000">HLOOKUP($J2000,'Type Chart'!$C$2:$T$20,18,false)*HLOOKUP($K2000,'Type Chart'!$C$2:$U$20,18,false)</f>
        <v>1</v>
      </c>
      <c r="AL2000" s="960">
        <f t="array" ref="AL2000">HLOOKUP($J2000,'Type Chart'!$C$2:$T$20,19,false)*HLOOKUP($K2000,'Type Chart'!$C$2:$U$20,19,false)</f>
        <v>1</v>
      </c>
      <c r="AM2000" s="964" t="s">
        <v>1410</v>
      </c>
      <c r="AN2000" s="965" t="s">
        <v>1135</v>
      </c>
      <c r="AO2000" s="966" t="s">
        <v>1450</v>
      </c>
      <c r="AP2000" s="936"/>
      <c r="AQ2000" s="1245"/>
      <c r="AR2000" s="1245"/>
      <c r="AS2000" s="936"/>
    </row>
    <row r="2001" ht="15.75" customHeight="1">
      <c r="A2001" s="1099"/>
      <c r="B2001" s="948" t="s">
        <v>3059</v>
      </c>
      <c r="C2001" s="1197" t="s">
        <v>3060</v>
      </c>
      <c r="D2001" s="1197" t="s">
        <v>3060</v>
      </c>
      <c r="E2001" s="1147" t="s">
        <v>3060</v>
      </c>
      <c r="F2001" s="940"/>
      <c r="G2001" s="953"/>
      <c r="H2001" s="969"/>
      <c r="I2001" s="998" t="s">
        <v>5103</v>
      </c>
      <c r="J2001" s="1205" t="s">
        <v>345</v>
      </c>
      <c r="K2001" s="984" t="s">
        <v>216</v>
      </c>
      <c r="L2001" s="959">
        <v>51.0</v>
      </c>
      <c r="M2001" s="960">
        <v>65.0</v>
      </c>
      <c r="N2001" s="960">
        <v>65.0</v>
      </c>
      <c r="O2001" s="960">
        <v>80.0</v>
      </c>
      <c r="P2001" s="960">
        <v>75.0</v>
      </c>
      <c r="Q2001" s="960">
        <v>59.0</v>
      </c>
      <c r="R2001" s="960">
        <v>154.0</v>
      </c>
      <c r="S2001" s="960">
        <v>217.0</v>
      </c>
      <c r="T2001" s="960">
        <v>238.0</v>
      </c>
      <c r="U2001" s="960">
        <f t="array" ref="U2001">HLOOKUP($J2001,'Type Chart'!$C$2:$T$20,2,false)*HLOOKUP($K2001,'Type Chart'!$C$2:$U$20,2,false)</f>
        <v>1</v>
      </c>
      <c r="V2001" s="960">
        <f t="array" ref="V2001">HLOOKUP($J2001,'Type Chart'!$C$2:$T$20,3,false)*HLOOKUP($K2001,'Type Chart'!$C$2:$U$20,3,false)</f>
        <v>2</v>
      </c>
      <c r="W2001" s="960">
        <f t="array" ref="W2001">HLOOKUP($J2001,'Type Chart'!$C$2:$T$20,4,false)*HLOOKUP($K2001,'Type Chart'!$C$2:$U$20,4,false)</f>
        <v>1</v>
      </c>
      <c r="X2001" s="960">
        <f t="array" ref="X2001">HLOOKUP($J2001,'Type Chart'!$C$2:$T$20,5,false)*HLOOKUP($K2001,'Type Chart'!$C$2:$U$20,5,false)</f>
        <v>1</v>
      </c>
      <c r="Y2001" s="960">
        <f t="array" ref="Y2001">HLOOKUP($J2001,'Type Chart'!$C$2:$T$20,6,false)*HLOOKUP($K2001,'Type Chart'!$C$2:$U$20,6,false)</f>
        <v>1</v>
      </c>
      <c r="Z2001" s="960">
        <f t="array" ref="Z2001">HLOOKUP($J2001,'Type Chart'!$C$2:$T$20,7,false)*HLOOKUP($K2001,'Type Chart'!$C$2:$U$20,7,false)</f>
        <v>2</v>
      </c>
      <c r="AA2001" s="960">
        <f t="array" ref="AA2001">HLOOKUP($J2001,'Type Chart'!$C$2:$T$20,8,false)*HLOOKUP($K2001,'Type Chart'!$C$2:$U$20,8,false)</f>
        <v>1</v>
      </c>
      <c r="AB2001" s="960">
        <f t="array" ref="AB2001">HLOOKUP($J2001,'Type Chart'!$C$2:$T$20,9,false)*HLOOKUP($K2001,'Type Chart'!$C$2:$U$20,9,false)</f>
        <v>1</v>
      </c>
      <c r="AC2001" s="960">
        <f t="array" ref="AC2001">HLOOKUP($J2001,'Type Chart'!$C$2:$T$20,10,false)*HLOOKUP($K2001,'Type Chart'!$C$2:$U$20,10,false)</f>
        <v>2</v>
      </c>
      <c r="AD2001" s="960">
        <f t="array" ref="AD2001">HLOOKUP($J2001,'Type Chart'!$C$2:$T$20,11,false)*HLOOKUP($K2001,'Type Chart'!$C$2:$U$20,11,false)</f>
        <v>2</v>
      </c>
      <c r="AE2001" s="960">
        <f t="array" ref="AE2001">HLOOKUP($J2001,'Type Chart'!$C$2:$T$20,12,false)*HLOOKUP($K2001,'Type Chart'!$C$2:$U$20,12,false)</f>
        <v>1</v>
      </c>
      <c r="AF2001" s="960">
        <f t="array" ref="AF2001">HLOOKUP($J2001,'Type Chart'!$C$2:$T$20,13,false)*HLOOKUP($K2001,'Type Chart'!$C$2:$U$20,13,false)</f>
        <v>1</v>
      </c>
      <c r="AG2001" s="960">
        <f t="array" ref="AG2001">HLOOKUP($J2001,'Type Chart'!$C$2:$T$20,14,false)*HLOOKUP($K2001,'Type Chart'!$C$2:$U$20,14,false)</f>
        <v>1</v>
      </c>
      <c r="AH2001" s="960">
        <f t="array" ref="AH2001">HLOOKUP($J2001,'Type Chart'!$C$2:$T$20,15,false)*HLOOKUP($K2001,'Type Chart'!$C$2:$U$20,15,false)</f>
        <v>1</v>
      </c>
      <c r="AI2001" s="960">
        <f t="array" ref="AI2001">HLOOKUP($J2001,'Type Chart'!$C$2:$T$20,16,false)*HLOOKUP($K2001,'Type Chart'!$C$2:$U$20,16,false)</f>
        <v>0.5</v>
      </c>
      <c r="AJ2001" s="960">
        <f t="array" ref="AJ2001">HLOOKUP($J2001,'Type Chart'!$C$2:$T$20,17,false)*HLOOKUP($K2001,'Type Chart'!$C$2:$U$20,17,false)</f>
        <v>1</v>
      </c>
      <c r="AK2001" s="960">
        <f t="array" ref="AK2001">HLOOKUP($J2001,'Type Chart'!$C$2:$T$20,18,false)*HLOOKUP($K2001,'Type Chart'!$C$2:$U$20,18,false)</f>
        <v>1</v>
      </c>
      <c r="AL2001" s="960">
        <f t="array" ref="AL2001">HLOOKUP($J2001,'Type Chart'!$C$2:$T$20,19,false)*HLOOKUP($K2001,'Type Chart'!$C$2:$U$20,19,false)</f>
        <v>1</v>
      </c>
      <c r="AM2001" s="964" t="s">
        <v>1410</v>
      </c>
      <c r="AN2001" s="965" t="s">
        <v>1135</v>
      </c>
      <c r="AO2001" s="966" t="s">
        <v>1450</v>
      </c>
      <c r="AP2001" s="936"/>
      <c r="AQ2001" s="1245"/>
      <c r="AR2001" s="1245"/>
      <c r="AS2001" s="936"/>
    </row>
    <row r="2002" ht="15.75" customHeight="1">
      <c r="A2002" s="1099"/>
      <c r="B2002" s="948" t="s">
        <v>3062</v>
      </c>
      <c r="C2002" s="1197" t="s">
        <v>3063</v>
      </c>
      <c r="D2002" s="1197" t="s">
        <v>3063</v>
      </c>
      <c r="E2002" s="1147" t="s">
        <v>3063</v>
      </c>
      <c r="F2002" s="940"/>
      <c r="G2002" s="953"/>
      <c r="H2002" s="969"/>
      <c r="I2002" s="998" t="s">
        <v>5104</v>
      </c>
      <c r="J2002" s="1205" t="s">
        <v>345</v>
      </c>
      <c r="K2002" s="984" t="s">
        <v>216</v>
      </c>
      <c r="L2002" s="959">
        <v>71.0</v>
      </c>
      <c r="M2002" s="960">
        <v>95.0</v>
      </c>
      <c r="N2002" s="960">
        <v>85.0</v>
      </c>
      <c r="O2002" s="960">
        <v>110.0</v>
      </c>
      <c r="P2002" s="960">
        <v>95.0</v>
      </c>
      <c r="Q2002" s="960">
        <v>79.0</v>
      </c>
      <c r="R2002" s="960">
        <v>194.0</v>
      </c>
      <c r="S2002" s="960">
        <v>257.0</v>
      </c>
      <c r="T2002" s="960">
        <v>282.0</v>
      </c>
      <c r="U2002" s="960">
        <f t="array" ref="U2002">HLOOKUP($J2002,'Type Chart'!$C$2:$T$20,2,false)*HLOOKUP($K2002,'Type Chart'!$C$2:$U$20,2,false)</f>
        <v>1</v>
      </c>
      <c r="V2002" s="960">
        <f t="array" ref="V2002">HLOOKUP($J2002,'Type Chart'!$C$2:$T$20,3,false)*HLOOKUP($K2002,'Type Chart'!$C$2:$U$20,3,false)</f>
        <v>2</v>
      </c>
      <c r="W2002" s="960">
        <f t="array" ref="W2002">HLOOKUP($J2002,'Type Chart'!$C$2:$T$20,4,false)*HLOOKUP($K2002,'Type Chart'!$C$2:$U$20,4,false)</f>
        <v>1</v>
      </c>
      <c r="X2002" s="960">
        <f t="array" ref="X2002">HLOOKUP($J2002,'Type Chart'!$C$2:$T$20,5,false)*HLOOKUP($K2002,'Type Chart'!$C$2:$U$20,5,false)</f>
        <v>1</v>
      </c>
      <c r="Y2002" s="960">
        <f t="array" ref="Y2002">HLOOKUP($J2002,'Type Chart'!$C$2:$T$20,6,false)*HLOOKUP($K2002,'Type Chart'!$C$2:$U$20,6,false)</f>
        <v>1</v>
      </c>
      <c r="Z2002" s="960">
        <f t="array" ref="Z2002">HLOOKUP($J2002,'Type Chart'!$C$2:$T$20,7,false)*HLOOKUP($K2002,'Type Chart'!$C$2:$U$20,7,false)</f>
        <v>2</v>
      </c>
      <c r="AA2002" s="960">
        <f t="array" ref="AA2002">HLOOKUP($J2002,'Type Chart'!$C$2:$T$20,8,false)*HLOOKUP($K2002,'Type Chart'!$C$2:$U$20,8,false)</f>
        <v>1</v>
      </c>
      <c r="AB2002" s="960">
        <f t="array" ref="AB2002">HLOOKUP($J2002,'Type Chart'!$C$2:$T$20,9,false)*HLOOKUP($K2002,'Type Chart'!$C$2:$U$20,9,false)</f>
        <v>1</v>
      </c>
      <c r="AC2002" s="960">
        <f t="array" ref="AC2002">HLOOKUP($J2002,'Type Chart'!$C$2:$T$20,10,false)*HLOOKUP($K2002,'Type Chart'!$C$2:$U$20,10,false)</f>
        <v>2</v>
      </c>
      <c r="AD2002" s="960">
        <f t="array" ref="AD2002">HLOOKUP($J2002,'Type Chart'!$C$2:$T$20,11,false)*HLOOKUP($K2002,'Type Chart'!$C$2:$U$20,11,false)</f>
        <v>2</v>
      </c>
      <c r="AE2002" s="960">
        <f t="array" ref="AE2002">HLOOKUP($J2002,'Type Chart'!$C$2:$T$20,12,false)*HLOOKUP($K2002,'Type Chart'!$C$2:$U$20,12,false)</f>
        <v>1</v>
      </c>
      <c r="AF2002" s="960">
        <f t="array" ref="AF2002">HLOOKUP($J2002,'Type Chart'!$C$2:$T$20,13,false)*HLOOKUP($K2002,'Type Chart'!$C$2:$U$20,13,false)</f>
        <v>1</v>
      </c>
      <c r="AG2002" s="960">
        <f t="array" ref="AG2002">HLOOKUP($J2002,'Type Chart'!$C$2:$T$20,14,false)*HLOOKUP($K2002,'Type Chart'!$C$2:$U$20,14,false)</f>
        <v>1</v>
      </c>
      <c r="AH2002" s="960">
        <f t="array" ref="AH2002">HLOOKUP($J2002,'Type Chart'!$C$2:$T$20,15,false)*HLOOKUP($K2002,'Type Chart'!$C$2:$U$20,15,false)</f>
        <v>1</v>
      </c>
      <c r="AI2002" s="960">
        <f t="array" ref="AI2002">HLOOKUP($J2002,'Type Chart'!$C$2:$T$20,16,false)*HLOOKUP($K2002,'Type Chart'!$C$2:$U$20,16,false)</f>
        <v>0.5</v>
      </c>
      <c r="AJ2002" s="960">
        <f t="array" ref="AJ2002">HLOOKUP($J2002,'Type Chart'!$C$2:$T$20,17,false)*HLOOKUP($K2002,'Type Chart'!$C$2:$U$20,17,false)</f>
        <v>1</v>
      </c>
      <c r="AK2002" s="960">
        <f t="array" ref="AK2002">HLOOKUP($J2002,'Type Chart'!$C$2:$T$20,18,false)*HLOOKUP($K2002,'Type Chart'!$C$2:$U$20,18,false)</f>
        <v>1</v>
      </c>
      <c r="AL2002" s="960">
        <f t="array" ref="AL2002">HLOOKUP($J2002,'Type Chart'!$C$2:$T$20,19,false)*HLOOKUP($K2002,'Type Chart'!$C$2:$U$20,19,false)</f>
        <v>1</v>
      </c>
      <c r="AM2002" s="964" t="s">
        <v>1410</v>
      </c>
      <c r="AN2002" s="965" t="s">
        <v>1176</v>
      </c>
      <c r="AO2002" s="966" t="s">
        <v>1450</v>
      </c>
      <c r="AP2002" s="936"/>
      <c r="AQ2002" s="1245"/>
      <c r="AR2002" s="1245"/>
      <c r="AS2002" s="936"/>
    </row>
    <row r="2003" ht="15.75" customHeight="1">
      <c r="A2003" s="1099"/>
      <c r="B2003" s="948" t="s">
        <v>3065</v>
      </c>
      <c r="C2003" s="1197" t="s">
        <v>3066</v>
      </c>
      <c r="D2003" s="1197" t="s">
        <v>3066</v>
      </c>
      <c r="E2003" s="1147" t="s">
        <v>3066</v>
      </c>
      <c r="F2003" s="940"/>
      <c r="G2003" s="953"/>
      <c r="H2003" s="969"/>
      <c r="I2003" s="998" t="s">
        <v>5105</v>
      </c>
      <c r="J2003" s="1194" t="s">
        <v>136</v>
      </c>
      <c r="K2003" s="957" t="s">
        <v>209</v>
      </c>
      <c r="L2003" s="959">
        <v>60.0</v>
      </c>
      <c r="M2003" s="960">
        <v>60.0</v>
      </c>
      <c r="N2003" s="960">
        <v>50.0</v>
      </c>
      <c r="O2003" s="960">
        <v>40.0</v>
      </c>
      <c r="P2003" s="960">
        <v>50.0</v>
      </c>
      <c r="Q2003" s="960">
        <v>75.0</v>
      </c>
      <c r="R2003" s="960">
        <v>186.0</v>
      </c>
      <c r="S2003" s="960">
        <v>249.0</v>
      </c>
      <c r="T2003" s="960">
        <v>273.0</v>
      </c>
      <c r="U2003" s="960">
        <f t="array" ref="U2003">HLOOKUP($J2003,'Type Chart'!$C$2:$T$20,2,false)*HLOOKUP($K2003,'Type Chart'!$C$2:$U$20,2,false)</f>
        <v>1</v>
      </c>
      <c r="V2003" s="960">
        <f t="array" ref="V2003">HLOOKUP($J2003,'Type Chart'!$C$2:$T$20,3,false)*HLOOKUP($K2003,'Type Chart'!$C$2:$U$20,3,false)</f>
        <v>2</v>
      </c>
      <c r="W2003" s="960">
        <f t="array" ref="W2003">HLOOKUP($J2003,'Type Chart'!$C$2:$T$20,4,false)*HLOOKUP($K2003,'Type Chart'!$C$2:$U$20,4,false)</f>
        <v>2</v>
      </c>
      <c r="X2003" s="960">
        <f t="array" ref="X2003">HLOOKUP($J2003,'Type Chart'!$C$2:$T$20,5,false)*HLOOKUP($K2003,'Type Chart'!$C$2:$U$20,5,false)</f>
        <v>2</v>
      </c>
      <c r="Y2003" s="960">
        <f t="array" ref="Y2003">HLOOKUP($J2003,'Type Chart'!$C$2:$T$20,6,false)*HLOOKUP($K2003,'Type Chart'!$C$2:$U$20,6,false)</f>
        <v>0.5</v>
      </c>
      <c r="Z2003" s="960">
        <f t="array" ref="Z2003">HLOOKUP($J2003,'Type Chart'!$C$2:$T$20,7,false)*HLOOKUP($K2003,'Type Chart'!$C$2:$U$20,7,false)</f>
        <v>1</v>
      </c>
      <c r="AA2003" s="960">
        <f t="array" ref="AA2003">HLOOKUP($J2003,'Type Chart'!$C$2:$T$20,8,false)*HLOOKUP($K2003,'Type Chart'!$C$2:$U$20,8,false)</f>
        <v>2</v>
      </c>
      <c r="AB2003" s="960">
        <f t="array" ref="AB2003">HLOOKUP($J2003,'Type Chart'!$C$2:$T$20,9,false)*HLOOKUP($K2003,'Type Chart'!$C$2:$U$20,9,false)</f>
        <v>0</v>
      </c>
      <c r="AC2003" s="960">
        <f t="array" ref="AC2003">HLOOKUP($J2003,'Type Chart'!$C$2:$T$20,10,false)*HLOOKUP($K2003,'Type Chart'!$C$2:$U$20,10,false)</f>
        <v>1</v>
      </c>
      <c r="AD2003" s="960">
        <f t="array" ref="AD2003">HLOOKUP($J2003,'Type Chart'!$C$2:$T$20,11,false)*HLOOKUP($K2003,'Type Chart'!$C$2:$U$20,11,false)</f>
        <v>2</v>
      </c>
      <c r="AE2003" s="960">
        <f t="array" ref="AE2003">HLOOKUP($J2003,'Type Chart'!$C$2:$T$20,12,false)*HLOOKUP($K2003,'Type Chart'!$C$2:$U$20,12,false)</f>
        <v>0.5</v>
      </c>
      <c r="AF2003" s="960">
        <f t="array" ref="AF2003">HLOOKUP($J2003,'Type Chart'!$C$2:$T$20,13,false)*HLOOKUP($K2003,'Type Chart'!$C$2:$U$20,13,false)</f>
        <v>0.5</v>
      </c>
      <c r="AG2003" s="960">
        <f t="array" ref="AG2003">HLOOKUP($J2003,'Type Chart'!$C$2:$T$20,14,false)*HLOOKUP($K2003,'Type Chart'!$C$2:$U$20,14,false)</f>
        <v>0.5</v>
      </c>
      <c r="AH2003" s="960">
        <f t="array" ref="AH2003">HLOOKUP($J2003,'Type Chart'!$C$2:$T$20,15,false)*HLOOKUP($K2003,'Type Chart'!$C$2:$U$20,15,false)</f>
        <v>1</v>
      </c>
      <c r="AI2003" s="960">
        <f t="array" ref="AI2003">HLOOKUP($J2003,'Type Chart'!$C$2:$T$20,16,false)*HLOOKUP($K2003,'Type Chart'!$C$2:$U$20,16,false)</f>
        <v>2</v>
      </c>
      <c r="AJ2003" s="960">
        <f t="array" ref="AJ2003">HLOOKUP($J2003,'Type Chart'!$C$2:$T$20,17,false)*HLOOKUP($K2003,'Type Chart'!$C$2:$U$20,17,false)</f>
        <v>1</v>
      </c>
      <c r="AK2003" s="960">
        <f t="array" ref="AK2003">HLOOKUP($J2003,'Type Chart'!$C$2:$T$20,18,false)*HLOOKUP($K2003,'Type Chart'!$C$2:$U$20,18,false)</f>
        <v>1</v>
      </c>
      <c r="AL2003" s="960">
        <f t="array" ref="AL2003">HLOOKUP($J2003,'Type Chart'!$C$2:$T$20,19,false)*HLOOKUP($K2003,'Type Chart'!$C$2:$U$20,19,false)</f>
        <v>1</v>
      </c>
      <c r="AM2003" s="964" t="s">
        <v>524</v>
      </c>
      <c r="AN2003" s="965" t="s">
        <v>1772</v>
      </c>
      <c r="AO2003" s="966" t="s">
        <v>1521</v>
      </c>
      <c r="AP2003" s="936"/>
      <c r="AQ2003" s="1245"/>
      <c r="AR2003" s="1245"/>
      <c r="AS2003" s="936"/>
    </row>
    <row r="2004" ht="15.75" customHeight="1">
      <c r="A2004" s="1099"/>
      <c r="B2004" s="948" t="s">
        <v>3068</v>
      </c>
      <c r="C2004" s="1197" t="s">
        <v>3069</v>
      </c>
      <c r="D2004" s="1197" t="s">
        <v>3069</v>
      </c>
      <c r="E2004" s="1147" t="s">
        <v>3069</v>
      </c>
      <c r="F2004" s="940"/>
      <c r="G2004" s="953"/>
      <c r="H2004" s="969"/>
      <c r="I2004" s="998" t="s">
        <v>5106</v>
      </c>
      <c r="J2004" s="1194" t="s">
        <v>136</v>
      </c>
      <c r="K2004" s="957" t="s">
        <v>209</v>
      </c>
      <c r="L2004" s="959">
        <v>80.0</v>
      </c>
      <c r="M2004" s="960">
        <v>100.0</v>
      </c>
      <c r="N2004" s="960">
        <v>70.0</v>
      </c>
      <c r="O2004" s="960">
        <v>60.0</v>
      </c>
      <c r="P2004" s="960">
        <v>70.0</v>
      </c>
      <c r="Q2004" s="960">
        <v>95.0</v>
      </c>
      <c r="R2004" s="960">
        <v>226.0</v>
      </c>
      <c r="S2004" s="960">
        <v>289.0</v>
      </c>
      <c r="T2004" s="960">
        <v>317.0</v>
      </c>
      <c r="U2004" s="960">
        <f t="array" ref="U2004">HLOOKUP($J2004,'Type Chart'!$C$2:$T$20,2,false)*HLOOKUP($K2004,'Type Chart'!$C$2:$U$20,2,false)</f>
        <v>1</v>
      </c>
      <c r="V2004" s="960">
        <f t="array" ref="V2004">HLOOKUP($J2004,'Type Chart'!$C$2:$T$20,3,false)*HLOOKUP($K2004,'Type Chart'!$C$2:$U$20,3,false)</f>
        <v>2</v>
      </c>
      <c r="W2004" s="960">
        <f t="array" ref="W2004">HLOOKUP($J2004,'Type Chart'!$C$2:$T$20,4,false)*HLOOKUP($K2004,'Type Chart'!$C$2:$U$20,4,false)</f>
        <v>2</v>
      </c>
      <c r="X2004" s="960">
        <f t="array" ref="X2004">HLOOKUP($J2004,'Type Chart'!$C$2:$T$20,5,false)*HLOOKUP($K2004,'Type Chart'!$C$2:$U$20,5,false)</f>
        <v>2</v>
      </c>
      <c r="Y2004" s="960">
        <f t="array" ref="Y2004">HLOOKUP($J2004,'Type Chart'!$C$2:$T$20,6,false)*HLOOKUP($K2004,'Type Chart'!$C$2:$U$20,6,false)</f>
        <v>0.5</v>
      </c>
      <c r="Z2004" s="960">
        <f t="array" ref="Z2004">HLOOKUP($J2004,'Type Chart'!$C$2:$T$20,7,false)*HLOOKUP($K2004,'Type Chart'!$C$2:$U$20,7,false)</f>
        <v>1</v>
      </c>
      <c r="AA2004" s="960">
        <f t="array" ref="AA2004">HLOOKUP($J2004,'Type Chart'!$C$2:$T$20,8,false)*HLOOKUP($K2004,'Type Chart'!$C$2:$U$20,8,false)</f>
        <v>2</v>
      </c>
      <c r="AB2004" s="960">
        <f t="array" ref="AB2004">HLOOKUP($J2004,'Type Chart'!$C$2:$T$20,9,false)*HLOOKUP($K2004,'Type Chart'!$C$2:$U$20,9,false)</f>
        <v>0</v>
      </c>
      <c r="AC2004" s="960">
        <f t="array" ref="AC2004">HLOOKUP($J2004,'Type Chart'!$C$2:$T$20,10,false)*HLOOKUP($K2004,'Type Chart'!$C$2:$U$20,10,false)</f>
        <v>1</v>
      </c>
      <c r="AD2004" s="960">
        <f t="array" ref="AD2004">HLOOKUP($J2004,'Type Chart'!$C$2:$T$20,11,false)*HLOOKUP($K2004,'Type Chart'!$C$2:$U$20,11,false)</f>
        <v>2</v>
      </c>
      <c r="AE2004" s="960">
        <f t="array" ref="AE2004">HLOOKUP($J2004,'Type Chart'!$C$2:$T$20,12,false)*HLOOKUP($K2004,'Type Chart'!$C$2:$U$20,12,false)</f>
        <v>0.5</v>
      </c>
      <c r="AF2004" s="960">
        <f t="array" ref="AF2004">HLOOKUP($J2004,'Type Chart'!$C$2:$T$20,13,false)*HLOOKUP($K2004,'Type Chart'!$C$2:$U$20,13,false)</f>
        <v>0.5</v>
      </c>
      <c r="AG2004" s="960">
        <f t="array" ref="AG2004">HLOOKUP($J2004,'Type Chart'!$C$2:$T$20,14,false)*HLOOKUP($K2004,'Type Chart'!$C$2:$U$20,14,false)</f>
        <v>0.5</v>
      </c>
      <c r="AH2004" s="960">
        <f t="array" ref="AH2004">HLOOKUP($J2004,'Type Chart'!$C$2:$T$20,15,false)*HLOOKUP($K2004,'Type Chart'!$C$2:$U$20,15,false)</f>
        <v>1</v>
      </c>
      <c r="AI2004" s="960">
        <f t="array" ref="AI2004">HLOOKUP($J2004,'Type Chart'!$C$2:$T$20,16,false)*HLOOKUP($K2004,'Type Chart'!$C$2:$U$20,16,false)</f>
        <v>2</v>
      </c>
      <c r="AJ2004" s="960">
        <f t="array" ref="AJ2004">HLOOKUP($J2004,'Type Chart'!$C$2:$T$20,17,false)*HLOOKUP($K2004,'Type Chart'!$C$2:$U$20,17,false)</f>
        <v>1</v>
      </c>
      <c r="AK2004" s="960">
        <f t="array" ref="AK2004">HLOOKUP($J2004,'Type Chart'!$C$2:$T$20,18,false)*HLOOKUP($K2004,'Type Chart'!$C$2:$U$20,18,false)</f>
        <v>1</v>
      </c>
      <c r="AL2004" s="960">
        <f t="array" ref="AL2004">HLOOKUP($J2004,'Type Chart'!$C$2:$T$20,19,false)*HLOOKUP($K2004,'Type Chart'!$C$2:$U$20,19,false)</f>
        <v>1</v>
      </c>
      <c r="AM2004" s="964" t="s">
        <v>524</v>
      </c>
      <c r="AN2004" s="965" t="s">
        <v>1772</v>
      </c>
      <c r="AO2004" s="966" t="s">
        <v>1521</v>
      </c>
      <c r="AP2004" s="936"/>
      <c r="AQ2004" s="1245"/>
      <c r="AR2004" s="1245"/>
      <c r="AS2004" s="936"/>
    </row>
    <row r="2005" ht="15.75" customHeight="1">
      <c r="A2005" s="1099"/>
      <c r="B2005" s="948" t="s">
        <v>3070</v>
      </c>
      <c r="C2005" s="1197" t="s">
        <v>3071</v>
      </c>
      <c r="D2005" s="1197" t="s">
        <v>3071</v>
      </c>
      <c r="E2005" s="1147" t="s">
        <v>3071</v>
      </c>
      <c r="F2005" s="940"/>
      <c r="G2005" s="953"/>
      <c r="H2005" s="969"/>
      <c r="I2005" s="998" t="s">
        <v>5107</v>
      </c>
      <c r="J2005" s="1196" t="s">
        <v>203</v>
      </c>
      <c r="K2005" s="1001" t="s">
        <v>128</v>
      </c>
      <c r="L2005" s="959">
        <v>55.0</v>
      </c>
      <c r="M2005" s="960">
        <v>75.0</v>
      </c>
      <c r="N2005" s="960">
        <v>60.0</v>
      </c>
      <c r="O2005" s="960">
        <v>75.0</v>
      </c>
      <c r="P2005" s="960">
        <v>60.0</v>
      </c>
      <c r="Q2005" s="960">
        <v>103.0</v>
      </c>
      <c r="R2005" s="960">
        <v>242.0</v>
      </c>
      <c r="S2005" s="960">
        <v>305.0</v>
      </c>
      <c r="T2005" s="960">
        <v>335.0</v>
      </c>
      <c r="U2005" s="960">
        <f t="array" ref="U2005">HLOOKUP($J2005,'Type Chart'!$C$2:$T$20,2,false)*HLOOKUP($K2005,'Type Chart'!$C$2:$U$20,2,false)</f>
        <v>1</v>
      </c>
      <c r="V2005" s="960">
        <f t="array" ref="V2005">HLOOKUP($J2005,'Type Chart'!$C$2:$T$20,3,false)*HLOOKUP($K2005,'Type Chart'!$C$2:$U$20,3,false)</f>
        <v>0.5</v>
      </c>
      <c r="W2005" s="960">
        <f t="array" ref="W2005">HLOOKUP($J2005,'Type Chart'!$C$2:$T$20,4,false)*HLOOKUP($K2005,'Type Chart'!$C$2:$U$20,4,false)</f>
        <v>0.5</v>
      </c>
      <c r="X2005" s="960">
        <f t="array" ref="X2005">HLOOKUP($J2005,'Type Chart'!$C$2:$T$20,5,false)*HLOOKUP($K2005,'Type Chart'!$C$2:$U$20,5,false)</f>
        <v>1</v>
      </c>
      <c r="Y2005" s="960">
        <f t="array" ref="Y2005">HLOOKUP($J2005,'Type Chart'!$C$2:$T$20,6,false)*HLOOKUP($K2005,'Type Chart'!$C$2:$U$20,6,false)</f>
        <v>0</v>
      </c>
      <c r="Z2005" s="960">
        <f t="array" ref="Z2005">HLOOKUP($J2005,'Type Chart'!$C$2:$T$20,7,false)*HLOOKUP($K2005,'Type Chart'!$C$2:$U$20,7,false)</f>
        <v>2</v>
      </c>
      <c r="AA2005" s="960">
        <f t="array" ref="AA2005">HLOOKUP($J2005,'Type Chart'!$C$2:$T$20,8,false)*HLOOKUP($K2005,'Type Chart'!$C$2:$U$20,8,false)</f>
        <v>0.5</v>
      </c>
      <c r="AB2005" s="960">
        <f t="array" ref="AB2005">HLOOKUP($J2005,'Type Chart'!$C$2:$T$20,9,false)*HLOOKUP($K2005,'Type Chart'!$C$2:$U$20,9,false)</f>
        <v>1</v>
      </c>
      <c r="AC2005" s="960">
        <f t="array" ref="AC2005">HLOOKUP($J2005,'Type Chart'!$C$2:$T$20,10,false)*HLOOKUP($K2005,'Type Chart'!$C$2:$U$20,10,false)</f>
        <v>0.5</v>
      </c>
      <c r="AD2005" s="960">
        <f t="array" ref="AD2005">HLOOKUP($J2005,'Type Chart'!$C$2:$T$20,11,false)*HLOOKUP($K2005,'Type Chart'!$C$2:$U$20,11,false)</f>
        <v>1</v>
      </c>
      <c r="AE2005" s="960">
        <f t="array" ref="AE2005">HLOOKUP($J2005,'Type Chart'!$C$2:$T$20,12,false)*HLOOKUP($K2005,'Type Chart'!$C$2:$U$20,12,false)</f>
        <v>1</v>
      </c>
      <c r="AF2005" s="960">
        <f t="array" ref="AF2005">HLOOKUP($J2005,'Type Chart'!$C$2:$T$20,13,false)*HLOOKUP($K2005,'Type Chart'!$C$2:$U$20,13,false)</f>
        <v>0.5</v>
      </c>
      <c r="AG2005" s="960">
        <f t="array" ref="AG2005">HLOOKUP($J2005,'Type Chart'!$C$2:$T$20,14,false)*HLOOKUP($K2005,'Type Chart'!$C$2:$U$20,14,false)</f>
        <v>1</v>
      </c>
      <c r="AH2005" s="960">
        <f t="array" ref="AH2005">HLOOKUP($J2005,'Type Chart'!$C$2:$T$20,15,false)*HLOOKUP($K2005,'Type Chart'!$C$2:$U$20,15,false)</f>
        <v>1</v>
      </c>
      <c r="AI2005" s="960">
        <f t="array" ref="AI2005">HLOOKUP($J2005,'Type Chart'!$C$2:$T$20,16,false)*HLOOKUP($K2005,'Type Chart'!$C$2:$U$20,16,false)</f>
        <v>2</v>
      </c>
      <c r="AJ2005" s="960">
        <f t="array" ref="AJ2005">HLOOKUP($J2005,'Type Chart'!$C$2:$T$20,17,false)*HLOOKUP($K2005,'Type Chart'!$C$2:$U$20,17,false)</f>
        <v>1</v>
      </c>
      <c r="AK2005" s="960">
        <f t="array" ref="AK2005">HLOOKUP($J2005,'Type Chart'!$C$2:$T$20,18,false)*HLOOKUP($K2005,'Type Chart'!$C$2:$U$20,18,false)</f>
        <v>1</v>
      </c>
      <c r="AL2005" s="960">
        <f t="array" ref="AL2005">HLOOKUP($J2005,'Type Chart'!$C$2:$T$20,19,false)*HLOOKUP($K2005,'Type Chart'!$C$2:$U$20,19,false)</f>
        <v>1</v>
      </c>
      <c r="AM2005" s="964" t="s">
        <v>1067</v>
      </c>
      <c r="AN2005" s="965"/>
      <c r="AO2005" s="966" t="s">
        <v>2663</v>
      </c>
      <c r="AP2005" s="936"/>
      <c r="AQ2005" s="1245"/>
      <c r="AR2005" s="1245"/>
      <c r="AS2005" s="936"/>
    </row>
    <row r="2006" ht="15.75" customHeight="1">
      <c r="A2006" s="1099"/>
      <c r="B2006" s="948" t="s">
        <v>3073</v>
      </c>
      <c r="C2006" s="1197" t="s">
        <v>3074</v>
      </c>
      <c r="D2006" s="1197" t="s">
        <v>3074</v>
      </c>
      <c r="E2006" s="1147" t="s">
        <v>3074</v>
      </c>
      <c r="F2006" s="940"/>
      <c r="G2006" s="953"/>
      <c r="H2006" s="969"/>
      <c r="I2006" s="998" t="s">
        <v>5108</v>
      </c>
      <c r="J2006" s="1180" t="s">
        <v>343</v>
      </c>
      <c r="K2006" s="984" t="s">
        <v>216</v>
      </c>
      <c r="L2006" s="959">
        <v>50.0</v>
      </c>
      <c r="M2006" s="960">
        <v>75.0</v>
      </c>
      <c r="N2006" s="960">
        <v>45.0</v>
      </c>
      <c r="O2006" s="960">
        <v>40.0</v>
      </c>
      <c r="P2006" s="960">
        <v>45.0</v>
      </c>
      <c r="Q2006" s="960">
        <v>60.0</v>
      </c>
      <c r="R2006" s="960">
        <v>156.0</v>
      </c>
      <c r="S2006" s="960">
        <v>219.0</v>
      </c>
      <c r="T2006" s="960">
        <v>240.0</v>
      </c>
      <c r="U2006" s="960">
        <f t="array" ref="U2006">HLOOKUP($J2006,'Type Chart'!$C$2:$T$20,2,false)*HLOOKUP($K2006,'Type Chart'!$C$2:$U$20,2,false)</f>
        <v>1</v>
      </c>
      <c r="V2006" s="960">
        <f t="array" ref="V2006">HLOOKUP($J2006,'Type Chart'!$C$2:$T$20,3,false)*HLOOKUP($K2006,'Type Chart'!$C$2:$U$20,3,false)</f>
        <v>0.5</v>
      </c>
      <c r="W2006" s="960">
        <f t="array" ref="W2006">HLOOKUP($J2006,'Type Chart'!$C$2:$T$20,4,false)*HLOOKUP($K2006,'Type Chart'!$C$2:$U$20,4,false)</f>
        <v>2</v>
      </c>
      <c r="X2006" s="960">
        <f t="array" ref="X2006">HLOOKUP($J2006,'Type Chart'!$C$2:$T$20,5,false)*HLOOKUP($K2006,'Type Chart'!$C$2:$U$20,5,false)</f>
        <v>1</v>
      </c>
      <c r="Y2006" s="960">
        <f t="array" ref="Y2006">HLOOKUP($J2006,'Type Chart'!$C$2:$T$20,6,false)*HLOOKUP($K2006,'Type Chart'!$C$2:$U$20,6,false)</f>
        <v>0.5</v>
      </c>
      <c r="Z2006" s="960">
        <f t="array" ref="Z2006">HLOOKUP($J2006,'Type Chart'!$C$2:$T$20,7,false)*HLOOKUP($K2006,'Type Chart'!$C$2:$U$20,7,false)</f>
        <v>2</v>
      </c>
      <c r="AA2006" s="960">
        <f t="array" ref="AA2006">HLOOKUP($J2006,'Type Chart'!$C$2:$T$20,8,false)*HLOOKUP($K2006,'Type Chart'!$C$2:$U$20,8,false)</f>
        <v>1</v>
      </c>
      <c r="AB2006" s="960">
        <f t="array" ref="AB2006">HLOOKUP($J2006,'Type Chart'!$C$2:$T$20,9,false)*HLOOKUP($K2006,'Type Chart'!$C$2:$U$20,9,false)</f>
        <v>1</v>
      </c>
      <c r="AC2006" s="960">
        <f t="array" ref="AC2006">HLOOKUP($J2006,'Type Chart'!$C$2:$T$20,10,false)*HLOOKUP($K2006,'Type Chart'!$C$2:$U$20,10,false)</f>
        <v>1</v>
      </c>
      <c r="AD2006" s="960">
        <f t="array" ref="AD2006">HLOOKUP($J2006,'Type Chart'!$C$2:$T$20,11,false)*HLOOKUP($K2006,'Type Chart'!$C$2:$U$20,11,false)</f>
        <v>2</v>
      </c>
      <c r="AE2006" s="960">
        <f t="array" ref="AE2006">HLOOKUP($J2006,'Type Chart'!$C$2:$T$20,12,false)*HLOOKUP($K2006,'Type Chart'!$C$2:$U$20,12,false)</f>
        <v>1</v>
      </c>
      <c r="AF2006" s="960">
        <f t="array" ref="AF2006">HLOOKUP($J2006,'Type Chart'!$C$2:$T$20,13,false)*HLOOKUP($K2006,'Type Chart'!$C$2:$U$20,13,false)</f>
        <v>0.5</v>
      </c>
      <c r="AG2006" s="960">
        <f t="array" ref="AG2006">HLOOKUP($J2006,'Type Chart'!$C$2:$T$20,14,false)*HLOOKUP($K2006,'Type Chart'!$C$2:$U$20,14,false)</f>
        <v>1</v>
      </c>
      <c r="AH2006" s="960">
        <f t="array" ref="AH2006">HLOOKUP($J2006,'Type Chart'!$C$2:$T$20,15,false)*HLOOKUP($K2006,'Type Chart'!$C$2:$U$20,15,false)</f>
        <v>1</v>
      </c>
      <c r="AI2006" s="960">
        <f t="array" ref="AI2006">HLOOKUP($J2006,'Type Chart'!$C$2:$T$20,16,false)*HLOOKUP($K2006,'Type Chart'!$C$2:$U$20,16,false)</f>
        <v>1</v>
      </c>
      <c r="AJ2006" s="960">
        <f t="array" ref="AJ2006">HLOOKUP($J2006,'Type Chart'!$C$2:$T$20,17,false)*HLOOKUP($K2006,'Type Chart'!$C$2:$U$20,17,false)</f>
        <v>1</v>
      </c>
      <c r="AK2006" s="960">
        <f t="array" ref="AK2006">HLOOKUP($J2006,'Type Chart'!$C$2:$T$20,18,false)*HLOOKUP($K2006,'Type Chart'!$C$2:$U$20,18,false)</f>
        <v>1</v>
      </c>
      <c r="AL2006" s="960">
        <f t="array" ref="AL2006">HLOOKUP($J2006,'Type Chart'!$C$2:$T$20,19,false)*HLOOKUP($K2006,'Type Chart'!$C$2:$U$20,19,false)</f>
        <v>1</v>
      </c>
      <c r="AM2006" s="964" t="s">
        <v>1013</v>
      </c>
      <c r="AN2006" s="965" t="s">
        <v>998</v>
      </c>
      <c r="AO2006" s="966" t="s">
        <v>1034</v>
      </c>
      <c r="AP2006" s="936"/>
      <c r="AQ2006" s="1245"/>
      <c r="AR2006" s="1245"/>
      <c r="AS2006" s="936"/>
    </row>
    <row r="2007" ht="15.75" customHeight="1">
      <c r="A2007" s="1099"/>
      <c r="B2007" s="948" t="s">
        <v>3076</v>
      </c>
      <c r="C2007" s="1197" t="s">
        <v>3077</v>
      </c>
      <c r="D2007" s="1197" t="s">
        <v>3077</v>
      </c>
      <c r="E2007" s="1147" t="s">
        <v>3077</v>
      </c>
      <c r="F2007" s="940"/>
      <c r="G2007" s="953"/>
      <c r="H2007" s="969"/>
      <c r="I2007" s="998" t="s">
        <v>5109</v>
      </c>
      <c r="J2007" s="1180" t="s">
        <v>343</v>
      </c>
      <c r="K2007" s="1206" t="s">
        <v>82</v>
      </c>
      <c r="L2007" s="959">
        <v>70.0</v>
      </c>
      <c r="M2007" s="960">
        <v>135.0</v>
      </c>
      <c r="N2007" s="960">
        <v>105.0</v>
      </c>
      <c r="O2007" s="960">
        <v>60.0</v>
      </c>
      <c r="P2007" s="960">
        <v>105.0</v>
      </c>
      <c r="Q2007" s="960">
        <v>20.0</v>
      </c>
      <c r="R2007" s="960">
        <v>76.0</v>
      </c>
      <c r="S2007" s="960">
        <v>139.0</v>
      </c>
      <c r="T2007" s="960">
        <v>152.0</v>
      </c>
      <c r="U2007" s="960">
        <f t="array" ref="U2007">HLOOKUP($J2007,'Type Chart'!$C$2:$T$20,2,false)*HLOOKUP($K2007,'Type Chart'!$C$2:$U$20,2,false)</f>
        <v>0.5</v>
      </c>
      <c r="V2007" s="960">
        <f t="array" ref="V2007">HLOOKUP($J2007,'Type Chart'!$C$2:$T$20,3,false)*HLOOKUP($K2007,'Type Chart'!$C$2:$U$20,3,false)</f>
        <v>1</v>
      </c>
      <c r="W2007" s="960">
        <f t="array" ref="W2007">HLOOKUP($J2007,'Type Chart'!$C$2:$T$20,4,false)*HLOOKUP($K2007,'Type Chart'!$C$2:$U$20,4,false)</f>
        <v>1</v>
      </c>
      <c r="X2007" s="960">
        <f t="array" ref="X2007">HLOOKUP($J2007,'Type Chart'!$C$2:$T$20,5,false)*HLOOKUP($K2007,'Type Chart'!$C$2:$U$20,5,false)</f>
        <v>0</v>
      </c>
      <c r="Y2007" s="960">
        <f t="array" ref="Y2007">HLOOKUP($J2007,'Type Chart'!$C$2:$T$20,6,false)*HLOOKUP($K2007,'Type Chart'!$C$2:$U$20,6,false)</f>
        <v>1</v>
      </c>
      <c r="Z2007" s="960">
        <f t="array" ref="Z2007">HLOOKUP($J2007,'Type Chart'!$C$2:$T$20,7,false)*HLOOKUP($K2007,'Type Chart'!$C$2:$U$20,7,false)</f>
        <v>1</v>
      </c>
      <c r="AA2007" s="960">
        <f t="array" ref="AA2007">HLOOKUP($J2007,'Type Chart'!$C$2:$T$20,8,false)*HLOOKUP($K2007,'Type Chart'!$C$2:$U$20,8,false)</f>
        <v>0.5</v>
      </c>
      <c r="AB2007" s="960">
        <f t="array" ref="AB2007">HLOOKUP($J2007,'Type Chart'!$C$2:$T$20,9,false)*HLOOKUP($K2007,'Type Chart'!$C$2:$U$20,9,false)</f>
        <v>1</v>
      </c>
      <c r="AC2007" s="960">
        <f t="array" ref="AC2007">HLOOKUP($J2007,'Type Chart'!$C$2:$T$20,10,false)*HLOOKUP($K2007,'Type Chart'!$C$2:$U$20,10,false)</f>
        <v>0.5</v>
      </c>
      <c r="AD2007" s="960">
        <f t="array" ref="AD2007">HLOOKUP($J2007,'Type Chart'!$C$2:$T$20,11,false)*HLOOKUP($K2007,'Type Chart'!$C$2:$U$20,11,false)</f>
        <v>4</v>
      </c>
      <c r="AE2007" s="960">
        <f t="array" ref="AE2007">HLOOKUP($J2007,'Type Chart'!$C$2:$T$20,12,false)*HLOOKUP($K2007,'Type Chart'!$C$2:$U$20,12,false)</f>
        <v>1</v>
      </c>
      <c r="AF2007" s="960">
        <f t="array" ref="AF2007">HLOOKUP($J2007,'Type Chart'!$C$2:$T$20,13,false)*HLOOKUP($K2007,'Type Chart'!$C$2:$U$20,13,false)</f>
        <v>0.25</v>
      </c>
      <c r="AG2007" s="960">
        <f t="array" ref="AG2007">HLOOKUP($J2007,'Type Chart'!$C$2:$T$20,14,false)*HLOOKUP($K2007,'Type Chart'!$C$2:$U$20,14,false)</f>
        <v>1</v>
      </c>
      <c r="AH2007" s="960">
        <f t="array" ref="AH2007">HLOOKUP($J2007,'Type Chart'!$C$2:$T$20,15,false)*HLOOKUP($K2007,'Type Chart'!$C$2:$U$20,15,false)</f>
        <v>0.5</v>
      </c>
      <c r="AI2007" s="960">
        <f t="array" ref="AI2007">HLOOKUP($J2007,'Type Chart'!$C$2:$T$20,16,false)*HLOOKUP($K2007,'Type Chart'!$C$2:$U$20,16,false)</f>
        <v>0.5</v>
      </c>
      <c r="AJ2007" s="960">
        <f t="array" ref="AJ2007">HLOOKUP($J2007,'Type Chart'!$C$2:$T$20,17,false)*HLOOKUP($K2007,'Type Chart'!$C$2:$U$20,17,false)</f>
        <v>0.5</v>
      </c>
      <c r="AK2007" s="960">
        <f t="array" ref="AK2007">HLOOKUP($J2007,'Type Chart'!$C$2:$T$20,18,false)*HLOOKUP($K2007,'Type Chart'!$C$2:$U$20,18,false)</f>
        <v>1</v>
      </c>
      <c r="AL2007" s="960">
        <f t="array" ref="AL2007">HLOOKUP($J2007,'Type Chart'!$C$2:$T$20,19,false)*HLOOKUP($K2007,'Type Chart'!$C$2:$U$20,19,false)</f>
        <v>0.5</v>
      </c>
      <c r="AM2007" s="964" t="s">
        <v>1013</v>
      </c>
      <c r="AN2007" s="965" t="s">
        <v>1385</v>
      </c>
      <c r="AO2007" s="966" t="s">
        <v>1431</v>
      </c>
      <c r="AP2007" s="936"/>
      <c r="AQ2007" s="1245"/>
      <c r="AR2007" s="1245"/>
      <c r="AS2007" s="936"/>
    </row>
    <row r="2008" ht="15.75" customHeight="1">
      <c r="A2008" s="1099"/>
      <c r="B2008" s="948" t="s">
        <v>3079</v>
      </c>
      <c r="C2008" s="1197" t="s">
        <v>3080</v>
      </c>
      <c r="D2008" s="1197" t="s">
        <v>3080</v>
      </c>
      <c r="E2008" s="1147" t="s">
        <v>3080</v>
      </c>
      <c r="F2008" s="940"/>
      <c r="G2008" s="953"/>
      <c r="H2008" s="969"/>
      <c r="I2008" s="998" t="s">
        <v>5110</v>
      </c>
      <c r="J2008" s="1228" t="s">
        <v>209</v>
      </c>
      <c r="K2008" s="1209" t="s">
        <v>178</v>
      </c>
      <c r="L2008" s="1200">
        <v>69.0</v>
      </c>
      <c r="M2008" s="1201">
        <v>55.0</v>
      </c>
      <c r="N2008" s="1201">
        <v>45.0</v>
      </c>
      <c r="O2008" s="1201">
        <v>55.0</v>
      </c>
      <c r="P2008" s="1201">
        <v>55.0</v>
      </c>
      <c r="Q2008" s="1201">
        <v>15.0</v>
      </c>
      <c r="R2008" s="960">
        <v>66.0</v>
      </c>
      <c r="S2008" s="960">
        <v>129.0</v>
      </c>
      <c r="T2008" s="960">
        <v>141.0</v>
      </c>
      <c r="U2008" s="960">
        <f t="array" ref="U2008">HLOOKUP($J2008,'Type Chart'!$C$2:$T$20,2,false)*HLOOKUP($K2008,'Type Chart'!$C$2:$U$20,2,false)</f>
        <v>1</v>
      </c>
      <c r="V2008" s="960">
        <f t="array" ref="V2008">HLOOKUP($J2008,'Type Chart'!$C$2:$T$20,3,false)*HLOOKUP($K2008,'Type Chart'!$C$2:$U$20,3,false)</f>
        <v>0.5</v>
      </c>
      <c r="W2008" s="960">
        <f t="array" ref="W2008">HLOOKUP($J2008,'Type Chart'!$C$2:$T$20,4,false)*HLOOKUP($K2008,'Type Chart'!$C$2:$U$20,4,false)</f>
        <v>2</v>
      </c>
      <c r="X2008" s="960">
        <f t="array" ref="X2008">HLOOKUP($J2008,'Type Chart'!$C$2:$T$20,5,false)*HLOOKUP($K2008,'Type Chart'!$C$2:$U$20,5,false)</f>
        <v>1</v>
      </c>
      <c r="Y2008" s="960">
        <f t="array" ref="Y2008">HLOOKUP($J2008,'Type Chart'!$C$2:$T$20,6,false)*HLOOKUP($K2008,'Type Chart'!$C$2:$U$20,6,false)</f>
        <v>1</v>
      </c>
      <c r="Z2008" s="960">
        <f t="array" ref="Z2008">HLOOKUP($J2008,'Type Chart'!$C$2:$T$20,7,false)*HLOOKUP($K2008,'Type Chart'!$C$2:$U$20,7,false)</f>
        <v>1</v>
      </c>
      <c r="AA2008" s="960">
        <f t="array" ref="AA2008">HLOOKUP($J2008,'Type Chart'!$C$2:$T$20,8,false)*HLOOKUP($K2008,'Type Chart'!$C$2:$U$20,8,false)</f>
        <v>1</v>
      </c>
      <c r="AB2008" s="960">
        <f t="array" ref="AB2008">HLOOKUP($J2008,'Type Chart'!$C$2:$T$20,9,false)*HLOOKUP($K2008,'Type Chart'!$C$2:$U$20,9,false)</f>
        <v>1</v>
      </c>
      <c r="AC2008" s="960">
        <f t="array" ref="AC2008">HLOOKUP($J2008,'Type Chart'!$C$2:$T$20,10,false)*HLOOKUP($K2008,'Type Chart'!$C$2:$U$20,10,false)</f>
        <v>1</v>
      </c>
      <c r="AD2008" s="960">
        <f t="array" ref="AD2008">HLOOKUP($J2008,'Type Chart'!$C$2:$T$20,11,false)*HLOOKUP($K2008,'Type Chart'!$C$2:$U$20,11,false)</f>
        <v>2</v>
      </c>
      <c r="AE2008" s="960">
        <f t="array" ref="AE2008">HLOOKUP($J2008,'Type Chart'!$C$2:$T$20,12,false)*HLOOKUP($K2008,'Type Chart'!$C$2:$U$20,12,false)</f>
        <v>0.5</v>
      </c>
      <c r="AF2008" s="960">
        <f t="array" ref="AF2008">HLOOKUP($J2008,'Type Chart'!$C$2:$T$20,13,false)*HLOOKUP($K2008,'Type Chart'!$C$2:$U$20,13,false)</f>
        <v>0.25</v>
      </c>
      <c r="AG2008" s="960">
        <f t="array" ref="AG2008">HLOOKUP($J2008,'Type Chart'!$C$2:$T$20,14,false)*HLOOKUP($K2008,'Type Chart'!$C$2:$U$20,14,false)</f>
        <v>0.5</v>
      </c>
      <c r="AH2008" s="960">
        <f t="array" ref="AH2008">HLOOKUP($J2008,'Type Chart'!$C$2:$T$20,15,false)*HLOOKUP($K2008,'Type Chart'!$C$2:$U$20,15,false)</f>
        <v>2</v>
      </c>
      <c r="AI2008" s="960">
        <f t="array" ref="AI2008">HLOOKUP($J2008,'Type Chart'!$C$2:$T$20,16,false)*HLOOKUP($K2008,'Type Chart'!$C$2:$U$20,16,false)</f>
        <v>2</v>
      </c>
      <c r="AJ2008" s="960">
        <f t="array" ref="AJ2008">HLOOKUP($J2008,'Type Chart'!$C$2:$T$20,17,false)*HLOOKUP($K2008,'Type Chart'!$C$2:$U$20,17,false)</f>
        <v>1</v>
      </c>
      <c r="AK2008" s="960">
        <f t="array" ref="AK2008">HLOOKUP($J2008,'Type Chart'!$C$2:$T$20,18,false)*HLOOKUP($K2008,'Type Chart'!$C$2:$U$20,18,false)</f>
        <v>1</v>
      </c>
      <c r="AL2008" s="960">
        <f t="array" ref="AL2008">HLOOKUP($J2008,'Type Chart'!$C$2:$T$20,19,false)*HLOOKUP($K2008,'Type Chart'!$C$2:$U$20,19,false)</f>
        <v>0.5</v>
      </c>
      <c r="AM2008" s="1145" t="s">
        <v>1206</v>
      </c>
      <c r="AN2008" s="1202"/>
      <c r="AO2008" s="1146" t="s">
        <v>1371</v>
      </c>
      <c r="AP2008" s="936"/>
      <c r="AQ2008" s="1245"/>
      <c r="AR2008" s="1245"/>
      <c r="AS2008" s="936"/>
    </row>
    <row r="2009" ht="15.75" customHeight="1">
      <c r="A2009" s="1099"/>
      <c r="B2009" s="948" t="s">
        <v>3082</v>
      </c>
      <c r="C2009" s="1197" t="s">
        <v>3083</v>
      </c>
      <c r="D2009" s="1197" t="s">
        <v>3083</v>
      </c>
      <c r="E2009" s="1147" t="s">
        <v>3083</v>
      </c>
      <c r="F2009" s="940"/>
      <c r="G2009" s="953"/>
      <c r="H2009" s="969"/>
      <c r="I2009" s="998" t="s">
        <v>5111</v>
      </c>
      <c r="J2009" s="1228" t="s">
        <v>209</v>
      </c>
      <c r="K2009" s="1209" t="s">
        <v>178</v>
      </c>
      <c r="L2009" s="1200">
        <v>114.0</v>
      </c>
      <c r="M2009" s="1201">
        <v>85.0</v>
      </c>
      <c r="N2009" s="1201">
        <v>70.0</v>
      </c>
      <c r="O2009" s="1201">
        <v>85.0</v>
      </c>
      <c r="P2009" s="1201">
        <v>80.0</v>
      </c>
      <c r="Q2009" s="1201">
        <v>30.0</v>
      </c>
      <c r="R2009" s="960">
        <v>96.0</v>
      </c>
      <c r="S2009" s="960">
        <v>159.0</v>
      </c>
      <c r="T2009" s="960">
        <v>174.0</v>
      </c>
      <c r="U2009" s="960">
        <f t="array" ref="U2009">HLOOKUP($J2009,'Type Chart'!$C$2:$T$20,2,false)*HLOOKUP($K2009,'Type Chart'!$C$2:$U$20,2,false)</f>
        <v>1</v>
      </c>
      <c r="V2009" s="960">
        <f t="array" ref="V2009">HLOOKUP($J2009,'Type Chart'!$C$2:$T$20,3,false)*HLOOKUP($K2009,'Type Chart'!$C$2:$U$20,3,false)</f>
        <v>0.5</v>
      </c>
      <c r="W2009" s="960">
        <f t="array" ref="W2009">HLOOKUP($J2009,'Type Chart'!$C$2:$T$20,4,false)*HLOOKUP($K2009,'Type Chart'!$C$2:$U$20,4,false)</f>
        <v>2</v>
      </c>
      <c r="X2009" s="960">
        <f t="array" ref="X2009">HLOOKUP($J2009,'Type Chart'!$C$2:$T$20,5,false)*HLOOKUP($K2009,'Type Chart'!$C$2:$U$20,5,false)</f>
        <v>1</v>
      </c>
      <c r="Y2009" s="960">
        <f t="array" ref="Y2009">HLOOKUP($J2009,'Type Chart'!$C$2:$T$20,6,false)*HLOOKUP($K2009,'Type Chart'!$C$2:$U$20,6,false)</f>
        <v>1</v>
      </c>
      <c r="Z2009" s="960">
        <f t="array" ref="Z2009">HLOOKUP($J2009,'Type Chart'!$C$2:$T$20,7,false)*HLOOKUP($K2009,'Type Chart'!$C$2:$U$20,7,false)</f>
        <v>1</v>
      </c>
      <c r="AA2009" s="960">
        <f t="array" ref="AA2009">HLOOKUP($J2009,'Type Chart'!$C$2:$T$20,8,false)*HLOOKUP($K2009,'Type Chart'!$C$2:$U$20,8,false)</f>
        <v>1</v>
      </c>
      <c r="AB2009" s="960">
        <f t="array" ref="AB2009">HLOOKUP($J2009,'Type Chart'!$C$2:$T$20,9,false)*HLOOKUP($K2009,'Type Chart'!$C$2:$U$20,9,false)</f>
        <v>1</v>
      </c>
      <c r="AC2009" s="960">
        <f t="array" ref="AC2009">HLOOKUP($J2009,'Type Chart'!$C$2:$T$20,10,false)*HLOOKUP($K2009,'Type Chart'!$C$2:$U$20,10,false)</f>
        <v>1</v>
      </c>
      <c r="AD2009" s="960">
        <f t="array" ref="AD2009">HLOOKUP($J2009,'Type Chart'!$C$2:$T$20,11,false)*HLOOKUP($K2009,'Type Chart'!$C$2:$U$20,11,false)</f>
        <v>2</v>
      </c>
      <c r="AE2009" s="960">
        <f t="array" ref="AE2009">HLOOKUP($J2009,'Type Chart'!$C$2:$T$20,12,false)*HLOOKUP($K2009,'Type Chart'!$C$2:$U$20,12,false)</f>
        <v>0.5</v>
      </c>
      <c r="AF2009" s="960">
        <f t="array" ref="AF2009">HLOOKUP($J2009,'Type Chart'!$C$2:$T$20,13,false)*HLOOKUP($K2009,'Type Chart'!$C$2:$U$20,13,false)</f>
        <v>0.25</v>
      </c>
      <c r="AG2009" s="960">
        <f t="array" ref="AG2009">HLOOKUP($J2009,'Type Chart'!$C$2:$T$20,14,false)*HLOOKUP($K2009,'Type Chart'!$C$2:$U$20,14,false)</f>
        <v>0.5</v>
      </c>
      <c r="AH2009" s="960">
        <f t="array" ref="AH2009">HLOOKUP($J2009,'Type Chart'!$C$2:$T$20,15,false)*HLOOKUP($K2009,'Type Chart'!$C$2:$U$20,15,false)</f>
        <v>2</v>
      </c>
      <c r="AI2009" s="960">
        <f t="array" ref="AI2009">HLOOKUP($J2009,'Type Chart'!$C$2:$T$20,16,false)*HLOOKUP($K2009,'Type Chart'!$C$2:$U$20,16,false)</f>
        <v>2</v>
      </c>
      <c r="AJ2009" s="960">
        <f t="array" ref="AJ2009">HLOOKUP($J2009,'Type Chart'!$C$2:$T$20,17,false)*HLOOKUP($K2009,'Type Chart'!$C$2:$U$20,17,false)</f>
        <v>1</v>
      </c>
      <c r="AK2009" s="960">
        <f t="array" ref="AK2009">HLOOKUP($J2009,'Type Chart'!$C$2:$T$20,18,false)*HLOOKUP($K2009,'Type Chart'!$C$2:$U$20,18,false)</f>
        <v>1</v>
      </c>
      <c r="AL2009" s="960">
        <f t="array" ref="AL2009">HLOOKUP($J2009,'Type Chart'!$C$2:$T$20,19,false)*HLOOKUP($K2009,'Type Chart'!$C$2:$U$20,19,false)</f>
        <v>0.5</v>
      </c>
      <c r="AM2009" s="1145" t="s">
        <v>1206</v>
      </c>
      <c r="AN2009" s="1202"/>
      <c r="AO2009" s="1146" t="s">
        <v>1371</v>
      </c>
      <c r="AP2009" s="936"/>
      <c r="AQ2009" s="1245"/>
      <c r="AR2009" s="1245"/>
      <c r="AS2009" s="936"/>
    </row>
    <row r="2010" ht="15.75" customHeight="1">
      <c r="A2010" s="1099"/>
      <c r="B2010" s="948" t="s">
        <v>3084</v>
      </c>
      <c r="C2010" s="1197" t="s">
        <v>3085</v>
      </c>
      <c r="D2010" s="1197" t="s">
        <v>3085</v>
      </c>
      <c r="E2010" s="1147" t="s">
        <v>3085</v>
      </c>
      <c r="F2010" s="940"/>
      <c r="G2010" s="953"/>
      <c r="H2010" s="969"/>
      <c r="I2010" s="998" t="s">
        <v>5112</v>
      </c>
      <c r="J2010" s="1056" t="s">
        <v>81</v>
      </c>
      <c r="K2010" s="1220" t="s">
        <v>215</v>
      </c>
      <c r="L2010" s="959">
        <v>55.0</v>
      </c>
      <c r="M2010" s="960">
        <v>40.0</v>
      </c>
      <c r="N2010" s="960">
        <v>50.0</v>
      </c>
      <c r="O2010" s="960">
        <v>65.0</v>
      </c>
      <c r="P2010" s="960">
        <v>85.0</v>
      </c>
      <c r="Q2010" s="960">
        <v>40.0</v>
      </c>
      <c r="R2010" s="960">
        <v>116.0</v>
      </c>
      <c r="S2010" s="960">
        <v>179.0</v>
      </c>
      <c r="T2010" s="960">
        <v>196.0</v>
      </c>
      <c r="U2010" s="960">
        <f t="array" ref="U2010">HLOOKUP($J2010,'Type Chart'!$C$2:$T$20,2,false)*HLOOKUP($K2010,'Type Chart'!$C$2:$U$20,2,false)</f>
        <v>0</v>
      </c>
      <c r="V2010" s="960">
        <f t="array" ref="V2010">HLOOKUP($J2010,'Type Chart'!$C$2:$T$20,3,false)*HLOOKUP($K2010,'Type Chart'!$C$2:$U$20,3,false)</f>
        <v>0</v>
      </c>
      <c r="W2010" s="960">
        <f t="array" ref="W2010">HLOOKUP($J2010,'Type Chart'!$C$2:$T$20,4,false)*HLOOKUP($K2010,'Type Chart'!$C$2:$U$20,4,false)</f>
        <v>1</v>
      </c>
      <c r="X2010" s="960">
        <f t="array" ref="X2010">HLOOKUP($J2010,'Type Chart'!$C$2:$T$20,5,false)*HLOOKUP($K2010,'Type Chart'!$C$2:$U$20,5,false)</f>
        <v>0.5</v>
      </c>
      <c r="Y2010" s="960">
        <f t="array" ref="Y2010">HLOOKUP($J2010,'Type Chart'!$C$2:$T$20,6,false)*HLOOKUP($K2010,'Type Chart'!$C$2:$U$20,6,false)</f>
        <v>1</v>
      </c>
      <c r="Z2010" s="960">
        <f t="array" ref="Z2010">HLOOKUP($J2010,'Type Chart'!$C$2:$T$20,7,false)*HLOOKUP($K2010,'Type Chart'!$C$2:$U$20,7,false)</f>
        <v>1</v>
      </c>
      <c r="AA2010" s="960">
        <f t="array" ref="AA2010">HLOOKUP($J2010,'Type Chart'!$C$2:$T$20,8,false)*HLOOKUP($K2010,'Type Chart'!$C$2:$U$20,8,false)</f>
        <v>0.5</v>
      </c>
      <c r="AB2010" s="960">
        <f t="array" ref="AB2010">HLOOKUP($J2010,'Type Chart'!$C$2:$T$20,9,false)*HLOOKUP($K2010,'Type Chart'!$C$2:$U$20,9,false)</f>
        <v>2</v>
      </c>
      <c r="AC2010" s="960">
        <f t="array" ref="AC2010">HLOOKUP($J2010,'Type Chart'!$C$2:$T$20,10,false)*HLOOKUP($K2010,'Type Chart'!$C$2:$U$20,10,false)</f>
        <v>0.5</v>
      </c>
      <c r="AD2010" s="960">
        <f t="array" ref="AD2010">HLOOKUP($J2010,'Type Chart'!$C$2:$T$20,11,false)*HLOOKUP($K2010,'Type Chart'!$C$2:$U$20,11,false)</f>
        <v>0.5</v>
      </c>
      <c r="AE2010" s="960">
        <f t="array" ref="AE2010">HLOOKUP($J2010,'Type Chart'!$C$2:$T$20,12,false)*HLOOKUP($K2010,'Type Chart'!$C$2:$U$20,12,false)</f>
        <v>0.5</v>
      </c>
      <c r="AF2010" s="960">
        <f t="array" ref="AF2010">HLOOKUP($J2010,'Type Chart'!$C$2:$T$20,13,false)*HLOOKUP($K2010,'Type Chart'!$C$2:$U$20,13,false)</f>
        <v>2</v>
      </c>
      <c r="AG2010" s="960">
        <f t="array" ref="AG2010">HLOOKUP($J2010,'Type Chart'!$C$2:$T$20,14,false)*HLOOKUP($K2010,'Type Chart'!$C$2:$U$20,14,false)</f>
        <v>2</v>
      </c>
      <c r="AH2010" s="960">
        <f t="array" ref="AH2010">HLOOKUP($J2010,'Type Chart'!$C$2:$T$20,15,false)*HLOOKUP($K2010,'Type Chart'!$C$2:$U$20,15,false)</f>
        <v>1</v>
      </c>
      <c r="AI2010" s="960">
        <f t="array" ref="AI2010">HLOOKUP($J2010,'Type Chart'!$C$2:$T$20,16,false)*HLOOKUP($K2010,'Type Chart'!$C$2:$U$20,16,false)</f>
        <v>0.5</v>
      </c>
      <c r="AJ2010" s="960">
        <f t="array" ref="AJ2010">HLOOKUP($J2010,'Type Chart'!$C$2:$T$20,17,false)*HLOOKUP($K2010,'Type Chart'!$C$2:$U$20,17,false)</f>
        <v>1</v>
      </c>
      <c r="AK2010" s="960">
        <f t="array" ref="AK2010">HLOOKUP($J2010,'Type Chart'!$C$2:$T$20,18,false)*HLOOKUP($K2010,'Type Chart'!$C$2:$U$20,18,false)</f>
        <v>2</v>
      </c>
      <c r="AL2010" s="960">
        <f t="array" ref="AL2010">HLOOKUP($J2010,'Type Chart'!$C$2:$T$20,19,false)*HLOOKUP($K2010,'Type Chart'!$C$2:$U$20,19,false)</f>
        <v>1</v>
      </c>
      <c r="AM2010" s="964" t="s">
        <v>1283</v>
      </c>
      <c r="AN2010" s="965" t="s">
        <v>1442</v>
      </c>
      <c r="AO2010" s="966" t="s">
        <v>1211</v>
      </c>
      <c r="AP2010" s="936"/>
      <c r="AQ2010" s="1245"/>
      <c r="AR2010" s="1245"/>
      <c r="AS2010" s="936"/>
    </row>
    <row r="2011" ht="15.75" customHeight="1">
      <c r="A2011" s="1099"/>
      <c r="B2011" s="948" t="s">
        <v>3087</v>
      </c>
      <c r="C2011" s="1197" t="s">
        <v>3088</v>
      </c>
      <c r="D2011" s="1197" t="s">
        <v>3088</v>
      </c>
      <c r="E2011" s="1147" t="s">
        <v>3088</v>
      </c>
      <c r="F2011" s="940"/>
      <c r="G2011" s="953"/>
      <c r="H2011" s="969"/>
      <c r="I2011" s="998" t="s">
        <v>5113</v>
      </c>
      <c r="J2011" s="1056" t="s">
        <v>81</v>
      </c>
      <c r="K2011" s="1220" t="s">
        <v>215</v>
      </c>
      <c r="L2011" s="959">
        <v>100.0</v>
      </c>
      <c r="M2011" s="960">
        <v>60.0</v>
      </c>
      <c r="N2011" s="960">
        <v>70.0</v>
      </c>
      <c r="O2011" s="960">
        <v>85.0</v>
      </c>
      <c r="P2011" s="960">
        <v>105.0</v>
      </c>
      <c r="Q2011" s="960">
        <v>60.0</v>
      </c>
      <c r="R2011" s="960">
        <v>156.0</v>
      </c>
      <c r="S2011" s="960">
        <v>219.0</v>
      </c>
      <c r="T2011" s="960">
        <v>240.0</v>
      </c>
      <c r="U2011" s="960">
        <f t="array" ref="U2011">HLOOKUP($J2011,'Type Chart'!$C$2:$T$20,2,false)*HLOOKUP($K2011,'Type Chart'!$C$2:$U$20,2,false)</f>
        <v>0</v>
      </c>
      <c r="V2011" s="960">
        <f t="array" ref="V2011">HLOOKUP($J2011,'Type Chart'!$C$2:$T$20,3,false)*HLOOKUP($K2011,'Type Chart'!$C$2:$U$20,3,false)</f>
        <v>0</v>
      </c>
      <c r="W2011" s="960">
        <f t="array" ref="W2011">HLOOKUP($J2011,'Type Chart'!$C$2:$T$20,4,false)*HLOOKUP($K2011,'Type Chart'!$C$2:$U$20,4,false)</f>
        <v>1</v>
      </c>
      <c r="X2011" s="960">
        <f t="array" ref="X2011">HLOOKUP($J2011,'Type Chart'!$C$2:$T$20,5,false)*HLOOKUP($K2011,'Type Chart'!$C$2:$U$20,5,false)</f>
        <v>0.5</v>
      </c>
      <c r="Y2011" s="960">
        <f t="array" ref="Y2011">HLOOKUP($J2011,'Type Chart'!$C$2:$T$20,6,false)*HLOOKUP($K2011,'Type Chart'!$C$2:$U$20,6,false)</f>
        <v>1</v>
      </c>
      <c r="Z2011" s="960">
        <f t="array" ref="Z2011">HLOOKUP($J2011,'Type Chart'!$C$2:$T$20,7,false)*HLOOKUP($K2011,'Type Chart'!$C$2:$U$20,7,false)</f>
        <v>1</v>
      </c>
      <c r="AA2011" s="960">
        <f t="array" ref="AA2011">HLOOKUP($J2011,'Type Chart'!$C$2:$T$20,8,false)*HLOOKUP($K2011,'Type Chart'!$C$2:$U$20,8,false)</f>
        <v>0.5</v>
      </c>
      <c r="AB2011" s="960">
        <f t="array" ref="AB2011">HLOOKUP($J2011,'Type Chart'!$C$2:$T$20,9,false)*HLOOKUP($K2011,'Type Chart'!$C$2:$U$20,9,false)</f>
        <v>2</v>
      </c>
      <c r="AC2011" s="960">
        <f t="array" ref="AC2011">HLOOKUP($J2011,'Type Chart'!$C$2:$T$20,10,false)*HLOOKUP($K2011,'Type Chart'!$C$2:$U$20,10,false)</f>
        <v>0.5</v>
      </c>
      <c r="AD2011" s="960">
        <f t="array" ref="AD2011">HLOOKUP($J2011,'Type Chart'!$C$2:$T$20,11,false)*HLOOKUP($K2011,'Type Chart'!$C$2:$U$20,11,false)</f>
        <v>0.5</v>
      </c>
      <c r="AE2011" s="960">
        <f t="array" ref="AE2011">HLOOKUP($J2011,'Type Chart'!$C$2:$T$20,12,false)*HLOOKUP($K2011,'Type Chart'!$C$2:$U$20,12,false)</f>
        <v>0.5</v>
      </c>
      <c r="AF2011" s="960">
        <f t="array" ref="AF2011">HLOOKUP($J2011,'Type Chart'!$C$2:$T$20,13,false)*HLOOKUP($K2011,'Type Chart'!$C$2:$U$20,13,false)</f>
        <v>2</v>
      </c>
      <c r="AG2011" s="960">
        <f t="array" ref="AG2011">HLOOKUP($J2011,'Type Chart'!$C$2:$T$20,14,false)*HLOOKUP($K2011,'Type Chart'!$C$2:$U$20,14,false)</f>
        <v>2</v>
      </c>
      <c r="AH2011" s="960">
        <f t="array" ref="AH2011">HLOOKUP($J2011,'Type Chart'!$C$2:$T$20,15,false)*HLOOKUP($K2011,'Type Chart'!$C$2:$U$20,15,false)</f>
        <v>1</v>
      </c>
      <c r="AI2011" s="960">
        <f t="array" ref="AI2011">HLOOKUP($J2011,'Type Chart'!$C$2:$T$20,16,false)*HLOOKUP($K2011,'Type Chart'!$C$2:$U$20,16,false)</f>
        <v>0.5</v>
      </c>
      <c r="AJ2011" s="960">
        <f t="array" ref="AJ2011">HLOOKUP($J2011,'Type Chart'!$C$2:$T$20,17,false)*HLOOKUP($K2011,'Type Chart'!$C$2:$U$20,17,false)</f>
        <v>1</v>
      </c>
      <c r="AK2011" s="960">
        <f t="array" ref="AK2011">HLOOKUP($J2011,'Type Chart'!$C$2:$T$20,18,false)*HLOOKUP($K2011,'Type Chart'!$C$2:$U$20,18,false)</f>
        <v>2</v>
      </c>
      <c r="AL2011" s="960">
        <f t="array" ref="AL2011">HLOOKUP($J2011,'Type Chart'!$C$2:$T$20,19,false)*HLOOKUP($K2011,'Type Chart'!$C$2:$U$20,19,false)</f>
        <v>1</v>
      </c>
      <c r="AM2011" s="964" t="s">
        <v>1283</v>
      </c>
      <c r="AN2011" s="965" t="s">
        <v>1442</v>
      </c>
      <c r="AO2011" s="966" t="s">
        <v>1211</v>
      </c>
      <c r="AP2011" s="936"/>
      <c r="AQ2011" s="1245"/>
      <c r="AR2011" s="1245"/>
      <c r="AS2011" s="936"/>
    </row>
    <row r="2012" ht="15.75" customHeight="1">
      <c r="A2012" s="1099"/>
      <c r="B2012" s="948" t="s">
        <v>3090</v>
      </c>
      <c r="C2012" s="1197" t="s">
        <v>3091</v>
      </c>
      <c r="D2012" s="1197" t="s">
        <v>3091</v>
      </c>
      <c r="E2012" s="1147" t="s">
        <v>3091</v>
      </c>
      <c r="F2012" s="940"/>
      <c r="G2012" s="953"/>
      <c r="H2012" s="969"/>
      <c r="I2012" s="998" t="s">
        <v>206</v>
      </c>
      <c r="J2012" s="1056" t="s">
        <v>81</v>
      </c>
      <c r="K2012" s="984" t="s">
        <v>216</v>
      </c>
      <c r="L2012" s="959">
        <v>165.0</v>
      </c>
      <c r="M2012" s="960">
        <v>75.0</v>
      </c>
      <c r="N2012" s="960">
        <v>80.0</v>
      </c>
      <c r="O2012" s="960">
        <v>40.0</v>
      </c>
      <c r="P2012" s="960">
        <v>45.0</v>
      </c>
      <c r="Q2012" s="960">
        <v>65.0</v>
      </c>
      <c r="R2012" s="960">
        <v>166.0</v>
      </c>
      <c r="S2012" s="960">
        <v>229.0</v>
      </c>
      <c r="T2012" s="960">
        <v>251.0</v>
      </c>
      <c r="U2012" s="960">
        <f t="array" ref="U2012">HLOOKUP($J2012,'Type Chart'!$C$2:$T$20,2,false)*HLOOKUP($K2012,'Type Chart'!$C$2:$U$20,2,false)</f>
        <v>1</v>
      </c>
      <c r="V2012" s="960">
        <f t="array" ref="V2012">HLOOKUP($J2012,'Type Chart'!$C$2:$T$20,3,false)*HLOOKUP($K2012,'Type Chart'!$C$2:$U$20,3,false)</f>
        <v>1</v>
      </c>
      <c r="W2012" s="960">
        <f t="array" ref="W2012">HLOOKUP($J2012,'Type Chart'!$C$2:$T$20,4,false)*HLOOKUP($K2012,'Type Chart'!$C$2:$U$20,4,false)</f>
        <v>1</v>
      </c>
      <c r="X2012" s="960">
        <f t="array" ref="X2012">HLOOKUP($J2012,'Type Chart'!$C$2:$T$20,5,false)*HLOOKUP($K2012,'Type Chart'!$C$2:$U$20,5,false)</f>
        <v>1</v>
      </c>
      <c r="Y2012" s="960">
        <f t="array" ref="Y2012">HLOOKUP($J2012,'Type Chart'!$C$2:$T$20,6,false)*HLOOKUP($K2012,'Type Chart'!$C$2:$U$20,6,false)</f>
        <v>1</v>
      </c>
      <c r="Z2012" s="960">
        <f t="array" ref="Z2012">HLOOKUP($J2012,'Type Chart'!$C$2:$T$20,7,false)*HLOOKUP($K2012,'Type Chart'!$C$2:$U$20,7,false)</f>
        <v>1</v>
      </c>
      <c r="AA2012" s="960">
        <f t="array" ref="AA2012">HLOOKUP($J2012,'Type Chart'!$C$2:$T$20,8,false)*HLOOKUP($K2012,'Type Chart'!$C$2:$U$20,8,false)</f>
        <v>1</v>
      </c>
      <c r="AB2012" s="960">
        <f t="array" ref="AB2012">HLOOKUP($J2012,'Type Chart'!$C$2:$T$20,9,false)*HLOOKUP($K2012,'Type Chart'!$C$2:$U$20,9,false)</f>
        <v>1</v>
      </c>
      <c r="AC2012" s="960">
        <f t="array" ref="AC2012">HLOOKUP($J2012,'Type Chart'!$C$2:$T$20,10,false)*HLOOKUP($K2012,'Type Chart'!$C$2:$U$20,10,false)</f>
        <v>0.5</v>
      </c>
      <c r="AD2012" s="960">
        <f t="array" ref="AD2012">HLOOKUP($J2012,'Type Chart'!$C$2:$T$20,11,false)*HLOOKUP($K2012,'Type Chart'!$C$2:$U$20,11,false)</f>
        <v>0.5</v>
      </c>
      <c r="AE2012" s="960">
        <f t="array" ref="AE2012">HLOOKUP($J2012,'Type Chart'!$C$2:$T$20,12,false)*HLOOKUP($K2012,'Type Chart'!$C$2:$U$20,12,false)</f>
        <v>0.5</v>
      </c>
      <c r="AF2012" s="960">
        <f t="array" ref="AF2012">HLOOKUP($J2012,'Type Chart'!$C$2:$T$20,13,false)*HLOOKUP($K2012,'Type Chart'!$C$2:$U$20,13,false)</f>
        <v>2</v>
      </c>
      <c r="AG2012" s="960">
        <f t="array" ref="AG2012">HLOOKUP($J2012,'Type Chart'!$C$2:$T$20,14,false)*HLOOKUP($K2012,'Type Chart'!$C$2:$U$20,14,false)</f>
        <v>2</v>
      </c>
      <c r="AH2012" s="960">
        <f t="array" ref="AH2012">HLOOKUP($J2012,'Type Chart'!$C$2:$T$20,15,false)*HLOOKUP($K2012,'Type Chart'!$C$2:$U$20,15,false)</f>
        <v>1</v>
      </c>
      <c r="AI2012" s="960">
        <f t="array" ref="AI2012">HLOOKUP($J2012,'Type Chart'!$C$2:$T$20,16,false)*HLOOKUP($K2012,'Type Chart'!$C$2:$U$20,16,false)</f>
        <v>0.5</v>
      </c>
      <c r="AJ2012" s="960">
        <f t="array" ref="AJ2012">HLOOKUP($J2012,'Type Chart'!$C$2:$T$20,17,false)*HLOOKUP($K2012,'Type Chart'!$C$2:$U$20,17,false)</f>
        <v>1</v>
      </c>
      <c r="AK2012" s="960">
        <f t="array" ref="AK2012">HLOOKUP($J2012,'Type Chart'!$C$2:$T$20,18,false)*HLOOKUP($K2012,'Type Chart'!$C$2:$U$20,18,false)</f>
        <v>1</v>
      </c>
      <c r="AL2012" s="960">
        <f t="array" ref="AL2012">HLOOKUP($J2012,'Type Chart'!$C$2:$T$20,19,false)*HLOOKUP($K2012,'Type Chart'!$C$2:$U$20,19,false)</f>
        <v>1</v>
      </c>
      <c r="AM2012" s="964" t="s">
        <v>1522</v>
      </c>
      <c r="AN2012" s="965" t="s">
        <v>1409</v>
      </c>
      <c r="AO2012" s="966" t="s">
        <v>1371</v>
      </c>
      <c r="AP2012" s="936"/>
      <c r="AQ2012" s="1245"/>
      <c r="AR2012" s="1245"/>
      <c r="AS2012" s="936"/>
    </row>
    <row r="2013" ht="15.75" customHeight="1">
      <c r="A2013" s="1099"/>
      <c r="B2013" s="948" t="s">
        <v>3092</v>
      </c>
      <c r="C2013" s="1197" t="s">
        <v>3093</v>
      </c>
      <c r="D2013" s="1197" t="s">
        <v>3093</v>
      </c>
      <c r="E2013" s="1147" t="s">
        <v>3093</v>
      </c>
      <c r="F2013" s="940"/>
      <c r="G2013" s="953"/>
      <c r="H2013" s="969"/>
      <c r="I2013" s="998" t="s">
        <v>5114</v>
      </c>
      <c r="J2013" s="1180" t="s">
        <v>343</v>
      </c>
      <c r="K2013" s="1196" t="s">
        <v>203</v>
      </c>
      <c r="L2013" s="959">
        <v>50.0</v>
      </c>
      <c r="M2013" s="960">
        <v>47.0</v>
      </c>
      <c r="N2013" s="960">
        <v>50.0</v>
      </c>
      <c r="O2013" s="960">
        <v>57.0</v>
      </c>
      <c r="P2013" s="960">
        <v>50.0</v>
      </c>
      <c r="Q2013" s="960">
        <v>65.0</v>
      </c>
      <c r="R2013" s="960">
        <v>166.0</v>
      </c>
      <c r="S2013" s="960">
        <v>229.0</v>
      </c>
      <c r="T2013" s="960">
        <v>251.0</v>
      </c>
      <c r="U2013" s="960">
        <f t="array" ref="U2013">HLOOKUP($J2013,'Type Chart'!$C$2:$T$20,2,false)*HLOOKUP($K2013,'Type Chart'!$C$2:$U$20,2,false)</f>
        <v>1</v>
      </c>
      <c r="V2013" s="960">
        <f t="array" ref="V2013">HLOOKUP($J2013,'Type Chart'!$C$2:$T$20,3,false)*HLOOKUP($K2013,'Type Chart'!$C$2:$U$20,3,false)</f>
        <v>0.5</v>
      </c>
      <c r="W2013" s="960">
        <f t="array" ref="W2013">HLOOKUP($J2013,'Type Chart'!$C$2:$T$20,4,false)*HLOOKUP($K2013,'Type Chart'!$C$2:$U$20,4,false)</f>
        <v>1</v>
      </c>
      <c r="X2013" s="960">
        <f t="array" ref="X2013">HLOOKUP($J2013,'Type Chart'!$C$2:$T$20,5,false)*HLOOKUP($K2013,'Type Chart'!$C$2:$U$20,5,false)</f>
        <v>1</v>
      </c>
      <c r="Y2013" s="960">
        <f t="array" ref="Y2013">HLOOKUP($J2013,'Type Chart'!$C$2:$T$20,6,false)*HLOOKUP($K2013,'Type Chart'!$C$2:$U$20,6,false)</f>
        <v>1</v>
      </c>
      <c r="Z2013" s="960">
        <f t="array" ref="Z2013">HLOOKUP($J2013,'Type Chart'!$C$2:$T$20,7,false)*HLOOKUP($K2013,'Type Chart'!$C$2:$U$20,7,false)</f>
        <v>2</v>
      </c>
      <c r="AA2013" s="960">
        <f t="array" ref="AA2013">HLOOKUP($J2013,'Type Chart'!$C$2:$T$20,8,false)*HLOOKUP($K2013,'Type Chart'!$C$2:$U$20,8,false)</f>
        <v>1</v>
      </c>
      <c r="AB2013" s="960">
        <f t="array" ref="AB2013">HLOOKUP($J2013,'Type Chart'!$C$2:$T$20,9,false)*HLOOKUP($K2013,'Type Chart'!$C$2:$U$20,9,false)</f>
        <v>1</v>
      </c>
      <c r="AC2013" s="960">
        <f t="array" ref="AC2013">HLOOKUP($J2013,'Type Chart'!$C$2:$T$20,10,false)*HLOOKUP($K2013,'Type Chart'!$C$2:$U$20,10,false)</f>
        <v>0.5</v>
      </c>
      <c r="AD2013" s="960">
        <f t="array" ref="AD2013">HLOOKUP($J2013,'Type Chart'!$C$2:$T$20,11,false)*HLOOKUP($K2013,'Type Chart'!$C$2:$U$20,11,false)</f>
        <v>2</v>
      </c>
      <c r="AE2013" s="960">
        <f t="array" ref="AE2013">HLOOKUP($J2013,'Type Chart'!$C$2:$T$20,12,false)*HLOOKUP($K2013,'Type Chart'!$C$2:$U$20,12,false)</f>
        <v>1</v>
      </c>
      <c r="AF2013" s="960">
        <f t="array" ref="AF2013">HLOOKUP($J2013,'Type Chart'!$C$2:$T$20,13,false)*HLOOKUP($K2013,'Type Chart'!$C$2:$U$20,13,false)</f>
        <v>0.5</v>
      </c>
      <c r="AG2013" s="960">
        <f t="array" ref="AG2013">HLOOKUP($J2013,'Type Chart'!$C$2:$T$20,14,false)*HLOOKUP($K2013,'Type Chart'!$C$2:$U$20,14,false)</f>
        <v>0.5</v>
      </c>
      <c r="AH2013" s="960">
        <f t="array" ref="AH2013">HLOOKUP($J2013,'Type Chart'!$C$2:$T$20,15,false)*HLOOKUP($K2013,'Type Chart'!$C$2:$U$20,15,false)</f>
        <v>1</v>
      </c>
      <c r="AI2013" s="960">
        <f t="array" ref="AI2013">HLOOKUP($J2013,'Type Chart'!$C$2:$T$20,16,false)*HLOOKUP($K2013,'Type Chart'!$C$2:$U$20,16,false)</f>
        <v>1</v>
      </c>
      <c r="AJ2013" s="960">
        <f t="array" ref="AJ2013">HLOOKUP($J2013,'Type Chart'!$C$2:$T$20,17,false)*HLOOKUP($K2013,'Type Chart'!$C$2:$U$20,17,false)</f>
        <v>1</v>
      </c>
      <c r="AK2013" s="960">
        <f t="array" ref="AK2013">HLOOKUP($J2013,'Type Chart'!$C$2:$T$20,18,false)*HLOOKUP($K2013,'Type Chart'!$C$2:$U$20,18,false)</f>
        <v>1</v>
      </c>
      <c r="AL2013" s="960">
        <f t="array" ref="AL2013">HLOOKUP($J2013,'Type Chart'!$C$2:$T$20,19,false)*HLOOKUP($K2013,'Type Chart'!$C$2:$U$20,19,false)</f>
        <v>1</v>
      </c>
      <c r="AM2013" s="964" t="s">
        <v>1002</v>
      </c>
      <c r="AN2013" s="965" t="s">
        <v>1062</v>
      </c>
      <c r="AO2013" s="966" t="s">
        <v>1013</v>
      </c>
      <c r="AP2013" s="936"/>
      <c r="AQ2013" s="1245"/>
      <c r="AR2013" s="1245"/>
      <c r="AS2013" s="936"/>
    </row>
    <row r="2014" ht="15.75" customHeight="1">
      <c r="A2014" s="1099"/>
      <c r="B2014" s="948" t="s">
        <v>3095</v>
      </c>
      <c r="C2014" s="1197" t="s">
        <v>3096</v>
      </c>
      <c r="D2014" s="1197" t="s">
        <v>3096</v>
      </c>
      <c r="E2014" s="1147" t="s">
        <v>3096</v>
      </c>
      <c r="F2014" s="940"/>
      <c r="G2014" s="953"/>
      <c r="H2014" s="969"/>
      <c r="I2014" s="998" t="s">
        <v>5115</v>
      </c>
      <c r="J2014" s="1180" t="s">
        <v>343</v>
      </c>
      <c r="K2014" s="1196" t="s">
        <v>203</v>
      </c>
      <c r="L2014" s="959">
        <v>70.0</v>
      </c>
      <c r="M2014" s="960">
        <v>77.0</v>
      </c>
      <c r="N2014" s="960">
        <v>60.0</v>
      </c>
      <c r="O2014" s="960">
        <v>97.0</v>
      </c>
      <c r="P2014" s="960">
        <v>60.0</v>
      </c>
      <c r="Q2014" s="960">
        <v>108.0</v>
      </c>
      <c r="R2014" s="960">
        <v>252.0</v>
      </c>
      <c r="S2014" s="960">
        <v>315.0</v>
      </c>
      <c r="T2014" s="960">
        <v>346.0</v>
      </c>
      <c r="U2014" s="960">
        <f t="array" ref="U2014">HLOOKUP($J2014,'Type Chart'!$C$2:$T$20,2,false)*HLOOKUP($K2014,'Type Chart'!$C$2:$U$20,2,false)</f>
        <v>1</v>
      </c>
      <c r="V2014" s="960">
        <f t="array" ref="V2014">HLOOKUP($J2014,'Type Chart'!$C$2:$T$20,3,false)*HLOOKUP($K2014,'Type Chart'!$C$2:$U$20,3,false)</f>
        <v>0.5</v>
      </c>
      <c r="W2014" s="960">
        <f t="array" ref="W2014">HLOOKUP($J2014,'Type Chart'!$C$2:$T$20,4,false)*HLOOKUP($K2014,'Type Chart'!$C$2:$U$20,4,false)</f>
        <v>1</v>
      </c>
      <c r="X2014" s="960">
        <f t="array" ref="X2014">HLOOKUP($J2014,'Type Chart'!$C$2:$T$20,5,false)*HLOOKUP($K2014,'Type Chart'!$C$2:$U$20,5,false)</f>
        <v>1</v>
      </c>
      <c r="Y2014" s="960">
        <f t="array" ref="Y2014">HLOOKUP($J2014,'Type Chart'!$C$2:$T$20,6,false)*HLOOKUP($K2014,'Type Chart'!$C$2:$U$20,6,false)</f>
        <v>1</v>
      </c>
      <c r="Z2014" s="960">
        <f t="array" ref="Z2014">HLOOKUP($J2014,'Type Chart'!$C$2:$T$20,7,false)*HLOOKUP($K2014,'Type Chart'!$C$2:$U$20,7,false)</f>
        <v>2</v>
      </c>
      <c r="AA2014" s="960">
        <f t="array" ref="AA2014">HLOOKUP($J2014,'Type Chart'!$C$2:$T$20,8,false)*HLOOKUP($K2014,'Type Chart'!$C$2:$U$20,8,false)</f>
        <v>1</v>
      </c>
      <c r="AB2014" s="960">
        <f t="array" ref="AB2014">HLOOKUP($J2014,'Type Chart'!$C$2:$T$20,9,false)*HLOOKUP($K2014,'Type Chart'!$C$2:$U$20,9,false)</f>
        <v>1</v>
      </c>
      <c r="AC2014" s="960">
        <f t="array" ref="AC2014">HLOOKUP($J2014,'Type Chart'!$C$2:$T$20,10,false)*HLOOKUP($K2014,'Type Chart'!$C$2:$U$20,10,false)</f>
        <v>0.5</v>
      </c>
      <c r="AD2014" s="960">
        <f t="array" ref="AD2014">HLOOKUP($J2014,'Type Chart'!$C$2:$T$20,11,false)*HLOOKUP($K2014,'Type Chart'!$C$2:$U$20,11,false)</f>
        <v>2</v>
      </c>
      <c r="AE2014" s="960">
        <f t="array" ref="AE2014">HLOOKUP($J2014,'Type Chart'!$C$2:$T$20,12,false)*HLOOKUP($K2014,'Type Chart'!$C$2:$U$20,12,false)</f>
        <v>1</v>
      </c>
      <c r="AF2014" s="960">
        <f t="array" ref="AF2014">HLOOKUP($J2014,'Type Chart'!$C$2:$T$20,13,false)*HLOOKUP($K2014,'Type Chart'!$C$2:$U$20,13,false)</f>
        <v>0.5</v>
      </c>
      <c r="AG2014" s="960">
        <f t="array" ref="AG2014">HLOOKUP($J2014,'Type Chart'!$C$2:$T$20,14,false)*HLOOKUP($K2014,'Type Chart'!$C$2:$U$20,14,false)</f>
        <v>0.5</v>
      </c>
      <c r="AH2014" s="960">
        <f t="array" ref="AH2014">HLOOKUP($J2014,'Type Chart'!$C$2:$T$20,15,false)*HLOOKUP($K2014,'Type Chart'!$C$2:$U$20,15,false)</f>
        <v>1</v>
      </c>
      <c r="AI2014" s="960">
        <f t="array" ref="AI2014">HLOOKUP($J2014,'Type Chart'!$C$2:$T$20,16,false)*HLOOKUP($K2014,'Type Chart'!$C$2:$U$20,16,false)</f>
        <v>1</v>
      </c>
      <c r="AJ2014" s="960">
        <f t="array" ref="AJ2014">HLOOKUP($J2014,'Type Chart'!$C$2:$T$20,17,false)*HLOOKUP($K2014,'Type Chart'!$C$2:$U$20,17,false)</f>
        <v>1</v>
      </c>
      <c r="AK2014" s="960">
        <f t="array" ref="AK2014">HLOOKUP($J2014,'Type Chart'!$C$2:$T$20,18,false)*HLOOKUP($K2014,'Type Chart'!$C$2:$U$20,18,false)</f>
        <v>1</v>
      </c>
      <c r="AL2014" s="960">
        <f t="array" ref="AL2014">HLOOKUP($J2014,'Type Chart'!$C$2:$T$20,19,false)*HLOOKUP($K2014,'Type Chart'!$C$2:$U$20,19,false)</f>
        <v>1</v>
      </c>
      <c r="AM2014" s="964" t="s">
        <v>1002</v>
      </c>
      <c r="AN2014" s="965" t="s">
        <v>1062</v>
      </c>
      <c r="AO2014" s="966" t="s">
        <v>1013</v>
      </c>
      <c r="AP2014" s="936"/>
      <c r="AQ2014" s="1245"/>
      <c r="AR2014" s="1245"/>
      <c r="AS2014" s="936"/>
    </row>
    <row r="2015" ht="15.75" customHeight="1">
      <c r="A2015" s="1099"/>
      <c r="B2015" s="948" t="s">
        <v>3097</v>
      </c>
      <c r="C2015" s="1197" t="s">
        <v>3098</v>
      </c>
      <c r="D2015" s="1197" t="s">
        <v>3098</v>
      </c>
      <c r="E2015" s="1147" t="s">
        <v>3098</v>
      </c>
      <c r="F2015" s="940"/>
      <c r="G2015" s="953"/>
      <c r="H2015" s="969"/>
      <c r="I2015" s="998" t="s">
        <v>5116</v>
      </c>
      <c r="J2015" s="957" t="s">
        <v>209</v>
      </c>
      <c r="K2015" s="1206" t="s">
        <v>82</v>
      </c>
      <c r="L2015" s="959">
        <v>44.0</v>
      </c>
      <c r="M2015" s="960">
        <v>50.0</v>
      </c>
      <c r="N2015" s="960">
        <v>91.0</v>
      </c>
      <c r="O2015" s="960">
        <v>24.0</v>
      </c>
      <c r="P2015" s="960">
        <v>86.0</v>
      </c>
      <c r="Q2015" s="960">
        <v>10.0</v>
      </c>
      <c r="R2015" s="960">
        <v>56.0</v>
      </c>
      <c r="S2015" s="960">
        <v>119.0</v>
      </c>
      <c r="T2015" s="960">
        <v>130.0</v>
      </c>
      <c r="U2015" s="960">
        <f t="array" ref="U2015">HLOOKUP($J2015,'Type Chart'!$C$2:$T$20,2,false)*HLOOKUP($K2015,'Type Chart'!$C$2:$U$20,2,false)</f>
        <v>0.5</v>
      </c>
      <c r="V2015" s="960">
        <f t="array" ref="V2015">HLOOKUP($J2015,'Type Chart'!$C$2:$T$20,3,false)*HLOOKUP($K2015,'Type Chart'!$C$2:$U$20,3,false)</f>
        <v>2</v>
      </c>
      <c r="W2015" s="960">
        <f t="array" ref="W2015">HLOOKUP($J2015,'Type Chart'!$C$2:$T$20,4,false)*HLOOKUP($K2015,'Type Chart'!$C$2:$U$20,4,false)</f>
        <v>1</v>
      </c>
      <c r="X2015" s="960">
        <f t="array" ref="X2015">HLOOKUP($J2015,'Type Chart'!$C$2:$T$20,5,false)*HLOOKUP($K2015,'Type Chart'!$C$2:$U$20,5,false)</f>
        <v>0</v>
      </c>
      <c r="Y2015" s="960">
        <f t="array" ref="Y2015">HLOOKUP($J2015,'Type Chart'!$C$2:$T$20,6,false)*HLOOKUP($K2015,'Type Chart'!$C$2:$U$20,6,false)</f>
        <v>1</v>
      </c>
      <c r="Z2015" s="960">
        <f t="array" ref="Z2015">HLOOKUP($J2015,'Type Chart'!$C$2:$T$20,7,false)*HLOOKUP($K2015,'Type Chart'!$C$2:$U$20,7,false)</f>
        <v>0.5</v>
      </c>
      <c r="AA2015" s="960">
        <f t="array" ref="AA2015">HLOOKUP($J2015,'Type Chart'!$C$2:$T$20,8,false)*HLOOKUP($K2015,'Type Chart'!$C$2:$U$20,8,false)</f>
        <v>1</v>
      </c>
      <c r="AB2015" s="960">
        <f t="array" ref="AB2015">HLOOKUP($J2015,'Type Chart'!$C$2:$T$20,9,false)*HLOOKUP($K2015,'Type Chart'!$C$2:$U$20,9,false)</f>
        <v>1</v>
      </c>
      <c r="AC2015" s="960">
        <f t="array" ref="AC2015">HLOOKUP($J2015,'Type Chart'!$C$2:$T$20,10,false)*HLOOKUP($K2015,'Type Chart'!$C$2:$U$20,10,false)</f>
        <v>0.5</v>
      </c>
      <c r="AD2015" s="960">
        <f t="array" ref="AD2015">HLOOKUP($J2015,'Type Chart'!$C$2:$T$20,11,false)*HLOOKUP($K2015,'Type Chart'!$C$2:$U$20,11,false)</f>
        <v>4</v>
      </c>
      <c r="AE2015" s="960">
        <f t="array" ref="AE2015">HLOOKUP($J2015,'Type Chart'!$C$2:$T$20,12,false)*HLOOKUP($K2015,'Type Chart'!$C$2:$U$20,12,false)</f>
        <v>0.5</v>
      </c>
      <c r="AF2015" s="960">
        <f t="array" ref="AF2015">HLOOKUP($J2015,'Type Chart'!$C$2:$T$20,13,false)*HLOOKUP($K2015,'Type Chart'!$C$2:$U$20,13,false)</f>
        <v>0.25</v>
      </c>
      <c r="AG2015" s="960">
        <f t="array" ref="AG2015">HLOOKUP($J2015,'Type Chart'!$C$2:$T$20,14,false)*HLOOKUP($K2015,'Type Chart'!$C$2:$U$20,14,false)</f>
        <v>0.5</v>
      </c>
      <c r="AH2015" s="960">
        <f t="array" ref="AH2015">HLOOKUP($J2015,'Type Chart'!$C$2:$T$20,15,false)*HLOOKUP($K2015,'Type Chart'!$C$2:$U$20,15,false)</f>
        <v>0.5</v>
      </c>
      <c r="AI2015" s="960">
        <f t="array" ref="AI2015">HLOOKUP($J2015,'Type Chart'!$C$2:$T$20,16,false)*HLOOKUP($K2015,'Type Chart'!$C$2:$U$20,16,false)</f>
        <v>1</v>
      </c>
      <c r="AJ2015" s="960">
        <f t="array" ref="AJ2015">HLOOKUP($J2015,'Type Chart'!$C$2:$T$20,17,false)*HLOOKUP($K2015,'Type Chart'!$C$2:$U$20,17,false)</f>
        <v>0.5</v>
      </c>
      <c r="AK2015" s="960">
        <f t="array" ref="AK2015">HLOOKUP($J2015,'Type Chart'!$C$2:$T$20,18,false)*HLOOKUP($K2015,'Type Chart'!$C$2:$U$20,18,false)</f>
        <v>1</v>
      </c>
      <c r="AL2015" s="960">
        <f t="array" ref="AL2015">HLOOKUP($J2015,'Type Chart'!$C$2:$T$20,19,false)*HLOOKUP($K2015,'Type Chart'!$C$2:$U$20,19,false)</f>
        <v>0.5</v>
      </c>
      <c r="AM2015" s="964" t="s">
        <v>3100</v>
      </c>
      <c r="AN2015" s="965"/>
      <c r="AO2015" s="966"/>
      <c r="AP2015" s="936"/>
      <c r="AQ2015" s="1245"/>
      <c r="AR2015" s="1245"/>
      <c r="AS2015" s="936"/>
    </row>
    <row r="2016" ht="15.75" customHeight="1">
      <c r="A2016" s="1099"/>
      <c r="B2016" s="948" t="s">
        <v>3101</v>
      </c>
      <c r="C2016" s="1197" t="s">
        <v>3102</v>
      </c>
      <c r="D2016" s="1197" t="s">
        <v>3102</v>
      </c>
      <c r="E2016" s="1147" t="s">
        <v>3102</v>
      </c>
      <c r="F2016" s="940"/>
      <c r="G2016" s="953"/>
      <c r="H2016" s="969"/>
      <c r="I2016" s="998" t="s">
        <v>5117</v>
      </c>
      <c r="J2016" s="957" t="s">
        <v>209</v>
      </c>
      <c r="K2016" s="1206" t="s">
        <v>82</v>
      </c>
      <c r="L2016" s="959">
        <v>74.0</v>
      </c>
      <c r="M2016" s="960">
        <v>94.0</v>
      </c>
      <c r="N2016" s="960">
        <v>131.0</v>
      </c>
      <c r="O2016" s="960">
        <v>54.0</v>
      </c>
      <c r="P2016" s="960">
        <v>116.0</v>
      </c>
      <c r="Q2016" s="960">
        <v>20.0</v>
      </c>
      <c r="R2016" s="960">
        <v>76.0</v>
      </c>
      <c r="S2016" s="960">
        <v>139.0</v>
      </c>
      <c r="T2016" s="960">
        <v>152.0</v>
      </c>
      <c r="U2016" s="960">
        <f t="array" ref="U2016">HLOOKUP($J2016,'Type Chart'!$C$2:$T$20,2,false)*HLOOKUP($K2016,'Type Chart'!$C$2:$U$20,2,false)</f>
        <v>0.5</v>
      </c>
      <c r="V2016" s="960">
        <f t="array" ref="V2016">HLOOKUP($J2016,'Type Chart'!$C$2:$T$20,3,false)*HLOOKUP($K2016,'Type Chart'!$C$2:$U$20,3,false)</f>
        <v>2</v>
      </c>
      <c r="W2016" s="960">
        <f t="array" ref="W2016">HLOOKUP($J2016,'Type Chart'!$C$2:$T$20,4,false)*HLOOKUP($K2016,'Type Chart'!$C$2:$U$20,4,false)</f>
        <v>1</v>
      </c>
      <c r="X2016" s="960">
        <f t="array" ref="X2016">HLOOKUP($J2016,'Type Chart'!$C$2:$T$20,5,false)*HLOOKUP($K2016,'Type Chart'!$C$2:$U$20,5,false)</f>
        <v>0</v>
      </c>
      <c r="Y2016" s="960">
        <f t="array" ref="Y2016">HLOOKUP($J2016,'Type Chart'!$C$2:$T$20,6,false)*HLOOKUP($K2016,'Type Chart'!$C$2:$U$20,6,false)</f>
        <v>1</v>
      </c>
      <c r="Z2016" s="960">
        <f t="array" ref="Z2016">HLOOKUP($J2016,'Type Chart'!$C$2:$T$20,7,false)*HLOOKUP($K2016,'Type Chart'!$C$2:$U$20,7,false)</f>
        <v>0.5</v>
      </c>
      <c r="AA2016" s="960">
        <f t="array" ref="AA2016">HLOOKUP($J2016,'Type Chart'!$C$2:$T$20,8,false)*HLOOKUP($K2016,'Type Chart'!$C$2:$U$20,8,false)</f>
        <v>1</v>
      </c>
      <c r="AB2016" s="960">
        <f t="array" ref="AB2016">HLOOKUP($J2016,'Type Chart'!$C$2:$T$20,9,false)*HLOOKUP($K2016,'Type Chart'!$C$2:$U$20,9,false)</f>
        <v>1</v>
      </c>
      <c r="AC2016" s="960">
        <f t="array" ref="AC2016">HLOOKUP($J2016,'Type Chart'!$C$2:$T$20,10,false)*HLOOKUP($K2016,'Type Chart'!$C$2:$U$20,10,false)</f>
        <v>0.5</v>
      </c>
      <c r="AD2016" s="960">
        <f t="array" ref="AD2016">HLOOKUP($J2016,'Type Chart'!$C$2:$T$20,11,false)*HLOOKUP($K2016,'Type Chart'!$C$2:$U$20,11,false)</f>
        <v>4</v>
      </c>
      <c r="AE2016" s="960">
        <f t="array" ref="AE2016">HLOOKUP($J2016,'Type Chart'!$C$2:$T$20,12,false)*HLOOKUP($K2016,'Type Chart'!$C$2:$U$20,12,false)</f>
        <v>0.5</v>
      </c>
      <c r="AF2016" s="960">
        <f t="array" ref="AF2016">HLOOKUP($J2016,'Type Chart'!$C$2:$T$20,13,false)*HLOOKUP($K2016,'Type Chart'!$C$2:$U$20,13,false)</f>
        <v>0.25</v>
      </c>
      <c r="AG2016" s="960">
        <f t="array" ref="AG2016">HLOOKUP($J2016,'Type Chart'!$C$2:$T$20,14,false)*HLOOKUP($K2016,'Type Chart'!$C$2:$U$20,14,false)</f>
        <v>0.5</v>
      </c>
      <c r="AH2016" s="960">
        <f t="array" ref="AH2016">HLOOKUP($J2016,'Type Chart'!$C$2:$T$20,15,false)*HLOOKUP($K2016,'Type Chart'!$C$2:$U$20,15,false)</f>
        <v>0.5</v>
      </c>
      <c r="AI2016" s="960">
        <f t="array" ref="AI2016">HLOOKUP($J2016,'Type Chart'!$C$2:$T$20,16,false)*HLOOKUP($K2016,'Type Chart'!$C$2:$U$20,16,false)</f>
        <v>1</v>
      </c>
      <c r="AJ2016" s="960">
        <f t="array" ref="AJ2016">HLOOKUP($J2016,'Type Chart'!$C$2:$T$20,17,false)*HLOOKUP($K2016,'Type Chart'!$C$2:$U$20,17,false)</f>
        <v>0.5</v>
      </c>
      <c r="AK2016" s="960">
        <f t="array" ref="AK2016">HLOOKUP($J2016,'Type Chart'!$C$2:$T$20,18,false)*HLOOKUP($K2016,'Type Chart'!$C$2:$U$20,18,false)</f>
        <v>1</v>
      </c>
      <c r="AL2016" s="960">
        <f t="array" ref="AL2016">HLOOKUP($J2016,'Type Chart'!$C$2:$T$20,19,false)*HLOOKUP($K2016,'Type Chart'!$C$2:$U$20,19,false)</f>
        <v>0.5</v>
      </c>
      <c r="AM2016" s="1145" t="s">
        <v>3100</v>
      </c>
      <c r="AN2016" s="1202"/>
      <c r="AO2016" s="1146" t="s">
        <v>1359</v>
      </c>
      <c r="AP2016" s="936"/>
      <c r="AQ2016" s="1245"/>
      <c r="AR2016" s="1245"/>
      <c r="AS2016" s="936"/>
    </row>
    <row r="2017" ht="15.75" customHeight="1">
      <c r="A2017" s="1099"/>
      <c r="B2017" s="948" t="s">
        <v>3104</v>
      </c>
      <c r="C2017" s="1197" t="s">
        <v>3105</v>
      </c>
      <c r="D2017" s="1197" t="s">
        <v>3105</v>
      </c>
      <c r="E2017" s="1147" t="s">
        <v>3105</v>
      </c>
      <c r="F2017" s="940"/>
      <c r="G2017" s="953"/>
      <c r="H2017" s="969"/>
      <c r="I2017" s="998" t="s">
        <v>5118</v>
      </c>
      <c r="J2017" s="1206" t="s">
        <v>82</v>
      </c>
      <c r="K2017" s="984" t="s">
        <v>216</v>
      </c>
      <c r="L2017" s="959">
        <v>40.0</v>
      </c>
      <c r="M2017" s="960">
        <v>55.0</v>
      </c>
      <c r="N2017" s="960">
        <v>70.0</v>
      </c>
      <c r="O2017" s="960">
        <v>45.0</v>
      </c>
      <c r="P2017" s="960">
        <v>60.0</v>
      </c>
      <c r="Q2017" s="960">
        <v>30.0</v>
      </c>
      <c r="R2017" s="960">
        <v>96.0</v>
      </c>
      <c r="S2017" s="960">
        <v>159.0</v>
      </c>
      <c r="T2017" s="960">
        <v>174.0</v>
      </c>
      <c r="U2017" s="960">
        <f t="array" ref="U2017">HLOOKUP($J2017,'Type Chart'!$C$2:$T$20,2,false)*HLOOKUP($K2017,'Type Chart'!$C$2:$U$20,2,false)</f>
        <v>0.5</v>
      </c>
      <c r="V2017" s="960">
        <f t="array" ref="V2017">HLOOKUP($J2017,'Type Chart'!$C$2:$T$20,3,false)*HLOOKUP($K2017,'Type Chart'!$C$2:$U$20,3,false)</f>
        <v>2</v>
      </c>
      <c r="W2017" s="960">
        <f t="array" ref="W2017">HLOOKUP($J2017,'Type Chart'!$C$2:$T$20,4,false)*HLOOKUP($K2017,'Type Chart'!$C$2:$U$20,4,false)</f>
        <v>0.5</v>
      </c>
      <c r="X2017" s="960">
        <f t="array" ref="X2017">HLOOKUP($J2017,'Type Chart'!$C$2:$T$20,5,false)*HLOOKUP($K2017,'Type Chart'!$C$2:$U$20,5,false)</f>
        <v>0</v>
      </c>
      <c r="Y2017" s="960">
        <f t="array" ref="Y2017">HLOOKUP($J2017,'Type Chart'!$C$2:$T$20,6,false)*HLOOKUP($K2017,'Type Chart'!$C$2:$U$20,6,false)</f>
        <v>2</v>
      </c>
      <c r="Z2017" s="960">
        <f t="array" ref="Z2017">HLOOKUP($J2017,'Type Chart'!$C$2:$T$20,7,false)*HLOOKUP($K2017,'Type Chart'!$C$2:$U$20,7,false)</f>
        <v>0.5</v>
      </c>
      <c r="AA2017" s="960">
        <f t="array" ref="AA2017">HLOOKUP($J2017,'Type Chart'!$C$2:$T$20,8,false)*HLOOKUP($K2017,'Type Chart'!$C$2:$U$20,8,false)</f>
        <v>0.5</v>
      </c>
      <c r="AB2017" s="960">
        <f t="array" ref="AB2017">HLOOKUP($J2017,'Type Chart'!$C$2:$T$20,9,false)*HLOOKUP($K2017,'Type Chart'!$C$2:$U$20,9,false)</f>
        <v>1</v>
      </c>
      <c r="AC2017" s="960">
        <f t="array" ref="AC2017">HLOOKUP($J2017,'Type Chart'!$C$2:$T$20,10,false)*HLOOKUP($K2017,'Type Chart'!$C$2:$U$20,10,false)</f>
        <v>0.5</v>
      </c>
      <c r="AD2017" s="960">
        <f t="array" ref="AD2017">HLOOKUP($J2017,'Type Chart'!$C$2:$T$20,11,false)*HLOOKUP($K2017,'Type Chart'!$C$2:$U$20,11,false)</f>
        <v>2</v>
      </c>
      <c r="AE2017" s="960">
        <f t="array" ref="AE2017">HLOOKUP($J2017,'Type Chart'!$C$2:$T$20,12,false)*HLOOKUP($K2017,'Type Chart'!$C$2:$U$20,12,false)</f>
        <v>1</v>
      </c>
      <c r="AF2017" s="960">
        <f t="array" ref="AF2017">HLOOKUP($J2017,'Type Chart'!$C$2:$T$20,13,false)*HLOOKUP($K2017,'Type Chart'!$C$2:$U$20,13,false)</f>
        <v>0.5</v>
      </c>
      <c r="AG2017" s="960">
        <f t="array" ref="AG2017">HLOOKUP($J2017,'Type Chart'!$C$2:$T$20,14,false)*HLOOKUP($K2017,'Type Chart'!$C$2:$U$20,14,false)</f>
        <v>1</v>
      </c>
      <c r="AH2017" s="960">
        <f t="array" ref="AH2017">HLOOKUP($J2017,'Type Chart'!$C$2:$T$20,15,false)*HLOOKUP($K2017,'Type Chart'!$C$2:$U$20,15,false)</f>
        <v>0.5</v>
      </c>
      <c r="AI2017" s="960">
        <f t="array" ref="AI2017">HLOOKUP($J2017,'Type Chart'!$C$2:$T$20,16,false)*HLOOKUP($K2017,'Type Chart'!$C$2:$U$20,16,false)</f>
        <v>0.5</v>
      </c>
      <c r="AJ2017" s="960">
        <f t="array" ref="AJ2017">HLOOKUP($J2017,'Type Chart'!$C$2:$T$20,17,false)*HLOOKUP($K2017,'Type Chart'!$C$2:$U$20,17,false)</f>
        <v>0.5</v>
      </c>
      <c r="AK2017" s="960">
        <f t="array" ref="AK2017">HLOOKUP($J2017,'Type Chart'!$C$2:$T$20,18,false)*HLOOKUP($K2017,'Type Chart'!$C$2:$U$20,18,false)</f>
        <v>1</v>
      </c>
      <c r="AL2017" s="960">
        <f t="array" ref="AL2017">HLOOKUP($J2017,'Type Chart'!$C$2:$T$20,19,false)*HLOOKUP($K2017,'Type Chart'!$C$2:$U$20,19,false)</f>
        <v>0.5</v>
      </c>
      <c r="AM2017" s="964" t="s">
        <v>1759</v>
      </c>
      <c r="AN2017" s="965" t="s">
        <v>2172</v>
      </c>
      <c r="AO2017" s="966" t="s">
        <v>1324</v>
      </c>
      <c r="AP2017" s="936"/>
      <c r="AQ2017" s="1245"/>
      <c r="AR2017" s="1245"/>
      <c r="AS2017" s="936"/>
    </row>
    <row r="2018" ht="15.75" customHeight="1">
      <c r="A2018" s="1099"/>
      <c r="B2018" s="948" t="s">
        <v>3107</v>
      </c>
      <c r="C2018" s="1197" t="s">
        <v>3108</v>
      </c>
      <c r="D2018" s="1197" t="s">
        <v>3108</v>
      </c>
      <c r="E2018" s="1147" t="s">
        <v>3108</v>
      </c>
      <c r="F2018" s="940"/>
      <c r="G2018" s="953"/>
      <c r="H2018" s="969"/>
      <c r="I2018" s="998" t="s">
        <v>5119</v>
      </c>
      <c r="J2018" s="1206" t="s">
        <v>82</v>
      </c>
      <c r="K2018" s="984" t="s">
        <v>216</v>
      </c>
      <c r="L2018" s="959">
        <v>60.0</v>
      </c>
      <c r="M2018" s="960">
        <v>80.0</v>
      </c>
      <c r="N2018" s="960">
        <v>95.0</v>
      </c>
      <c r="O2018" s="960">
        <v>70.0</v>
      </c>
      <c r="P2018" s="960">
        <v>85.0</v>
      </c>
      <c r="Q2018" s="960">
        <v>50.0</v>
      </c>
      <c r="R2018" s="960">
        <v>136.0</v>
      </c>
      <c r="S2018" s="960">
        <v>199.0</v>
      </c>
      <c r="T2018" s="960">
        <v>218.0</v>
      </c>
      <c r="U2018" s="960">
        <f t="array" ref="U2018">HLOOKUP($J2018,'Type Chart'!$C$2:$T$20,2,false)*HLOOKUP($K2018,'Type Chart'!$C$2:$U$20,2,false)</f>
        <v>0.5</v>
      </c>
      <c r="V2018" s="960">
        <f t="array" ref="V2018">HLOOKUP($J2018,'Type Chart'!$C$2:$T$20,3,false)*HLOOKUP($K2018,'Type Chart'!$C$2:$U$20,3,false)</f>
        <v>2</v>
      </c>
      <c r="W2018" s="960">
        <f t="array" ref="W2018">HLOOKUP($J2018,'Type Chart'!$C$2:$T$20,4,false)*HLOOKUP($K2018,'Type Chart'!$C$2:$U$20,4,false)</f>
        <v>0.5</v>
      </c>
      <c r="X2018" s="960">
        <f t="array" ref="X2018">HLOOKUP($J2018,'Type Chart'!$C$2:$T$20,5,false)*HLOOKUP($K2018,'Type Chart'!$C$2:$U$20,5,false)</f>
        <v>0</v>
      </c>
      <c r="Y2018" s="960">
        <f t="array" ref="Y2018">HLOOKUP($J2018,'Type Chart'!$C$2:$T$20,6,false)*HLOOKUP($K2018,'Type Chart'!$C$2:$U$20,6,false)</f>
        <v>2</v>
      </c>
      <c r="Z2018" s="960">
        <f t="array" ref="Z2018">HLOOKUP($J2018,'Type Chart'!$C$2:$T$20,7,false)*HLOOKUP($K2018,'Type Chart'!$C$2:$U$20,7,false)</f>
        <v>0.5</v>
      </c>
      <c r="AA2018" s="960">
        <f t="array" ref="AA2018">HLOOKUP($J2018,'Type Chart'!$C$2:$T$20,8,false)*HLOOKUP($K2018,'Type Chart'!$C$2:$U$20,8,false)</f>
        <v>0.5</v>
      </c>
      <c r="AB2018" s="960">
        <f t="array" ref="AB2018">HLOOKUP($J2018,'Type Chart'!$C$2:$T$20,9,false)*HLOOKUP($K2018,'Type Chart'!$C$2:$U$20,9,false)</f>
        <v>1</v>
      </c>
      <c r="AC2018" s="960">
        <f t="array" ref="AC2018">HLOOKUP($J2018,'Type Chart'!$C$2:$T$20,10,false)*HLOOKUP($K2018,'Type Chart'!$C$2:$U$20,10,false)</f>
        <v>0.5</v>
      </c>
      <c r="AD2018" s="960">
        <f t="array" ref="AD2018">HLOOKUP($J2018,'Type Chart'!$C$2:$T$20,11,false)*HLOOKUP($K2018,'Type Chart'!$C$2:$U$20,11,false)</f>
        <v>2</v>
      </c>
      <c r="AE2018" s="960">
        <f t="array" ref="AE2018">HLOOKUP($J2018,'Type Chart'!$C$2:$T$20,12,false)*HLOOKUP($K2018,'Type Chart'!$C$2:$U$20,12,false)</f>
        <v>1</v>
      </c>
      <c r="AF2018" s="960">
        <f t="array" ref="AF2018">HLOOKUP($J2018,'Type Chart'!$C$2:$T$20,13,false)*HLOOKUP($K2018,'Type Chart'!$C$2:$U$20,13,false)</f>
        <v>0.5</v>
      </c>
      <c r="AG2018" s="960">
        <f t="array" ref="AG2018">HLOOKUP($J2018,'Type Chart'!$C$2:$T$20,14,false)*HLOOKUP($K2018,'Type Chart'!$C$2:$U$20,14,false)</f>
        <v>1</v>
      </c>
      <c r="AH2018" s="960">
        <f t="array" ref="AH2018">HLOOKUP($J2018,'Type Chart'!$C$2:$T$20,15,false)*HLOOKUP($K2018,'Type Chart'!$C$2:$U$20,15,false)</f>
        <v>0.5</v>
      </c>
      <c r="AI2018" s="960">
        <f t="array" ref="AI2018">HLOOKUP($J2018,'Type Chart'!$C$2:$T$20,16,false)*HLOOKUP($K2018,'Type Chart'!$C$2:$U$20,16,false)</f>
        <v>0.5</v>
      </c>
      <c r="AJ2018" s="960">
        <f t="array" ref="AJ2018">HLOOKUP($J2018,'Type Chart'!$C$2:$T$20,17,false)*HLOOKUP($K2018,'Type Chart'!$C$2:$U$20,17,false)</f>
        <v>0.5</v>
      </c>
      <c r="AK2018" s="960">
        <f t="array" ref="AK2018">HLOOKUP($J2018,'Type Chart'!$C$2:$T$20,18,false)*HLOOKUP($K2018,'Type Chart'!$C$2:$U$20,18,false)</f>
        <v>1</v>
      </c>
      <c r="AL2018" s="960">
        <f t="array" ref="AL2018">HLOOKUP($J2018,'Type Chart'!$C$2:$T$20,19,false)*HLOOKUP($K2018,'Type Chart'!$C$2:$U$20,19,false)</f>
        <v>0.5</v>
      </c>
      <c r="AM2018" s="964" t="s">
        <v>1759</v>
      </c>
      <c r="AN2018" s="965" t="s">
        <v>2172</v>
      </c>
      <c r="AO2018" s="966" t="s">
        <v>1324</v>
      </c>
      <c r="AP2018" s="936"/>
      <c r="AQ2018" s="1245"/>
      <c r="AR2018" s="1245"/>
      <c r="AS2018" s="936"/>
    </row>
    <row r="2019" ht="15.75" customHeight="1">
      <c r="A2019" s="1099"/>
      <c r="B2019" s="948" t="s">
        <v>3110</v>
      </c>
      <c r="C2019" s="1197" t="s">
        <v>3111</v>
      </c>
      <c r="D2019" s="1197" t="s">
        <v>3111</v>
      </c>
      <c r="E2019" s="1147" t="s">
        <v>3111</v>
      </c>
      <c r="F2019" s="940"/>
      <c r="G2019" s="953"/>
      <c r="H2019" s="969"/>
      <c r="I2019" s="998" t="s">
        <v>5120</v>
      </c>
      <c r="J2019" s="1206" t="s">
        <v>82</v>
      </c>
      <c r="K2019" s="984" t="s">
        <v>216</v>
      </c>
      <c r="L2019" s="959">
        <v>60.0</v>
      </c>
      <c r="M2019" s="960">
        <v>100.0</v>
      </c>
      <c r="N2019" s="960">
        <v>115.0</v>
      </c>
      <c r="O2019" s="960">
        <v>70.0</v>
      </c>
      <c r="P2019" s="960">
        <v>85.0</v>
      </c>
      <c r="Q2019" s="960">
        <v>90.0</v>
      </c>
      <c r="R2019" s="960">
        <v>216.0</v>
      </c>
      <c r="S2019" s="960">
        <v>279.0</v>
      </c>
      <c r="T2019" s="960">
        <v>306.0</v>
      </c>
      <c r="U2019" s="960">
        <f t="array" ref="U2019">HLOOKUP($J2019,'Type Chart'!$C$2:$T$20,2,false)*HLOOKUP($K2019,'Type Chart'!$C$2:$U$20,2,false)</f>
        <v>0.5</v>
      </c>
      <c r="V2019" s="960">
        <f t="array" ref="V2019">HLOOKUP($J2019,'Type Chart'!$C$2:$T$20,3,false)*HLOOKUP($K2019,'Type Chart'!$C$2:$U$20,3,false)</f>
        <v>2</v>
      </c>
      <c r="W2019" s="960">
        <f t="array" ref="W2019">HLOOKUP($J2019,'Type Chart'!$C$2:$T$20,4,false)*HLOOKUP($K2019,'Type Chart'!$C$2:$U$20,4,false)</f>
        <v>0.5</v>
      </c>
      <c r="X2019" s="960">
        <f t="array" ref="X2019">HLOOKUP($J2019,'Type Chart'!$C$2:$T$20,5,false)*HLOOKUP($K2019,'Type Chart'!$C$2:$U$20,5,false)</f>
        <v>0</v>
      </c>
      <c r="Y2019" s="960">
        <f t="array" ref="Y2019">HLOOKUP($J2019,'Type Chart'!$C$2:$T$20,6,false)*HLOOKUP($K2019,'Type Chart'!$C$2:$U$20,6,false)</f>
        <v>2</v>
      </c>
      <c r="Z2019" s="960">
        <f t="array" ref="Z2019">HLOOKUP($J2019,'Type Chart'!$C$2:$T$20,7,false)*HLOOKUP($K2019,'Type Chart'!$C$2:$U$20,7,false)</f>
        <v>0.5</v>
      </c>
      <c r="AA2019" s="960">
        <f t="array" ref="AA2019">HLOOKUP($J2019,'Type Chart'!$C$2:$T$20,8,false)*HLOOKUP($K2019,'Type Chart'!$C$2:$U$20,8,false)</f>
        <v>0.5</v>
      </c>
      <c r="AB2019" s="960">
        <f t="array" ref="AB2019">HLOOKUP($J2019,'Type Chart'!$C$2:$T$20,9,false)*HLOOKUP($K2019,'Type Chart'!$C$2:$U$20,9,false)</f>
        <v>1</v>
      </c>
      <c r="AC2019" s="960">
        <f t="array" ref="AC2019">HLOOKUP($J2019,'Type Chart'!$C$2:$T$20,10,false)*HLOOKUP($K2019,'Type Chart'!$C$2:$U$20,10,false)</f>
        <v>0.5</v>
      </c>
      <c r="AD2019" s="960">
        <f t="array" ref="AD2019">HLOOKUP($J2019,'Type Chart'!$C$2:$T$20,11,false)*HLOOKUP($K2019,'Type Chart'!$C$2:$U$20,11,false)</f>
        <v>2</v>
      </c>
      <c r="AE2019" s="960">
        <f t="array" ref="AE2019">HLOOKUP($J2019,'Type Chart'!$C$2:$T$20,12,false)*HLOOKUP($K2019,'Type Chart'!$C$2:$U$20,12,false)</f>
        <v>1</v>
      </c>
      <c r="AF2019" s="960">
        <f t="array" ref="AF2019">HLOOKUP($J2019,'Type Chart'!$C$2:$T$20,13,false)*HLOOKUP($K2019,'Type Chart'!$C$2:$U$20,13,false)</f>
        <v>0.5</v>
      </c>
      <c r="AG2019" s="960">
        <f t="array" ref="AG2019">HLOOKUP($J2019,'Type Chart'!$C$2:$T$20,14,false)*HLOOKUP($K2019,'Type Chart'!$C$2:$U$20,14,false)</f>
        <v>1</v>
      </c>
      <c r="AH2019" s="960">
        <f t="array" ref="AH2019">HLOOKUP($J2019,'Type Chart'!$C$2:$T$20,15,false)*HLOOKUP($K2019,'Type Chart'!$C$2:$U$20,15,false)</f>
        <v>0.5</v>
      </c>
      <c r="AI2019" s="960">
        <f t="array" ref="AI2019">HLOOKUP($J2019,'Type Chart'!$C$2:$T$20,16,false)*HLOOKUP($K2019,'Type Chart'!$C$2:$U$20,16,false)</f>
        <v>0.5</v>
      </c>
      <c r="AJ2019" s="960">
        <f t="array" ref="AJ2019">HLOOKUP($J2019,'Type Chart'!$C$2:$T$20,17,false)*HLOOKUP($K2019,'Type Chart'!$C$2:$U$20,17,false)</f>
        <v>0.5</v>
      </c>
      <c r="AK2019" s="960">
        <f t="array" ref="AK2019">HLOOKUP($J2019,'Type Chart'!$C$2:$T$20,18,false)*HLOOKUP($K2019,'Type Chart'!$C$2:$U$20,18,false)</f>
        <v>1</v>
      </c>
      <c r="AL2019" s="960">
        <f t="array" ref="AL2019">HLOOKUP($J2019,'Type Chart'!$C$2:$T$20,19,false)*HLOOKUP($K2019,'Type Chart'!$C$2:$U$20,19,false)</f>
        <v>0.5</v>
      </c>
      <c r="AM2019" s="964" t="s">
        <v>1759</v>
      </c>
      <c r="AN2019" s="965" t="s">
        <v>2172</v>
      </c>
      <c r="AO2019" s="966" t="s">
        <v>1324</v>
      </c>
      <c r="AP2019" s="936"/>
      <c r="AQ2019" s="1245"/>
      <c r="AR2019" s="1245"/>
      <c r="AS2019" s="936"/>
    </row>
    <row r="2020" ht="15.75" customHeight="1">
      <c r="A2020" s="1099"/>
      <c r="B2020" s="948" t="s">
        <v>3113</v>
      </c>
      <c r="C2020" s="1197" t="s">
        <v>3114</v>
      </c>
      <c r="D2020" s="1197" t="s">
        <v>3114</v>
      </c>
      <c r="E2020" s="1147" t="s">
        <v>3114</v>
      </c>
      <c r="F2020" s="940"/>
      <c r="G2020" s="953"/>
      <c r="H2020" s="969"/>
      <c r="I2020" s="998" t="s">
        <v>5121</v>
      </c>
      <c r="J2020" s="1196" t="s">
        <v>203</v>
      </c>
      <c r="K2020" s="984" t="s">
        <v>216</v>
      </c>
      <c r="L2020" s="959">
        <v>35.0</v>
      </c>
      <c r="M2020" s="960">
        <v>55.0</v>
      </c>
      <c r="N2020" s="960">
        <v>40.0</v>
      </c>
      <c r="O2020" s="960">
        <v>45.0</v>
      </c>
      <c r="P2020" s="960">
        <v>40.0</v>
      </c>
      <c r="Q2020" s="960">
        <v>60.0</v>
      </c>
      <c r="R2020" s="960">
        <v>156.0</v>
      </c>
      <c r="S2020" s="960">
        <v>219.0</v>
      </c>
      <c r="T2020" s="960">
        <v>240.0</v>
      </c>
      <c r="U2020" s="960">
        <f t="array" ref="U2020">HLOOKUP($J2020,'Type Chart'!$C$2:$T$20,2,false)*HLOOKUP($K2020,'Type Chart'!$C$2:$U$20,2,false)</f>
        <v>1</v>
      </c>
      <c r="V2020" s="960">
        <f t="array" ref="V2020">HLOOKUP($J2020,'Type Chart'!$C$2:$T$20,3,false)*HLOOKUP($K2020,'Type Chart'!$C$2:$U$20,3,false)</f>
        <v>1</v>
      </c>
      <c r="W2020" s="960">
        <f t="array" ref="W2020">HLOOKUP($J2020,'Type Chart'!$C$2:$T$20,4,false)*HLOOKUP($K2020,'Type Chart'!$C$2:$U$20,4,false)</f>
        <v>0.5</v>
      </c>
      <c r="X2020" s="960">
        <f t="array" ref="X2020">HLOOKUP($J2020,'Type Chart'!$C$2:$T$20,5,false)*HLOOKUP($K2020,'Type Chart'!$C$2:$U$20,5,false)</f>
        <v>1</v>
      </c>
      <c r="Y2020" s="960">
        <f t="array" ref="Y2020">HLOOKUP($J2020,'Type Chart'!$C$2:$T$20,6,false)*HLOOKUP($K2020,'Type Chart'!$C$2:$U$20,6,false)</f>
        <v>2</v>
      </c>
      <c r="Z2020" s="960">
        <f t="array" ref="Z2020">HLOOKUP($J2020,'Type Chart'!$C$2:$T$20,7,false)*HLOOKUP($K2020,'Type Chart'!$C$2:$U$20,7,false)</f>
        <v>1</v>
      </c>
      <c r="AA2020" s="960">
        <f t="array" ref="AA2020">HLOOKUP($J2020,'Type Chart'!$C$2:$T$20,8,false)*HLOOKUP($K2020,'Type Chart'!$C$2:$U$20,8,false)</f>
        <v>1</v>
      </c>
      <c r="AB2020" s="960">
        <f t="array" ref="AB2020">HLOOKUP($J2020,'Type Chart'!$C$2:$T$20,9,false)*HLOOKUP($K2020,'Type Chart'!$C$2:$U$20,9,false)</f>
        <v>1</v>
      </c>
      <c r="AC2020" s="960">
        <f t="array" ref="AC2020">HLOOKUP($J2020,'Type Chart'!$C$2:$T$20,10,false)*HLOOKUP($K2020,'Type Chart'!$C$2:$U$20,10,false)</f>
        <v>0.5</v>
      </c>
      <c r="AD2020" s="960">
        <f t="array" ref="AD2020">HLOOKUP($J2020,'Type Chart'!$C$2:$T$20,11,false)*HLOOKUP($K2020,'Type Chart'!$C$2:$U$20,11,false)</f>
        <v>1</v>
      </c>
      <c r="AE2020" s="960">
        <f t="array" ref="AE2020">HLOOKUP($J2020,'Type Chart'!$C$2:$T$20,12,false)*HLOOKUP($K2020,'Type Chart'!$C$2:$U$20,12,false)</f>
        <v>1</v>
      </c>
      <c r="AF2020" s="960">
        <f t="array" ref="AF2020">HLOOKUP($J2020,'Type Chart'!$C$2:$T$20,13,false)*HLOOKUP($K2020,'Type Chart'!$C$2:$U$20,13,false)</f>
        <v>1</v>
      </c>
      <c r="AG2020" s="960">
        <f t="array" ref="AG2020">HLOOKUP($J2020,'Type Chart'!$C$2:$T$20,14,false)*HLOOKUP($K2020,'Type Chart'!$C$2:$U$20,14,false)</f>
        <v>0.5</v>
      </c>
      <c r="AH2020" s="960">
        <f t="array" ref="AH2020">HLOOKUP($J2020,'Type Chart'!$C$2:$T$20,15,false)*HLOOKUP($K2020,'Type Chart'!$C$2:$U$20,15,false)</f>
        <v>1</v>
      </c>
      <c r="AI2020" s="960">
        <f t="array" ref="AI2020">HLOOKUP($J2020,'Type Chart'!$C$2:$T$20,16,false)*HLOOKUP($K2020,'Type Chart'!$C$2:$U$20,16,false)</f>
        <v>1</v>
      </c>
      <c r="AJ2020" s="960">
        <f t="array" ref="AJ2020">HLOOKUP($J2020,'Type Chart'!$C$2:$T$20,17,false)*HLOOKUP($K2020,'Type Chart'!$C$2:$U$20,17,false)</f>
        <v>1</v>
      </c>
      <c r="AK2020" s="960">
        <f t="array" ref="AK2020">HLOOKUP($J2020,'Type Chart'!$C$2:$T$20,18,false)*HLOOKUP($K2020,'Type Chart'!$C$2:$U$20,18,false)</f>
        <v>1</v>
      </c>
      <c r="AL2020" s="960">
        <f t="array" ref="AL2020">HLOOKUP($J2020,'Type Chart'!$C$2:$T$20,19,false)*HLOOKUP($K2020,'Type Chart'!$C$2:$U$20,19,false)</f>
        <v>1</v>
      </c>
      <c r="AM2020" s="964" t="s">
        <v>1437</v>
      </c>
      <c r="AN2020" s="965"/>
      <c r="AO2020" s="966"/>
      <c r="AP2020" s="936"/>
      <c r="AQ2020" s="1245"/>
      <c r="AR2020" s="1245"/>
      <c r="AS2020" s="936"/>
    </row>
    <row r="2021" ht="15.75" customHeight="1">
      <c r="A2021" s="1099"/>
      <c r="B2021" s="948" t="s">
        <v>3116</v>
      </c>
      <c r="C2021" s="1197" t="s">
        <v>3117</v>
      </c>
      <c r="D2021" s="1197" t="s">
        <v>3117</v>
      </c>
      <c r="E2021" s="1147" t="s">
        <v>3117</v>
      </c>
      <c r="F2021" s="940"/>
      <c r="G2021" s="953"/>
      <c r="H2021" s="969"/>
      <c r="I2021" s="998" t="s">
        <v>5122</v>
      </c>
      <c r="J2021" s="1196" t="s">
        <v>203</v>
      </c>
      <c r="K2021" s="984" t="s">
        <v>216</v>
      </c>
      <c r="L2021" s="959">
        <v>65.0</v>
      </c>
      <c r="M2021" s="960">
        <v>85.0</v>
      </c>
      <c r="N2021" s="960">
        <v>70.0</v>
      </c>
      <c r="O2021" s="960">
        <v>75.0</v>
      </c>
      <c r="P2021" s="960">
        <v>70.0</v>
      </c>
      <c r="Q2021" s="960">
        <v>40.0</v>
      </c>
      <c r="R2021" s="960">
        <v>116.0</v>
      </c>
      <c r="S2021" s="960">
        <v>179.0</v>
      </c>
      <c r="T2021" s="960">
        <v>196.0</v>
      </c>
      <c r="U2021" s="960">
        <f t="array" ref="U2021">HLOOKUP($J2021,'Type Chart'!$C$2:$T$20,2,false)*HLOOKUP($K2021,'Type Chart'!$C$2:$U$20,2,false)</f>
        <v>1</v>
      </c>
      <c r="V2021" s="960">
        <f t="array" ref="V2021">HLOOKUP($J2021,'Type Chart'!$C$2:$T$20,3,false)*HLOOKUP($K2021,'Type Chart'!$C$2:$U$20,3,false)</f>
        <v>1</v>
      </c>
      <c r="W2021" s="960">
        <f t="array" ref="W2021">HLOOKUP($J2021,'Type Chart'!$C$2:$T$20,4,false)*HLOOKUP($K2021,'Type Chart'!$C$2:$U$20,4,false)</f>
        <v>0.5</v>
      </c>
      <c r="X2021" s="960">
        <f t="array" ref="X2021">HLOOKUP($J2021,'Type Chart'!$C$2:$T$20,5,false)*HLOOKUP($K2021,'Type Chart'!$C$2:$U$20,5,false)</f>
        <v>1</v>
      </c>
      <c r="Y2021" s="960">
        <f t="array" ref="Y2021">HLOOKUP($J2021,'Type Chart'!$C$2:$T$20,6,false)*HLOOKUP($K2021,'Type Chart'!$C$2:$U$20,6,false)</f>
        <v>2</v>
      </c>
      <c r="Z2021" s="960">
        <f t="array" ref="Z2021">HLOOKUP($J2021,'Type Chart'!$C$2:$T$20,7,false)*HLOOKUP($K2021,'Type Chart'!$C$2:$U$20,7,false)</f>
        <v>1</v>
      </c>
      <c r="AA2021" s="960">
        <f t="array" ref="AA2021">HLOOKUP($J2021,'Type Chart'!$C$2:$T$20,8,false)*HLOOKUP($K2021,'Type Chart'!$C$2:$U$20,8,false)</f>
        <v>1</v>
      </c>
      <c r="AB2021" s="960">
        <f t="array" ref="AB2021">HLOOKUP($J2021,'Type Chart'!$C$2:$T$20,9,false)*HLOOKUP($K2021,'Type Chart'!$C$2:$U$20,9,false)</f>
        <v>1</v>
      </c>
      <c r="AC2021" s="960">
        <f t="array" ref="AC2021">HLOOKUP($J2021,'Type Chart'!$C$2:$T$20,10,false)*HLOOKUP($K2021,'Type Chart'!$C$2:$U$20,10,false)</f>
        <v>0.5</v>
      </c>
      <c r="AD2021" s="960">
        <f t="array" ref="AD2021">HLOOKUP($J2021,'Type Chart'!$C$2:$T$20,11,false)*HLOOKUP($K2021,'Type Chart'!$C$2:$U$20,11,false)</f>
        <v>1</v>
      </c>
      <c r="AE2021" s="960">
        <f t="array" ref="AE2021">HLOOKUP($J2021,'Type Chart'!$C$2:$T$20,12,false)*HLOOKUP($K2021,'Type Chart'!$C$2:$U$20,12,false)</f>
        <v>1</v>
      </c>
      <c r="AF2021" s="960">
        <f t="array" ref="AF2021">HLOOKUP($J2021,'Type Chart'!$C$2:$T$20,13,false)*HLOOKUP($K2021,'Type Chart'!$C$2:$U$20,13,false)</f>
        <v>1</v>
      </c>
      <c r="AG2021" s="960">
        <f t="array" ref="AG2021">HLOOKUP($J2021,'Type Chart'!$C$2:$T$20,14,false)*HLOOKUP($K2021,'Type Chart'!$C$2:$U$20,14,false)</f>
        <v>0.5</v>
      </c>
      <c r="AH2021" s="960">
        <f t="array" ref="AH2021">HLOOKUP($J2021,'Type Chart'!$C$2:$T$20,15,false)*HLOOKUP($K2021,'Type Chart'!$C$2:$U$20,15,false)</f>
        <v>1</v>
      </c>
      <c r="AI2021" s="960">
        <f t="array" ref="AI2021">HLOOKUP($J2021,'Type Chart'!$C$2:$T$20,16,false)*HLOOKUP($K2021,'Type Chart'!$C$2:$U$20,16,false)</f>
        <v>1</v>
      </c>
      <c r="AJ2021" s="960">
        <f t="array" ref="AJ2021">HLOOKUP($J2021,'Type Chart'!$C$2:$T$20,17,false)*HLOOKUP($K2021,'Type Chart'!$C$2:$U$20,17,false)</f>
        <v>1</v>
      </c>
      <c r="AK2021" s="960">
        <f t="array" ref="AK2021">HLOOKUP($J2021,'Type Chart'!$C$2:$T$20,18,false)*HLOOKUP($K2021,'Type Chart'!$C$2:$U$20,18,false)</f>
        <v>1</v>
      </c>
      <c r="AL2021" s="960">
        <f t="array" ref="AL2021">HLOOKUP($J2021,'Type Chart'!$C$2:$T$20,19,false)*HLOOKUP($K2021,'Type Chart'!$C$2:$U$20,19,false)</f>
        <v>1</v>
      </c>
      <c r="AM2021" s="964" t="s">
        <v>1437</v>
      </c>
      <c r="AN2021" s="965"/>
      <c r="AO2021" s="966"/>
      <c r="AP2021" s="936"/>
      <c r="AQ2021" s="1245"/>
      <c r="AR2021" s="1245"/>
      <c r="AS2021" s="936"/>
    </row>
    <row r="2022" ht="15.75" customHeight="1">
      <c r="A2022" s="1099"/>
      <c r="B2022" s="948" t="s">
        <v>3118</v>
      </c>
      <c r="C2022" s="1197" t="s">
        <v>3119</v>
      </c>
      <c r="D2022" s="1197" t="s">
        <v>3119</v>
      </c>
      <c r="E2022" s="1147" t="s">
        <v>3119</v>
      </c>
      <c r="F2022" s="940"/>
      <c r="G2022" s="953"/>
      <c r="H2022" s="969"/>
      <c r="I2022" s="998" t="s">
        <v>5123</v>
      </c>
      <c r="J2022" s="1196" t="s">
        <v>203</v>
      </c>
      <c r="K2022" s="984" t="s">
        <v>216</v>
      </c>
      <c r="L2022" s="959">
        <v>85.0</v>
      </c>
      <c r="M2022" s="960">
        <v>115.0</v>
      </c>
      <c r="N2022" s="960">
        <v>80.0</v>
      </c>
      <c r="O2022" s="960">
        <v>105.0</v>
      </c>
      <c r="P2022" s="960">
        <v>80.0</v>
      </c>
      <c r="Q2022" s="960">
        <v>50.0</v>
      </c>
      <c r="R2022" s="960">
        <v>136.0</v>
      </c>
      <c r="S2022" s="960">
        <v>199.0</v>
      </c>
      <c r="T2022" s="960">
        <v>218.0</v>
      </c>
      <c r="U2022" s="960">
        <f t="array" ref="U2022">HLOOKUP($J2022,'Type Chart'!$C$2:$T$20,2,false)*HLOOKUP($K2022,'Type Chart'!$C$2:$U$20,2,false)</f>
        <v>1</v>
      </c>
      <c r="V2022" s="960">
        <f t="array" ref="V2022">HLOOKUP($J2022,'Type Chart'!$C$2:$T$20,3,false)*HLOOKUP($K2022,'Type Chart'!$C$2:$U$20,3,false)</f>
        <v>1</v>
      </c>
      <c r="W2022" s="960">
        <f t="array" ref="W2022">HLOOKUP($J2022,'Type Chart'!$C$2:$T$20,4,false)*HLOOKUP($K2022,'Type Chart'!$C$2:$U$20,4,false)</f>
        <v>0.5</v>
      </c>
      <c r="X2022" s="960">
        <f t="array" ref="X2022">HLOOKUP($J2022,'Type Chart'!$C$2:$T$20,5,false)*HLOOKUP($K2022,'Type Chart'!$C$2:$U$20,5,false)</f>
        <v>1</v>
      </c>
      <c r="Y2022" s="960">
        <f t="array" ref="Y2022">HLOOKUP($J2022,'Type Chart'!$C$2:$T$20,6,false)*HLOOKUP($K2022,'Type Chart'!$C$2:$U$20,6,false)</f>
        <v>2</v>
      </c>
      <c r="Z2022" s="960">
        <f t="array" ref="Z2022">HLOOKUP($J2022,'Type Chart'!$C$2:$T$20,7,false)*HLOOKUP($K2022,'Type Chart'!$C$2:$U$20,7,false)</f>
        <v>1</v>
      </c>
      <c r="AA2022" s="960">
        <f t="array" ref="AA2022">HLOOKUP($J2022,'Type Chart'!$C$2:$T$20,8,false)*HLOOKUP($K2022,'Type Chart'!$C$2:$U$20,8,false)</f>
        <v>1</v>
      </c>
      <c r="AB2022" s="960">
        <f t="array" ref="AB2022">HLOOKUP($J2022,'Type Chart'!$C$2:$T$20,9,false)*HLOOKUP($K2022,'Type Chart'!$C$2:$U$20,9,false)</f>
        <v>1</v>
      </c>
      <c r="AC2022" s="960">
        <f t="array" ref="AC2022">HLOOKUP($J2022,'Type Chart'!$C$2:$T$20,10,false)*HLOOKUP($K2022,'Type Chart'!$C$2:$U$20,10,false)</f>
        <v>0.5</v>
      </c>
      <c r="AD2022" s="960">
        <f t="array" ref="AD2022">HLOOKUP($J2022,'Type Chart'!$C$2:$T$20,11,false)*HLOOKUP($K2022,'Type Chart'!$C$2:$U$20,11,false)</f>
        <v>1</v>
      </c>
      <c r="AE2022" s="960">
        <f t="array" ref="AE2022">HLOOKUP($J2022,'Type Chart'!$C$2:$T$20,12,false)*HLOOKUP($K2022,'Type Chart'!$C$2:$U$20,12,false)</f>
        <v>1</v>
      </c>
      <c r="AF2022" s="960">
        <f t="array" ref="AF2022">HLOOKUP($J2022,'Type Chart'!$C$2:$T$20,13,false)*HLOOKUP($K2022,'Type Chart'!$C$2:$U$20,13,false)</f>
        <v>1</v>
      </c>
      <c r="AG2022" s="960">
        <f t="array" ref="AG2022">HLOOKUP($J2022,'Type Chart'!$C$2:$T$20,14,false)*HLOOKUP($K2022,'Type Chart'!$C$2:$U$20,14,false)</f>
        <v>0.5</v>
      </c>
      <c r="AH2022" s="960">
        <f t="array" ref="AH2022">HLOOKUP($J2022,'Type Chart'!$C$2:$T$20,15,false)*HLOOKUP($K2022,'Type Chart'!$C$2:$U$20,15,false)</f>
        <v>1</v>
      </c>
      <c r="AI2022" s="960">
        <f t="array" ref="AI2022">HLOOKUP($J2022,'Type Chart'!$C$2:$T$20,16,false)*HLOOKUP($K2022,'Type Chart'!$C$2:$U$20,16,false)</f>
        <v>1</v>
      </c>
      <c r="AJ2022" s="960">
        <f t="array" ref="AJ2022">HLOOKUP($J2022,'Type Chart'!$C$2:$T$20,17,false)*HLOOKUP($K2022,'Type Chart'!$C$2:$U$20,17,false)</f>
        <v>1</v>
      </c>
      <c r="AK2022" s="960">
        <f t="array" ref="AK2022">HLOOKUP($J2022,'Type Chart'!$C$2:$T$20,18,false)*HLOOKUP($K2022,'Type Chart'!$C$2:$U$20,18,false)</f>
        <v>1</v>
      </c>
      <c r="AL2022" s="960">
        <f t="array" ref="AL2022">HLOOKUP($J2022,'Type Chart'!$C$2:$T$20,19,false)*HLOOKUP($K2022,'Type Chart'!$C$2:$U$20,19,false)</f>
        <v>1</v>
      </c>
      <c r="AM2022" s="964" t="s">
        <v>1437</v>
      </c>
      <c r="AN2022" s="965"/>
      <c r="AO2022" s="966"/>
      <c r="AP2022" s="936"/>
      <c r="AQ2022" s="1245"/>
      <c r="AR2022" s="1245"/>
      <c r="AS2022" s="936"/>
    </row>
    <row r="2023" ht="15.75" customHeight="1">
      <c r="A2023" s="1099"/>
      <c r="B2023" s="948" t="s">
        <v>3120</v>
      </c>
      <c r="C2023" s="1197" t="s">
        <v>3121</v>
      </c>
      <c r="D2023" s="1197" t="s">
        <v>3121</v>
      </c>
      <c r="E2023" s="1147" t="s">
        <v>3121</v>
      </c>
      <c r="F2023" s="940"/>
      <c r="G2023" s="953"/>
      <c r="H2023" s="969"/>
      <c r="I2023" s="998" t="s">
        <v>5124</v>
      </c>
      <c r="J2023" s="1203" t="s">
        <v>344</v>
      </c>
      <c r="K2023" s="984" t="s">
        <v>216</v>
      </c>
      <c r="L2023" s="959">
        <v>55.0</v>
      </c>
      <c r="M2023" s="960">
        <v>55.0</v>
      </c>
      <c r="N2023" s="960">
        <v>55.0</v>
      </c>
      <c r="O2023" s="960">
        <v>85.0</v>
      </c>
      <c r="P2023" s="960">
        <v>55.0</v>
      </c>
      <c r="Q2023" s="960">
        <v>30.0</v>
      </c>
      <c r="R2023" s="960">
        <v>96.0</v>
      </c>
      <c r="S2023" s="960">
        <v>159.0</v>
      </c>
      <c r="T2023" s="960">
        <v>174.0</v>
      </c>
      <c r="U2023" s="960">
        <f t="array" ref="U2023">HLOOKUP($J2023,'Type Chart'!$C$2:$T$20,2,false)*HLOOKUP($K2023,'Type Chart'!$C$2:$U$20,2,false)</f>
        <v>1</v>
      </c>
      <c r="V2023" s="960">
        <f t="array" ref="V2023">HLOOKUP($J2023,'Type Chart'!$C$2:$T$20,3,false)*HLOOKUP($K2023,'Type Chart'!$C$2:$U$20,3,false)</f>
        <v>0.5</v>
      </c>
      <c r="W2023" s="960">
        <f t="array" ref="W2023">HLOOKUP($J2023,'Type Chart'!$C$2:$T$20,4,false)*HLOOKUP($K2023,'Type Chart'!$C$2:$U$20,4,false)</f>
        <v>1</v>
      </c>
      <c r="X2023" s="960">
        <f t="array" ref="X2023">HLOOKUP($J2023,'Type Chart'!$C$2:$T$20,5,false)*HLOOKUP($K2023,'Type Chart'!$C$2:$U$20,5,false)</f>
        <v>1</v>
      </c>
      <c r="Y2023" s="960">
        <f t="array" ref="Y2023">HLOOKUP($J2023,'Type Chart'!$C$2:$T$20,6,false)*HLOOKUP($K2023,'Type Chart'!$C$2:$U$20,6,false)</f>
        <v>1</v>
      </c>
      <c r="Z2023" s="960">
        <f t="array" ref="Z2023">HLOOKUP($J2023,'Type Chart'!$C$2:$T$20,7,false)*HLOOKUP($K2023,'Type Chart'!$C$2:$U$20,7,false)</f>
        <v>1</v>
      </c>
      <c r="AA2023" s="960">
        <f t="array" ref="AA2023">HLOOKUP($J2023,'Type Chart'!$C$2:$T$20,8,false)*HLOOKUP($K2023,'Type Chart'!$C$2:$U$20,8,false)</f>
        <v>2</v>
      </c>
      <c r="AB2023" s="960">
        <f t="array" ref="AB2023">HLOOKUP($J2023,'Type Chart'!$C$2:$T$20,9,false)*HLOOKUP($K2023,'Type Chart'!$C$2:$U$20,9,false)</f>
        <v>2</v>
      </c>
      <c r="AC2023" s="960">
        <f t="array" ref="AC2023">HLOOKUP($J2023,'Type Chart'!$C$2:$T$20,10,false)*HLOOKUP($K2023,'Type Chart'!$C$2:$U$20,10,false)</f>
        <v>1</v>
      </c>
      <c r="AD2023" s="960">
        <f t="array" ref="AD2023">HLOOKUP($J2023,'Type Chart'!$C$2:$T$20,11,false)*HLOOKUP($K2023,'Type Chart'!$C$2:$U$20,11,false)</f>
        <v>1</v>
      </c>
      <c r="AE2023" s="960">
        <f t="array" ref="AE2023">HLOOKUP($J2023,'Type Chart'!$C$2:$T$20,12,false)*HLOOKUP($K2023,'Type Chart'!$C$2:$U$20,12,false)</f>
        <v>1</v>
      </c>
      <c r="AF2023" s="960">
        <f t="array" ref="AF2023">HLOOKUP($J2023,'Type Chart'!$C$2:$T$20,13,false)*HLOOKUP($K2023,'Type Chart'!$C$2:$U$20,13,false)</f>
        <v>1</v>
      </c>
      <c r="AG2023" s="960">
        <f t="array" ref="AG2023">HLOOKUP($J2023,'Type Chart'!$C$2:$T$20,14,false)*HLOOKUP($K2023,'Type Chart'!$C$2:$U$20,14,false)</f>
        <v>1</v>
      </c>
      <c r="AH2023" s="960">
        <f t="array" ref="AH2023">HLOOKUP($J2023,'Type Chart'!$C$2:$T$20,15,false)*HLOOKUP($K2023,'Type Chart'!$C$2:$U$20,15,false)</f>
        <v>0.5</v>
      </c>
      <c r="AI2023" s="960">
        <f t="array" ref="AI2023">HLOOKUP($J2023,'Type Chart'!$C$2:$T$20,16,false)*HLOOKUP($K2023,'Type Chart'!$C$2:$U$20,16,false)</f>
        <v>1</v>
      </c>
      <c r="AJ2023" s="960">
        <f t="array" ref="AJ2023">HLOOKUP($J2023,'Type Chart'!$C$2:$T$20,17,false)*HLOOKUP($K2023,'Type Chart'!$C$2:$U$20,17,false)</f>
        <v>1</v>
      </c>
      <c r="AK2023" s="960">
        <f t="array" ref="AK2023">HLOOKUP($J2023,'Type Chart'!$C$2:$T$20,18,false)*HLOOKUP($K2023,'Type Chart'!$C$2:$U$20,18,false)</f>
        <v>2</v>
      </c>
      <c r="AL2023" s="960">
        <f t="array" ref="AL2023">HLOOKUP($J2023,'Type Chart'!$C$2:$T$20,19,false)*HLOOKUP($K2023,'Type Chart'!$C$2:$U$20,19,false)</f>
        <v>1</v>
      </c>
      <c r="AM2023" s="964" t="s">
        <v>1828</v>
      </c>
      <c r="AN2023" s="965" t="s">
        <v>1292</v>
      </c>
      <c r="AO2023" s="966" t="s">
        <v>1389</v>
      </c>
      <c r="AP2023" s="936"/>
      <c r="AQ2023" s="1245"/>
      <c r="AR2023" s="1245"/>
      <c r="AS2023" s="936"/>
    </row>
    <row r="2024" ht="15.75" customHeight="1">
      <c r="A2024" s="1099"/>
      <c r="B2024" s="948" t="s">
        <v>3123</v>
      </c>
      <c r="C2024" s="1197" t="s">
        <v>3124</v>
      </c>
      <c r="D2024" s="1197" t="s">
        <v>3124</v>
      </c>
      <c r="E2024" s="1147" t="s">
        <v>3124</v>
      </c>
      <c r="F2024" s="940"/>
      <c r="G2024" s="953"/>
      <c r="H2024" s="969"/>
      <c r="I2024" s="998" t="s">
        <v>5125</v>
      </c>
      <c r="J2024" s="1203" t="s">
        <v>344</v>
      </c>
      <c r="K2024" s="984" t="s">
        <v>216</v>
      </c>
      <c r="L2024" s="959">
        <v>75.0</v>
      </c>
      <c r="M2024" s="960">
        <v>75.0</v>
      </c>
      <c r="N2024" s="960">
        <v>75.0</v>
      </c>
      <c r="O2024" s="960">
        <v>125.0</v>
      </c>
      <c r="P2024" s="960">
        <v>95.0</v>
      </c>
      <c r="Q2024" s="960">
        <v>40.0</v>
      </c>
      <c r="R2024" s="960">
        <v>116.0</v>
      </c>
      <c r="S2024" s="960">
        <v>179.0</v>
      </c>
      <c r="T2024" s="960">
        <v>196.0</v>
      </c>
      <c r="U2024" s="960">
        <f t="array" ref="U2024">HLOOKUP($J2024,'Type Chart'!$C$2:$T$20,2,false)*HLOOKUP($K2024,'Type Chart'!$C$2:$U$20,2,false)</f>
        <v>1</v>
      </c>
      <c r="V2024" s="960">
        <f t="array" ref="V2024">HLOOKUP($J2024,'Type Chart'!$C$2:$T$20,3,false)*HLOOKUP($K2024,'Type Chart'!$C$2:$U$20,3,false)</f>
        <v>0.5</v>
      </c>
      <c r="W2024" s="960">
        <f t="array" ref="W2024">HLOOKUP($J2024,'Type Chart'!$C$2:$T$20,4,false)*HLOOKUP($K2024,'Type Chart'!$C$2:$U$20,4,false)</f>
        <v>1</v>
      </c>
      <c r="X2024" s="960">
        <f t="array" ref="X2024">HLOOKUP($J2024,'Type Chart'!$C$2:$T$20,5,false)*HLOOKUP($K2024,'Type Chart'!$C$2:$U$20,5,false)</f>
        <v>1</v>
      </c>
      <c r="Y2024" s="960">
        <f t="array" ref="Y2024">HLOOKUP($J2024,'Type Chart'!$C$2:$T$20,6,false)*HLOOKUP($K2024,'Type Chart'!$C$2:$U$20,6,false)</f>
        <v>1</v>
      </c>
      <c r="Z2024" s="960">
        <f t="array" ref="Z2024">HLOOKUP($J2024,'Type Chart'!$C$2:$T$20,7,false)*HLOOKUP($K2024,'Type Chart'!$C$2:$U$20,7,false)</f>
        <v>1</v>
      </c>
      <c r="AA2024" s="960">
        <f t="array" ref="AA2024">HLOOKUP($J2024,'Type Chart'!$C$2:$T$20,8,false)*HLOOKUP($K2024,'Type Chart'!$C$2:$U$20,8,false)</f>
        <v>2</v>
      </c>
      <c r="AB2024" s="960">
        <f t="array" ref="AB2024">HLOOKUP($J2024,'Type Chart'!$C$2:$T$20,9,false)*HLOOKUP($K2024,'Type Chart'!$C$2:$U$20,9,false)</f>
        <v>2</v>
      </c>
      <c r="AC2024" s="960">
        <f t="array" ref="AC2024">HLOOKUP($J2024,'Type Chart'!$C$2:$T$20,10,false)*HLOOKUP($K2024,'Type Chart'!$C$2:$U$20,10,false)</f>
        <v>1</v>
      </c>
      <c r="AD2024" s="960">
        <f t="array" ref="AD2024">HLOOKUP($J2024,'Type Chart'!$C$2:$T$20,11,false)*HLOOKUP($K2024,'Type Chart'!$C$2:$U$20,11,false)</f>
        <v>1</v>
      </c>
      <c r="AE2024" s="960">
        <f t="array" ref="AE2024">HLOOKUP($J2024,'Type Chart'!$C$2:$T$20,12,false)*HLOOKUP($K2024,'Type Chart'!$C$2:$U$20,12,false)</f>
        <v>1</v>
      </c>
      <c r="AF2024" s="960">
        <f t="array" ref="AF2024">HLOOKUP($J2024,'Type Chart'!$C$2:$T$20,13,false)*HLOOKUP($K2024,'Type Chart'!$C$2:$U$20,13,false)</f>
        <v>1</v>
      </c>
      <c r="AG2024" s="960">
        <f t="array" ref="AG2024">HLOOKUP($J2024,'Type Chart'!$C$2:$T$20,14,false)*HLOOKUP($K2024,'Type Chart'!$C$2:$U$20,14,false)</f>
        <v>1</v>
      </c>
      <c r="AH2024" s="960">
        <f t="array" ref="AH2024">HLOOKUP($J2024,'Type Chart'!$C$2:$T$20,15,false)*HLOOKUP($K2024,'Type Chart'!$C$2:$U$20,15,false)</f>
        <v>0.5</v>
      </c>
      <c r="AI2024" s="960">
        <f t="array" ref="AI2024">HLOOKUP($J2024,'Type Chart'!$C$2:$T$20,16,false)*HLOOKUP($K2024,'Type Chart'!$C$2:$U$20,16,false)</f>
        <v>1</v>
      </c>
      <c r="AJ2024" s="960">
        <f t="array" ref="AJ2024">HLOOKUP($J2024,'Type Chart'!$C$2:$T$20,17,false)*HLOOKUP($K2024,'Type Chart'!$C$2:$U$20,17,false)</f>
        <v>1</v>
      </c>
      <c r="AK2024" s="960">
        <f t="array" ref="AK2024">HLOOKUP($J2024,'Type Chart'!$C$2:$T$20,18,false)*HLOOKUP($K2024,'Type Chart'!$C$2:$U$20,18,false)</f>
        <v>2</v>
      </c>
      <c r="AL2024" s="960">
        <f t="array" ref="AL2024">HLOOKUP($J2024,'Type Chart'!$C$2:$T$20,19,false)*HLOOKUP($K2024,'Type Chart'!$C$2:$U$20,19,false)</f>
        <v>1</v>
      </c>
      <c r="AM2024" s="964" t="s">
        <v>1828</v>
      </c>
      <c r="AN2024" s="965" t="s">
        <v>1292</v>
      </c>
      <c r="AO2024" s="966" t="s">
        <v>1389</v>
      </c>
      <c r="AP2024" s="936"/>
      <c r="AQ2024" s="1245"/>
      <c r="AR2024" s="1245"/>
      <c r="AS2024" s="936"/>
    </row>
    <row r="2025" ht="15.75" customHeight="1">
      <c r="A2025" s="1099"/>
      <c r="B2025" s="948" t="s">
        <v>3126</v>
      </c>
      <c r="C2025" s="1197" t="s">
        <v>3127</v>
      </c>
      <c r="D2025" s="1197" t="s">
        <v>3127</v>
      </c>
      <c r="E2025" s="1147" t="s">
        <v>3127</v>
      </c>
      <c r="F2025" s="940"/>
      <c r="G2025" s="953"/>
      <c r="H2025" s="969"/>
      <c r="I2025" s="998" t="s">
        <v>5126</v>
      </c>
      <c r="J2025" s="1220" t="s">
        <v>215</v>
      </c>
      <c r="K2025" s="982" t="s">
        <v>150</v>
      </c>
      <c r="L2025" s="959">
        <v>50.0</v>
      </c>
      <c r="M2025" s="960">
        <v>30.0</v>
      </c>
      <c r="N2025" s="960">
        <v>55.0</v>
      </c>
      <c r="O2025" s="960">
        <v>65.0</v>
      </c>
      <c r="P2025" s="960">
        <v>55.0</v>
      </c>
      <c r="Q2025" s="960">
        <v>20.0</v>
      </c>
      <c r="R2025" s="960">
        <v>76.0</v>
      </c>
      <c r="S2025" s="960">
        <v>139.0</v>
      </c>
      <c r="T2025" s="960">
        <v>152.0</v>
      </c>
      <c r="U2025" s="960">
        <f t="array" ref="U2025">HLOOKUP($J2025,'Type Chart'!$C$2:$T$20,2,false)*HLOOKUP($K2025,'Type Chart'!$C$2:$U$20,2,false)</f>
        <v>0</v>
      </c>
      <c r="V2025" s="960">
        <f t="array" ref="V2025">HLOOKUP($J2025,'Type Chart'!$C$2:$T$20,3,false)*HLOOKUP($K2025,'Type Chart'!$C$2:$U$20,3,false)</f>
        <v>0</v>
      </c>
      <c r="W2025" s="960">
        <f t="array" ref="W2025">HLOOKUP($J2025,'Type Chart'!$C$2:$T$20,4,false)*HLOOKUP($K2025,'Type Chart'!$C$2:$U$20,4,false)</f>
        <v>1</v>
      </c>
      <c r="X2025" s="960">
        <f t="array" ref="X2025">HLOOKUP($J2025,'Type Chart'!$C$2:$T$20,5,false)*HLOOKUP($K2025,'Type Chart'!$C$2:$U$20,5,false)</f>
        <v>0.5</v>
      </c>
      <c r="Y2025" s="960">
        <f t="array" ref="Y2025">HLOOKUP($J2025,'Type Chart'!$C$2:$T$20,6,false)*HLOOKUP($K2025,'Type Chart'!$C$2:$U$20,6,false)</f>
        <v>2</v>
      </c>
      <c r="Z2025" s="960">
        <f t="array" ref="Z2025">HLOOKUP($J2025,'Type Chart'!$C$2:$T$20,7,false)*HLOOKUP($K2025,'Type Chart'!$C$2:$U$20,7,false)</f>
        <v>2</v>
      </c>
      <c r="AA2025" s="960">
        <f t="array" ref="AA2025">HLOOKUP($J2025,'Type Chart'!$C$2:$T$20,8,false)*HLOOKUP($K2025,'Type Chart'!$C$2:$U$20,8,false)</f>
        <v>0.25</v>
      </c>
      <c r="AB2025" s="960">
        <f t="array" ref="AB2025">HLOOKUP($J2025,'Type Chart'!$C$2:$T$20,9,false)*HLOOKUP($K2025,'Type Chart'!$C$2:$U$20,9,false)</f>
        <v>2</v>
      </c>
      <c r="AC2025" s="960">
        <f t="array" ref="AC2025">HLOOKUP($J2025,'Type Chart'!$C$2:$T$20,10,false)*HLOOKUP($K2025,'Type Chart'!$C$2:$U$20,10,false)</f>
        <v>0.5</v>
      </c>
      <c r="AD2025" s="960">
        <f t="array" ref="AD2025">HLOOKUP($J2025,'Type Chart'!$C$2:$T$20,11,false)*HLOOKUP($K2025,'Type Chart'!$C$2:$U$20,11,false)</f>
        <v>0.5</v>
      </c>
      <c r="AE2025" s="960">
        <f t="array" ref="AE2025">HLOOKUP($J2025,'Type Chart'!$C$2:$T$20,12,false)*HLOOKUP($K2025,'Type Chart'!$C$2:$U$20,12,false)</f>
        <v>2</v>
      </c>
      <c r="AF2025" s="960">
        <f t="array" ref="AF2025">HLOOKUP($J2025,'Type Chart'!$C$2:$T$20,13,false)*HLOOKUP($K2025,'Type Chart'!$C$2:$U$20,13,false)</f>
        <v>0.5</v>
      </c>
      <c r="AG2025" s="960">
        <f t="array" ref="AG2025">HLOOKUP($J2025,'Type Chart'!$C$2:$T$20,14,false)*HLOOKUP($K2025,'Type Chart'!$C$2:$U$20,14,false)</f>
        <v>1</v>
      </c>
      <c r="AH2025" s="960">
        <f t="array" ref="AH2025">HLOOKUP($J2025,'Type Chart'!$C$2:$T$20,15,false)*HLOOKUP($K2025,'Type Chart'!$C$2:$U$20,15,false)</f>
        <v>1</v>
      </c>
      <c r="AI2025" s="960">
        <f t="array" ref="AI2025">HLOOKUP($J2025,'Type Chart'!$C$2:$T$20,16,false)*HLOOKUP($K2025,'Type Chart'!$C$2:$U$20,16,false)</f>
        <v>0.5</v>
      </c>
      <c r="AJ2025" s="960">
        <f t="array" ref="AJ2025">HLOOKUP($J2025,'Type Chart'!$C$2:$T$20,17,false)*HLOOKUP($K2025,'Type Chart'!$C$2:$U$20,17,false)</f>
        <v>1</v>
      </c>
      <c r="AK2025" s="960">
        <f t="array" ref="AK2025">HLOOKUP($J2025,'Type Chart'!$C$2:$T$20,18,false)*HLOOKUP($K2025,'Type Chart'!$C$2:$U$20,18,false)</f>
        <v>2</v>
      </c>
      <c r="AL2025" s="960">
        <f t="array" ref="AL2025">HLOOKUP($J2025,'Type Chart'!$C$2:$T$20,19,false)*HLOOKUP($K2025,'Type Chart'!$C$2:$U$20,19,false)</f>
        <v>0.5</v>
      </c>
      <c r="AM2025" s="964" t="s">
        <v>1172</v>
      </c>
      <c r="AN2025" s="965" t="s">
        <v>1353</v>
      </c>
      <c r="AO2025" s="966" t="s">
        <v>1193</v>
      </c>
      <c r="AP2025" s="936"/>
      <c r="AQ2025" s="1245"/>
      <c r="AR2025" s="1245"/>
      <c r="AS2025" s="936"/>
    </row>
    <row r="2026" ht="15.75" customHeight="1">
      <c r="A2026" s="1099"/>
      <c r="B2026" s="948" t="s">
        <v>3129</v>
      </c>
      <c r="C2026" s="1197" t="s">
        <v>3130</v>
      </c>
      <c r="D2026" s="1197" t="s">
        <v>3130</v>
      </c>
      <c r="E2026" s="1147" t="s">
        <v>3130</v>
      </c>
      <c r="F2026" s="940"/>
      <c r="G2026" s="953"/>
      <c r="H2026" s="969"/>
      <c r="I2026" s="998" t="s">
        <v>5127</v>
      </c>
      <c r="J2026" s="1220" t="s">
        <v>215</v>
      </c>
      <c r="K2026" s="982" t="s">
        <v>150</v>
      </c>
      <c r="L2026" s="959">
        <v>60.0</v>
      </c>
      <c r="M2026" s="960">
        <v>40.0</v>
      </c>
      <c r="N2026" s="960">
        <v>60.0</v>
      </c>
      <c r="O2026" s="960">
        <v>95.0</v>
      </c>
      <c r="P2026" s="960">
        <v>60.0</v>
      </c>
      <c r="Q2026" s="960">
        <v>55.0</v>
      </c>
      <c r="R2026" s="960">
        <v>146.0</v>
      </c>
      <c r="S2026" s="960">
        <v>209.0</v>
      </c>
      <c r="T2026" s="960">
        <v>229.0</v>
      </c>
      <c r="U2026" s="960">
        <f t="array" ref="U2026">HLOOKUP($J2026,'Type Chart'!$C$2:$T$20,2,false)*HLOOKUP($K2026,'Type Chart'!$C$2:$U$20,2,false)</f>
        <v>0</v>
      </c>
      <c r="V2026" s="960">
        <f t="array" ref="V2026">HLOOKUP($J2026,'Type Chart'!$C$2:$T$20,3,false)*HLOOKUP($K2026,'Type Chart'!$C$2:$U$20,3,false)</f>
        <v>0</v>
      </c>
      <c r="W2026" s="960">
        <f t="array" ref="W2026">HLOOKUP($J2026,'Type Chart'!$C$2:$T$20,4,false)*HLOOKUP($K2026,'Type Chart'!$C$2:$U$20,4,false)</f>
        <v>1</v>
      </c>
      <c r="X2026" s="960">
        <f t="array" ref="X2026">HLOOKUP($J2026,'Type Chart'!$C$2:$T$20,5,false)*HLOOKUP($K2026,'Type Chart'!$C$2:$U$20,5,false)</f>
        <v>0.5</v>
      </c>
      <c r="Y2026" s="960">
        <f t="array" ref="Y2026">HLOOKUP($J2026,'Type Chart'!$C$2:$T$20,6,false)*HLOOKUP($K2026,'Type Chart'!$C$2:$U$20,6,false)</f>
        <v>2</v>
      </c>
      <c r="Z2026" s="960">
        <f t="array" ref="Z2026">HLOOKUP($J2026,'Type Chart'!$C$2:$T$20,7,false)*HLOOKUP($K2026,'Type Chart'!$C$2:$U$20,7,false)</f>
        <v>2</v>
      </c>
      <c r="AA2026" s="960">
        <f t="array" ref="AA2026">HLOOKUP($J2026,'Type Chart'!$C$2:$T$20,8,false)*HLOOKUP($K2026,'Type Chart'!$C$2:$U$20,8,false)</f>
        <v>0.25</v>
      </c>
      <c r="AB2026" s="960">
        <f t="array" ref="AB2026">HLOOKUP($J2026,'Type Chart'!$C$2:$T$20,9,false)*HLOOKUP($K2026,'Type Chart'!$C$2:$U$20,9,false)</f>
        <v>2</v>
      </c>
      <c r="AC2026" s="960">
        <f t="array" ref="AC2026">HLOOKUP($J2026,'Type Chart'!$C$2:$T$20,10,false)*HLOOKUP($K2026,'Type Chart'!$C$2:$U$20,10,false)</f>
        <v>0.5</v>
      </c>
      <c r="AD2026" s="960">
        <f t="array" ref="AD2026">HLOOKUP($J2026,'Type Chart'!$C$2:$T$20,11,false)*HLOOKUP($K2026,'Type Chart'!$C$2:$U$20,11,false)</f>
        <v>0.5</v>
      </c>
      <c r="AE2026" s="960">
        <f t="array" ref="AE2026">HLOOKUP($J2026,'Type Chart'!$C$2:$T$20,12,false)*HLOOKUP($K2026,'Type Chart'!$C$2:$U$20,12,false)</f>
        <v>2</v>
      </c>
      <c r="AF2026" s="960">
        <f t="array" ref="AF2026">HLOOKUP($J2026,'Type Chart'!$C$2:$T$20,13,false)*HLOOKUP($K2026,'Type Chart'!$C$2:$U$20,13,false)</f>
        <v>0.5</v>
      </c>
      <c r="AG2026" s="960">
        <f t="array" ref="AG2026">HLOOKUP($J2026,'Type Chart'!$C$2:$T$20,14,false)*HLOOKUP($K2026,'Type Chart'!$C$2:$U$20,14,false)</f>
        <v>1</v>
      </c>
      <c r="AH2026" s="960">
        <f t="array" ref="AH2026">HLOOKUP($J2026,'Type Chart'!$C$2:$T$20,15,false)*HLOOKUP($K2026,'Type Chart'!$C$2:$U$20,15,false)</f>
        <v>1</v>
      </c>
      <c r="AI2026" s="960">
        <f t="array" ref="AI2026">HLOOKUP($J2026,'Type Chart'!$C$2:$T$20,16,false)*HLOOKUP($K2026,'Type Chart'!$C$2:$U$20,16,false)</f>
        <v>0.5</v>
      </c>
      <c r="AJ2026" s="960">
        <f t="array" ref="AJ2026">HLOOKUP($J2026,'Type Chart'!$C$2:$T$20,17,false)*HLOOKUP($K2026,'Type Chart'!$C$2:$U$20,17,false)</f>
        <v>1</v>
      </c>
      <c r="AK2026" s="960">
        <f t="array" ref="AK2026">HLOOKUP($J2026,'Type Chart'!$C$2:$T$20,18,false)*HLOOKUP($K2026,'Type Chart'!$C$2:$U$20,18,false)</f>
        <v>2</v>
      </c>
      <c r="AL2026" s="960">
        <f t="array" ref="AL2026">HLOOKUP($J2026,'Type Chart'!$C$2:$T$20,19,false)*HLOOKUP($K2026,'Type Chart'!$C$2:$U$20,19,false)</f>
        <v>0.5</v>
      </c>
      <c r="AM2026" s="964" t="s">
        <v>1172</v>
      </c>
      <c r="AN2026" s="965" t="s">
        <v>1353</v>
      </c>
      <c r="AO2026" s="966" t="s">
        <v>1193</v>
      </c>
      <c r="AP2026" s="936"/>
      <c r="AQ2026" s="1245"/>
      <c r="AR2026" s="1245"/>
      <c r="AS2026" s="936"/>
    </row>
    <row r="2027" ht="15.75" customHeight="1">
      <c r="A2027" s="1099"/>
      <c r="B2027" s="948" t="s">
        <v>3132</v>
      </c>
      <c r="C2027" s="1197" t="s">
        <v>3133</v>
      </c>
      <c r="D2027" s="1197" t="s">
        <v>3133</v>
      </c>
      <c r="E2027" s="1147" t="s">
        <v>3133</v>
      </c>
      <c r="F2027" s="940"/>
      <c r="G2027" s="953"/>
      <c r="H2027" s="969"/>
      <c r="I2027" s="998" t="s">
        <v>5128</v>
      </c>
      <c r="J2027" s="1220" t="s">
        <v>215</v>
      </c>
      <c r="K2027" s="982" t="s">
        <v>150</v>
      </c>
      <c r="L2027" s="959">
        <v>60.0</v>
      </c>
      <c r="M2027" s="960">
        <v>55.0</v>
      </c>
      <c r="N2027" s="960">
        <v>90.0</v>
      </c>
      <c r="O2027" s="960">
        <v>145.0</v>
      </c>
      <c r="P2027" s="960">
        <v>90.0</v>
      </c>
      <c r="Q2027" s="960">
        <v>80.0</v>
      </c>
      <c r="R2027" s="960">
        <v>196.0</v>
      </c>
      <c r="S2027" s="960">
        <v>259.0</v>
      </c>
      <c r="T2027" s="960">
        <v>284.0</v>
      </c>
      <c r="U2027" s="960">
        <f t="array" ref="U2027">HLOOKUP($J2027,'Type Chart'!$C$2:$T$20,2,false)*HLOOKUP($K2027,'Type Chart'!$C$2:$U$20,2,false)</f>
        <v>0</v>
      </c>
      <c r="V2027" s="960">
        <f t="array" ref="V2027">HLOOKUP($J2027,'Type Chart'!$C$2:$T$20,3,false)*HLOOKUP($K2027,'Type Chart'!$C$2:$U$20,3,false)</f>
        <v>0</v>
      </c>
      <c r="W2027" s="960">
        <f t="array" ref="W2027">HLOOKUP($J2027,'Type Chart'!$C$2:$T$20,4,false)*HLOOKUP($K2027,'Type Chart'!$C$2:$U$20,4,false)</f>
        <v>1</v>
      </c>
      <c r="X2027" s="960">
        <f t="array" ref="X2027">HLOOKUP($J2027,'Type Chart'!$C$2:$T$20,5,false)*HLOOKUP($K2027,'Type Chart'!$C$2:$U$20,5,false)</f>
        <v>0.5</v>
      </c>
      <c r="Y2027" s="960">
        <f t="array" ref="Y2027">HLOOKUP($J2027,'Type Chart'!$C$2:$T$20,6,false)*HLOOKUP($K2027,'Type Chart'!$C$2:$U$20,6,false)</f>
        <v>2</v>
      </c>
      <c r="Z2027" s="960">
        <f t="array" ref="Z2027">HLOOKUP($J2027,'Type Chart'!$C$2:$T$20,7,false)*HLOOKUP($K2027,'Type Chart'!$C$2:$U$20,7,false)</f>
        <v>2</v>
      </c>
      <c r="AA2027" s="960">
        <f t="array" ref="AA2027">HLOOKUP($J2027,'Type Chart'!$C$2:$T$20,8,false)*HLOOKUP($K2027,'Type Chart'!$C$2:$U$20,8,false)</f>
        <v>0.25</v>
      </c>
      <c r="AB2027" s="960">
        <f t="array" ref="AB2027">HLOOKUP($J2027,'Type Chart'!$C$2:$T$20,9,false)*HLOOKUP($K2027,'Type Chart'!$C$2:$U$20,9,false)</f>
        <v>2</v>
      </c>
      <c r="AC2027" s="960">
        <f t="array" ref="AC2027">HLOOKUP($J2027,'Type Chart'!$C$2:$T$20,10,false)*HLOOKUP($K2027,'Type Chart'!$C$2:$U$20,10,false)</f>
        <v>0.5</v>
      </c>
      <c r="AD2027" s="960">
        <f t="array" ref="AD2027">HLOOKUP($J2027,'Type Chart'!$C$2:$T$20,11,false)*HLOOKUP($K2027,'Type Chart'!$C$2:$U$20,11,false)</f>
        <v>0.5</v>
      </c>
      <c r="AE2027" s="960">
        <f t="array" ref="AE2027">HLOOKUP($J2027,'Type Chart'!$C$2:$T$20,12,false)*HLOOKUP($K2027,'Type Chart'!$C$2:$U$20,12,false)</f>
        <v>2</v>
      </c>
      <c r="AF2027" s="960">
        <f t="array" ref="AF2027">HLOOKUP($J2027,'Type Chart'!$C$2:$T$20,13,false)*HLOOKUP($K2027,'Type Chart'!$C$2:$U$20,13,false)</f>
        <v>0.5</v>
      </c>
      <c r="AG2027" s="960">
        <f t="array" ref="AG2027">HLOOKUP($J2027,'Type Chart'!$C$2:$T$20,14,false)*HLOOKUP($K2027,'Type Chart'!$C$2:$U$20,14,false)</f>
        <v>1</v>
      </c>
      <c r="AH2027" s="960">
        <f t="array" ref="AH2027">HLOOKUP($J2027,'Type Chart'!$C$2:$T$20,15,false)*HLOOKUP($K2027,'Type Chart'!$C$2:$U$20,15,false)</f>
        <v>1</v>
      </c>
      <c r="AI2027" s="960">
        <f t="array" ref="AI2027">HLOOKUP($J2027,'Type Chart'!$C$2:$T$20,16,false)*HLOOKUP($K2027,'Type Chart'!$C$2:$U$20,16,false)</f>
        <v>0.5</v>
      </c>
      <c r="AJ2027" s="960">
        <f t="array" ref="AJ2027">HLOOKUP($J2027,'Type Chart'!$C$2:$T$20,17,false)*HLOOKUP($K2027,'Type Chart'!$C$2:$U$20,17,false)</f>
        <v>1</v>
      </c>
      <c r="AK2027" s="960">
        <f t="array" ref="AK2027">HLOOKUP($J2027,'Type Chart'!$C$2:$T$20,18,false)*HLOOKUP($K2027,'Type Chart'!$C$2:$U$20,18,false)</f>
        <v>2</v>
      </c>
      <c r="AL2027" s="960">
        <f t="array" ref="AL2027">HLOOKUP($J2027,'Type Chart'!$C$2:$T$20,19,false)*HLOOKUP($K2027,'Type Chart'!$C$2:$U$20,19,false)</f>
        <v>0.5</v>
      </c>
      <c r="AM2027" s="964" t="s">
        <v>1172</v>
      </c>
      <c r="AN2027" s="965" t="s">
        <v>1353</v>
      </c>
      <c r="AO2027" s="966" t="s">
        <v>1193</v>
      </c>
      <c r="AP2027" s="936"/>
      <c r="AQ2027" s="1245"/>
      <c r="AR2027" s="1245"/>
      <c r="AS2027" s="936"/>
    </row>
    <row r="2028" ht="15.75" customHeight="1">
      <c r="A2028" s="1099"/>
      <c r="B2028" s="948" t="s">
        <v>3134</v>
      </c>
      <c r="C2028" s="1197" t="s">
        <v>3135</v>
      </c>
      <c r="D2028" s="1197" t="s">
        <v>3135</v>
      </c>
      <c r="E2028" s="1147" t="s">
        <v>3135</v>
      </c>
      <c r="F2028" s="940"/>
      <c r="G2028" s="953"/>
      <c r="H2028" s="969"/>
      <c r="I2028" s="998" t="s">
        <v>5129</v>
      </c>
      <c r="J2028" s="1006" t="s">
        <v>346</v>
      </c>
      <c r="K2028" s="984" t="s">
        <v>216</v>
      </c>
      <c r="L2028" s="959">
        <v>46.0</v>
      </c>
      <c r="M2028" s="960">
        <v>87.0</v>
      </c>
      <c r="N2028" s="960">
        <v>60.0</v>
      </c>
      <c r="O2028" s="960">
        <v>30.0</v>
      </c>
      <c r="P2028" s="960">
        <v>40.0</v>
      </c>
      <c r="Q2028" s="960">
        <v>57.0</v>
      </c>
      <c r="R2028" s="960">
        <v>150.0</v>
      </c>
      <c r="S2028" s="960">
        <v>213.0</v>
      </c>
      <c r="T2028" s="960">
        <v>234.0</v>
      </c>
      <c r="U2028" s="960">
        <f t="array" ref="U2028">HLOOKUP($J2028,'Type Chart'!$C$2:$T$20,2,false)*HLOOKUP($K2028,'Type Chart'!$C$2:$U$20,2,false)</f>
        <v>1</v>
      </c>
      <c r="V2028" s="960">
        <f t="array" ref="V2028">HLOOKUP($J2028,'Type Chart'!$C$2:$T$20,3,false)*HLOOKUP($K2028,'Type Chart'!$C$2:$U$20,3,false)</f>
        <v>1</v>
      </c>
      <c r="W2028" s="960">
        <f t="array" ref="W2028">HLOOKUP($J2028,'Type Chart'!$C$2:$T$20,4,false)*HLOOKUP($K2028,'Type Chart'!$C$2:$U$20,4,false)</f>
        <v>1</v>
      </c>
      <c r="X2028" s="960">
        <f t="array" ref="X2028">HLOOKUP($J2028,'Type Chart'!$C$2:$T$20,5,false)*HLOOKUP($K2028,'Type Chart'!$C$2:$U$20,5,false)</f>
        <v>1</v>
      </c>
      <c r="Y2028" s="960">
        <f t="array" ref="Y2028">HLOOKUP($J2028,'Type Chart'!$C$2:$T$20,6,false)*HLOOKUP($K2028,'Type Chart'!$C$2:$U$20,6,false)</f>
        <v>1</v>
      </c>
      <c r="Z2028" s="960">
        <f t="array" ref="Z2028">HLOOKUP($J2028,'Type Chart'!$C$2:$T$20,7,false)*HLOOKUP($K2028,'Type Chart'!$C$2:$U$20,7,false)</f>
        <v>1</v>
      </c>
      <c r="AA2028" s="960">
        <f t="array" ref="AA2028">HLOOKUP($J2028,'Type Chart'!$C$2:$T$20,8,false)*HLOOKUP($K2028,'Type Chart'!$C$2:$U$20,8,false)</f>
        <v>1</v>
      </c>
      <c r="AB2028" s="960">
        <f t="array" ref="AB2028">HLOOKUP($J2028,'Type Chart'!$C$2:$T$20,9,false)*HLOOKUP($K2028,'Type Chart'!$C$2:$U$20,9,false)</f>
        <v>1</v>
      </c>
      <c r="AC2028" s="960">
        <f t="array" ref="AC2028">HLOOKUP($J2028,'Type Chart'!$C$2:$T$20,10,false)*HLOOKUP($K2028,'Type Chart'!$C$2:$U$20,10,false)</f>
        <v>1</v>
      </c>
      <c r="AD2028" s="960">
        <f t="array" ref="AD2028">HLOOKUP($J2028,'Type Chart'!$C$2:$T$20,11,false)*HLOOKUP($K2028,'Type Chart'!$C$2:$U$20,11,false)</f>
        <v>0.5</v>
      </c>
      <c r="AE2028" s="960">
        <f t="array" ref="AE2028">HLOOKUP($J2028,'Type Chart'!$C$2:$T$20,12,false)*HLOOKUP($K2028,'Type Chart'!$C$2:$U$20,12,false)</f>
        <v>0.5</v>
      </c>
      <c r="AF2028" s="960">
        <f t="array" ref="AF2028">HLOOKUP($J2028,'Type Chart'!$C$2:$T$20,13,false)*HLOOKUP($K2028,'Type Chart'!$C$2:$U$20,13,false)</f>
        <v>0.5</v>
      </c>
      <c r="AG2028" s="960">
        <f t="array" ref="AG2028">HLOOKUP($J2028,'Type Chart'!$C$2:$T$20,14,false)*HLOOKUP($K2028,'Type Chart'!$C$2:$U$20,14,false)</f>
        <v>0.5</v>
      </c>
      <c r="AH2028" s="960">
        <f t="array" ref="AH2028">HLOOKUP($J2028,'Type Chart'!$C$2:$T$20,15,false)*HLOOKUP($K2028,'Type Chart'!$C$2:$U$20,15,false)</f>
        <v>1</v>
      </c>
      <c r="AI2028" s="960">
        <f t="array" ref="AI2028">HLOOKUP($J2028,'Type Chart'!$C$2:$T$20,16,false)*HLOOKUP($K2028,'Type Chart'!$C$2:$U$20,16,false)</f>
        <v>2</v>
      </c>
      <c r="AJ2028" s="960">
        <f t="array" ref="AJ2028">HLOOKUP($J2028,'Type Chart'!$C$2:$T$20,17,false)*HLOOKUP($K2028,'Type Chart'!$C$2:$U$20,17,false)</f>
        <v>2</v>
      </c>
      <c r="AK2028" s="960">
        <f t="array" ref="AK2028">HLOOKUP($J2028,'Type Chart'!$C$2:$T$20,18,false)*HLOOKUP($K2028,'Type Chart'!$C$2:$U$20,18,false)</f>
        <v>1</v>
      </c>
      <c r="AL2028" s="960">
        <f t="array" ref="AL2028">HLOOKUP($J2028,'Type Chart'!$C$2:$T$20,19,false)*HLOOKUP($K2028,'Type Chart'!$C$2:$U$20,19,false)</f>
        <v>2</v>
      </c>
      <c r="AM2028" s="964" t="s">
        <v>1147</v>
      </c>
      <c r="AN2028" s="965" t="s">
        <v>1576</v>
      </c>
      <c r="AO2028" s="966" t="s">
        <v>1062</v>
      </c>
      <c r="AP2028" s="936"/>
      <c r="AQ2028" s="1245"/>
      <c r="AR2028" s="1245"/>
      <c r="AS2028" s="936"/>
    </row>
    <row r="2029" ht="15.75" customHeight="1">
      <c r="A2029" s="1099"/>
      <c r="B2029" s="948" t="s">
        <v>3137</v>
      </c>
      <c r="C2029" s="1197" t="s">
        <v>3138</v>
      </c>
      <c r="D2029" s="1197" t="s">
        <v>3138</v>
      </c>
      <c r="E2029" s="1147" t="s">
        <v>3138</v>
      </c>
      <c r="F2029" s="940"/>
      <c r="G2029" s="953"/>
      <c r="H2029" s="969"/>
      <c r="I2029" s="998" t="s">
        <v>5130</v>
      </c>
      <c r="J2029" s="1006" t="s">
        <v>346</v>
      </c>
      <c r="K2029" s="984" t="s">
        <v>216</v>
      </c>
      <c r="L2029" s="959">
        <v>66.0</v>
      </c>
      <c r="M2029" s="960">
        <v>117.0</v>
      </c>
      <c r="N2029" s="960">
        <v>70.0</v>
      </c>
      <c r="O2029" s="960">
        <v>40.0</v>
      </c>
      <c r="P2029" s="960">
        <v>50.0</v>
      </c>
      <c r="Q2029" s="960">
        <v>67.0</v>
      </c>
      <c r="R2029" s="960">
        <v>170.0</v>
      </c>
      <c r="S2029" s="960">
        <v>233.0</v>
      </c>
      <c r="T2029" s="960">
        <v>256.0</v>
      </c>
      <c r="U2029" s="960">
        <f t="array" ref="U2029">HLOOKUP($J2029,'Type Chart'!$C$2:$T$20,2,false)*HLOOKUP($K2029,'Type Chart'!$C$2:$U$20,2,false)</f>
        <v>1</v>
      </c>
      <c r="V2029" s="960">
        <f t="array" ref="V2029">HLOOKUP($J2029,'Type Chart'!$C$2:$T$20,3,false)*HLOOKUP($K2029,'Type Chart'!$C$2:$U$20,3,false)</f>
        <v>1</v>
      </c>
      <c r="W2029" s="960">
        <f t="array" ref="W2029">HLOOKUP($J2029,'Type Chart'!$C$2:$T$20,4,false)*HLOOKUP($K2029,'Type Chart'!$C$2:$U$20,4,false)</f>
        <v>1</v>
      </c>
      <c r="X2029" s="960">
        <f t="array" ref="X2029">HLOOKUP($J2029,'Type Chart'!$C$2:$T$20,5,false)*HLOOKUP($K2029,'Type Chart'!$C$2:$U$20,5,false)</f>
        <v>1</v>
      </c>
      <c r="Y2029" s="960">
        <f t="array" ref="Y2029">HLOOKUP($J2029,'Type Chart'!$C$2:$T$20,6,false)*HLOOKUP($K2029,'Type Chart'!$C$2:$U$20,6,false)</f>
        <v>1</v>
      </c>
      <c r="Z2029" s="960">
        <f t="array" ref="Z2029">HLOOKUP($J2029,'Type Chart'!$C$2:$T$20,7,false)*HLOOKUP($K2029,'Type Chart'!$C$2:$U$20,7,false)</f>
        <v>1</v>
      </c>
      <c r="AA2029" s="960">
        <f t="array" ref="AA2029">HLOOKUP($J2029,'Type Chart'!$C$2:$T$20,8,false)*HLOOKUP($K2029,'Type Chart'!$C$2:$U$20,8,false)</f>
        <v>1</v>
      </c>
      <c r="AB2029" s="960">
        <f t="array" ref="AB2029">HLOOKUP($J2029,'Type Chart'!$C$2:$T$20,9,false)*HLOOKUP($K2029,'Type Chart'!$C$2:$U$20,9,false)</f>
        <v>1</v>
      </c>
      <c r="AC2029" s="960">
        <f t="array" ref="AC2029">HLOOKUP($J2029,'Type Chart'!$C$2:$T$20,10,false)*HLOOKUP($K2029,'Type Chart'!$C$2:$U$20,10,false)</f>
        <v>1</v>
      </c>
      <c r="AD2029" s="960">
        <f t="array" ref="AD2029">HLOOKUP($J2029,'Type Chart'!$C$2:$T$20,11,false)*HLOOKUP($K2029,'Type Chart'!$C$2:$U$20,11,false)</f>
        <v>0.5</v>
      </c>
      <c r="AE2029" s="960">
        <f t="array" ref="AE2029">HLOOKUP($J2029,'Type Chart'!$C$2:$T$20,12,false)*HLOOKUP($K2029,'Type Chart'!$C$2:$U$20,12,false)</f>
        <v>0.5</v>
      </c>
      <c r="AF2029" s="960">
        <f t="array" ref="AF2029">HLOOKUP($J2029,'Type Chart'!$C$2:$T$20,13,false)*HLOOKUP($K2029,'Type Chart'!$C$2:$U$20,13,false)</f>
        <v>0.5</v>
      </c>
      <c r="AG2029" s="960">
        <f t="array" ref="AG2029">HLOOKUP($J2029,'Type Chart'!$C$2:$T$20,14,false)*HLOOKUP($K2029,'Type Chart'!$C$2:$U$20,14,false)</f>
        <v>0.5</v>
      </c>
      <c r="AH2029" s="960">
        <f t="array" ref="AH2029">HLOOKUP($J2029,'Type Chart'!$C$2:$T$20,15,false)*HLOOKUP($K2029,'Type Chart'!$C$2:$U$20,15,false)</f>
        <v>1</v>
      </c>
      <c r="AI2029" s="960">
        <f t="array" ref="AI2029">HLOOKUP($J2029,'Type Chart'!$C$2:$T$20,16,false)*HLOOKUP($K2029,'Type Chart'!$C$2:$U$20,16,false)</f>
        <v>2</v>
      </c>
      <c r="AJ2029" s="960">
        <f t="array" ref="AJ2029">HLOOKUP($J2029,'Type Chart'!$C$2:$T$20,17,false)*HLOOKUP($K2029,'Type Chart'!$C$2:$U$20,17,false)</f>
        <v>2</v>
      </c>
      <c r="AK2029" s="960">
        <f t="array" ref="AK2029">HLOOKUP($J2029,'Type Chart'!$C$2:$T$20,18,false)*HLOOKUP($K2029,'Type Chart'!$C$2:$U$20,18,false)</f>
        <v>1</v>
      </c>
      <c r="AL2029" s="960">
        <f t="array" ref="AL2029">HLOOKUP($J2029,'Type Chart'!$C$2:$T$20,19,false)*HLOOKUP($K2029,'Type Chart'!$C$2:$U$20,19,false)</f>
        <v>2</v>
      </c>
      <c r="AM2029" s="964" t="s">
        <v>1147</v>
      </c>
      <c r="AN2029" s="965" t="s">
        <v>1576</v>
      </c>
      <c r="AO2029" s="966" t="s">
        <v>1062</v>
      </c>
      <c r="AP2029" s="936"/>
      <c r="AQ2029" s="1245"/>
      <c r="AR2029" s="1245"/>
      <c r="AS2029" s="936"/>
    </row>
    <row r="2030" ht="15.75" customHeight="1">
      <c r="A2030" s="1099"/>
      <c r="B2030" s="948" t="s">
        <v>3139</v>
      </c>
      <c r="C2030" s="1197" t="s">
        <v>3140</v>
      </c>
      <c r="D2030" s="1197" t="s">
        <v>3140</v>
      </c>
      <c r="E2030" s="1147" t="s">
        <v>3140</v>
      </c>
      <c r="F2030" s="940"/>
      <c r="G2030" s="953"/>
      <c r="H2030" s="969"/>
      <c r="I2030" s="998" t="s">
        <v>5131</v>
      </c>
      <c r="J2030" s="1006" t="s">
        <v>346</v>
      </c>
      <c r="K2030" s="984" t="s">
        <v>216</v>
      </c>
      <c r="L2030" s="959">
        <v>76.0</v>
      </c>
      <c r="M2030" s="960">
        <v>147.0</v>
      </c>
      <c r="N2030" s="960">
        <v>90.0</v>
      </c>
      <c r="O2030" s="960">
        <v>60.0</v>
      </c>
      <c r="P2030" s="960">
        <v>70.0</v>
      </c>
      <c r="Q2030" s="960">
        <v>97.0</v>
      </c>
      <c r="R2030" s="960">
        <v>230.0</v>
      </c>
      <c r="S2030" s="960">
        <v>293.0</v>
      </c>
      <c r="T2030" s="960">
        <v>322.0</v>
      </c>
      <c r="U2030" s="960">
        <f t="array" ref="U2030">HLOOKUP($J2030,'Type Chart'!$C$2:$T$20,2,false)*HLOOKUP($K2030,'Type Chart'!$C$2:$U$20,2,false)</f>
        <v>1</v>
      </c>
      <c r="V2030" s="960">
        <f t="array" ref="V2030">HLOOKUP($J2030,'Type Chart'!$C$2:$T$20,3,false)*HLOOKUP($K2030,'Type Chart'!$C$2:$U$20,3,false)</f>
        <v>1</v>
      </c>
      <c r="W2030" s="960">
        <f t="array" ref="W2030">HLOOKUP($J2030,'Type Chart'!$C$2:$T$20,4,false)*HLOOKUP($K2030,'Type Chart'!$C$2:$U$20,4,false)</f>
        <v>1</v>
      </c>
      <c r="X2030" s="960">
        <f t="array" ref="X2030">HLOOKUP($J2030,'Type Chart'!$C$2:$T$20,5,false)*HLOOKUP($K2030,'Type Chart'!$C$2:$U$20,5,false)</f>
        <v>1</v>
      </c>
      <c r="Y2030" s="960">
        <f t="array" ref="Y2030">HLOOKUP($J2030,'Type Chart'!$C$2:$T$20,6,false)*HLOOKUP($K2030,'Type Chart'!$C$2:$U$20,6,false)</f>
        <v>1</v>
      </c>
      <c r="Z2030" s="960">
        <f t="array" ref="Z2030">HLOOKUP($J2030,'Type Chart'!$C$2:$T$20,7,false)*HLOOKUP($K2030,'Type Chart'!$C$2:$U$20,7,false)</f>
        <v>1</v>
      </c>
      <c r="AA2030" s="960">
        <f t="array" ref="AA2030">HLOOKUP($J2030,'Type Chart'!$C$2:$T$20,8,false)*HLOOKUP($K2030,'Type Chart'!$C$2:$U$20,8,false)</f>
        <v>1</v>
      </c>
      <c r="AB2030" s="960">
        <f t="array" ref="AB2030">HLOOKUP($J2030,'Type Chart'!$C$2:$T$20,9,false)*HLOOKUP($K2030,'Type Chart'!$C$2:$U$20,9,false)</f>
        <v>1</v>
      </c>
      <c r="AC2030" s="960">
        <f t="array" ref="AC2030">HLOOKUP($J2030,'Type Chart'!$C$2:$T$20,10,false)*HLOOKUP($K2030,'Type Chart'!$C$2:$U$20,10,false)</f>
        <v>1</v>
      </c>
      <c r="AD2030" s="960">
        <f t="array" ref="AD2030">HLOOKUP($J2030,'Type Chart'!$C$2:$T$20,11,false)*HLOOKUP($K2030,'Type Chart'!$C$2:$U$20,11,false)</f>
        <v>0.5</v>
      </c>
      <c r="AE2030" s="960">
        <f t="array" ref="AE2030">HLOOKUP($J2030,'Type Chart'!$C$2:$T$20,12,false)*HLOOKUP($K2030,'Type Chart'!$C$2:$U$20,12,false)</f>
        <v>0.5</v>
      </c>
      <c r="AF2030" s="960">
        <f t="array" ref="AF2030">HLOOKUP($J2030,'Type Chart'!$C$2:$T$20,13,false)*HLOOKUP($K2030,'Type Chart'!$C$2:$U$20,13,false)</f>
        <v>0.5</v>
      </c>
      <c r="AG2030" s="960">
        <f t="array" ref="AG2030">HLOOKUP($J2030,'Type Chart'!$C$2:$T$20,14,false)*HLOOKUP($K2030,'Type Chart'!$C$2:$U$20,14,false)</f>
        <v>0.5</v>
      </c>
      <c r="AH2030" s="960">
        <f t="array" ref="AH2030">HLOOKUP($J2030,'Type Chart'!$C$2:$T$20,15,false)*HLOOKUP($K2030,'Type Chart'!$C$2:$U$20,15,false)</f>
        <v>1</v>
      </c>
      <c r="AI2030" s="960">
        <f t="array" ref="AI2030">HLOOKUP($J2030,'Type Chart'!$C$2:$T$20,16,false)*HLOOKUP($K2030,'Type Chart'!$C$2:$U$20,16,false)</f>
        <v>2</v>
      </c>
      <c r="AJ2030" s="960">
        <f t="array" ref="AJ2030">HLOOKUP($J2030,'Type Chart'!$C$2:$T$20,17,false)*HLOOKUP($K2030,'Type Chart'!$C$2:$U$20,17,false)</f>
        <v>2</v>
      </c>
      <c r="AK2030" s="960">
        <f t="array" ref="AK2030">HLOOKUP($J2030,'Type Chart'!$C$2:$T$20,18,false)*HLOOKUP($K2030,'Type Chart'!$C$2:$U$20,18,false)</f>
        <v>1</v>
      </c>
      <c r="AL2030" s="960">
        <f t="array" ref="AL2030">HLOOKUP($J2030,'Type Chart'!$C$2:$T$20,19,false)*HLOOKUP($K2030,'Type Chart'!$C$2:$U$20,19,false)</f>
        <v>2</v>
      </c>
      <c r="AM2030" s="964" t="s">
        <v>1147</v>
      </c>
      <c r="AN2030" s="965" t="s">
        <v>1576</v>
      </c>
      <c r="AO2030" s="966" t="s">
        <v>1062</v>
      </c>
      <c r="AP2030" s="936"/>
      <c r="AQ2030" s="1245"/>
      <c r="AR2030" s="1245"/>
      <c r="AS2030" s="936"/>
    </row>
    <row r="2031" ht="15.75" customHeight="1">
      <c r="A2031" s="1099"/>
      <c r="B2031" s="948" t="s">
        <v>3141</v>
      </c>
      <c r="C2031" s="1197" t="s">
        <v>3142</v>
      </c>
      <c r="D2031" s="1197" t="s">
        <v>3142</v>
      </c>
      <c r="E2031" s="1147" t="s">
        <v>3142</v>
      </c>
      <c r="F2031" s="940"/>
      <c r="G2031" s="953"/>
      <c r="H2031" s="969"/>
      <c r="I2031" s="998" t="s">
        <v>5132</v>
      </c>
      <c r="J2031" s="1205" t="s">
        <v>345</v>
      </c>
      <c r="K2031" s="984" t="s">
        <v>216</v>
      </c>
      <c r="L2031" s="959">
        <v>55.0</v>
      </c>
      <c r="M2031" s="960">
        <v>70.0</v>
      </c>
      <c r="N2031" s="960">
        <v>40.0</v>
      </c>
      <c r="O2031" s="960">
        <v>60.0</v>
      </c>
      <c r="P2031" s="960">
        <v>40.0</v>
      </c>
      <c r="Q2031" s="960">
        <v>40.0</v>
      </c>
      <c r="R2031" s="960">
        <v>116.0</v>
      </c>
      <c r="S2031" s="960">
        <v>179.0</v>
      </c>
      <c r="T2031" s="960">
        <v>196.0</v>
      </c>
      <c r="U2031" s="960">
        <f t="array" ref="U2031">HLOOKUP($J2031,'Type Chart'!$C$2:$T$20,2,false)*HLOOKUP($K2031,'Type Chart'!$C$2:$U$20,2,false)</f>
        <v>1</v>
      </c>
      <c r="V2031" s="960">
        <f t="array" ref="V2031">HLOOKUP($J2031,'Type Chart'!$C$2:$T$20,3,false)*HLOOKUP($K2031,'Type Chart'!$C$2:$U$20,3,false)</f>
        <v>2</v>
      </c>
      <c r="W2031" s="960">
        <f t="array" ref="W2031">HLOOKUP($J2031,'Type Chart'!$C$2:$T$20,4,false)*HLOOKUP($K2031,'Type Chart'!$C$2:$U$20,4,false)</f>
        <v>1</v>
      </c>
      <c r="X2031" s="960">
        <f t="array" ref="X2031">HLOOKUP($J2031,'Type Chart'!$C$2:$T$20,5,false)*HLOOKUP($K2031,'Type Chart'!$C$2:$U$20,5,false)</f>
        <v>1</v>
      </c>
      <c r="Y2031" s="960">
        <f t="array" ref="Y2031">HLOOKUP($J2031,'Type Chart'!$C$2:$T$20,6,false)*HLOOKUP($K2031,'Type Chart'!$C$2:$U$20,6,false)</f>
        <v>1</v>
      </c>
      <c r="Z2031" s="960">
        <f t="array" ref="Z2031">HLOOKUP($J2031,'Type Chart'!$C$2:$T$20,7,false)*HLOOKUP($K2031,'Type Chart'!$C$2:$U$20,7,false)</f>
        <v>2</v>
      </c>
      <c r="AA2031" s="960">
        <f t="array" ref="AA2031">HLOOKUP($J2031,'Type Chart'!$C$2:$T$20,8,false)*HLOOKUP($K2031,'Type Chart'!$C$2:$U$20,8,false)</f>
        <v>1</v>
      </c>
      <c r="AB2031" s="960">
        <f t="array" ref="AB2031">HLOOKUP($J2031,'Type Chart'!$C$2:$T$20,9,false)*HLOOKUP($K2031,'Type Chart'!$C$2:$U$20,9,false)</f>
        <v>1</v>
      </c>
      <c r="AC2031" s="960">
        <f t="array" ref="AC2031">HLOOKUP($J2031,'Type Chart'!$C$2:$T$20,10,false)*HLOOKUP($K2031,'Type Chart'!$C$2:$U$20,10,false)</f>
        <v>2</v>
      </c>
      <c r="AD2031" s="960">
        <f t="array" ref="AD2031">HLOOKUP($J2031,'Type Chart'!$C$2:$T$20,11,false)*HLOOKUP($K2031,'Type Chart'!$C$2:$U$20,11,false)</f>
        <v>2</v>
      </c>
      <c r="AE2031" s="960">
        <f t="array" ref="AE2031">HLOOKUP($J2031,'Type Chart'!$C$2:$T$20,12,false)*HLOOKUP($K2031,'Type Chart'!$C$2:$U$20,12,false)</f>
        <v>1</v>
      </c>
      <c r="AF2031" s="960">
        <f t="array" ref="AF2031">HLOOKUP($J2031,'Type Chart'!$C$2:$T$20,13,false)*HLOOKUP($K2031,'Type Chart'!$C$2:$U$20,13,false)</f>
        <v>1</v>
      </c>
      <c r="AG2031" s="960">
        <f t="array" ref="AG2031">HLOOKUP($J2031,'Type Chart'!$C$2:$T$20,14,false)*HLOOKUP($K2031,'Type Chart'!$C$2:$U$20,14,false)</f>
        <v>1</v>
      </c>
      <c r="AH2031" s="960">
        <f t="array" ref="AH2031">HLOOKUP($J2031,'Type Chart'!$C$2:$T$20,15,false)*HLOOKUP($K2031,'Type Chart'!$C$2:$U$20,15,false)</f>
        <v>1</v>
      </c>
      <c r="AI2031" s="960">
        <f t="array" ref="AI2031">HLOOKUP($J2031,'Type Chart'!$C$2:$T$20,16,false)*HLOOKUP($K2031,'Type Chart'!$C$2:$U$20,16,false)</f>
        <v>0.5</v>
      </c>
      <c r="AJ2031" s="960">
        <f t="array" ref="AJ2031">HLOOKUP($J2031,'Type Chart'!$C$2:$T$20,17,false)*HLOOKUP($K2031,'Type Chart'!$C$2:$U$20,17,false)</f>
        <v>1</v>
      </c>
      <c r="AK2031" s="960">
        <f t="array" ref="AK2031">HLOOKUP($J2031,'Type Chart'!$C$2:$T$20,18,false)*HLOOKUP($K2031,'Type Chart'!$C$2:$U$20,18,false)</f>
        <v>1</v>
      </c>
      <c r="AL2031" s="960">
        <f t="array" ref="AL2031">HLOOKUP($J2031,'Type Chart'!$C$2:$T$20,19,false)*HLOOKUP($K2031,'Type Chart'!$C$2:$U$20,19,false)</f>
        <v>1</v>
      </c>
      <c r="AM2031" s="964" t="s">
        <v>1135</v>
      </c>
      <c r="AN2031" s="965" t="s">
        <v>1136</v>
      </c>
      <c r="AO2031" s="966" t="s">
        <v>1243</v>
      </c>
      <c r="AP2031" s="936"/>
      <c r="AQ2031" s="1245"/>
      <c r="AR2031" s="1245"/>
      <c r="AS2031" s="936"/>
    </row>
    <row r="2032" ht="15.75" customHeight="1">
      <c r="A2032" s="1099"/>
      <c r="B2032" s="948" t="s">
        <v>3144</v>
      </c>
      <c r="C2032" s="1197" t="s">
        <v>3145</v>
      </c>
      <c r="D2032" s="1197" t="s">
        <v>3145</v>
      </c>
      <c r="E2032" s="1147" t="s">
        <v>3145</v>
      </c>
      <c r="F2032" s="940"/>
      <c r="G2032" s="953"/>
      <c r="H2032" s="969"/>
      <c r="I2032" s="998" t="s">
        <v>5133</v>
      </c>
      <c r="J2032" s="1205" t="s">
        <v>345</v>
      </c>
      <c r="K2032" s="984" t="s">
        <v>216</v>
      </c>
      <c r="L2032" s="959">
        <v>95.0</v>
      </c>
      <c r="M2032" s="960">
        <v>130.0</v>
      </c>
      <c r="N2032" s="960">
        <v>80.0</v>
      </c>
      <c r="O2032" s="960">
        <v>70.0</v>
      </c>
      <c r="P2032" s="960">
        <v>80.0</v>
      </c>
      <c r="Q2032" s="960">
        <v>50.0</v>
      </c>
      <c r="R2032" s="960">
        <v>136.0</v>
      </c>
      <c r="S2032" s="960">
        <v>199.0</v>
      </c>
      <c r="T2032" s="960">
        <v>218.0</v>
      </c>
      <c r="U2032" s="960">
        <f t="array" ref="U2032">HLOOKUP($J2032,'Type Chart'!$C$2:$T$20,2,false)*HLOOKUP($K2032,'Type Chart'!$C$2:$U$20,2,false)</f>
        <v>1</v>
      </c>
      <c r="V2032" s="960">
        <f t="array" ref="V2032">HLOOKUP($J2032,'Type Chart'!$C$2:$T$20,3,false)*HLOOKUP($K2032,'Type Chart'!$C$2:$U$20,3,false)</f>
        <v>2</v>
      </c>
      <c r="W2032" s="960">
        <f t="array" ref="W2032">HLOOKUP($J2032,'Type Chart'!$C$2:$T$20,4,false)*HLOOKUP($K2032,'Type Chart'!$C$2:$U$20,4,false)</f>
        <v>1</v>
      </c>
      <c r="X2032" s="960">
        <f t="array" ref="X2032">HLOOKUP($J2032,'Type Chart'!$C$2:$T$20,5,false)*HLOOKUP($K2032,'Type Chart'!$C$2:$U$20,5,false)</f>
        <v>1</v>
      </c>
      <c r="Y2032" s="960">
        <f t="array" ref="Y2032">HLOOKUP($J2032,'Type Chart'!$C$2:$T$20,6,false)*HLOOKUP($K2032,'Type Chart'!$C$2:$U$20,6,false)</f>
        <v>1</v>
      </c>
      <c r="Z2032" s="960">
        <f t="array" ref="Z2032">HLOOKUP($J2032,'Type Chart'!$C$2:$T$20,7,false)*HLOOKUP($K2032,'Type Chart'!$C$2:$U$20,7,false)</f>
        <v>2</v>
      </c>
      <c r="AA2032" s="960">
        <f t="array" ref="AA2032">HLOOKUP($J2032,'Type Chart'!$C$2:$T$20,8,false)*HLOOKUP($K2032,'Type Chart'!$C$2:$U$20,8,false)</f>
        <v>1</v>
      </c>
      <c r="AB2032" s="960">
        <f t="array" ref="AB2032">HLOOKUP($J2032,'Type Chart'!$C$2:$T$20,9,false)*HLOOKUP($K2032,'Type Chart'!$C$2:$U$20,9,false)</f>
        <v>1</v>
      </c>
      <c r="AC2032" s="960">
        <f t="array" ref="AC2032">HLOOKUP($J2032,'Type Chart'!$C$2:$T$20,10,false)*HLOOKUP($K2032,'Type Chart'!$C$2:$U$20,10,false)</f>
        <v>2</v>
      </c>
      <c r="AD2032" s="960">
        <f t="array" ref="AD2032">HLOOKUP($J2032,'Type Chart'!$C$2:$T$20,11,false)*HLOOKUP($K2032,'Type Chart'!$C$2:$U$20,11,false)</f>
        <v>2</v>
      </c>
      <c r="AE2032" s="960">
        <f t="array" ref="AE2032">HLOOKUP($J2032,'Type Chart'!$C$2:$T$20,12,false)*HLOOKUP($K2032,'Type Chart'!$C$2:$U$20,12,false)</f>
        <v>1</v>
      </c>
      <c r="AF2032" s="960">
        <f t="array" ref="AF2032">HLOOKUP($J2032,'Type Chart'!$C$2:$T$20,13,false)*HLOOKUP($K2032,'Type Chart'!$C$2:$U$20,13,false)</f>
        <v>1</v>
      </c>
      <c r="AG2032" s="960">
        <f t="array" ref="AG2032">HLOOKUP($J2032,'Type Chart'!$C$2:$T$20,14,false)*HLOOKUP($K2032,'Type Chart'!$C$2:$U$20,14,false)</f>
        <v>1</v>
      </c>
      <c r="AH2032" s="960">
        <f t="array" ref="AH2032">HLOOKUP($J2032,'Type Chart'!$C$2:$T$20,15,false)*HLOOKUP($K2032,'Type Chart'!$C$2:$U$20,15,false)</f>
        <v>1</v>
      </c>
      <c r="AI2032" s="960">
        <f t="array" ref="AI2032">HLOOKUP($J2032,'Type Chart'!$C$2:$T$20,16,false)*HLOOKUP($K2032,'Type Chart'!$C$2:$U$20,16,false)</f>
        <v>0.5</v>
      </c>
      <c r="AJ2032" s="960">
        <f t="array" ref="AJ2032">HLOOKUP($J2032,'Type Chart'!$C$2:$T$20,17,false)*HLOOKUP($K2032,'Type Chart'!$C$2:$U$20,17,false)</f>
        <v>1</v>
      </c>
      <c r="AK2032" s="960">
        <f t="array" ref="AK2032">HLOOKUP($J2032,'Type Chart'!$C$2:$T$20,18,false)*HLOOKUP($K2032,'Type Chart'!$C$2:$U$20,18,false)</f>
        <v>1</v>
      </c>
      <c r="AL2032" s="960">
        <f t="array" ref="AL2032">HLOOKUP($J2032,'Type Chart'!$C$2:$T$20,19,false)*HLOOKUP($K2032,'Type Chart'!$C$2:$U$20,19,false)</f>
        <v>1</v>
      </c>
      <c r="AM2032" s="964" t="s">
        <v>1135</v>
      </c>
      <c r="AN2032" s="965" t="s">
        <v>1136</v>
      </c>
      <c r="AO2032" s="966" t="s">
        <v>1259</v>
      </c>
      <c r="AP2032" s="936"/>
      <c r="AQ2032" s="1245"/>
      <c r="AR2032" s="1245"/>
      <c r="AS2032" s="936"/>
    </row>
    <row r="2033" ht="15.75" customHeight="1">
      <c r="A2033" s="1099"/>
      <c r="B2033" s="948" t="s">
        <v>3146</v>
      </c>
      <c r="C2033" s="1197" t="s">
        <v>3147</v>
      </c>
      <c r="D2033" s="1197" t="s">
        <v>3147</v>
      </c>
      <c r="E2033" s="1147" t="s">
        <v>3147</v>
      </c>
      <c r="F2033" s="940"/>
      <c r="G2033" s="953"/>
      <c r="H2033" s="969"/>
      <c r="I2033" s="998" t="s">
        <v>5134</v>
      </c>
      <c r="J2033" s="1224" t="s">
        <v>345</v>
      </c>
      <c r="K2033" s="1199" t="s">
        <v>216</v>
      </c>
      <c r="L2033" s="1200">
        <v>80.0</v>
      </c>
      <c r="M2033" s="1201">
        <v>50.0</v>
      </c>
      <c r="N2033" s="1201">
        <v>50.0</v>
      </c>
      <c r="O2033" s="1201">
        <v>95.0</v>
      </c>
      <c r="P2033" s="1201">
        <v>135.0</v>
      </c>
      <c r="Q2033" s="1201">
        <v>105.0</v>
      </c>
      <c r="R2033" s="960">
        <v>246.0</v>
      </c>
      <c r="S2033" s="960">
        <v>309.0</v>
      </c>
      <c r="T2033" s="960">
        <v>339.0</v>
      </c>
      <c r="U2033" s="960">
        <f t="array" ref="U2033">HLOOKUP($J2033,'Type Chart'!$C$2:$T$20,2,false)*HLOOKUP($K2033,'Type Chart'!$C$2:$U$20,2,false)</f>
        <v>1</v>
      </c>
      <c r="V2033" s="960">
        <f t="array" ref="V2033">HLOOKUP($J2033,'Type Chart'!$C$2:$T$20,3,false)*HLOOKUP($K2033,'Type Chart'!$C$2:$U$20,3,false)</f>
        <v>2</v>
      </c>
      <c r="W2033" s="960">
        <f t="array" ref="W2033">HLOOKUP($J2033,'Type Chart'!$C$2:$T$20,4,false)*HLOOKUP($K2033,'Type Chart'!$C$2:$U$20,4,false)</f>
        <v>1</v>
      </c>
      <c r="X2033" s="960">
        <f t="array" ref="X2033">HLOOKUP($J2033,'Type Chart'!$C$2:$T$20,5,false)*HLOOKUP($K2033,'Type Chart'!$C$2:$U$20,5,false)</f>
        <v>1</v>
      </c>
      <c r="Y2033" s="960">
        <f t="array" ref="Y2033">HLOOKUP($J2033,'Type Chart'!$C$2:$T$20,6,false)*HLOOKUP($K2033,'Type Chart'!$C$2:$U$20,6,false)</f>
        <v>1</v>
      </c>
      <c r="Z2033" s="960">
        <f t="array" ref="Z2033">HLOOKUP($J2033,'Type Chart'!$C$2:$T$20,7,false)*HLOOKUP($K2033,'Type Chart'!$C$2:$U$20,7,false)</f>
        <v>2</v>
      </c>
      <c r="AA2033" s="960">
        <f t="array" ref="AA2033">HLOOKUP($J2033,'Type Chart'!$C$2:$T$20,8,false)*HLOOKUP($K2033,'Type Chart'!$C$2:$U$20,8,false)</f>
        <v>1</v>
      </c>
      <c r="AB2033" s="960">
        <f t="array" ref="AB2033">HLOOKUP($J2033,'Type Chart'!$C$2:$T$20,9,false)*HLOOKUP($K2033,'Type Chart'!$C$2:$U$20,9,false)</f>
        <v>1</v>
      </c>
      <c r="AC2033" s="960">
        <f t="array" ref="AC2033">HLOOKUP($J2033,'Type Chart'!$C$2:$T$20,10,false)*HLOOKUP($K2033,'Type Chart'!$C$2:$U$20,10,false)</f>
        <v>2</v>
      </c>
      <c r="AD2033" s="960">
        <f t="array" ref="AD2033">HLOOKUP($J2033,'Type Chart'!$C$2:$T$20,11,false)*HLOOKUP($K2033,'Type Chart'!$C$2:$U$20,11,false)</f>
        <v>2</v>
      </c>
      <c r="AE2033" s="960">
        <f t="array" ref="AE2033">HLOOKUP($J2033,'Type Chart'!$C$2:$T$20,12,false)*HLOOKUP($K2033,'Type Chart'!$C$2:$U$20,12,false)</f>
        <v>1</v>
      </c>
      <c r="AF2033" s="960">
        <f t="array" ref="AF2033">HLOOKUP($J2033,'Type Chart'!$C$2:$T$20,13,false)*HLOOKUP($K2033,'Type Chart'!$C$2:$U$20,13,false)</f>
        <v>1</v>
      </c>
      <c r="AG2033" s="960">
        <f t="array" ref="AG2033">HLOOKUP($J2033,'Type Chart'!$C$2:$T$20,14,false)*HLOOKUP($K2033,'Type Chart'!$C$2:$U$20,14,false)</f>
        <v>1</v>
      </c>
      <c r="AH2033" s="960">
        <f t="array" ref="AH2033">HLOOKUP($J2033,'Type Chart'!$C$2:$T$20,15,false)*HLOOKUP($K2033,'Type Chart'!$C$2:$U$20,15,false)</f>
        <v>1</v>
      </c>
      <c r="AI2033" s="960">
        <f t="array" ref="AI2033">HLOOKUP($J2033,'Type Chart'!$C$2:$T$20,16,false)*HLOOKUP($K2033,'Type Chart'!$C$2:$U$20,16,false)</f>
        <v>0.5</v>
      </c>
      <c r="AJ2033" s="960">
        <f t="array" ref="AJ2033">HLOOKUP($J2033,'Type Chart'!$C$2:$T$20,17,false)*HLOOKUP($K2033,'Type Chart'!$C$2:$U$20,17,false)</f>
        <v>1</v>
      </c>
      <c r="AK2033" s="960">
        <f t="array" ref="AK2033">HLOOKUP($J2033,'Type Chart'!$C$2:$T$20,18,false)*HLOOKUP($K2033,'Type Chart'!$C$2:$U$20,18,false)</f>
        <v>1</v>
      </c>
      <c r="AL2033" s="960">
        <f t="array" ref="AL2033">HLOOKUP($J2033,'Type Chart'!$C$2:$T$20,19,false)*HLOOKUP($K2033,'Type Chart'!$C$2:$U$20,19,false)</f>
        <v>1</v>
      </c>
      <c r="AM2033" s="1145" t="s">
        <v>1437</v>
      </c>
      <c r="AN2033" s="965"/>
      <c r="AO2033" s="1146"/>
      <c r="AP2033" s="936"/>
      <c r="AQ2033" s="1245"/>
      <c r="AR2033" s="1245"/>
      <c r="AS2033" s="936"/>
    </row>
    <row r="2034" ht="15.75" customHeight="1">
      <c r="A2034" s="1099"/>
      <c r="B2034" s="948" t="s">
        <v>3148</v>
      </c>
      <c r="C2034" s="1197" t="s">
        <v>3149</v>
      </c>
      <c r="D2034" s="1197" t="s">
        <v>3149</v>
      </c>
      <c r="E2034" s="1147" t="s">
        <v>3149</v>
      </c>
      <c r="F2034" s="940"/>
      <c r="G2034" s="953"/>
      <c r="H2034" s="969"/>
      <c r="I2034" s="998" t="s">
        <v>5135</v>
      </c>
      <c r="J2034" s="1180" t="s">
        <v>343</v>
      </c>
      <c r="K2034" s="984" t="s">
        <v>216</v>
      </c>
      <c r="L2034" s="959">
        <v>50.0</v>
      </c>
      <c r="M2034" s="960">
        <v>40.0</v>
      </c>
      <c r="N2034" s="960">
        <v>85.0</v>
      </c>
      <c r="O2034" s="960">
        <v>40.0</v>
      </c>
      <c r="P2034" s="960">
        <v>65.0</v>
      </c>
      <c r="Q2034" s="960">
        <v>25.0</v>
      </c>
      <c r="R2034" s="960">
        <v>86.0</v>
      </c>
      <c r="S2034" s="960">
        <v>149.0</v>
      </c>
      <c r="T2034" s="960">
        <v>163.0</v>
      </c>
      <c r="U2034" s="960">
        <f t="array" ref="U2034">HLOOKUP($J2034,'Type Chart'!$C$2:$T$20,2,false)*HLOOKUP($K2034,'Type Chart'!$C$2:$U$20,2,false)</f>
        <v>1</v>
      </c>
      <c r="V2034" s="960">
        <f t="array" ref="V2034">HLOOKUP($J2034,'Type Chart'!$C$2:$T$20,3,false)*HLOOKUP($K2034,'Type Chart'!$C$2:$U$20,3,false)</f>
        <v>0.5</v>
      </c>
      <c r="W2034" s="960">
        <f t="array" ref="W2034">HLOOKUP($J2034,'Type Chart'!$C$2:$T$20,4,false)*HLOOKUP($K2034,'Type Chart'!$C$2:$U$20,4,false)</f>
        <v>2</v>
      </c>
      <c r="X2034" s="960">
        <f t="array" ref="X2034">HLOOKUP($J2034,'Type Chart'!$C$2:$T$20,5,false)*HLOOKUP($K2034,'Type Chart'!$C$2:$U$20,5,false)</f>
        <v>1</v>
      </c>
      <c r="Y2034" s="960">
        <f t="array" ref="Y2034">HLOOKUP($J2034,'Type Chart'!$C$2:$T$20,6,false)*HLOOKUP($K2034,'Type Chart'!$C$2:$U$20,6,false)</f>
        <v>0.5</v>
      </c>
      <c r="Z2034" s="960">
        <f t="array" ref="Z2034">HLOOKUP($J2034,'Type Chart'!$C$2:$T$20,7,false)*HLOOKUP($K2034,'Type Chart'!$C$2:$U$20,7,false)</f>
        <v>2</v>
      </c>
      <c r="AA2034" s="960">
        <f t="array" ref="AA2034">HLOOKUP($J2034,'Type Chart'!$C$2:$T$20,8,false)*HLOOKUP($K2034,'Type Chart'!$C$2:$U$20,8,false)</f>
        <v>1</v>
      </c>
      <c r="AB2034" s="960">
        <f t="array" ref="AB2034">HLOOKUP($J2034,'Type Chart'!$C$2:$T$20,9,false)*HLOOKUP($K2034,'Type Chart'!$C$2:$U$20,9,false)</f>
        <v>1</v>
      </c>
      <c r="AC2034" s="960">
        <f t="array" ref="AC2034">HLOOKUP($J2034,'Type Chart'!$C$2:$T$20,10,false)*HLOOKUP($K2034,'Type Chart'!$C$2:$U$20,10,false)</f>
        <v>1</v>
      </c>
      <c r="AD2034" s="960">
        <f t="array" ref="AD2034">HLOOKUP($J2034,'Type Chart'!$C$2:$T$20,11,false)*HLOOKUP($K2034,'Type Chart'!$C$2:$U$20,11,false)</f>
        <v>2</v>
      </c>
      <c r="AE2034" s="960">
        <f t="array" ref="AE2034">HLOOKUP($J2034,'Type Chart'!$C$2:$T$20,12,false)*HLOOKUP($K2034,'Type Chart'!$C$2:$U$20,12,false)</f>
        <v>1</v>
      </c>
      <c r="AF2034" s="960">
        <f t="array" ref="AF2034">HLOOKUP($J2034,'Type Chart'!$C$2:$T$20,13,false)*HLOOKUP($K2034,'Type Chart'!$C$2:$U$20,13,false)</f>
        <v>0.5</v>
      </c>
      <c r="AG2034" s="960">
        <f t="array" ref="AG2034">HLOOKUP($J2034,'Type Chart'!$C$2:$T$20,14,false)*HLOOKUP($K2034,'Type Chart'!$C$2:$U$20,14,false)</f>
        <v>1</v>
      </c>
      <c r="AH2034" s="960">
        <f t="array" ref="AH2034">HLOOKUP($J2034,'Type Chart'!$C$2:$T$20,15,false)*HLOOKUP($K2034,'Type Chart'!$C$2:$U$20,15,false)</f>
        <v>1</v>
      </c>
      <c r="AI2034" s="960">
        <f t="array" ref="AI2034">HLOOKUP($J2034,'Type Chart'!$C$2:$T$20,16,false)*HLOOKUP($K2034,'Type Chart'!$C$2:$U$20,16,false)</f>
        <v>1</v>
      </c>
      <c r="AJ2034" s="960">
        <f t="array" ref="AJ2034">HLOOKUP($J2034,'Type Chart'!$C$2:$T$20,17,false)*HLOOKUP($K2034,'Type Chart'!$C$2:$U$20,17,false)</f>
        <v>1</v>
      </c>
      <c r="AK2034" s="960">
        <f t="array" ref="AK2034">HLOOKUP($J2034,'Type Chart'!$C$2:$T$20,18,false)*HLOOKUP($K2034,'Type Chart'!$C$2:$U$20,18,false)</f>
        <v>1</v>
      </c>
      <c r="AL2034" s="960">
        <f t="array" ref="AL2034">HLOOKUP($J2034,'Type Chart'!$C$2:$T$20,19,false)*HLOOKUP($K2034,'Type Chart'!$C$2:$U$20,19,false)</f>
        <v>1</v>
      </c>
      <c r="AM2034" s="1145" t="s">
        <v>1409</v>
      </c>
      <c r="AN2034" s="1202" t="s">
        <v>1385</v>
      </c>
      <c r="AO2034" s="1146" t="s">
        <v>1431</v>
      </c>
      <c r="AP2034" s="936"/>
      <c r="AQ2034" s="1245"/>
      <c r="AR2034" s="1245"/>
      <c r="AS2034" s="936"/>
    </row>
    <row r="2035" ht="15.75" customHeight="1">
      <c r="A2035" s="1099"/>
      <c r="B2035" s="948" t="s">
        <v>3151</v>
      </c>
      <c r="C2035" s="1197" t="s">
        <v>3152</v>
      </c>
      <c r="D2035" s="1197" t="s">
        <v>3152</v>
      </c>
      <c r="E2035" s="1147" t="s">
        <v>3152</v>
      </c>
      <c r="F2035" s="940"/>
      <c r="G2035" s="953"/>
      <c r="H2035" s="969"/>
      <c r="I2035" s="998" t="s">
        <v>5136</v>
      </c>
      <c r="J2035" s="1180" t="s">
        <v>343</v>
      </c>
      <c r="K2035" s="984" t="s">
        <v>216</v>
      </c>
      <c r="L2035" s="959">
        <v>80.0</v>
      </c>
      <c r="M2035" s="960">
        <v>70.0</v>
      </c>
      <c r="N2035" s="960">
        <v>40.0</v>
      </c>
      <c r="O2035" s="960">
        <v>100.0</v>
      </c>
      <c r="P2035" s="960">
        <v>60.0</v>
      </c>
      <c r="Q2035" s="960">
        <v>145.0</v>
      </c>
      <c r="R2035" s="960">
        <v>326.0</v>
      </c>
      <c r="S2035" s="960">
        <v>389.0</v>
      </c>
      <c r="T2035" s="960">
        <v>427.0</v>
      </c>
      <c r="U2035" s="960">
        <f t="array" ref="U2035">HLOOKUP($J2035,'Type Chart'!$C$2:$T$20,2,false)*HLOOKUP($K2035,'Type Chart'!$C$2:$U$20,2,false)</f>
        <v>1</v>
      </c>
      <c r="V2035" s="960">
        <f t="array" ref="V2035">HLOOKUP($J2035,'Type Chart'!$C$2:$T$20,3,false)*HLOOKUP($K2035,'Type Chart'!$C$2:$U$20,3,false)</f>
        <v>0.5</v>
      </c>
      <c r="W2035" s="960">
        <f t="array" ref="W2035">HLOOKUP($J2035,'Type Chart'!$C$2:$T$20,4,false)*HLOOKUP($K2035,'Type Chart'!$C$2:$U$20,4,false)</f>
        <v>2</v>
      </c>
      <c r="X2035" s="960">
        <f t="array" ref="X2035">HLOOKUP($J2035,'Type Chart'!$C$2:$T$20,5,false)*HLOOKUP($K2035,'Type Chart'!$C$2:$U$20,5,false)</f>
        <v>1</v>
      </c>
      <c r="Y2035" s="960">
        <f t="array" ref="Y2035">HLOOKUP($J2035,'Type Chart'!$C$2:$T$20,6,false)*HLOOKUP($K2035,'Type Chart'!$C$2:$U$20,6,false)</f>
        <v>0.5</v>
      </c>
      <c r="Z2035" s="960">
        <f t="array" ref="Z2035">HLOOKUP($J2035,'Type Chart'!$C$2:$T$20,7,false)*HLOOKUP($K2035,'Type Chart'!$C$2:$U$20,7,false)</f>
        <v>2</v>
      </c>
      <c r="AA2035" s="960">
        <f t="array" ref="AA2035">HLOOKUP($J2035,'Type Chart'!$C$2:$T$20,8,false)*HLOOKUP($K2035,'Type Chart'!$C$2:$U$20,8,false)</f>
        <v>1</v>
      </c>
      <c r="AB2035" s="960">
        <f t="array" ref="AB2035">HLOOKUP($J2035,'Type Chart'!$C$2:$T$20,9,false)*HLOOKUP($K2035,'Type Chart'!$C$2:$U$20,9,false)</f>
        <v>1</v>
      </c>
      <c r="AC2035" s="960">
        <f t="array" ref="AC2035">HLOOKUP($J2035,'Type Chart'!$C$2:$T$20,10,false)*HLOOKUP($K2035,'Type Chart'!$C$2:$U$20,10,false)</f>
        <v>1</v>
      </c>
      <c r="AD2035" s="960">
        <f t="array" ref="AD2035">HLOOKUP($J2035,'Type Chart'!$C$2:$T$20,11,false)*HLOOKUP($K2035,'Type Chart'!$C$2:$U$20,11,false)</f>
        <v>2</v>
      </c>
      <c r="AE2035" s="960">
        <f t="array" ref="AE2035">HLOOKUP($J2035,'Type Chart'!$C$2:$T$20,12,false)*HLOOKUP($K2035,'Type Chart'!$C$2:$U$20,12,false)</f>
        <v>1</v>
      </c>
      <c r="AF2035" s="960">
        <f t="array" ref="AF2035">HLOOKUP($J2035,'Type Chart'!$C$2:$T$20,13,false)*HLOOKUP($K2035,'Type Chart'!$C$2:$U$20,13,false)</f>
        <v>0.5</v>
      </c>
      <c r="AG2035" s="960">
        <f t="array" ref="AG2035">HLOOKUP($J2035,'Type Chart'!$C$2:$T$20,14,false)*HLOOKUP($K2035,'Type Chart'!$C$2:$U$20,14,false)</f>
        <v>1</v>
      </c>
      <c r="AH2035" s="960">
        <f t="array" ref="AH2035">HLOOKUP($J2035,'Type Chart'!$C$2:$T$20,15,false)*HLOOKUP($K2035,'Type Chart'!$C$2:$U$20,15,false)</f>
        <v>1</v>
      </c>
      <c r="AI2035" s="960">
        <f t="array" ref="AI2035">HLOOKUP($J2035,'Type Chart'!$C$2:$T$20,16,false)*HLOOKUP($K2035,'Type Chart'!$C$2:$U$20,16,false)</f>
        <v>1</v>
      </c>
      <c r="AJ2035" s="960">
        <f t="array" ref="AJ2035">HLOOKUP($J2035,'Type Chart'!$C$2:$T$20,17,false)*HLOOKUP($K2035,'Type Chart'!$C$2:$U$20,17,false)</f>
        <v>1</v>
      </c>
      <c r="AK2035" s="960">
        <f t="array" ref="AK2035">HLOOKUP($J2035,'Type Chart'!$C$2:$T$20,18,false)*HLOOKUP($K2035,'Type Chart'!$C$2:$U$20,18,false)</f>
        <v>1</v>
      </c>
      <c r="AL2035" s="960">
        <f t="array" ref="AL2035">HLOOKUP($J2035,'Type Chart'!$C$2:$T$20,19,false)*HLOOKUP($K2035,'Type Chart'!$C$2:$U$20,19,false)</f>
        <v>1</v>
      </c>
      <c r="AM2035" s="964" t="s">
        <v>1409</v>
      </c>
      <c r="AN2035" s="965" t="s">
        <v>1416</v>
      </c>
      <c r="AO2035" s="966" t="s">
        <v>1498</v>
      </c>
      <c r="AP2035" s="936"/>
      <c r="AQ2035" s="1245"/>
      <c r="AR2035" s="1245"/>
      <c r="AS2035" s="936"/>
    </row>
    <row r="2036" ht="15.75" customHeight="1">
      <c r="A2036" s="1099"/>
      <c r="B2036" s="948" t="s">
        <v>3154</v>
      </c>
      <c r="C2036" s="1197" t="s">
        <v>3155</v>
      </c>
      <c r="D2036" s="1197" t="s">
        <v>3155</v>
      </c>
      <c r="E2036" s="1147" t="s">
        <v>3155</v>
      </c>
      <c r="F2036" s="940"/>
      <c r="G2036" s="953"/>
      <c r="H2036" s="969"/>
      <c r="I2036" s="998" t="s">
        <v>5137</v>
      </c>
      <c r="J2036" s="1204" t="s">
        <v>80</v>
      </c>
      <c r="K2036" s="1196" t="s">
        <v>203</v>
      </c>
      <c r="L2036" s="959">
        <v>109.0</v>
      </c>
      <c r="M2036" s="960">
        <v>66.0</v>
      </c>
      <c r="N2036" s="960">
        <v>84.0</v>
      </c>
      <c r="O2036" s="960">
        <v>81.0</v>
      </c>
      <c r="P2036" s="960">
        <v>99.0</v>
      </c>
      <c r="Q2036" s="960">
        <v>32.0</v>
      </c>
      <c r="R2036" s="960">
        <v>100.0</v>
      </c>
      <c r="S2036" s="960">
        <v>163.0</v>
      </c>
      <c r="T2036" s="960">
        <v>179.0</v>
      </c>
      <c r="U2036" s="960">
        <f t="array" ref="U2036">HLOOKUP($J2036,'Type Chart'!$C$2:$T$20,2,false)*HLOOKUP($K2036,'Type Chart'!$C$2:$U$20,2,false)</f>
        <v>1</v>
      </c>
      <c r="V2036" s="960">
        <f t="array" ref="V2036">HLOOKUP($J2036,'Type Chart'!$C$2:$T$20,3,false)*HLOOKUP($K2036,'Type Chart'!$C$2:$U$20,3,false)</f>
        <v>1</v>
      </c>
      <c r="W2036" s="960">
        <f t="array" ref="W2036">HLOOKUP($J2036,'Type Chart'!$C$2:$T$20,4,false)*HLOOKUP($K2036,'Type Chart'!$C$2:$U$20,4,false)</f>
        <v>0.5</v>
      </c>
      <c r="X2036" s="960">
        <f t="array" ref="X2036">HLOOKUP($J2036,'Type Chart'!$C$2:$T$20,5,false)*HLOOKUP($K2036,'Type Chart'!$C$2:$U$20,5,false)</f>
        <v>0.5</v>
      </c>
      <c r="Y2036" s="960">
        <f t="array" ref="Y2036">HLOOKUP($J2036,'Type Chart'!$C$2:$T$20,6,false)*HLOOKUP($K2036,'Type Chart'!$C$2:$U$20,6,false)</f>
        <v>2</v>
      </c>
      <c r="Z2036" s="960">
        <f t="array" ref="Z2036">HLOOKUP($J2036,'Type Chart'!$C$2:$T$20,7,false)*HLOOKUP($K2036,'Type Chart'!$C$2:$U$20,7,false)</f>
        <v>0.5</v>
      </c>
      <c r="AA2036" s="960">
        <f t="array" ref="AA2036">HLOOKUP($J2036,'Type Chart'!$C$2:$T$20,8,false)*HLOOKUP($K2036,'Type Chart'!$C$2:$U$20,8,false)</f>
        <v>1</v>
      </c>
      <c r="AB2036" s="960">
        <f t="array" ref="AB2036">HLOOKUP($J2036,'Type Chart'!$C$2:$T$20,9,false)*HLOOKUP($K2036,'Type Chart'!$C$2:$U$20,9,false)</f>
        <v>1</v>
      </c>
      <c r="AC2036" s="960">
        <f t="array" ref="AC2036">HLOOKUP($J2036,'Type Chart'!$C$2:$T$20,10,false)*HLOOKUP($K2036,'Type Chart'!$C$2:$U$20,10,false)</f>
        <v>0.5</v>
      </c>
      <c r="AD2036" s="960">
        <f t="array" ref="AD2036">HLOOKUP($J2036,'Type Chart'!$C$2:$T$20,11,false)*HLOOKUP($K2036,'Type Chart'!$C$2:$U$20,11,false)</f>
        <v>1</v>
      </c>
      <c r="AE2036" s="960">
        <f t="array" ref="AE2036">HLOOKUP($J2036,'Type Chart'!$C$2:$T$20,12,false)*HLOOKUP($K2036,'Type Chart'!$C$2:$U$20,12,false)</f>
        <v>2</v>
      </c>
      <c r="AF2036" s="960">
        <f t="array" ref="AF2036">HLOOKUP($J2036,'Type Chart'!$C$2:$T$20,13,false)*HLOOKUP($K2036,'Type Chart'!$C$2:$U$20,13,false)</f>
        <v>2</v>
      </c>
      <c r="AG2036" s="960">
        <f t="array" ref="AG2036">HLOOKUP($J2036,'Type Chart'!$C$2:$T$20,14,false)*HLOOKUP($K2036,'Type Chart'!$C$2:$U$20,14,false)</f>
        <v>0</v>
      </c>
      <c r="AH2036" s="960">
        <f t="array" ref="AH2036">HLOOKUP($J2036,'Type Chart'!$C$2:$T$20,15,false)*HLOOKUP($K2036,'Type Chart'!$C$2:$U$20,15,false)</f>
        <v>1</v>
      </c>
      <c r="AI2036" s="960">
        <f t="array" ref="AI2036">HLOOKUP($J2036,'Type Chart'!$C$2:$T$20,16,false)*HLOOKUP($K2036,'Type Chart'!$C$2:$U$20,16,false)</f>
        <v>2</v>
      </c>
      <c r="AJ2036" s="960">
        <f t="array" ref="AJ2036">HLOOKUP($J2036,'Type Chart'!$C$2:$T$20,17,false)*HLOOKUP($K2036,'Type Chart'!$C$2:$U$20,17,false)</f>
        <v>1</v>
      </c>
      <c r="AK2036" s="960">
        <f t="array" ref="AK2036">HLOOKUP($J2036,'Type Chart'!$C$2:$T$20,18,false)*HLOOKUP($K2036,'Type Chart'!$C$2:$U$20,18,false)</f>
        <v>1</v>
      </c>
      <c r="AL2036" s="960">
        <f t="array" ref="AL2036">HLOOKUP($J2036,'Type Chart'!$C$2:$T$20,19,false)*HLOOKUP($K2036,'Type Chart'!$C$2:$U$20,19,false)</f>
        <v>1</v>
      </c>
      <c r="AM2036" s="964" t="s">
        <v>1067</v>
      </c>
      <c r="AN2036" s="965" t="s">
        <v>1250</v>
      </c>
      <c r="AO2036" s="966" t="s">
        <v>1129</v>
      </c>
      <c r="AP2036" s="936"/>
      <c r="AQ2036" s="1245"/>
      <c r="AR2036" s="1245"/>
      <c r="AS2036" s="936"/>
    </row>
    <row r="2037" ht="15.75" customHeight="1">
      <c r="A2037" s="1099"/>
      <c r="B2037" s="948" t="s">
        <v>3157</v>
      </c>
      <c r="C2037" s="1197" t="s">
        <v>3158</v>
      </c>
      <c r="D2037" s="1197" t="s">
        <v>3158</v>
      </c>
      <c r="E2037" s="1147" t="s">
        <v>3159</v>
      </c>
      <c r="F2037" s="940"/>
      <c r="G2037" s="953"/>
      <c r="H2037" s="969"/>
      <c r="I2037" s="998" t="s">
        <v>5138</v>
      </c>
      <c r="J2037" s="1223" t="s">
        <v>80</v>
      </c>
      <c r="K2037" s="1233" t="s">
        <v>82</v>
      </c>
      <c r="L2037" s="1200">
        <v>109.0</v>
      </c>
      <c r="M2037" s="1201">
        <v>81.0</v>
      </c>
      <c r="N2037" s="1201">
        <v>99.0</v>
      </c>
      <c r="O2037" s="1201">
        <v>66.0</v>
      </c>
      <c r="P2037" s="1201">
        <v>84.0</v>
      </c>
      <c r="Q2037" s="1201">
        <v>32.0</v>
      </c>
      <c r="R2037" s="960">
        <v>100.0</v>
      </c>
      <c r="S2037" s="960">
        <v>163.0</v>
      </c>
      <c r="T2037" s="960">
        <v>179.0</v>
      </c>
      <c r="U2037" s="960">
        <f t="array" ref="U2037">HLOOKUP($J2037,'Type Chart'!$C$2:$T$20,2,false)*HLOOKUP($K2037,'Type Chart'!$C$2:$U$20,2,false)</f>
        <v>0.5</v>
      </c>
      <c r="V2037" s="960">
        <f t="array" ref="V2037">HLOOKUP($J2037,'Type Chart'!$C$2:$T$20,3,false)*HLOOKUP($K2037,'Type Chart'!$C$2:$U$20,3,false)</f>
        <v>2</v>
      </c>
      <c r="W2037" s="960">
        <f t="array" ref="W2037">HLOOKUP($J2037,'Type Chart'!$C$2:$T$20,4,false)*HLOOKUP($K2037,'Type Chart'!$C$2:$U$20,4,false)</f>
        <v>0.5</v>
      </c>
      <c r="X2037" s="960">
        <f t="array" ref="X2037">HLOOKUP($J2037,'Type Chart'!$C$2:$T$20,5,false)*HLOOKUP($K2037,'Type Chart'!$C$2:$U$20,5,false)</f>
        <v>0</v>
      </c>
      <c r="Y2037" s="960">
        <f t="array" ref="Y2037">HLOOKUP($J2037,'Type Chart'!$C$2:$T$20,6,false)*HLOOKUP($K2037,'Type Chart'!$C$2:$U$20,6,false)</f>
        <v>2</v>
      </c>
      <c r="Z2037" s="960">
        <f t="array" ref="Z2037">HLOOKUP($J2037,'Type Chart'!$C$2:$T$20,7,false)*HLOOKUP($K2037,'Type Chart'!$C$2:$U$20,7,false)</f>
        <v>0.25</v>
      </c>
      <c r="AA2037" s="960">
        <f t="array" ref="AA2037">HLOOKUP($J2037,'Type Chart'!$C$2:$T$20,8,false)*HLOOKUP($K2037,'Type Chart'!$C$2:$U$20,8,false)</f>
        <v>0.5</v>
      </c>
      <c r="AB2037" s="960">
        <f t="array" ref="AB2037">HLOOKUP($J2037,'Type Chart'!$C$2:$T$20,9,false)*HLOOKUP($K2037,'Type Chart'!$C$2:$U$20,9,false)</f>
        <v>1</v>
      </c>
      <c r="AC2037" s="960">
        <f t="array" ref="AC2037">HLOOKUP($J2037,'Type Chart'!$C$2:$T$20,10,false)*HLOOKUP($K2037,'Type Chart'!$C$2:$U$20,10,false)</f>
        <v>0.5</v>
      </c>
      <c r="AD2037" s="960">
        <f t="array" ref="AD2037">HLOOKUP($J2037,'Type Chart'!$C$2:$T$20,11,false)*HLOOKUP($K2037,'Type Chart'!$C$2:$U$20,11,false)</f>
        <v>2</v>
      </c>
      <c r="AE2037" s="960">
        <f t="array" ref="AE2037">HLOOKUP($J2037,'Type Chart'!$C$2:$T$20,12,false)*HLOOKUP($K2037,'Type Chart'!$C$2:$U$20,12,false)</f>
        <v>2</v>
      </c>
      <c r="AF2037" s="960">
        <f t="array" ref="AF2037">HLOOKUP($J2037,'Type Chart'!$C$2:$T$20,13,false)*HLOOKUP($K2037,'Type Chart'!$C$2:$U$20,13,false)</f>
        <v>1</v>
      </c>
      <c r="AG2037" s="960">
        <f t="array" ref="AG2037">HLOOKUP($J2037,'Type Chart'!$C$2:$T$20,14,false)*HLOOKUP($K2037,'Type Chart'!$C$2:$U$20,14,false)</f>
        <v>0</v>
      </c>
      <c r="AH2037" s="960">
        <f t="array" ref="AH2037">HLOOKUP($J2037,'Type Chart'!$C$2:$T$20,15,false)*HLOOKUP($K2037,'Type Chart'!$C$2:$U$20,15,false)</f>
        <v>0.5</v>
      </c>
      <c r="AI2037" s="960">
        <f t="array" ref="AI2037">HLOOKUP($J2037,'Type Chart'!$C$2:$T$20,16,false)*HLOOKUP($K2037,'Type Chart'!$C$2:$U$20,16,false)</f>
        <v>1</v>
      </c>
      <c r="AJ2037" s="960">
        <f t="array" ref="AJ2037">HLOOKUP($J2037,'Type Chart'!$C$2:$T$20,17,false)*HLOOKUP($K2037,'Type Chart'!$C$2:$U$20,17,false)</f>
        <v>0.5</v>
      </c>
      <c r="AK2037" s="960">
        <f t="array" ref="AK2037">HLOOKUP($J2037,'Type Chart'!$C$2:$T$20,18,false)*HLOOKUP($K2037,'Type Chart'!$C$2:$U$20,18,false)</f>
        <v>1</v>
      </c>
      <c r="AL2037" s="960">
        <f t="array" ref="AL2037">HLOOKUP($J2037,'Type Chart'!$C$2:$T$20,19,false)*HLOOKUP($K2037,'Type Chart'!$C$2:$U$20,19,false)</f>
        <v>0.5</v>
      </c>
      <c r="AM2037" s="1145" t="s">
        <v>3161</v>
      </c>
      <c r="AN2037" s="1202"/>
      <c r="AO2037" s="1146"/>
      <c r="AP2037" s="936"/>
      <c r="AQ2037" s="1245"/>
      <c r="AR2037" s="1245"/>
      <c r="AS2037" s="936"/>
    </row>
    <row r="2038" ht="15.75" customHeight="1">
      <c r="A2038" s="1099"/>
      <c r="B2038" s="948" t="s">
        <v>3162</v>
      </c>
      <c r="C2038" s="1197" t="s">
        <v>3163</v>
      </c>
      <c r="D2038" s="1197" t="s">
        <v>3163</v>
      </c>
      <c r="E2038" s="1147" t="s">
        <v>3163</v>
      </c>
      <c r="F2038" s="940"/>
      <c r="G2038" s="953"/>
      <c r="H2038" s="969"/>
      <c r="I2038" s="998" t="s">
        <v>5139</v>
      </c>
      <c r="J2038" s="1212" t="s">
        <v>341</v>
      </c>
      <c r="K2038" s="1199" t="s">
        <v>216</v>
      </c>
      <c r="L2038" s="1200">
        <v>45.0</v>
      </c>
      <c r="M2038" s="1201">
        <v>85.0</v>
      </c>
      <c r="N2038" s="1201">
        <v>50.0</v>
      </c>
      <c r="O2038" s="1201">
        <v>55.0</v>
      </c>
      <c r="P2038" s="1201">
        <v>50.0</v>
      </c>
      <c r="Q2038" s="1201">
        <v>65.0</v>
      </c>
      <c r="R2038" s="960">
        <v>166.0</v>
      </c>
      <c r="S2038" s="960">
        <v>229.0</v>
      </c>
      <c r="T2038" s="960">
        <v>251.0</v>
      </c>
      <c r="U2038" s="960">
        <f t="array" ref="U2038">HLOOKUP($J2038,'Type Chart'!$C$2:$T$20,2,false)*HLOOKUP($K2038,'Type Chart'!$C$2:$U$20,2,false)</f>
        <v>1</v>
      </c>
      <c r="V2038" s="960">
        <f t="array" ref="V2038">HLOOKUP($J2038,'Type Chart'!$C$2:$T$20,3,false)*HLOOKUP($K2038,'Type Chart'!$C$2:$U$20,3,false)</f>
        <v>1</v>
      </c>
      <c r="W2038" s="960">
        <f t="array" ref="W2038">HLOOKUP($J2038,'Type Chart'!$C$2:$T$20,4,false)*HLOOKUP($K2038,'Type Chart'!$C$2:$U$20,4,false)</f>
        <v>2</v>
      </c>
      <c r="X2038" s="960">
        <f t="array" ref="X2038">HLOOKUP($J2038,'Type Chart'!$C$2:$T$20,5,false)*HLOOKUP($K2038,'Type Chart'!$C$2:$U$20,5,false)</f>
        <v>1</v>
      </c>
      <c r="Y2038" s="960">
        <f t="array" ref="Y2038">HLOOKUP($J2038,'Type Chart'!$C$2:$T$20,6,false)*HLOOKUP($K2038,'Type Chart'!$C$2:$U$20,6,false)</f>
        <v>1</v>
      </c>
      <c r="Z2038" s="960">
        <f t="array" ref="Z2038">HLOOKUP($J2038,'Type Chart'!$C$2:$T$20,7,false)*HLOOKUP($K2038,'Type Chart'!$C$2:$U$20,7,false)</f>
        <v>0.5</v>
      </c>
      <c r="AA2038" s="960">
        <f t="array" ref="AA2038">HLOOKUP($J2038,'Type Chart'!$C$2:$T$20,8,false)*HLOOKUP($K2038,'Type Chart'!$C$2:$U$20,8,false)</f>
        <v>0.5</v>
      </c>
      <c r="AB2038" s="960">
        <f t="array" ref="AB2038">HLOOKUP($J2038,'Type Chart'!$C$2:$T$20,9,false)*HLOOKUP($K2038,'Type Chart'!$C$2:$U$20,9,false)</f>
        <v>1</v>
      </c>
      <c r="AC2038" s="960">
        <f t="array" ref="AC2038">HLOOKUP($J2038,'Type Chart'!$C$2:$T$20,10,false)*HLOOKUP($K2038,'Type Chart'!$C$2:$U$20,10,false)</f>
        <v>1</v>
      </c>
      <c r="AD2038" s="960">
        <f t="array" ref="AD2038">HLOOKUP($J2038,'Type Chart'!$C$2:$T$20,11,false)*HLOOKUP($K2038,'Type Chart'!$C$2:$U$20,11,false)</f>
        <v>1</v>
      </c>
      <c r="AE2038" s="960">
        <f t="array" ref="AE2038">HLOOKUP($J2038,'Type Chart'!$C$2:$T$20,12,false)*HLOOKUP($K2038,'Type Chart'!$C$2:$U$20,12,false)</f>
        <v>1</v>
      </c>
      <c r="AF2038" s="960">
        <f t="array" ref="AF2038">HLOOKUP($J2038,'Type Chart'!$C$2:$T$20,13,false)*HLOOKUP($K2038,'Type Chart'!$C$2:$U$20,13,false)</f>
        <v>1</v>
      </c>
      <c r="AG2038" s="960">
        <f t="array" ref="AG2038">HLOOKUP($J2038,'Type Chart'!$C$2:$T$20,14,false)*HLOOKUP($K2038,'Type Chart'!$C$2:$U$20,14,false)</f>
        <v>1</v>
      </c>
      <c r="AH2038" s="960">
        <f t="array" ref="AH2038">HLOOKUP($J2038,'Type Chart'!$C$2:$T$20,15,false)*HLOOKUP($K2038,'Type Chart'!$C$2:$U$20,15,false)</f>
        <v>2</v>
      </c>
      <c r="AI2038" s="960">
        <f t="array" ref="AI2038">HLOOKUP($J2038,'Type Chart'!$C$2:$T$20,16,false)*HLOOKUP($K2038,'Type Chart'!$C$2:$U$20,16,false)</f>
        <v>1</v>
      </c>
      <c r="AJ2038" s="960">
        <f t="array" ref="AJ2038">HLOOKUP($J2038,'Type Chart'!$C$2:$T$20,17,false)*HLOOKUP($K2038,'Type Chart'!$C$2:$U$20,17,false)</f>
        <v>1</v>
      </c>
      <c r="AK2038" s="960">
        <f t="array" ref="AK2038">HLOOKUP($J2038,'Type Chart'!$C$2:$T$20,18,false)*HLOOKUP($K2038,'Type Chart'!$C$2:$U$20,18,false)</f>
        <v>0.5</v>
      </c>
      <c r="AL2038" s="960">
        <f t="array" ref="AL2038">HLOOKUP($J2038,'Type Chart'!$C$2:$T$20,19,false)*HLOOKUP($K2038,'Type Chart'!$C$2:$U$20,19,false)</f>
        <v>2</v>
      </c>
      <c r="AM2038" s="1145" t="s">
        <v>1192</v>
      </c>
      <c r="AN2038" s="1202" t="s">
        <v>1371</v>
      </c>
      <c r="AO2038" s="1146" t="s">
        <v>1497</v>
      </c>
      <c r="AP2038" s="936"/>
      <c r="AQ2038" s="1245"/>
      <c r="AR2038" s="1245"/>
      <c r="AS2038" s="936"/>
    </row>
    <row r="2039" ht="15.75" customHeight="1">
      <c r="A2039" s="1099"/>
      <c r="B2039" s="948" t="s">
        <v>3165</v>
      </c>
      <c r="C2039" s="1197" t="s">
        <v>3166</v>
      </c>
      <c r="D2039" s="1197" t="s">
        <v>3166</v>
      </c>
      <c r="E2039" s="1147" t="s">
        <v>3166</v>
      </c>
      <c r="F2039" s="940"/>
      <c r="G2039" s="953"/>
      <c r="H2039" s="969"/>
      <c r="I2039" s="998" t="s">
        <v>5140</v>
      </c>
      <c r="J2039" s="1213" t="s">
        <v>341</v>
      </c>
      <c r="K2039" s="984" t="s">
        <v>216</v>
      </c>
      <c r="L2039" s="959">
        <v>65.0</v>
      </c>
      <c r="M2039" s="960">
        <v>125.0</v>
      </c>
      <c r="N2039" s="960">
        <v>60.0</v>
      </c>
      <c r="O2039" s="960">
        <v>95.0</v>
      </c>
      <c r="P2039" s="960">
        <v>60.0</v>
      </c>
      <c r="Q2039" s="960">
        <v>105.0</v>
      </c>
      <c r="R2039" s="960">
        <v>246.0</v>
      </c>
      <c r="S2039" s="960">
        <v>309.0</v>
      </c>
      <c r="T2039" s="960">
        <v>339.0</v>
      </c>
      <c r="U2039" s="960">
        <f t="array" ref="U2039">HLOOKUP($J2039,'Type Chart'!$C$2:$T$20,2,false)*HLOOKUP($K2039,'Type Chart'!$C$2:$U$20,2,false)</f>
        <v>1</v>
      </c>
      <c r="V2039" s="960">
        <f t="array" ref="V2039">HLOOKUP($J2039,'Type Chart'!$C$2:$T$20,3,false)*HLOOKUP($K2039,'Type Chart'!$C$2:$U$20,3,false)</f>
        <v>1</v>
      </c>
      <c r="W2039" s="960">
        <f t="array" ref="W2039">HLOOKUP($J2039,'Type Chart'!$C$2:$T$20,4,false)*HLOOKUP($K2039,'Type Chart'!$C$2:$U$20,4,false)</f>
        <v>2</v>
      </c>
      <c r="X2039" s="960">
        <f t="array" ref="X2039">HLOOKUP($J2039,'Type Chart'!$C$2:$T$20,5,false)*HLOOKUP($K2039,'Type Chart'!$C$2:$U$20,5,false)</f>
        <v>1</v>
      </c>
      <c r="Y2039" s="960">
        <f t="array" ref="Y2039">HLOOKUP($J2039,'Type Chart'!$C$2:$T$20,6,false)*HLOOKUP($K2039,'Type Chart'!$C$2:$U$20,6,false)</f>
        <v>1</v>
      </c>
      <c r="Z2039" s="960">
        <f t="array" ref="Z2039">HLOOKUP($J2039,'Type Chart'!$C$2:$T$20,7,false)*HLOOKUP($K2039,'Type Chart'!$C$2:$U$20,7,false)</f>
        <v>0.5</v>
      </c>
      <c r="AA2039" s="960">
        <f t="array" ref="AA2039">HLOOKUP($J2039,'Type Chart'!$C$2:$T$20,8,false)*HLOOKUP($K2039,'Type Chart'!$C$2:$U$20,8,false)</f>
        <v>0.5</v>
      </c>
      <c r="AB2039" s="960">
        <f t="array" ref="AB2039">HLOOKUP($J2039,'Type Chart'!$C$2:$T$20,9,false)*HLOOKUP($K2039,'Type Chart'!$C$2:$U$20,9,false)</f>
        <v>1</v>
      </c>
      <c r="AC2039" s="960">
        <f t="array" ref="AC2039">HLOOKUP($J2039,'Type Chart'!$C$2:$T$20,10,false)*HLOOKUP($K2039,'Type Chart'!$C$2:$U$20,10,false)</f>
        <v>1</v>
      </c>
      <c r="AD2039" s="960">
        <f t="array" ref="AD2039">HLOOKUP($J2039,'Type Chart'!$C$2:$T$20,11,false)*HLOOKUP($K2039,'Type Chart'!$C$2:$U$20,11,false)</f>
        <v>1</v>
      </c>
      <c r="AE2039" s="960">
        <f t="array" ref="AE2039">HLOOKUP($J2039,'Type Chart'!$C$2:$T$20,12,false)*HLOOKUP($K2039,'Type Chart'!$C$2:$U$20,12,false)</f>
        <v>1</v>
      </c>
      <c r="AF2039" s="960">
        <f t="array" ref="AF2039">HLOOKUP($J2039,'Type Chart'!$C$2:$T$20,13,false)*HLOOKUP($K2039,'Type Chart'!$C$2:$U$20,13,false)</f>
        <v>1</v>
      </c>
      <c r="AG2039" s="960">
        <f t="array" ref="AG2039">HLOOKUP($J2039,'Type Chart'!$C$2:$T$20,14,false)*HLOOKUP($K2039,'Type Chart'!$C$2:$U$20,14,false)</f>
        <v>1</v>
      </c>
      <c r="AH2039" s="960">
        <f t="array" ref="AH2039">HLOOKUP($J2039,'Type Chart'!$C$2:$T$20,15,false)*HLOOKUP($K2039,'Type Chart'!$C$2:$U$20,15,false)</f>
        <v>2</v>
      </c>
      <c r="AI2039" s="960">
        <f t="array" ref="AI2039">HLOOKUP($J2039,'Type Chart'!$C$2:$T$20,16,false)*HLOOKUP($K2039,'Type Chart'!$C$2:$U$20,16,false)</f>
        <v>1</v>
      </c>
      <c r="AJ2039" s="960">
        <f t="array" ref="AJ2039">HLOOKUP($J2039,'Type Chart'!$C$2:$T$20,17,false)*HLOOKUP($K2039,'Type Chart'!$C$2:$U$20,17,false)</f>
        <v>1</v>
      </c>
      <c r="AK2039" s="960">
        <f t="array" ref="AK2039">HLOOKUP($J2039,'Type Chart'!$C$2:$T$20,18,false)*HLOOKUP($K2039,'Type Chart'!$C$2:$U$20,18,false)</f>
        <v>0.5</v>
      </c>
      <c r="AL2039" s="960">
        <f t="array" ref="AL2039">HLOOKUP($J2039,'Type Chart'!$C$2:$T$20,19,false)*HLOOKUP($K2039,'Type Chart'!$C$2:$U$20,19,false)</f>
        <v>2</v>
      </c>
      <c r="AM2039" s="964" t="s">
        <v>1192</v>
      </c>
      <c r="AN2039" s="965" t="s">
        <v>1371</v>
      </c>
      <c r="AO2039" s="966" t="s">
        <v>1497</v>
      </c>
      <c r="AP2039" s="936"/>
      <c r="AQ2039" s="1245"/>
      <c r="AR2039" s="1245"/>
      <c r="AS2039" s="936"/>
    </row>
    <row r="2040" ht="15.75" customHeight="1">
      <c r="A2040" s="1099"/>
      <c r="B2040" s="948" t="s">
        <v>3167</v>
      </c>
      <c r="C2040" s="1197" t="s">
        <v>3168</v>
      </c>
      <c r="D2040" s="1197" t="s">
        <v>3168</v>
      </c>
      <c r="E2040" s="1147" t="s">
        <v>3168</v>
      </c>
      <c r="F2040" s="940"/>
      <c r="G2040" s="953"/>
      <c r="H2040" s="969"/>
      <c r="I2040" s="998" t="s">
        <v>5141</v>
      </c>
      <c r="J2040" s="1006" t="s">
        <v>346</v>
      </c>
      <c r="K2040" s="984" t="s">
        <v>216</v>
      </c>
      <c r="L2040" s="959">
        <v>77.0</v>
      </c>
      <c r="M2040" s="960">
        <v>120.0</v>
      </c>
      <c r="N2040" s="960">
        <v>90.0</v>
      </c>
      <c r="O2040" s="960">
        <v>60.0</v>
      </c>
      <c r="P2040" s="960">
        <v>90.0</v>
      </c>
      <c r="Q2040" s="960">
        <v>48.0</v>
      </c>
      <c r="R2040" s="960">
        <v>132.0</v>
      </c>
      <c r="S2040" s="960">
        <v>195.0</v>
      </c>
      <c r="T2040" s="960">
        <v>214.0</v>
      </c>
      <c r="U2040" s="960">
        <f t="array" ref="U2040">HLOOKUP($J2040,'Type Chart'!$C$2:$T$20,2,false)*HLOOKUP($K2040,'Type Chart'!$C$2:$U$20,2,false)</f>
        <v>1</v>
      </c>
      <c r="V2040" s="960">
        <f t="array" ref="V2040">HLOOKUP($J2040,'Type Chart'!$C$2:$T$20,3,false)*HLOOKUP($K2040,'Type Chart'!$C$2:$U$20,3,false)</f>
        <v>1</v>
      </c>
      <c r="W2040" s="960">
        <f t="array" ref="W2040">HLOOKUP($J2040,'Type Chart'!$C$2:$T$20,4,false)*HLOOKUP($K2040,'Type Chart'!$C$2:$U$20,4,false)</f>
        <v>1</v>
      </c>
      <c r="X2040" s="960">
        <f t="array" ref="X2040">HLOOKUP($J2040,'Type Chart'!$C$2:$T$20,5,false)*HLOOKUP($K2040,'Type Chart'!$C$2:$U$20,5,false)</f>
        <v>1</v>
      </c>
      <c r="Y2040" s="960">
        <f t="array" ref="Y2040">HLOOKUP($J2040,'Type Chart'!$C$2:$T$20,6,false)*HLOOKUP($K2040,'Type Chart'!$C$2:$U$20,6,false)</f>
        <v>1</v>
      </c>
      <c r="Z2040" s="960">
        <f t="array" ref="Z2040">HLOOKUP($J2040,'Type Chart'!$C$2:$T$20,7,false)*HLOOKUP($K2040,'Type Chart'!$C$2:$U$20,7,false)</f>
        <v>1</v>
      </c>
      <c r="AA2040" s="960">
        <f t="array" ref="AA2040">HLOOKUP($J2040,'Type Chart'!$C$2:$T$20,8,false)*HLOOKUP($K2040,'Type Chart'!$C$2:$U$20,8,false)</f>
        <v>1</v>
      </c>
      <c r="AB2040" s="960">
        <f t="array" ref="AB2040">HLOOKUP($J2040,'Type Chart'!$C$2:$T$20,9,false)*HLOOKUP($K2040,'Type Chart'!$C$2:$U$20,9,false)</f>
        <v>1</v>
      </c>
      <c r="AC2040" s="960">
        <f t="array" ref="AC2040">HLOOKUP($J2040,'Type Chart'!$C$2:$T$20,10,false)*HLOOKUP($K2040,'Type Chart'!$C$2:$U$20,10,false)</f>
        <v>1</v>
      </c>
      <c r="AD2040" s="960">
        <f t="array" ref="AD2040">HLOOKUP($J2040,'Type Chart'!$C$2:$T$20,11,false)*HLOOKUP($K2040,'Type Chart'!$C$2:$U$20,11,false)</f>
        <v>0.5</v>
      </c>
      <c r="AE2040" s="960">
        <f t="array" ref="AE2040">HLOOKUP($J2040,'Type Chart'!$C$2:$T$20,12,false)*HLOOKUP($K2040,'Type Chart'!$C$2:$U$20,12,false)</f>
        <v>0.5</v>
      </c>
      <c r="AF2040" s="960">
        <f t="array" ref="AF2040">HLOOKUP($J2040,'Type Chart'!$C$2:$T$20,13,false)*HLOOKUP($K2040,'Type Chart'!$C$2:$U$20,13,false)</f>
        <v>0.5</v>
      </c>
      <c r="AG2040" s="960">
        <f t="array" ref="AG2040">HLOOKUP($J2040,'Type Chart'!$C$2:$T$20,14,false)*HLOOKUP($K2040,'Type Chart'!$C$2:$U$20,14,false)</f>
        <v>0.5</v>
      </c>
      <c r="AH2040" s="960">
        <f t="array" ref="AH2040">HLOOKUP($J2040,'Type Chart'!$C$2:$T$20,15,false)*HLOOKUP($K2040,'Type Chart'!$C$2:$U$20,15,false)</f>
        <v>1</v>
      </c>
      <c r="AI2040" s="960">
        <f t="array" ref="AI2040">HLOOKUP($J2040,'Type Chart'!$C$2:$T$20,16,false)*HLOOKUP($K2040,'Type Chart'!$C$2:$U$20,16,false)</f>
        <v>2</v>
      </c>
      <c r="AJ2040" s="960">
        <f t="array" ref="AJ2040">HLOOKUP($J2040,'Type Chart'!$C$2:$T$20,17,false)*HLOOKUP($K2040,'Type Chart'!$C$2:$U$20,17,false)</f>
        <v>2</v>
      </c>
      <c r="AK2040" s="960">
        <f t="array" ref="AK2040">HLOOKUP($J2040,'Type Chart'!$C$2:$T$20,18,false)*HLOOKUP($K2040,'Type Chart'!$C$2:$U$20,18,false)</f>
        <v>1</v>
      </c>
      <c r="AL2040" s="960">
        <f t="array" ref="AL2040">HLOOKUP($J2040,'Type Chart'!$C$2:$T$20,19,false)*HLOOKUP($K2040,'Type Chart'!$C$2:$U$20,19,false)</f>
        <v>2</v>
      </c>
      <c r="AM2040" s="964" t="s">
        <v>2198</v>
      </c>
      <c r="AN2040" s="965" t="s">
        <v>1153</v>
      </c>
      <c r="AO2040" s="966" t="s">
        <v>1576</v>
      </c>
      <c r="AP2040" s="936"/>
      <c r="AQ2040" s="1245"/>
      <c r="AR2040" s="1245"/>
      <c r="AS2040" s="936"/>
    </row>
    <row r="2041" ht="15.75" customHeight="1">
      <c r="A2041" s="1099"/>
      <c r="B2041" s="948" t="s">
        <v>3170</v>
      </c>
      <c r="C2041" s="1197" t="s">
        <v>3171</v>
      </c>
      <c r="D2041" s="1197" t="s">
        <v>3171</v>
      </c>
      <c r="E2041" s="1147" t="s">
        <v>3171</v>
      </c>
      <c r="F2041" s="940"/>
      <c r="G2041" s="953"/>
      <c r="H2041" s="969"/>
      <c r="I2041" s="998" t="s">
        <v>5142</v>
      </c>
      <c r="J2041" s="1204" t="s">
        <v>80</v>
      </c>
      <c r="K2041" s="1220" t="s">
        <v>215</v>
      </c>
      <c r="L2041" s="959">
        <v>59.0</v>
      </c>
      <c r="M2041" s="960">
        <v>74.0</v>
      </c>
      <c r="N2041" s="960">
        <v>50.0</v>
      </c>
      <c r="O2041" s="960">
        <v>35.0</v>
      </c>
      <c r="P2041" s="960">
        <v>50.0</v>
      </c>
      <c r="Q2041" s="960">
        <v>35.0</v>
      </c>
      <c r="R2041" s="960">
        <v>106.0</v>
      </c>
      <c r="S2041" s="960">
        <v>169.0</v>
      </c>
      <c r="T2041" s="960">
        <v>185.0</v>
      </c>
      <c r="U2041" s="960">
        <f t="array" ref="U2041">HLOOKUP($J2041,'Type Chart'!$C$2:$T$20,2,false)*HLOOKUP($K2041,'Type Chart'!$C$2:$U$20,2,false)</f>
        <v>0</v>
      </c>
      <c r="V2041" s="960">
        <f t="array" ref="V2041">HLOOKUP($J2041,'Type Chart'!$C$2:$T$20,3,false)*HLOOKUP($K2041,'Type Chart'!$C$2:$U$20,3,false)</f>
        <v>0</v>
      </c>
      <c r="W2041" s="960">
        <f t="array" ref="W2041">HLOOKUP($J2041,'Type Chart'!$C$2:$T$20,4,false)*HLOOKUP($K2041,'Type Chart'!$C$2:$U$20,4,false)</f>
        <v>1</v>
      </c>
      <c r="X2041" s="960">
        <f t="array" ref="X2041">HLOOKUP($J2041,'Type Chart'!$C$2:$T$20,5,false)*HLOOKUP($K2041,'Type Chart'!$C$2:$U$20,5,false)</f>
        <v>0.25</v>
      </c>
      <c r="Y2041" s="960">
        <f t="array" ref="Y2041">HLOOKUP($J2041,'Type Chart'!$C$2:$T$20,6,false)*HLOOKUP($K2041,'Type Chart'!$C$2:$U$20,6,false)</f>
        <v>1</v>
      </c>
      <c r="Z2041" s="960">
        <f t="array" ref="Z2041">HLOOKUP($J2041,'Type Chart'!$C$2:$T$20,7,false)*HLOOKUP($K2041,'Type Chart'!$C$2:$U$20,7,false)</f>
        <v>0.5</v>
      </c>
      <c r="AA2041" s="960">
        <f t="array" ref="AA2041">HLOOKUP($J2041,'Type Chart'!$C$2:$T$20,8,false)*HLOOKUP($K2041,'Type Chart'!$C$2:$U$20,8,false)</f>
        <v>0.5</v>
      </c>
      <c r="AB2041" s="960">
        <f t="array" ref="AB2041">HLOOKUP($J2041,'Type Chart'!$C$2:$T$20,9,false)*HLOOKUP($K2041,'Type Chart'!$C$2:$U$20,9,false)</f>
        <v>2</v>
      </c>
      <c r="AC2041" s="960">
        <f t="array" ref="AC2041">HLOOKUP($J2041,'Type Chart'!$C$2:$T$20,10,false)*HLOOKUP($K2041,'Type Chart'!$C$2:$U$20,10,false)</f>
        <v>1</v>
      </c>
      <c r="AD2041" s="960">
        <f t="array" ref="AD2041">HLOOKUP($J2041,'Type Chart'!$C$2:$T$20,11,false)*HLOOKUP($K2041,'Type Chart'!$C$2:$U$20,11,false)</f>
        <v>1</v>
      </c>
      <c r="AE2041" s="960">
        <f t="array" ref="AE2041">HLOOKUP($J2041,'Type Chart'!$C$2:$T$20,12,false)*HLOOKUP($K2041,'Type Chart'!$C$2:$U$20,12,false)</f>
        <v>2</v>
      </c>
      <c r="AF2041" s="960">
        <f t="array" ref="AF2041">HLOOKUP($J2041,'Type Chart'!$C$2:$T$20,13,false)*HLOOKUP($K2041,'Type Chart'!$C$2:$U$20,13,false)</f>
        <v>2</v>
      </c>
      <c r="AG2041" s="960">
        <f t="array" ref="AG2041">HLOOKUP($J2041,'Type Chart'!$C$2:$T$20,14,false)*HLOOKUP($K2041,'Type Chart'!$C$2:$U$20,14,false)</f>
        <v>0</v>
      </c>
      <c r="AH2041" s="960">
        <f t="array" ref="AH2041">HLOOKUP($J2041,'Type Chart'!$C$2:$T$20,15,false)*HLOOKUP($K2041,'Type Chart'!$C$2:$U$20,15,false)</f>
        <v>1</v>
      </c>
      <c r="AI2041" s="960">
        <f t="array" ref="AI2041">HLOOKUP($J2041,'Type Chart'!$C$2:$T$20,16,false)*HLOOKUP($K2041,'Type Chart'!$C$2:$U$20,16,false)</f>
        <v>2</v>
      </c>
      <c r="AJ2041" s="960">
        <f t="array" ref="AJ2041">HLOOKUP($J2041,'Type Chart'!$C$2:$T$20,17,false)*HLOOKUP($K2041,'Type Chart'!$C$2:$U$20,17,false)</f>
        <v>1</v>
      </c>
      <c r="AK2041" s="960">
        <f t="array" ref="AK2041">HLOOKUP($J2041,'Type Chart'!$C$2:$T$20,18,false)*HLOOKUP($K2041,'Type Chart'!$C$2:$U$20,18,false)</f>
        <v>2</v>
      </c>
      <c r="AL2041" s="960">
        <f t="array" ref="AL2041">HLOOKUP($J2041,'Type Chart'!$C$2:$T$20,19,false)*HLOOKUP($K2041,'Type Chart'!$C$2:$U$20,19,false)</f>
        <v>1</v>
      </c>
      <c r="AM2041" s="964" t="s">
        <v>1501</v>
      </c>
      <c r="AN2041" s="965" t="s">
        <v>2552</v>
      </c>
      <c r="AO2041" s="966" t="s">
        <v>1034</v>
      </c>
      <c r="AP2041" s="936"/>
      <c r="AQ2041" s="1245"/>
      <c r="AR2041" s="1245"/>
      <c r="AS2041" s="936"/>
    </row>
    <row r="2042" ht="15.75" customHeight="1">
      <c r="A2042" s="1099"/>
      <c r="B2042" s="948" t="s">
        <v>3173</v>
      </c>
      <c r="C2042" s="1197" t="s">
        <v>3174</v>
      </c>
      <c r="D2042" s="1197" t="s">
        <v>3174</v>
      </c>
      <c r="E2042" s="1147" t="s">
        <v>3174</v>
      </c>
      <c r="F2042" s="940"/>
      <c r="G2042" s="953"/>
      <c r="H2042" s="969"/>
      <c r="I2042" s="998" t="s">
        <v>5143</v>
      </c>
      <c r="J2042" s="1204" t="s">
        <v>80</v>
      </c>
      <c r="K2042" s="1220" t="s">
        <v>215</v>
      </c>
      <c r="L2042" s="959">
        <v>89.0</v>
      </c>
      <c r="M2042" s="960">
        <v>124.0</v>
      </c>
      <c r="N2042" s="960">
        <v>80.0</v>
      </c>
      <c r="O2042" s="960">
        <v>55.0</v>
      </c>
      <c r="P2042" s="960">
        <v>80.0</v>
      </c>
      <c r="Q2042" s="960">
        <v>55.0</v>
      </c>
      <c r="R2042" s="960">
        <v>146.0</v>
      </c>
      <c r="S2042" s="960">
        <v>209.0</v>
      </c>
      <c r="T2042" s="960">
        <v>229.0</v>
      </c>
      <c r="U2042" s="960">
        <f t="array" ref="U2042">HLOOKUP($J2042,'Type Chart'!$C$2:$T$20,2,false)*HLOOKUP($K2042,'Type Chart'!$C$2:$U$20,2,false)</f>
        <v>0</v>
      </c>
      <c r="V2042" s="960">
        <f t="array" ref="V2042">HLOOKUP($J2042,'Type Chart'!$C$2:$T$20,3,false)*HLOOKUP($K2042,'Type Chart'!$C$2:$U$20,3,false)</f>
        <v>0</v>
      </c>
      <c r="W2042" s="960">
        <f t="array" ref="W2042">HLOOKUP($J2042,'Type Chart'!$C$2:$T$20,4,false)*HLOOKUP($K2042,'Type Chart'!$C$2:$U$20,4,false)</f>
        <v>1</v>
      </c>
      <c r="X2042" s="960">
        <f t="array" ref="X2042">HLOOKUP($J2042,'Type Chart'!$C$2:$T$20,5,false)*HLOOKUP($K2042,'Type Chart'!$C$2:$U$20,5,false)</f>
        <v>0.25</v>
      </c>
      <c r="Y2042" s="960">
        <f t="array" ref="Y2042">HLOOKUP($J2042,'Type Chart'!$C$2:$T$20,6,false)*HLOOKUP($K2042,'Type Chart'!$C$2:$U$20,6,false)</f>
        <v>1</v>
      </c>
      <c r="Z2042" s="960">
        <f t="array" ref="Z2042">HLOOKUP($J2042,'Type Chart'!$C$2:$T$20,7,false)*HLOOKUP($K2042,'Type Chart'!$C$2:$U$20,7,false)</f>
        <v>0.5</v>
      </c>
      <c r="AA2042" s="960">
        <f t="array" ref="AA2042">HLOOKUP($J2042,'Type Chart'!$C$2:$T$20,8,false)*HLOOKUP($K2042,'Type Chart'!$C$2:$U$20,8,false)</f>
        <v>0.5</v>
      </c>
      <c r="AB2042" s="960">
        <f t="array" ref="AB2042">HLOOKUP($J2042,'Type Chart'!$C$2:$T$20,9,false)*HLOOKUP($K2042,'Type Chart'!$C$2:$U$20,9,false)</f>
        <v>2</v>
      </c>
      <c r="AC2042" s="960">
        <f t="array" ref="AC2042">HLOOKUP($J2042,'Type Chart'!$C$2:$T$20,10,false)*HLOOKUP($K2042,'Type Chart'!$C$2:$U$20,10,false)</f>
        <v>1</v>
      </c>
      <c r="AD2042" s="960">
        <f t="array" ref="AD2042">HLOOKUP($J2042,'Type Chart'!$C$2:$T$20,11,false)*HLOOKUP($K2042,'Type Chart'!$C$2:$U$20,11,false)</f>
        <v>1</v>
      </c>
      <c r="AE2042" s="960">
        <f t="array" ref="AE2042">HLOOKUP($J2042,'Type Chart'!$C$2:$T$20,12,false)*HLOOKUP($K2042,'Type Chart'!$C$2:$U$20,12,false)</f>
        <v>2</v>
      </c>
      <c r="AF2042" s="960">
        <f t="array" ref="AF2042">HLOOKUP($J2042,'Type Chart'!$C$2:$T$20,13,false)*HLOOKUP($K2042,'Type Chart'!$C$2:$U$20,13,false)</f>
        <v>2</v>
      </c>
      <c r="AG2042" s="960">
        <f t="array" ref="AG2042">HLOOKUP($J2042,'Type Chart'!$C$2:$T$20,14,false)*HLOOKUP($K2042,'Type Chart'!$C$2:$U$20,14,false)</f>
        <v>0</v>
      </c>
      <c r="AH2042" s="960">
        <f t="array" ref="AH2042">HLOOKUP($J2042,'Type Chart'!$C$2:$T$20,15,false)*HLOOKUP($K2042,'Type Chart'!$C$2:$U$20,15,false)</f>
        <v>1</v>
      </c>
      <c r="AI2042" s="960">
        <f t="array" ref="AI2042">HLOOKUP($J2042,'Type Chart'!$C$2:$T$20,16,false)*HLOOKUP($K2042,'Type Chart'!$C$2:$U$20,16,false)</f>
        <v>2</v>
      </c>
      <c r="AJ2042" s="960">
        <f t="array" ref="AJ2042">HLOOKUP($J2042,'Type Chart'!$C$2:$T$20,17,false)*HLOOKUP($K2042,'Type Chart'!$C$2:$U$20,17,false)</f>
        <v>1</v>
      </c>
      <c r="AK2042" s="960">
        <f t="array" ref="AK2042">HLOOKUP($J2042,'Type Chart'!$C$2:$T$20,18,false)*HLOOKUP($K2042,'Type Chart'!$C$2:$U$20,18,false)</f>
        <v>2</v>
      </c>
      <c r="AL2042" s="960">
        <f t="array" ref="AL2042">HLOOKUP($J2042,'Type Chart'!$C$2:$T$20,19,false)*HLOOKUP($K2042,'Type Chart'!$C$2:$U$20,19,false)</f>
        <v>1</v>
      </c>
      <c r="AM2042" s="964" t="s">
        <v>1501</v>
      </c>
      <c r="AN2042" s="965" t="s">
        <v>2552</v>
      </c>
      <c r="AO2042" s="966" t="s">
        <v>1034</v>
      </c>
      <c r="AP2042" s="936"/>
      <c r="AQ2042" s="1245"/>
      <c r="AR2042" s="1245"/>
      <c r="AS2042" s="936"/>
    </row>
    <row r="2043" ht="15.75" customHeight="1">
      <c r="A2043" s="1099"/>
      <c r="B2043" s="948" t="s">
        <v>3175</v>
      </c>
      <c r="C2043" s="1197" t="s">
        <v>3176</v>
      </c>
      <c r="D2043" s="1197" t="s">
        <v>3176</v>
      </c>
      <c r="E2043" s="1147" t="s">
        <v>3176</v>
      </c>
      <c r="F2043" s="940"/>
      <c r="G2043" s="953"/>
      <c r="H2043" s="969"/>
      <c r="I2043" s="998" t="s">
        <v>5144</v>
      </c>
      <c r="J2043" s="1195" t="s">
        <v>193</v>
      </c>
      <c r="K2043" s="1206" t="s">
        <v>82</v>
      </c>
      <c r="L2043" s="959">
        <v>45.0</v>
      </c>
      <c r="M2043" s="960">
        <v>85.0</v>
      </c>
      <c r="N2043" s="960">
        <v>70.0</v>
      </c>
      <c r="O2043" s="960">
        <v>40.0</v>
      </c>
      <c r="P2043" s="960">
        <v>40.0</v>
      </c>
      <c r="Q2043" s="960">
        <v>60.0</v>
      </c>
      <c r="R2043" s="960">
        <v>156.0</v>
      </c>
      <c r="S2043" s="960">
        <v>219.0</v>
      </c>
      <c r="T2043" s="960">
        <v>240.0</v>
      </c>
      <c r="U2043" s="960">
        <f t="array" ref="U2043">HLOOKUP($J2043,'Type Chart'!$C$2:$T$20,2,false)*HLOOKUP($K2043,'Type Chart'!$C$2:$U$20,2,false)</f>
        <v>0.5</v>
      </c>
      <c r="V2043" s="960">
        <f t="array" ref="V2043">HLOOKUP($J2043,'Type Chart'!$C$2:$T$20,3,false)*HLOOKUP($K2043,'Type Chart'!$C$2:$U$20,3,false)</f>
        <v>4</v>
      </c>
      <c r="W2043" s="960">
        <f t="array" ref="W2043">HLOOKUP($J2043,'Type Chart'!$C$2:$T$20,4,false)*HLOOKUP($K2043,'Type Chart'!$C$2:$U$20,4,false)</f>
        <v>0.5</v>
      </c>
      <c r="X2043" s="960">
        <f t="array" ref="X2043">HLOOKUP($J2043,'Type Chart'!$C$2:$T$20,5,false)*HLOOKUP($K2043,'Type Chart'!$C$2:$U$20,5,false)</f>
        <v>0</v>
      </c>
      <c r="Y2043" s="960">
        <f t="array" ref="Y2043">HLOOKUP($J2043,'Type Chart'!$C$2:$T$20,6,false)*HLOOKUP($K2043,'Type Chart'!$C$2:$U$20,6,false)</f>
        <v>2</v>
      </c>
      <c r="Z2043" s="960">
        <f t="array" ref="Z2043">HLOOKUP($J2043,'Type Chart'!$C$2:$T$20,7,false)*HLOOKUP($K2043,'Type Chart'!$C$2:$U$20,7,false)</f>
        <v>0.5</v>
      </c>
      <c r="AA2043" s="960">
        <f t="array" ref="AA2043">HLOOKUP($J2043,'Type Chart'!$C$2:$T$20,8,false)*HLOOKUP($K2043,'Type Chart'!$C$2:$U$20,8,false)</f>
        <v>1</v>
      </c>
      <c r="AB2043" s="960">
        <f t="array" ref="AB2043">HLOOKUP($J2043,'Type Chart'!$C$2:$T$20,9,false)*HLOOKUP($K2043,'Type Chart'!$C$2:$U$20,9,false)</f>
        <v>0.5</v>
      </c>
      <c r="AC2043" s="960">
        <f t="array" ref="AC2043">HLOOKUP($J2043,'Type Chart'!$C$2:$T$20,10,false)*HLOOKUP($K2043,'Type Chart'!$C$2:$U$20,10,false)</f>
        <v>0.5</v>
      </c>
      <c r="AD2043" s="960">
        <f t="array" ref="AD2043">HLOOKUP($J2043,'Type Chart'!$C$2:$T$20,11,false)*HLOOKUP($K2043,'Type Chart'!$C$2:$U$20,11,false)</f>
        <v>2</v>
      </c>
      <c r="AE2043" s="960">
        <f t="array" ref="AE2043">HLOOKUP($J2043,'Type Chart'!$C$2:$T$20,12,false)*HLOOKUP($K2043,'Type Chart'!$C$2:$U$20,12,false)</f>
        <v>1</v>
      </c>
      <c r="AF2043" s="960">
        <f t="array" ref="AF2043">HLOOKUP($J2043,'Type Chart'!$C$2:$T$20,13,false)*HLOOKUP($K2043,'Type Chart'!$C$2:$U$20,13,false)</f>
        <v>0.5</v>
      </c>
      <c r="AG2043" s="960">
        <f t="array" ref="AG2043">HLOOKUP($J2043,'Type Chart'!$C$2:$T$20,14,false)*HLOOKUP($K2043,'Type Chart'!$C$2:$U$20,14,false)</f>
        <v>1</v>
      </c>
      <c r="AH2043" s="960">
        <f t="array" ref="AH2043">HLOOKUP($J2043,'Type Chart'!$C$2:$T$20,15,false)*HLOOKUP($K2043,'Type Chart'!$C$2:$U$20,15,false)</f>
        <v>0</v>
      </c>
      <c r="AI2043" s="960">
        <f t="array" ref="AI2043">HLOOKUP($J2043,'Type Chart'!$C$2:$T$20,16,false)*HLOOKUP($K2043,'Type Chart'!$C$2:$U$20,16,false)</f>
        <v>0.5</v>
      </c>
      <c r="AJ2043" s="960">
        <f t="array" ref="AJ2043">HLOOKUP($J2043,'Type Chart'!$C$2:$T$20,17,false)*HLOOKUP($K2043,'Type Chart'!$C$2:$U$20,17,false)</f>
        <v>0.5</v>
      </c>
      <c r="AK2043" s="960">
        <f t="array" ref="AK2043">HLOOKUP($J2043,'Type Chart'!$C$2:$T$20,18,false)*HLOOKUP($K2043,'Type Chart'!$C$2:$U$20,18,false)</f>
        <v>0.5</v>
      </c>
      <c r="AL2043" s="960">
        <f t="array" ref="AL2043">HLOOKUP($J2043,'Type Chart'!$C$2:$T$20,19,false)*HLOOKUP($K2043,'Type Chart'!$C$2:$U$20,19,false)</f>
        <v>1</v>
      </c>
      <c r="AM2043" s="1145" t="s">
        <v>1267</v>
      </c>
      <c r="AN2043" s="1202" t="s">
        <v>1192</v>
      </c>
      <c r="AO2043" s="1146" t="s">
        <v>1636</v>
      </c>
      <c r="AP2043" s="936"/>
      <c r="AQ2043" s="1245"/>
      <c r="AR2043" s="1245"/>
      <c r="AS2043" s="936"/>
    </row>
    <row r="2044" ht="15.75" customHeight="1">
      <c r="A2044" s="1099"/>
      <c r="B2044" s="948" t="s">
        <v>3177</v>
      </c>
      <c r="C2044" s="1197" t="s">
        <v>3178</v>
      </c>
      <c r="D2044" s="1197" t="s">
        <v>3178</v>
      </c>
      <c r="E2044" s="1147" t="s">
        <v>3178</v>
      </c>
      <c r="F2044" s="940"/>
      <c r="G2044" s="953"/>
      <c r="H2044" s="969"/>
      <c r="I2044" s="998" t="s">
        <v>214</v>
      </c>
      <c r="J2044" s="1195" t="s">
        <v>193</v>
      </c>
      <c r="K2044" s="1206" t="s">
        <v>82</v>
      </c>
      <c r="L2044" s="959">
        <v>65.0</v>
      </c>
      <c r="M2044" s="960">
        <v>125.0</v>
      </c>
      <c r="N2044" s="960">
        <v>100.0</v>
      </c>
      <c r="O2044" s="960">
        <v>60.0</v>
      </c>
      <c r="P2044" s="960">
        <v>70.0</v>
      </c>
      <c r="Q2044" s="960">
        <v>70.0</v>
      </c>
      <c r="R2044" s="960">
        <v>176.0</v>
      </c>
      <c r="S2044" s="960">
        <v>239.0</v>
      </c>
      <c r="T2044" s="960">
        <v>262.0</v>
      </c>
      <c r="U2044" s="960">
        <f t="array" ref="U2044">HLOOKUP($J2044,'Type Chart'!$C$2:$T$20,2,false)*HLOOKUP($K2044,'Type Chart'!$C$2:$U$20,2,false)</f>
        <v>0.5</v>
      </c>
      <c r="V2044" s="960">
        <f t="array" ref="V2044">HLOOKUP($J2044,'Type Chart'!$C$2:$T$20,3,false)*HLOOKUP($K2044,'Type Chart'!$C$2:$U$20,3,false)</f>
        <v>4</v>
      </c>
      <c r="W2044" s="960">
        <f t="array" ref="W2044">HLOOKUP($J2044,'Type Chart'!$C$2:$T$20,4,false)*HLOOKUP($K2044,'Type Chart'!$C$2:$U$20,4,false)</f>
        <v>0.5</v>
      </c>
      <c r="X2044" s="960">
        <f t="array" ref="X2044">HLOOKUP($J2044,'Type Chart'!$C$2:$T$20,5,false)*HLOOKUP($K2044,'Type Chart'!$C$2:$U$20,5,false)</f>
        <v>0</v>
      </c>
      <c r="Y2044" s="960">
        <f t="array" ref="Y2044">HLOOKUP($J2044,'Type Chart'!$C$2:$T$20,6,false)*HLOOKUP($K2044,'Type Chart'!$C$2:$U$20,6,false)</f>
        <v>2</v>
      </c>
      <c r="Z2044" s="960">
        <f t="array" ref="Z2044">HLOOKUP($J2044,'Type Chart'!$C$2:$T$20,7,false)*HLOOKUP($K2044,'Type Chart'!$C$2:$U$20,7,false)</f>
        <v>0.5</v>
      </c>
      <c r="AA2044" s="960">
        <f t="array" ref="AA2044">HLOOKUP($J2044,'Type Chart'!$C$2:$T$20,8,false)*HLOOKUP($K2044,'Type Chart'!$C$2:$U$20,8,false)</f>
        <v>1</v>
      </c>
      <c r="AB2044" s="960">
        <f t="array" ref="AB2044">HLOOKUP($J2044,'Type Chart'!$C$2:$T$20,9,false)*HLOOKUP($K2044,'Type Chart'!$C$2:$U$20,9,false)</f>
        <v>0.5</v>
      </c>
      <c r="AC2044" s="960">
        <f t="array" ref="AC2044">HLOOKUP($J2044,'Type Chart'!$C$2:$T$20,10,false)*HLOOKUP($K2044,'Type Chart'!$C$2:$U$20,10,false)</f>
        <v>0.5</v>
      </c>
      <c r="AD2044" s="960">
        <f t="array" ref="AD2044">HLOOKUP($J2044,'Type Chart'!$C$2:$T$20,11,false)*HLOOKUP($K2044,'Type Chart'!$C$2:$U$20,11,false)</f>
        <v>2</v>
      </c>
      <c r="AE2044" s="960">
        <f t="array" ref="AE2044">HLOOKUP($J2044,'Type Chart'!$C$2:$T$20,12,false)*HLOOKUP($K2044,'Type Chart'!$C$2:$U$20,12,false)</f>
        <v>1</v>
      </c>
      <c r="AF2044" s="960">
        <f t="array" ref="AF2044">HLOOKUP($J2044,'Type Chart'!$C$2:$T$20,13,false)*HLOOKUP($K2044,'Type Chart'!$C$2:$U$20,13,false)</f>
        <v>0.5</v>
      </c>
      <c r="AG2044" s="960">
        <f t="array" ref="AG2044">HLOOKUP($J2044,'Type Chart'!$C$2:$T$20,14,false)*HLOOKUP($K2044,'Type Chart'!$C$2:$U$20,14,false)</f>
        <v>1</v>
      </c>
      <c r="AH2044" s="960">
        <f t="array" ref="AH2044">HLOOKUP($J2044,'Type Chart'!$C$2:$T$20,15,false)*HLOOKUP($K2044,'Type Chart'!$C$2:$U$20,15,false)</f>
        <v>0</v>
      </c>
      <c r="AI2044" s="960">
        <f t="array" ref="AI2044">HLOOKUP($J2044,'Type Chart'!$C$2:$T$20,16,false)*HLOOKUP($K2044,'Type Chart'!$C$2:$U$20,16,false)</f>
        <v>0.5</v>
      </c>
      <c r="AJ2044" s="960">
        <f t="array" ref="AJ2044">HLOOKUP($J2044,'Type Chart'!$C$2:$T$20,17,false)*HLOOKUP($K2044,'Type Chart'!$C$2:$U$20,17,false)</f>
        <v>0.5</v>
      </c>
      <c r="AK2044" s="960">
        <f t="array" ref="AK2044">HLOOKUP($J2044,'Type Chart'!$C$2:$T$20,18,false)*HLOOKUP($K2044,'Type Chart'!$C$2:$U$20,18,false)</f>
        <v>0.5</v>
      </c>
      <c r="AL2044" s="960">
        <f t="array" ref="AL2044">HLOOKUP($J2044,'Type Chart'!$C$2:$T$20,19,false)*HLOOKUP($K2044,'Type Chart'!$C$2:$U$20,19,false)</f>
        <v>1</v>
      </c>
      <c r="AM2044" s="964" t="s">
        <v>1267</v>
      </c>
      <c r="AN2044" s="965" t="s">
        <v>1192</v>
      </c>
      <c r="AO2044" s="966" t="s">
        <v>1636</v>
      </c>
      <c r="AP2044" s="936"/>
      <c r="AQ2044" s="1245"/>
      <c r="AR2044" s="1245"/>
      <c r="AS2044" s="936"/>
    </row>
    <row r="2045" ht="15.75" customHeight="1">
      <c r="A2045" s="1099"/>
      <c r="B2045" s="948" t="s">
        <v>3179</v>
      </c>
      <c r="C2045" s="1197" t="s">
        <v>3180</v>
      </c>
      <c r="D2045" s="1197" t="s">
        <v>3180</v>
      </c>
      <c r="E2045" s="1147" t="s">
        <v>3180</v>
      </c>
      <c r="F2045" s="940"/>
      <c r="G2045" s="953"/>
      <c r="H2045" s="969"/>
      <c r="I2045" s="998" t="s">
        <v>5145</v>
      </c>
      <c r="J2045" s="1194" t="s">
        <v>136</v>
      </c>
      <c r="K2045" s="984" t="s">
        <v>216</v>
      </c>
      <c r="L2045" s="959">
        <v>95.0</v>
      </c>
      <c r="M2045" s="960">
        <v>110.0</v>
      </c>
      <c r="N2045" s="960">
        <v>95.0</v>
      </c>
      <c r="O2045" s="960">
        <v>40.0</v>
      </c>
      <c r="P2045" s="960">
        <v>95.0</v>
      </c>
      <c r="Q2045" s="960">
        <v>55.0</v>
      </c>
      <c r="R2045" s="960">
        <v>146.0</v>
      </c>
      <c r="S2045" s="960">
        <v>209.0</v>
      </c>
      <c r="T2045" s="960">
        <v>229.0</v>
      </c>
      <c r="U2045" s="960">
        <f t="array" ref="U2045">HLOOKUP($J2045,'Type Chart'!$C$2:$T$20,2,false)*HLOOKUP($K2045,'Type Chart'!$C$2:$U$20,2,false)</f>
        <v>1</v>
      </c>
      <c r="V2045" s="960">
        <f t="array" ref="V2045">HLOOKUP($J2045,'Type Chart'!$C$2:$T$20,3,false)*HLOOKUP($K2045,'Type Chart'!$C$2:$U$20,3,false)</f>
        <v>2</v>
      </c>
      <c r="W2045" s="960">
        <f t="array" ref="W2045">HLOOKUP($J2045,'Type Chart'!$C$2:$T$20,4,false)*HLOOKUP($K2045,'Type Chart'!$C$2:$U$20,4,false)</f>
        <v>1</v>
      </c>
      <c r="X2045" s="960">
        <f t="array" ref="X2045">HLOOKUP($J2045,'Type Chart'!$C$2:$T$20,5,false)*HLOOKUP($K2045,'Type Chart'!$C$2:$U$20,5,false)</f>
        <v>1</v>
      </c>
      <c r="Y2045" s="960">
        <f t="array" ref="Y2045">HLOOKUP($J2045,'Type Chart'!$C$2:$T$20,6,false)*HLOOKUP($K2045,'Type Chart'!$C$2:$U$20,6,false)</f>
        <v>1</v>
      </c>
      <c r="Z2045" s="960">
        <f t="array" ref="Z2045">HLOOKUP($J2045,'Type Chart'!$C$2:$T$20,7,false)*HLOOKUP($K2045,'Type Chart'!$C$2:$U$20,7,false)</f>
        <v>1</v>
      </c>
      <c r="AA2045" s="960">
        <f t="array" ref="AA2045">HLOOKUP($J2045,'Type Chart'!$C$2:$T$20,8,false)*HLOOKUP($K2045,'Type Chart'!$C$2:$U$20,8,false)</f>
        <v>1</v>
      </c>
      <c r="AB2045" s="960">
        <f t="array" ref="AB2045">HLOOKUP($J2045,'Type Chart'!$C$2:$T$20,9,false)*HLOOKUP($K2045,'Type Chart'!$C$2:$U$20,9,false)</f>
        <v>0</v>
      </c>
      <c r="AC2045" s="960">
        <f t="array" ref="AC2045">HLOOKUP($J2045,'Type Chart'!$C$2:$T$20,10,false)*HLOOKUP($K2045,'Type Chart'!$C$2:$U$20,10,false)</f>
        <v>1</v>
      </c>
      <c r="AD2045" s="960">
        <f t="array" ref="AD2045">HLOOKUP($J2045,'Type Chart'!$C$2:$T$20,11,false)*HLOOKUP($K2045,'Type Chart'!$C$2:$U$20,11,false)</f>
        <v>1</v>
      </c>
      <c r="AE2045" s="960">
        <f t="array" ref="AE2045">HLOOKUP($J2045,'Type Chart'!$C$2:$T$20,12,false)*HLOOKUP($K2045,'Type Chart'!$C$2:$U$20,12,false)</f>
        <v>1</v>
      </c>
      <c r="AF2045" s="960">
        <f t="array" ref="AF2045">HLOOKUP($J2045,'Type Chart'!$C$2:$T$20,13,false)*HLOOKUP($K2045,'Type Chart'!$C$2:$U$20,13,false)</f>
        <v>1</v>
      </c>
      <c r="AG2045" s="960">
        <f t="array" ref="AG2045">HLOOKUP($J2045,'Type Chart'!$C$2:$T$20,14,false)*HLOOKUP($K2045,'Type Chart'!$C$2:$U$20,14,false)</f>
        <v>1</v>
      </c>
      <c r="AH2045" s="960">
        <f t="array" ref="AH2045">HLOOKUP($J2045,'Type Chart'!$C$2:$T$20,15,false)*HLOOKUP($K2045,'Type Chart'!$C$2:$U$20,15,false)</f>
        <v>1</v>
      </c>
      <c r="AI2045" s="960">
        <f t="array" ref="AI2045">HLOOKUP($J2045,'Type Chart'!$C$2:$T$20,16,false)*HLOOKUP($K2045,'Type Chart'!$C$2:$U$20,16,false)</f>
        <v>1</v>
      </c>
      <c r="AJ2045" s="960">
        <f t="array" ref="AJ2045">HLOOKUP($J2045,'Type Chart'!$C$2:$T$20,17,false)*HLOOKUP($K2045,'Type Chart'!$C$2:$U$20,17,false)</f>
        <v>1</v>
      </c>
      <c r="AK2045" s="960">
        <f t="array" ref="AK2045">HLOOKUP($J2045,'Type Chart'!$C$2:$T$20,18,false)*HLOOKUP($K2045,'Type Chart'!$C$2:$U$20,18,false)</f>
        <v>1</v>
      </c>
      <c r="AL2045" s="960">
        <f t="array" ref="AL2045">HLOOKUP($J2045,'Type Chart'!$C$2:$T$20,19,false)*HLOOKUP($K2045,'Type Chart'!$C$2:$U$20,19,false)</f>
        <v>1</v>
      </c>
      <c r="AM2045" s="964" t="s">
        <v>1497</v>
      </c>
      <c r="AN2045" s="965" t="s">
        <v>1772</v>
      </c>
      <c r="AO2045" s="966" t="s">
        <v>1468</v>
      </c>
      <c r="AP2045" s="936"/>
      <c r="AQ2045" s="1245"/>
      <c r="AR2045" s="1245"/>
      <c r="AS2045" s="936"/>
    </row>
    <row r="2046" ht="15.75" customHeight="1">
      <c r="A2046" s="1099"/>
      <c r="B2046" s="948" t="s">
        <v>3182</v>
      </c>
      <c r="C2046" s="1197" t="s">
        <v>3183</v>
      </c>
      <c r="D2046" s="1197" t="s">
        <v>3183</v>
      </c>
      <c r="E2046" s="1147" t="s">
        <v>3183</v>
      </c>
      <c r="F2046" s="940"/>
      <c r="G2046" s="953"/>
      <c r="H2046" s="969"/>
      <c r="I2046" s="998" t="s">
        <v>5146</v>
      </c>
      <c r="J2046" s="1194" t="s">
        <v>136</v>
      </c>
      <c r="K2046" s="1001" t="s">
        <v>128</v>
      </c>
      <c r="L2046" s="959">
        <v>70.0</v>
      </c>
      <c r="M2046" s="960">
        <v>83.0</v>
      </c>
      <c r="N2046" s="960">
        <v>50.0</v>
      </c>
      <c r="O2046" s="960">
        <v>37.0</v>
      </c>
      <c r="P2046" s="960">
        <v>50.0</v>
      </c>
      <c r="Q2046" s="960">
        <v>60.0</v>
      </c>
      <c r="R2046" s="960">
        <v>156.0</v>
      </c>
      <c r="S2046" s="960">
        <v>219.0</v>
      </c>
      <c r="T2046" s="960">
        <v>240.0</v>
      </c>
      <c r="U2046" s="960">
        <f t="array" ref="U2046">HLOOKUP($J2046,'Type Chart'!$C$2:$T$20,2,false)*HLOOKUP($K2046,'Type Chart'!$C$2:$U$20,2,false)</f>
        <v>1</v>
      </c>
      <c r="V2046" s="960">
        <f t="array" ref="V2046">HLOOKUP($J2046,'Type Chart'!$C$2:$T$20,3,false)*HLOOKUP($K2046,'Type Chart'!$C$2:$U$20,3,false)</f>
        <v>1</v>
      </c>
      <c r="W2046" s="960">
        <f t="array" ref="W2046">HLOOKUP($J2046,'Type Chart'!$C$2:$T$20,4,false)*HLOOKUP($K2046,'Type Chart'!$C$2:$U$20,4,false)</f>
        <v>1</v>
      </c>
      <c r="X2046" s="960">
        <f t="array" ref="X2046">HLOOKUP($J2046,'Type Chart'!$C$2:$T$20,5,false)*HLOOKUP($K2046,'Type Chart'!$C$2:$U$20,5,false)</f>
        <v>1</v>
      </c>
      <c r="Y2046" s="960">
        <f t="array" ref="Y2046">HLOOKUP($J2046,'Type Chart'!$C$2:$T$20,6,false)*HLOOKUP($K2046,'Type Chart'!$C$2:$U$20,6,false)</f>
        <v>0</v>
      </c>
      <c r="Z2046" s="960">
        <f t="array" ref="Z2046">HLOOKUP($J2046,'Type Chart'!$C$2:$T$20,7,false)*HLOOKUP($K2046,'Type Chart'!$C$2:$U$20,7,false)</f>
        <v>2</v>
      </c>
      <c r="AA2046" s="960">
        <f t="array" ref="AA2046">HLOOKUP($J2046,'Type Chart'!$C$2:$T$20,8,false)*HLOOKUP($K2046,'Type Chart'!$C$2:$U$20,8,false)</f>
        <v>0.5</v>
      </c>
      <c r="AB2046" s="960">
        <f t="array" ref="AB2046">HLOOKUP($J2046,'Type Chart'!$C$2:$T$20,9,false)*HLOOKUP($K2046,'Type Chart'!$C$2:$U$20,9,false)</f>
        <v>0</v>
      </c>
      <c r="AC2046" s="960">
        <f t="array" ref="AC2046">HLOOKUP($J2046,'Type Chart'!$C$2:$T$20,10,false)*HLOOKUP($K2046,'Type Chart'!$C$2:$U$20,10,false)</f>
        <v>1</v>
      </c>
      <c r="AD2046" s="960">
        <f t="array" ref="AD2046">HLOOKUP($J2046,'Type Chart'!$C$2:$T$20,11,false)*HLOOKUP($K2046,'Type Chart'!$C$2:$U$20,11,false)</f>
        <v>1</v>
      </c>
      <c r="AE2046" s="960">
        <f t="array" ref="AE2046">HLOOKUP($J2046,'Type Chart'!$C$2:$T$20,12,false)*HLOOKUP($K2046,'Type Chart'!$C$2:$U$20,12,false)</f>
        <v>1</v>
      </c>
      <c r="AF2046" s="960">
        <f t="array" ref="AF2046">HLOOKUP($J2046,'Type Chart'!$C$2:$T$20,13,false)*HLOOKUP($K2046,'Type Chart'!$C$2:$U$20,13,false)</f>
        <v>0.5</v>
      </c>
      <c r="AG2046" s="960">
        <f t="array" ref="AG2046">HLOOKUP($J2046,'Type Chart'!$C$2:$T$20,14,false)*HLOOKUP($K2046,'Type Chart'!$C$2:$U$20,14,false)</f>
        <v>2</v>
      </c>
      <c r="AH2046" s="960">
        <f t="array" ref="AH2046">HLOOKUP($J2046,'Type Chart'!$C$2:$T$20,15,false)*HLOOKUP($K2046,'Type Chart'!$C$2:$U$20,15,false)</f>
        <v>1</v>
      </c>
      <c r="AI2046" s="960">
        <f t="array" ref="AI2046">HLOOKUP($J2046,'Type Chart'!$C$2:$T$20,16,false)*HLOOKUP($K2046,'Type Chart'!$C$2:$U$20,16,false)</f>
        <v>2</v>
      </c>
      <c r="AJ2046" s="960">
        <f t="array" ref="AJ2046">HLOOKUP($J2046,'Type Chart'!$C$2:$T$20,17,false)*HLOOKUP($K2046,'Type Chart'!$C$2:$U$20,17,false)</f>
        <v>1</v>
      </c>
      <c r="AK2046" s="960">
        <f t="array" ref="AK2046">HLOOKUP($J2046,'Type Chart'!$C$2:$T$20,18,false)*HLOOKUP($K2046,'Type Chart'!$C$2:$U$20,18,false)</f>
        <v>1</v>
      </c>
      <c r="AL2046" s="960">
        <f t="array" ref="AL2046">HLOOKUP($J2046,'Type Chart'!$C$2:$T$20,19,false)*HLOOKUP($K2046,'Type Chart'!$C$2:$U$20,19,false)</f>
        <v>1</v>
      </c>
      <c r="AM2046" s="964" t="s">
        <v>1022</v>
      </c>
      <c r="AN2046" s="965" t="s">
        <v>1153</v>
      </c>
      <c r="AO2046" s="966" t="s">
        <v>1039</v>
      </c>
      <c r="AP2046" s="936"/>
      <c r="AQ2046" s="1245"/>
      <c r="AR2046" s="1245"/>
      <c r="AS2046" s="936"/>
    </row>
    <row r="2047" ht="15.75" customHeight="1">
      <c r="A2047" s="1099"/>
      <c r="B2047" s="948" t="s">
        <v>3184</v>
      </c>
      <c r="C2047" s="1197" t="s">
        <v>3185</v>
      </c>
      <c r="D2047" s="1197" t="s">
        <v>3185</v>
      </c>
      <c r="E2047" s="1147" t="s">
        <v>3185</v>
      </c>
      <c r="F2047" s="940"/>
      <c r="G2047" s="953"/>
      <c r="H2047" s="969"/>
      <c r="I2047" s="998" t="s">
        <v>5147</v>
      </c>
      <c r="J2047" s="1194" t="s">
        <v>136</v>
      </c>
      <c r="K2047" s="1001" t="s">
        <v>128</v>
      </c>
      <c r="L2047" s="959">
        <v>100.0</v>
      </c>
      <c r="M2047" s="960">
        <v>123.0</v>
      </c>
      <c r="N2047" s="960">
        <v>75.0</v>
      </c>
      <c r="O2047" s="960">
        <v>57.0</v>
      </c>
      <c r="P2047" s="960">
        <v>75.0</v>
      </c>
      <c r="Q2047" s="960">
        <v>80.0</v>
      </c>
      <c r="R2047" s="960">
        <v>196.0</v>
      </c>
      <c r="S2047" s="960">
        <v>259.0</v>
      </c>
      <c r="T2047" s="960">
        <v>284.0</v>
      </c>
      <c r="U2047" s="960">
        <f t="array" ref="U2047">HLOOKUP($J2047,'Type Chart'!$C$2:$T$20,2,false)*HLOOKUP($K2047,'Type Chart'!$C$2:$U$20,2,false)</f>
        <v>1</v>
      </c>
      <c r="V2047" s="960">
        <f t="array" ref="V2047">HLOOKUP($J2047,'Type Chart'!$C$2:$T$20,3,false)*HLOOKUP($K2047,'Type Chart'!$C$2:$U$20,3,false)</f>
        <v>1</v>
      </c>
      <c r="W2047" s="960">
        <f t="array" ref="W2047">HLOOKUP($J2047,'Type Chart'!$C$2:$T$20,4,false)*HLOOKUP($K2047,'Type Chart'!$C$2:$U$20,4,false)</f>
        <v>1</v>
      </c>
      <c r="X2047" s="960">
        <f t="array" ref="X2047">HLOOKUP($J2047,'Type Chart'!$C$2:$T$20,5,false)*HLOOKUP($K2047,'Type Chart'!$C$2:$U$20,5,false)</f>
        <v>1</v>
      </c>
      <c r="Y2047" s="960">
        <f t="array" ref="Y2047">HLOOKUP($J2047,'Type Chart'!$C$2:$T$20,6,false)*HLOOKUP($K2047,'Type Chart'!$C$2:$U$20,6,false)</f>
        <v>0</v>
      </c>
      <c r="Z2047" s="960">
        <f t="array" ref="Z2047">HLOOKUP($J2047,'Type Chart'!$C$2:$T$20,7,false)*HLOOKUP($K2047,'Type Chart'!$C$2:$U$20,7,false)</f>
        <v>2</v>
      </c>
      <c r="AA2047" s="960">
        <f t="array" ref="AA2047">HLOOKUP($J2047,'Type Chart'!$C$2:$T$20,8,false)*HLOOKUP($K2047,'Type Chart'!$C$2:$U$20,8,false)</f>
        <v>0.5</v>
      </c>
      <c r="AB2047" s="960">
        <f t="array" ref="AB2047">HLOOKUP($J2047,'Type Chart'!$C$2:$T$20,9,false)*HLOOKUP($K2047,'Type Chart'!$C$2:$U$20,9,false)</f>
        <v>0</v>
      </c>
      <c r="AC2047" s="960">
        <f t="array" ref="AC2047">HLOOKUP($J2047,'Type Chart'!$C$2:$T$20,10,false)*HLOOKUP($K2047,'Type Chart'!$C$2:$U$20,10,false)</f>
        <v>1</v>
      </c>
      <c r="AD2047" s="960">
        <f t="array" ref="AD2047">HLOOKUP($J2047,'Type Chart'!$C$2:$T$20,11,false)*HLOOKUP($K2047,'Type Chart'!$C$2:$U$20,11,false)</f>
        <v>1</v>
      </c>
      <c r="AE2047" s="960">
        <f t="array" ref="AE2047">HLOOKUP($J2047,'Type Chart'!$C$2:$T$20,12,false)*HLOOKUP($K2047,'Type Chart'!$C$2:$U$20,12,false)</f>
        <v>1</v>
      </c>
      <c r="AF2047" s="960">
        <f t="array" ref="AF2047">HLOOKUP($J2047,'Type Chart'!$C$2:$T$20,13,false)*HLOOKUP($K2047,'Type Chart'!$C$2:$U$20,13,false)</f>
        <v>0.5</v>
      </c>
      <c r="AG2047" s="960">
        <f t="array" ref="AG2047">HLOOKUP($J2047,'Type Chart'!$C$2:$T$20,14,false)*HLOOKUP($K2047,'Type Chart'!$C$2:$U$20,14,false)</f>
        <v>2</v>
      </c>
      <c r="AH2047" s="960">
        <f t="array" ref="AH2047">HLOOKUP($J2047,'Type Chart'!$C$2:$T$20,15,false)*HLOOKUP($K2047,'Type Chart'!$C$2:$U$20,15,false)</f>
        <v>1</v>
      </c>
      <c r="AI2047" s="960">
        <f t="array" ref="AI2047">HLOOKUP($J2047,'Type Chart'!$C$2:$T$20,16,false)*HLOOKUP($K2047,'Type Chart'!$C$2:$U$20,16,false)</f>
        <v>2</v>
      </c>
      <c r="AJ2047" s="960">
        <f t="array" ref="AJ2047">HLOOKUP($J2047,'Type Chart'!$C$2:$T$20,17,false)*HLOOKUP($K2047,'Type Chart'!$C$2:$U$20,17,false)</f>
        <v>1</v>
      </c>
      <c r="AK2047" s="960">
        <f t="array" ref="AK2047">HLOOKUP($J2047,'Type Chart'!$C$2:$T$20,18,false)*HLOOKUP($K2047,'Type Chart'!$C$2:$U$20,18,false)</f>
        <v>1</v>
      </c>
      <c r="AL2047" s="960">
        <f t="array" ref="AL2047">HLOOKUP($J2047,'Type Chart'!$C$2:$T$20,19,false)*HLOOKUP($K2047,'Type Chart'!$C$2:$U$20,19,false)</f>
        <v>1</v>
      </c>
      <c r="AM2047" s="964" t="s">
        <v>1022</v>
      </c>
      <c r="AN2047" s="965" t="s">
        <v>1153</v>
      </c>
      <c r="AO2047" s="966" t="s">
        <v>1267</v>
      </c>
      <c r="AP2047" s="936"/>
      <c r="AQ2047" s="1245"/>
      <c r="AR2047" s="1245"/>
      <c r="AS2047" s="936"/>
    </row>
    <row r="2048" ht="15.75" customHeight="1">
      <c r="A2048" s="1099"/>
      <c r="B2048" s="948" t="s">
        <v>3186</v>
      </c>
      <c r="C2048" s="1197" t="s">
        <v>5148</v>
      </c>
      <c r="D2048" s="1197" t="s">
        <v>5148</v>
      </c>
      <c r="E2048" s="1147" t="s">
        <v>5148</v>
      </c>
      <c r="F2048" s="940"/>
      <c r="G2048" s="953"/>
      <c r="H2048" s="969"/>
      <c r="I2048" s="998" t="s">
        <v>5149</v>
      </c>
      <c r="J2048" s="1215" t="s">
        <v>344</v>
      </c>
      <c r="K2048" s="1210" t="s">
        <v>128</v>
      </c>
      <c r="L2048" s="1200">
        <v>110.0</v>
      </c>
      <c r="M2048" s="1201">
        <v>83.0</v>
      </c>
      <c r="N2048" s="1201">
        <v>70.0</v>
      </c>
      <c r="O2048" s="1201">
        <v>112.0</v>
      </c>
      <c r="P2048" s="1201">
        <v>70.0</v>
      </c>
      <c r="Q2048" s="1201">
        <v>65.0</v>
      </c>
      <c r="R2048" s="960">
        <v>166.0</v>
      </c>
      <c r="S2048" s="960">
        <v>229.0</v>
      </c>
      <c r="T2048" s="960">
        <v>251.0</v>
      </c>
      <c r="U2048" s="960">
        <f t="array" ref="U2048">HLOOKUP($J2048,'Type Chart'!$C$2:$T$20,2,false)*HLOOKUP($K2048,'Type Chart'!$C$2:$U$20,2,false)</f>
        <v>1</v>
      </c>
      <c r="V2048" s="960">
        <f t="array" ref="V2048">HLOOKUP($J2048,'Type Chart'!$C$2:$T$20,3,false)*HLOOKUP($K2048,'Type Chart'!$C$2:$U$20,3,false)</f>
        <v>0.25</v>
      </c>
      <c r="W2048" s="960">
        <f t="array" ref="W2048">HLOOKUP($J2048,'Type Chart'!$C$2:$T$20,4,false)*HLOOKUP($K2048,'Type Chart'!$C$2:$U$20,4,false)</f>
        <v>1</v>
      </c>
      <c r="X2048" s="960">
        <f t="array" ref="X2048">HLOOKUP($J2048,'Type Chart'!$C$2:$T$20,5,false)*HLOOKUP($K2048,'Type Chart'!$C$2:$U$20,5,false)</f>
        <v>1</v>
      </c>
      <c r="Y2048" s="960">
        <f t="array" ref="Y2048">HLOOKUP($J2048,'Type Chart'!$C$2:$T$20,6,false)*HLOOKUP($K2048,'Type Chart'!$C$2:$U$20,6,false)</f>
        <v>0</v>
      </c>
      <c r="Z2048" s="960">
        <f t="array" ref="Z2048">HLOOKUP($J2048,'Type Chart'!$C$2:$T$20,7,false)*HLOOKUP($K2048,'Type Chart'!$C$2:$U$20,7,false)</f>
        <v>2</v>
      </c>
      <c r="AA2048" s="960">
        <f t="array" ref="AA2048">HLOOKUP($J2048,'Type Chart'!$C$2:$T$20,8,false)*HLOOKUP($K2048,'Type Chart'!$C$2:$U$20,8,false)</f>
        <v>1</v>
      </c>
      <c r="AB2048" s="960">
        <f t="array" ref="AB2048">HLOOKUP($J2048,'Type Chart'!$C$2:$T$20,9,false)*HLOOKUP($K2048,'Type Chart'!$C$2:$U$20,9,false)</f>
        <v>2</v>
      </c>
      <c r="AC2048" s="960">
        <f t="array" ref="AC2048">HLOOKUP($J2048,'Type Chart'!$C$2:$T$20,10,false)*HLOOKUP($K2048,'Type Chart'!$C$2:$U$20,10,false)</f>
        <v>1</v>
      </c>
      <c r="AD2048" s="960">
        <f t="array" ref="AD2048">HLOOKUP($J2048,'Type Chart'!$C$2:$T$20,11,false)*HLOOKUP($K2048,'Type Chart'!$C$2:$U$20,11,false)</f>
        <v>1</v>
      </c>
      <c r="AE2048" s="960">
        <f t="array" ref="AE2048">HLOOKUP($J2048,'Type Chart'!$C$2:$T$20,12,false)*HLOOKUP($K2048,'Type Chart'!$C$2:$U$20,12,false)</f>
        <v>1</v>
      </c>
      <c r="AF2048" s="960">
        <f t="array" ref="AF2048">HLOOKUP($J2048,'Type Chart'!$C$2:$T$20,13,false)*HLOOKUP($K2048,'Type Chart'!$C$2:$U$20,13,false)</f>
        <v>0.5</v>
      </c>
      <c r="AG2048" s="960">
        <f t="array" ref="AG2048">HLOOKUP($J2048,'Type Chart'!$C$2:$T$20,14,false)*HLOOKUP($K2048,'Type Chart'!$C$2:$U$20,14,false)</f>
        <v>2</v>
      </c>
      <c r="AH2048" s="960">
        <f t="array" ref="AH2048">HLOOKUP($J2048,'Type Chart'!$C$2:$T$20,15,false)*HLOOKUP($K2048,'Type Chart'!$C$2:$U$20,15,false)</f>
        <v>0.5</v>
      </c>
      <c r="AI2048" s="960">
        <f t="array" ref="AI2048">HLOOKUP($J2048,'Type Chart'!$C$2:$T$20,16,false)*HLOOKUP($K2048,'Type Chart'!$C$2:$U$20,16,false)</f>
        <v>2</v>
      </c>
      <c r="AJ2048" s="960">
        <f t="array" ref="AJ2048">HLOOKUP($J2048,'Type Chart'!$C$2:$T$20,17,false)*HLOOKUP($K2048,'Type Chart'!$C$2:$U$20,17,false)</f>
        <v>1</v>
      </c>
      <c r="AK2048" s="960">
        <f t="array" ref="AK2048">HLOOKUP($J2048,'Type Chart'!$C$2:$T$20,18,false)*HLOOKUP($K2048,'Type Chart'!$C$2:$U$20,18,false)</f>
        <v>2</v>
      </c>
      <c r="AL2048" s="960">
        <f t="array" ref="AL2048">HLOOKUP($J2048,'Type Chart'!$C$2:$T$20,19,false)*HLOOKUP($K2048,'Type Chart'!$C$2:$U$20,19,false)</f>
        <v>1</v>
      </c>
      <c r="AM2048" s="1145" t="s">
        <v>1022</v>
      </c>
      <c r="AN2048" s="965" t="s">
        <v>1153</v>
      </c>
      <c r="AO2048" s="1146" t="s">
        <v>1003</v>
      </c>
      <c r="AP2048" s="936"/>
      <c r="AQ2048" s="1245"/>
      <c r="AR2048" s="1245"/>
      <c r="AS2048" s="936"/>
    </row>
    <row r="2049" ht="15.75" customHeight="1">
      <c r="A2049" s="1099"/>
      <c r="B2049" s="948" t="s">
        <v>3187</v>
      </c>
      <c r="C2049" s="1197" t="s">
        <v>3188</v>
      </c>
      <c r="D2049" s="1197" t="s">
        <v>3188</v>
      </c>
      <c r="E2049" s="1147" t="s">
        <v>3188</v>
      </c>
      <c r="F2049" s="940"/>
      <c r="G2049" s="953"/>
      <c r="H2049" s="969"/>
      <c r="I2049" s="998" t="s">
        <v>5150</v>
      </c>
      <c r="J2049" s="1195" t="s">
        <v>193</v>
      </c>
      <c r="K2049" s="1001" t="s">
        <v>128</v>
      </c>
      <c r="L2049" s="959">
        <v>70.0</v>
      </c>
      <c r="M2049" s="960">
        <v>55.0</v>
      </c>
      <c r="N2049" s="960">
        <v>75.0</v>
      </c>
      <c r="O2049" s="960">
        <v>45.0</v>
      </c>
      <c r="P2049" s="960">
        <v>65.0</v>
      </c>
      <c r="Q2049" s="960">
        <v>60.0</v>
      </c>
      <c r="R2049" s="960">
        <v>156.0</v>
      </c>
      <c r="S2049" s="960">
        <v>219.0</v>
      </c>
      <c r="T2049" s="960">
        <v>240.0</v>
      </c>
      <c r="U2049" s="960">
        <f t="array" ref="U2049">HLOOKUP($J2049,'Type Chart'!$C$2:$T$20,2,false)*HLOOKUP($K2049,'Type Chart'!$C$2:$U$20,2,false)</f>
        <v>1</v>
      </c>
      <c r="V2049" s="960">
        <f t="array" ref="V2049">HLOOKUP($J2049,'Type Chart'!$C$2:$T$20,3,false)*HLOOKUP($K2049,'Type Chart'!$C$2:$U$20,3,false)</f>
        <v>1</v>
      </c>
      <c r="W2049" s="960">
        <f t="array" ref="W2049">HLOOKUP($J2049,'Type Chart'!$C$2:$T$20,4,false)*HLOOKUP($K2049,'Type Chart'!$C$2:$U$20,4,false)</f>
        <v>1</v>
      </c>
      <c r="X2049" s="960">
        <f t="array" ref="X2049">HLOOKUP($J2049,'Type Chart'!$C$2:$T$20,5,false)*HLOOKUP($K2049,'Type Chart'!$C$2:$U$20,5,false)</f>
        <v>1</v>
      </c>
      <c r="Y2049" s="960">
        <f t="array" ref="Y2049">HLOOKUP($J2049,'Type Chart'!$C$2:$T$20,6,false)*HLOOKUP($K2049,'Type Chart'!$C$2:$U$20,6,false)</f>
        <v>0</v>
      </c>
      <c r="Z2049" s="960">
        <f t="array" ref="Z2049">HLOOKUP($J2049,'Type Chart'!$C$2:$T$20,7,false)*HLOOKUP($K2049,'Type Chart'!$C$2:$U$20,7,false)</f>
        <v>2</v>
      </c>
      <c r="AA2049" s="960">
        <f t="array" ref="AA2049">HLOOKUP($J2049,'Type Chart'!$C$2:$T$20,8,false)*HLOOKUP($K2049,'Type Chart'!$C$2:$U$20,8,false)</f>
        <v>1</v>
      </c>
      <c r="AB2049" s="960">
        <f t="array" ref="AB2049">HLOOKUP($J2049,'Type Chart'!$C$2:$T$20,9,false)*HLOOKUP($K2049,'Type Chart'!$C$2:$U$20,9,false)</f>
        <v>0.5</v>
      </c>
      <c r="AC2049" s="960">
        <f t="array" ref="AC2049">HLOOKUP($J2049,'Type Chart'!$C$2:$T$20,10,false)*HLOOKUP($K2049,'Type Chart'!$C$2:$U$20,10,false)</f>
        <v>1</v>
      </c>
      <c r="AD2049" s="960">
        <f t="array" ref="AD2049">HLOOKUP($J2049,'Type Chart'!$C$2:$T$20,11,false)*HLOOKUP($K2049,'Type Chart'!$C$2:$U$20,11,false)</f>
        <v>1</v>
      </c>
      <c r="AE2049" s="960">
        <f t="array" ref="AE2049">HLOOKUP($J2049,'Type Chart'!$C$2:$T$20,12,false)*HLOOKUP($K2049,'Type Chart'!$C$2:$U$20,12,false)</f>
        <v>1</v>
      </c>
      <c r="AF2049" s="960">
        <f t="array" ref="AF2049">HLOOKUP($J2049,'Type Chart'!$C$2:$T$20,13,false)*HLOOKUP($K2049,'Type Chart'!$C$2:$U$20,13,false)</f>
        <v>0.5</v>
      </c>
      <c r="AG2049" s="960">
        <f t="array" ref="AG2049">HLOOKUP($J2049,'Type Chart'!$C$2:$T$20,14,false)*HLOOKUP($K2049,'Type Chart'!$C$2:$U$20,14,false)</f>
        <v>2</v>
      </c>
      <c r="AH2049" s="960">
        <f t="array" ref="AH2049">HLOOKUP($J2049,'Type Chart'!$C$2:$T$20,15,false)*HLOOKUP($K2049,'Type Chart'!$C$2:$U$20,15,false)</f>
        <v>0</v>
      </c>
      <c r="AI2049" s="960">
        <f t="array" ref="AI2049">HLOOKUP($J2049,'Type Chart'!$C$2:$T$20,16,false)*HLOOKUP($K2049,'Type Chart'!$C$2:$U$20,16,false)</f>
        <v>2</v>
      </c>
      <c r="AJ2049" s="960">
        <f t="array" ref="AJ2049">HLOOKUP($J2049,'Type Chart'!$C$2:$T$20,17,false)*HLOOKUP($K2049,'Type Chart'!$C$2:$U$20,17,false)</f>
        <v>1</v>
      </c>
      <c r="AK2049" s="960">
        <f t="array" ref="AK2049">HLOOKUP($J2049,'Type Chart'!$C$2:$T$20,18,false)*HLOOKUP($K2049,'Type Chart'!$C$2:$U$20,18,false)</f>
        <v>0.5</v>
      </c>
      <c r="AL2049" s="960">
        <f t="array" ref="AL2049">HLOOKUP($J2049,'Type Chart'!$C$2:$T$20,19,false)*HLOOKUP($K2049,'Type Chart'!$C$2:$U$20,19,false)</f>
        <v>2</v>
      </c>
      <c r="AM2049" s="964" t="s">
        <v>1024</v>
      </c>
      <c r="AN2049" s="965" t="s">
        <v>1431</v>
      </c>
      <c r="AO2049" s="966" t="s">
        <v>1450</v>
      </c>
      <c r="AP2049" s="936"/>
      <c r="AQ2049" s="1245"/>
      <c r="AR2049" s="1245"/>
      <c r="AS2049" s="936"/>
    </row>
    <row r="2050" ht="15.75" customHeight="1">
      <c r="A2050" s="1099"/>
      <c r="B2050" s="948" t="s">
        <v>3189</v>
      </c>
      <c r="C2050" s="1197" t="s">
        <v>3190</v>
      </c>
      <c r="D2050" s="1197" t="s">
        <v>3190</v>
      </c>
      <c r="E2050" s="1147" t="s">
        <v>3190</v>
      </c>
      <c r="F2050" s="940"/>
      <c r="G2050" s="953"/>
      <c r="H2050" s="969"/>
      <c r="I2050" s="998" t="s">
        <v>5151</v>
      </c>
      <c r="J2050" s="1229" t="s">
        <v>193</v>
      </c>
      <c r="K2050" s="1210" t="s">
        <v>128</v>
      </c>
      <c r="L2050" s="1200">
        <v>110.0</v>
      </c>
      <c r="M2050" s="1201">
        <v>65.0</v>
      </c>
      <c r="N2050" s="1201">
        <v>105.0</v>
      </c>
      <c r="O2050" s="1201">
        <v>55.0</v>
      </c>
      <c r="P2050" s="1201">
        <v>95.0</v>
      </c>
      <c r="Q2050" s="1201">
        <v>80.0</v>
      </c>
      <c r="R2050" s="960">
        <v>196.0</v>
      </c>
      <c r="S2050" s="960">
        <v>259.0</v>
      </c>
      <c r="T2050" s="960">
        <v>284.0</v>
      </c>
      <c r="U2050" s="960">
        <f t="array" ref="U2050">HLOOKUP($J2050,'Type Chart'!$C$2:$T$20,2,false)*HLOOKUP($K2050,'Type Chart'!$C$2:$U$20,2,false)</f>
        <v>1</v>
      </c>
      <c r="V2050" s="960">
        <f t="array" ref="V2050">HLOOKUP($J2050,'Type Chart'!$C$2:$T$20,3,false)*HLOOKUP($K2050,'Type Chart'!$C$2:$U$20,3,false)</f>
        <v>1</v>
      </c>
      <c r="W2050" s="960">
        <f t="array" ref="W2050">HLOOKUP($J2050,'Type Chart'!$C$2:$T$20,4,false)*HLOOKUP($K2050,'Type Chart'!$C$2:$U$20,4,false)</f>
        <v>1</v>
      </c>
      <c r="X2050" s="960">
        <f t="array" ref="X2050">HLOOKUP($J2050,'Type Chart'!$C$2:$T$20,5,false)*HLOOKUP($K2050,'Type Chart'!$C$2:$U$20,5,false)</f>
        <v>1</v>
      </c>
      <c r="Y2050" s="960">
        <f t="array" ref="Y2050">HLOOKUP($J2050,'Type Chart'!$C$2:$T$20,6,false)*HLOOKUP($K2050,'Type Chart'!$C$2:$U$20,6,false)</f>
        <v>0</v>
      </c>
      <c r="Z2050" s="960">
        <f t="array" ref="Z2050">HLOOKUP($J2050,'Type Chart'!$C$2:$T$20,7,false)*HLOOKUP($K2050,'Type Chart'!$C$2:$U$20,7,false)</f>
        <v>2</v>
      </c>
      <c r="AA2050" s="960">
        <f t="array" ref="AA2050">HLOOKUP($J2050,'Type Chart'!$C$2:$T$20,8,false)*HLOOKUP($K2050,'Type Chart'!$C$2:$U$20,8,false)</f>
        <v>1</v>
      </c>
      <c r="AB2050" s="960">
        <f t="array" ref="AB2050">HLOOKUP($J2050,'Type Chart'!$C$2:$T$20,9,false)*HLOOKUP($K2050,'Type Chart'!$C$2:$U$20,9,false)</f>
        <v>0.5</v>
      </c>
      <c r="AC2050" s="960">
        <f t="array" ref="AC2050">HLOOKUP($J2050,'Type Chart'!$C$2:$T$20,10,false)*HLOOKUP($K2050,'Type Chart'!$C$2:$U$20,10,false)</f>
        <v>1</v>
      </c>
      <c r="AD2050" s="960">
        <f t="array" ref="AD2050">HLOOKUP($J2050,'Type Chart'!$C$2:$T$20,11,false)*HLOOKUP($K2050,'Type Chart'!$C$2:$U$20,11,false)</f>
        <v>1</v>
      </c>
      <c r="AE2050" s="960">
        <f t="array" ref="AE2050">HLOOKUP($J2050,'Type Chart'!$C$2:$T$20,12,false)*HLOOKUP($K2050,'Type Chart'!$C$2:$U$20,12,false)</f>
        <v>1</v>
      </c>
      <c r="AF2050" s="960">
        <f t="array" ref="AF2050">HLOOKUP($J2050,'Type Chart'!$C$2:$T$20,13,false)*HLOOKUP($K2050,'Type Chart'!$C$2:$U$20,13,false)</f>
        <v>0.5</v>
      </c>
      <c r="AG2050" s="960">
        <f t="array" ref="AG2050">HLOOKUP($J2050,'Type Chart'!$C$2:$T$20,14,false)*HLOOKUP($K2050,'Type Chart'!$C$2:$U$20,14,false)</f>
        <v>2</v>
      </c>
      <c r="AH2050" s="960">
        <f t="array" ref="AH2050">HLOOKUP($J2050,'Type Chart'!$C$2:$T$20,15,false)*HLOOKUP($K2050,'Type Chart'!$C$2:$U$20,15,false)</f>
        <v>0</v>
      </c>
      <c r="AI2050" s="960">
        <f t="array" ref="AI2050">HLOOKUP($J2050,'Type Chart'!$C$2:$T$20,16,false)*HLOOKUP($K2050,'Type Chart'!$C$2:$U$20,16,false)</f>
        <v>2</v>
      </c>
      <c r="AJ2050" s="960">
        <f t="array" ref="AJ2050">HLOOKUP($J2050,'Type Chart'!$C$2:$T$20,17,false)*HLOOKUP($K2050,'Type Chart'!$C$2:$U$20,17,false)</f>
        <v>1</v>
      </c>
      <c r="AK2050" s="960">
        <f t="array" ref="AK2050">HLOOKUP($J2050,'Type Chart'!$C$2:$T$20,18,false)*HLOOKUP($K2050,'Type Chart'!$C$2:$U$20,18,false)</f>
        <v>0.5</v>
      </c>
      <c r="AL2050" s="960">
        <f t="array" ref="AL2050">HLOOKUP($J2050,'Type Chart'!$C$2:$T$20,19,false)*HLOOKUP($K2050,'Type Chart'!$C$2:$U$20,19,false)</f>
        <v>2</v>
      </c>
      <c r="AM2050" s="1145" t="s">
        <v>1024</v>
      </c>
      <c r="AN2050" s="1202" t="s">
        <v>1431</v>
      </c>
      <c r="AO2050" s="1146" t="s">
        <v>1450</v>
      </c>
      <c r="AP2050" s="936"/>
      <c r="AQ2050" s="1245"/>
      <c r="AR2050" s="1245"/>
      <c r="AS2050" s="936"/>
    </row>
    <row r="2051" ht="15.75" customHeight="1">
      <c r="A2051" s="1099"/>
      <c r="B2051" s="948" t="s">
        <v>3191</v>
      </c>
      <c r="C2051" s="1197" t="s">
        <v>3192</v>
      </c>
      <c r="D2051" s="1197" t="s">
        <v>3192</v>
      </c>
      <c r="E2051" s="1147" t="s">
        <v>3192</v>
      </c>
      <c r="F2051" s="940"/>
      <c r="G2051" s="953"/>
      <c r="H2051" s="969"/>
      <c r="I2051" s="998" t="s">
        <v>5152</v>
      </c>
      <c r="J2051" s="982" t="s">
        <v>150</v>
      </c>
      <c r="K2051" s="984" t="s">
        <v>216</v>
      </c>
      <c r="L2051" s="959">
        <v>85.0</v>
      </c>
      <c r="M2051" s="960">
        <v>97.0</v>
      </c>
      <c r="N2051" s="960">
        <v>66.0</v>
      </c>
      <c r="O2051" s="960">
        <v>105.0</v>
      </c>
      <c r="P2051" s="960">
        <v>66.0</v>
      </c>
      <c r="Q2051" s="960">
        <v>65.0</v>
      </c>
      <c r="R2051" s="960">
        <v>166.0</v>
      </c>
      <c r="S2051" s="960">
        <v>229.0</v>
      </c>
      <c r="T2051" s="960">
        <v>251.0</v>
      </c>
      <c r="U2051" s="960">
        <f t="array" ref="U2051">HLOOKUP($J2051,'Type Chart'!$C$2:$T$20,2,false)*HLOOKUP($K2051,'Type Chart'!$C$2:$U$20,2,false)</f>
        <v>1</v>
      </c>
      <c r="V2051" s="960">
        <f t="array" ref="V2051">HLOOKUP($J2051,'Type Chart'!$C$2:$T$20,3,false)*HLOOKUP($K2051,'Type Chart'!$C$2:$U$20,3,false)</f>
        <v>1</v>
      </c>
      <c r="W2051" s="960">
        <f t="array" ref="W2051">HLOOKUP($J2051,'Type Chart'!$C$2:$T$20,4,false)*HLOOKUP($K2051,'Type Chart'!$C$2:$U$20,4,false)</f>
        <v>1</v>
      </c>
      <c r="X2051" s="960">
        <f t="array" ref="X2051">HLOOKUP($J2051,'Type Chart'!$C$2:$T$20,5,false)*HLOOKUP($K2051,'Type Chart'!$C$2:$U$20,5,false)</f>
        <v>1</v>
      </c>
      <c r="Y2051" s="960">
        <f t="array" ref="Y2051">HLOOKUP($J2051,'Type Chart'!$C$2:$T$20,6,false)*HLOOKUP($K2051,'Type Chart'!$C$2:$U$20,6,false)</f>
        <v>2</v>
      </c>
      <c r="Z2051" s="960">
        <f t="array" ref="Z2051">HLOOKUP($J2051,'Type Chart'!$C$2:$T$20,7,false)*HLOOKUP($K2051,'Type Chart'!$C$2:$U$20,7,false)</f>
        <v>2</v>
      </c>
      <c r="AA2051" s="960">
        <f t="array" ref="AA2051">HLOOKUP($J2051,'Type Chart'!$C$2:$T$20,8,false)*HLOOKUP($K2051,'Type Chart'!$C$2:$U$20,8,false)</f>
        <v>0.5</v>
      </c>
      <c r="AB2051" s="960">
        <f t="array" ref="AB2051">HLOOKUP($J2051,'Type Chart'!$C$2:$T$20,9,false)*HLOOKUP($K2051,'Type Chart'!$C$2:$U$20,9,false)</f>
        <v>1</v>
      </c>
      <c r="AC2051" s="960">
        <f t="array" ref="AC2051">HLOOKUP($J2051,'Type Chart'!$C$2:$T$20,10,false)*HLOOKUP($K2051,'Type Chart'!$C$2:$U$20,10,false)</f>
        <v>0.5</v>
      </c>
      <c r="AD2051" s="960">
        <f t="array" ref="AD2051">HLOOKUP($J2051,'Type Chart'!$C$2:$T$20,11,false)*HLOOKUP($K2051,'Type Chart'!$C$2:$U$20,11,false)</f>
        <v>0.5</v>
      </c>
      <c r="AE2051" s="960">
        <f t="array" ref="AE2051">HLOOKUP($J2051,'Type Chart'!$C$2:$T$20,12,false)*HLOOKUP($K2051,'Type Chart'!$C$2:$U$20,12,false)</f>
        <v>2</v>
      </c>
      <c r="AF2051" s="960">
        <f t="array" ref="AF2051">HLOOKUP($J2051,'Type Chart'!$C$2:$T$20,13,false)*HLOOKUP($K2051,'Type Chart'!$C$2:$U$20,13,false)</f>
        <v>0.5</v>
      </c>
      <c r="AG2051" s="960">
        <f t="array" ref="AG2051">HLOOKUP($J2051,'Type Chart'!$C$2:$T$20,14,false)*HLOOKUP($K2051,'Type Chart'!$C$2:$U$20,14,false)</f>
        <v>1</v>
      </c>
      <c r="AH2051" s="960">
        <f t="array" ref="AH2051">HLOOKUP($J2051,'Type Chart'!$C$2:$T$20,15,false)*HLOOKUP($K2051,'Type Chart'!$C$2:$U$20,15,false)</f>
        <v>1</v>
      </c>
      <c r="AI2051" s="960">
        <f t="array" ref="AI2051">HLOOKUP($J2051,'Type Chart'!$C$2:$T$20,16,false)*HLOOKUP($K2051,'Type Chart'!$C$2:$U$20,16,false)</f>
        <v>0.5</v>
      </c>
      <c r="AJ2051" s="960">
        <f t="array" ref="AJ2051">HLOOKUP($J2051,'Type Chart'!$C$2:$T$20,17,false)*HLOOKUP($K2051,'Type Chart'!$C$2:$U$20,17,false)</f>
        <v>1</v>
      </c>
      <c r="AK2051" s="960">
        <f t="array" ref="AK2051">HLOOKUP($J2051,'Type Chart'!$C$2:$T$20,18,false)*HLOOKUP($K2051,'Type Chart'!$C$2:$U$20,18,false)</f>
        <v>1</v>
      </c>
      <c r="AL2051" s="960">
        <f t="array" ref="AL2051">HLOOKUP($J2051,'Type Chart'!$C$2:$T$20,19,false)*HLOOKUP($K2051,'Type Chart'!$C$2:$U$20,19,false)</f>
        <v>0.5</v>
      </c>
      <c r="AM2051" s="964" t="s">
        <v>1044</v>
      </c>
      <c r="AN2051" s="965" t="s">
        <v>1172</v>
      </c>
      <c r="AO2051" s="966" t="s">
        <v>2224</v>
      </c>
      <c r="AP2051" s="936"/>
      <c r="AQ2051" s="1245"/>
      <c r="AR2051" s="1245"/>
      <c r="AS2051" s="936"/>
    </row>
    <row r="2052" ht="15.75" customHeight="1">
      <c r="A2052" s="1099"/>
      <c r="B2052" s="948" t="s">
        <v>3194</v>
      </c>
      <c r="C2052" s="1197" t="s">
        <v>3195</v>
      </c>
      <c r="D2052" s="1197" t="s">
        <v>3195</v>
      </c>
      <c r="E2052" s="1147" t="s">
        <v>3195</v>
      </c>
      <c r="F2052" s="940"/>
      <c r="G2052" s="953"/>
      <c r="H2052" s="969"/>
      <c r="I2052" s="998" t="s">
        <v>5153</v>
      </c>
      <c r="J2052" s="1225" t="s">
        <v>343</v>
      </c>
      <c r="K2052" s="1233" t="s">
        <v>82</v>
      </c>
      <c r="L2052" s="1200">
        <v>58.0</v>
      </c>
      <c r="M2052" s="1201">
        <v>109.0</v>
      </c>
      <c r="N2052" s="1201">
        <v>112.0</v>
      </c>
      <c r="O2052" s="1201">
        <v>48.0</v>
      </c>
      <c r="P2052" s="1201">
        <v>48.0</v>
      </c>
      <c r="Q2052" s="1201">
        <v>109.0</v>
      </c>
      <c r="R2052" s="960">
        <v>254.0</v>
      </c>
      <c r="S2052" s="960">
        <v>317.0</v>
      </c>
      <c r="T2052" s="960">
        <v>348.0</v>
      </c>
      <c r="U2052" s="960">
        <f t="array" ref="U2052">HLOOKUP($J2052,'Type Chart'!$C$2:$T$20,2,false)*HLOOKUP($K2052,'Type Chart'!$C$2:$U$20,2,false)</f>
        <v>0.5</v>
      </c>
      <c r="V2052" s="960">
        <f t="array" ref="V2052">HLOOKUP($J2052,'Type Chart'!$C$2:$T$20,3,false)*HLOOKUP($K2052,'Type Chart'!$C$2:$U$20,3,false)</f>
        <v>1</v>
      </c>
      <c r="W2052" s="960">
        <f t="array" ref="W2052">HLOOKUP($J2052,'Type Chart'!$C$2:$T$20,4,false)*HLOOKUP($K2052,'Type Chart'!$C$2:$U$20,4,false)</f>
        <v>1</v>
      </c>
      <c r="X2052" s="960">
        <f t="array" ref="X2052">HLOOKUP($J2052,'Type Chart'!$C$2:$T$20,5,false)*HLOOKUP($K2052,'Type Chart'!$C$2:$U$20,5,false)</f>
        <v>0</v>
      </c>
      <c r="Y2052" s="960">
        <f t="array" ref="Y2052">HLOOKUP($J2052,'Type Chart'!$C$2:$T$20,6,false)*HLOOKUP($K2052,'Type Chart'!$C$2:$U$20,6,false)</f>
        <v>1</v>
      </c>
      <c r="Z2052" s="960">
        <f t="array" ref="Z2052">HLOOKUP($J2052,'Type Chart'!$C$2:$T$20,7,false)*HLOOKUP($K2052,'Type Chart'!$C$2:$U$20,7,false)</f>
        <v>1</v>
      </c>
      <c r="AA2052" s="960">
        <f t="array" ref="AA2052">HLOOKUP($J2052,'Type Chart'!$C$2:$T$20,8,false)*HLOOKUP($K2052,'Type Chart'!$C$2:$U$20,8,false)</f>
        <v>0.5</v>
      </c>
      <c r="AB2052" s="960">
        <f t="array" ref="AB2052">HLOOKUP($J2052,'Type Chart'!$C$2:$T$20,9,false)*HLOOKUP($K2052,'Type Chart'!$C$2:$U$20,9,false)</f>
        <v>1</v>
      </c>
      <c r="AC2052" s="960">
        <f t="array" ref="AC2052">HLOOKUP($J2052,'Type Chart'!$C$2:$T$20,10,false)*HLOOKUP($K2052,'Type Chart'!$C$2:$U$20,10,false)</f>
        <v>0.5</v>
      </c>
      <c r="AD2052" s="960">
        <f t="array" ref="AD2052">HLOOKUP($J2052,'Type Chart'!$C$2:$T$20,11,false)*HLOOKUP($K2052,'Type Chart'!$C$2:$U$20,11,false)</f>
        <v>4</v>
      </c>
      <c r="AE2052" s="960">
        <f t="array" ref="AE2052">HLOOKUP($J2052,'Type Chart'!$C$2:$T$20,12,false)*HLOOKUP($K2052,'Type Chart'!$C$2:$U$20,12,false)</f>
        <v>1</v>
      </c>
      <c r="AF2052" s="960">
        <f t="array" ref="AF2052">HLOOKUP($J2052,'Type Chart'!$C$2:$T$20,13,false)*HLOOKUP($K2052,'Type Chart'!$C$2:$U$20,13,false)</f>
        <v>0.25</v>
      </c>
      <c r="AG2052" s="960">
        <f t="array" ref="AG2052">HLOOKUP($J2052,'Type Chart'!$C$2:$T$20,14,false)*HLOOKUP($K2052,'Type Chart'!$C$2:$U$20,14,false)</f>
        <v>1</v>
      </c>
      <c r="AH2052" s="960">
        <f t="array" ref="AH2052">HLOOKUP($J2052,'Type Chart'!$C$2:$T$20,15,false)*HLOOKUP($K2052,'Type Chart'!$C$2:$U$20,15,false)</f>
        <v>0.5</v>
      </c>
      <c r="AI2052" s="960">
        <f t="array" ref="AI2052">HLOOKUP($J2052,'Type Chart'!$C$2:$T$20,16,false)*HLOOKUP($K2052,'Type Chart'!$C$2:$U$20,16,false)</f>
        <v>0.5</v>
      </c>
      <c r="AJ2052" s="960">
        <f t="array" ref="AJ2052">HLOOKUP($J2052,'Type Chart'!$C$2:$T$20,17,false)*HLOOKUP($K2052,'Type Chart'!$C$2:$U$20,17,false)</f>
        <v>0.5</v>
      </c>
      <c r="AK2052" s="960">
        <f t="array" ref="AK2052">HLOOKUP($J2052,'Type Chart'!$C$2:$T$20,18,false)*HLOOKUP($K2052,'Type Chart'!$C$2:$U$20,18,false)</f>
        <v>1</v>
      </c>
      <c r="AL2052" s="960">
        <f t="array" ref="AL2052">HLOOKUP($J2052,'Type Chart'!$C$2:$T$20,19,false)*HLOOKUP($K2052,'Type Chart'!$C$2:$U$20,19,false)</f>
        <v>0.5</v>
      </c>
      <c r="AM2052" s="1145" t="s">
        <v>1013</v>
      </c>
      <c r="AN2052" s="965" t="s">
        <v>1039</v>
      </c>
      <c r="AO2052" s="1146" t="s">
        <v>2094</v>
      </c>
      <c r="AP2052" s="936"/>
      <c r="AQ2052" s="1245"/>
      <c r="AR2052" s="1245"/>
      <c r="AS2052" s="936"/>
    </row>
    <row r="2053" ht="15.75" customHeight="1">
      <c r="A2053" s="1099"/>
      <c r="B2053" s="948" t="s">
        <v>3197</v>
      </c>
      <c r="C2053" s="1197" t="s">
        <v>3198</v>
      </c>
      <c r="D2053" s="1197" t="s">
        <v>3198</v>
      </c>
      <c r="E2053" s="1147" t="s">
        <v>3198</v>
      </c>
      <c r="F2053" s="940"/>
      <c r="G2053" s="953"/>
      <c r="H2053" s="969"/>
      <c r="I2053" s="998" t="s">
        <v>5154</v>
      </c>
      <c r="J2053" s="1229" t="s">
        <v>193</v>
      </c>
      <c r="K2053" s="1231" t="s">
        <v>346</v>
      </c>
      <c r="L2053" s="1200">
        <v>52.0</v>
      </c>
      <c r="M2053" s="1201">
        <v>65.0</v>
      </c>
      <c r="N2053" s="1201">
        <v>50.0</v>
      </c>
      <c r="O2053" s="1201">
        <v>45.0</v>
      </c>
      <c r="P2053" s="1201">
        <v>50.0</v>
      </c>
      <c r="Q2053" s="1201">
        <v>38.0</v>
      </c>
      <c r="R2053" s="960">
        <v>112.0</v>
      </c>
      <c r="S2053" s="960">
        <v>175.0</v>
      </c>
      <c r="T2053" s="960">
        <v>192.0</v>
      </c>
      <c r="U2053" s="960">
        <f t="array" ref="U2053">HLOOKUP($J2053,'Type Chart'!$C$2:$T$20,2,false)*HLOOKUP($K2053,'Type Chart'!$C$2:$U$20,2,false)</f>
        <v>1</v>
      </c>
      <c r="V2053" s="960">
        <f t="array" ref="V2053">HLOOKUP($J2053,'Type Chart'!$C$2:$T$20,3,false)*HLOOKUP($K2053,'Type Chart'!$C$2:$U$20,3,false)</f>
        <v>2</v>
      </c>
      <c r="W2053" s="960">
        <f t="array" ref="W2053">HLOOKUP($J2053,'Type Chart'!$C$2:$T$20,4,false)*HLOOKUP($K2053,'Type Chart'!$C$2:$U$20,4,false)</f>
        <v>1</v>
      </c>
      <c r="X2053" s="960">
        <f t="array" ref="X2053">HLOOKUP($J2053,'Type Chart'!$C$2:$T$20,5,false)*HLOOKUP($K2053,'Type Chart'!$C$2:$U$20,5,false)</f>
        <v>1</v>
      </c>
      <c r="Y2053" s="960">
        <f t="array" ref="Y2053">HLOOKUP($J2053,'Type Chart'!$C$2:$T$20,6,false)*HLOOKUP($K2053,'Type Chart'!$C$2:$U$20,6,false)</f>
        <v>1</v>
      </c>
      <c r="Z2053" s="960">
        <f t="array" ref="Z2053">HLOOKUP($J2053,'Type Chart'!$C$2:$T$20,7,false)*HLOOKUP($K2053,'Type Chart'!$C$2:$U$20,7,false)</f>
        <v>1</v>
      </c>
      <c r="AA2053" s="960">
        <f t="array" ref="AA2053">HLOOKUP($J2053,'Type Chart'!$C$2:$T$20,8,false)*HLOOKUP($K2053,'Type Chart'!$C$2:$U$20,8,false)</f>
        <v>2</v>
      </c>
      <c r="AB2053" s="960">
        <f t="array" ref="AB2053">HLOOKUP($J2053,'Type Chart'!$C$2:$T$20,9,false)*HLOOKUP($K2053,'Type Chart'!$C$2:$U$20,9,false)</f>
        <v>0.5</v>
      </c>
      <c r="AC2053" s="960">
        <f t="array" ref="AC2053">HLOOKUP($J2053,'Type Chart'!$C$2:$T$20,10,false)*HLOOKUP($K2053,'Type Chart'!$C$2:$U$20,10,false)</f>
        <v>1</v>
      </c>
      <c r="AD2053" s="960">
        <f t="array" ref="AD2053">HLOOKUP($J2053,'Type Chart'!$C$2:$T$20,11,false)*HLOOKUP($K2053,'Type Chart'!$C$2:$U$20,11,false)</f>
        <v>0.5</v>
      </c>
      <c r="AE2053" s="960">
        <f t="array" ref="AE2053">HLOOKUP($J2053,'Type Chart'!$C$2:$T$20,12,false)*HLOOKUP($K2053,'Type Chart'!$C$2:$U$20,12,false)</f>
        <v>0.5</v>
      </c>
      <c r="AF2053" s="960">
        <f t="array" ref="AF2053">HLOOKUP($J2053,'Type Chart'!$C$2:$T$20,13,false)*HLOOKUP($K2053,'Type Chart'!$C$2:$U$20,13,false)</f>
        <v>0.5</v>
      </c>
      <c r="AG2053" s="960">
        <f t="array" ref="AG2053">HLOOKUP($J2053,'Type Chart'!$C$2:$T$20,14,false)*HLOOKUP($K2053,'Type Chart'!$C$2:$U$20,14,false)</f>
        <v>0.5</v>
      </c>
      <c r="AH2053" s="960">
        <f t="array" ref="AH2053">HLOOKUP($J2053,'Type Chart'!$C$2:$T$20,15,false)*HLOOKUP($K2053,'Type Chart'!$C$2:$U$20,15,false)</f>
        <v>0</v>
      </c>
      <c r="AI2053" s="960">
        <f t="array" ref="AI2053">HLOOKUP($J2053,'Type Chart'!$C$2:$T$20,16,false)*HLOOKUP($K2053,'Type Chart'!$C$2:$U$20,16,false)</f>
        <v>2</v>
      </c>
      <c r="AJ2053" s="960">
        <f t="array" ref="AJ2053">HLOOKUP($J2053,'Type Chart'!$C$2:$T$20,17,false)*HLOOKUP($K2053,'Type Chart'!$C$2:$U$20,17,false)</f>
        <v>2</v>
      </c>
      <c r="AK2053" s="960">
        <f t="array" ref="AK2053">HLOOKUP($J2053,'Type Chart'!$C$2:$T$20,18,false)*HLOOKUP($K2053,'Type Chart'!$C$2:$U$20,18,false)</f>
        <v>0.5</v>
      </c>
      <c r="AL2053" s="960">
        <f t="array" ref="AL2053">HLOOKUP($J2053,'Type Chart'!$C$2:$T$20,19,false)*HLOOKUP($K2053,'Type Chart'!$C$2:$U$20,19,false)</f>
        <v>4</v>
      </c>
      <c r="AM2053" s="1145" t="s">
        <v>1039</v>
      </c>
      <c r="AN2053" s="965"/>
      <c r="AO2053" s="966"/>
      <c r="AP2053" s="936"/>
      <c r="AQ2053" s="1245"/>
      <c r="AR2053" s="1245"/>
      <c r="AS2053" s="936"/>
    </row>
    <row r="2054" ht="15.75" customHeight="1">
      <c r="A2054" s="1099"/>
      <c r="B2054" s="948" t="s">
        <v>3200</v>
      </c>
      <c r="C2054" s="1197" t="s">
        <v>100</v>
      </c>
      <c r="D2054" s="1197" t="s">
        <v>100</v>
      </c>
      <c r="E2054" s="1147" t="s">
        <v>100</v>
      </c>
      <c r="F2054" s="940"/>
      <c r="G2054" s="953"/>
      <c r="H2054" s="969"/>
      <c r="I2054" s="998" t="s">
        <v>5155</v>
      </c>
      <c r="J2054" s="1229" t="s">
        <v>193</v>
      </c>
      <c r="K2054" s="1006" t="s">
        <v>346</v>
      </c>
      <c r="L2054" s="1200">
        <v>72.0</v>
      </c>
      <c r="M2054" s="1201">
        <v>85.0</v>
      </c>
      <c r="N2054" s="1201">
        <v>70.0</v>
      </c>
      <c r="O2054" s="1201">
        <v>65.0</v>
      </c>
      <c r="P2054" s="1201">
        <v>70.0</v>
      </c>
      <c r="Q2054" s="1201">
        <v>58.0</v>
      </c>
      <c r="R2054" s="960">
        <v>152.0</v>
      </c>
      <c r="S2054" s="960">
        <v>215.0</v>
      </c>
      <c r="T2054" s="960">
        <v>236.0</v>
      </c>
      <c r="U2054" s="960">
        <f t="array" ref="U2054">HLOOKUP($J2054,'Type Chart'!$C$2:$T$20,2,false)*HLOOKUP($K2054,'Type Chart'!$C$2:$U$20,2,false)</f>
        <v>1</v>
      </c>
      <c r="V2054" s="960">
        <f t="array" ref="V2054">HLOOKUP($J2054,'Type Chart'!$C$2:$T$20,3,false)*HLOOKUP($K2054,'Type Chart'!$C$2:$U$20,3,false)</f>
        <v>2</v>
      </c>
      <c r="W2054" s="960">
        <f t="array" ref="W2054">HLOOKUP($J2054,'Type Chart'!$C$2:$T$20,4,false)*HLOOKUP($K2054,'Type Chart'!$C$2:$U$20,4,false)</f>
        <v>1</v>
      </c>
      <c r="X2054" s="960">
        <f t="array" ref="X2054">HLOOKUP($J2054,'Type Chart'!$C$2:$T$20,5,false)*HLOOKUP($K2054,'Type Chart'!$C$2:$U$20,5,false)</f>
        <v>1</v>
      </c>
      <c r="Y2054" s="960">
        <f t="array" ref="Y2054">HLOOKUP($J2054,'Type Chart'!$C$2:$T$20,6,false)*HLOOKUP($K2054,'Type Chart'!$C$2:$U$20,6,false)</f>
        <v>1</v>
      </c>
      <c r="Z2054" s="960">
        <f t="array" ref="Z2054">HLOOKUP($J2054,'Type Chart'!$C$2:$T$20,7,false)*HLOOKUP($K2054,'Type Chart'!$C$2:$U$20,7,false)</f>
        <v>1</v>
      </c>
      <c r="AA2054" s="960">
        <f t="array" ref="AA2054">HLOOKUP($J2054,'Type Chart'!$C$2:$T$20,8,false)*HLOOKUP($K2054,'Type Chart'!$C$2:$U$20,8,false)</f>
        <v>2</v>
      </c>
      <c r="AB2054" s="960">
        <f t="array" ref="AB2054">HLOOKUP($J2054,'Type Chart'!$C$2:$T$20,9,false)*HLOOKUP($K2054,'Type Chart'!$C$2:$U$20,9,false)</f>
        <v>0.5</v>
      </c>
      <c r="AC2054" s="960">
        <f t="array" ref="AC2054">HLOOKUP($J2054,'Type Chart'!$C$2:$T$20,10,false)*HLOOKUP($K2054,'Type Chart'!$C$2:$U$20,10,false)</f>
        <v>1</v>
      </c>
      <c r="AD2054" s="960">
        <f t="array" ref="AD2054">HLOOKUP($J2054,'Type Chart'!$C$2:$T$20,11,false)*HLOOKUP($K2054,'Type Chart'!$C$2:$U$20,11,false)</f>
        <v>0.5</v>
      </c>
      <c r="AE2054" s="960">
        <f t="array" ref="AE2054">HLOOKUP($J2054,'Type Chart'!$C$2:$T$20,12,false)*HLOOKUP($K2054,'Type Chart'!$C$2:$U$20,12,false)</f>
        <v>0.5</v>
      </c>
      <c r="AF2054" s="960">
        <f t="array" ref="AF2054">HLOOKUP($J2054,'Type Chart'!$C$2:$T$20,13,false)*HLOOKUP($K2054,'Type Chart'!$C$2:$U$20,13,false)</f>
        <v>0.5</v>
      </c>
      <c r="AG2054" s="960">
        <f t="array" ref="AG2054">HLOOKUP($J2054,'Type Chart'!$C$2:$T$20,14,false)*HLOOKUP($K2054,'Type Chart'!$C$2:$U$20,14,false)</f>
        <v>0.5</v>
      </c>
      <c r="AH2054" s="960">
        <f t="array" ref="AH2054">HLOOKUP($J2054,'Type Chart'!$C$2:$T$20,15,false)*HLOOKUP($K2054,'Type Chart'!$C$2:$U$20,15,false)</f>
        <v>0</v>
      </c>
      <c r="AI2054" s="960">
        <f t="array" ref="AI2054">HLOOKUP($J2054,'Type Chart'!$C$2:$T$20,16,false)*HLOOKUP($K2054,'Type Chart'!$C$2:$U$20,16,false)</f>
        <v>2</v>
      </c>
      <c r="AJ2054" s="960">
        <f t="array" ref="AJ2054">HLOOKUP($J2054,'Type Chart'!$C$2:$T$20,17,false)*HLOOKUP($K2054,'Type Chart'!$C$2:$U$20,17,false)</f>
        <v>2</v>
      </c>
      <c r="AK2054" s="960">
        <f t="array" ref="AK2054">HLOOKUP($J2054,'Type Chart'!$C$2:$T$20,18,false)*HLOOKUP($K2054,'Type Chart'!$C$2:$U$20,18,false)</f>
        <v>0.5</v>
      </c>
      <c r="AL2054" s="960">
        <f t="array" ref="AL2054">HLOOKUP($J2054,'Type Chart'!$C$2:$T$20,19,false)*HLOOKUP($K2054,'Type Chart'!$C$2:$U$20,19,false)</f>
        <v>4</v>
      </c>
      <c r="AM2054" s="964" t="s">
        <v>1039</v>
      </c>
      <c r="AN2054" s="965"/>
      <c r="AO2054" s="966"/>
      <c r="AP2054" s="936"/>
      <c r="AQ2054" s="1245"/>
      <c r="AR2054" s="1245"/>
      <c r="AS2054" s="936"/>
    </row>
    <row r="2055" ht="15.75" customHeight="1">
      <c r="A2055" s="1099"/>
      <c r="B2055" s="948" t="s">
        <v>3201</v>
      </c>
      <c r="C2055" s="1197" t="s">
        <v>3202</v>
      </c>
      <c r="D2055" s="1197" t="s">
        <v>3202</v>
      </c>
      <c r="E2055" s="1147" t="s">
        <v>3202</v>
      </c>
      <c r="F2055" s="940"/>
      <c r="G2055" s="953"/>
      <c r="H2055" s="969"/>
      <c r="I2055" s="998" t="s">
        <v>5156</v>
      </c>
      <c r="J2055" s="1229" t="s">
        <v>193</v>
      </c>
      <c r="K2055" s="1231" t="s">
        <v>346</v>
      </c>
      <c r="L2055" s="1200">
        <v>92.0</v>
      </c>
      <c r="M2055" s="1201">
        <v>105.0</v>
      </c>
      <c r="N2055" s="1201">
        <v>90.0</v>
      </c>
      <c r="O2055" s="1201">
        <v>125.0</v>
      </c>
      <c r="P2055" s="1201">
        <v>90.0</v>
      </c>
      <c r="Q2055" s="1201">
        <v>98.0</v>
      </c>
      <c r="R2055" s="960">
        <v>232.0</v>
      </c>
      <c r="S2055" s="960">
        <v>295.0</v>
      </c>
      <c r="T2055" s="960">
        <v>324.0</v>
      </c>
      <c r="U2055" s="960">
        <f t="array" ref="U2055">HLOOKUP($J2055,'Type Chart'!$C$2:$T$20,2,false)*HLOOKUP($K2055,'Type Chart'!$C$2:$U$20,2,false)</f>
        <v>1</v>
      </c>
      <c r="V2055" s="960">
        <f t="array" ref="V2055">HLOOKUP($J2055,'Type Chart'!$C$2:$T$20,3,false)*HLOOKUP($K2055,'Type Chart'!$C$2:$U$20,3,false)</f>
        <v>2</v>
      </c>
      <c r="W2055" s="960">
        <f t="array" ref="W2055">HLOOKUP($J2055,'Type Chart'!$C$2:$T$20,4,false)*HLOOKUP($K2055,'Type Chart'!$C$2:$U$20,4,false)</f>
        <v>1</v>
      </c>
      <c r="X2055" s="960">
        <f t="array" ref="X2055">HLOOKUP($J2055,'Type Chart'!$C$2:$T$20,5,false)*HLOOKUP($K2055,'Type Chart'!$C$2:$U$20,5,false)</f>
        <v>1</v>
      </c>
      <c r="Y2055" s="960">
        <f t="array" ref="Y2055">HLOOKUP($J2055,'Type Chart'!$C$2:$T$20,6,false)*HLOOKUP($K2055,'Type Chart'!$C$2:$U$20,6,false)</f>
        <v>1</v>
      </c>
      <c r="Z2055" s="960">
        <f t="array" ref="Z2055">HLOOKUP($J2055,'Type Chart'!$C$2:$T$20,7,false)*HLOOKUP($K2055,'Type Chart'!$C$2:$U$20,7,false)</f>
        <v>1</v>
      </c>
      <c r="AA2055" s="960">
        <f t="array" ref="AA2055">HLOOKUP($J2055,'Type Chart'!$C$2:$T$20,8,false)*HLOOKUP($K2055,'Type Chart'!$C$2:$U$20,8,false)</f>
        <v>2</v>
      </c>
      <c r="AB2055" s="960">
        <f t="array" ref="AB2055">HLOOKUP($J2055,'Type Chart'!$C$2:$T$20,9,false)*HLOOKUP($K2055,'Type Chart'!$C$2:$U$20,9,false)</f>
        <v>0.5</v>
      </c>
      <c r="AC2055" s="960">
        <f t="array" ref="AC2055">HLOOKUP($J2055,'Type Chart'!$C$2:$T$20,10,false)*HLOOKUP($K2055,'Type Chart'!$C$2:$U$20,10,false)</f>
        <v>1</v>
      </c>
      <c r="AD2055" s="960">
        <f t="array" ref="AD2055">HLOOKUP($J2055,'Type Chart'!$C$2:$T$20,11,false)*HLOOKUP($K2055,'Type Chart'!$C$2:$U$20,11,false)</f>
        <v>0.5</v>
      </c>
      <c r="AE2055" s="960">
        <f t="array" ref="AE2055">HLOOKUP($J2055,'Type Chart'!$C$2:$T$20,12,false)*HLOOKUP($K2055,'Type Chart'!$C$2:$U$20,12,false)</f>
        <v>0.5</v>
      </c>
      <c r="AF2055" s="960">
        <f t="array" ref="AF2055">HLOOKUP($J2055,'Type Chart'!$C$2:$T$20,13,false)*HLOOKUP($K2055,'Type Chart'!$C$2:$U$20,13,false)</f>
        <v>0.5</v>
      </c>
      <c r="AG2055" s="960">
        <f t="array" ref="AG2055">HLOOKUP($J2055,'Type Chart'!$C$2:$T$20,14,false)*HLOOKUP($K2055,'Type Chart'!$C$2:$U$20,14,false)</f>
        <v>0.5</v>
      </c>
      <c r="AH2055" s="960">
        <f t="array" ref="AH2055">HLOOKUP($J2055,'Type Chart'!$C$2:$T$20,15,false)*HLOOKUP($K2055,'Type Chart'!$C$2:$U$20,15,false)</f>
        <v>0</v>
      </c>
      <c r="AI2055" s="960">
        <f t="array" ref="AI2055">HLOOKUP($J2055,'Type Chart'!$C$2:$T$20,16,false)*HLOOKUP($K2055,'Type Chart'!$C$2:$U$20,16,false)</f>
        <v>2</v>
      </c>
      <c r="AJ2055" s="960">
        <f t="array" ref="AJ2055">HLOOKUP($J2055,'Type Chart'!$C$2:$T$20,17,false)*HLOOKUP($K2055,'Type Chart'!$C$2:$U$20,17,false)</f>
        <v>2</v>
      </c>
      <c r="AK2055" s="960">
        <f t="array" ref="AK2055">HLOOKUP($J2055,'Type Chart'!$C$2:$T$20,18,false)*HLOOKUP($K2055,'Type Chart'!$C$2:$U$20,18,false)</f>
        <v>0.5</v>
      </c>
      <c r="AL2055" s="960">
        <f t="array" ref="AL2055">HLOOKUP($J2055,'Type Chart'!$C$2:$T$20,19,false)*HLOOKUP($K2055,'Type Chart'!$C$2:$U$20,19,false)</f>
        <v>4</v>
      </c>
      <c r="AM2055" s="964" t="s">
        <v>1437</v>
      </c>
      <c r="AN2055" s="965"/>
      <c r="AO2055" s="966"/>
      <c r="AP2055" s="936"/>
      <c r="AQ2055" s="1245"/>
      <c r="AR2055" s="1245"/>
      <c r="AS2055" s="936"/>
    </row>
    <row r="2056" ht="15.75" customHeight="1">
      <c r="A2056" s="1099"/>
      <c r="B2056" s="948" t="s">
        <v>3203</v>
      </c>
      <c r="C2056" s="1197" t="s">
        <v>3204</v>
      </c>
      <c r="D2056" s="1197" t="s">
        <v>3204</v>
      </c>
      <c r="E2056" s="1147" t="s">
        <v>3204</v>
      </c>
      <c r="F2056" s="940"/>
      <c r="G2056" s="953"/>
      <c r="H2056" s="969"/>
      <c r="I2056" s="998" t="s">
        <v>5157</v>
      </c>
      <c r="J2056" s="1225" t="s">
        <v>343</v>
      </c>
      <c r="K2056" s="1208" t="s">
        <v>150</v>
      </c>
      <c r="L2056" s="1200">
        <v>55.0</v>
      </c>
      <c r="M2056" s="1201">
        <v>85.0</v>
      </c>
      <c r="N2056" s="1201">
        <v>55.0</v>
      </c>
      <c r="O2056" s="1201">
        <v>50.0</v>
      </c>
      <c r="P2056" s="1201">
        <v>55.0</v>
      </c>
      <c r="Q2056" s="1201">
        <v>60.0</v>
      </c>
      <c r="R2056" s="960">
        <v>156.0</v>
      </c>
      <c r="S2056" s="960">
        <v>219.0</v>
      </c>
      <c r="T2056" s="960">
        <v>240.0</v>
      </c>
      <c r="U2056" s="960">
        <f t="array" ref="U2056">HLOOKUP($J2056,'Type Chart'!$C$2:$T$20,2,false)*HLOOKUP($K2056,'Type Chart'!$C$2:$U$20,2,false)</f>
        <v>1</v>
      </c>
      <c r="V2056" s="960">
        <f t="array" ref="V2056">HLOOKUP($J2056,'Type Chart'!$C$2:$T$20,3,false)*HLOOKUP($K2056,'Type Chart'!$C$2:$U$20,3,false)</f>
        <v>0.5</v>
      </c>
      <c r="W2056" s="960">
        <f t="array" ref="W2056">HLOOKUP($J2056,'Type Chart'!$C$2:$T$20,4,false)*HLOOKUP($K2056,'Type Chart'!$C$2:$U$20,4,false)</f>
        <v>2</v>
      </c>
      <c r="X2056" s="960">
        <f t="array" ref="X2056">HLOOKUP($J2056,'Type Chart'!$C$2:$T$20,5,false)*HLOOKUP($K2056,'Type Chart'!$C$2:$U$20,5,false)</f>
        <v>1</v>
      </c>
      <c r="Y2056" s="960">
        <f t="array" ref="Y2056">HLOOKUP($J2056,'Type Chart'!$C$2:$T$20,6,false)*HLOOKUP($K2056,'Type Chart'!$C$2:$U$20,6,false)</f>
        <v>1</v>
      </c>
      <c r="Z2056" s="960">
        <f t="array" ref="Z2056">HLOOKUP($J2056,'Type Chart'!$C$2:$T$20,7,false)*HLOOKUP($K2056,'Type Chart'!$C$2:$U$20,7,false)</f>
        <v>4</v>
      </c>
      <c r="AA2056" s="960">
        <f t="array" ref="AA2056">HLOOKUP($J2056,'Type Chart'!$C$2:$T$20,8,false)*HLOOKUP($K2056,'Type Chart'!$C$2:$U$20,8,false)</f>
        <v>0.5</v>
      </c>
      <c r="AB2056" s="960">
        <f t="array" ref="AB2056">HLOOKUP($J2056,'Type Chart'!$C$2:$T$20,9,false)*HLOOKUP($K2056,'Type Chart'!$C$2:$U$20,9,false)</f>
        <v>1</v>
      </c>
      <c r="AC2056" s="960">
        <f t="array" ref="AC2056">HLOOKUP($J2056,'Type Chart'!$C$2:$T$20,10,false)*HLOOKUP($K2056,'Type Chart'!$C$2:$U$20,10,false)</f>
        <v>0.5</v>
      </c>
      <c r="AD2056" s="960">
        <f t="array" ref="AD2056">HLOOKUP($J2056,'Type Chart'!$C$2:$T$20,11,false)*HLOOKUP($K2056,'Type Chart'!$C$2:$U$20,11,false)</f>
        <v>1</v>
      </c>
      <c r="AE2056" s="960">
        <f t="array" ref="AE2056">HLOOKUP($J2056,'Type Chart'!$C$2:$T$20,12,false)*HLOOKUP($K2056,'Type Chart'!$C$2:$U$20,12,false)</f>
        <v>2</v>
      </c>
      <c r="AF2056" s="960">
        <f t="array" ref="AF2056">HLOOKUP($J2056,'Type Chart'!$C$2:$T$20,13,false)*HLOOKUP($K2056,'Type Chart'!$C$2:$U$20,13,false)</f>
        <v>0.25</v>
      </c>
      <c r="AG2056" s="960">
        <f t="array" ref="AG2056">HLOOKUP($J2056,'Type Chart'!$C$2:$T$20,14,false)*HLOOKUP($K2056,'Type Chart'!$C$2:$U$20,14,false)</f>
        <v>1</v>
      </c>
      <c r="AH2056" s="960">
        <f t="array" ref="AH2056">HLOOKUP($J2056,'Type Chart'!$C$2:$T$20,15,false)*HLOOKUP($K2056,'Type Chart'!$C$2:$U$20,15,false)</f>
        <v>1</v>
      </c>
      <c r="AI2056" s="960">
        <f t="array" ref="AI2056">HLOOKUP($J2056,'Type Chart'!$C$2:$T$20,16,false)*HLOOKUP($K2056,'Type Chart'!$C$2:$U$20,16,false)</f>
        <v>0.5</v>
      </c>
      <c r="AJ2056" s="960">
        <f t="array" ref="AJ2056">HLOOKUP($J2056,'Type Chart'!$C$2:$T$20,17,false)*HLOOKUP($K2056,'Type Chart'!$C$2:$U$20,17,false)</f>
        <v>1</v>
      </c>
      <c r="AK2056" s="960">
        <f t="array" ref="AK2056">HLOOKUP($J2056,'Type Chart'!$C$2:$T$20,18,false)*HLOOKUP($K2056,'Type Chart'!$C$2:$U$20,18,false)</f>
        <v>1</v>
      </c>
      <c r="AL2056" s="960">
        <f t="array" ref="AL2056">HLOOKUP($J2056,'Type Chart'!$C$2:$T$20,19,false)*HLOOKUP($K2056,'Type Chart'!$C$2:$U$20,19,false)</f>
        <v>0.5</v>
      </c>
      <c r="AM2056" s="964" t="s">
        <v>1353</v>
      </c>
      <c r="AN2056" s="965"/>
      <c r="AO2056" s="966" t="s">
        <v>1013</v>
      </c>
      <c r="AP2056" s="936"/>
      <c r="AQ2056" s="1245"/>
      <c r="AR2056" s="1245"/>
      <c r="AS2056" s="936"/>
    </row>
    <row r="2057" ht="15.75" customHeight="1">
      <c r="A2057" s="1099"/>
      <c r="B2057" s="948" t="s">
        <v>3206</v>
      </c>
      <c r="C2057" s="1197" t="s">
        <v>3207</v>
      </c>
      <c r="D2057" s="1197" t="s">
        <v>3207</v>
      </c>
      <c r="E2057" s="1147" t="s">
        <v>3207</v>
      </c>
      <c r="F2057" s="940"/>
      <c r="G2057" s="953"/>
      <c r="H2057" s="969"/>
      <c r="I2057" s="998" t="s">
        <v>5158</v>
      </c>
      <c r="J2057" s="1225" t="s">
        <v>343</v>
      </c>
      <c r="K2057" s="1208" t="s">
        <v>150</v>
      </c>
      <c r="L2057" s="1200">
        <v>85.0</v>
      </c>
      <c r="M2057" s="1201">
        <v>60.0</v>
      </c>
      <c r="N2057" s="1201">
        <v>65.0</v>
      </c>
      <c r="O2057" s="1201">
        <v>135.0</v>
      </c>
      <c r="P2057" s="1201">
        <v>105.0</v>
      </c>
      <c r="Q2057" s="1201">
        <v>100.0</v>
      </c>
      <c r="R2057" s="960">
        <v>236.0</v>
      </c>
      <c r="S2057" s="960">
        <v>299.0</v>
      </c>
      <c r="T2057" s="960">
        <v>328.0</v>
      </c>
      <c r="U2057" s="960">
        <f t="array" ref="U2057">HLOOKUP($J2057,'Type Chart'!$C$2:$T$20,2,false)*HLOOKUP($K2057,'Type Chart'!$C$2:$U$20,2,false)</f>
        <v>1</v>
      </c>
      <c r="V2057" s="960">
        <f t="array" ref="V2057">HLOOKUP($J2057,'Type Chart'!$C$2:$T$20,3,false)*HLOOKUP($K2057,'Type Chart'!$C$2:$U$20,3,false)</f>
        <v>0.5</v>
      </c>
      <c r="W2057" s="960">
        <f t="array" ref="W2057">HLOOKUP($J2057,'Type Chart'!$C$2:$T$20,4,false)*HLOOKUP($K2057,'Type Chart'!$C$2:$U$20,4,false)</f>
        <v>2</v>
      </c>
      <c r="X2057" s="960">
        <f t="array" ref="X2057">HLOOKUP($J2057,'Type Chart'!$C$2:$T$20,5,false)*HLOOKUP($K2057,'Type Chart'!$C$2:$U$20,5,false)</f>
        <v>1</v>
      </c>
      <c r="Y2057" s="960">
        <f t="array" ref="Y2057">HLOOKUP($J2057,'Type Chart'!$C$2:$T$20,6,false)*HLOOKUP($K2057,'Type Chart'!$C$2:$U$20,6,false)</f>
        <v>1</v>
      </c>
      <c r="Z2057" s="960">
        <f t="array" ref="Z2057">HLOOKUP($J2057,'Type Chart'!$C$2:$T$20,7,false)*HLOOKUP($K2057,'Type Chart'!$C$2:$U$20,7,false)</f>
        <v>4</v>
      </c>
      <c r="AA2057" s="960">
        <f t="array" ref="AA2057">HLOOKUP($J2057,'Type Chart'!$C$2:$T$20,8,false)*HLOOKUP($K2057,'Type Chart'!$C$2:$U$20,8,false)</f>
        <v>0.5</v>
      </c>
      <c r="AB2057" s="960">
        <f t="array" ref="AB2057">HLOOKUP($J2057,'Type Chart'!$C$2:$T$20,9,false)*HLOOKUP($K2057,'Type Chart'!$C$2:$U$20,9,false)</f>
        <v>1</v>
      </c>
      <c r="AC2057" s="960">
        <f t="array" ref="AC2057">HLOOKUP($J2057,'Type Chart'!$C$2:$T$20,10,false)*HLOOKUP($K2057,'Type Chart'!$C$2:$U$20,10,false)</f>
        <v>0.5</v>
      </c>
      <c r="AD2057" s="960">
        <f t="array" ref="AD2057">HLOOKUP($J2057,'Type Chart'!$C$2:$T$20,11,false)*HLOOKUP($K2057,'Type Chart'!$C$2:$U$20,11,false)</f>
        <v>1</v>
      </c>
      <c r="AE2057" s="960">
        <f t="array" ref="AE2057">HLOOKUP($J2057,'Type Chart'!$C$2:$T$20,12,false)*HLOOKUP($K2057,'Type Chart'!$C$2:$U$20,12,false)</f>
        <v>2</v>
      </c>
      <c r="AF2057" s="960">
        <f t="array" ref="AF2057">HLOOKUP($J2057,'Type Chart'!$C$2:$T$20,13,false)*HLOOKUP($K2057,'Type Chart'!$C$2:$U$20,13,false)</f>
        <v>0.25</v>
      </c>
      <c r="AG2057" s="960">
        <f t="array" ref="AG2057">HLOOKUP($J2057,'Type Chart'!$C$2:$T$20,14,false)*HLOOKUP($K2057,'Type Chart'!$C$2:$U$20,14,false)</f>
        <v>1</v>
      </c>
      <c r="AH2057" s="960">
        <f t="array" ref="AH2057">HLOOKUP($J2057,'Type Chart'!$C$2:$T$20,15,false)*HLOOKUP($K2057,'Type Chart'!$C$2:$U$20,15,false)</f>
        <v>1</v>
      </c>
      <c r="AI2057" s="960">
        <f t="array" ref="AI2057">HLOOKUP($J2057,'Type Chart'!$C$2:$T$20,16,false)*HLOOKUP($K2057,'Type Chart'!$C$2:$U$20,16,false)</f>
        <v>0.5</v>
      </c>
      <c r="AJ2057" s="960">
        <f t="array" ref="AJ2057">HLOOKUP($J2057,'Type Chart'!$C$2:$T$20,17,false)*HLOOKUP($K2057,'Type Chart'!$C$2:$U$20,17,false)</f>
        <v>1</v>
      </c>
      <c r="AK2057" s="960">
        <f t="array" ref="AK2057">HLOOKUP($J2057,'Type Chart'!$C$2:$T$20,18,false)*HLOOKUP($K2057,'Type Chart'!$C$2:$U$20,18,false)</f>
        <v>1</v>
      </c>
      <c r="AL2057" s="960">
        <f t="array" ref="AL2057">HLOOKUP($J2057,'Type Chart'!$C$2:$T$20,19,false)*HLOOKUP($K2057,'Type Chart'!$C$2:$U$20,19,false)</f>
        <v>0.5</v>
      </c>
      <c r="AM2057" s="1145" t="s">
        <v>1353</v>
      </c>
      <c r="AN2057" s="965"/>
      <c r="AO2057" s="966" t="s">
        <v>1013</v>
      </c>
      <c r="AP2057" s="936"/>
      <c r="AQ2057" s="1245"/>
      <c r="AR2057" s="1245"/>
      <c r="AS2057" s="936"/>
    </row>
    <row r="2058" ht="15.75" customHeight="1">
      <c r="A2058" s="1099"/>
      <c r="B2058" s="948" t="s">
        <v>3208</v>
      </c>
      <c r="C2058" s="1197" t="s">
        <v>94</v>
      </c>
      <c r="D2058" s="1197" t="s">
        <v>94</v>
      </c>
      <c r="E2058" s="1147" t="s">
        <v>94</v>
      </c>
      <c r="F2058" s="940"/>
      <c r="G2058" s="953"/>
      <c r="H2058" s="969"/>
      <c r="I2058" s="998" t="s">
        <v>5159</v>
      </c>
      <c r="J2058" s="1206" t="s">
        <v>82</v>
      </c>
      <c r="K2058" s="1213" t="s">
        <v>341</v>
      </c>
      <c r="L2058" s="959">
        <v>91.0</v>
      </c>
      <c r="M2058" s="960">
        <v>90.0</v>
      </c>
      <c r="N2058" s="960">
        <v>129.0</v>
      </c>
      <c r="O2058" s="960">
        <v>90.0</v>
      </c>
      <c r="P2058" s="960">
        <v>72.0</v>
      </c>
      <c r="Q2058" s="960">
        <v>108.0</v>
      </c>
      <c r="R2058" s="960">
        <v>252.0</v>
      </c>
      <c r="S2058" s="960">
        <v>315.0</v>
      </c>
      <c r="T2058" s="960">
        <v>346.0</v>
      </c>
      <c r="U2058" s="960">
        <f t="array" ref="U2058">HLOOKUP($J2058,'Type Chart'!$C$2:$T$20,2,false)*HLOOKUP($K2058,'Type Chart'!$C$2:$U$20,2,false)</f>
        <v>0.5</v>
      </c>
      <c r="V2058" s="960">
        <f t="array" ref="V2058">HLOOKUP($J2058,'Type Chart'!$C$2:$T$20,3,false)*HLOOKUP($K2058,'Type Chart'!$C$2:$U$20,3,false)</f>
        <v>2</v>
      </c>
      <c r="W2058" s="960">
        <f t="array" ref="W2058">HLOOKUP($J2058,'Type Chart'!$C$2:$T$20,4,false)*HLOOKUP($K2058,'Type Chart'!$C$2:$U$20,4,false)</f>
        <v>1</v>
      </c>
      <c r="X2058" s="960">
        <f t="array" ref="X2058">HLOOKUP($J2058,'Type Chart'!$C$2:$T$20,5,false)*HLOOKUP($K2058,'Type Chart'!$C$2:$U$20,5,false)</f>
        <v>0</v>
      </c>
      <c r="Y2058" s="960">
        <f t="array" ref="Y2058">HLOOKUP($J2058,'Type Chart'!$C$2:$T$20,6,false)*HLOOKUP($K2058,'Type Chart'!$C$2:$U$20,6,false)</f>
        <v>2</v>
      </c>
      <c r="Z2058" s="960">
        <f t="array" ref="Z2058">HLOOKUP($J2058,'Type Chart'!$C$2:$T$20,7,false)*HLOOKUP($K2058,'Type Chart'!$C$2:$U$20,7,false)</f>
        <v>0.25</v>
      </c>
      <c r="AA2058" s="960">
        <f t="array" ref="AA2058">HLOOKUP($J2058,'Type Chart'!$C$2:$T$20,8,false)*HLOOKUP($K2058,'Type Chart'!$C$2:$U$20,8,false)</f>
        <v>0.25</v>
      </c>
      <c r="AB2058" s="960">
        <f t="array" ref="AB2058">HLOOKUP($J2058,'Type Chart'!$C$2:$T$20,9,false)*HLOOKUP($K2058,'Type Chart'!$C$2:$U$20,9,false)</f>
        <v>1</v>
      </c>
      <c r="AC2058" s="960">
        <f t="array" ref="AC2058">HLOOKUP($J2058,'Type Chart'!$C$2:$T$20,10,false)*HLOOKUP($K2058,'Type Chart'!$C$2:$U$20,10,false)</f>
        <v>0.5</v>
      </c>
      <c r="AD2058" s="960">
        <f t="array" ref="AD2058">HLOOKUP($J2058,'Type Chart'!$C$2:$T$20,11,false)*HLOOKUP($K2058,'Type Chart'!$C$2:$U$20,11,false)</f>
        <v>2</v>
      </c>
      <c r="AE2058" s="960">
        <f t="array" ref="AE2058">HLOOKUP($J2058,'Type Chart'!$C$2:$T$20,12,false)*HLOOKUP($K2058,'Type Chart'!$C$2:$U$20,12,false)</f>
        <v>1</v>
      </c>
      <c r="AF2058" s="960">
        <f t="array" ref="AF2058">HLOOKUP($J2058,'Type Chart'!$C$2:$T$20,13,false)*HLOOKUP($K2058,'Type Chart'!$C$2:$U$20,13,false)</f>
        <v>0.5</v>
      </c>
      <c r="AG2058" s="960">
        <f t="array" ref="AG2058">HLOOKUP($J2058,'Type Chart'!$C$2:$T$20,14,false)*HLOOKUP($K2058,'Type Chart'!$C$2:$U$20,14,false)</f>
        <v>1</v>
      </c>
      <c r="AH2058" s="960">
        <f t="array" ref="AH2058">HLOOKUP($J2058,'Type Chart'!$C$2:$T$20,15,false)*HLOOKUP($K2058,'Type Chart'!$C$2:$U$20,15,false)</f>
        <v>1</v>
      </c>
      <c r="AI2058" s="960">
        <f t="array" ref="AI2058">HLOOKUP($J2058,'Type Chart'!$C$2:$T$20,16,false)*HLOOKUP($K2058,'Type Chart'!$C$2:$U$20,16,false)</f>
        <v>0.5</v>
      </c>
      <c r="AJ2058" s="960">
        <f t="array" ref="AJ2058">HLOOKUP($J2058,'Type Chart'!$C$2:$T$20,17,false)*HLOOKUP($K2058,'Type Chart'!$C$2:$U$20,17,false)</f>
        <v>0.5</v>
      </c>
      <c r="AK2058" s="960">
        <f t="array" ref="AK2058">HLOOKUP($J2058,'Type Chart'!$C$2:$T$20,18,false)*HLOOKUP($K2058,'Type Chart'!$C$2:$U$20,18,false)</f>
        <v>0.5</v>
      </c>
      <c r="AL2058" s="960">
        <f t="array" ref="AL2058">HLOOKUP($J2058,'Type Chart'!$C$2:$T$20,19,false)*HLOOKUP($K2058,'Type Chart'!$C$2:$U$20,19,false)</f>
        <v>1</v>
      </c>
      <c r="AM2058" s="964" t="s">
        <v>1273</v>
      </c>
      <c r="AN2058" s="965"/>
      <c r="AO2058" s="966"/>
      <c r="AP2058" s="936"/>
      <c r="AQ2058" s="1245"/>
      <c r="AR2058" s="1245"/>
      <c r="AS2058" s="936"/>
    </row>
    <row r="2059" ht="15.75" customHeight="1">
      <c r="A2059" s="1099"/>
      <c r="B2059" s="948" t="s">
        <v>3209</v>
      </c>
      <c r="C2059" s="1197" t="s">
        <v>3210</v>
      </c>
      <c r="D2059" s="1197" t="s">
        <v>3210</v>
      </c>
      <c r="E2059" s="1147" t="s">
        <v>3210</v>
      </c>
      <c r="F2059" s="940"/>
      <c r="G2059" s="953"/>
      <c r="H2059" s="969"/>
      <c r="I2059" s="998" t="s">
        <v>5160</v>
      </c>
      <c r="J2059" s="1214" t="s">
        <v>342</v>
      </c>
      <c r="K2059" s="1213" t="s">
        <v>341</v>
      </c>
      <c r="L2059" s="1200">
        <v>91.0</v>
      </c>
      <c r="M2059" s="1201">
        <v>129.0</v>
      </c>
      <c r="N2059" s="1201">
        <v>90.0</v>
      </c>
      <c r="O2059" s="1201">
        <v>72.0</v>
      </c>
      <c r="P2059" s="1201">
        <v>90.0</v>
      </c>
      <c r="Q2059" s="1201">
        <v>108.0</v>
      </c>
      <c r="R2059" s="960">
        <v>252.0</v>
      </c>
      <c r="S2059" s="960">
        <v>315.0</v>
      </c>
      <c r="T2059" s="960">
        <v>346.0</v>
      </c>
      <c r="U2059" s="960">
        <f t="array" ref="U2059">HLOOKUP($J2059,'Type Chart'!$C$2:$T$20,2,false)*HLOOKUP($K2059,'Type Chart'!$C$2:$U$20,2,false)</f>
        <v>0.5</v>
      </c>
      <c r="V2059" s="960">
        <f t="array" ref="V2059">HLOOKUP($J2059,'Type Chart'!$C$2:$T$20,3,false)*HLOOKUP($K2059,'Type Chart'!$C$2:$U$20,3,false)</f>
        <v>2</v>
      </c>
      <c r="W2059" s="960">
        <f t="array" ref="W2059">HLOOKUP($J2059,'Type Chart'!$C$2:$T$20,4,false)*HLOOKUP($K2059,'Type Chart'!$C$2:$U$20,4,false)</f>
        <v>1</v>
      </c>
      <c r="X2059" s="960">
        <f t="array" ref="X2059">HLOOKUP($J2059,'Type Chart'!$C$2:$T$20,5,false)*HLOOKUP($K2059,'Type Chart'!$C$2:$U$20,5,false)</f>
        <v>0.5</v>
      </c>
      <c r="Y2059" s="960">
        <f t="array" ref="Y2059">HLOOKUP($J2059,'Type Chart'!$C$2:$T$20,6,false)*HLOOKUP($K2059,'Type Chart'!$C$2:$U$20,6,false)</f>
        <v>2</v>
      </c>
      <c r="Z2059" s="960">
        <f t="array" ref="Z2059">HLOOKUP($J2059,'Type Chart'!$C$2:$T$20,7,false)*HLOOKUP($K2059,'Type Chart'!$C$2:$U$20,7,false)</f>
        <v>0.5</v>
      </c>
      <c r="AA2059" s="960">
        <f t="array" ref="AA2059">HLOOKUP($J2059,'Type Chart'!$C$2:$T$20,8,false)*HLOOKUP($K2059,'Type Chart'!$C$2:$U$20,8,false)</f>
        <v>0.5</v>
      </c>
      <c r="AB2059" s="960">
        <f t="array" ref="AB2059">HLOOKUP($J2059,'Type Chart'!$C$2:$T$20,9,false)*HLOOKUP($K2059,'Type Chart'!$C$2:$U$20,9,false)</f>
        <v>1</v>
      </c>
      <c r="AC2059" s="960">
        <f t="array" ref="AC2059">HLOOKUP($J2059,'Type Chart'!$C$2:$T$20,10,false)*HLOOKUP($K2059,'Type Chart'!$C$2:$U$20,10,false)</f>
        <v>2</v>
      </c>
      <c r="AD2059" s="960">
        <f t="array" ref="AD2059">HLOOKUP($J2059,'Type Chart'!$C$2:$T$20,11,false)*HLOOKUP($K2059,'Type Chart'!$C$2:$U$20,11,false)</f>
        <v>0.5</v>
      </c>
      <c r="AE2059" s="960">
        <f t="array" ref="AE2059">HLOOKUP($J2059,'Type Chart'!$C$2:$T$20,12,false)*HLOOKUP($K2059,'Type Chart'!$C$2:$U$20,12,false)</f>
        <v>2</v>
      </c>
      <c r="AF2059" s="960">
        <f t="array" ref="AF2059">HLOOKUP($J2059,'Type Chart'!$C$2:$T$20,13,false)*HLOOKUP($K2059,'Type Chart'!$C$2:$U$20,13,false)</f>
        <v>2</v>
      </c>
      <c r="AG2059" s="960">
        <f t="array" ref="AG2059">HLOOKUP($J2059,'Type Chart'!$C$2:$T$20,14,false)*HLOOKUP($K2059,'Type Chart'!$C$2:$U$20,14,false)</f>
        <v>1</v>
      </c>
      <c r="AH2059" s="960">
        <f t="array" ref="AH2059">HLOOKUP($J2059,'Type Chart'!$C$2:$T$20,15,false)*HLOOKUP($K2059,'Type Chart'!$C$2:$U$20,15,false)</f>
        <v>2</v>
      </c>
      <c r="AI2059" s="960">
        <f t="array" ref="AI2059">HLOOKUP($J2059,'Type Chart'!$C$2:$T$20,16,false)*HLOOKUP($K2059,'Type Chart'!$C$2:$U$20,16,false)</f>
        <v>1</v>
      </c>
      <c r="AJ2059" s="960">
        <f t="array" ref="AJ2059">HLOOKUP($J2059,'Type Chart'!$C$2:$T$20,17,false)*HLOOKUP($K2059,'Type Chart'!$C$2:$U$20,17,false)</f>
        <v>1</v>
      </c>
      <c r="AK2059" s="960">
        <f t="array" ref="AK2059">HLOOKUP($J2059,'Type Chart'!$C$2:$T$20,18,false)*HLOOKUP($K2059,'Type Chart'!$C$2:$U$20,18,false)</f>
        <v>0.5</v>
      </c>
      <c r="AL2059" s="960">
        <f t="array" ref="AL2059">HLOOKUP($J2059,'Type Chart'!$C$2:$T$20,19,false)*HLOOKUP($K2059,'Type Chart'!$C$2:$U$20,19,false)</f>
        <v>2</v>
      </c>
      <c r="AM2059" s="964" t="s">
        <v>1273</v>
      </c>
      <c r="AN2059" s="965"/>
      <c r="AO2059" s="966"/>
      <c r="AP2059" s="936"/>
      <c r="AQ2059" s="1245"/>
      <c r="AR2059" s="1245"/>
      <c r="AS2059" s="936"/>
    </row>
    <row r="2060" ht="15.75" customHeight="1">
      <c r="A2060" s="1099"/>
      <c r="B2060" s="948" t="s">
        <v>3211</v>
      </c>
      <c r="C2060" s="1197" t="s">
        <v>3212</v>
      </c>
      <c r="D2060" s="1197" t="s">
        <v>3212</v>
      </c>
      <c r="E2060" s="1147" t="s">
        <v>3212</v>
      </c>
      <c r="F2060" s="940"/>
      <c r="G2060" s="953"/>
      <c r="H2060" s="969"/>
      <c r="I2060" s="998" t="s">
        <v>5161</v>
      </c>
      <c r="J2060" s="957" t="s">
        <v>209</v>
      </c>
      <c r="K2060" s="1213" t="s">
        <v>341</v>
      </c>
      <c r="L2060" s="959">
        <v>91.0</v>
      </c>
      <c r="M2060" s="960">
        <v>90.0</v>
      </c>
      <c r="N2060" s="960">
        <v>72.0</v>
      </c>
      <c r="O2060" s="960">
        <v>90.0</v>
      </c>
      <c r="P2060" s="960">
        <v>129.0</v>
      </c>
      <c r="Q2060" s="960">
        <v>108.0</v>
      </c>
      <c r="R2060" s="960">
        <v>252.0</v>
      </c>
      <c r="S2060" s="960">
        <v>315.0</v>
      </c>
      <c r="T2060" s="960">
        <v>346.0</v>
      </c>
      <c r="U2060" s="960">
        <f t="array" ref="U2060">HLOOKUP($J2060,'Type Chart'!$C$2:$T$20,2,false)*HLOOKUP($K2060,'Type Chart'!$C$2:$U$20,2,false)</f>
        <v>1</v>
      </c>
      <c r="V2060" s="960">
        <f t="array" ref="V2060">HLOOKUP($J2060,'Type Chart'!$C$2:$T$20,3,false)*HLOOKUP($K2060,'Type Chart'!$C$2:$U$20,3,false)</f>
        <v>1</v>
      </c>
      <c r="W2060" s="960">
        <f t="array" ref="W2060">HLOOKUP($J2060,'Type Chart'!$C$2:$T$20,4,false)*HLOOKUP($K2060,'Type Chart'!$C$2:$U$20,4,false)</f>
        <v>4</v>
      </c>
      <c r="X2060" s="960">
        <f t="array" ref="X2060">HLOOKUP($J2060,'Type Chart'!$C$2:$T$20,5,false)*HLOOKUP($K2060,'Type Chart'!$C$2:$U$20,5,false)</f>
        <v>2</v>
      </c>
      <c r="Y2060" s="960">
        <f t="array" ref="Y2060">HLOOKUP($J2060,'Type Chart'!$C$2:$T$20,6,false)*HLOOKUP($K2060,'Type Chart'!$C$2:$U$20,6,false)</f>
        <v>0.5</v>
      </c>
      <c r="Z2060" s="960">
        <f t="array" ref="Z2060">HLOOKUP($J2060,'Type Chart'!$C$2:$T$20,7,false)*HLOOKUP($K2060,'Type Chart'!$C$2:$U$20,7,false)</f>
        <v>0.5</v>
      </c>
      <c r="AA2060" s="960">
        <f t="array" ref="AA2060">HLOOKUP($J2060,'Type Chart'!$C$2:$T$20,8,false)*HLOOKUP($K2060,'Type Chart'!$C$2:$U$20,8,false)</f>
        <v>1</v>
      </c>
      <c r="AB2060" s="960">
        <f t="array" ref="AB2060">HLOOKUP($J2060,'Type Chart'!$C$2:$T$20,9,false)*HLOOKUP($K2060,'Type Chart'!$C$2:$U$20,9,false)</f>
        <v>1</v>
      </c>
      <c r="AC2060" s="960">
        <f t="array" ref="AC2060">HLOOKUP($J2060,'Type Chart'!$C$2:$T$20,10,false)*HLOOKUP($K2060,'Type Chart'!$C$2:$U$20,10,false)</f>
        <v>1</v>
      </c>
      <c r="AD2060" s="960">
        <f t="array" ref="AD2060">HLOOKUP($J2060,'Type Chart'!$C$2:$T$20,11,false)*HLOOKUP($K2060,'Type Chart'!$C$2:$U$20,11,false)</f>
        <v>2</v>
      </c>
      <c r="AE2060" s="960">
        <f t="array" ref="AE2060">HLOOKUP($J2060,'Type Chart'!$C$2:$T$20,12,false)*HLOOKUP($K2060,'Type Chart'!$C$2:$U$20,12,false)</f>
        <v>0.5</v>
      </c>
      <c r="AF2060" s="960">
        <f t="array" ref="AF2060">HLOOKUP($J2060,'Type Chart'!$C$2:$T$20,13,false)*HLOOKUP($K2060,'Type Chart'!$C$2:$U$20,13,false)</f>
        <v>0.5</v>
      </c>
      <c r="AG2060" s="960">
        <f t="array" ref="AG2060">HLOOKUP($J2060,'Type Chart'!$C$2:$T$20,14,false)*HLOOKUP($K2060,'Type Chart'!$C$2:$U$20,14,false)</f>
        <v>0.5</v>
      </c>
      <c r="AH2060" s="960">
        <f t="array" ref="AH2060">HLOOKUP($J2060,'Type Chart'!$C$2:$T$20,15,false)*HLOOKUP($K2060,'Type Chart'!$C$2:$U$20,15,false)</f>
        <v>2</v>
      </c>
      <c r="AI2060" s="960">
        <f t="array" ref="AI2060">HLOOKUP($J2060,'Type Chart'!$C$2:$T$20,16,false)*HLOOKUP($K2060,'Type Chart'!$C$2:$U$20,16,false)</f>
        <v>2</v>
      </c>
      <c r="AJ2060" s="960">
        <f t="array" ref="AJ2060">HLOOKUP($J2060,'Type Chart'!$C$2:$T$20,17,false)*HLOOKUP($K2060,'Type Chart'!$C$2:$U$20,17,false)</f>
        <v>1</v>
      </c>
      <c r="AK2060" s="960">
        <f t="array" ref="AK2060">HLOOKUP($J2060,'Type Chart'!$C$2:$T$20,18,false)*HLOOKUP($K2060,'Type Chart'!$C$2:$U$20,18,false)</f>
        <v>0.5</v>
      </c>
      <c r="AL2060" s="960">
        <f t="array" ref="AL2060">HLOOKUP($J2060,'Type Chart'!$C$2:$T$20,19,false)*HLOOKUP($K2060,'Type Chart'!$C$2:$U$20,19,false)</f>
        <v>2</v>
      </c>
      <c r="AM2060" s="964" t="s">
        <v>1273</v>
      </c>
      <c r="AN2060" s="965"/>
      <c r="AO2060" s="966"/>
      <c r="AP2060" s="936"/>
      <c r="AQ2060" s="1245"/>
      <c r="AR2060" s="1245"/>
      <c r="AS2060" s="936"/>
    </row>
    <row r="2061" ht="15.75" customHeight="1">
      <c r="A2061" s="1099"/>
      <c r="B2061" s="948" t="s">
        <v>3213</v>
      </c>
      <c r="C2061" s="1197" t="s">
        <v>3214</v>
      </c>
      <c r="D2061" s="1197" t="s">
        <v>3214</v>
      </c>
      <c r="E2061" s="1147" t="s">
        <v>3214</v>
      </c>
      <c r="F2061" s="940"/>
      <c r="G2061" s="953"/>
      <c r="H2061" s="969"/>
      <c r="I2061" s="998" t="s">
        <v>211</v>
      </c>
      <c r="J2061" s="1001" t="s">
        <v>128</v>
      </c>
      <c r="K2061" s="984" t="s">
        <v>216</v>
      </c>
      <c r="L2061" s="959">
        <v>79.0</v>
      </c>
      <c r="M2061" s="960">
        <v>115.0</v>
      </c>
      <c r="N2061" s="960">
        <v>70.0</v>
      </c>
      <c r="O2061" s="960">
        <v>125.0</v>
      </c>
      <c r="P2061" s="960">
        <v>80.0</v>
      </c>
      <c r="Q2061" s="960">
        <v>111.0</v>
      </c>
      <c r="R2061" s="960">
        <v>258.0</v>
      </c>
      <c r="S2061" s="960">
        <v>321.0</v>
      </c>
      <c r="T2061" s="960">
        <v>353.0</v>
      </c>
      <c r="U2061" s="960">
        <f t="array" ref="U2061">HLOOKUP($J2061,'Type Chart'!$C$2:$T$20,2,false)*HLOOKUP($K2061,'Type Chart'!$C$2:$U$20,2,false)</f>
        <v>1</v>
      </c>
      <c r="V2061" s="960">
        <f t="array" ref="V2061">HLOOKUP($J2061,'Type Chart'!$C$2:$T$20,3,false)*HLOOKUP($K2061,'Type Chart'!$C$2:$U$20,3,false)</f>
        <v>0.5</v>
      </c>
      <c r="W2061" s="960">
        <f t="array" ref="W2061">HLOOKUP($J2061,'Type Chart'!$C$2:$T$20,4,false)*HLOOKUP($K2061,'Type Chart'!$C$2:$U$20,4,false)</f>
        <v>1</v>
      </c>
      <c r="X2061" s="960">
        <f t="array" ref="X2061">HLOOKUP($J2061,'Type Chart'!$C$2:$T$20,5,false)*HLOOKUP($K2061,'Type Chart'!$C$2:$U$20,5,false)</f>
        <v>1</v>
      </c>
      <c r="Y2061" s="960">
        <f t="array" ref="Y2061">HLOOKUP($J2061,'Type Chart'!$C$2:$T$20,6,false)*HLOOKUP($K2061,'Type Chart'!$C$2:$U$20,6,false)</f>
        <v>0</v>
      </c>
      <c r="Z2061" s="960">
        <f t="array" ref="Z2061">HLOOKUP($J2061,'Type Chart'!$C$2:$T$20,7,false)*HLOOKUP($K2061,'Type Chart'!$C$2:$U$20,7,false)</f>
        <v>2</v>
      </c>
      <c r="AA2061" s="960">
        <f t="array" ref="AA2061">HLOOKUP($J2061,'Type Chart'!$C$2:$T$20,8,false)*HLOOKUP($K2061,'Type Chart'!$C$2:$U$20,8,false)</f>
        <v>0.5</v>
      </c>
      <c r="AB2061" s="960">
        <f t="array" ref="AB2061">HLOOKUP($J2061,'Type Chart'!$C$2:$T$20,9,false)*HLOOKUP($K2061,'Type Chart'!$C$2:$U$20,9,false)</f>
        <v>1</v>
      </c>
      <c r="AC2061" s="960">
        <f t="array" ref="AC2061">HLOOKUP($J2061,'Type Chart'!$C$2:$T$20,10,false)*HLOOKUP($K2061,'Type Chart'!$C$2:$U$20,10,false)</f>
        <v>1</v>
      </c>
      <c r="AD2061" s="960">
        <f t="array" ref="AD2061">HLOOKUP($J2061,'Type Chart'!$C$2:$T$20,11,false)*HLOOKUP($K2061,'Type Chart'!$C$2:$U$20,11,false)</f>
        <v>1</v>
      </c>
      <c r="AE2061" s="960">
        <f t="array" ref="AE2061">HLOOKUP($J2061,'Type Chart'!$C$2:$T$20,12,false)*HLOOKUP($K2061,'Type Chart'!$C$2:$U$20,12,false)</f>
        <v>1</v>
      </c>
      <c r="AF2061" s="960">
        <f t="array" ref="AF2061">HLOOKUP($J2061,'Type Chart'!$C$2:$T$20,13,false)*HLOOKUP($K2061,'Type Chart'!$C$2:$U$20,13,false)</f>
        <v>0.5</v>
      </c>
      <c r="AG2061" s="960">
        <f t="array" ref="AG2061">HLOOKUP($J2061,'Type Chart'!$C$2:$T$20,14,false)*HLOOKUP($K2061,'Type Chart'!$C$2:$U$20,14,false)</f>
        <v>2</v>
      </c>
      <c r="AH2061" s="960">
        <f t="array" ref="AH2061">HLOOKUP($J2061,'Type Chart'!$C$2:$T$20,15,false)*HLOOKUP($K2061,'Type Chart'!$C$2:$U$20,15,false)</f>
        <v>1</v>
      </c>
      <c r="AI2061" s="960">
        <f t="array" ref="AI2061">HLOOKUP($J2061,'Type Chart'!$C$2:$T$20,16,false)*HLOOKUP($K2061,'Type Chart'!$C$2:$U$20,16,false)</f>
        <v>2</v>
      </c>
      <c r="AJ2061" s="960">
        <f t="array" ref="AJ2061">HLOOKUP($J2061,'Type Chart'!$C$2:$T$20,17,false)*HLOOKUP($K2061,'Type Chart'!$C$2:$U$20,17,false)</f>
        <v>1</v>
      </c>
      <c r="AK2061" s="960">
        <f t="array" ref="AK2061">HLOOKUP($J2061,'Type Chart'!$C$2:$T$20,18,false)*HLOOKUP($K2061,'Type Chart'!$C$2:$U$20,18,false)</f>
        <v>1</v>
      </c>
      <c r="AL2061" s="960">
        <f t="array" ref="AL2061">HLOOKUP($J2061,'Type Chart'!$C$2:$T$20,19,false)*HLOOKUP($K2061,'Type Chart'!$C$2:$U$20,19,false)</f>
        <v>1</v>
      </c>
      <c r="AM2061" s="964" t="s">
        <v>1813</v>
      </c>
      <c r="AN2061" s="965"/>
      <c r="AO2061" s="966" t="s">
        <v>1267</v>
      </c>
      <c r="AP2061" s="936"/>
      <c r="AQ2061" s="1245"/>
      <c r="AR2061" s="1245"/>
      <c r="AS2061" s="936"/>
    </row>
    <row r="2062" ht="15.75" customHeight="1">
      <c r="A2062" s="1099"/>
      <c r="B2062" s="948" t="s">
        <v>3215</v>
      </c>
      <c r="C2062" s="1197" t="s">
        <v>143</v>
      </c>
      <c r="D2062" s="1197" t="s">
        <v>143</v>
      </c>
      <c r="E2062" s="1147" t="s">
        <v>143</v>
      </c>
      <c r="F2062" s="940"/>
      <c r="G2062" s="953"/>
      <c r="H2062" s="969"/>
      <c r="I2062" s="998" t="s">
        <v>5162</v>
      </c>
      <c r="J2062" s="1001" t="s">
        <v>128</v>
      </c>
      <c r="K2062" s="984" t="s">
        <v>216</v>
      </c>
      <c r="L2062" s="959">
        <v>79.0</v>
      </c>
      <c r="M2062" s="960">
        <v>100.0</v>
      </c>
      <c r="N2062" s="960">
        <v>80.0</v>
      </c>
      <c r="O2062" s="960">
        <v>110.0</v>
      </c>
      <c r="P2062" s="960">
        <v>90.0</v>
      </c>
      <c r="Q2062" s="960">
        <v>121.0</v>
      </c>
      <c r="R2062" s="960">
        <v>278.0</v>
      </c>
      <c r="S2062" s="960">
        <v>341.0</v>
      </c>
      <c r="T2062" s="960">
        <v>375.0</v>
      </c>
      <c r="U2062" s="960">
        <f t="array" ref="U2062">HLOOKUP($J2062,'Type Chart'!$C$2:$T$20,2,false)*HLOOKUP($K2062,'Type Chart'!$C$2:$U$20,2,false)</f>
        <v>1</v>
      </c>
      <c r="V2062" s="960">
        <f t="array" ref="V2062">HLOOKUP($J2062,'Type Chart'!$C$2:$T$20,3,false)*HLOOKUP($K2062,'Type Chart'!$C$2:$U$20,3,false)</f>
        <v>0.5</v>
      </c>
      <c r="W2062" s="960">
        <f t="array" ref="W2062">HLOOKUP($J2062,'Type Chart'!$C$2:$T$20,4,false)*HLOOKUP($K2062,'Type Chart'!$C$2:$U$20,4,false)</f>
        <v>1</v>
      </c>
      <c r="X2062" s="960">
        <f t="array" ref="X2062">HLOOKUP($J2062,'Type Chart'!$C$2:$T$20,5,false)*HLOOKUP($K2062,'Type Chart'!$C$2:$U$20,5,false)</f>
        <v>1</v>
      </c>
      <c r="Y2062" s="960">
        <f t="array" ref="Y2062">HLOOKUP($J2062,'Type Chart'!$C$2:$T$20,6,false)*HLOOKUP($K2062,'Type Chart'!$C$2:$U$20,6,false)</f>
        <v>0</v>
      </c>
      <c r="Z2062" s="960">
        <f t="array" ref="Z2062">HLOOKUP($J2062,'Type Chart'!$C$2:$T$20,7,false)*HLOOKUP($K2062,'Type Chart'!$C$2:$U$20,7,false)</f>
        <v>2</v>
      </c>
      <c r="AA2062" s="960">
        <f t="array" ref="AA2062">HLOOKUP($J2062,'Type Chart'!$C$2:$T$20,8,false)*HLOOKUP($K2062,'Type Chart'!$C$2:$U$20,8,false)</f>
        <v>0.5</v>
      </c>
      <c r="AB2062" s="960">
        <f t="array" ref="AB2062">HLOOKUP($J2062,'Type Chart'!$C$2:$T$20,9,false)*HLOOKUP($K2062,'Type Chart'!$C$2:$U$20,9,false)</f>
        <v>1</v>
      </c>
      <c r="AC2062" s="960">
        <f t="array" ref="AC2062">HLOOKUP($J2062,'Type Chart'!$C$2:$T$20,10,false)*HLOOKUP($K2062,'Type Chart'!$C$2:$U$20,10,false)</f>
        <v>1</v>
      </c>
      <c r="AD2062" s="960">
        <f t="array" ref="AD2062">HLOOKUP($J2062,'Type Chart'!$C$2:$T$20,11,false)*HLOOKUP($K2062,'Type Chart'!$C$2:$U$20,11,false)</f>
        <v>1</v>
      </c>
      <c r="AE2062" s="960">
        <f t="array" ref="AE2062">HLOOKUP($J2062,'Type Chart'!$C$2:$T$20,12,false)*HLOOKUP($K2062,'Type Chart'!$C$2:$U$20,12,false)</f>
        <v>1</v>
      </c>
      <c r="AF2062" s="960">
        <f t="array" ref="AF2062">HLOOKUP($J2062,'Type Chart'!$C$2:$T$20,13,false)*HLOOKUP($K2062,'Type Chart'!$C$2:$U$20,13,false)</f>
        <v>0.5</v>
      </c>
      <c r="AG2062" s="960">
        <f t="array" ref="AG2062">HLOOKUP($J2062,'Type Chart'!$C$2:$T$20,14,false)*HLOOKUP($K2062,'Type Chart'!$C$2:$U$20,14,false)</f>
        <v>2</v>
      </c>
      <c r="AH2062" s="960">
        <f t="array" ref="AH2062">HLOOKUP($J2062,'Type Chart'!$C$2:$T$20,15,false)*HLOOKUP($K2062,'Type Chart'!$C$2:$U$20,15,false)</f>
        <v>1</v>
      </c>
      <c r="AI2062" s="960">
        <f t="array" ref="AI2062">HLOOKUP($J2062,'Type Chart'!$C$2:$T$20,16,false)*HLOOKUP($K2062,'Type Chart'!$C$2:$U$20,16,false)</f>
        <v>2</v>
      </c>
      <c r="AJ2062" s="960">
        <f t="array" ref="AJ2062">HLOOKUP($J2062,'Type Chart'!$C$2:$T$20,17,false)*HLOOKUP($K2062,'Type Chart'!$C$2:$U$20,17,false)</f>
        <v>1</v>
      </c>
      <c r="AK2062" s="960">
        <f t="array" ref="AK2062">HLOOKUP($J2062,'Type Chart'!$C$2:$T$20,18,false)*HLOOKUP($K2062,'Type Chart'!$C$2:$U$20,18,false)</f>
        <v>1</v>
      </c>
      <c r="AL2062" s="960">
        <f t="array" ref="AL2062">HLOOKUP($J2062,'Type Chart'!$C$2:$T$20,19,false)*HLOOKUP($K2062,'Type Chart'!$C$2:$U$20,19,false)</f>
        <v>1</v>
      </c>
      <c r="AM2062" s="964" t="s">
        <v>1371</v>
      </c>
      <c r="AN2062" s="965"/>
      <c r="AO2062" s="966"/>
      <c r="AP2062" s="936"/>
      <c r="AQ2062" s="1245"/>
      <c r="AR2062" s="1245"/>
      <c r="AS2062" s="936"/>
    </row>
    <row r="2063" ht="15.75" customHeight="1">
      <c r="A2063" s="1099"/>
      <c r="B2063" s="948" t="s">
        <v>3216</v>
      </c>
      <c r="C2063" s="1197" t="s">
        <v>3217</v>
      </c>
      <c r="D2063" s="1197" t="s">
        <v>3217</v>
      </c>
      <c r="E2063" s="1147" t="s">
        <v>3217</v>
      </c>
      <c r="F2063" s="940"/>
      <c r="G2063" s="953"/>
      <c r="H2063" s="969"/>
      <c r="I2063" s="998" t="s">
        <v>5163</v>
      </c>
      <c r="J2063" s="1196" t="s">
        <v>203</v>
      </c>
      <c r="K2063" s="1001" t="s">
        <v>128</v>
      </c>
      <c r="L2063" s="959">
        <v>79.0</v>
      </c>
      <c r="M2063" s="960">
        <v>115.0</v>
      </c>
      <c r="N2063" s="960">
        <v>70.0</v>
      </c>
      <c r="O2063" s="960">
        <v>125.0</v>
      </c>
      <c r="P2063" s="960">
        <v>80.0</v>
      </c>
      <c r="Q2063" s="960">
        <v>111.0</v>
      </c>
      <c r="R2063" s="960">
        <v>258.0</v>
      </c>
      <c r="S2063" s="960">
        <v>321.0</v>
      </c>
      <c r="T2063" s="960">
        <v>353.0</v>
      </c>
      <c r="U2063" s="960">
        <f t="array" ref="U2063">HLOOKUP($J2063,'Type Chart'!$C$2:$T$20,2,false)*HLOOKUP($K2063,'Type Chart'!$C$2:$U$20,2,false)</f>
        <v>1</v>
      </c>
      <c r="V2063" s="960">
        <f t="array" ref="V2063">HLOOKUP($J2063,'Type Chart'!$C$2:$T$20,3,false)*HLOOKUP($K2063,'Type Chart'!$C$2:$U$20,3,false)</f>
        <v>0.5</v>
      </c>
      <c r="W2063" s="960">
        <f t="array" ref="W2063">HLOOKUP($J2063,'Type Chart'!$C$2:$T$20,4,false)*HLOOKUP($K2063,'Type Chart'!$C$2:$U$20,4,false)</f>
        <v>0.5</v>
      </c>
      <c r="X2063" s="960">
        <f t="array" ref="X2063">HLOOKUP($J2063,'Type Chart'!$C$2:$T$20,5,false)*HLOOKUP($K2063,'Type Chart'!$C$2:$U$20,5,false)</f>
        <v>1</v>
      </c>
      <c r="Y2063" s="960">
        <f t="array" ref="Y2063">HLOOKUP($J2063,'Type Chart'!$C$2:$T$20,6,false)*HLOOKUP($K2063,'Type Chart'!$C$2:$U$20,6,false)</f>
        <v>0</v>
      </c>
      <c r="Z2063" s="960">
        <f t="array" ref="Z2063">HLOOKUP($J2063,'Type Chart'!$C$2:$T$20,7,false)*HLOOKUP($K2063,'Type Chart'!$C$2:$U$20,7,false)</f>
        <v>2</v>
      </c>
      <c r="AA2063" s="960">
        <f t="array" ref="AA2063">HLOOKUP($J2063,'Type Chart'!$C$2:$T$20,8,false)*HLOOKUP($K2063,'Type Chart'!$C$2:$U$20,8,false)</f>
        <v>0.5</v>
      </c>
      <c r="AB2063" s="960">
        <f t="array" ref="AB2063">HLOOKUP($J2063,'Type Chart'!$C$2:$T$20,9,false)*HLOOKUP($K2063,'Type Chart'!$C$2:$U$20,9,false)</f>
        <v>1</v>
      </c>
      <c r="AC2063" s="960">
        <f t="array" ref="AC2063">HLOOKUP($J2063,'Type Chart'!$C$2:$T$20,10,false)*HLOOKUP($K2063,'Type Chart'!$C$2:$U$20,10,false)</f>
        <v>0.5</v>
      </c>
      <c r="AD2063" s="960">
        <f t="array" ref="AD2063">HLOOKUP($J2063,'Type Chart'!$C$2:$T$20,11,false)*HLOOKUP($K2063,'Type Chart'!$C$2:$U$20,11,false)</f>
        <v>1</v>
      </c>
      <c r="AE2063" s="960">
        <f t="array" ref="AE2063">HLOOKUP($J2063,'Type Chart'!$C$2:$T$20,12,false)*HLOOKUP($K2063,'Type Chart'!$C$2:$U$20,12,false)</f>
        <v>1</v>
      </c>
      <c r="AF2063" s="960">
        <f t="array" ref="AF2063">HLOOKUP($J2063,'Type Chart'!$C$2:$T$20,13,false)*HLOOKUP($K2063,'Type Chart'!$C$2:$U$20,13,false)</f>
        <v>0.5</v>
      </c>
      <c r="AG2063" s="960">
        <f t="array" ref="AG2063">HLOOKUP($J2063,'Type Chart'!$C$2:$T$20,14,false)*HLOOKUP($K2063,'Type Chart'!$C$2:$U$20,14,false)</f>
        <v>1</v>
      </c>
      <c r="AH2063" s="960">
        <f t="array" ref="AH2063">HLOOKUP($J2063,'Type Chart'!$C$2:$T$20,15,false)*HLOOKUP($K2063,'Type Chart'!$C$2:$U$20,15,false)</f>
        <v>1</v>
      </c>
      <c r="AI2063" s="960">
        <f t="array" ref="AI2063">HLOOKUP($J2063,'Type Chart'!$C$2:$T$20,16,false)*HLOOKUP($K2063,'Type Chart'!$C$2:$U$20,16,false)</f>
        <v>2</v>
      </c>
      <c r="AJ2063" s="960">
        <f t="array" ref="AJ2063">HLOOKUP($J2063,'Type Chart'!$C$2:$T$20,17,false)*HLOOKUP($K2063,'Type Chart'!$C$2:$U$20,17,false)</f>
        <v>1</v>
      </c>
      <c r="AK2063" s="960">
        <f t="array" ref="AK2063">HLOOKUP($J2063,'Type Chart'!$C$2:$T$20,18,false)*HLOOKUP($K2063,'Type Chart'!$C$2:$U$20,18,false)</f>
        <v>1</v>
      </c>
      <c r="AL2063" s="960">
        <f t="array" ref="AL2063">HLOOKUP($J2063,'Type Chart'!$C$2:$T$20,19,false)*HLOOKUP($K2063,'Type Chart'!$C$2:$U$20,19,false)</f>
        <v>1</v>
      </c>
      <c r="AM2063" s="964" t="s">
        <v>1813</v>
      </c>
      <c r="AN2063" s="965"/>
      <c r="AO2063" s="966" t="s">
        <v>1267</v>
      </c>
      <c r="AP2063" s="936"/>
      <c r="AQ2063" s="1245"/>
      <c r="AR2063" s="1245"/>
      <c r="AS2063" s="936"/>
    </row>
    <row r="2064" ht="15.75" customHeight="1">
      <c r="A2064" s="1099"/>
      <c r="B2064" s="948" t="s">
        <v>3218</v>
      </c>
      <c r="C2064" s="1197" t="s">
        <v>3219</v>
      </c>
      <c r="D2064" s="1197" t="s">
        <v>3219</v>
      </c>
      <c r="E2064" s="1147" t="s">
        <v>3219</v>
      </c>
      <c r="F2064" s="940"/>
      <c r="G2064" s="953"/>
      <c r="H2064" s="969"/>
      <c r="I2064" s="998" t="s">
        <v>5164</v>
      </c>
      <c r="J2064" s="1196" t="s">
        <v>203</v>
      </c>
      <c r="K2064" s="1001" t="s">
        <v>128</v>
      </c>
      <c r="L2064" s="959">
        <v>79.0</v>
      </c>
      <c r="M2064" s="960">
        <v>105.0</v>
      </c>
      <c r="N2064" s="960">
        <v>70.0</v>
      </c>
      <c r="O2064" s="960">
        <v>145.0</v>
      </c>
      <c r="P2064" s="960">
        <v>80.0</v>
      </c>
      <c r="Q2064" s="960">
        <v>101.0</v>
      </c>
      <c r="R2064" s="960">
        <v>238.0</v>
      </c>
      <c r="S2064" s="960">
        <v>301.0</v>
      </c>
      <c r="T2064" s="960">
        <v>331.0</v>
      </c>
      <c r="U2064" s="960">
        <f t="array" ref="U2064">HLOOKUP($J2064,'Type Chart'!$C$2:$T$20,2,false)*HLOOKUP($K2064,'Type Chart'!$C$2:$U$20,2,false)</f>
        <v>1</v>
      </c>
      <c r="V2064" s="960">
        <f t="array" ref="V2064">HLOOKUP($J2064,'Type Chart'!$C$2:$T$20,3,false)*HLOOKUP($K2064,'Type Chart'!$C$2:$U$20,3,false)</f>
        <v>0.5</v>
      </c>
      <c r="W2064" s="960">
        <f t="array" ref="W2064">HLOOKUP($J2064,'Type Chart'!$C$2:$T$20,4,false)*HLOOKUP($K2064,'Type Chart'!$C$2:$U$20,4,false)</f>
        <v>0.5</v>
      </c>
      <c r="X2064" s="960">
        <f t="array" ref="X2064">HLOOKUP($J2064,'Type Chart'!$C$2:$T$20,5,false)*HLOOKUP($K2064,'Type Chart'!$C$2:$U$20,5,false)</f>
        <v>1</v>
      </c>
      <c r="Y2064" s="960">
        <f t="array" ref="Y2064">HLOOKUP($J2064,'Type Chart'!$C$2:$T$20,6,false)*HLOOKUP($K2064,'Type Chart'!$C$2:$U$20,6,false)</f>
        <v>0</v>
      </c>
      <c r="Z2064" s="960">
        <f t="array" ref="Z2064">HLOOKUP($J2064,'Type Chart'!$C$2:$T$20,7,false)*HLOOKUP($K2064,'Type Chart'!$C$2:$U$20,7,false)</f>
        <v>2</v>
      </c>
      <c r="AA2064" s="960">
        <f t="array" ref="AA2064">HLOOKUP($J2064,'Type Chart'!$C$2:$T$20,8,false)*HLOOKUP($K2064,'Type Chart'!$C$2:$U$20,8,false)</f>
        <v>0.5</v>
      </c>
      <c r="AB2064" s="960">
        <f t="array" ref="AB2064">HLOOKUP($J2064,'Type Chart'!$C$2:$T$20,9,false)*HLOOKUP($K2064,'Type Chart'!$C$2:$U$20,9,false)</f>
        <v>1</v>
      </c>
      <c r="AC2064" s="960">
        <f t="array" ref="AC2064">HLOOKUP($J2064,'Type Chart'!$C$2:$T$20,10,false)*HLOOKUP($K2064,'Type Chart'!$C$2:$U$20,10,false)</f>
        <v>0.5</v>
      </c>
      <c r="AD2064" s="960">
        <f t="array" ref="AD2064">HLOOKUP($J2064,'Type Chart'!$C$2:$T$20,11,false)*HLOOKUP($K2064,'Type Chart'!$C$2:$U$20,11,false)</f>
        <v>1</v>
      </c>
      <c r="AE2064" s="960">
        <f t="array" ref="AE2064">HLOOKUP($J2064,'Type Chart'!$C$2:$T$20,12,false)*HLOOKUP($K2064,'Type Chart'!$C$2:$U$20,12,false)</f>
        <v>1</v>
      </c>
      <c r="AF2064" s="960">
        <f t="array" ref="AF2064">HLOOKUP($J2064,'Type Chart'!$C$2:$T$20,13,false)*HLOOKUP($K2064,'Type Chart'!$C$2:$U$20,13,false)</f>
        <v>0.5</v>
      </c>
      <c r="AG2064" s="960">
        <f t="array" ref="AG2064">HLOOKUP($J2064,'Type Chart'!$C$2:$T$20,14,false)*HLOOKUP($K2064,'Type Chart'!$C$2:$U$20,14,false)</f>
        <v>1</v>
      </c>
      <c r="AH2064" s="960">
        <f t="array" ref="AH2064">HLOOKUP($J2064,'Type Chart'!$C$2:$T$20,15,false)*HLOOKUP($K2064,'Type Chart'!$C$2:$U$20,15,false)</f>
        <v>1</v>
      </c>
      <c r="AI2064" s="960">
        <f t="array" ref="AI2064">HLOOKUP($J2064,'Type Chart'!$C$2:$T$20,16,false)*HLOOKUP($K2064,'Type Chart'!$C$2:$U$20,16,false)</f>
        <v>2</v>
      </c>
      <c r="AJ2064" s="960">
        <f t="array" ref="AJ2064">HLOOKUP($J2064,'Type Chart'!$C$2:$T$20,17,false)*HLOOKUP($K2064,'Type Chart'!$C$2:$U$20,17,false)</f>
        <v>1</v>
      </c>
      <c r="AK2064" s="960">
        <f t="array" ref="AK2064">HLOOKUP($J2064,'Type Chart'!$C$2:$T$20,18,false)*HLOOKUP($K2064,'Type Chart'!$C$2:$U$20,18,false)</f>
        <v>1</v>
      </c>
      <c r="AL2064" s="960">
        <f t="array" ref="AL2064">HLOOKUP($J2064,'Type Chart'!$C$2:$T$20,19,false)*HLOOKUP($K2064,'Type Chart'!$C$2:$U$20,19,false)</f>
        <v>1</v>
      </c>
      <c r="AM2064" s="964" t="s">
        <v>1614</v>
      </c>
      <c r="AN2064" s="965"/>
      <c r="AO2064" s="966"/>
      <c r="AP2064" s="936"/>
      <c r="AQ2064" s="1245"/>
      <c r="AR2064" s="1245"/>
      <c r="AS2064" s="936"/>
    </row>
    <row r="2065" ht="15.75" customHeight="1">
      <c r="A2065" s="1099"/>
      <c r="B2065" s="948" t="s">
        <v>3220</v>
      </c>
      <c r="C2065" s="1197" t="s">
        <v>3221</v>
      </c>
      <c r="D2065" s="1197" t="s">
        <v>3221</v>
      </c>
      <c r="E2065" s="1147" t="s">
        <v>3221</v>
      </c>
      <c r="F2065" s="940"/>
      <c r="G2065" s="953"/>
      <c r="H2065" s="969"/>
      <c r="I2065" s="998" t="s">
        <v>5165</v>
      </c>
      <c r="J2065" s="1006" t="s">
        <v>346</v>
      </c>
      <c r="K2065" s="982" t="s">
        <v>150</v>
      </c>
      <c r="L2065" s="959">
        <v>100.0</v>
      </c>
      <c r="M2065" s="960">
        <v>120.0</v>
      </c>
      <c r="N2065" s="960">
        <v>100.0</v>
      </c>
      <c r="O2065" s="960">
        <v>150.0</v>
      </c>
      <c r="P2065" s="960">
        <v>120.0</v>
      </c>
      <c r="Q2065" s="960">
        <v>90.0</v>
      </c>
      <c r="R2065" s="960">
        <v>216.0</v>
      </c>
      <c r="S2065" s="960">
        <v>279.0</v>
      </c>
      <c r="T2065" s="960">
        <v>306.0</v>
      </c>
      <c r="U2065" s="960">
        <f t="array" ref="U2065">HLOOKUP($J2065,'Type Chart'!$C$2:$T$20,2,false)*HLOOKUP($K2065,'Type Chart'!$C$2:$U$20,2,false)</f>
        <v>1</v>
      </c>
      <c r="V2065" s="960">
        <f t="array" ref="V2065">HLOOKUP($J2065,'Type Chart'!$C$2:$T$20,3,false)*HLOOKUP($K2065,'Type Chart'!$C$2:$U$20,3,false)</f>
        <v>1</v>
      </c>
      <c r="W2065" s="960">
        <f t="array" ref="W2065">HLOOKUP($J2065,'Type Chart'!$C$2:$T$20,4,false)*HLOOKUP($K2065,'Type Chart'!$C$2:$U$20,4,false)</f>
        <v>1</v>
      </c>
      <c r="X2065" s="960">
        <f t="array" ref="X2065">HLOOKUP($J2065,'Type Chart'!$C$2:$T$20,5,false)*HLOOKUP($K2065,'Type Chart'!$C$2:$U$20,5,false)</f>
        <v>1</v>
      </c>
      <c r="Y2065" s="960">
        <f t="array" ref="Y2065">HLOOKUP($J2065,'Type Chart'!$C$2:$T$20,6,false)*HLOOKUP($K2065,'Type Chart'!$C$2:$U$20,6,false)</f>
        <v>2</v>
      </c>
      <c r="Z2065" s="960">
        <f t="array" ref="Z2065">HLOOKUP($J2065,'Type Chart'!$C$2:$T$20,7,false)*HLOOKUP($K2065,'Type Chart'!$C$2:$U$20,7,false)</f>
        <v>2</v>
      </c>
      <c r="AA2065" s="960">
        <f t="array" ref="AA2065">HLOOKUP($J2065,'Type Chart'!$C$2:$T$20,8,false)*HLOOKUP($K2065,'Type Chart'!$C$2:$U$20,8,false)</f>
        <v>0.5</v>
      </c>
      <c r="AB2065" s="960">
        <f t="array" ref="AB2065">HLOOKUP($J2065,'Type Chart'!$C$2:$T$20,9,false)*HLOOKUP($K2065,'Type Chart'!$C$2:$U$20,9,false)</f>
        <v>1</v>
      </c>
      <c r="AC2065" s="960">
        <f t="array" ref="AC2065">HLOOKUP($J2065,'Type Chart'!$C$2:$T$20,10,false)*HLOOKUP($K2065,'Type Chart'!$C$2:$U$20,10,false)</f>
        <v>0.5</v>
      </c>
      <c r="AD2065" s="960">
        <f t="array" ref="AD2065">HLOOKUP($J2065,'Type Chart'!$C$2:$T$20,11,false)*HLOOKUP($K2065,'Type Chart'!$C$2:$U$20,11,false)</f>
        <v>0.25</v>
      </c>
      <c r="AE2065" s="960">
        <f t="array" ref="AE2065">HLOOKUP($J2065,'Type Chart'!$C$2:$T$20,12,false)*HLOOKUP($K2065,'Type Chart'!$C$2:$U$20,12,false)</f>
        <v>1</v>
      </c>
      <c r="AF2065" s="960">
        <f t="array" ref="AF2065">HLOOKUP($J2065,'Type Chart'!$C$2:$T$20,13,false)*HLOOKUP($K2065,'Type Chart'!$C$2:$U$20,13,false)</f>
        <v>0.25</v>
      </c>
      <c r="AG2065" s="960">
        <f t="array" ref="AG2065">HLOOKUP($J2065,'Type Chart'!$C$2:$T$20,14,false)*HLOOKUP($K2065,'Type Chart'!$C$2:$U$20,14,false)</f>
        <v>0.5</v>
      </c>
      <c r="AH2065" s="960">
        <f t="array" ref="AH2065">HLOOKUP($J2065,'Type Chart'!$C$2:$T$20,15,false)*HLOOKUP($K2065,'Type Chart'!$C$2:$U$20,15,false)</f>
        <v>1</v>
      </c>
      <c r="AI2065" s="960">
        <f t="array" ref="AI2065">HLOOKUP($J2065,'Type Chart'!$C$2:$T$20,16,false)*HLOOKUP($K2065,'Type Chart'!$C$2:$U$20,16,false)</f>
        <v>1</v>
      </c>
      <c r="AJ2065" s="960">
        <f t="array" ref="AJ2065">HLOOKUP($J2065,'Type Chart'!$C$2:$T$20,17,false)*HLOOKUP($K2065,'Type Chart'!$C$2:$U$20,17,false)</f>
        <v>2</v>
      </c>
      <c r="AK2065" s="960">
        <f t="array" ref="AK2065">HLOOKUP($J2065,'Type Chart'!$C$2:$T$20,18,false)*HLOOKUP($K2065,'Type Chart'!$C$2:$U$20,18,false)</f>
        <v>1</v>
      </c>
      <c r="AL2065" s="960">
        <f t="array" ref="AL2065">HLOOKUP($J2065,'Type Chart'!$C$2:$T$20,19,false)*HLOOKUP($K2065,'Type Chart'!$C$2:$U$20,19,false)</f>
        <v>1</v>
      </c>
      <c r="AM2065" s="964" t="s">
        <v>3222</v>
      </c>
      <c r="AN2065" s="965"/>
      <c r="AO2065" s="966"/>
      <c r="AP2065" s="936"/>
      <c r="AQ2065" s="1245"/>
      <c r="AR2065" s="1245"/>
      <c r="AS2065" s="936"/>
    </row>
    <row r="2066" ht="15.75" customHeight="1">
      <c r="A2066" s="1099"/>
      <c r="B2066" s="948" t="s">
        <v>3223</v>
      </c>
      <c r="C2066" s="1197" t="s">
        <v>3224</v>
      </c>
      <c r="D2066" s="1197" t="s">
        <v>3224</v>
      </c>
      <c r="E2066" s="1147" t="s">
        <v>3224</v>
      </c>
      <c r="F2066" s="940"/>
      <c r="G2066" s="953"/>
      <c r="H2066" s="969"/>
      <c r="I2066" s="998" t="s">
        <v>5166</v>
      </c>
      <c r="J2066" s="1006" t="s">
        <v>346</v>
      </c>
      <c r="K2066" s="1196" t="s">
        <v>203</v>
      </c>
      <c r="L2066" s="959">
        <v>100.0</v>
      </c>
      <c r="M2066" s="960">
        <v>150.0</v>
      </c>
      <c r="N2066" s="960">
        <v>120.0</v>
      </c>
      <c r="O2066" s="960">
        <v>120.0</v>
      </c>
      <c r="P2066" s="960">
        <v>100.0</v>
      </c>
      <c r="Q2066" s="960">
        <v>90.0</v>
      </c>
      <c r="R2066" s="960">
        <v>216.0</v>
      </c>
      <c r="S2066" s="960">
        <v>279.0</v>
      </c>
      <c r="T2066" s="960">
        <v>306.0</v>
      </c>
      <c r="U2066" s="960">
        <f t="array" ref="U2066">HLOOKUP($J2066,'Type Chart'!$C$2:$T$20,2,false)*HLOOKUP($K2066,'Type Chart'!$C$2:$U$20,2,false)</f>
        <v>1</v>
      </c>
      <c r="V2066" s="960">
        <f t="array" ref="V2066">HLOOKUP($J2066,'Type Chart'!$C$2:$T$20,3,false)*HLOOKUP($K2066,'Type Chart'!$C$2:$U$20,3,false)</f>
        <v>1</v>
      </c>
      <c r="W2066" s="960">
        <f t="array" ref="W2066">HLOOKUP($J2066,'Type Chart'!$C$2:$T$20,4,false)*HLOOKUP($K2066,'Type Chart'!$C$2:$U$20,4,false)</f>
        <v>0.5</v>
      </c>
      <c r="X2066" s="960">
        <f t="array" ref="X2066">HLOOKUP($J2066,'Type Chart'!$C$2:$T$20,5,false)*HLOOKUP($K2066,'Type Chart'!$C$2:$U$20,5,false)</f>
        <v>1</v>
      </c>
      <c r="Y2066" s="960">
        <f t="array" ref="Y2066">HLOOKUP($J2066,'Type Chart'!$C$2:$T$20,6,false)*HLOOKUP($K2066,'Type Chart'!$C$2:$U$20,6,false)</f>
        <v>2</v>
      </c>
      <c r="Z2066" s="960">
        <f t="array" ref="Z2066">HLOOKUP($J2066,'Type Chart'!$C$2:$T$20,7,false)*HLOOKUP($K2066,'Type Chart'!$C$2:$U$20,7,false)</f>
        <v>1</v>
      </c>
      <c r="AA2066" s="960">
        <f t="array" ref="AA2066">HLOOKUP($J2066,'Type Chart'!$C$2:$T$20,8,false)*HLOOKUP($K2066,'Type Chart'!$C$2:$U$20,8,false)</f>
        <v>1</v>
      </c>
      <c r="AB2066" s="960">
        <f t="array" ref="AB2066">HLOOKUP($J2066,'Type Chart'!$C$2:$T$20,9,false)*HLOOKUP($K2066,'Type Chart'!$C$2:$U$20,9,false)</f>
        <v>1</v>
      </c>
      <c r="AC2066" s="960">
        <f t="array" ref="AC2066">HLOOKUP($J2066,'Type Chart'!$C$2:$T$20,10,false)*HLOOKUP($K2066,'Type Chart'!$C$2:$U$20,10,false)</f>
        <v>0.5</v>
      </c>
      <c r="AD2066" s="960">
        <f t="array" ref="AD2066">HLOOKUP($J2066,'Type Chart'!$C$2:$T$20,11,false)*HLOOKUP($K2066,'Type Chart'!$C$2:$U$20,11,false)</f>
        <v>0.5</v>
      </c>
      <c r="AE2066" s="960">
        <f t="array" ref="AE2066">HLOOKUP($J2066,'Type Chart'!$C$2:$T$20,12,false)*HLOOKUP($K2066,'Type Chart'!$C$2:$U$20,12,false)</f>
        <v>0.5</v>
      </c>
      <c r="AF2066" s="960">
        <f t="array" ref="AF2066">HLOOKUP($J2066,'Type Chart'!$C$2:$T$20,13,false)*HLOOKUP($K2066,'Type Chart'!$C$2:$U$20,13,false)</f>
        <v>0.5</v>
      </c>
      <c r="AG2066" s="960">
        <f t="array" ref="AG2066">HLOOKUP($J2066,'Type Chart'!$C$2:$T$20,14,false)*HLOOKUP($K2066,'Type Chart'!$C$2:$U$20,14,false)</f>
        <v>0.25</v>
      </c>
      <c r="AH2066" s="960">
        <f t="array" ref="AH2066">HLOOKUP($J2066,'Type Chart'!$C$2:$T$20,15,false)*HLOOKUP($K2066,'Type Chart'!$C$2:$U$20,15,false)</f>
        <v>1</v>
      </c>
      <c r="AI2066" s="960">
        <f t="array" ref="AI2066">HLOOKUP($J2066,'Type Chart'!$C$2:$T$20,16,false)*HLOOKUP($K2066,'Type Chart'!$C$2:$U$20,16,false)</f>
        <v>2</v>
      </c>
      <c r="AJ2066" s="960">
        <f t="array" ref="AJ2066">HLOOKUP($J2066,'Type Chart'!$C$2:$T$20,17,false)*HLOOKUP($K2066,'Type Chart'!$C$2:$U$20,17,false)</f>
        <v>2</v>
      </c>
      <c r="AK2066" s="960">
        <f t="array" ref="AK2066">HLOOKUP($J2066,'Type Chart'!$C$2:$T$20,18,false)*HLOOKUP($K2066,'Type Chart'!$C$2:$U$20,18,false)</f>
        <v>1</v>
      </c>
      <c r="AL2066" s="960">
        <f t="array" ref="AL2066">HLOOKUP($J2066,'Type Chart'!$C$2:$T$20,19,false)*HLOOKUP($K2066,'Type Chart'!$C$2:$U$20,19,false)</f>
        <v>2</v>
      </c>
      <c r="AM2066" s="964" t="s">
        <v>3225</v>
      </c>
      <c r="AN2066" s="965"/>
      <c r="AO2066" s="966"/>
      <c r="AP2066" s="936"/>
      <c r="AQ2066" s="1245"/>
      <c r="AR2066" s="1245"/>
      <c r="AS2066" s="936"/>
    </row>
    <row r="2067" ht="15.75" customHeight="1">
      <c r="A2067" s="1099"/>
      <c r="B2067" s="948" t="s">
        <v>3226</v>
      </c>
      <c r="C2067" s="1197" t="s">
        <v>3227</v>
      </c>
      <c r="D2067" s="1197" t="s">
        <v>3227</v>
      </c>
      <c r="E2067" s="1147" t="s">
        <v>3227</v>
      </c>
      <c r="F2067" s="940"/>
      <c r="G2067" s="953"/>
      <c r="H2067" s="969"/>
      <c r="I2067" s="998" t="s">
        <v>5167</v>
      </c>
      <c r="J2067" s="1204" t="s">
        <v>80</v>
      </c>
      <c r="K2067" s="1001" t="s">
        <v>128</v>
      </c>
      <c r="L2067" s="959">
        <v>89.0</v>
      </c>
      <c r="M2067" s="960">
        <v>125.0</v>
      </c>
      <c r="N2067" s="960">
        <v>90.0</v>
      </c>
      <c r="O2067" s="960">
        <v>115.0</v>
      </c>
      <c r="P2067" s="960">
        <v>80.0</v>
      </c>
      <c r="Q2067" s="960">
        <v>101.0</v>
      </c>
      <c r="R2067" s="960">
        <v>238.0</v>
      </c>
      <c r="S2067" s="960">
        <v>301.0</v>
      </c>
      <c r="T2067" s="960">
        <v>331.0</v>
      </c>
      <c r="U2067" s="960">
        <f t="array" ref="U2067">HLOOKUP($J2067,'Type Chart'!$C$2:$T$20,2,false)*HLOOKUP($K2067,'Type Chart'!$C$2:$U$20,2,false)</f>
        <v>1</v>
      </c>
      <c r="V2067" s="960">
        <f t="array" ref="V2067">HLOOKUP($J2067,'Type Chart'!$C$2:$T$20,3,false)*HLOOKUP($K2067,'Type Chart'!$C$2:$U$20,3,false)</f>
        <v>0.5</v>
      </c>
      <c r="W2067" s="960">
        <f t="array" ref="W2067">HLOOKUP($J2067,'Type Chart'!$C$2:$T$20,4,false)*HLOOKUP($K2067,'Type Chart'!$C$2:$U$20,4,false)</f>
        <v>1</v>
      </c>
      <c r="X2067" s="960">
        <f t="array" ref="X2067">HLOOKUP($J2067,'Type Chart'!$C$2:$T$20,5,false)*HLOOKUP($K2067,'Type Chart'!$C$2:$U$20,5,false)</f>
        <v>0.5</v>
      </c>
      <c r="Y2067" s="960">
        <f t="array" ref="Y2067">HLOOKUP($J2067,'Type Chart'!$C$2:$T$20,6,false)*HLOOKUP($K2067,'Type Chart'!$C$2:$U$20,6,false)</f>
        <v>0</v>
      </c>
      <c r="Z2067" s="960">
        <f t="array" ref="Z2067">HLOOKUP($J2067,'Type Chart'!$C$2:$T$20,7,false)*HLOOKUP($K2067,'Type Chart'!$C$2:$U$20,7,false)</f>
        <v>1</v>
      </c>
      <c r="AA2067" s="960">
        <f t="array" ref="AA2067">HLOOKUP($J2067,'Type Chart'!$C$2:$T$20,8,false)*HLOOKUP($K2067,'Type Chart'!$C$2:$U$20,8,false)</f>
        <v>0.5</v>
      </c>
      <c r="AB2067" s="960">
        <f t="array" ref="AB2067">HLOOKUP($J2067,'Type Chart'!$C$2:$T$20,9,false)*HLOOKUP($K2067,'Type Chart'!$C$2:$U$20,9,false)</f>
        <v>1</v>
      </c>
      <c r="AC2067" s="960">
        <f t="array" ref="AC2067">HLOOKUP($J2067,'Type Chart'!$C$2:$T$20,10,false)*HLOOKUP($K2067,'Type Chart'!$C$2:$U$20,10,false)</f>
        <v>1</v>
      </c>
      <c r="AD2067" s="960">
        <f t="array" ref="AD2067">HLOOKUP($J2067,'Type Chart'!$C$2:$T$20,11,false)*HLOOKUP($K2067,'Type Chart'!$C$2:$U$20,11,false)</f>
        <v>1</v>
      </c>
      <c r="AE2067" s="960">
        <f t="array" ref="AE2067">HLOOKUP($J2067,'Type Chart'!$C$2:$T$20,12,false)*HLOOKUP($K2067,'Type Chart'!$C$2:$U$20,12,false)</f>
        <v>2</v>
      </c>
      <c r="AF2067" s="960">
        <f t="array" ref="AF2067">HLOOKUP($J2067,'Type Chart'!$C$2:$T$20,13,false)*HLOOKUP($K2067,'Type Chart'!$C$2:$U$20,13,false)</f>
        <v>1</v>
      </c>
      <c r="AG2067" s="960">
        <f t="array" ref="AG2067">HLOOKUP($J2067,'Type Chart'!$C$2:$T$20,14,false)*HLOOKUP($K2067,'Type Chart'!$C$2:$U$20,14,false)</f>
        <v>0</v>
      </c>
      <c r="AH2067" s="960">
        <f t="array" ref="AH2067">HLOOKUP($J2067,'Type Chart'!$C$2:$T$20,15,false)*HLOOKUP($K2067,'Type Chart'!$C$2:$U$20,15,false)</f>
        <v>1</v>
      </c>
      <c r="AI2067" s="960">
        <f t="array" ref="AI2067">HLOOKUP($J2067,'Type Chart'!$C$2:$T$20,16,false)*HLOOKUP($K2067,'Type Chart'!$C$2:$U$20,16,false)</f>
        <v>4</v>
      </c>
      <c r="AJ2067" s="960">
        <f t="array" ref="AJ2067">HLOOKUP($J2067,'Type Chart'!$C$2:$T$20,17,false)*HLOOKUP($K2067,'Type Chart'!$C$2:$U$20,17,false)</f>
        <v>1</v>
      </c>
      <c r="AK2067" s="960">
        <f t="array" ref="AK2067">HLOOKUP($J2067,'Type Chart'!$C$2:$T$20,18,false)*HLOOKUP($K2067,'Type Chart'!$C$2:$U$20,18,false)</f>
        <v>1</v>
      </c>
      <c r="AL2067" s="960">
        <f t="array" ref="AL2067">HLOOKUP($J2067,'Type Chart'!$C$2:$T$20,19,false)*HLOOKUP($K2067,'Type Chart'!$C$2:$U$20,19,false)</f>
        <v>1</v>
      </c>
      <c r="AM2067" s="964" t="s">
        <v>1224</v>
      </c>
      <c r="AN2067" s="965"/>
      <c r="AO2067" s="966" t="s">
        <v>1153</v>
      </c>
      <c r="AP2067" s="936"/>
      <c r="AQ2067" s="1245"/>
      <c r="AR2067" s="1245"/>
      <c r="AS2067" s="936"/>
    </row>
    <row r="2068" ht="15.75" customHeight="1">
      <c r="A2068" s="1099"/>
      <c r="B2068" s="948" t="s">
        <v>3228</v>
      </c>
      <c r="C2068" s="1197" t="s">
        <v>3229</v>
      </c>
      <c r="D2068" s="1197" t="s">
        <v>3229</v>
      </c>
      <c r="E2068" s="1147" t="s">
        <v>3229</v>
      </c>
      <c r="F2068" s="940"/>
      <c r="G2068" s="953"/>
      <c r="H2068" s="969"/>
      <c r="I2068" s="998" t="s">
        <v>5168</v>
      </c>
      <c r="J2068" s="1204" t="s">
        <v>80</v>
      </c>
      <c r="K2068" s="1001" t="s">
        <v>128</v>
      </c>
      <c r="L2068" s="959">
        <v>89.0</v>
      </c>
      <c r="M2068" s="960">
        <v>145.0</v>
      </c>
      <c r="N2068" s="960">
        <v>90.0</v>
      </c>
      <c r="O2068" s="960">
        <v>105.0</v>
      </c>
      <c r="P2068" s="960">
        <v>80.0</v>
      </c>
      <c r="Q2068" s="960">
        <v>91.0</v>
      </c>
      <c r="R2068" s="960">
        <v>218.0</v>
      </c>
      <c r="S2068" s="960">
        <v>281.0</v>
      </c>
      <c r="T2068" s="960">
        <v>309.0</v>
      </c>
      <c r="U2068" s="960">
        <f t="array" ref="U2068">HLOOKUP($J2068,'Type Chart'!$C$2:$T$20,2,false)*HLOOKUP($K2068,'Type Chart'!$C$2:$U$20,2,false)</f>
        <v>1</v>
      </c>
      <c r="V2068" s="960">
        <f t="array" ref="V2068">HLOOKUP($J2068,'Type Chart'!$C$2:$T$20,3,false)*HLOOKUP($K2068,'Type Chart'!$C$2:$U$20,3,false)</f>
        <v>0.5</v>
      </c>
      <c r="W2068" s="960">
        <f t="array" ref="W2068">HLOOKUP($J2068,'Type Chart'!$C$2:$T$20,4,false)*HLOOKUP($K2068,'Type Chart'!$C$2:$U$20,4,false)</f>
        <v>1</v>
      </c>
      <c r="X2068" s="960">
        <f t="array" ref="X2068">HLOOKUP($J2068,'Type Chart'!$C$2:$T$20,5,false)*HLOOKUP($K2068,'Type Chart'!$C$2:$U$20,5,false)</f>
        <v>0.5</v>
      </c>
      <c r="Y2068" s="960">
        <f t="array" ref="Y2068">HLOOKUP($J2068,'Type Chart'!$C$2:$T$20,6,false)*HLOOKUP($K2068,'Type Chart'!$C$2:$U$20,6,false)</f>
        <v>0</v>
      </c>
      <c r="Z2068" s="960">
        <f t="array" ref="Z2068">HLOOKUP($J2068,'Type Chart'!$C$2:$T$20,7,false)*HLOOKUP($K2068,'Type Chart'!$C$2:$U$20,7,false)</f>
        <v>1</v>
      </c>
      <c r="AA2068" s="960">
        <f t="array" ref="AA2068">HLOOKUP($J2068,'Type Chart'!$C$2:$T$20,8,false)*HLOOKUP($K2068,'Type Chart'!$C$2:$U$20,8,false)</f>
        <v>0.5</v>
      </c>
      <c r="AB2068" s="960">
        <f t="array" ref="AB2068">HLOOKUP($J2068,'Type Chart'!$C$2:$T$20,9,false)*HLOOKUP($K2068,'Type Chart'!$C$2:$U$20,9,false)</f>
        <v>1</v>
      </c>
      <c r="AC2068" s="960">
        <f t="array" ref="AC2068">HLOOKUP($J2068,'Type Chart'!$C$2:$T$20,10,false)*HLOOKUP($K2068,'Type Chart'!$C$2:$U$20,10,false)</f>
        <v>1</v>
      </c>
      <c r="AD2068" s="960">
        <f t="array" ref="AD2068">HLOOKUP($J2068,'Type Chart'!$C$2:$T$20,11,false)*HLOOKUP($K2068,'Type Chart'!$C$2:$U$20,11,false)</f>
        <v>1</v>
      </c>
      <c r="AE2068" s="960">
        <f t="array" ref="AE2068">HLOOKUP($J2068,'Type Chart'!$C$2:$T$20,12,false)*HLOOKUP($K2068,'Type Chart'!$C$2:$U$20,12,false)</f>
        <v>2</v>
      </c>
      <c r="AF2068" s="960">
        <f t="array" ref="AF2068">HLOOKUP($J2068,'Type Chart'!$C$2:$T$20,13,false)*HLOOKUP($K2068,'Type Chart'!$C$2:$U$20,13,false)</f>
        <v>1</v>
      </c>
      <c r="AG2068" s="960">
        <f t="array" ref="AG2068">HLOOKUP($J2068,'Type Chart'!$C$2:$T$20,14,false)*HLOOKUP($K2068,'Type Chart'!$C$2:$U$20,14,false)</f>
        <v>0</v>
      </c>
      <c r="AH2068" s="960">
        <f t="array" ref="AH2068">HLOOKUP($J2068,'Type Chart'!$C$2:$T$20,15,false)*HLOOKUP($K2068,'Type Chart'!$C$2:$U$20,15,false)</f>
        <v>1</v>
      </c>
      <c r="AI2068" s="960">
        <f t="array" ref="AI2068">HLOOKUP($J2068,'Type Chart'!$C$2:$T$20,16,false)*HLOOKUP($K2068,'Type Chart'!$C$2:$U$20,16,false)</f>
        <v>4</v>
      </c>
      <c r="AJ2068" s="960">
        <f t="array" ref="AJ2068">HLOOKUP($J2068,'Type Chart'!$C$2:$T$20,17,false)*HLOOKUP($K2068,'Type Chart'!$C$2:$U$20,17,false)</f>
        <v>1</v>
      </c>
      <c r="AK2068" s="960">
        <f t="array" ref="AK2068">HLOOKUP($J2068,'Type Chart'!$C$2:$T$20,18,false)*HLOOKUP($K2068,'Type Chart'!$C$2:$U$20,18,false)</f>
        <v>1</v>
      </c>
      <c r="AL2068" s="960">
        <f t="array" ref="AL2068">HLOOKUP($J2068,'Type Chart'!$C$2:$T$20,19,false)*HLOOKUP($K2068,'Type Chart'!$C$2:$U$20,19,false)</f>
        <v>1</v>
      </c>
      <c r="AM2068" s="964" t="s">
        <v>1061</v>
      </c>
      <c r="AN2068" s="965"/>
      <c r="AO2068" s="966"/>
      <c r="AP2068" s="936"/>
      <c r="AQ2068" s="1245"/>
      <c r="AR2068" s="1245"/>
      <c r="AS2068" s="936"/>
    </row>
    <row r="2069" ht="15.75" customHeight="1">
      <c r="A2069" s="1099"/>
      <c r="B2069" s="948" t="s">
        <v>3230</v>
      </c>
      <c r="C2069" s="1197" t="s">
        <v>3231</v>
      </c>
      <c r="D2069" s="1197" t="s">
        <v>3231</v>
      </c>
      <c r="E2069" s="1147" t="s">
        <v>3231</v>
      </c>
      <c r="F2069" s="940"/>
      <c r="G2069" s="953"/>
      <c r="H2069" s="969"/>
      <c r="I2069" s="998" t="s">
        <v>5169</v>
      </c>
      <c r="J2069" s="1006" t="s">
        <v>346</v>
      </c>
      <c r="K2069" s="1205" t="s">
        <v>345</v>
      </c>
      <c r="L2069" s="959">
        <v>125.0</v>
      </c>
      <c r="M2069" s="960">
        <v>130.0</v>
      </c>
      <c r="N2069" s="960">
        <v>90.0</v>
      </c>
      <c r="O2069" s="960">
        <v>130.0</v>
      </c>
      <c r="P2069" s="960">
        <v>90.0</v>
      </c>
      <c r="Q2069" s="960">
        <v>95.0</v>
      </c>
      <c r="R2069" s="960">
        <v>226.0</v>
      </c>
      <c r="S2069" s="960">
        <v>289.0</v>
      </c>
      <c r="T2069" s="960">
        <v>317.0</v>
      </c>
      <c r="U2069" s="960">
        <f t="array" ref="U2069">HLOOKUP($J2069,'Type Chart'!$C$2:$T$20,2,false)*HLOOKUP($K2069,'Type Chart'!$C$2:$U$20,2,false)</f>
        <v>1</v>
      </c>
      <c r="V2069" s="960">
        <f t="array" ref="V2069">HLOOKUP($J2069,'Type Chart'!$C$2:$T$20,3,false)*HLOOKUP($K2069,'Type Chart'!$C$2:$U$20,3,false)</f>
        <v>2</v>
      </c>
      <c r="W2069" s="960">
        <f t="array" ref="W2069">HLOOKUP($J2069,'Type Chart'!$C$2:$T$20,4,false)*HLOOKUP($K2069,'Type Chart'!$C$2:$U$20,4,false)</f>
        <v>1</v>
      </c>
      <c r="X2069" s="960">
        <f t="array" ref="X2069">HLOOKUP($J2069,'Type Chart'!$C$2:$T$20,5,false)*HLOOKUP($K2069,'Type Chart'!$C$2:$U$20,5,false)</f>
        <v>1</v>
      </c>
      <c r="Y2069" s="960">
        <f t="array" ref="Y2069">HLOOKUP($J2069,'Type Chart'!$C$2:$T$20,6,false)*HLOOKUP($K2069,'Type Chart'!$C$2:$U$20,6,false)</f>
        <v>1</v>
      </c>
      <c r="Z2069" s="960">
        <f t="array" ref="Z2069">HLOOKUP($J2069,'Type Chart'!$C$2:$T$20,7,false)*HLOOKUP($K2069,'Type Chart'!$C$2:$U$20,7,false)</f>
        <v>2</v>
      </c>
      <c r="AA2069" s="960">
        <f t="array" ref="AA2069">HLOOKUP($J2069,'Type Chart'!$C$2:$T$20,8,false)*HLOOKUP($K2069,'Type Chart'!$C$2:$U$20,8,false)</f>
        <v>1</v>
      </c>
      <c r="AB2069" s="960">
        <f t="array" ref="AB2069">HLOOKUP($J2069,'Type Chart'!$C$2:$T$20,9,false)*HLOOKUP($K2069,'Type Chart'!$C$2:$U$20,9,false)</f>
        <v>1</v>
      </c>
      <c r="AC2069" s="960">
        <f t="array" ref="AC2069">HLOOKUP($J2069,'Type Chart'!$C$2:$T$20,10,false)*HLOOKUP($K2069,'Type Chart'!$C$2:$U$20,10,false)</f>
        <v>2</v>
      </c>
      <c r="AD2069" s="960">
        <f t="array" ref="AD2069">HLOOKUP($J2069,'Type Chart'!$C$2:$T$20,11,false)*HLOOKUP($K2069,'Type Chart'!$C$2:$U$20,11,false)</f>
        <v>1</v>
      </c>
      <c r="AE2069" s="960">
        <f t="array" ref="AE2069">HLOOKUP($J2069,'Type Chart'!$C$2:$T$20,12,false)*HLOOKUP($K2069,'Type Chart'!$C$2:$U$20,12,false)</f>
        <v>0.5</v>
      </c>
      <c r="AF2069" s="960">
        <f t="array" ref="AF2069">HLOOKUP($J2069,'Type Chart'!$C$2:$T$20,13,false)*HLOOKUP($K2069,'Type Chart'!$C$2:$U$20,13,false)</f>
        <v>0.5</v>
      </c>
      <c r="AG2069" s="960">
        <f t="array" ref="AG2069">HLOOKUP($J2069,'Type Chart'!$C$2:$T$20,14,false)*HLOOKUP($K2069,'Type Chart'!$C$2:$U$20,14,false)</f>
        <v>0.5</v>
      </c>
      <c r="AH2069" s="960">
        <f t="array" ref="AH2069">HLOOKUP($J2069,'Type Chart'!$C$2:$T$20,15,false)*HLOOKUP($K2069,'Type Chart'!$C$2:$U$20,15,false)</f>
        <v>1</v>
      </c>
      <c r="AI2069" s="960">
        <f t="array" ref="AI2069">HLOOKUP($J2069,'Type Chart'!$C$2:$T$20,16,false)*HLOOKUP($K2069,'Type Chart'!$C$2:$U$20,16,false)</f>
        <v>1</v>
      </c>
      <c r="AJ2069" s="960">
        <f t="array" ref="AJ2069">HLOOKUP($J2069,'Type Chart'!$C$2:$T$20,17,false)*HLOOKUP($K2069,'Type Chart'!$C$2:$U$20,17,false)</f>
        <v>2</v>
      </c>
      <c r="AK2069" s="960">
        <f t="array" ref="AK2069">HLOOKUP($J2069,'Type Chart'!$C$2:$T$20,18,false)*HLOOKUP($K2069,'Type Chart'!$C$2:$U$20,18,false)</f>
        <v>1</v>
      </c>
      <c r="AL2069" s="960">
        <f t="array" ref="AL2069">HLOOKUP($J2069,'Type Chart'!$C$2:$T$20,19,false)*HLOOKUP($K2069,'Type Chart'!$C$2:$U$20,19,false)</f>
        <v>2</v>
      </c>
      <c r="AM2069" s="964" t="s">
        <v>1636</v>
      </c>
      <c r="AN2069" s="965"/>
      <c r="AO2069" s="966"/>
      <c r="AP2069" s="936"/>
      <c r="AQ2069" s="1245"/>
      <c r="AR2069" s="1245"/>
      <c r="AS2069" s="936"/>
    </row>
    <row r="2070" ht="15.75" customHeight="1">
      <c r="A2070" s="1099"/>
      <c r="B2070" s="948" t="s">
        <v>3232</v>
      </c>
      <c r="C2070" s="1197" t="s">
        <v>3233</v>
      </c>
      <c r="D2070" s="1197" t="s">
        <v>3233</v>
      </c>
      <c r="E2070" s="1147" t="s">
        <v>3233</v>
      </c>
      <c r="F2070" s="940"/>
      <c r="G2070" s="953"/>
      <c r="H2070" s="969"/>
      <c r="I2070" s="998" t="s">
        <v>5170</v>
      </c>
      <c r="J2070" s="1006" t="s">
        <v>346</v>
      </c>
      <c r="K2070" s="1205" t="s">
        <v>345</v>
      </c>
      <c r="L2070" s="959">
        <v>125.0</v>
      </c>
      <c r="M2070" s="960">
        <v>170.0</v>
      </c>
      <c r="N2070" s="960">
        <v>100.0</v>
      </c>
      <c r="O2070" s="960">
        <v>120.0</v>
      </c>
      <c r="P2070" s="960">
        <v>90.0</v>
      </c>
      <c r="Q2070" s="960">
        <v>95.0</v>
      </c>
      <c r="R2070" s="960">
        <v>226.0</v>
      </c>
      <c r="S2070" s="960">
        <v>289.0</v>
      </c>
      <c r="T2070" s="960">
        <v>317.0</v>
      </c>
      <c r="U2070" s="960">
        <f t="array" ref="U2070">HLOOKUP($J2070,'Type Chart'!$C$2:$T$20,2,false)*HLOOKUP($K2070,'Type Chart'!$C$2:$U$20,2,false)</f>
        <v>1</v>
      </c>
      <c r="V2070" s="960">
        <f t="array" ref="V2070">HLOOKUP($J2070,'Type Chart'!$C$2:$T$20,3,false)*HLOOKUP($K2070,'Type Chart'!$C$2:$U$20,3,false)</f>
        <v>2</v>
      </c>
      <c r="W2070" s="960">
        <f t="array" ref="W2070">HLOOKUP($J2070,'Type Chart'!$C$2:$T$20,4,false)*HLOOKUP($K2070,'Type Chart'!$C$2:$U$20,4,false)</f>
        <v>1</v>
      </c>
      <c r="X2070" s="960">
        <f t="array" ref="X2070">HLOOKUP($J2070,'Type Chart'!$C$2:$T$20,5,false)*HLOOKUP($K2070,'Type Chart'!$C$2:$U$20,5,false)</f>
        <v>1</v>
      </c>
      <c r="Y2070" s="960">
        <f t="array" ref="Y2070">HLOOKUP($J2070,'Type Chart'!$C$2:$T$20,6,false)*HLOOKUP($K2070,'Type Chart'!$C$2:$U$20,6,false)</f>
        <v>1</v>
      </c>
      <c r="Z2070" s="960">
        <f t="array" ref="Z2070">HLOOKUP($J2070,'Type Chart'!$C$2:$T$20,7,false)*HLOOKUP($K2070,'Type Chart'!$C$2:$U$20,7,false)</f>
        <v>2</v>
      </c>
      <c r="AA2070" s="960">
        <f t="array" ref="AA2070">HLOOKUP($J2070,'Type Chart'!$C$2:$T$20,8,false)*HLOOKUP($K2070,'Type Chart'!$C$2:$U$20,8,false)</f>
        <v>1</v>
      </c>
      <c r="AB2070" s="960">
        <f t="array" ref="AB2070">HLOOKUP($J2070,'Type Chart'!$C$2:$T$20,9,false)*HLOOKUP($K2070,'Type Chart'!$C$2:$U$20,9,false)</f>
        <v>1</v>
      </c>
      <c r="AC2070" s="960">
        <f t="array" ref="AC2070">HLOOKUP($J2070,'Type Chart'!$C$2:$T$20,10,false)*HLOOKUP($K2070,'Type Chart'!$C$2:$U$20,10,false)</f>
        <v>2</v>
      </c>
      <c r="AD2070" s="960">
        <f t="array" ref="AD2070">HLOOKUP($J2070,'Type Chart'!$C$2:$T$20,11,false)*HLOOKUP($K2070,'Type Chart'!$C$2:$U$20,11,false)</f>
        <v>1</v>
      </c>
      <c r="AE2070" s="960">
        <f t="array" ref="AE2070">HLOOKUP($J2070,'Type Chart'!$C$2:$T$20,12,false)*HLOOKUP($K2070,'Type Chart'!$C$2:$U$20,12,false)</f>
        <v>0.5</v>
      </c>
      <c r="AF2070" s="960">
        <f t="array" ref="AF2070">HLOOKUP($J2070,'Type Chart'!$C$2:$T$20,13,false)*HLOOKUP($K2070,'Type Chart'!$C$2:$U$20,13,false)</f>
        <v>0.5</v>
      </c>
      <c r="AG2070" s="960">
        <f t="array" ref="AG2070">HLOOKUP($J2070,'Type Chart'!$C$2:$T$20,14,false)*HLOOKUP($K2070,'Type Chart'!$C$2:$U$20,14,false)</f>
        <v>0.5</v>
      </c>
      <c r="AH2070" s="960">
        <f t="array" ref="AH2070">HLOOKUP($J2070,'Type Chart'!$C$2:$T$20,15,false)*HLOOKUP($K2070,'Type Chart'!$C$2:$U$20,15,false)</f>
        <v>1</v>
      </c>
      <c r="AI2070" s="960">
        <f t="array" ref="AI2070">HLOOKUP($J2070,'Type Chart'!$C$2:$T$20,16,false)*HLOOKUP($K2070,'Type Chart'!$C$2:$U$20,16,false)</f>
        <v>1</v>
      </c>
      <c r="AJ2070" s="960">
        <f t="array" ref="AJ2070">HLOOKUP($J2070,'Type Chart'!$C$2:$T$20,17,false)*HLOOKUP($K2070,'Type Chart'!$C$2:$U$20,17,false)</f>
        <v>2</v>
      </c>
      <c r="AK2070" s="960">
        <f t="array" ref="AK2070">HLOOKUP($J2070,'Type Chart'!$C$2:$T$20,18,false)*HLOOKUP($K2070,'Type Chart'!$C$2:$U$20,18,false)</f>
        <v>1</v>
      </c>
      <c r="AL2070" s="960">
        <f t="array" ref="AL2070">HLOOKUP($J2070,'Type Chart'!$C$2:$T$20,19,false)*HLOOKUP($K2070,'Type Chart'!$C$2:$U$20,19,false)</f>
        <v>2</v>
      </c>
      <c r="AM2070" s="964" t="s">
        <v>3225</v>
      </c>
      <c r="AN2070" s="965"/>
      <c r="AO2070" s="966"/>
      <c r="AP2070" s="936"/>
      <c r="AQ2070" s="1245"/>
      <c r="AR2070" s="1245"/>
      <c r="AS2070" s="936"/>
    </row>
    <row r="2071" ht="15.75" customHeight="1">
      <c r="A2071" s="1099"/>
      <c r="B2071" s="948" t="s">
        <v>3234</v>
      </c>
      <c r="C2071" s="1197" t="s">
        <v>3235</v>
      </c>
      <c r="D2071" s="1197" t="s">
        <v>3235</v>
      </c>
      <c r="E2071" s="1147" t="s">
        <v>3235</v>
      </c>
      <c r="F2071" s="940"/>
      <c r="G2071" s="953"/>
      <c r="H2071" s="969"/>
      <c r="I2071" s="998" t="s">
        <v>5171</v>
      </c>
      <c r="J2071" s="1231" t="s">
        <v>346</v>
      </c>
      <c r="K2071" s="1224" t="s">
        <v>345</v>
      </c>
      <c r="L2071" s="1200">
        <v>125.0</v>
      </c>
      <c r="M2071" s="1201">
        <v>120.0</v>
      </c>
      <c r="N2071" s="1201">
        <v>90.0</v>
      </c>
      <c r="O2071" s="1201">
        <v>170.0</v>
      </c>
      <c r="P2071" s="1201">
        <v>100.0</v>
      </c>
      <c r="Q2071" s="1201">
        <v>95.0</v>
      </c>
      <c r="R2071" s="960">
        <v>226.0</v>
      </c>
      <c r="S2071" s="960">
        <v>289.0</v>
      </c>
      <c r="T2071" s="960">
        <v>317.0</v>
      </c>
      <c r="U2071" s="960">
        <f t="array" ref="U2071">HLOOKUP($J2071,'Type Chart'!$C$2:$T$20,2,false)*HLOOKUP($K2071,'Type Chart'!$C$2:$U$20,2,false)</f>
        <v>1</v>
      </c>
      <c r="V2071" s="960">
        <f t="array" ref="V2071">HLOOKUP($J2071,'Type Chart'!$C$2:$T$20,3,false)*HLOOKUP($K2071,'Type Chart'!$C$2:$U$20,3,false)</f>
        <v>2</v>
      </c>
      <c r="W2071" s="960">
        <f t="array" ref="W2071">HLOOKUP($J2071,'Type Chart'!$C$2:$T$20,4,false)*HLOOKUP($K2071,'Type Chart'!$C$2:$U$20,4,false)</f>
        <v>1</v>
      </c>
      <c r="X2071" s="960">
        <f t="array" ref="X2071">HLOOKUP($J2071,'Type Chart'!$C$2:$T$20,5,false)*HLOOKUP($K2071,'Type Chart'!$C$2:$U$20,5,false)</f>
        <v>1</v>
      </c>
      <c r="Y2071" s="960">
        <f t="array" ref="Y2071">HLOOKUP($J2071,'Type Chart'!$C$2:$T$20,6,false)*HLOOKUP($K2071,'Type Chart'!$C$2:$U$20,6,false)</f>
        <v>1</v>
      </c>
      <c r="Z2071" s="960">
        <f t="array" ref="Z2071">HLOOKUP($J2071,'Type Chart'!$C$2:$T$20,7,false)*HLOOKUP($K2071,'Type Chart'!$C$2:$U$20,7,false)</f>
        <v>2</v>
      </c>
      <c r="AA2071" s="960">
        <f t="array" ref="AA2071">HLOOKUP($J2071,'Type Chart'!$C$2:$T$20,8,false)*HLOOKUP($K2071,'Type Chart'!$C$2:$U$20,8,false)</f>
        <v>1</v>
      </c>
      <c r="AB2071" s="960">
        <f t="array" ref="AB2071">HLOOKUP($J2071,'Type Chart'!$C$2:$T$20,9,false)*HLOOKUP($K2071,'Type Chart'!$C$2:$U$20,9,false)</f>
        <v>1</v>
      </c>
      <c r="AC2071" s="960">
        <f t="array" ref="AC2071">HLOOKUP($J2071,'Type Chart'!$C$2:$T$20,10,false)*HLOOKUP($K2071,'Type Chart'!$C$2:$U$20,10,false)</f>
        <v>2</v>
      </c>
      <c r="AD2071" s="960">
        <f t="array" ref="AD2071">HLOOKUP($J2071,'Type Chart'!$C$2:$T$20,11,false)*HLOOKUP($K2071,'Type Chart'!$C$2:$U$20,11,false)</f>
        <v>1</v>
      </c>
      <c r="AE2071" s="960">
        <f t="array" ref="AE2071">HLOOKUP($J2071,'Type Chart'!$C$2:$T$20,12,false)*HLOOKUP($K2071,'Type Chart'!$C$2:$U$20,12,false)</f>
        <v>0.5</v>
      </c>
      <c r="AF2071" s="960">
        <f t="array" ref="AF2071">HLOOKUP($J2071,'Type Chart'!$C$2:$T$20,13,false)*HLOOKUP($K2071,'Type Chart'!$C$2:$U$20,13,false)</f>
        <v>0.5</v>
      </c>
      <c r="AG2071" s="960">
        <f t="array" ref="AG2071">HLOOKUP($J2071,'Type Chart'!$C$2:$T$20,14,false)*HLOOKUP($K2071,'Type Chart'!$C$2:$U$20,14,false)</f>
        <v>0.5</v>
      </c>
      <c r="AH2071" s="960">
        <f t="array" ref="AH2071">HLOOKUP($J2071,'Type Chart'!$C$2:$T$20,15,false)*HLOOKUP($K2071,'Type Chart'!$C$2:$U$20,15,false)</f>
        <v>1</v>
      </c>
      <c r="AI2071" s="960">
        <f t="array" ref="AI2071">HLOOKUP($J2071,'Type Chart'!$C$2:$T$20,16,false)*HLOOKUP($K2071,'Type Chart'!$C$2:$U$20,16,false)</f>
        <v>1</v>
      </c>
      <c r="AJ2071" s="960">
        <f t="array" ref="AJ2071">HLOOKUP($J2071,'Type Chart'!$C$2:$T$20,17,false)*HLOOKUP($K2071,'Type Chart'!$C$2:$U$20,17,false)</f>
        <v>2</v>
      </c>
      <c r="AK2071" s="960">
        <f t="array" ref="AK2071">HLOOKUP($J2071,'Type Chart'!$C$2:$T$20,18,false)*HLOOKUP($K2071,'Type Chart'!$C$2:$U$20,18,false)</f>
        <v>1</v>
      </c>
      <c r="AL2071" s="960">
        <f t="array" ref="AL2071">HLOOKUP($J2071,'Type Chart'!$C$2:$T$20,19,false)*HLOOKUP($K2071,'Type Chart'!$C$2:$U$20,19,false)</f>
        <v>2</v>
      </c>
      <c r="AM2071" s="1145" t="s">
        <v>3222</v>
      </c>
      <c r="AN2071" s="1202"/>
      <c r="AO2071" s="1146"/>
      <c r="AP2071" s="936"/>
      <c r="AQ2071" s="1245"/>
      <c r="AR2071" s="1245"/>
      <c r="AS2071" s="936"/>
    </row>
    <row r="2072" ht="15.75" customHeight="1">
      <c r="A2072" s="1099"/>
      <c r="B2072" s="948" t="s">
        <v>3236</v>
      </c>
      <c r="C2072" s="1197" t="s">
        <v>110</v>
      </c>
      <c r="D2072" s="1197" t="s">
        <v>110</v>
      </c>
      <c r="E2072" s="1147" t="s">
        <v>110</v>
      </c>
      <c r="F2072" s="940"/>
      <c r="G2072" s="953"/>
      <c r="H2072" s="969"/>
      <c r="I2072" s="998" t="s">
        <v>5172</v>
      </c>
      <c r="J2072" s="1211" t="s">
        <v>81</v>
      </c>
      <c r="K2072" s="1212" t="s">
        <v>341</v>
      </c>
      <c r="L2072" s="1200">
        <v>91.0</v>
      </c>
      <c r="M2072" s="1201">
        <v>72.0</v>
      </c>
      <c r="N2072" s="1201">
        <v>90.0</v>
      </c>
      <c r="O2072" s="1201">
        <v>129.0</v>
      </c>
      <c r="P2072" s="1201">
        <v>90.0</v>
      </c>
      <c r="Q2072" s="1201">
        <v>108.0</v>
      </c>
      <c r="R2072" s="960">
        <v>252.0</v>
      </c>
      <c r="S2072" s="960">
        <v>315.0</v>
      </c>
      <c r="T2072" s="960">
        <v>346.0</v>
      </c>
      <c r="U2072" s="960">
        <f t="array" ref="U2072">HLOOKUP($J2072,'Type Chart'!$C$2:$T$20,2,false)*HLOOKUP($K2072,'Type Chart'!$C$2:$U$20,2,false)</f>
        <v>1</v>
      </c>
      <c r="V2072" s="960">
        <f t="array" ref="V2072">HLOOKUP($J2072,'Type Chart'!$C$2:$T$20,3,false)*HLOOKUP($K2072,'Type Chart'!$C$2:$U$20,3,false)</f>
        <v>1</v>
      </c>
      <c r="W2072" s="960">
        <f t="array" ref="W2072">HLOOKUP($J2072,'Type Chart'!$C$2:$T$20,4,false)*HLOOKUP($K2072,'Type Chart'!$C$2:$U$20,4,false)</f>
        <v>2</v>
      </c>
      <c r="X2072" s="960">
        <f t="array" ref="X2072">HLOOKUP($J2072,'Type Chart'!$C$2:$T$20,5,false)*HLOOKUP($K2072,'Type Chart'!$C$2:$U$20,5,false)</f>
        <v>1</v>
      </c>
      <c r="Y2072" s="960">
        <f t="array" ref="Y2072">HLOOKUP($J2072,'Type Chart'!$C$2:$T$20,6,false)*HLOOKUP($K2072,'Type Chart'!$C$2:$U$20,6,false)</f>
        <v>1</v>
      </c>
      <c r="Z2072" s="960">
        <f t="array" ref="Z2072">HLOOKUP($J2072,'Type Chart'!$C$2:$T$20,7,false)*HLOOKUP($K2072,'Type Chart'!$C$2:$U$20,7,false)</f>
        <v>0.5</v>
      </c>
      <c r="AA2072" s="960">
        <f t="array" ref="AA2072">HLOOKUP($J2072,'Type Chart'!$C$2:$T$20,8,false)*HLOOKUP($K2072,'Type Chart'!$C$2:$U$20,8,false)</f>
        <v>0.5</v>
      </c>
      <c r="AB2072" s="960">
        <f t="array" ref="AB2072">HLOOKUP($J2072,'Type Chart'!$C$2:$T$20,9,false)*HLOOKUP($K2072,'Type Chart'!$C$2:$U$20,9,false)</f>
        <v>1</v>
      </c>
      <c r="AC2072" s="960">
        <f t="array" ref="AC2072">HLOOKUP($J2072,'Type Chart'!$C$2:$T$20,10,false)*HLOOKUP($K2072,'Type Chart'!$C$2:$U$20,10,false)</f>
        <v>0.5</v>
      </c>
      <c r="AD2072" s="960">
        <f t="array" ref="AD2072">HLOOKUP($J2072,'Type Chart'!$C$2:$T$20,11,false)*HLOOKUP($K2072,'Type Chart'!$C$2:$U$20,11,false)</f>
        <v>0.5</v>
      </c>
      <c r="AE2072" s="960">
        <f t="array" ref="AE2072">HLOOKUP($J2072,'Type Chart'!$C$2:$T$20,12,false)*HLOOKUP($K2072,'Type Chart'!$C$2:$U$20,12,false)</f>
        <v>0.5</v>
      </c>
      <c r="AF2072" s="960">
        <f t="array" ref="AF2072">HLOOKUP($J2072,'Type Chart'!$C$2:$T$20,13,false)*HLOOKUP($K2072,'Type Chart'!$C$2:$U$20,13,false)</f>
        <v>2</v>
      </c>
      <c r="AG2072" s="960">
        <f t="array" ref="AG2072">HLOOKUP($J2072,'Type Chart'!$C$2:$T$20,14,false)*HLOOKUP($K2072,'Type Chart'!$C$2:$U$20,14,false)</f>
        <v>2</v>
      </c>
      <c r="AH2072" s="960">
        <f t="array" ref="AH2072">HLOOKUP($J2072,'Type Chart'!$C$2:$T$20,15,false)*HLOOKUP($K2072,'Type Chart'!$C$2:$U$20,15,false)</f>
        <v>2</v>
      </c>
      <c r="AI2072" s="960">
        <f t="array" ref="AI2072">HLOOKUP($J2072,'Type Chart'!$C$2:$T$20,16,false)*HLOOKUP($K2072,'Type Chart'!$C$2:$U$20,16,false)</f>
        <v>0.5</v>
      </c>
      <c r="AJ2072" s="960">
        <f t="array" ref="AJ2072">HLOOKUP($J2072,'Type Chart'!$C$2:$T$20,17,false)*HLOOKUP($K2072,'Type Chart'!$C$2:$U$20,17,false)</f>
        <v>1</v>
      </c>
      <c r="AK2072" s="960">
        <f t="array" ref="AK2072">HLOOKUP($J2072,'Type Chart'!$C$2:$T$20,18,false)*HLOOKUP($K2072,'Type Chart'!$C$2:$U$20,18,false)</f>
        <v>0.5</v>
      </c>
      <c r="AL2072" s="960">
        <f t="array" ref="AL2072">HLOOKUP($J2072,'Type Chart'!$C$2:$T$20,19,false)*HLOOKUP($K2072,'Type Chart'!$C$2:$U$20,19,false)</f>
        <v>2</v>
      </c>
      <c r="AM2072" s="1145" t="s">
        <v>1273</v>
      </c>
      <c r="AN2072" s="1202"/>
      <c r="AO2072" s="1146"/>
      <c r="AP2072" s="936"/>
      <c r="AQ2072" s="1245"/>
      <c r="AR2072" s="1245"/>
      <c r="AS2072" s="936"/>
    </row>
    <row r="2073" ht="15.75" customHeight="1">
      <c r="A2073" s="1099"/>
      <c r="B2073" s="948" t="s">
        <v>3237</v>
      </c>
      <c r="C2073" s="1197" t="s">
        <v>3238</v>
      </c>
      <c r="D2073" s="1197" t="s">
        <v>3238</v>
      </c>
      <c r="E2073" s="1147" t="s">
        <v>3238</v>
      </c>
      <c r="F2073" s="940"/>
      <c r="G2073" s="953"/>
      <c r="H2073" s="969"/>
      <c r="I2073" s="998" t="s">
        <v>5173</v>
      </c>
      <c r="J2073" s="1211" t="s">
        <v>81</v>
      </c>
      <c r="K2073" s="1212" t="s">
        <v>341</v>
      </c>
      <c r="L2073" s="1200">
        <v>91.0</v>
      </c>
      <c r="M2073" s="1201">
        <v>72.0</v>
      </c>
      <c r="N2073" s="1201">
        <v>90.0</v>
      </c>
      <c r="O2073" s="1201">
        <v>129.0</v>
      </c>
      <c r="P2073" s="1201">
        <v>90.0</v>
      </c>
      <c r="Q2073" s="1201">
        <v>108.0</v>
      </c>
      <c r="R2073" s="960">
        <v>252.0</v>
      </c>
      <c r="S2073" s="960">
        <v>315.0</v>
      </c>
      <c r="T2073" s="960">
        <v>346.0</v>
      </c>
      <c r="U2073" s="960">
        <f t="array" ref="U2073">HLOOKUP($J2073,'Type Chart'!$C$2:$T$20,2,false)*HLOOKUP($K2073,'Type Chart'!$C$2:$U$20,2,false)</f>
        <v>1</v>
      </c>
      <c r="V2073" s="960">
        <f t="array" ref="V2073">HLOOKUP($J2073,'Type Chart'!$C$2:$T$20,3,false)*HLOOKUP($K2073,'Type Chart'!$C$2:$U$20,3,false)</f>
        <v>1</v>
      </c>
      <c r="W2073" s="960">
        <f t="array" ref="W2073">HLOOKUP($J2073,'Type Chart'!$C$2:$T$20,4,false)*HLOOKUP($K2073,'Type Chart'!$C$2:$U$20,4,false)</f>
        <v>2</v>
      </c>
      <c r="X2073" s="960">
        <f t="array" ref="X2073">HLOOKUP($J2073,'Type Chart'!$C$2:$T$20,5,false)*HLOOKUP($K2073,'Type Chart'!$C$2:$U$20,5,false)</f>
        <v>1</v>
      </c>
      <c r="Y2073" s="960">
        <f t="array" ref="Y2073">HLOOKUP($J2073,'Type Chart'!$C$2:$T$20,6,false)*HLOOKUP($K2073,'Type Chart'!$C$2:$U$20,6,false)</f>
        <v>1</v>
      </c>
      <c r="Z2073" s="960">
        <f t="array" ref="Z2073">HLOOKUP($J2073,'Type Chart'!$C$2:$T$20,7,false)*HLOOKUP($K2073,'Type Chart'!$C$2:$U$20,7,false)</f>
        <v>0.5</v>
      </c>
      <c r="AA2073" s="960">
        <f t="array" ref="AA2073">HLOOKUP($J2073,'Type Chart'!$C$2:$T$20,8,false)*HLOOKUP($K2073,'Type Chart'!$C$2:$U$20,8,false)</f>
        <v>0.5</v>
      </c>
      <c r="AB2073" s="960">
        <f t="array" ref="AB2073">HLOOKUP($J2073,'Type Chart'!$C$2:$T$20,9,false)*HLOOKUP($K2073,'Type Chart'!$C$2:$U$20,9,false)</f>
        <v>1</v>
      </c>
      <c r="AC2073" s="960">
        <f t="array" ref="AC2073">HLOOKUP($J2073,'Type Chart'!$C$2:$T$20,10,false)*HLOOKUP($K2073,'Type Chart'!$C$2:$U$20,10,false)</f>
        <v>0.5</v>
      </c>
      <c r="AD2073" s="960">
        <f t="array" ref="AD2073">HLOOKUP($J2073,'Type Chart'!$C$2:$T$20,11,false)*HLOOKUP($K2073,'Type Chart'!$C$2:$U$20,11,false)</f>
        <v>0.5</v>
      </c>
      <c r="AE2073" s="960">
        <f t="array" ref="AE2073">HLOOKUP($J2073,'Type Chart'!$C$2:$T$20,12,false)*HLOOKUP($K2073,'Type Chart'!$C$2:$U$20,12,false)</f>
        <v>0.5</v>
      </c>
      <c r="AF2073" s="960">
        <f t="array" ref="AF2073">HLOOKUP($J2073,'Type Chart'!$C$2:$T$20,13,false)*HLOOKUP($K2073,'Type Chart'!$C$2:$U$20,13,false)</f>
        <v>2</v>
      </c>
      <c r="AG2073" s="960">
        <f t="array" ref="AG2073">HLOOKUP($J2073,'Type Chart'!$C$2:$T$20,14,false)*HLOOKUP($K2073,'Type Chart'!$C$2:$U$20,14,false)</f>
        <v>2</v>
      </c>
      <c r="AH2073" s="960">
        <f t="array" ref="AH2073">HLOOKUP($J2073,'Type Chart'!$C$2:$T$20,15,false)*HLOOKUP($K2073,'Type Chart'!$C$2:$U$20,15,false)</f>
        <v>2</v>
      </c>
      <c r="AI2073" s="960">
        <f t="array" ref="AI2073">HLOOKUP($J2073,'Type Chart'!$C$2:$T$20,16,false)*HLOOKUP($K2073,'Type Chart'!$C$2:$U$20,16,false)</f>
        <v>0.5</v>
      </c>
      <c r="AJ2073" s="960">
        <f t="array" ref="AJ2073">HLOOKUP($J2073,'Type Chart'!$C$2:$T$20,17,false)*HLOOKUP($K2073,'Type Chart'!$C$2:$U$20,17,false)</f>
        <v>1</v>
      </c>
      <c r="AK2073" s="960">
        <f t="array" ref="AK2073">HLOOKUP($J2073,'Type Chart'!$C$2:$T$20,18,false)*HLOOKUP($K2073,'Type Chart'!$C$2:$U$20,18,false)</f>
        <v>0.5</v>
      </c>
      <c r="AL2073" s="960">
        <f t="array" ref="AL2073">HLOOKUP($J2073,'Type Chart'!$C$2:$T$20,19,false)*HLOOKUP($K2073,'Type Chart'!$C$2:$U$20,19,false)</f>
        <v>2</v>
      </c>
      <c r="AM2073" s="1145" t="s">
        <v>1273</v>
      </c>
      <c r="AN2073" s="1202"/>
      <c r="AO2073" s="1146"/>
      <c r="AP2073" s="936"/>
      <c r="AQ2073" s="1245"/>
      <c r="AR2073" s="1245"/>
      <c r="AS2073" s="936"/>
    </row>
    <row r="2074" ht="15.75" customHeight="1">
      <c r="A2074" s="1099"/>
      <c r="B2074" s="948" t="s">
        <v>3240</v>
      </c>
      <c r="C2074" s="1197" t="s">
        <v>3241</v>
      </c>
      <c r="D2074" s="1197" t="s">
        <v>3241</v>
      </c>
      <c r="E2074" s="1147" t="s">
        <v>3241</v>
      </c>
      <c r="F2074" s="940"/>
      <c r="G2074" s="953"/>
      <c r="H2074" s="969"/>
      <c r="I2074" s="998" t="s">
        <v>5174</v>
      </c>
      <c r="J2074" s="1194" t="s">
        <v>136</v>
      </c>
      <c r="K2074" s="1203" t="s">
        <v>344</v>
      </c>
      <c r="L2074" s="959">
        <v>100.0</v>
      </c>
      <c r="M2074" s="960">
        <v>77.0</v>
      </c>
      <c r="N2074" s="960">
        <v>77.0</v>
      </c>
      <c r="O2074" s="960">
        <v>128.0</v>
      </c>
      <c r="P2074" s="960">
        <v>128.0</v>
      </c>
      <c r="Q2074" s="960">
        <v>90.0</v>
      </c>
      <c r="R2074" s="960">
        <v>216.0</v>
      </c>
      <c r="S2074" s="960">
        <v>279.0</v>
      </c>
      <c r="T2074" s="960">
        <v>306.0</v>
      </c>
      <c r="U2074" s="960">
        <f t="array" ref="U2074">HLOOKUP($J2074,'Type Chart'!$C$2:$T$20,2,false)*HLOOKUP($K2074,'Type Chart'!$C$2:$U$20,2,false)</f>
        <v>1</v>
      </c>
      <c r="V2074" s="960">
        <f t="array" ref="V2074">HLOOKUP($J2074,'Type Chart'!$C$2:$T$20,3,false)*HLOOKUP($K2074,'Type Chart'!$C$2:$U$20,3,false)</f>
        <v>1</v>
      </c>
      <c r="W2074" s="960">
        <f t="array" ref="W2074">HLOOKUP($J2074,'Type Chart'!$C$2:$T$20,4,false)*HLOOKUP($K2074,'Type Chart'!$C$2:$U$20,4,false)</f>
        <v>1</v>
      </c>
      <c r="X2074" s="960">
        <f t="array" ref="X2074">HLOOKUP($J2074,'Type Chart'!$C$2:$T$20,5,false)*HLOOKUP($K2074,'Type Chart'!$C$2:$U$20,5,false)</f>
        <v>1</v>
      </c>
      <c r="Y2074" s="960">
        <f t="array" ref="Y2074">HLOOKUP($J2074,'Type Chart'!$C$2:$T$20,6,false)*HLOOKUP($K2074,'Type Chart'!$C$2:$U$20,6,false)</f>
        <v>1</v>
      </c>
      <c r="Z2074" s="960">
        <f t="array" ref="Z2074">HLOOKUP($J2074,'Type Chart'!$C$2:$T$20,7,false)*HLOOKUP($K2074,'Type Chart'!$C$2:$U$20,7,false)</f>
        <v>1</v>
      </c>
      <c r="AA2074" s="960">
        <f t="array" ref="AA2074">HLOOKUP($J2074,'Type Chart'!$C$2:$T$20,8,false)*HLOOKUP($K2074,'Type Chart'!$C$2:$U$20,8,false)</f>
        <v>2</v>
      </c>
      <c r="AB2074" s="960">
        <f t="array" ref="AB2074">HLOOKUP($J2074,'Type Chart'!$C$2:$T$20,9,false)*HLOOKUP($K2074,'Type Chart'!$C$2:$U$20,9,false)</f>
        <v>0</v>
      </c>
      <c r="AC2074" s="960">
        <f t="array" ref="AC2074">HLOOKUP($J2074,'Type Chart'!$C$2:$T$20,10,false)*HLOOKUP($K2074,'Type Chart'!$C$2:$U$20,10,false)</f>
        <v>1</v>
      </c>
      <c r="AD2074" s="960">
        <f t="array" ref="AD2074">HLOOKUP($J2074,'Type Chart'!$C$2:$T$20,11,false)*HLOOKUP($K2074,'Type Chart'!$C$2:$U$20,11,false)</f>
        <v>1</v>
      </c>
      <c r="AE2074" s="960">
        <f t="array" ref="AE2074">HLOOKUP($J2074,'Type Chart'!$C$2:$T$20,12,false)*HLOOKUP($K2074,'Type Chart'!$C$2:$U$20,12,false)</f>
        <v>1</v>
      </c>
      <c r="AF2074" s="960">
        <f t="array" ref="AF2074">HLOOKUP($J2074,'Type Chart'!$C$2:$T$20,13,false)*HLOOKUP($K2074,'Type Chart'!$C$2:$U$20,13,false)</f>
        <v>1</v>
      </c>
      <c r="AG2074" s="960">
        <f t="array" ref="AG2074">HLOOKUP($J2074,'Type Chart'!$C$2:$T$20,14,false)*HLOOKUP($K2074,'Type Chart'!$C$2:$U$20,14,false)</f>
        <v>1</v>
      </c>
      <c r="AH2074" s="960">
        <f t="array" ref="AH2074">HLOOKUP($J2074,'Type Chart'!$C$2:$T$20,15,false)*HLOOKUP($K2074,'Type Chart'!$C$2:$U$20,15,false)</f>
        <v>0.5</v>
      </c>
      <c r="AI2074" s="960">
        <f t="array" ref="AI2074">HLOOKUP($J2074,'Type Chart'!$C$2:$T$20,16,false)*HLOOKUP($K2074,'Type Chart'!$C$2:$U$20,16,false)</f>
        <v>1</v>
      </c>
      <c r="AJ2074" s="960">
        <f t="array" ref="AJ2074">HLOOKUP($J2074,'Type Chart'!$C$2:$T$20,17,false)*HLOOKUP($K2074,'Type Chart'!$C$2:$U$20,17,false)</f>
        <v>1</v>
      </c>
      <c r="AK2074" s="960">
        <f t="array" ref="AK2074">HLOOKUP($J2074,'Type Chart'!$C$2:$T$20,18,false)*HLOOKUP($K2074,'Type Chart'!$C$2:$U$20,18,false)</f>
        <v>2</v>
      </c>
      <c r="AL2074" s="960">
        <f t="array" ref="AL2074">HLOOKUP($J2074,'Type Chart'!$C$2:$T$20,19,false)*HLOOKUP($K2074,'Type Chart'!$C$2:$U$20,19,false)</f>
        <v>1</v>
      </c>
      <c r="AM2074" s="964" t="s">
        <v>1521</v>
      </c>
      <c r="AN2074" s="965"/>
      <c r="AO2074" s="966"/>
      <c r="AP2074" s="936"/>
      <c r="AQ2074" s="1245"/>
      <c r="AR2074" s="1245"/>
      <c r="AS2074" s="936"/>
    </row>
    <row r="2075" ht="15.75" customHeight="1">
      <c r="A2075" s="1099"/>
      <c r="B2075" s="948" t="s">
        <v>3242</v>
      </c>
      <c r="C2075" s="1197" t="s">
        <v>3243</v>
      </c>
      <c r="D2075" s="1197" t="s">
        <v>3243</v>
      </c>
      <c r="E2075" s="1147" t="s">
        <v>3243</v>
      </c>
      <c r="F2075" s="940"/>
      <c r="G2075" s="953"/>
      <c r="H2075" s="969"/>
      <c r="I2075" s="998" t="s">
        <v>5175</v>
      </c>
      <c r="J2075" s="1194" t="s">
        <v>136</v>
      </c>
      <c r="K2075" s="1213" t="s">
        <v>341</v>
      </c>
      <c r="L2075" s="959">
        <v>100.0</v>
      </c>
      <c r="M2075" s="960">
        <v>128.0</v>
      </c>
      <c r="N2075" s="960">
        <v>90.0</v>
      </c>
      <c r="O2075" s="960">
        <v>77.0</v>
      </c>
      <c r="P2075" s="960">
        <v>77.0</v>
      </c>
      <c r="Q2075" s="960">
        <v>128.0</v>
      </c>
      <c r="R2075" s="960">
        <v>292.0</v>
      </c>
      <c r="S2075" s="960">
        <v>355.0</v>
      </c>
      <c r="T2075" s="960">
        <v>390.0</v>
      </c>
      <c r="U2075" s="960">
        <f t="array" ref="U2075">HLOOKUP($J2075,'Type Chart'!$C$2:$T$20,2,false)*HLOOKUP($K2075,'Type Chart'!$C$2:$U$20,2,false)</f>
        <v>1</v>
      </c>
      <c r="V2075" s="960">
        <f t="array" ref="V2075">HLOOKUP($J2075,'Type Chart'!$C$2:$T$20,3,false)*HLOOKUP($K2075,'Type Chart'!$C$2:$U$20,3,false)</f>
        <v>2</v>
      </c>
      <c r="W2075" s="960">
        <f t="array" ref="W2075">HLOOKUP($J2075,'Type Chart'!$C$2:$T$20,4,false)*HLOOKUP($K2075,'Type Chart'!$C$2:$U$20,4,false)</f>
        <v>2</v>
      </c>
      <c r="X2075" s="960">
        <f t="array" ref="X2075">HLOOKUP($J2075,'Type Chart'!$C$2:$T$20,5,false)*HLOOKUP($K2075,'Type Chart'!$C$2:$U$20,5,false)</f>
        <v>1</v>
      </c>
      <c r="Y2075" s="960">
        <f t="array" ref="Y2075">HLOOKUP($J2075,'Type Chart'!$C$2:$T$20,6,false)*HLOOKUP($K2075,'Type Chart'!$C$2:$U$20,6,false)</f>
        <v>1</v>
      </c>
      <c r="Z2075" s="960">
        <f t="array" ref="Z2075">HLOOKUP($J2075,'Type Chart'!$C$2:$T$20,7,false)*HLOOKUP($K2075,'Type Chart'!$C$2:$U$20,7,false)</f>
        <v>0.5</v>
      </c>
      <c r="AA2075" s="960">
        <f t="array" ref="AA2075">HLOOKUP($J2075,'Type Chart'!$C$2:$T$20,8,false)*HLOOKUP($K2075,'Type Chart'!$C$2:$U$20,8,false)</f>
        <v>0.5</v>
      </c>
      <c r="AB2075" s="960">
        <f t="array" ref="AB2075">HLOOKUP($J2075,'Type Chart'!$C$2:$T$20,9,false)*HLOOKUP($K2075,'Type Chart'!$C$2:$U$20,9,false)</f>
        <v>0</v>
      </c>
      <c r="AC2075" s="960">
        <f t="array" ref="AC2075">HLOOKUP($J2075,'Type Chart'!$C$2:$T$20,10,false)*HLOOKUP($K2075,'Type Chart'!$C$2:$U$20,10,false)</f>
        <v>1</v>
      </c>
      <c r="AD2075" s="960">
        <f t="array" ref="AD2075">HLOOKUP($J2075,'Type Chart'!$C$2:$T$20,11,false)*HLOOKUP($K2075,'Type Chart'!$C$2:$U$20,11,false)</f>
        <v>1</v>
      </c>
      <c r="AE2075" s="960">
        <f t="array" ref="AE2075">HLOOKUP($J2075,'Type Chart'!$C$2:$T$20,12,false)*HLOOKUP($K2075,'Type Chart'!$C$2:$U$20,12,false)</f>
        <v>1</v>
      </c>
      <c r="AF2075" s="960">
        <f t="array" ref="AF2075">HLOOKUP($J2075,'Type Chart'!$C$2:$T$20,13,false)*HLOOKUP($K2075,'Type Chart'!$C$2:$U$20,13,false)</f>
        <v>1</v>
      </c>
      <c r="AG2075" s="960">
        <f t="array" ref="AG2075">HLOOKUP($J2075,'Type Chart'!$C$2:$T$20,14,false)*HLOOKUP($K2075,'Type Chart'!$C$2:$U$20,14,false)</f>
        <v>1</v>
      </c>
      <c r="AH2075" s="960">
        <f t="array" ref="AH2075">HLOOKUP($J2075,'Type Chart'!$C$2:$T$20,15,false)*HLOOKUP($K2075,'Type Chart'!$C$2:$U$20,15,false)</f>
        <v>2</v>
      </c>
      <c r="AI2075" s="960">
        <f t="array" ref="AI2075">HLOOKUP($J2075,'Type Chart'!$C$2:$T$20,16,false)*HLOOKUP($K2075,'Type Chart'!$C$2:$U$20,16,false)</f>
        <v>1</v>
      </c>
      <c r="AJ2075" s="960">
        <f t="array" ref="AJ2075">HLOOKUP($J2075,'Type Chart'!$C$2:$T$20,17,false)*HLOOKUP($K2075,'Type Chart'!$C$2:$U$20,17,false)</f>
        <v>1</v>
      </c>
      <c r="AK2075" s="960">
        <f t="array" ref="AK2075">HLOOKUP($J2075,'Type Chart'!$C$2:$T$20,18,false)*HLOOKUP($K2075,'Type Chart'!$C$2:$U$20,18,false)</f>
        <v>0.5</v>
      </c>
      <c r="AL2075" s="960">
        <f t="array" ref="AL2075">HLOOKUP($J2075,'Type Chart'!$C$2:$T$20,19,false)*HLOOKUP($K2075,'Type Chart'!$C$2:$U$20,19,false)</f>
        <v>2</v>
      </c>
      <c r="AM2075" s="964" t="s">
        <v>1521</v>
      </c>
      <c r="AN2075" s="965"/>
      <c r="AO2075" s="966"/>
      <c r="AP2075" s="936"/>
      <c r="AQ2075" s="1245"/>
      <c r="AR2075" s="1245"/>
      <c r="AS2075" s="936"/>
    </row>
    <row r="2076" ht="15.75" customHeight="1">
      <c r="A2076" s="1099"/>
      <c r="B2076" s="948" t="s">
        <v>3245</v>
      </c>
      <c r="C2076" s="1197" t="s">
        <v>3246</v>
      </c>
      <c r="D2076" s="1197" t="s">
        <v>3246</v>
      </c>
      <c r="E2076" s="1147" t="s">
        <v>3246</v>
      </c>
      <c r="F2076" s="940"/>
      <c r="G2076" s="953"/>
      <c r="H2076" s="969"/>
      <c r="I2076" s="998" t="s">
        <v>5176</v>
      </c>
      <c r="J2076" s="1180" t="s">
        <v>343</v>
      </c>
      <c r="K2076" s="1206" t="s">
        <v>82</v>
      </c>
      <c r="L2076" s="959">
        <v>71.0</v>
      </c>
      <c r="M2076" s="960">
        <v>120.0</v>
      </c>
      <c r="N2076" s="960">
        <v>95.0</v>
      </c>
      <c r="O2076" s="960">
        <v>120.0</v>
      </c>
      <c r="P2076" s="960">
        <v>95.0</v>
      </c>
      <c r="Q2076" s="960">
        <v>99.0</v>
      </c>
      <c r="R2076" s="960">
        <v>234.0</v>
      </c>
      <c r="S2076" s="960">
        <v>297.0</v>
      </c>
      <c r="T2076" s="960">
        <v>326.0</v>
      </c>
      <c r="U2076" s="960">
        <f t="array" ref="U2076">HLOOKUP($J2076,'Type Chart'!$C$2:$T$20,2,false)*HLOOKUP($K2076,'Type Chart'!$C$2:$U$20,2,false)</f>
        <v>0.5</v>
      </c>
      <c r="V2076" s="960">
        <f t="array" ref="V2076">HLOOKUP($J2076,'Type Chart'!$C$2:$T$20,3,false)*HLOOKUP($K2076,'Type Chart'!$C$2:$U$20,3,false)</f>
        <v>1</v>
      </c>
      <c r="W2076" s="960">
        <f t="array" ref="W2076">HLOOKUP($J2076,'Type Chart'!$C$2:$T$20,4,false)*HLOOKUP($K2076,'Type Chart'!$C$2:$U$20,4,false)</f>
        <v>1</v>
      </c>
      <c r="X2076" s="960">
        <f t="array" ref="X2076">HLOOKUP($J2076,'Type Chart'!$C$2:$T$20,5,false)*HLOOKUP($K2076,'Type Chart'!$C$2:$U$20,5,false)</f>
        <v>0</v>
      </c>
      <c r="Y2076" s="960">
        <f t="array" ref="Y2076">HLOOKUP($J2076,'Type Chart'!$C$2:$T$20,6,false)*HLOOKUP($K2076,'Type Chart'!$C$2:$U$20,6,false)</f>
        <v>1</v>
      </c>
      <c r="Z2076" s="960">
        <f t="array" ref="Z2076">HLOOKUP($J2076,'Type Chart'!$C$2:$T$20,7,false)*HLOOKUP($K2076,'Type Chart'!$C$2:$U$20,7,false)</f>
        <v>1</v>
      </c>
      <c r="AA2076" s="960">
        <f t="array" ref="AA2076">HLOOKUP($J2076,'Type Chart'!$C$2:$T$20,8,false)*HLOOKUP($K2076,'Type Chart'!$C$2:$U$20,8,false)</f>
        <v>0.5</v>
      </c>
      <c r="AB2076" s="960">
        <f t="array" ref="AB2076">HLOOKUP($J2076,'Type Chart'!$C$2:$T$20,9,false)*HLOOKUP($K2076,'Type Chart'!$C$2:$U$20,9,false)</f>
        <v>1</v>
      </c>
      <c r="AC2076" s="960">
        <f t="array" ref="AC2076">HLOOKUP($J2076,'Type Chart'!$C$2:$T$20,10,false)*HLOOKUP($K2076,'Type Chart'!$C$2:$U$20,10,false)</f>
        <v>0.5</v>
      </c>
      <c r="AD2076" s="960">
        <f t="array" ref="AD2076">HLOOKUP($J2076,'Type Chart'!$C$2:$T$20,11,false)*HLOOKUP($K2076,'Type Chart'!$C$2:$U$20,11,false)</f>
        <v>4</v>
      </c>
      <c r="AE2076" s="960">
        <f t="array" ref="AE2076">HLOOKUP($J2076,'Type Chart'!$C$2:$T$20,12,false)*HLOOKUP($K2076,'Type Chart'!$C$2:$U$20,12,false)</f>
        <v>1</v>
      </c>
      <c r="AF2076" s="960">
        <f t="array" ref="AF2076">HLOOKUP($J2076,'Type Chart'!$C$2:$T$20,13,false)*HLOOKUP($K2076,'Type Chart'!$C$2:$U$20,13,false)</f>
        <v>0.25</v>
      </c>
      <c r="AG2076" s="960">
        <f t="array" ref="AG2076">HLOOKUP($J2076,'Type Chart'!$C$2:$T$20,14,false)*HLOOKUP($K2076,'Type Chart'!$C$2:$U$20,14,false)</f>
        <v>1</v>
      </c>
      <c r="AH2076" s="960">
        <f t="array" ref="AH2076">HLOOKUP($J2076,'Type Chart'!$C$2:$T$20,15,false)*HLOOKUP($K2076,'Type Chart'!$C$2:$U$20,15,false)</f>
        <v>0.5</v>
      </c>
      <c r="AI2076" s="960">
        <f t="array" ref="AI2076">HLOOKUP($J2076,'Type Chart'!$C$2:$T$20,16,false)*HLOOKUP($K2076,'Type Chart'!$C$2:$U$20,16,false)</f>
        <v>0.5</v>
      </c>
      <c r="AJ2076" s="960">
        <f t="array" ref="AJ2076">HLOOKUP($J2076,'Type Chart'!$C$2:$T$20,17,false)*HLOOKUP($K2076,'Type Chart'!$C$2:$U$20,17,false)</f>
        <v>0.5</v>
      </c>
      <c r="AK2076" s="960">
        <f t="array" ref="AK2076">HLOOKUP($J2076,'Type Chart'!$C$2:$T$20,18,false)*HLOOKUP($K2076,'Type Chart'!$C$2:$U$20,18,false)</f>
        <v>1</v>
      </c>
      <c r="AL2076" s="960">
        <f t="array" ref="AL2076">HLOOKUP($J2076,'Type Chart'!$C$2:$T$20,19,false)*HLOOKUP($K2076,'Type Chart'!$C$2:$U$20,19,false)</f>
        <v>0.5</v>
      </c>
      <c r="AM2076" s="1145" t="s">
        <v>1620</v>
      </c>
      <c r="AN2076" s="1202"/>
      <c r="AO2076" s="1146"/>
      <c r="AP2076" s="936"/>
      <c r="AQ2076" s="1245"/>
      <c r="AR2076" s="1245"/>
      <c r="AS2076" s="936"/>
    </row>
    <row r="2077" ht="15.75" customHeight="1">
      <c r="A2077" s="1099"/>
      <c r="B2077" s="948" t="s">
        <v>3245</v>
      </c>
      <c r="C2077" s="1197" t="s">
        <v>3248</v>
      </c>
      <c r="D2077" s="1197" t="s">
        <v>3248</v>
      </c>
      <c r="E2077" s="1147" t="s">
        <v>3248</v>
      </c>
      <c r="F2077" s="940"/>
      <c r="G2077" s="953"/>
      <c r="H2077" s="969"/>
      <c r="I2077" s="998" t="s">
        <v>5177</v>
      </c>
      <c r="J2077" s="1180" t="s">
        <v>343</v>
      </c>
      <c r="K2077" s="1206" t="s">
        <v>82</v>
      </c>
      <c r="L2077" s="959">
        <v>71.0</v>
      </c>
      <c r="M2077" s="960">
        <v>120.0</v>
      </c>
      <c r="N2077" s="960">
        <v>95.0</v>
      </c>
      <c r="O2077" s="960">
        <v>120.0</v>
      </c>
      <c r="P2077" s="960">
        <v>95.0</v>
      </c>
      <c r="Q2077" s="960">
        <v>99.0</v>
      </c>
      <c r="R2077" s="960">
        <v>234.0</v>
      </c>
      <c r="S2077" s="960">
        <v>297.0</v>
      </c>
      <c r="T2077" s="960">
        <v>326.0</v>
      </c>
      <c r="U2077" s="960">
        <f t="array" ref="U2077">HLOOKUP($J2077,'Type Chart'!$C$2:$T$20,2,false)*HLOOKUP($K2077,'Type Chart'!$C$2:$U$20,2,false)</f>
        <v>0.5</v>
      </c>
      <c r="V2077" s="960">
        <f t="array" ref="V2077">HLOOKUP($J2077,'Type Chart'!$C$2:$T$20,3,false)*HLOOKUP($K2077,'Type Chart'!$C$2:$U$20,3,false)</f>
        <v>1</v>
      </c>
      <c r="W2077" s="960">
        <f t="array" ref="W2077">HLOOKUP($J2077,'Type Chart'!$C$2:$T$20,4,false)*HLOOKUP($K2077,'Type Chart'!$C$2:$U$20,4,false)</f>
        <v>1</v>
      </c>
      <c r="X2077" s="960">
        <f t="array" ref="X2077">HLOOKUP($J2077,'Type Chart'!$C$2:$T$20,5,false)*HLOOKUP($K2077,'Type Chart'!$C$2:$U$20,5,false)</f>
        <v>0</v>
      </c>
      <c r="Y2077" s="960">
        <f t="array" ref="Y2077">HLOOKUP($J2077,'Type Chart'!$C$2:$T$20,6,false)*HLOOKUP($K2077,'Type Chart'!$C$2:$U$20,6,false)</f>
        <v>1</v>
      </c>
      <c r="Z2077" s="960">
        <f t="array" ref="Z2077">HLOOKUP($J2077,'Type Chart'!$C$2:$T$20,7,false)*HLOOKUP($K2077,'Type Chart'!$C$2:$U$20,7,false)</f>
        <v>1</v>
      </c>
      <c r="AA2077" s="960">
        <f t="array" ref="AA2077">HLOOKUP($J2077,'Type Chart'!$C$2:$T$20,8,false)*HLOOKUP($K2077,'Type Chart'!$C$2:$U$20,8,false)</f>
        <v>0.5</v>
      </c>
      <c r="AB2077" s="960">
        <f t="array" ref="AB2077">HLOOKUP($J2077,'Type Chart'!$C$2:$T$20,9,false)*HLOOKUP($K2077,'Type Chart'!$C$2:$U$20,9,false)</f>
        <v>1</v>
      </c>
      <c r="AC2077" s="960">
        <f t="array" ref="AC2077">HLOOKUP($J2077,'Type Chart'!$C$2:$T$20,10,false)*HLOOKUP($K2077,'Type Chart'!$C$2:$U$20,10,false)</f>
        <v>0.5</v>
      </c>
      <c r="AD2077" s="960">
        <f t="array" ref="AD2077">HLOOKUP($J2077,'Type Chart'!$C$2:$T$20,11,false)*HLOOKUP($K2077,'Type Chart'!$C$2:$U$20,11,false)</f>
        <v>4</v>
      </c>
      <c r="AE2077" s="960">
        <f t="array" ref="AE2077">HLOOKUP($J2077,'Type Chart'!$C$2:$T$20,12,false)*HLOOKUP($K2077,'Type Chart'!$C$2:$U$20,12,false)</f>
        <v>1</v>
      </c>
      <c r="AF2077" s="960">
        <f t="array" ref="AF2077">HLOOKUP($J2077,'Type Chart'!$C$2:$T$20,13,false)*HLOOKUP($K2077,'Type Chart'!$C$2:$U$20,13,false)</f>
        <v>0.25</v>
      </c>
      <c r="AG2077" s="960">
        <f t="array" ref="AG2077">HLOOKUP($J2077,'Type Chart'!$C$2:$T$20,14,false)*HLOOKUP($K2077,'Type Chart'!$C$2:$U$20,14,false)</f>
        <v>1</v>
      </c>
      <c r="AH2077" s="960">
        <f t="array" ref="AH2077">HLOOKUP($J2077,'Type Chart'!$C$2:$T$20,15,false)*HLOOKUP($K2077,'Type Chart'!$C$2:$U$20,15,false)</f>
        <v>0.5</v>
      </c>
      <c r="AI2077" s="960">
        <f t="array" ref="AI2077">HLOOKUP($J2077,'Type Chart'!$C$2:$T$20,16,false)*HLOOKUP($K2077,'Type Chart'!$C$2:$U$20,16,false)</f>
        <v>0.5</v>
      </c>
      <c r="AJ2077" s="960">
        <f t="array" ref="AJ2077">HLOOKUP($J2077,'Type Chart'!$C$2:$T$20,17,false)*HLOOKUP($K2077,'Type Chart'!$C$2:$U$20,17,false)</f>
        <v>0.5</v>
      </c>
      <c r="AK2077" s="960">
        <f t="array" ref="AK2077">HLOOKUP($J2077,'Type Chart'!$C$2:$T$20,18,false)*HLOOKUP($K2077,'Type Chart'!$C$2:$U$20,18,false)</f>
        <v>1</v>
      </c>
      <c r="AL2077" s="960">
        <f t="array" ref="AL2077">HLOOKUP($J2077,'Type Chart'!$C$2:$T$20,19,false)*HLOOKUP($K2077,'Type Chart'!$C$2:$U$20,19,false)</f>
        <v>0.5</v>
      </c>
      <c r="AM2077" s="964" t="s">
        <v>1620</v>
      </c>
      <c r="AN2077" s="965"/>
      <c r="AO2077" s="966"/>
      <c r="AP2077" s="936"/>
      <c r="AQ2077" s="1245"/>
      <c r="AR2077" s="1245"/>
      <c r="AS2077" s="936"/>
    </row>
    <row r="2078" ht="15.75" customHeight="1">
      <c r="A2078" s="1099"/>
      <c r="B2078" s="948" t="s">
        <v>3245</v>
      </c>
      <c r="C2078" s="1197" t="s">
        <v>3250</v>
      </c>
      <c r="D2078" s="1197" t="s">
        <v>3250</v>
      </c>
      <c r="E2078" s="1147" t="s">
        <v>3250</v>
      </c>
      <c r="F2078" s="940"/>
      <c r="G2078" s="953"/>
      <c r="H2078" s="969"/>
      <c r="I2078" s="998" t="s">
        <v>5178</v>
      </c>
      <c r="J2078" s="1180" t="s">
        <v>343</v>
      </c>
      <c r="K2078" s="1206" t="s">
        <v>82</v>
      </c>
      <c r="L2078" s="959">
        <v>71.0</v>
      </c>
      <c r="M2078" s="960">
        <v>120.0</v>
      </c>
      <c r="N2078" s="960">
        <v>95.0</v>
      </c>
      <c r="O2078" s="960">
        <v>120.0</v>
      </c>
      <c r="P2078" s="960">
        <v>95.0</v>
      </c>
      <c r="Q2078" s="960">
        <v>99.0</v>
      </c>
      <c r="R2078" s="960">
        <v>234.0</v>
      </c>
      <c r="S2078" s="960">
        <v>297.0</v>
      </c>
      <c r="T2078" s="960">
        <v>326.0</v>
      </c>
      <c r="U2078" s="960">
        <f t="array" ref="U2078">HLOOKUP($J2078,'Type Chart'!$C$2:$T$20,2,false)*HLOOKUP($K2078,'Type Chart'!$C$2:$U$20,2,false)</f>
        <v>0.5</v>
      </c>
      <c r="V2078" s="960">
        <f t="array" ref="V2078">HLOOKUP($J2078,'Type Chart'!$C$2:$T$20,3,false)*HLOOKUP($K2078,'Type Chart'!$C$2:$U$20,3,false)</f>
        <v>1</v>
      </c>
      <c r="W2078" s="960">
        <f t="array" ref="W2078">HLOOKUP($J2078,'Type Chart'!$C$2:$T$20,4,false)*HLOOKUP($K2078,'Type Chart'!$C$2:$U$20,4,false)</f>
        <v>1</v>
      </c>
      <c r="X2078" s="960">
        <f t="array" ref="X2078">HLOOKUP($J2078,'Type Chart'!$C$2:$T$20,5,false)*HLOOKUP($K2078,'Type Chart'!$C$2:$U$20,5,false)</f>
        <v>0</v>
      </c>
      <c r="Y2078" s="960">
        <f t="array" ref="Y2078">HLOOKUP($J2078,'Type Chart'!$C$2:$T$20,6,false)*HLOOKUP($K2078,'Type Chart'!$C$2:$U$20,6,false)</f>
        <v>1</v>
      </c>
      <c r="Z2078" s="960">
        <f t="array" ref="Z2078">HLOOKUP($J2078,'Type Chart'!$C$2:$T$20,7,false)*HLOOKUP($K2078,'Type Chart'!$C$2:$U$20,7,false)</f>
        <v>1</v>
      </c>
      <c r="AA2078" s="960">
        <f t="array" ref="AA2078">HLOOKUP($J2078,'Type Chart'!$C$2:$T$20,8,false)*HLOOKUP($K2078,'Type Chart'!$C$2:$U$20,8,false)</f>
        <v>0.5</v>
      </c>
      <c r="AB2078" s="960">
        <f t="array" ref="AB2078">HLOOKUP($J2078,'Type Chart'!$C$2:$T$20,9,false)*HLOOKUP($K2078,'Type Chart'!$C$2:$U$20,9,false)</f>
        <v>1</v>
      </c>
      <c r="AC2078" s="960">
        <f t="array" ref="AC2078">HLOOKUP($J2078,'Type Chart'!$C$2:$T$20,10,false)*HLOOKUP($K2078,'Type Chart'!$C$2:$U$20,10,false)</f>
        <v>0.5</v>
      </c>
      <c r="AD2078" s="960">
        <f t="array" ref="AD2078">HLOOKUP($J2078,'Type Chart'!$C$2:$T$20,11,false)*HLOOKUP($K2078,'Type Chart'!$C$2:$U$20,11,false)</f>
        <v>4</v>
      </c>
      <c r="AE2078" s="960">
        <f t="array" ref="AE2078">HLOOKUP($J2078,'Type Chart'!$C$2:$T$20,12,false)*HLOOKUP($K2078,'Type Chart'!$C$2:$U$20,12,false)</f>
        <v>1</v>
      </c>
      <c r="AF2078" s="960">
        <f t="array" ref="AF2078">HLOOKUP($J2078,'Type Chart'!$C$2:$T$20,13,false)*HLOOKUP($K2078,'Type Chart'!$C$2:$U$20,13,false)</f>
        <v>0.25</v>
      </c>
      <c r="AG2078" s="960">
        <f t="array" ref="AG2078">HLOOKUP($J2078,'Type Chart'!$C$2:$T$20,14,false)*HLOOKUP($K2078,'Type Chart'!$C$2:$U$20,14,false)</f>
        <v>1</v>
      </c>
      <c r="AH2078" s="960">
        <f t="array" ref="AH2078">HLOOKUP($J2078,'Type Chart'!$C$2:$T$20,15,false)*HLOOKUP($K2078,'Type Chart'!$C$2:$U$20,15,false)</f>
        <v>0.5</v>
      </c>
      <c r="AI2078" s="960">
        <f t="array" ref="AI2078">HLOOKUP($J2078,'Type Chart'!$C$2:$T$20,16,false)*HLOOKUP($K2078,'Type Chart'!$C$2:$U$20,16,false)</f>
        <v>0.5</v>
      </c>
      <c r="AJ2078" s="960">
        <f t="array" ref="AJ2078">HLOOKUP($J2078,'Type Chart'!$C$2:$T$20,17,false)*HLOOKUP($K2078,'Type Chart'!$C$2:$U$20,17,false)</f>
        <v>0.5</v>
      </c>
      <c r="AK2078" s="960">
        <f t="array" ref="AK2078">HLOOKUP($J2078,'Type Chart'!$C$2:$T$20,18,false)*HLOOKUP($K2078,'Type Chart'!$C$2:$U$20,18,false)</f>
        <v>1</v>
      </c>
      <c r="AL2078" s="960">
        <f t="array" ref="AL2078">HLOOKUP($J2078,'Type Chart'!$C$2:$T$20,19,false)*HLOOKUP($K2078,'Type Chart'!$C$2:$U$20,19,false)</f>
        <v>0.5</v>
      </c>
      <c r="AM2078" s="964" t="s">
        <v>1620</v>
      </c>
      <c r="AN2078" s="965"/>
      <c r="AO2078" s="966"/>
      <c r="AP2078" s="936"/>
      <c r="AQ2078" s="1245"/>
      <c r="AR2078" s="1245"/>
      <c r="AS2078" s="936"/>
    </row>
    <row r="2079" ht="15.75" customHeight="1">
      <c r="A2079" s="1099"/>
      <c r="B2079" s="948" t="s">
        <v>3245</v>
      </c>
      <c r="C2079" s="1197" t="s">
        <v>3252</v>
      </c>
      <c r="D2079" s="1197" t="s">
        <v>3252</v>
      </c>
      <c r="E2079" s="1147" t="s">
        <v>3252</v>
      </c>
      <c r="F2079" s="940"/>
      <c r="G2079" s="953"/>
      <c r="H2079" s="969"/>
      <c r="I2079" s="998" t="s">
        <v>5179</v>
      </c>
      <c r="J2079" s="1180" t="s">
        <v>343</v>
      </c>
      <c r="K2079" s="1206" t="s">
        <v>82</v>
      </c>
      <c r="L2079" s="959">
        <v>71.0</v>
      </c>
      <c r="M2079" s="960">
        <v>120.0</v>
      </c>
      <c r="N2079" s="960">
        <v>95.0</v>
      </c>
      <c r="O2079" s="960">
        <v>120.0</v>
      </c>
      <c r="P2079" s="960">
        <v>95.0</v>
      </c>
      <c r="Q2079" s="960">
        <v>99.0</v>
      </c>
      <c r="R2079" s="960">
        <v>234.0</v>
      </c>
      <c r="S2079" s="960">
        <v>297.0</v>
      </c>
      <c r="T2079" s="960">
        <v>326.0</v>
      </c>
      <c r="U2079" s="960">
        <f t="array" ref="U2079">HLOOKUP($J2079,'Type Chart'!$C$2:$T$20,2,false)*HLOOKUP($K2079,'Type Chart'!$C$2:$U$20,2,false)</f>
        <v>0.5</v>
      </c>
      <c r="V2079" s="960">
        <f t="array" ref="V2079">HLOOKUP($J2079,'Type Chart'!$C$2:$T$20,3,false)*HLOOKUP($K2079,'Type Chart'!$C$2:$U$20,3,false)</f>
        <v>1</v>
      </c>
      <c r="W2079" s="960">
        <f t="array" ref="W2079">HLOOKUP($J2079,'Type Chart'!$C$2:$T$20,4,false)*HLOOKUP($K2079,'Type Chart'!$C$2:$U$20,4,false)</f>
        <v>1</v>
      </c>
      <c r="X2079" s="960">
        <f t="array" ref="X2079">HLOOKUP($J2079,'Type Chart'!$C$2:$T$20,5,false)*HLOOKUP($K2079,'Type Chart'!$C$2:$U$20,5,false)</f>
        <v>0</v>
      </c>
      <c r="Y2079" s="960">
        <f t="array" ref="Y2079">HLOOKUP($J2079,'Type Chart'!$C$2:$T$20,6,false)*HLOOKUP($K2079,'Type Chart'!$C$2:$U$20,6,false)</f>
        <v>1</v>
      </c>
      <c r="Z2079" s="960">
        <f t="array" ref="Z2079">HLOOKUP($J2079,'Type Chart'!$C$2:$T$20,7,false)*HLOOKUP($K2079,'Type Chart'!$C$2:$U$20,7,false)</f>
        <v>1</v>
      </c>
      <c r="AA2079" s="960">
        <f t="array" ref="AA2079">HLOOKUP($J2079,'Type Chart'!$C$2:$T$20,8,false)*HLOOKUP($K2079,'Type Chart'!$C$2:$U$20,8,false)</f>
        <v>0.5</v>
      </c>
      <c r="AB2079" s="960">
        <f t="array" ref="AB2079">HLOOKUP($J2079,'Type Chart'!$C$2:$T$20,9,false)*HLOOKUP($K2079,'Type Chart'!$C$2:$U$20,9,false)</f>
        <v>1</v>
      </c>
      <c r="AC2079" s="960">
        <f t="array" ref="AC2079">HLOOKUP($J2079,'Type Chart'!$C$2:$T$20,10,false)*HLOOKUP($K2079,'Type Chart'!$C$2:$U$20,10,false)</f>
        <v>0.5</v>
      </c>
      <c r="AD2079" s="960">
        <f t="array" ref="AD2079">HLOOKUP($J2079,'Type Chart'!$C$2:$T$20,11,false)*HLOOKUP($K2079,'Type Chart'!$C$2:$U$20,11,false)</f>
        <v>4</v>
      </c>
      <c r="AE2079" s="960">
        <f t="array" ref="AE2079">HLOOKUP($J2079,'Type Chart'!$C$2:$T$20,12,false)*HLOOKUP($K2079,'Type Chart'!$C$2:$U$20,12,false)</f>
        <v>1</v>
      </c>
      <c r="AF2079" s="960">
        <f t="array" ref="AF2079">HLOOKUP($J2079,'Type Chart'!$C$2:$T$20,13,false)*HLOOKUP($K2079,'Type Chart'!$C$2:$U$20,13,false)</f>
        <v>0.25</v>
      </c>
      <c r="AG2079" s="960">
        <f t="array" ref="AG2079">HLOOKUP($J2079,'Type Chart'!$C$2:$T$20,14,false)*HLOOKUP($K2079,'Type Chart'!$C$2:$U$20,14,false)</f>
        <v>1</v>
      </c>
      <c r="AH2079" s="960">
        <f t="array" ref="AH2079">HLOOKUP($J2079,'Type Chart'!$C$2:$T$20,15,false)*HLOOKUP($K2079,'Type Chart'!$C$2:$U$20,15,false)</f>
        <v>0.5</v>
      </c>
      <c r="AI2079" s="960">
        <f t="array" ref="AI2079">HLOOKUP($J2079,'Type Chart'!$C$2:$T$20,16,false)*HLOOKUP($K2079,'Type Chart'!$C$2:$U$20,16,false)</f>
        <v>0.5</v>
      </c>
      <c r="AJ2079" s="960">
        <f t="array" ref="AJ2079">HLOOKUP($J2079,'Type Chart'!$C$2:$T$20,17,false)*HLOOKUP($K2079,'Type Chart'!$C$2:$U$20,17,false)</f>
        <v>0.5</v>
      </c>
      <c r="AK2079" s="960">
        <f t="array" ref="AK2079">HLOOKUP($J2079,'Type Chart'!$C$2:$T$20,18,false)*HLOOKUP($K2079,'Type Chart'!$C$2:$U$20,18,false)</f>
        <v>1</v>
      </c>
      <c r="AL2079" s="960">
        <f t="array" ref="AL2079">HLOOKUP($J2079,'Type Chart'!$C$2:$T$20,19,false)*HLOOKUP($K2079,'Type Chart'!$C$2:$U$20,19,false)</f>
        <v>0.5</v>
      </c>
      <c r="AM2079" s="964" t="s">
        <v>1620</v>
      </c>
      <c r="AN2079" s="965"/>
      <c r="AO2079" s="966"/>
      <c r="AP2079" s="936"/>
      <c r="AQ2079" s="1245"/>
      <c r="AR2079" s="1245"/>
      <c r="AS2079" s="936"/>
    </row>
    <row r="2080" ht="15.75" customHeight="1">
      <c r="A2080" s="1099"/>
      <c r="B2080" s="948" t="s">
        <v>3245</v>
      </c>
      <c r="C2080" s="1197" t="s">
        <v>3254</v>
      </c>
      <c r="D2080" s="1197" t="s">
        <v>3254</v>
      </c>
      <c r="E2080" s="1147" t="s">
        <v>3254</v>
      </c>
      <c r="F2080" s="940"/>
      <c r="G2080" s="953"/>
      <c r="H2080" s="969"/>
      <c r="I2080" s="998" t="s">
        <v>5180</v>
      </c>
      <c r="J2080" s="1180" t="s">
        <v>343</v>
      </c>
      <c r="K2080" s="1206" t="s">
        <v>82</v>
      </c>
      <c r="L2080" s="959">
        <v>71.0</v>
      </c>
      <c r="M2080" s="960">
        <v>120.0</v>
      </c>
      <c r="N2080" s="960">
        <v>95.0</v>
      </c>
      <c r="O2080" s="960">
        <v>120.0</v>
      </c>
      <c r="P2080" s="960">
        <v>95.0</v>
      </c>
      <c r="Q2080" s="960">
        <v>99.0</v>
      </c>
      <c r="R2080" s="960">
        <v>234.0</v>
      </c>
      <c r="S2080" s="960">
        <v>297.0</v>
      </c>
      <c r="T2080" s="960">
        <v>326.0</v>
      </c>
      <c r="U2080" s="960">
        <f t="array" ref="U2080">HLOOKUP($J2080,'Type Chart'!$C$2:$T$20,2,false)*HLOOKUP($K2080,'Type Chart'!$C$2:$U$20,2,false)</f>
        <v>0.5</v>
      </c>
      <c r="V2080" s="960">
        <f t="array" ref="V2080">HLOOKUP($J2080,'Type Chart'!$C$2:$T$20,3,false)*HLOOKUP($K2080,'Type Chart'!$C$2:$U$20,3,false)</f>
        <v>1</v>
      </c>
      <c r="W2080" s="960">
        <f t="array" ref="W2080">HLOOKUP($J2080,'Type Chart'!$C$2:$T$20,4,false)*HLOOKUP($K2080,'Type Chart'!$C$2:$U$20,4,false)</f>
        <v>1</v>
      </c>
      <c r="X2080" s="960">
        <f t="array" ref="X2080">HLOOKUP($J2080,'Type Chart'!$C$2:$T$20,5,false)*HLOOKUP($K2080,'Type Chart'!$C$2:$U$20,5,false)</f>
        <v>0</v>
      </c>
      <c r="Y2080" s="960">
        <f t="array" ref="Y2080">HLOOKUP($J2080,'Type Chart'!$C$2:$T$20,6,false)*HLOOKUP($K2080,'Type Chart'!$C$2:$U$20,6,false)</f>
        <v>1</v>
      </c>
      <c r="Z2080" s="960">
        <f t="array" ref="Z2080">HLOOKUP($J2080,'Type Chart'!$C$2:$T$20,7,false)*HLOOKUP($K2080,'Type Chart'!$C$2:$U$20,7,false)</f>
        <v>1</v>
      </c>
      <c r="AA2080" s="960">
        <f t="array" ref="AA2080">HLOOKUP($J2080,'Type Chart'!$C$2:$T$20,8,false)*HLOOKUP($K2080,'Type Chart'!$C$2:$U$20,8,false)</f>
        <v>0.5</v>
      </c>
      <c r="AB2080" s="960">
        <f t="array" ref="AB2080">HLOOKUP($J2080,'Type Chart'!$C$2:$T$20,9,false)*HLOOKUP($K2080,'Type Chart'!$C$2:$U$20,9,false)</f>
        <v>1</v>
      </c>
      <c r="AC2080" s="960">
        <f t="array" ref="AC2080">HLOOKUP($J2080,'Type Chart'!$C$2:$T$20,10,false)*HLOOKUP($K2080,'Type Chart'!$C$2:$U$20,10,false)</f>
        <v>0.5</v>
      </c>
      <c r="AD2080" s="960">
        <f t="array" ref="AD2080">HLOOKUP($J2080,'Type Chart'!$C$2:$T$20,11,false)*HLOOKUP($K2080,'Type Chart'!$C$2:$U$20,11,false)</f>
        <v>4</v>
      </c>
      <c r="AE2080" s="960">
        <f t="array" ref="AE2080">HLOOKUP($J2080,'Type Chart'!$C$2:$T$20,12,false)*HLOOKUP($K2080,'Type Chart'!$C$2:$U$20,12,false)</f>
        <v>1</v>
      </c>
      <c r="AF2080" s="960">
        <f t="array" ref="AF2080">HLOOKUP($J2080,'Type Chart'!$C$2:$T$20,13,false)*HLOOKUP($K2080,'Type Chart'!$C$2:$U$20,13,false)</f>
        <v>0.25</v>
      </c>
      <c r="AG2080" s="960">
        <f t="array" ref="AG2080">HLOOKUP($J2080,'Type Chart'!$C$2:$T$20,14,false)*HLOOKUP($K2080,'Type Chart'!$C$2:$U$20,14,false)</f>
        <v>1</v>
      </c>
      <c r="AH2080" s="960">
        <f t="array" ref="AH2080">HLOOKUP($J2080,'Type Chart'!$C$2:$T$20,15,false)*HLOOKUP($K2080,'Type Chart'!$C$2:$U$20,15,false)</f>
        <v>0.5</v>
      </c>
      <c r="AI2080" s="960">
        <f t="array" ref="AI2080">HLOOKUP($J2080,'Type Chart'!$C$2:$T$20,16,false)*HLOOKUP($K2080,'Type Chart'!$C$2:$U$20,16,false)</f>
        <v>0.5</v>
      </c>
      <c r="AJ2080" s="960">
        <f t="array" ref="AJ2080">HLOOKUP($J2080,'Type Chart'!$C$2:$T$20,17,false)*HLOOKUP($K2080,'Type Chart'!$C$2:$U$20,17,false)</f>
        <v>0.5</v>
      </c>
      <c r="AK2080" s="960">
        <f t="array" ref="AK2080">HLOOKUP($J2080,'Type Chart'!$C$2:$T$20,18,false)*HLOOKUP($K2080,'Type Chart'!$C$2:$U$20,18,false)</f>
        <v>1</v>
      </c>
      <c r="AL2080" s="960">
        <f t="array" ref="AL2080">HLOOKUP($J2080,'Type Chart'!$C$2:$T$20,19,false)*HLOOKUP($K2080,'Type Chart'!$C$2:$U$20,19,false)</f>
        <v>0.5</v>
      </c>
      <c r="AM2080" s="964" t="s">
        <v>1620</v>
      </c>
      <c r="AN2080" s="965"/>
      <c r="AO2080" s="966"/>
      <c r="AP2080" s="936"/>
      <c r="AQ2080" s="1245"/>
      <c r="AR2080" s="1245"/>
      <c r="AS2080" s="936"/>
    </row>
    <row r="2081" ht="15.75" customHeight="1">
      <c r="A2081" s="1099"/>
      <c r="B2081" s="948" t="s">
        <v>3256</v>
      </c>
      <c r="C2081" s="1197" t="s">
        <v>3257</v>
      </c>
      <c r="D2081" s="1197" t="s">
        <v>3257</v>
      </c>
      <c r="E2081" s="1147" t="s">
        <v>3257</v>
      </c>
      <c r="F2081" s="940"/>
      <c r="G2081" s="953"/>
      <c r="H2081" s="969"/>
      <c r="I2081" s="998" t="s">
        <v>5181</v>
      </c>
      <c r="J2081" s="957" t="s">
        <v>209</v>
      </c>
      <c r="K2081" s="984" t="s">
        <v>216</v>
      </c>
      <c r="L2081" s="959">
        <v>56.0</v>
      </c>
      <c r="M2081" s="960">
        <v>61.0</v>
      </c>
      <c r="N2081" s="960">
        <v>65.0</v>
      </c>
      <c r="O2081" s="960">
        <v>48.0</v>
      </c>
      <c r="P2081" s="960">
        <v>45.0</v>
      </c>
      <c r="Q2081" s="960">
        <v>38.0</v>
      </c>
      <c r="R2081" s="960">
        <v>112.0</v>
      </c>
      <c r="S2081" s="960">
        <v>175.0</v>
      </c>
      <c r="T2081" s="960">
        <v>192.0</v>
      </c>
      <c r="U2081" s="960">
        <f t="array" ref="U2081">HLOOKUP($J2081,'Type Chart'!$C$2:$T$20,2,false)*HLOOKUP($K2081,'Type Chart'!$C$2:$U$20,2,false)</f>
        <v>1</v>
      </c>
      <c r="V2081" s="960">
        <f t="array" ref="V2081">HLOOKUP($J2081,'Type Chart'!$C$2:$T$20,3,false)*HLOOKUP($K2081,'Type Chart'!$C$2:$U$20,3,false)</f>
        <v>1</v>
      </c>
      <c r="W2081" s="960">
        <f t="array" ref="W2081">HLOOKUP($J2081,'Type Chart'!$C$2:$T$20,4,false)*HLOOKUP($K2081,'Type Chart'!$C$2:$U$20,4,false)</f>
        <v>2</v>
      </c>
      <c r="X2081" s="960">
        <f t="array" ref="X2081">HLOOKUP($J2081,'Type Chart'!$C$2:$T$20,5,false)*HLOOKUP($K2081,'Type Chart'!$C$2:$U$20,5,false)</f>
        <v>2</v>
      </c>
      <c r="Y2081" s="960">
        <f t="array" ref="Y2081">HLOOKUP($J2081,'Type Chart'!$C$2:$T$20,6,false)*HLOOKUP($K2081,'Type Chart'!$C$2:$U$20,6,false)</f>
        <v>0.5</v>
      </c>
      <c r="Z2081" s="960">
        <f t="array" ref="Z2081">HLOOKUP($J2081,'Type Chart'!$C$2:$T$20,7,false)*HLOOKUP($K2081,'Type Chart'!$C$2:$U$20,7,false)</f>
        <v>1</v>
      </c>
      <c r="AA2081" s="960">
        <f t="array" ref="AA2081">HLOOKUP($J2081,'Type Chart'!$C$2:$T$20,8,false)*HLOOKUP($K2081,'Type Chart'!$C$2:$U$20,8,false)</f>
        <v>2</v>
      </c>
      <c r="AB2081" s="960">
        <f t="array" ref="AB2081">HLOOKUP($J2081,'Type Chart'!$C$2:$T$20,9,false)*HLOOKUP($K2081,'Type Chart'!$C$2:$U$20,9,false)</f>
        <v>1</v>
      </c>
      <c r="AC2081" s="960">
        <f t="array" ref="AC2081">HLOOKUP($J2081,'Type Chart'!$C$2:$T$20,10,false)*HLOOKUP($K2081,'Type Chart'!$C$2:$U$20,10,false)</f>
        <v>1</v>
      </c>
      <c r="AD2081" s="960">
        <f t="array" ref="AD2081">HLOOKUP($J2081,'Type Chart'!$C$2:$T$20,11,false)*HLOOKUP($K2081,'Type Chart'!$C$2:$U$20,11,false)</f>
        <v>2</v>
      </c>
      <c r="AE2081" s="960">
        <f t="array" ref="AE2081">HLOOKUP($J2081,'Type Chart'!$C$2:$T$20,12,false)*HLOOKUP($K2081,'Type Chart'!$C$2:$U$20,12,false)</f>
        <v>0.5</v>
      </c>
      <c r="AF2081" s="960">
        <f t="array" ref="AF2081">HLOOKUP($J2081,'Type Chart'!$C$2:$T$20,13,false)*HLOOKUP($K2081,'Type Chart'!$C$2:$U$20,13,false)</f>
        <v>0.5</v>
      </c>
      <c r="AG2081" s="960">
        <f t="array" ref="AG2081">HLOOKUP($J2081,'Type Chart'!$C$2:$T$20,14,false)*HLOOKUP($K2081,'Type Chart'!$C$2:$U$20,14,false)</f>
        <v>0.5</v>
      </c>
      <c r="AH2081" s="960">
        <f t="array" ref="AH2081">HLOOKUP($J2081,'Type Chart'!$C$2:$T$20,15,false)*HLOOKUP($K2081,'Type Chart'!$C$2:$U$20,15,false)</f>
        <v>1</v>
      </c>
      <c r="AI2081" s="960">
        <f t="array" ref="AI2081">HLOOKUP($J2081,'Type Chart'!$C$2:$T$20,16,false)*HLOOKUP($K2081,'Type Chart'!$C$2:$U$20,16,false)</f>
        <v>2</v>
      </c>
      <c r="AJ2081" s="960">
        <f t="array" ref="AJ2081">HLOOKUP($J2081,'Type Chart'!$C$2:$T$20,17,false)*HLOOKUP($K2081,'Type Chart'!$C$2:$U$20,17,false)</f>
        <v>1</v>
      </c>
      <c r="AK2081" s="960">
        <f t="array" ref="AK2081">HLOOKUP($J2081,'Type Chart'!$C$2:$T$20,18,false)*HLOOKUP($K2081,'Type Chart'!$C$2:$U$20,18,false)</f>
        <v>1</v>
      </c>
      <c r="AL2081" s="960">
        <f t="array" ref="AL2081">HLOOKUP($J2081,'Type Chart'!$C$2:$T$20,19,false)*HLOOKUP($K2081,'Type Chart'!$C$2:$U$20,19,false)</f>
        <v>1</v>
      </c>
      <c r="AM2081" s="964" t="s">
        <v>522</v>
      </c>
      <c r="AN2081" s="965"/>
      <c r="AO2081" s="966" t="s">
        <v>3259</v>
      </c>
      <c r="AP2081" s="936"/>
      <c r="AQ2081" s="1245"/>
      <c r="AR2081" s="1245"/>
      <c r="AS2081" s="936"/>
    </row>
    <row r="2082" ht="15.75" customHeight="1">
      <c r="A2082" s="1099"/>
      <c r="B2082" s="948" t="s">
        <v>3260</v>
      </c>
      <c r="C2082" s="1197" t="s">
        <v>3261</v>
      </c>
      <c r="D2082" s="1197" t="s">
        <v>3261</v>
      </c>
      <c r="E2082" s="1147" t="s">
        <v>3261</v>
      </c>
      <c r="F2082" s="940"/>
      <c r="G2082" s="953"/>
      <c r="H2082" s="969"/>
      <c r="I2082" s="998" t="s">
        <v>5182</v>
      </c>
      <c r="J2082" s="957" t="s">
        <v>209</v>
      </c>
      <c r="K2082" s="984" t="s">
        <v>216</v>
      </c>
      <c r="L2082" s="959">
        <v>61.0</v>
      </c>
      <c r="M2082" s="960">
        <v>78.0</v>
      </c>
      <c r="N2082" s="960">
        <v>95.0</v>
      </c>
      <c r="O2082" s="960">
        <v>56.0</v>
      </c>
      <c r="P2082" s="960">
        <v>58.0</v>
      </c>
      <c r="Q2082" s="960">
        <v>57.0</v>
      </c>
      <c r="R2082" s="960">
        <v>150.0</v>
      </c>
      <c r="S2082" s="960">
        <v>213.0</v>
      </c>
      <c r="T2082" s="960">
        <v>234.0</v>
      </c>
      <c r="U2082" s="960">
        <f t="array" ref="U2082">HLOOKUP($J2082,'Type Chart'!$C$2:$T$20,2,false)*HLOOKUP($K2082,'Type Chart'!$C$2:$U$20,2,false)</f>
        <v>1</v>
      </c>
      <c r="V2082" s="960">
        <f t="array" ref="V2082">HLOOKUP($J2082,'Type Chart'!$C$2:$T$20,3,false)*HLOOKUP($K2082,'Type Chart'!$C$2:$U$20,3,false)</f>
        <v>1</v>
      </c>
      <c r="W2082" s="960">
        <f t="array" ref="W2082">HLOOKUP($J2082,'Type Chart'!$C$2:$T$20,4,false)*HLOOKUP($K2082,'Type Chart'!$C$2:$U$20,4,false)</f>
        <v>2</v>
      </c>
      <c r="X2082" s="960">
        <f t="array" ref="X2082">HLOOKUP($J2082,'Type Chart'!$C$2:$T$20,5,false)*HLOOKUP($K2082,'Type Chart'!$C$2:$U$20,5,false)</f>
        <v>2</v>
      </c>
      <c r="Y2082" s="960">
        <f t="array" ref="Y2082">HLOOKUP($J2082,'Type Chart'!$C$2:$T$20,6,false)*HLOOKUP($K2082,'Type Chart'!$C$2:$U$20,6,false)</f>
        <v>0.5</v>
      </c>
      <c r="Z2082" s="960">
        <f t="array" ref="Z2082">HLOOKUP($J2082,'Type Chart'!$C$2:$T$20,7,false)*HLOOKUP($K2082,'Type Chart'!$C$2:$U$20,7,false)</f>
        <v>1</v>
      </c>
      <c r="AA2082" s="960">
        <f t="array" ref="AA2082">HLOOKUP($J2082,'Type Chart'!$C$2:$T$20,8,false)*HLOOKUP($K2082,'Type Chart'!$C$2:$U$20,8,false)</f>
        <v>2</v>
      </c>
      <c r="AB2082" s="960">
        <f t="array" ref="AB2082">HLOOKUP($J2082,'Type Chart'!$C$2:$T$20,9,false)*HLOOKUP($K2082,'Type Chart'!$C$2:$U$20,9,false)</f>
        <v>1</v>
      </c>
      <c r="AC2082" s="960">
        <f t="array" ref="AC2082">HLOOKUP($J2082,'Type Chart'!$C$2:$T$20,10,false)*HLOOKUP($K2082,'Type Chart'!$C$2:$U$20,10,false)</f>
        <v>1</v>
      </c>
      <c r="AD2082" s="960">
        <f t="array" ref="AD2082">HLOOKUP($J2082,'Type Chart'!$C$2:$T$20,11,false)*HLOOKUP($K2082,'Type Chart'!$C$2:$U$20,11,false)</f>
        <v>2</v>
      </c>
      <c r="AE2082" s="960">
        <f t="array" ref="AE2082">HLOOKUP($J2082,'Type Chart'!$C$2:$T$20,12,false)*HLOOKUP($K2082,'Type Chart'!$C$2:$U$20,12,false)</f>
        <v>0.5</v>
      </c>
      <c r="AF2082" s="960">
        <f t="array" ref="AF2082">HLOOKUP($J2082,'Type Chart'!$C$2:$T$20,13,false)*HLOOKUP($K2082,'Type Chart'!$C$2:$U$20,13,false)</f>
        <v>0.5</v>
      </c>
      <c r="AG2082" s="960">
        <f t="array" ref="AG2082">HLOOKUP($J2082,'Type Chart'!$C$2:$T$20,14,false)*HLOOKUP($K2082,'Type Chart'!$C$2:$U$20,14,false)</f>
        <v>0.5</v>
      </c>
      <c r="AH2082" s="960">
        <f t="array" ref="AH2082">HLOOKUP($J2082,'Type Chart'!$C$2:$T$20,15,false)*HLOOKUP($K2082,'Type Chart'!$C$2:$U$20,15,false)</f>
        <v>1</v>
      </c>
      <c r="AI2082" s="960">
        <f t="array" ref="AI2082">HLOOKUP($J2082,'Type Chart'!$C$2:$T$20,16,false)*HLOOKUP($K2082,'Type Chart'!$C$2:$U$20,16,false)</f>
        <v>2</v>
      </c>
      <c r="AJ2082" s="960">
        <f t="array" ref="AJ2082">HLOOKUP($J2082,'Type Chart'!$C$2:$T$20,17,false)*HLOOKUP($K2082,'Type Chart'!$C$2:$U$20,17,false)</f>
        <v>1</v>
      </c>
      <c r="AK2082" s="960">
        <f t="array" ref="AK2082">HLOOKUP($J2082,'Type Chart'!$C$2:$T$20,18,false)*HLOOKUP($K2082,'Type Chart'!$C$2:$U$20,18,false)</f>
        <v>1</v>
      </c>
      <c r="AL2082" s="960">
        <f t="array" ref="AL2082">HLOOKUP($J2082,'Type Chart'!$C$2:$T$20,19,false)*HLOOKUP($K2082,'Type Chart'!$C$2:$U$20,19,false)</f>
        <v>1</v>
      </c>
      <c r="AM2082" s="964" t="s">
        <v>522</v>
      </c>
      <c r="AN2082" s="965"/>
      <c r="AO2082" s="966" t="s">
        <v>3259</v>
      </c>
      <c r="AP2082" s="936"/>
      <c r="AQ2082" s="1245"/>
      <c r="AR2082" s="1245"/>
      <c r="AS2082" s="936"/>
    </row>
    <row r="2083" ht="15.75" customHeight="1">
      <c r="A2083" s="1099"/>
      <c r="B2083" s="948" t="s">
        <v>3262</v>
      </c>
      <c r="C2083" s="1197" t="s">
        <v>3263</v>
      </c>
      <c r="D2083" s="1197" t="s">
        <v>3263</v>
      </c>
      <c r="E2083" s="1147" t="s">
        <v>3263</v>
      </c>
      <c r="F2083" s="940"/>
      <c r="G2083" s="953"/>
      <c r="H2083" s="969"/>
      <c r="I2083" s="998" t="s">
        <v>5183</v>
      </c>
      <c r="J2083" s="957" t="s">
        <v>209</v>
      </c>
      <c r="K2083" s="1213" t="s">
        <v>341</v>
      </c>
      <c r="L2083" s="959">
        <v>88.0</v>
      </c>
      <c r="M2083" s="960">
        <v>107.0</v>
      </c>
      <c r="N2083" s="960">
        <v>122.0</v>
      </c>
      <c r="O2083" s="960">
        <v>74.0</v>
      </c>
      <c r="P2083" s="960">
        <v>75.0</v>
      </c>
      <c r="Q2083" s="960">
        <v>64.0</v>
      </c>
      <c r="R2083" s="960">
        <v>164.0</v>
      </c>
      <c r="S2083" s="960">
        <v>227.0</v>
      </c>
      <c r="T2083" s="960">
        <v>249.0</v>
      </c>
      <c r="U2083" s="960">
        <f t="array" ref="U2083">HLOOKUP($J2083,'Type Chart'!$C$2:$T$20,2,false)*HLOOKUP($K2083,'Type Chart'!$C$2:$U$20,2,false)</f>
        <v>1</v>
      </c>
      <c r="V2083" s="960">
        <f t="array" ref="V2083">HLOOKUP($J2083,'Type Chart'!$C$2:$T$20,3,false)*HLOOKUP($K2083,'Type Chart'!$C$2:$U$20,3,false)</f>
        <v>1</v>
      </c>
      <c r="W2083" s="960">
        <f t="array" ref="W2083">HLOOKUP($J2083,'Type Chart'!$C$2:$T$20,4,false)*HLOOKUP($K2083,'Type Chart'!$C$2:$U$20,4,false)</f>
        <v>4</v>
      </c>
      <c r="X2083" s="960">
        <f t="array" ref="X2083">HLOOKUP($J2083,'Type Chart'!$C$2:$T$20,5,false)*HLOOKUP($K2083,'Type Chart'!$C$2:$U$20,5,false)</f>
        <v>2</v>
      </c>
      <c r="Y2083" s="960">
        <f t="array" ref="Y2083">HLOOKUP($J2083,'Type Chart'!$C$2:$T$20,6,false)*HLOOKUP($K2083,'Type Chart'!$C$2:$U$20,6,false)</f>
        <v>0.5</v>
      </c>
      <c r="Z2083" s="960">
        <f t="array" ref="Z2083">HLOOKUP($J2083,'Type Chart'!$C$2:$T$20,7,false)*HLOOKUP($K2083,'Type Chart'!$C$2:$U$20,7,false)</f>
        <v>0.5</v>
      </c>
      <c r="AA2083" s="960">
        <f t="array" ref="AA2083">HLOOKUP($J2083,'Type Chart'!$C$2:$T$20,8,false)*HLOOKUP($K2083,'Type Chart'!$C$2:$U$20,8,false)</f>
        <v>1</v>
      </c>
      <c r="AB2083" s="960">
        <f t="array" ref="AB2083">HLOOKUP($J2083,'Type Chart'!$C$2:$T$20,9,false)*HLOOKUP($K2083,'Type Chart'!$C$2:$U$20,9,false)</f>
        <v>1</v>
      </c>
      <c r="AC2083" s="960">
        <f t="array" ref="AC2083">HLOOKUP($J2083,'Type Chart'!$C$2:$T$20,10,false)*HLOOKUP($K2083,'Type Chart'!$C$2:$U$20,10,false)</f>
        <v>1</v>
      </c>
      <c r="AD2083" s="960">
        <f t="array" ref="AD2083">HLOOKUP($J2083,'Type Chart'!$C$2:$T$20,11,false)*HLOOKUP($K2083,'Type Chart'!$C$2:$U$20,11,false)</f>
        <v>2</v>
      </c>
      <c r="AE2083" s="960">
        <f t="array" ref="AE2083">HLOOKUP($J2083,'Type Chart'!$C$2:$T$20,12,false)*HLOOKUP($K2083,'Type Chart'!$C$2:$U$20,12,false)</f>
        <v>0.5</v>
      </c>
      <c r="AF2083" s="960">
        <f t="array" ref="AF2083">HLOOKUP($J2083,'Type Chart'!$C$2:$T$20,13,false)*HLOOKUP($K2083,'Type Chart'!$C$2:$U$20,13,false)</f>
        <v>0.5</v>
      </c>
      <c r="AG2083" s="960">
        <f t="array" ref="AG2083">HLOOKUP($J2083,'Type Chart'!$C$2:$T$20,14,false)*HLOOKUP($K2083,'Type Chart'!$C$2:$U$20,14,false)</f>
        <v>0.5</v>
      </c>
      <c r="AH2083" s="960">
        <f t="array" ref="AH2083">HLOOKUP($J2083,'Type Chart'!$C$2:$T$20,15,false)*HLOOKUP($K2083,'Type Chart'!$C$2:$U$20,15,false)</f>
        <v>2</v>
      </c>
      <c r="AI2083" s="960">
        <f t="array" ref="AI2083">HLOOKUP($J2083,'Type Chart'!$C$2:$T$20,16,false)*HLOOKUP($K2083,'Type Chart'!$C$2:$U$20,16,false)</f>
        <v>2</v>
      </c>
      <c r="AJ2083" s="960">
        <f t="array" ref="AJ2083">HLOOKUP($J2083,'Type Chart'!$C$2:$T$20,17,false)*HLOOKUP($K2083,'Type Chart'!$C$2:$U$20,17,false)</f>
        <v>1</v>
      </c>
      <c r="AK2083" s="960">
        <f t="array" ref="AK2083">HLOOKUP($J2083,'Type Chart'!$C$2:$T$20,18,false)*HLOOKUP($K2083,'Type Chart'!$C$2:$U$20,18,false)</f>
        <v>0.5</v>
      </c>
      <c r="AL2083" s="960">
        <f t="array" ref="AL2083">HLOOKUP($J2083,'Type Chart'!$C$2:$T$20,19,false)*HLOOKUP($K2083,'Type Chart'!$C$2:$U$20,19,false)</f>
        <v>2</v>
      </c>
      <c r="AM2083" s="1145" t="s">
        <v>522</v>
      </c>
      <c r="AN2083" s="965"/>
      <c r="AO2083" s="1146" t="s">
        <v>3259</v>
      </c>
      <c r="AP2083" s="936"/>
      <c r="AQ2083" s="1245"/>
      <c r="AR2083" s="1245"/>
      <c r="AS2083" s="936"/>
    </row>
    <row r="2084" ht="15.75" customHeight="1">
      <c r="A2084" s="1099"/>
      <c r="B2084" s="948" t="s">
        <v>3264</v>
      </c>
      <c r="C2084" s="1197" t="s">
        <v>3265</v>
      </c>
      <c r="D2084" s="1197" t="s">
        <v>3265</v>
      </c>
      <c r="E2084" s="1147" t="s">
        <v>3265</v>
      </c>
      <c r="F2084" s="940"/>
      <c r="G2084" s="953"/>
      <c r="H2084" s="969"/>
      <c r="I2084" s="998" t="s">
        <v>5184</v>
      </c>
      <c r="J2084" s="982" t="s">
        <v>150</v>
      </c>
      <c r="K2084" s="984" t="s">
        <v>216</v>
      </c>
      <c r="L2084" s="959">
        <v>40.0</v>
      </c>
      <c r="M2084" s="960">
        <v>45.0</v>
      </c>
      <c r="N2084" s="960">
        <v>40.0</v>
      </c>
      <c r="O2084" s="960">
        <v>62.0</v>
      </c>
      <c r="P2084" s="960">
        <v>60.0</v>
      </c>
      <c r="Q2084" s="960">
        <v>60.0</v>
      </c>
      <c r="R2084" s="960">
        <v>156.0</v>
      </c>
      <c r="S2084" s="960">
        <v>219.0</v>
      </c>
      <c r="T2084" s="960">
        <v>240.0</v>
      </c>
      <c r="U2084" s="960">
        <f t="array" ref="U2084">HLOOKUP($J2084,'Type Chart'!$C$2:$T$20,2,false)*HLOOKUP($K2084,'Type Chart'!$C$2:$U$20,2,false)</f>
        <v>1</v>
      </c>
      <c r="V2084" s="960">
        <f t="array" ref="V2084">HLOOKUP($J2084,'Type Chart'!$C$2:$T$20,3,false)*HLOOKUP($K2084,'Type Chart'!$C$2:$U$20,3,false)</f>
        <v>1</v>
      </c>
      <c r="W2084" s="960">
        <f t="array" ref="W2084">HLOOKUP($J2084,'Type Chart'!$C$2:$T$20,4,false)*HLOOKUP($K2084,'Type Chart'!$C$2:$U$20,4,false)</f>
        <v>1</v>
      </c>
      <c r="X2084" s="960">
        <f t="array" ref="X2084">HLOOKUP($J2084,'Type Chart'!$C$2:$T$20,5,false)*HLOOKUP($K2084,'Type Chart'!$C$2:$U$20,5,false)</f>
        <v>1</v>
      </c>
      <c r="Y2084" s="960">
        <f t="array" ref="Y2084">HLOOKUP($J2084,'Type Chart'!$C$2:$T$20,6,false)*HLOOKUP($K2084,'Type Chart'!$C$2:$U$20,6,false)</f>
        <v>2</v>
      </c>
      <c r="Z2084" s="960">
        <f t="array" ref="Z2084">HLOOKUP($J2084,'Type Chart'!$C$2:$T$20,7,false)*HLOOKUP($K2084,'Type Chart'!$C$2:$U$20,7,false)</f>
        <v>2</v>
      </c>
      <c r="AA2084" s="960">
        <f t="array" ref="AA2084">HLOOKUP($J2084,'Type Chart'!$C$2:$T$20,8,false)*HLOOKUP($K2084,'Type Chart'!$C$2:$U$20,8,false)</f>
        <v>0.5</v>
      </c>
      <c r="AB2084" s="960">
        <f t="array" ref="AB2084">HLOOKUP($J2084,'Type Chart'!$C$2:$T$20,9,false)*HLOOKUP($K2084,'Type Chart'!$C$2:$U$20,9,false)</f>
        <v>1</v>
      </c>
      <c r="AC2084" s="960">
        <f t="array" ref="AC2084">HLOOKUP($J2084,'Type Chart'!$C$2:$T$20,10,false)*HLOOKUP($K2084,'Type Chart'!$C$2:$U$20,10,false)</f>
        <v>0.5</v>
      </c>
      <c r="AD2084" s="960">
        <f t="array" ref="AD2084">HLOOKUP($J2084,'Type Chart'!$C$2:$T$20,11,false)*HLOOKUP($K2084,'Type Chart'!$C$2:$U$20,11,false)</f>
        <v>0.5</v>
      </c>
      <c r="AE2084" s="960">
        <f t="array" ref="AE2084">HLOOKUP($J2084,'Type Chart'!$C$2:$T$20,12,false)*HLOOKUP($K2084,'Type Chart'!$C$2:$U$20,12,false)</f>
        <v>2</v>
      </c>
      <c r="AF2084" s="960">
        <f t="array" ref="AF2084">HLOOKUP($J2084,'Type Chart'!$C$2:$T$20,13,false)*HLOOKUP($K2084,'Type Chart'!$C$2:$U$20,13,false)</f>
        <v>0.5</v>
      </c>
      <c r="AG2084" s="960">
        <f t="array" ref="AG2084">HLOOKUP($J2084,'Type Chart'!$C$2:$T$20,14,false)*HLOOKUP($K2084,'Type Chart'!$C$2:$U$20,14,false)</f>
        <v>1</v>
      </c>
      <c r="AH2084" s="960">
        <f t="array" ref="AH2084">HLOOKUP($J2084,'Type Chart'!$C$2:$T$20,15,false)*HLOOKUP($K2084,'Type Chart'!$C$2:$U$20,15,false)</f>
        <v>1</v>
      </c>
      <c r="AI2084" s="960">
        <f t="array" ref="AI2084">HLOOKUP($J2084,'Type Chart'!$C$2:$T$20,16,false)*HLOOKUP($K2084,'Type Chart'!$C$2:$U$20,16,false)</f>
        <v>0.5</v>
      </c>
      <c r="AJ2084" s="960">
        <f t="array" ref="AJ2084">HLOOKUP($J2084,'Type Chart'!$C$2:$T$20,17,false)*HLOOKUP($K2084,'Type Chart'!$C$2:$U$20,17,false)</f>
        <v>1</v>
      </c>
      <c r="AK2084" s="960">
        <f t="array" ref="AK2084">HLOOKUP($J2084,'Type Chart'!$C$2:$T$20,18,false)*HLOOKUP($K2084,'Type Chart'!$C$2:$U$20,18,false)</f>
        <v>1</v>
      </c>
      <c r="AL2084" s="960">
        <f t="array" ref="AL2084">HLOOKUP($J2084,'Type Chart'!$C$2:$T$20,19,false)*HLOOKUP($K2084,'Type Chart'!$C$2:$U$20,19,false)</f>
        <v>0.5</v>
      </c>
      <c r="AM2084" s="1145" t="s">
        <v>830</v>
      </c>
      <c r="AN2084" s="965"/>
      <c r="AO2084" s="1146" t="s">
        <v>3266</v>
      </c>
      <c r="AP2084" s="936"/>
      <c r="AQ2084" s="1245"/>
      <c r="AR2084" s="1245"/>
      <c r="AS2084" s="936"/>
    </row>
    <row r="2085" ht="15.75" customHeight="1">
      <c r="A2085" s="1099"/>
      <c r="B2085" s="948" t="s">
        <v>3267</v>
      </c>
      <c r="C2085" s="1197" t="s">
        <v>3268</v>
      </c>
      <c r="D2085" s="1197" t="s">
        <v>3268</v>
      </c>
      <c r="E2085" s="1147" t="s">
        <v>3268</v>
      </c>
      <c r="F2085" s="940"/>
      <c r="G2085" s="953"/>
      <c r="H2085" s="969"/>
      <c r="I2085" s="998" t="s">
        <v>5185</v>
      </c>
      <c r="J2085" s="982" t="s">
        <v>150</v>
      </c>
      <c r="K2085" s="984" t="s">
        <v>216</v>
      </c>
      <c r="L2085" s="959">
        <v>59.0</v>
      </c>
      <c r="M2085" s="960">
        <v>59.0</v>
      </c>
      <c r="N2085" s="960">
        <v>58.0</v>
      </c>
      <c r="O2085" s="960">
        <v>90.0</v>
      </c>
      <c r="P2085" s="960">
        <v>70.0</v>
      </c>
      <c r="Q2085" s="960">
        <v>73.0</v>
      </c>
      <c r="R2085" s="960">
        <v>182.0</v>
      </c>
      <c r="S2085" s="960">
        <v>245.0</v>
      </c>
      <c r="T2085" s="960">
        <v>269.0</v>
      </c>
      <c r="U2085" s="960">
        <f t="array" ref="U2085">HLOOKUP($J2085,'Type Chart'!$C$2:$T$20,2,false)*HLOOKUP($K2085,'Type Chart'!$C$2:$U$20,2,false)</f>
        <v>1</v>
      </c>
      <c r="V2085" s="960">
        <f t="array" ref="V2085">HLOOKUP($J2085,'Type Chart'!$C$2:$T$20,3,false)*HLOOKUP($K2085,'Type Chart'!$C$2:$U$20,3,false)</f>
        <v>1</v>
      </c>
      <c r="W2085" s="960">
        <f t="array" ref="W2085">HLOOKUP($J2085,'Type Chart'!$C$2:$T$20,4,false)*HLOOKUP($K2085,'Type Chart'!$C$2:$U$20,4,false)</f>
        <v>1</v>
      </c>
      <c r="X2085" s="960">
        <f t="array" ref="X2085">HLOOKUP($J2085,'Type Chart'!$C$2:$T$20,5,false)*HLOOKUP($K2085,'Type Chart'!$C$2:$U$20,5,false)</f>
        <v>1</v>
      </c>
      <c r="Y2085" s="960">
        <f t="array" ref="Y2085">HLOOKUP($J2085,'Type Chart'!$C$2:$T$20,6,false)*HLOOKUP($K2085,'Type Chart'!$C$2:$U$20,6,false)</f>
        <v>2</v>
      </c>
      <c r="Z2085" s="960">
        <f t="array" ref="Z2085">HLOOKUP($J2085,'Type Chart'!$C$2:$T$20,7,false)*HLOOKUP($K2085,'Type Chart'!$C$2:$U$20,7,false)</f>
        <v>2</v>
      </c>
      <c r="AA2085" s="960">
        <f t="array" ref="AA2085">HLOOKUP($J2085,'Type Chart'!$C$2:$T$20,8,false)*HLOOKUP($K2085,'Type Chart'!$C$2:$U$20,8,false)</f>
        <v>0.5</v>
      </c>
      <c r="AB2085" s="960">
        <f t="array" ref="AB2085">HLOOKUP($J2085,'Type Chart'!$C$2:$T$20,9,false)*HLOOKUP($K2085,'Type Chart'!$C$2:$U$20,9,false)</f>
        <v>1</v>
      </c>
      <c r="AC2085" s="960">
        <f t="array" ref="AC2085">HLOOKUP($J2085,'Type Chart'!$C$2:$T$20,10,false)*HLOOKUP($K2085,'Type Chart'!$C$2:$U$20,10,false)</f>
        <v>0.5</v>
      </c>
      <c r="AD2085" s="960">
        <f t="array" ref="AD2085">HLOOKUP($J2085,'Type Chart'!$C$2:$T$20,11,false)*HLOOKUP($K2085,'Type Chart'!$C$2:$U$20,11,false)</f>
        <v>0.5</v>
      </c>
      <c r="AE2085" s="960">
        <f t="array" ref="AE2085">HLOOKUP($J2085,'Type Chart'!$C$2:$T$20,12,false)*HLOOKUP($K2085,'Type Chart'!$C$2:$U$20,12,false)</f>
        <v>2</v>
      </c>
      <c r="AF2085" s="960">
        <f t="array" ref="AF2085">HLOOKUP($J2085,'Type Chart'!$C$2:$T$20,13,false)*HLOOKUP($K2085,'Type Chart'!$C$2:$U$20,13,false)</f>
        <v>0.5</v>
      </c>
      <c r="AG2085" s="960">
        <f t="array" ref="AG2085">HLOOKUP($J2085,'Type Chart'!$C$2:$T$20,14,false)*HLOOKUP($K2085,'Type Chart'!$C$2:$U$20,14,false)</f>
        <v>1</v>
      </c>
      <c r="AH2085" s="960">
        <f t="array" ref="AH2085">HLOOKUP($J2085,'Type Chart'!$C$2:$T$20,15,false)*HLOOKUP($K2085,'Type Chart'!$C$2:$U$20,15,false)</f>
        <v>1</v>
      </c>
      <c r="AI2085" s="960">
        <f t="array" ref="AI2085">HLOOKUP($J2085,'Type Chart'!$C$2:$T$20,16,false)*HLOOKUP($K2085,'Type Chart'!$C$2:$U$20,16,false)</f>
        <v>0.5</v>
      </c>
      <c r="AJ2085" s="960">
        <f t="array" ref="AJ2085">HLOOKUP($J2085,'Type Chart'!$C$2:$T$20,17,false)*HLOOKUP($K2085,'Type Chart'!$C$2:$U$20,17,false)</f>
        <v>1</v>
      </c>
      <c r="AK2085" s="960">
        <f t="array" ref="AK2085">HLOOKUP($J2085,'Type Chart'!$C$2:$T$20,18,false)*HLOOKUP($K2085,'Type Chart'!$C$2:$U$20,18,false)</f>
        <v>1</v>
      </c>
      <c r="AL2085" s="960">
        <f t="array" ref="AL2085">HLOOKUP($J2085,'Type Chart'!$C$2:$T$20,19,false)*HLOOKUP($K2085,'Type Chart'!$C$2:$U$20,19,false)</f>
        <v>0.5</v>
      </c>
      <c r="AM2085" s="964" t="s">
        <v>830</v>
      </c>
      <c r="AN2085" s="965"/>
      <c r="AO2085" s="966" t="s">
        <v>3266</v>
      </c>
      <c r="AP2085" s="936"/>
      <c r="AQ2085" s="1245"/>
      <c r="AR2085" s="1245"/>
      <c r="AS2085" s="936"/>
    </row>
    <row r="2086" ht="15.75" customHeight="1">
      <c r="A2086" s="1099"/>
      <c r="B2086" s="948" t="s">
        <v>3270</v>
      </c>
      <c r="C2086" s="1197" t="s">
        <v>3271</v>
      </c>
      <c r="D2086" s="1197" t="s">
        <v>3271</v>
      </c>
      <c r="E2086" s="1147" t="s">
        <v>3271</v>
      </c>
      <c r="F2086" s="940"/>
      <c r="G2086" s="953"/>
      <c r="H2086" s="969"/>
      <c r="I2086" s="998" t="s">
        <v>5186</v>
      </c>
      <c r="J2086" s="982" t="s">
        <v>150</v>
      </c>
      <c r="K2086" s="1203" t="s">
        <v>344</v>
      </c>
      <c r="L2086" s="959">
        <v>75.0</v>
      </c>
      <c r="M2086" s="960">
        <v>69.0</v>
      </c>
      <c r="N2086" s="960">
        <v>72.0</v>
      </c>
      <c r="O2086" s="960">
        <v>114.0</v>
      </c>
      <c r="P2086" s="960">
        <v>100.0</v>
      </c>
      <c r="Q2086" s="960">
        <v>104.0</v>
      </c>
      <c r="R2086" s="960">
        <v>244.0</v>
      </c>
      <c r="S2086" s="960">
        <v>307.0</v>
      </c>
      <c r="T2086" s="960">
        <v>337.0</v>
      </c>
      <c r="U2086" s="960">
        <f t="array" ref="U2086">HLOOKUP($J2086,'Type Chart'!$C$2:$T$20,2,false)*HLOOKUP($K2086,'Type Chart'!$C$2:$U$20,2,false)</f>
        <v>1</v>
      </c>
      <c r="V2086" s="960">
        <f t="array" ref="V2086">HLOOKUP($J2086,'Type Chart'!$C$2:$T$20,3,false)*HLOOKUP($K2086,'Type Chart'!$C$2:$U$20,3,false)</f>
        <v>0.5</v>
      </c>
      <c r="W2086" s="960">
        <f t="array" ref="W2086">HLOOKUP($J2086,'Type Chart'!$C$2:$T$20,4,false)*HLOOKUP($K2086,'Type Chart'!$C$2:$U$20,4,false)</f>
        <v>1</v>
      </c>
      <c r="X2086" s="960">
        <f t="array" ref="X2086">HLOOKUP($J2086,'Type Chart'!$C$2:$T$20,5,false)*HLOOKUP($K2086,'Type Chart'!$C$2:$U$20,5,false)</f>
        <v>1</v>
      </c>
      <c r="Y2086" s="960">
        <f t="array" ref="Y2086">HLOOKUP($J2086,'Type Chart'!$C$2:$T$20,6,false)*HLOOKUP($K2086,'Type Chart'!$C$2:$U$20,6,false)</f>
        <v>2</v>
      </c>
      <c r="Z2086" s="960">
        <f t="array" ref="Z2086">HLOOKUP($J2086,'Type Chart'!$C$2:$T$20,7,false)*HLOOKUP($K2086,'Type Chart'!$C$2:$U$20,7,false)</f>
        <v>2</v>
      </c>
      <c r="AA2086" s="960">
        <f t="array" ref="AA2086">HLOOKUP($J2086,'Type Chart'!$C$2:$T$20,8,false)*HLOOKUP($K2086,'Type Chart'!$C$2:$U$20,8,false)</f>
        <v>1</v>
      </c>
      <c r="AB2086" s="960">
        <f t="array" ref="AB2086">HLOOKUP($J2086,'Type Chart'!$C$2:$T$20,9,false)*HLOOKUP($K2086,'Type Chart'!$C$2:$U$20,9,false)</f>
        <v>2</v>
      </c>
      <c r="AC2086" s="960">
        <f t="array" ref="AC2086">HLOOKUP($J2086,'Type Chart'!$C$2:$T$20,10,false)*HLOOKUP($K2086,'Type Chart'!$C$2:$U$20,10,false)</f>
        <v>0.5</v>
      </c>
      <c r="AD2086" s="960">
        <f t="array" ref="AD2086">HLOOKUP($J2086,'Type Chart'!$C$2:$T$20,11,false)*HLOOKUP($K2086,'Type Chart'!$C$2:$U$20,11,false)</f>
        <v>0.5</v>
      </c>
      <c r="AE2086" s="960">
        <f t="array" ref="AE2086">HLOOKUP($J2086,'Type Chart'!$C$2:$T$20,12,false)*HLOOKUP($K2086,'Type Chart'!$C$2:$U$20,12,false)</f>
        <v>2</v>
      </c>
      <c r="AF2086" s="960">
        <f t="array" ref="AF2086">HLOOKUP($J2086,'Type Chart'!$C$2:$T$20,13,false)*HLOOKUP($K2086,'Type Chart'!$C$2:$U$20,13,false)</f>
        <v>0.5</v>
      </c>
      <c r="AG2086" s="960">
        <f t="array" ref="AG2086">HLOOKUP($J2086,'Type Chart'!$C$2:$T$20,14,false)*HLOOKUP($K2086,'Type Chart'!$C$2:$U$20,14,false)</f>
        <v>1</v>
      </c>
      <c r="AH2086" s="960">
        <f t="array" ref="AH2086">HLOOKUP($J2086,'Type Chart'!$C$2:$T$20,15,false)*HLOOKUP($K2086,'Type Chart'!$C$2:$U$20,15,false)</f>
        <v>0.5</v>
      </c>
      <c r="AI2086" s="960">
        <f t="array" ref="AI2086">HLOOKUP($J2086,'Type Chart'!$C$2:$T$20,16,false)*HLOOKUP($K2086,'Type Chart'!$C$2:$U$20,16,false)</f>
        <v>0.5</v>
      </c>
      <c r="AJ2086" s="960">
        <f t="array" ref="AJ2086">HLOOKUP($J2086,'Type Chart'!$C$2:$T$20,17,false)*HLOOKUP($K2086,'Type Chart'!$C$2:$U$20,17,false)</f>
        <v>1</v>
      </c>
      <c r="AK2086" s="960">
        <f t="array" ref="AK2086">HLOOKUP($J2086,'Type Chart'!$C$2:$T$20,18,false)*HLOOKUP($K2086,'Type Chart'!$C$2:$U$20,18,false)</f>
        <v>2</v>
      </c>
      <c r="AL2086" s="960">
        <f t="array" ref="AL2086">HLOOKUP($J2086,'Type Chart'!$C$2:$T$20,19,false)*HLOOKUP($K2086,'Type Chart'!$C$2:$U$20,19,false)</f>
        <v>0.5</v>
      </c>
      <c r="AM2086" s="964" t="s">
        <v>830</v>
      </c>
      <c r="AN2086" s="965"/>
      <c r="AO2086" s="966" t="s">
        <v>3266</v>
      </c>
      <c r="AP2086" s="936"/>
      <c r="AQ2086" s="1245"/>
      <c r="AR2086" s="1245"/>
      <c r="AS2086" s="936"/>
    </row>
    <row r="2087" ht="15.75" customHeight="1">
      <c r="A2087" s="1099"/>
      <c r="B2087" s="948" t="s">
        <v>3272</v>
      </c>
      <c r="C2087" s="1197" t="s">
        <v>3273</v>
      </c>
      <c r="D2087" s="1197" t="s">
        <v>3273</v>
      </c>
      <c r="E2087" s="1147" t="s">
        <v>3273</v>
      </c>
      <c r="F2087" s="940"/>
      <c r="G2087" s="953"/>
      <c r="H2087" s="969"/>
      <c r="I2087" s="998" t="s">
        <v>5187</v>
      </c>
      <c r="J2087" s="1056" t="s">
        <v>81</v>
      </c>
      <c r="K2087" s="984" t="s">
        <v>216</v>
      </c>
      <c r="L2087" s="959">
        <v>41.0</v>
      </c>
      <c r="M2087" s="960">
        <v>56.0</v>
      </c>
      <c r="N2087" s="960">
        <v>40.0</v>
      </c>
      <c r="O2087" s="960">
        <v>62.0</v>
      </c>
      <c r="P2087" s="960">
        <v>44.0</v>
      </c>
      <c r="Q2087" s="960">
        <v>71.0</v>
      </c>
      <c r="R2087" s="960">
        <v>178.0</v>
      </c>
      <c r="S2087" s="960">
        <v>241.0</v>
      </c>
      <c r="T2087" s="960">
        <v>265.0</v>
      </c>
      <c r="U2087" s="960">
        <f t="array" ref="U2087">HLOOKUP($J2087,'Type Chart'!$C$2:$T$20,2,false)*HLOOKUP($K2087,'Type Chart'!$C$2:$U$20,2,false)</f>
        <v>1</v>
      </c>
      <c r="V2087" s="960">
        <f t="array" ref="V2087">HLOOKUP($J2087,'Type Chart'!$C$2:$T$20,3,false)*HLOOKUP($K2087,'Type Chart'!$C$2:$U$20,3,false)</f>
        <v>1</v>
      </c>
      <c r="W2087" s="960">
        <f t="array" ref="W2087">HLOOKUP($J2087,'Type Chart'!$C$2:$T$20,4,false)*HLOOKUP($K2087,'Type Chart'!$C$2:$U$20,4,false)</f>
        <v>1</v>
      </c>
      <c r="X2087" s="960">
        <f t="array" ref="X2087">HLOOKUP($J2087,'Type Chart'!$C$2:$T$20,5,false)*HLOOKUP($K2087,'Type Chart'!$C$2:$U$20,5,false)</f>
        <v>1</v>
      </c>
      <c r="Y2087" s="960">
        <f t="array" ref="Y2087">HLOOKUP($J2087,'Type Chart'!$C$2:$T$20,6,false)*HLOOKUP($K2087,'Type Chart'!$C$2:$U$20,6,false)</f>
        <v>1</v>
      </c>
      <c r="Z2087" s="960">
        <f t="array" ref="Z2087">HLOOKUP($J2087,'Type Chart'!$C$2:$T$20,7,false)*HLOOKUP($K2087,'Type Chart'!$C$2:$U$20,7,false)</f>
        <v>1</v>
      </c>
      <c r="AA2087" s="960">
        <f t="array" ref="AA2087">HLOOKUP($J2087,'Type Chart'!$C$2:$T$20,8,false)*HLOOKUP($K2087,'Type Chart'!$C$2:$U$20,8,false)</f>
        <v>1</v>
      </c>
      <c r="AB2087" s="960">
        <f t="array" ref="AB2087">HLOOKUP($J2087,'Type Chart'!$C$2:$T$20,9,false)*HLOOKUP($K2087,'Type Chart'!$C$2:$U$20,9,false)</f>
        <v>1</v>
      </c>
      <c r="AC2087" s="960">
        <f t="array" ref="AC2087">HLOOKUP($J2087,'Type Chart'!$C$2:$T$20,10,false)*HLOOKUP($K2087,'Type Chart'!$C$2:$U$20,10,false)</f>
        <v>0.5</v>
      </c>
      <c r="AD2087" s="960">
        <f t="array" ref="AD2087">HLOOKUP($J2087,'Type Chart'!$C$2:$T$20,11,false)*HLOOKUP($K2087,'Type Chart'!$C$2:$U$20,11,false)</f>
        <v>0.5</v>
      </c>
      <c r="AE2087" s="960">
        <f t="array" ref="AE2087">HLOOKUP($J2087,'Type Chart'!$C$2:$T$20,12,false)*HLOOKUP($K2087,'Type Chart'!$C$2:$U$20,12,false)</f>
        <v>0.5</v>
      </c>
      <c r="AF2087" s="960">
        <f t="array" ref="AF2087">HLOOKUP($J2087,'Type Chart'!$C$2:$T$20,13,false)*HLOOKUP($K2087,'Type Chart'!$C$2:$U$20,13,false)</f>
        <v>2</v>
      </c>
      <c r="AG2087" s="960">
        <f t="array" ref="AG2087">HLOOKUP($J2087,'Type Chart'!$C$2:$T$20,14,false)*HLOOKUP($K2087,'Type Chart'!$C$2:$U$20,14,false)</f>
        <v>2</v>
      </c>
      <c r="AH2087" s="960">
        <f t="array" ref="AH2087">HLOOKUP($J2087,'Type Chart'!$C$2:$T$20,15,false)*HLOOKUP($K2087,'Type Chart'!$C$2:$U$20,15,false)</f>
        <v>1</v>
      </c>
      <c r="AI2087" s="960">
        <f t="array" ref="AI2087">HLOOKUP($J2087,'Type Chart'!$C$2:$T$20,16,false)*HLOOKUP($K2087,'Type Chart'!$C$2:$U$20,16,false)</f>
        <v>0.5</v>
      </c>
      <c r="AJ2087" s="960">
        <f t="array" ref="AJ2087">HLOOKUP($J2087,'Type Chart'!$C$2:$T$20,17,false)*HLOOKUP($K2087,'Type Chart'!$C$2:$U$20,17,false)</f>
        <v>1</v>
      </c>
      <c r="AK2087" s="960">
        <f t="array" ref="AK2087">HLOOKUP($J2087,'Type Chart'!$C$2:$T$20,18,false)*HLOOKUP($K2087,'Type Chart'!$C$2:$U$20,18,false)</f>
        <v>1</v>
      </c>
      <c r="AL2087" s="960">
        <f t="array" ref="AL2087">HLOOKUP($J2087,'Type Chart'!$C$2:$T$20,19,false)*HLOOKUP($K2087,'Type Chart'!$C$2:$U$20,19,false)</f>
        <v>1</v>
      </c>
      <c r="AM2087" s="964" t="s">
        <v>959</v>
      </c>
      <c r="AN2087" s="965"/>
      <c r="AO2087" s="966" t="s">
        <v>2314</v>
      </c>
      <c r="AP2087" s="936"/>
      <c r="AQ2087" s="1245"/>
      <c r="AR2087" s="1245"/>
      <c r="AS2087" s="936"/>
    </row>
    <row r="2088" ht="15.75" customHeight="1">
      <c r="A2088" s="1099"/>
      <c r="B2088" s="948" t="s">
        <v>3275</v>
      </c>
      <c r="C2088" s="1197" t="s">
        <v>3276</v>
      </c>
      <c r="D2088" s="1197" t="s">
        <v>3276</v>
      </c>
      <c r="E2088" s="1147" t="s">
        <v>3276</v>
      </c>
      <c r="F2088" s="940"/>
      <c r="G2088" s="953"/>
      <c r="H2088" s="969"/>
      <c r="I2088" s="998" t="s">
        <v>5188</v>
      </c>
      <c r="J2088" s="1056" t="s">
        <v>81</v>
      </c>
      <c r="K2088" s="984" t="s">
        <v>216</v>
      </c>
      <c r="L2088" s="959">
        <v>54.0</v>
      </c>
      <c r="M2088" s="960">
        <v>63.0</v>
      </c>
      <c r="N2088" s="960">
        <v>52.0</v>
      </c>
      <c r="O2088" s="960">
        <v>83.0</v>
      </c>
      <c r="P2088" s="960">
        <v>56.0</v>
      </c>
      <c r="Q2088" s="960">
        <v>97.0</v>
      </c>
      <c r="R2088" s="960">
        <v>230.0</v>
      </c>
      <c r="S2088" s="960">
        <v>293.0</v>
      </c>
      <c r="T2088" s="960">
        <v>322.0</v>
      </c>
      <c r="U2088" s="960">
        <f t="array" ref="U2088">HLOOKUP($J2088,'Type Chart'!$C$2:$T$20,2,false)*HLOOKUP($K2088,'Type Chart'!$C$2:$U$20,2,false)</f>
        <v>1</v>
      </c>
      <c r="V2088" s="960">
        <f t="array" ref="V2088">HLOOKUP($J2088,'Type Chart'!$C$2:$T$20,3,false)*HLOOKUP($K2088,'Type Chart'!$C$2:$U$20,3,false)</f>
        <v>1</v>
      </c>
      <c r="W2088" s="960">
        <f t="array" ref="W2088">HLOOKUP($J2088,'Type Chart'!$C$2:$T$20,4,false)*HLOOKUP($K2088,'Type Chart'!$C$2:$U$20,4,false)</f>
        <v>1</v>
      </c>
      <c r="X2088" s="960">
        <f t="array" ref="X2088">HLOOKUP($J2088,'Type Chart'!$C$2:$T$20,5,false)*HLOOKUP($K2088,'Type Chart'!$C$2:$U$20,5,false)</f>
        <v>1</v>
      </c>
      <c r="Y2088" s="960">
        <f t="array" ref="Y2088">HLOOKUP($J2088,'Type Chart'!$C$2:$T$20,6,false)*HLOOKUP($K2088,'Type Chart'!$C$2:$U$20,6,false)</f>
        <v>1</v>
      </c>
      <c r="Z2088" s="960">
        <f t="array" ref="Z2088">HLOOKUP($J2088,'Type Chart'!$C$2:$T$20,7,false)*HLOOKUP($K2088,'Type Chart'!$C$2:$U$20,7,false)</f>
        <v>1</v>
      </c>
      <c r="AA2088" s="960">
        <f t="array" ref="AA2088">HLOOKUP($J2088,'Type Chart'!$C$2:$T$20,8,false)*HLOOKUP($K2088,'Type Chart'!$C$2:$U$20,8,false)</f>
        <v>1</v>
      </c>
      <c r="AB2088" s="960">
        <f t="array" ref="AB2088">HLOOKUP($J2088,'Type Chart'!$C$2:$T$20,9,false)*HLOOKUP($K2088,'Type Chart'!$C$2:$U$20,9,false)</f>
        <v>1</v>
      </c>
      <c r="AC2088" s="960">
        <f t="array" ref="AC2088">HLOOKUP($J2088,'Type Chart'!$C$2:$T$20,10,false)*HLOOKUP($K2088,'Type Chart'!$C$2:$U$20,10,false)</f>
        <v>0.5</v>
      </c>
      <c r="AD2088" s="960">
        <f t="array" ref="AD2088">HLOOKUP($J2088,'Type Chart'!$C$2:$T$20,11,false)*HLOOKUP($K2088,'Type Chart'!$C$2:$U$20,11,false)</f>
        <v>0.5</v>
      </c>
      <c r="AE2088" s="960">
        <f t="array" ref="AE2088">HLOOKUP($J2088,'Type Chart'!$C$2:$T$20,12,false)*HLOOKUP($K2088,'Type Chart'!$C$2:$U$20,12,false)</f>
        <v>0.5</v>
      </c>
      <c r="AF2088" s="960">
        <f t="array" ref="AF2088">HLOOKUP($J2088,'Type Chart'!$C$2:$T$20,13,false)*HLOOKUP($K2088,'Type Chart'!$C$2:$U$20,13,false)</f>
        <v>2</v>
      </c>
      <c r="AG2088" s="960">
        <f t="array" ref="AG2088">HLOOKUP($J2088,'Type Chart'!$C$2:$T$20,14,false)*HLOOKUP($K2088,'Type Chart'!$C$2:$U$20,14,false)</f>
        <v>2</v>
      </c>
      <c r="AH2088" s="960">
        <f t="array" ref="AH2088">HLOOKUP($J2088,'Type Chart'!$C$2:$T$20,15,false)*HLOOKUP($K2088,'Type Chart'!$C$2:$U$20,15,false)</f>
        <v>1</v>
      </c>
      <c r="AI2088" s="960">
        <f t="array" ref="AI2088">HLOOKUP($J2088,'Type Chart'!$C$2:$T$20,16,false)*HLOOKUP($K2088,'Type Chart'!$C$2:$U$20,16,false)</f>
        <v>0.5</v>
      </c>
      <c r="AJ2088" s="960">
        <f t="array" ref="AJ2088">HLOOKUP($J2088,'Type Chart'!$C$2:$T$20,17,false)*HLOOKUP($K2088,'Type Chart'!$C$2:$U$20,17,false)</f>
        <v>1</v>
      </c>
      <c r="AK2088" s="960">
        <f t="array" ref="AK2088">HLOOKUP($J2088,'Type Chart'!$C$2:$T$20,18,false)*HLOOKUP($K2088,'Type Chart'!$C$2:$U$20,18,false)</f>
        <v>1</v>
      </c>
      <c r="AL2088" s="960">
        <f t="array" ref="AL2088">HLOOKUP($J2088,'Type Chart'!$C$2:$T$20,19,false)*HLOOKUP($K2088,'Type Chart'!$C$2:$U$20,19,false)</f>
        <v>1</v>
      </c>
      <c r="AM2088" s="964" t="s">
        <v>959</v>
      </c>
      <c r="AN2088" s="965"/>
      <c r="AO2088" s="966" t="s">
        <v>2314</v>
      </c>
      <c r="AP2088" s="936"/>
      <c r="AQ2088" s="1245"/>
      <c r="AR2088" s="1245"/>
      <c r="AS2088" s="936"/>
    </row>
    <row r="2089" ht="15.75" customHeight="1">
      <c r="A2089" s="1099"/>
      <c r="B2089" s="948" t="s">
        <v>3277</v>
      </c>
      <c r="C2089" s="1197" t="s">
        <v>3278</v>
      </c>
      <c r="D2089" s="1197" t="s">
        <v>3278</v>
      </c>
      <c r="E2089" s="1147" t="s">
        <v>3278</v>
      </c>
      <c r="F2089" s="940"/>
      <c r="G2089" s="953"/>
      <c r="H2089" s="969"/>
      <c r="I2089" s="998" t="s">
        <v>5189</v>
      </c>
      <c r="J2089" s="1056" t="s">
        <v>81</v>
      </c>
      <c r="K2089" s="1195" t="s">
        <v>193</v>
      </c>
      <c r="L2089" s="959">
        <v>72.0</v>
      </c>
      <c r="M2089" s="960">
        <v>95.0</v>
      </c>
      <c r="N2089" s="960">
        <v>67.0</v>
      </c>
      <c r="O2089" s="960">
        <v>103.0</v>
      </c>
      <c r="P2089" s="960">
        <v>71.0</v>
      </c>
      <c r="Q2089" s="960">
        <v>122.0</v>
      </c>
      <c r="R2089" s="960">
        <v>280.0</v>
      </c>
      <c r="S2089" s="960">
        <v>343.0</v>
      </c>
      <c r="T2089" s="960">
        <v>377.0</v>
      </c>
      <c r="U2089" s="960">
        <f t="array" ref="U2089">HLOOKUP($J2089,'Type Chart'!$C$2:$T$20,2,false)*HLOOKUP($K2089,'Type Chart'!$C$2:$U$20,2,false)</f>
        <v>1</v>
      </c>
      <c r="V2089" s="960">
        <f t="array" ref="V2089">HLOOKUP($J2089,'Type Chart'!$C$2:$T$20,3,false)*HLOOKUP($K2089,'Type Chart'!$C$2:$U$20,3,false)</f>
        <v>2</v>
      </c>
      <c r="W2089" s="960">
        <f t="array" ref="W2089">HLOOKUP($J2089,'Type Chart'!$C$2:$T$20,4,false)*HLOOKUP($K2089,'Type Chart'!$C$2:$U$20,4,false)</f>
        <v>1</v>
      </c>
      <c r="X2089" s="960">
        <f t="array" ref="X2089">HLOOKUP($J2089,'Type Chart'!$C$2:$T$20,5,false)*HLOOKUP($K2089,'Type Chart'!$C$2:$U$20,5,false)</f>
        <v>1</v>
      </c>
      <c r="Y2089" s="960">
        <f t="array" ref="Y2089">HLOOKUP($J2089,'Type Chart'!$C$2:$T$20,6,false)*HLOOKUP($K2089,'Type Chart'!$C$2:$U$20,6,false)</f>
        <v>1</v>
      </c>
      <c r="Z2089" s="960">
        <f t="array" ref="Z2089">HLOOKUP($J2089,'Type Chart'!$C$2:$T$20,7,false)*HLOOKUP($K2089,'Type Chart'!$C$2:$U$20,7,false)</f>
        <v>1</v>
      </c>
      <c r="AA2089" s="960">
        <f t="array" ref="AA2089">HLOOKUP($J2089,'Type Chart'!$C$2:$T$20,8,false)*HLOOKUP($K2089,'Type Chart'!$C$2:$U$20,8,false)</f>
        <v>2</v>
      </c>
      <c r="AB2089" s="960">
        <f t="array" ref="AB2089">HLOOKUP($J2089,'Type Chart'!$C$2:$T$20,9,false)*HLOOKUP($K2089,'Type Chart'!$C$2:$U$20,9,false)</f>
        <v>0.5</v>
      </c>
      <c r="AC2089" s="960">
        <f t="array" ref="AC2089">HLOOKUP($J2089,'Type Chart'!$C$2:$T$20,10,false)*HLOOKUP($K2089,'Type Chart'!$C$2:$U$20,10,false)</f>
        <v>0.5</v>
      </c>
      <c r="AD2089" s="960">
        <f t="array" ref="AD2089">HLOOKUP($J2089,'Type Chart'!$C$2:$T$20,11,false)*HLOOKUP($K2089,'Type Chart'!$C$2:$U$20,11,false)</f>
        <v>0.5</v>
      </c>
      <c r="AE2089" s="960">
        <f t="array" ref="AE2089">HLOOKUP($J2089,'Type Chart'!$C$2:$T$20,12,false)*HLOOKUP($K2089,'Type Chart'!$C$2:$U$20,12,false)</f>
        <v>0.5</v>
      </c>
      <c r="AF2089" s="960">
        <f t="array" ref="AF2089">HLOOKUP($J2089,'Type Chart'!$C$2:$T$20,13,false)*HLOOKUP($K2089,'Type Chart'!$C$2:$U$20,13,false)</f>
        <v>2</v>
      </c>
      <c r="AG2089" s="960">
        <f t="array" ref="AG2089">HLOOKUP($J2089,'Type Chart'!$C$2:$T$20,14,false)*HLOOKUP($K2089,'Type Chart'!$C$2:$U$20,14,false)</f>
        <v>2</v>
      </c>
      <c r="AH2089" s="960">
        <f t="array" ref="AH2089">HLOOKUP($J2089,'Type Chart'!$C$2:$T$20,15,false)*HLOOKUP($K2089,'Type Chart'!$C$2:$U$20,15,false)</f>
        <v>0</v>
      </c>
      <c r="AI2089" s="960">
        <f t="array" ref="AI2089">HLOOKUP($J2089,'Type Chart'!$C$2:$T$20,16,false)*HLOOKUP($K2089,'Type Chart'!$C$2:$U$20,16,false)</f>
        <v>0.5</v>
      </c>
      <c r="AJ2089" s="960">
        <f t="array" ref="AJ2089">HLOOKUP($J2089,'Type Chart'!$C$2:$T$20,17,false)*HLOOKUP($K2089,'Type Chart'!$C$2:$U$20,17,false)</f>
        <v>1</v>
      </c>
      <c r="AK2089" s="960">
        <f t="array" ref="AK2089">HLOOKUP($J2089,'Type Chart'!$C$2:$T$20,18,false)*HLOOKUP($K2089,'Type Chart'!$C$2:$U$20,18,false)</f>
        <v>0.5</v>
      </c>
      <c r="AL2089" s="960">
        <f t="array" ref="AL2089">HLOOKUP($J2089,'Type Chart'!$C$2:$T$20,19,false)*HLOOKUP($K2089,'Type Chart'!$C$2:$U$20,19,false)</f>
        <v>2</v>
      </c>
      <c r="AM2089" s="964" t="s">
        <v>959</v>
      </c>
      <c r="AN2089" s="965"/>
      <c r="AO2089" s="966" t="s">
        <v>2314</v>
      </c>
      <c r="AP2089" s="936"/>
      <c r="AQ2089" s="1245"/>
      <c r="AR2089" s="1245"/>
      <c r="AS2089" s="936"/>
    </row>
    <row r="2090" ht="15.75" customHeight="1">
      <c r="A2090" s="1099"/>
      <c r="B2090" s="948" t="s">
        <v>3279</v>
      </c>
      <c r="C2090" s="1197" t="s">
        <v>3280</v>
      </c>
      <c r="D2090" s="1197" t="s">
        <v>3280</v>
      </c>
      <c r="E2090" s="1147" t="s">
        <v>3280</v>
      </c>
      <c r="F2090" s="940"/>
      <c r="G2090" s="953"/>
      <c r="H2090" s="969"/>
      <c r="I2090" s="998" t="s">
        <v>5190</v>
      </c>
      <c r="J2090" s="1056" t="s">
        <v>81</v>
      </c>
      <c r="K2090" s="1195" t="s">
        <v>193</v>
      </c>
      <c r="L2090" s="959">
        <v>72.0</v>
      </c>
      <c r="M2090" s="960">
        <v>145.0</v>
      </c>
      <c r="N2090" s="960">
        <v>67.0</v>
      </c>
      <c r="O2090" s="960">
        <v>153.0</v>
      </c>
      <c r="P2090" s="960">
        <v>71.0</v>
      </c>
      <c r="Q2090" s="960">
        <v>132.0</v>
      </c>
      <c r="R2090" s="960">
        <v>300.0</v>
      </c>
      <c r="S2090" s="960">
        <v>363.0</v>
      </c>
      <c r="T2090" s="960">
        <v>399.0</v>
      </c>
      <c r="U2090" s="960">
        <f t="array" ref="U2090">HLOOKUP($J2090,'Type Chart'!$C$2:$T$20,2,false)*HLOOKUP($K2090,'Type Chart'!$C$2:$U$20,2,false)</f>
        <v>1</v>
      </c>
      <c r="V2090" s="960">
        <f t="array" ref="V2090">HLOOKUP($J2090,'Type Chart'!$C$2:$T$20,3,false)*HLOOKUP($K2090,'Type Chart'!$C$2:$U$20,3,false)</f>
        <v>2</v>
      </c>
      <c r="W2090" s="960">
        <f t="array" ref="W2090">HLOOKUP($J2090,'Type Chart'!$C$2:$T$20,4,false)*HLOOKUP($K2090,'Type Chart'!$C$2:$U$20,4,false)</f>
        <v>1</v>
      </c>
      <c r="X2090" s="960">
        <f t="array" ref="X2090">HLOOKUP($J2090,'Type Chart'!$C$2:$T$20,5,false)*HLOOKUP($K2090,'Type Chart'!$C$2:$U$20,5,false)</f>
        <v>1</v>
      </c>
      <c r="Y2090" s="960">
        <f t="array" ref="Y2090">HLOOKUP($J2090,'Type Chart'!$C$2:$T$20,6,false)*HLOOKUP($K2090,'Type Chart'!$C$2:$U$20,6,false)</f>
        <v>1</v>
      </c>
      <c r="Z2090" s="960">
        <f t="array" ref="Z2090">HLOOKUP($J2090,'Type Chart'!$C$2:$T$20,7,false)*HLOOKUP($K2090,'Type Chart'!$C$2:$U$20,7,false)</f>
        <v>1</v>
      </c>
      <c r="AA2090" s="960">
        <f t="array" ref="AA2090">HLOOKUP($J2090,'Type Chart'!$C$2:$T$20,8,false)*HLOOKUP($K2090,'Type Chart'!$C$2:$U$20,8,false)</f>
        <v>2</v>
      </c>
      <c r="AB2090" s="960">
        <f t="array" ref="AB2090">HLOOKUP($J2090,'Type Chart'!$C$2:$T$20,9,false)*HLOOKUP($K2090,'Type Chart'!$C$2:$U$20,9,false)</f>
        <v>0.5</v>
      </c>
      <c r="AC2090" s="960">
        <f t="array" ref="AC2090">HLOOKUP($J2090,'Type Chart'!$C$2:$T$20,10,false)*HLOOKUP($K2090,'Type Chart'!$C$2:$U$20,10,false)</f>
        <v>0.5</v>
      </c>
      <c r="AD2090" s="960">
        <f t="array" ref="AD2090">HLOOKUP($J2090,'Type Chart'!$C$2:$T$20,11,false)*HLOOKUP($K2090,'Type Chart'!$C$2:$U$20,11,false)</f>
        <v>0.5</v>
      </c>
      <c r="AE2090" s="960">
        <f t="array" ref="AE2090">HLOOKUP($J2090,'Type Chart'!$C$2:$T$20,12,false)*HLOOKUP($K2090,'Type Chart'!$C$2:$U$20,12,false)</f>
        <v>0.5</v>
      </c>
      <c r="AF2090" s="960">
        <f t="array" ref="AF2090">HLOOKUP($J2090,'Type Chart'!$C$2:$T$20,13,false)*HLOOKUP($K2090,'Type Chart'!$C$2:$U$20,13,false)</f>
        <v>2</v>
      </c>
      <c r="AG2090" s="960">
        <f t="array" ref="AG2090">HLOOKUP($J2090,'Type Chart'!$C$2:$T$20,14,false)*HLOOKUP($K2090,'Type Chart'!$C$2:$U$20,14,false)</f>
        <v>2</v>
      </c>
      <c r="AH2090" s="960">
        <f t="array" ref="AH2090">HLOOKUP($J2090,'Type Chart'!$C$2:$T$20,15,false)*HLOOKUP($K2090,'Type Chart'!$C$2:$U$20,15,false)</f>
        <v>0</v>
      </c>
      <c r="AI2090" s="960">
        <f t="array" ref="AI2090">HLOOKUP($J2090,'Type Chart'!$C$2:$T$20,16,false)*HLOOKUP($K2090,'Type Chart'!$C$2:$U$20,16,false)</f>
        <v>0.5</v>
      </c>
      <c r="AJ2090" s="960">
        <f t="array" ref="AJ2090">HLOOKUP($J2090,'Type Chart'!$C$2:$T$20,17,false)*HLOOKUP($K2090,'Type Chart'!$C$2:$U$20,17,false)</f>
        <v>1</v>
      </c>
      <c r="AK2090" s="960">
        <f t="array" ref="AK2090">HLOOKUP($J2090,'Type Chart'!$C$2:$T$20,18,false)*HLOOKUP($K2090,'Type Chart'!$C$2:$U$20,18,false)</f>
        <v>0.5</v>
      </c>
      <c r="AL2090" s="960">
        <f t="array" ref="AL2090">HLOOKUP($J2090,'Type Chart'!$C$2:$T$20,19,false)*HLOOKUP($K2090,'Type Chart'!$C$2:$U$20,19,false)</f>
        <v>2</v>
      </c>
      <c r="AM2090" s="964" t="s">
        <v>3282</v>
      </c>
      <c r="AN2090" s="965"/>
      <c r="AO2090" s="966"/>
      <c r="AP2090" s="936"/>
      <c r="AQ2090" s="1245"/>
      <c r="AR2090" s="1245"/>
      <c r="AS2090" s="936"/>
    </row>
    <row r="2091" ht="15.75" customHeight="1">
      <c r="A2091" s="1099"/>
      <c r="B2091" s="948" t="s">
        <v>3283</v>
      </c>
      <c r="C2091" s="1197" t="s">
        <v>3284</v>
      </c>
      <c r="D2091" s="1197" t="s">
        <v>3284</v>
      </c>
      <c r="E2091" s="1147" t="s">
        <v>3284</v>
      </c>
      <c r="F2091" s="940"/>
      <c r="G2091" s="953"/>
      <c r="H2091" s="969"/>
      <c r="I2091" s="998" t="s">
        <v>5191</v>
      </c>
      <c r="J2091" s="1194" t="s">
        <v>136</v>
      </c>
      <c r="K2091" s="984" t="s">
        <v>216</v>
      </c>
      <c r="L2091" s="959">
        <v>38.0</v>
      </c>
      <c r="M2091" s="960">
        <v>36.0</v>
      </c>
      <c r="N2091" s="960">
        <v>38.0</v>
      </c>
      <c r="O2091" s="960">
        <v>32.0</v>
      </c>
      <c r="P2091" s="960">
        <v>36.0</v>
      </c>
      <c r="Q2091" s="960">
        <v>57.0</v>
      </c>
      <c r="R2091" s="960">
        <v>150.0</v>
      </c>
      <c r="S2091" s="960">
        <v>213.0</v>
      </c>
      <c r="T2091" s="960">
        <v>234.0</v>
      </c>
      <c r="U2091" s="960">
        <f t="array" ref="U2091">HLOOKUP($J2091,'Type Chart'!$C$2:$T$20,2,false)*HLOOKUP($K2091,'Type Chart'!$C$2:$U$20,2,false)</f>
        <v>1</v>
      </c>
      <c r="V2091" s="960">
        <f t="array" ref="V2091">HLOOKUP($J2091,'Type Chart'!$C$2:$T$20,3,false)*HLOOKUP($K2091,'Type Chart'!$C$2:$U$20,3,false)</f>
        <v>2</v>
      </c>
      <c r="W2091" s="960">
        <f t="array" ref="W2091">HLOOKUP($J2091,'Type Chart'!$C$2:$T$20,4,false)*HLOOKUP($K2091,'Type Chart'!$C$2:$U$20,4,false)</f>
        <v>1</v>
      </c>
      <c r="X2091" s="960">
        <f t="array" ref="X2091">HLOOKUP($J2091,'Type Chart'!$C$2:$T$20,5,false)*HLOOKUP($K2091,'Type Chart'!$C$2:$U$20,5,false)</f>
        <v>1</v>
      </c>
      <c r="Y2091" s="960">
        <f t="array" ref="Y2091">HLOOKUP($J2091,'Type Chart'!$C$2:$T$20,6,false)*HLOOKUP($K2091,'Type Chart'!$C$2:$U$20,6,false)</f>
        <v>1</v>
      </c>
      <c r="Z2091" s="960">
        <f t="array" ref="Z2091">HLOOKUP($J2091,'Type Chart'!$C$2:$T$20,7,false)*HLOOKUP($K2091,'Type Chart'!$C$2:$U$20,7,false)</f>
        <v>1</v>
      </c>
      <c r="AA2091" s="960">
        <f t="array" ref="AA2091">HLOOKUP($J2091,'Type Chart'!$C$2:$T$20,8,false)*HLOOKUP($K2091,'Type Chart'!$C$2:$U$20,8,false)</f>
        <v>1</v>
      </c>
      <c r="AB2091" s="960">
        <f t="array" ref="AB2091">HLOOKUP($J2091,'Type Chart'!$C$2:$T$20,9,false)*HLOOKUP($K2091,'Type Chart'!$C$2:$U$20,9,false)</f>
        <v>0</v>
      </c>
      <c r="AC2091" s="960">
        <f t="array" ref="AC2091">HLOOKUP($J2091,'Type Chart'!$C$2:$T$20,10,false)*HLOOKUP($K2091,'Type Chart'!$C$2:$U$20,10,false)</f>
        <v>1</v>
      </c>
      <c r="AD2091" s="960">
        <f t="array" ref="AD2091">HLOOKUP($J2091,'Type Chart'!$C$2:$T$20,11,false)*HLOOKUP($K2091,'Type Chart'!$C$2:$U$20,11,false)</f>
        <v>1</v>
      </c>
      <c r="AE2091" s="960">
        <f t="array" ref="AE2091">HLOOKUP($J2091,'Type Chart'!$C$2:$T$20,12,false)*HLOOKUP($K2091,'Type Chart'!$C$2:$U$20,12,false)</f>
        <v>1</v>
      </c>
      <c r="AF2091" s="960">
        <f t="array" ref="AF2091">HLOOKUP($J2091,'Type Chart'!$C$2:$T$20,13,false)*HLOOKUP($K2091,'Type Chart'!$C$2:$U$20,13,false)</f>
        <v>1</v>
      </c>
      <c r="AG2091" s="960">
        <f t="array" ref="AG2091">HLOOKUP($J2091,'Type Chart'!$C$2:$T$20,14,false)*HLOOKUP($K2091,'Type Chart'!$C$2:$U$20,14,false)</f>
        <v>1</v>
      </c>
      <c r="AH2091" s="960">
        <f t="array" ref="AH2091">HLOOKUP($J2091,'Type Chart'!$C$2:$T$20,15,false)*HLOOKUP($K2091,'Type Chart'!$C$2:$U$20,15,false)</f>
        <v>1</v>
      </c>
      <c r="AI2091" s="960">
        <f t="array" ref="AI2091">HLOOKUP($J2091,'Type Chart'!$C$2:$T$20,16,false)*HLOOKUP($K2091,'Type Chart'!$C$2:$U$20,16,false)</f>
        <v>1</v>
      </c>
      <c r="AJ2091" s="960">
        <f t="array" ref="AJ2091">HLOOKUP($J2091,'Type Chart'!$C$2:$T$20,17,false)*HLOOKUP($K2091,'Type Chart'!$C$2:$U$20,17,false)</f>
        <v>1</v>
      </c>
      <c r="AK2091" s="960">
        <f t="array" ref="AK2091">HLOOKUP($J2091,'Type Chart'!$C$2:$T$20,18,false)*HLOOKUP($K2091,'Type Chart'!$C$2:$U$20,18,false)</f>
        <v>1</v>
      </c>
      <c r="AL2091" s="960">
        <f t="array" ref="AL2091">HLOOKUP($J2091,'Type Chart'!$C$2:$T$20,19,false)*HLOOKUP($K2091,'Type Chart'!$C$2:$U$20,19,false)</f>
        <v>1</v>
      </c>
      <c r="AM2091" s="964" t="s">
        <v>1238</v>
      </c>
      <c r="AN2091" s="965" t="s">
        <v>3286</v>
      </c>
      <c r="AO2091" s="966" t="s">
        <v>1771</v>
      </c>
      <c r="AP2091" s="936"/>
      <c r="AQ2091" s="1245"/>
      <c r="AR2091" s="1245"/>
      <c r="AS2091" s="936"/>
    </row>
    <row r="2092" ht="15.75" customHeight="1">
      <c r="A2092" s="1099"/>
      <c r="B2092" s="948" t="s">
        <v>3287</v>
      </c>
      <c r="C2092" s="1197" t="s">
        <v>3288</v>
      </c>
      <c r="D2092" s="1197" t="s">
        <v>3288</v>
      </c>
      <c r="E2092" s="1147" t="s">
        <v>3288</v>
      </c>
      <c r="F2092" s="940"/>
      <c r="G2092" s="953"/>
      <c r="H2092" s="969"/>
      <c r="I2092" s="998" t="s">
        <v>5192</v>
      </c>
      <c r="J2092" s="1194" t="s">
        <v>136</v>
      </c>
      <c r="K2092" s="1204" t="s">
        <v>80</v>
      </c>
      <c r="L2092" s="959">
        <v>85.0</v>
      </c>
      <c r="M2092" s="960">
        <v>56.0</v>
      </c>
      <c r="N2092" s="960">
        <v>77.0</v>
      </c>
      <c r="O2092" s="960">
        <v>50.0</v>
      </c>
      <c r="P2092" s="960">
        <v>77.0</v>
      </c>
      <c r="Q2092" s="960">
        <v>78.0</v>
      </c>
      <c r="R2092" s="960">
        <v>192.0</v>
      </c>
      <c r="S2092" s="960">
        <v>255.0</v>
      </c>
      <c r="T2092" s="960">
        <v>280.0</v>
      </c>
      <c r="U2092" s="960">
        <f t="array" ref="U2092">HLOOKUP($J2092,'Type Chart'!$C$2:$T$20,2,false)*HLOOKUP($K2092,'Type Chart'!$C$2:$U$20,2,false)</f>
        <v>1</v>
      </c>
      <c r="V2092" s="960">
        <f t="array" ref="V2092">HLOOKUP($J2092,'Type Chart'!$C$2:$T$20,3,false)*HLOOKUP($K2092,'Type Chart'!$C$2:$U$20,3,false)</f>
        <v>2</v>
      </c>
      <c r="W2092" s="960">
        <f t="array" ref="W2092">HLOOKUP($J2092,'Type Chart'!$C$2:$T$20,4,false)*HLOOKUP($K2092,'Type Chart'!$C$2:$U$20,4,false)</f>
        <v>1</v>
      </c>
      <c r="X2092" s="960">
        <f t="array" ref="X2092">HLOOKUP($J2092,'Type Chart'!$C$2:$T$20,5,false)*HLOOKUP($K2092,'Type Chart'!$C$2:$U$20,5,false)</f>
        <v>0.5</v>
      </c>
      <c r="Y2092" s="960">
        <f t="array" ref="Y2092">HLOOKUP($J2092,'Type Chart'!$C$2:$T$20,6,false)*HLOOKUP($K2092,'Type Chart'!$C$2:$U$20,6,false)</f>
        <v>1</v>
      </c>
      <c r="Z2092" s="960">
        <f t="array" ref="Z2092">HLOOKUP($J2092,'Type Chart'!$C$2:$T$20,7,false)*HLOOKUP($K2092,'Type Chart'!$C$2:$U$20,7,false)</f>
        <v>0.5</v>
      </c>
      <c r="AA2092" s="960">
        <f t="array" ref="AA2092">HLOOKUP($J2092,'Type Chart'!$C$2:$T$20,8,false)*HLOOKUP($K2092,'Type Chart'!$C$2:$U$20,8,false)</f>
        <v>1</v>
      </c>
      <c r="AB2092" s="960">
        <f t="array" ref="AB2092">HLOOKUP($J2092,'Type Chart'!$C$2:$T$20,9,false)*HLOOKUP($K2092,'Type Chart'!$C$2:$U$20,9,false)</f>
        <v>0</v>
      </c>
      <c r="AC2092" s="960">
        <f t="array" ref="AC2092">HLOOKUP($J2092,'Type Chart'!$C$2:$T$20,10,false)*HLOOKUP($K2092,'Type Chart'!$C$2:$U$20,10,false)</f>
        <v>1</v>
      </c>
      <c r="AD2092" s="960">
        <f t="array" ref="AD2092">HLOOKUP($J2092,'Type Chart'!$C$2:$T$20,11,false)*HLOOKUP($K2092,'Type Chart'!$C$2:$U$20,11,false)</f>
        <v>1</v>
      </c>
      <c r="AE2092" s="960">
        <f t="array" ref="AE2092">HLOOKUP($J2092,'Type Chart'!$C$2:$T$20,12,false)*HLOOKUP($K2092,'Type Chart'!$C$2:$U$20,12,false)</f>
        <v>2</v>
      </c>
      <c r="AF2092" s="960">
        <f t="array" ref="AF2092">HLOOKUP($J2092,'Type Chart'!$C$2:$T$20,13,false)*HLOOKUP($K2092,'Type Chart'!$C$2:$U$20,13,false)</f>
        <v>2</v>
      </c>
      <c r="AG2092" s="960">
        <f t="array" ref="AG2092">HLOOKUP($J2092,'Type Chart'!$C$2:$T$20,14,false)*HLOOKUP($K2092,'Type Chart'!$C$2:$U$20,14,false)</f>
        <v>0</v>
      </c>
      <c r="AH2092" s="960">
        <f t="array" ref="AH2092">HLOOKUP($J2092,'Type Chart'!$C$2:$T$20,15,false)*HLOOKUP($K2092,'Type Chart'!$C$2:$U$20,15,false)</f>
        <v>1</v>
      </c>
      <c r="AI2092" s="960">
        <f t="array" ref="AI2092">HLOOKUP($J2092,'Type Chart'!$C$2:$T$20,16,false)*HLOOKUP($K2092,'Type Chart'!$C$2:$U$20,16,false)</f>
        <v>2</v>
      </c>
      <c r="AJ2092" s="960">
        <f t="array" ref="AJ2092">HLOOKUP($J2092,'Type Chart'!$C$2:$T$20,17,false)*HLOOKUP($K2092,'Type Chart'!$C$2:$U$20,17,false)</f>
        <v>1</v>
      </c>
      <c r="AK2092" s="960">
        <f t="array" ref="AK2092">HLOOKUP($J2092,'Type Chart'!$C$2:$T$20,18,false)*HLOOKUP($K2092,'Type Chart'!$C$2:$U$20,18,false)</f>
        <v>1</v>
      </c>
      <c r="AL2092" s="960">
        <f t="array" ref="AL2092">HLOOKUP($J2092,'Type Chart'!$C$2:$T$20,19,false)*HLOOKUP($K2092,'Type Chart'!$C$2:$U$20,19,false)</f>
        <v>1</v>
      </c>
      <c r="AM2092" s="964" t="s">
        <v>1238</v>
      </c>
      <c r="AN2092" s="965" t="s">
        <v>3286</v>
      </c>
      <c r="AO2092" s="966" t="s">
        <v>1771</v>
      </c>
      <c r="AP2092" s="936"/>
      <c r="AQ2092" s="1245"/>
      <c r="AR2092" s="1245"/>
      <c r="AS2092" s="936"/>
    </row>
    <row r="2093" ht="15.75" customHeight="1">
      <c r="A2093" s="1099"/>
      <c r="B2093" s="948" t="s">
        <v>3290</v>
      </c>
      <c r="C2093" s="1197" t="s">
        <v>3291</v>
      </c>
      <c r="D2093" s="1197" t="s">
        <v>3291</v>
      </c>
      <c r="E2093" s="1147" t="s">
        <v>3291</v>
      </c>
      <c r="F2093" s="940"/>
      <c r="G2093" s="953"/>
      <c r="H2093" s="969"/>
      <c r="I2093" s="998" t="s">
        <v>5193</v>
      </c>
      <c r="J2093" s="1194" t="s">
        <v>136</v>
      </c>
      <c r="K2093" s="1001" t="s">
        <v>128</v>
      </c>
      <c r="L2093" s="959">
        <v>45.0</v>
      </c>
      <c r="M2093" s="960">
        <v>50.0</v>
      </c>
      <c r="N2093" s="960">
        <v>43.0</v>
      </c>
      <c r="O2093" s="960">
        <v>40.0</v>
      </c>
      <c r="P2093" s="960">
        <v>38.0</v>
      </c>
      <c r="Q2093" s="960">
        <v>62.0</v>
      </c>
      <c r="R2093" s="960">
        <v>160.0</v>
      </c>
      <c r="S2093" s="960">
        <v>223.0</v>
      </c>
      <c r="T2093" s="960">
        <v>245.0</v>
      </c>
      <c r="U2093" s="960">
        <f t="array" ref="U2093">HLOOKUP($J2093,'Type Chart'!$C$2:$T$20,2,false)*HLOOKUP($K2093,'Type Chart'!$C$2:$U$20,2,false)</f>
        <v>1</v>
      </c>
      <c r="V2093" s="960">
        <f t="array" ref="V2093">HLOOKUP($J2093,'Type Chart'!$C$2:$T$20,3,false)*HLOOKUP($K2093,'Type Chart'!$C$2:$U$20,3,false)</f>
        <v>1</v>
      </c>
      <c r="W2093" s="960">
        <f t="array" ref="W2093">HLOOKUP($J2093,'Type Chart'!$C$2:$T$20,4,false)*HLOOKUP($K2093,'Type Chart'!$C$2:$U$20,4,false)</f>
        <v>1</v>
      </c>
      <c r="X2093" s="960">
        <f t="array" ref="X2093">HLOOKUP($J2093,'Type Chart'!$C$2:$T$20,5,false)*HLOOKUP($K2093,'Type Chart'!$C$2:$U$20,5,false)</f>
        <v>1</v>
      </c>
      <c r="Y2093" s="960">
        <f t="array" ref="Y2093">HLOOKUP($J2093,'Type Chart'!$C$2:$T$20,6,false)*HLOOKUP($K2093,'Type Chart'!$C$2:$U$20,6,false)</f>
        <v>0</v>
      </c>
      <c r="Z2093" s="960">
        <f t="array" ref="Z2093">HLOOKUP($J2093,'Type Chart'!$C$2:$T$20,7,false)*HLOOKUP($K2093,'Type Chart'!$C$2:$U$20,7,false)</f>
        <v>2</v>
      </c>
      <c r="AA2093" s="960">
        <f t="array" ref="AA2093">HLOOKUP($J2093,'Type Chart'!$C$2:$T$20,8,false)*HLOOKUP($K2093,'Type Chart'!$C$2:$U$20,8,false)</f>
        <v>0.5</v>
      </c>
      <c r="AB2093" s="960">
        <f t="array" ref="AB2093">HLOOKUP($J2093,'Type Chart'!$C$2:$T$20,9,false)*HLOOKUP($K2093,'Type Chart'!$C$2:$U$20,9,false)</f>
        <v>0</v>
      </c>
      <c r="AC2093" s="960">
        <f t="array" ref="AC2093">HLOOKUP($J2093,'Type Chart'!$C$2:$T$20,10,false)*HLOOKUP($K2093,'Type Chart'!$C$2:$U$20,10,false)</f>
        <v>1</v>
      </c>
      <c r="AD2093" s="960">
        <f t="array" ref="AD2093">HLOOKUP($J2093,'Type Chart'!$C$2:$T$20,11,false)*HLOOKUP($K2093,'Type Chart'!$C$2:$U$20,11,false)</f>
        <v>1</v>
      </c>
      <c r="AE2093" s="960">
        <f t="array" ref="AE2093">HLOOKUP($J2093,'Type Chart'!$C$2:$T$20,12,false)*HLOOKUP($K2093,'Type Chart'!$C$2:$U$20,12,false)</f>
        <v>1</v>
      </c>
      <c r="AF2093" s="960">
        <f t="array" ref="AF2093">HLOOKUP($J2093,'Type Chart'!$C$2:$T$20,13,false)*HLOOKUP($K2093,'Type Chart'!$C$2:$U$20,13,false)</f>
        <v>0.5</v>
      </c>
      <c r="AG2093" s="960">
        <f t="array" ref="AG2093">HLOOKUP($J2093,'Type Chart'!$C$2:$T$20,14,false)*HLOOKUP($K2093,'Type Chart'!$C$2:$U$20,14,false)</f>
        <v>2</v>
      </c>
      <c r="AH2093" s="960">
        <f t="array" ref="AH2093">HLOOKUP($J2093,'Type Chart'!$C$2:$T$20,15,false)*HLOOKUP($K2093,'Type Chart'!$C$2:$U$20,15,false)</f>
        <v>1</v>
      </c>
      <c r="AI2093" s="960">
        <f t="array" ref="AI2093">HLOOKUP($J2093,'Type Chart'!$C$2:$T$20,16,false)*HLOOKUP($K2093,'Type Chart'!$C$2:$U$20,16,false)</f>
        <v>2</v>
      </c>
      <c r="AJ2093" s="960">
        <f t="array" ref="AJ2093">HLOOKUP($J2093,'Type Chart'!$C$2:$T$20,17,false)*HLOOKUP($K2093,'Type Chart'!$C$2:$U$20,17,false)</f>
        <v>1</v>
      </c>
      <c r="AK2093" s="960">
        <f t="array" ref="AK2093">HLOOKUP($J2093,'Type Chart'!$C$2:$T$20,18,false)*HLOOKUP($K2093,'Type Chart'!$C$2:$U$20,18,false)</f>
        <v>1</v>
      </c>
      <c r="AL2093" s="960">
        <f t="array" ref="AL2093">HLOOKUP($J2093,'Type Chart'!$C$2:$T$20,19,false)*HLOOKUP($K2093,'Type Chart'!$C$2:$U$20,19,false)</f>
        <v>1</v>
      </c>
      <c r="AM2093" s="964" t="s">
        <v>1024</v>
      </c>
      <c r="AN2093" s="965"/>
      <c r="AO2093" s="966" t="s">
        <v>3293</v>
      </c>
      <c r="AP2093" s="936"/>
      <c r="AQ2093" s="1245"/>
      <c r="AR2093" s="1245"/>
      <c r="AS2093" s="936"/>
    </row>
    <row r="2094" ht="15.75" customHeight="1">
      <c r="A2094" s="1099"/>
      <c r="B2094" s="948" t="s">
        <v>3294</v>
      </c>
      <c r="C2094" s="1197" t="s">
        <v>3295</v>
      </c>
      <c r="D2094" s="1197" t="s">
        <v>3295</v>
      </c>
      <c r="E2094" s="1147" t="s">
        <v>3295</v>
      </c>
      <c r="F2094" s="940"/>
      <c r="G2094" s="953"/>
      <c r="H2094" s="969"/>
      <c r="I2094" s="998" t="s">
        <v>5194</v>
      </c>
      <c r="J2094" s="982" t="s">
        <v>150</v>
      </c>
      <c r="K2094" s="1001" t="s">
        <v>128</v>
      </c>
      <c r="L2094" s="959">
        <v>62.0</v>
      </c>
      <c r="M2094" s="960">
        <v>73.0</v>
      </c>
      <c r="N2094" s="960">
        <v>55.0</v>
      </c>
      <c r="O2094" s="960">
        <v>56.0</v>
      </c>
      <c r="P2094" s="960">
        <v>52.0</v>
      </c>
      <c r="Q2094" s="960">
        <v>84.0</v>
      </c>
      <c r="R2094" s="960">
        <v>204.0</v>
      </c>
      <c r="S2094" s="960">
        <v>267.0</v>
      </c>
      <c r="T2094" s="960">
        <v>293.0</v>
      </c>
      <c r="U2094" s="960">
        <f t="array" ref="U2094">HLOOKUP($J2094,'Type Chart'!$C$2:$T$20,2,false)*HLOOKUP($K2094,'Type Chart'!$C$2:$U$20,2,false)</f>
        <v>1</v>
      </c>
      <c r="V2094" s="960">
        <f t="array" ref="V2094">HLOOKUP($J2094,'Type Chart'!$C$2:$T$20,3,false)*HLOOKUP($K2094,'Type Chart'!$C$2:$U$20,3,false)</f>
        <v>0.5</v>
      </c>
      <c r="W2094" s="960">
        <f t="array" ref="W2094">HLOOKUP($J2094,'Type Chart'!$C$2:$T$20,4,false)*HLOOKUP($K2094,'Type Chart'!$C$2:$U$20,4,false)</f>
        <v>1</v>
      </c>
      <c r="X2094" s="960">
        <f t="array" ref="X2094">HLOOKUP($J2094,'Type Chart'!$C$2:$T$20,5,false)*HLOOKUP($K2094,'Type Chart'!$C$2:$U$20,5,false)</f>
        <v>1</v>
      </c>
      <c r="Y2094" s="960">
        <f t="array" ref="Y2094">HLOOKUP($J2094,'Type Chart'!$C$2:$T$20,6,false)*HLOOKUP($K2094,'Type Chart'!$C$2:$U$20,6,false)</f>
        <v>0</v>
      </c>
      <c r="Z2094" s="960">
        <f t="array" ref="Z2094">HLOOKUP($J2094,'Type Chart'!$C$2:$T$20,7,false)*HLOOKUP($K2094,'Type Chart'!$C$2:$U$20,7,false)</f>
        <v>4</v>
      </c>
      <c r="AA2094" s="960">
        <f t="array" ref="AA2094">HLOOKUP($J2094,'Type Chart'!$C$2:$T$20,8,false)*HLOOKUP($K2094,'Type Chart'!$C$2:$U$20,8,false)</f>
        <v>0.25</v>
      </c>
      <c r="AB2094" s="960">
        <f t="array" ref="AB2094">HLOOKUP($J2094,'Type Chart'!$C$2:$T$20,9,false)*HLOOKUP($K2094,'Type Chart'!$C$2:$U$20,9,false)</f>
        <v>1</v>
      </c>
      <c r="AC2094" s="960">
        <f t="array" ref="AC2094">HLOOKUP($J2094,'Type Chart'!$C$2:$T$20,10,false)*HLOOKUP($K2094,'Type Chart'!$C$2:$U$20,10,false)</f>
        <v>0.5</v>
      </c>
      <c r="AD2094" s="960">
        <f t="array" ref="AD2094">HLOOKUP($J2094,'Type Chart'!$C$2:$T$20,11,false)*HLOOKUP($K2094,'Type Chart'!$C$2:$U$20,11,false)</f>
        <v>0.5</v>
      </c>
      <c r="AE2094" s="960">
        <f t="array" ref="AE2094">HLOOKUP($J2094,'Type Chart'!$C$2:$T$20,12,false)*HLOOKUP($K2094,'Type Chart'!$C$2:$U$20,12,false)</f>
        <v>2</v>
      </c>
      <c r="AF2094" s="960">
        <f t="array" ref="AF2094">HLOOKUP($J2094,'Type Chart'!$C$2:$T$20,13,false)*HLOOKUP($K2094,'Type Chart'!$C$2:$U$20,13,false)</f>
        <v>0.25</v>
      </c>
      <c r="AG2094" s="960">
        <f t="array" ref="AG2094">HLOOKUP($J2094,'Type Chart'!$C$2:$T$20,14,false)*HLOOKUP($K2094,'Type Chart'!$C$2:$U$20,14,false)</f>
        <v>2</v>
      </c>
      <c r="AH2094" s="960">
        <f t="array" ref="AH2094">HLOOKUP($J2094,'Type Chart'!$C$2:$T$20,15,false)*HLOOKUP($K2094,'Type Chart'!$C$2:$U$20,15,false)</f>
        <v>1</v>
      </c>
      <c r="AI2094" s="960">
        <f t="array" ref="AI2094">HLOOKUP($J2094,'Type Chart'!$C$2:$T$20,16,false)*HLOOKUP($K2094,'Type Chart'!$C$2:$U$20,16,false)</f>
        <v>1</v>
      </c>
      <c r="AJ2094" s="960">
        <f t="array" ref="AJ2094">HLOOKUP($J2094,'Type Chart'!$C$2:$T$20,17,false)*HLOOKUP($K2094,'Type Chart'!$C$2:$U$20,17,false)</f>
        <v>1</v>
      </c>
      <c r="AK2094" s="960">
        <f t="array" ref="AK2094">HLOOKUP($J2094,'Type Chart'!$C$2:$T$20,18,false)*HLOOKUP($K2094,'Type Chart'!$C$2:$U$20,18,false)</f>
        <v>1</v>
      </c>
      <c r="AL2094" s="960">
        <f t="array" ref="AL2094">HLOOKUP($J2094,'Type Chart'!$C$2:$T$20,19,false)*HLOOKUP($K2094,'Type Chart'!$C$2:$U$20,19,false)</f>
        <v>0.5</v>
      </c>
      <c r="AM2094" s="964" t="s">
        <v>1353</v>
      </c>
      <c r="AN2094" s="965"/>
      <c r="AO2094" s="966" t="s">
        <v>3293</v>
      </c>
      <c r="AP2094" s="936"/>
      <c r="AQ2094" s="1245"/>
      <c r="AR2094" s="1245"/>
      <c r="AS2094" s="936"/>
    </row>
    <row r="2095" ht="15.75" customHeight="1">
      <c r="A2095" s="1099"/>
      <c r="B2095" s="948" t="s">
        <v>3296</v>
      </c>
      <c r="C2095" s="1197" t="s">
        <v>3297</v>
      </c>
      <c r="D2095" s="1197" t="s">
        <v>3297</v>
      </c>
      <c r="E2095" s="1147" t="s">
        <v>3297</v>
      </c>
      <c r="F2095" s="940"/>
      <c r="G2095" s="953"/>
      <c r="H2095" s="969"/>
      <c r="I2095" s="998" t="s">
        <v>5195</v>
      </c>
      <c r="J2095" s="982" t="s">
        <v>150</v>
      </c>
      <c r="K2095" s="1001" t="s">
        <v>128</v>
      </c>
      <c r="L2095" s="959">
        <v>78.0</v>
      </c>
      <c r="M2095" s="960">
        <v>81.0</v>
      </c>
      <c r="N2095" s="960">
        <v>71.0</v>
      </c>
      <c r="O2095" s="960">
        <v>74.0</v>
      </c>
      <c r="P2095" s="960">
        <v>69.0</v>
      </c>
      <c r="Q2095" s="960">
        <v>126.0</v>
      </c>
      <c r="R2095" s="960">
        <v>288.0</v>
      </c>
      <c r="S2095" s="960">
        <v>351.0</v>
      </c>
      <c r="T2095" s="960">
        <v>386.0</v>
      </c>
      <c r="U2095" s="960">
        <f t="array" ref="U2095">HLOOKUP($J2095,'Type Chart'!$C$2:$T$20,2,false)*HLOOKUP($K2095,'Type Chart'!$C$2:$U$20,2,false)</f>
        <v>1</v>
      </c>
      <c r="V2095" s="960">
        <f t="array" ref="V2095">HLOOKUP($J2095,'Type Chart'!$C$2:$T$20,3,false)*HLOOKUP($K2095,'Type Chart'!$C$2:$U$20,3,false)</f>
        <v>0.5</v>
      </c>
      <c r="W2095" s="960">
        <f t="array" ref="W2095">HLOOKUP($J2095,'Type Chart'!$C$2:$T$20,4,false)*HLOOKUP($K2095,'Type Chart'!$C$2:$U$20,4,false)</f>
        <v>1</v>
      </c>
      <c r="X2095" s="960">
        <f t="array" ref="X2095">HLOOKUP($J2095,'Type Chart'!$C$2:$T$20,5,false)*HLOOKUP($K2095,'Type Chart'!$C$2:$U$20,5,false)</f>
        <v>1</v>
      </c>
      <c r="Y2095" s="960">
        <f t="array" ref="Y2095">HLOOKUP($J2095,'Type Chart'!$C$2:$T$20,6,false)*HLOOKUP($K2095,'Type Chart'!$C$2:$U$20,6,false)</f>
        <v>0</v>
      </c>
      <c r="Z2095" s="960">
        <f t="array" ref="Z2095">HLOOKUP($J2095,'Type Chart'!$C$2:$T$20,7,false)*HLOOKUP($K2095,'Type Chart'!$C$2:$U$20,7,false)</f>
        <v>4</v>
      </c>
      <c r="AA2095" s="960">
        <f t="array" ref="AA2095">HLOOKUP($J2095,'Type Chart'!$C$2:$T$20,8,false)*HLOOKUP($K2095,'Type Chart'!$C$2:$U$20,8,false)</f>
        <v>0.25</v>
      </c>
      <c r="AB2095" s="960">
        <f t="array" ref="AB2095">HLOOKUP($J2095,'Type Chart'!$C$2:$T$20,9,false)*HLOOKUP($K2095,'Type Chart'!$C$2:$U$20,9,false)</f>
        <v>1</v>
      </c>
      <c r="AC2095" s="960">
        <f t="array" ref="AC2095">HLOOKUP($J2095,'Type Chart'!$C$2:$T$20,10,false)*HLOOKUP($K2095,'Type Chart'!$C$2:$U$20,10,false)</f>
        <v>0.5</v>
      </c>
      <c r="AD2095" s="960">
        <f t="array" ref="AD2095">HLOOKUP($J2095,'Type Chart'!$C$2:$T$20,11,false)*HLOOKUP($K2095,'Type Chart'!$C$2:$U$20,11,false)</f>
        <v>0.5</v>
      </c>
      <c r="AE2095" s="960">
        <f t="array" ref="AE2095">HLOOKUP($J2095,'Type Chart'!$C$2:$T$20,12,false)*HLOOKUP($K2095,'Type Chart'!$C$2:$U$20,12,false)</f>
        <v>2</v>
      </c>
      <c r="AF2095" s="960">
        <f t="array" ref="AF2095">HLOOKUP($J2095,'Type Chart'!$C$2:$T$20,13,false)*HLOOKUP($K2095,'Type Chart'!$C$2:$U$20,13,false)</f>
        <v>0.25</v>
      </c>
      <c r="AG2095" s="960">
        <f t="array" ref="AG2095">HLOOKUP($J2095,'Type Chart'!$C$2:$T$20,14,false)*HLOOKUP($K2095,'Type Chart'!$C$2:$U$20,14,false)</f>
        <v>2</v>
      </c>
      <c r="AH2095" s="960">
        <f t="array" ref="AH2095">HLOOKUP($J2095,'Type Chart'!$C$2:$T$20,15,false)*HLOOKUP($K2095,'Type Chart'!$C$2:$U$20,15,false)</f>
        <v>1</v>
      </c>
      <c r="AI2095" s="960">
        <f t="array" ref="AI2095">HLOOKUP($J2095,'Type Chart'!$C$2:$T$20,16,false)*HLOOKUP($K2095,'Type Chart'!$C$2:$U$20,16,false)</f>
        <v>1</v>
      </c>
      <c r="AJ2095" s="960">
        <f t="array" ref="AJ2095">HLOOKUP($J2095,'Type Chart'!$C$2:$T$20,17,false)*HLOOKUP($K2095,'Type Chart'!$C$2:$U$20,17,false)</f>
        <v>1</v>
      </c>
      <c r="AK2095" s="960">
        <f t="array" ref="AK2095">HLOOKUP($J2095,'Type Chart'!$C$2:$T$20,18,false)*HLOOKUP($K2095,'Type Chart'!$C$2:$U$20,18,false)</f>
        <v>1</v>
      </c>
      <c r="AL2095" s="960">
        <f t="array" ref="AL2095">HLOOKUP($J2095,'Type Chart'!$C$2:$T$20,19,false)*HLOOKUP($K2095,'Type Chart'!$C$2:$U$20,19,false)</f>
        <v>0.5</v>
      </c>
      <c r="AM2095" s="964" t="s">
        <v>1353</v>
      </c>
      <c r="AN2095" s="965"/>
      <c r="AO2095" s="966" t="s">
        <v>3293</v>
      </c>
      <c r="AP2095" s="936"/>
      <c r="AQ2095" s="1245"/>
      <c r="AR2095" s="1245"/>
      <c r="AS2095" s="936"/>
    </row>
    <row r="2096" ht="15.75" customHeight="1">
      <c r="A2096" s="1099"/>
      <c r="B2096" s="948" t="s">
        <v>3298</v>
      </c>
      <c r="C2096" s="1197" t="s">
        <v>3299</v>
      </c>
      <c r="D2096" s="1197" t="s">
        <v>3299</v>
      </c>
      <c r="E2096" s="1147" t="s">
        <v>3299</v>
      </c>
      <c r="F2096" s="940"/>
      <c r="G2096" s="953"/>
      <c r="H2096" s="969"/>
      <c r="I2096" s="998" t="s">
        <v>5196</v>
      </c>
      <c r="J2096" s="1180" t="s">
        <v>343</v>
      </c>
      <c r="K2096" s="984" t="s">
        <v>216</v>
      </c>
      <c r="L2096" s="959">
        <v>38.0</v>
      </c>
      <c r="M2096" s="960">
        <v>35.0</v>
      </c>
      <c r="N2096" s="960">
        <v>40.0</v>
      </c>
      <c r="O2096" s="960">
        <v>27.0</v>
      </c>
      <c r="P2096" s="960">
        <v>25.0</v>
      </c>
      <c r="Q2096" s="960">
        <v>35.0</v>
      </c>
      <c r="R2096" s="960">
        <v>106.0</v>
      </c>
      <c r="S2096" s="960">
        <v>169.0</v>
      </c>
      <c r="T2096" s="960">
        <v>185.0</v>
      </c>
      <c r="U2096" s="960">
        <f t="array" ref="U2096">HLOOKUP($J2096,'Type Chart'!$C$2:$T$20,2,false)*HLOOKUP($K2096,'Type Chart'!$C$2:$U$20,2,false)</f>
        <v>1</v>
      </c>
      <c r="V2096" s="960">
        <f t="array" ref="V2096">HLOOKUP($J2096,'Type Chart'!$C$2:$T$20,3,false)*HLOOKUP($K2096,'Type Chart'!$C$2:$U$20,3,false)</f>
        <v>0.5</v>
      </c>
      <c r="W2096" s="960">
        <f t="array" ref="W2096">HLOOKUP($J2096,'Type Chart'!$C$2:$T$20,4,false)*HLOOKUP($K2096,'Type Chart'!$C$2:$U$20,4,false)</f>
        <v>2</v>
      </c>
      <c r="X2096" s="960">
        <f t="array" ref="X2096">HLOOKUP($J2096,'Type Chart'!$C$2:$T$20,5,false)*HLOOKUP($K2096,'Type Chart'!$C$2:$U$20,5,false)</f>
        <v>1</v>
      </c>
      <c r="Y2096" s="960">
        <f t="array" ref="Y2096">HLOOKUP($J2096,'Type Chart'!$C$2:$T$20,6,false)*HLOOKUP($K2096,'Type Chart'!$C$2:$U$20,6,false)</f>
        <v>0.5</v>
      </c>
      <c r="Z2096" s="960">
        <f t="array" ref="Z2096">HLOOKUP($J2096,'Type Chart'!$C$2:$T$20,7,false)*HLOOKUP($K2096,'Type Chart'!$C$2:$U$20,7,false)</f>
        <v>2</v>
      </c>
      <c r="AA2096" s="960">
        <f t="array" ref="AA2096">HLOOKUP($J2096,'Type Chart'!$C$2:$T$20,8,false)*HLOOKUP($K2096,'Type Chart'!$C$2:$U$20,8,false)</f>
        <v>1</v>
      </c>
      <c r="AB2096" s="960">
        <f t="array" ref="AB2096">HLOOKUP($J2096,'Type Chart'!$C$2:$T$20,9,false)*HLOOKUP($K2096,'Type Chart'!$C$2:$U$20,9,false)</f>
        <v>1</v>
      </c>
      <c r="AC2096" s="960">
        <f t="array" ref="AC2096">HLOOKUP($J2096,'Type Chart'!$C$2:$T$20,10,false)*HLOOKUP($K2096,'Type Chart'!$C$2:$U$20,10,false)</f>
        <v>1</v>
      </c>
      <c r="AD2096" s="960">
        <f t="array" ref="AD2096">HLOOKUP($J2096,'Type Chart'!$C$2:$T$20,11,false)*HLOOKUP($K2096,'Type Chart'!$C$2:$U$20,11,false)</f>
        <v>2</v>
      </c>
      <c r="AE2096" s="960">
        <f t="array" ref="AE2096">HLOOKUP($J2096,'Type Chart'!$C$2:$T$20,12,false)*HLOOKUP($K2096,'Type Chart'!$C$2:$U$20,12,false)</f>
        <v>1</v>
      </c>
      <c r="AF2096" s="960">
        <f t="array" ref="AF2096">HLOOKUP($J2096,'Type Chart'!$C$2:$T$20,13,false)*HLOOKUP($K2096,'Type Chart'!$C$2:$U$20,13,false)</f>
        <v>0.5</v>
      </c>
      <c r="AG2096" s="960">
        <f t="array" ref="AG2096">HLOOKUP($J2096,'Type Chart'!$C$2:$T$20,14,false)*HLOOKUP($K2096,'Type Chart'!$C$2:$U$20,14,false)</f>
        <v>1</v>
      </c>
      <c r="AH2096" s="960">
        <f t="array" ref="AH2096">HLOOKUP($J2096,'Type Chart'!$C$2:$T$20,15,false)*HLOOKUP($K2096,'Type Chart'!$C$2:$U$20,15,false)</f>
        <v>1</v>
      </c>
      <c r="AI2096" s="960">
        <f t="array" ref="AI2096">HLOOKUP($J2096,'Type Chart'!$C$2:$T$20,16,false)*HLOOKUP($K2096,'Type Chart'!$C$2:$U$20,16,false)</f>
        <v>1</v>
      </c>
      <c r="AJ2096" s="960">
        <f t="array" ref="AJ2096">HLOOKUP($J2096,'Type Chart'!$C$2:$T$20,17,false)*HLOOKUP($K2096,'Type Chart'!$C$2:$U$20,17,false)</f>
        <v>1</v>
      </c>
      <c r="AK2096" s="960">
        <f t="array" ref="AK2096">HLOOKUP($J2096,'Type Chart'!$C$2:$T$20,18,false)*HLOOKUP($K2096,'Type Chart'!$C$2:$U$20,18,false)</f>
        <v>1</v>
      </c>
      <c r="AL2096" s="960">
        <f t="array" ref="AL2096">HLOOKUP($J2096,'Type Chart'!$C$2:$T$20,19,false)*HLOOKUP($K2096,'Type Chart'!$C$2:$U$20,19,false)</f>
        <v>1</v>
      </c>
      <c r="AM2096" s="964" t="s">
        <v>987</v>
      </c>
      <c r="AN2096" s="965" t="s">
        <v>1002</v>
      </c>
      <c r="AO2096" s="966" t="s">
        <v>1167</v>
      </c>
      <c r="AP2096" s="936"/>
      <c r="AQ2096" s="1245"/>
      <c r="AR2096" s="1245"/>
      <c r="AS2096" s="936"/>
    </row>
    <row r="2097" ht="15.75" customHeight="1">
      <c r="A2097" s="1099"/>
      <c r="B2097" s="948" t="s">
        <v>3301</v>
      </c>
      <c r="C2097" s="1197" t="s">
        <v>3302</v>
      </c>
      <c r="D2097" s="1197" t="s">
        <v>3302</v>
      </c>
      <c r="E2097" s="1147" t="s">
        <v>3302</v>
      </c>
      <c r="F2097" s="940"/>
      <c r="G2097" s="953"/>
      <c r="H2097" s="969"/>
      <c r="I2097" s="998" t="s">
        <v>5197</v>
      </c>
      <c r="J2097" s="1180" t="s">
        <v>343</v>
      </c>
      <c r="K2097" s="984" t="s">
        <v>216</v>
      </c>
      <c r="L2097" s="959">
        <v>45.0</v>
      </c>
      <c r="M2097" s="960">
        <v>22.0</v>
      </c>
      <c r="N2097" s="960">
        <v>60.0</v>
      </c>
      <c r="O2097" s="960">
        <v>27.0</v>
      </c>
      <c r="P2097" s="960">
        <v>30.0</v>
      </c>
      <c r="Q2097" s="960">
        <v>29.0</v>
      </c>
      <c r="R2097" s="960">
        <v>94.0</v>
      </c>
      <c r="S2097" s="960">
        <v>157.0</v>
      </c>
      <c r="T2097" s="960">
        <v>172.0</v>
      </c>
      <c r="U2097" s="960">
        <f t="array" ref="U2097">HLOOKUP($J2097,'Type Chart'!$C$2:$T$20,2,false)*HLOOKUP($K2097,'Type Chart'!$C$2:$U$20,2,false)</f>
        <v>1</v>
      </c>
      <c r="V2097" s="960">
        <f t="array" ref="V2097">HLOOKUP($J2097,'Type Chart'!$C$2:$T$20,3,false)*HLOOKUP($K2097,'Type Chart'!$C$2:$U$20,3,false)</f>
        <v>0.5</v>
      </c>
      <c r="W2097" s="960">
        <f t="array" ref="W2097">HLOOKUP($J2097,'Type Chart'!$C$2:$T$20,4,false)*HLOOKUP($K2097,'Type Chart'!$C$2:$U$20,4,false)</f>
        <v>2</v>
      </c>
      <c r="X2097" s="960">
        <f t="array" ref="X2097">HLOOKUP($J2097,'Type Chart'!$C$2:$T$20,5,false)*HLOOKUP($K2097,'Type Chart'!$C$2:$U$20,5,false)</f>
        <v>1</v>
      </c>
      <c r="Y2097" s="960">
        <f t="array" ref="Y2097">HLOOKUP($J2097,'Type Chart'!$C$2:$T$20,6,false)*HLOOKUP($K2097,'Type Chart'!$C$2:$U$20,6,false)</f>
        <v>0.5</v>
      </c>
      <c r="Z2097" s="960">
        <f t="array" ref="Z2097">HLOOKUP($J2097,'Type Chart'!$C$2:$T$20,7,false)*HLOOKUP($K2097,'Type Chart'!$C$2:$U$20,7,false)</f>
        <v>2</v>
      </c>
      <c r="AA2097" s="960">
        <f t="array" ref="AA2097">HLOOKUP($J2097,'Type Chart'!$C$2:$T$20,8,false)*HLOOKUP($K2097,'Type Chart'!$C$2:$U$20,8,false)</f>
        <v>1</v>
      </c>
      <c r="AB2097" s="960">
        <f t="array" ref="AB2097">HLOOKUP($J2097,'Type Chart'!$C$2:$T$20,9,false)*HLOOKUP($K2097,'Type Chart'!$C$2:$U$20,9,false)</f>
        <v>1</v>
      </c>
      <c r="AC2097" s="960">
        <f t="array" ref="AC2097">HLOOKUP($J2097,'Type Chart'!$C$2:$T$20,10,false)*HLOOKUP($K2097,'Type Chart'!$C$2:$U$20,10,false)</f>
        <v>1</v>
      </c>
      <c r="AD2097" s="960">
        <f t="array" ref="AD2097">HLOOKUP($J2097,'Type Chart'!$C$2:$T$20,11,false)*HLOOKUP($K2097,'Type Chart'!$C$2:$U$20,11,false)</f>
        <v>2</v>
      </c>
      <c r="AE2097" s="960">
        <f t="array" ref="AE2097">HLOOKUP($J2097,'Type Chart'!$C$2:$T$20,12,false)*HLOOKUP($K2097,'Type Chart'!$C$2:$U$20,12,false)</f>
        <v>1</v>
      </c>
      <c r="AF2097" s="960">
        <f t="array" ref="AF2097">HLOOKUP($J2097,'Type Chart'!$C$2:$T$20,13,false)*HLOOKUP($K2097,'Type Chart'!$C$2:$U$20,13,false)</f>
        <v>0.5</v>
      </c>
      <c r="AG2097" s="960">
        <f t="array" ref="AG2097">HLOOKUP($J2097,'Type Chart'!$C$2:$T$20,14,false)*HLOOKUP($K2097,'Type Chart'!$C$2:$U$20,14,false)</f>
        <v>1</v>
      </c>
      <c r="AH2097" s="960">
        <f t="array" ref="AH2097">HLOOKUP($J2097,'Type Chart'!$C$2:$T$20,15,false)*HLOOKUP($K2097,'Type Chart'!$C$2:$U$20,15,false)</f>
        <v>1</v>
      </c>
      <c r="AI2097" s="960">
        <f t="array" ref="AI2097">HLOOKUP($J2097,'Type Chart'!$C$2:$T$20,16,false)*HLOOKUP($K2097,'Type Chart'!$C$2:$U$20,16,false)</f>
        <v>1</v>
      </c>
      <c r="AJ2097" s="960">
        <f t="array" ref="AJ2097">HLOOKUP($J2097,'Type Chart'!$C$2:$T$20,17,false)*HLOOKUP($K2097,'Type Chart'!$C$2:$U$20,17,false)</f>
        <v>1</v>
      </c>
      <c r="AK2097" s="960">
        <f t="array" ref="AK2097">HLOOKUP($J2097,'Type Chart'!$C$2:$T$20,18,false)*HLOOKUP($K2097,'Type Chart'!$C$2:$U$20,18,false)</f>
        <v>1</v>
      </c>
      <c r="AL2097" s="960">
        <f t="array" ref="AL2097">HLOOKUP($J2097,'Type Chart'!$C$2:$T$20,19,false)*HLOOKUP($K2097,'Type Chart'!$C$2:$U$20,19,false)</f>
        <v>1</v>
      </c>
      <c r="AM2097" s="964" t="s">
        <v>998</v>
      </c>
      <c r="AN2097" s="965"/>
      <c r="AO2097" s="966" t="s">
        <v>1167</v>
      </c>
      <c r="AP2097" s="936"/>
      <c r="AQ2097" s="1245"/>
      <c r="AR2097" s="1245"/>
      <c r="AS2097" s="936"/>
    </row>
    <row r="2098" ht="15.75" customHeight="1">
      <c r="A2098" s="1099"/>
      <c r="B2098" s="948" t="s">
        <v>3304</v>
      </c>
      <c r="C2098" s="1197" t="s">
        <v>3305</v>
      </c>
      <c r="D2098" s="1197" t="s">
        <v>3305</v>
      </c>
      <c r="E2098" s="1147" t="s">
        <v>3305</v>
      </c>
      <c r="F2098" s="940"/>
      <c r="G2098" s="953"/>
      <c r="H2098" s="969"/>
      <c r="I2098" s="998" t="s">
        <v>5198</v>
      </c>
      <c r="J2098" s="1180" t="s">
        <v>343</v>
      </c>
      <c r="K2098" s="1001" t="s">
        <v>128</v>
      </c>
      <c r="L2098" s="959">
        <v>80.0</v>
      </c>
      <c r="M2098" s="960">
        <v>52.0</v>
      </c>
      <c r="N2098" s="960">
        <v>50.0</v>
      </c>
      <c r="O2098" s="960">
        <v>90.0</v>
      </c>
      <c r="P2098" s="960">
        <v>50.0</v>
      </c>
      <c r="Q2098" s="960">
        <v>89.0</v>
      </c>
      <c r="R2098" s="960">
        <v>214.0</v>
      </c>
      <c r="S2098" s="960">
        <v>277.0</v>
      </c>
      <c r="T2098" s="960">
        <v>304.0</v>
      </c>
      <c r="U2098" s="960">
        <f t="array" ref="U2098">HLOOKUP($J2098,'Type Chart'!$C$2:$T$20,2,false)*HLOOKUP($K2098,'Type Chart'!$C$2:$U$20,2,false)</f>
        <v>1</v>
      </c>
      <c r="V2098" s="960">
        <f t="array" ref="V2098">HLOOKUP($J2098,'Type Chart'!$C$2:$T$20,3,false)*HLOOKUP($K2098,'Type Chart'!$C$2:$U$20,3,false)</f>
        <v>0.25</v>
      </c>
      <c r="W2098" s="960">
        <f t="array" ref="W2098">HLOOKUP($J2098,'Type Chart'!$C$2:$T$20,4,false)*HLOOKUP($K2098,'Type Chart'!$C$2:$U$20,4,false)</f>
        <v>2</v>
      </c>
      <c r="X2098" s="960">
        <f t="array" ref="X2098">HLOOKUP($J2098,'Type Chart'!$C$2:$T$20,5,false)*HLOOKUP($K2098,'Type Chart'!$C$2:$U$20,5,false)</f>
        <v>1</v>
      </c>
      <c r="Y2098" s="960">
        <f t="array" ref="Y2098">HLOOKUP($J2098,'Type Chart'!$C$2:$T$20,6,false)*HLOOKUP($K2098,'Type Chart'!$C$2:$U$20,6,false)</f>
        <v>0</v>
      </c>
      <c r="Z2098" s="960">
        <f t="array" ref="Z2098">HLOOKUP($J2098,'Type Chart'!$C$2:$T$20,7,false)*HLOOKUP($K2098,'Type Chart'!$C$2:$U$20,7,false)</f>
        <v>4</v>
      </c>
      <c r="AA2098" s="960">
        <f t="array" ref="AA2098">HLOOKUP($J2098,'Type Chart'!$C$2:$T$20,8,false)*HLOOKUP($K2098,'Type Chart'!$C$2:$U$20,8,false)</f>
        <v>0.5</v>
      </c>
      <c r="AB2098" s="960">
        <f t="array" ref="AB2098">HLOOKUP($J2098,'Type Chart'!$C$2:$T$20,9,false)*HLOOKUP($K2098,'Type Chart'!$C$2:$U$20,9,false)</f>
        <v>1</v>
      </c>
      <c r="AC2098" s="960">
        <f t="array" ref="AC2098">HLOOKUP($J2098,'Type Chart'!$C$2:$T$20,10,false)*HLOOKUP($K2098,'Type Chart'!$C$2:$U$20,10,false)</f>
        <v>1</v>
      </c>
      <c r="AD2098" s="960">
        <f t="array" ref="AD2098">HLOOKUP($J2098,'Type Chart'!$C$2:$T$20,11,false)*HLOOKUP($K2098,'Type Chart'!$C$2:$U$20,11,false)</f>
        <v>2</v>
      </c>
      <c r="AE2098" s="960">
        <f t="array" ref="AE2098">HLOOKUP($J2098,'Type Chart'!$C$2:$T$20,12,false)*HLOOKUP($K2098,'Type Chart'!$C$2:$U$20,12,false)</f>
        <v>1</v>
      </c>
      <c r="AF2098" s="960">
        <f t="array" ref="AF2098">HLOOKUP($J2098,'Type Chart'!$C$2:$T$20,13,false)*HLOOKUP($K2098,'Type Chart'!$C$2:$U$20,13,false)</f>
        <v>0.25</v>
      </c>
      <c r="AG2098" s="960">
        <f t="array" ref="AG2098">HLOOKUP($J2098,'Type Chart'!$C$2:$T$20,14,false)*HLOOKUP($K2098,'Type Chart'!$C$2:$U$20,14,false)</f>
        <v>2</v>
      </c>
      <c r="AH2098" s="960">
        <f t="array" ref="AH2098">HLOOKUP($J2098,'Type Chart'!$C$2:$T$20,15,false)*HLOOKUP($K2098,'Type Chart'!$C$2:$U$20,15,false)</f>
        <v>1</v>
      </c>
      <c r="AI2098" s="960">
        <f t="array" ref="AI2098">HLOOKUP($J2098,'Type Chart'!$C$2:$T$20,16,false)*HLOOKUP($K2098,'Type Chart'!$C$2:$U$20,16,false)</f>
        <v>2</v>
      </c>
      <c r="AJ2098" s="960">
        <f t="array" ref="AJ2098">HLOOKUP($J2098,'Type Chart'!$C$2:$T$20,17,false)*HLOOKUP($K2098,'Type Chart'!$C$2:$U$20,17,false)</f>
        <v>1</v>
      </c>
      <c r="AK2098" s="960">
        <f t="array" ref="AK2098">HLOOKUP($J2098,'Type Chart'!$C$2:$T$20,18,false)*HLOOKUP($K2098,'Type Chart'!$C$2:$U$20,18,false)</f>
        <v>1</v>
      </c>
      <c r="AL2098" s="960">
        <f t="array" ref="AL2098">HLOOKUP($J2098,'Type Chart'!$C$2:$T$20,19,false)*HLOOKUP($K2098,'Type Chart'!$C$2:$U$20,19,false)</f>
        <v>1</v>
      </c>
      <c r="AM2098" s="964" t="s">
        <v>987</v>
      </c>
      <c r="AN2098" s="965" t="s">
        <v>1002</v>
      </c>
      <c r="AO2098" s="966" t="s">
        <v>1167</v>
      </c>
      <c r="AP2098" s="936"/>
      <c r="AQ2098" s="1245"/>
      <c r="AR2098" s="1245"/>
      <c r="AS2098" s="936"/>
    </row>
    <row r="2099" ht="15.75" customHeight="1">
      <c r="A2099" s="1099"/>
      <c r="B2099" s="948" t="s">
        <v>3306</v>
      </c>
      <c r="C2099" s="1197" t="s">
        <v>3307</v>
      </c>
      <c r="D2099" s="1197" t="s">
        <v>3307</v>
      </c>
      <c r="E2099" s="1147" t="s">
        <v>3307</v>
      </c>
      <c r="F2099" s="940"/>
      <c r="G2099" s="953"/>
      <c r="H2099" s="969"/>
      <c r="I2099" s="998" t="s">
        <v>5199</v>
      </c>
      <c r="J2099" s="1180" t="s">
        <v>343</v>
      </c>
      <c r="K2099" s="1001" t="s">
        <v>128</v>
      </c>
      <c r="L2099" s="959">
        <v>80.0</v>
      </c>
      <c r="M2099" s="960">
        <v>52.0</v>
      </c>
      <c r="N2099" s="960">
        <v>50.0</v>
      </c>
      <c r="O2099" s="960">
        <v>90.0</v>
      </c>
      <c r="P2099" s="960">
        <v>50.0</v>
      </c>
      <c r="Q2099" s="960">
        <v>89.0</v>
      </c>
      <c r="R2099" s="960">
        <v>214.0</v>
      </c>
      <c r="S2099" s="960">
        <v>277.0</v>
      </c>
      <c r="T2099" s="960">
        <v>304.0</v>
      </c>
      <c r="U2099" s="960">
        <f t="array" ref="U2099">HLOOKUP($J2099,'Type Chart'!$C$2:$T$20,2,false)*HLOOKUP($K2099,'Type Chart'!$C$2:$U$20,2,false)</f>
        <v>1</v>
      </c>
      <c r="V2099" s="960">
        <f t="array" ref="V2099">HLOOKUP($J2099,'Type Chart'!$C$2:$T$20,3,false)*HLOOKUP($K2099,'Type Chart'!$C$2:$U$20,3,false)</f>
        <v>0.25</v>
      </c>
      <c r="W2099" s="960">
        <f t="array" ref="W2099">HLOOKUP($J2099,'Type Chart'!$C$2:$T$20,4,false)*HLOOKUP($K2099,'Type Chart'!$C$2:$U$20,4,false)</f>
        <v>2</v>
      </c>
      <c r="X2099" s="960">
        <f t="array" ref="X2099">HLOOKUP($J2099,'Type Chart'!$C$2:$T$20,5,false)*HLOOKUP($K2099,'Type Chart'!$C$2:$U$20,5,false)</f>
        <v>1</v>
      </c>
      <c r="Y2099" s="960">
        <f t="array" ref="Y2099">HLOOKUP($J2099,'Type Chart'!$C$2:$T$20,6,false)*HLOOKUP($K2099,'Type Chart'!$C$2:$U$20,6,false)</f>
        <v>0</v>
      </c>
      <c r="Z2099" s="960">
        <f t="array" ref="Z2099">HLOOKUP($J2099,'Type Chart'!$C$2:$T$20,7,false)*HLOOKUP($K2099,'Type Chart'!$C$2:$U$20,7,false)</f>
        <v>4</v>
      </c>
      <c r="AA2099" s="960">
        <f t="array" ref="AA2099">HLOOKUP($J2099,'Type Chart'!$C$2:$T$20,8,false)*HLOOKUP($K2099,'Type Chart'!$C$2:$U$20,8,false)</f>
        <v>0.5</v>
      </c>
      <c r="AB2099" s="960">
        <f t="array" ref="AB2099">HLOOKUP($J2099,'Type Chart'!$C$2:$T$20,9,false)*HLOOKUP($K2099,'Type Chart'!$C$2:$U$20,9,false)</f>
        <v>1</v>
      </c>
      <c r="AC2099" s="960">
        <f t="array" ref="AC2099">HLOOKUP($J2099,'Type Chart'!$C$2:$T$20,10,false)*HLOOKUP($K2099,'Type Chart'!$C$2:$U$20,10,false)</f>
        <v>1</v>
      </c>
      <c r="AD2099" s="960">
        <f t="array" ref="AD2099">HLOOKUP($J2099,'Type Chart'!$C$2:$T$20,11,false)*HLOOKUP($K2099,'Type Chart'!$C$2:$U$20,11,false)</f>
        <v>2</v>
      </c>
      <c r="AE2099" s="960">
        <f t="array" ref="AE2099">HLOOKUP($J2099,'Type Chart'!$C$2:$T$20,12,false)*HLOOKUP($K2099,'Type Chart'!$C$2:$U$20,12,false)</f>
        <v>1</v>
      </c>
      <c r="AF2099" s="960">
        <f t="array" ref="AF2099">HLOOKUP($J2099,'Type Chart'!$C$2:$T$20,13,false)*HLOOKUP($K2099,'Type Chart'!$C$2:$U$20,13,false)</f>
        <v>0.25</v>
      </c>
      <c r="AG2099" s="960">
        <f t="array" ref="AG2099">HLOOKUP($J2099,'Type Chart'!$C$2:$T$20,14,false)*HLOOKUP($K2099,'Type Chart'!$C$2:$U$20,14,false)</f>
        <v>2</v>
      </c>
      <c r="AH2099" s="960">
        <f t="array" ref="AH2099">HLOOKUP($J2099,'Type Chart'!$C$2:$T$20,15,false)*HLOOKUP($K2099,'Type Chart'!$C$2:$U$20,15,false)</f>
        <v>1</v>
      </c>
      <c r="AI2099" s="960">
        <f t="array" ref="AI2099">HLOOKUP($J2099,'Type Chart'!$C$2:$T$20,16,false)*HLOOKUP($K2099,'Type Chart'!$C$2:$U$20,16,false)</f>
        <v>2</v>
      </c>
      <c r="AJ2099" s="960">
        <f t="array" ref="AJ2099">HLOOKUP($J2099,'Type Chart'!$C$2:$T$20,17,false)*HLOOKUP($K2099,'Type Chart'!$C$2:$U$20,17,false)</f>
        <v>1</v>
      </c>
      <c r="AK2099" s="960">
        <f t="array" ref="AK2099">HLOOKUP($J2099,'Type Chart'!$C$2:$T$20,18,false)*HLOOKUP($K2099,'Type Chart'!$C$2:$U$20,18,false)</f>
        <v>1</v>
      </c>
      <c r="AL2099" s="960">
        <f t="array" ref="AL2099">HLOOKUP($J2099,'Type Chart'!$C$2:$T$20,19,false)*HLOOKUP($K2099,'Type Chart'!$C$2:$U$20,19,false)</f>
        <v>1</v>
      </c>
      <c r="AM2099" s="964" t="s">
        <v>987</v>
      </c>
      <c r="AN2099" s="965" t="s">
        <v>1002</v>
      </c>
      <c r="AO2099" s="966" t="s">
        <v>1167</v>
      </c>
      <c r="AP2099" s="936"/>
      <c r="AQ2099" s="1245"/>
      <c r="AR2099" s="1245"/>
      <c r="AS2099" s="936"/>
    </row>
    <row r="2100" ht="15.75" customHeight="1">
      <c r="A2100" s="1099"/>
      <c r="B2100" s="948" t="s">
        <v>3309</v>
      </c>
      <c r="C2100" s="1197" t="s">
        <v>3310</v>
      </c>
      <c r="D2100" s="1197" t="s">
        <v>3311</v>
      </c>
      <c r="E2100" s="1147" t="s">
        <v>3310</v>
      </c>
      <c r="F2100" s="940"/>
      <c r="G2100" s="953"/>
      <c r="H2100" s="969"/>
      <c r="I2100" s="998" t="s">
        <v>5200</v>
      </c>
      <c r="J2100" s="1180" t="s">
        <v>343</v>
      </c>
      <c r="K2100" s="1001" t="s">
        <v>128</v>
      </c>
      <c r="L2100" s="959">
        <v>80.0</v>
      </c>
      <c r="M2100" s="960">
        <v>52.0</v>
      </c>
      <c r="N2100" s="960">
        <v>50.0</v>
      </c>
      <c r="O2100" s="960">
        <v>90.0</v>
      </c>
      <c r="P2100" s="960">
        <v>50.0</v>
      </c>
      <c r="Q2100" s="960">
        <v>89.0</v>
      </c>
      <c r="R2100" s="960">
        <v>214.0</v>
      </c>
      <c r="S2100" s="960">
        <v>277.0</v>
      </c>
      <c r="T2100" s="960">
        <v>304.0</v>
      </c>
      <c r="U2100" s="960">
        <f t="array" ref="U2100">HLOOKUP($J2100,'Type Chart'!$C$2:$T$20,2,false)*HLOOKUP($K2100,'Type Chart'!$C$2:$U$20,2,false)</f>
        <v>1</v>
      </c>
      <c r="V2100" s="960">
        <f t="array" ref="V2100">HLOOKUP($J2100,'Type Chart'!$C$2:$T$20,3,false)*HLOOKUP($K2100,'Type Chart'!$C$2:$U$20,3,false)</f>
        <v>0.25</v>
      </c>
      <c r="W2100" s="960">
        <f t="array" ref="W2100">HLOOKUP($J2100,'Type Chart'!$C$2:$T$20,4,false)*HLOOKUP($K2100,'Type Chart'!$C$2:$U$20,4,false)</f>
        <v>2</v>
      </c>
      <c r="X2100" s="960">
        <f t="array" ref="X2100">HLOOKUP($J2100,'Type Chart'!$C$2:$T$20,5,false)*HLOOKUP($K2100,'Type Chart'!$C$2:$U$20,5,false)</f>
        <v>1</v>
      </c>
      <c r="Y2100" s="960">
        <f t="array" ref="Y2100">HLOOKUP($J2100,'Type Chart'!$C$2:$T$20,6,false)*HLOOKUP($K2100,'Type Chart'!$C$2:$U$20,6,false)</f>
        <v>0</v>
      </c>
      <c r="Z2100" s="960">
        <f t="array" ref="Z2100">HLOOKUP($J2100,'Type Chart'!$C$2:$T$20,7,false)*HLOOKUP($K2100,'Type Chart'!$C$2:$U$20,7,false)</f>
        <v>4</v>
      </c>
      <c r="AA2100" s="960">
        <f t="array" ref="AA2100">HLOOKUP($J2100,'Type Chart'!$C$2:$T$20,8,false)*HLOOKUP($K2100,'Type Chart'!$C$2:$U$20,8,false)</f>
        <v>0.5</v>
      </c>
      <c r="AB2100" s="960">
        <f t="array" ref="AB2100">HLOOKUP($J2100,'Type Chart'!$C$2:$T$20,9,false)*HLOOKUP($K2100,'Type Chart'!$C$2:$U$20,9,false)</f>
        <v>1</v>
      </c>
      <c r="AC2100" s="960">
        <f t="array" ref="AC2100">HLOOKUP($J2100,'Type Chart'!$C$2:$T$20,10,false)*HLOOKUP($K2100,'Type Chart'!$C$2:$U$20,10,false)</f>
        <v>1</v>
      </c>
      <c r="AD2100" s="960">
        <f t="array" ref="AD2100">HLOOKUP($J2100,'Type Chart'!$C$2:$T$20,11,false)*HLOOKUP($K2100,'Type Chart'!$C$2:$U$20,11,false)</f>
        <v>2</v>
      </c>
      <c r="AE2100" s="960">
        <f t="array" ref="AE2100">HLOOKUP($J2100,'Type Chart'!$C$2:$T$20,12,false)*HLOOKUP($K2100,'Type Chart'!$C$2:$U$20,12,false)</f>
        <v>1</v>
      </c>
      <c r="AF2100" s="960">
        <f t="array" ref="AF2100">HLOOKUP($J2100,'Type Chart'!$C$2:$T$20,13,false)*HLOOKUP($K2100,'Type Chart'!$C$2:$U$20,13,false)</f>
        <v>0.25</v>
      </c>
      <c r="AG2100" s="960">
        <f t="array" ref="AG2100">HLOOKUP($J2100,'Type Chart'!$C$2:$T$20,14,false)*HLOOKUP($K2100,'Type Chart'!$C$2:$U$20,14,false)</f>
        <v>2</v>
      </c>
      <c r="AH2100" s="960">
        <f t="array" ref="AH2100">HLOOKUP($J2100,'Type Chart'!$C$2:$T$20,15,false)*HLOOKUP($K2100,'Type Chart'!$C$2:$U$20,15,false)</f>
        <v>1</v>
      </c>
      <c r="AI2100" s="960">
        <f t="array" ref="AI2100">HLOOKUP($J2100,'Type Chart'!$C$2:$T$20,16,false)*HLOOKUP($K2100,'Type Chart'!$C$2:$U$20,16,false)</f>
        <v>2</v>
      </c>
      <c r="AJ2100" s="960">
        <f t="array" ref="AJ2100">HLOOKUP($J2100,'Type Chart'!$C$2:$T$20,17,false)*HLOOKUP($K2100,'Type Chart'!$C$2:$U$20,17,false)</f>
        <v>1</v>
      </c>
      <c r="AK2100" s="960">
        <f t="array" ref="AK2100">HLOOKUP($J2100,'Type Chart'!$C$2:$T$20,18,false)*HLOOKUP($K2100,'Type Chart'!$C$2:$U$20,18,false)</f>
        <v>1</v>
      </c>
      <c r="AL2100" s="960">
        <f t="array" ref="AL2100">HLOOKUP($J2100,'Type Chart'!$C$2:$T$20,19,false)*HLOOKUP($K2100,'Type Chart'!$C$2:$U$20,19,false)</f>
        <v>1</v>
      </c>
      <c r="AM2100" s="964" t="s">
        <v>987</v>
      </c>
      <c r="AN2100" s="965" t="s">
        <v>1002</v>
      </c>
      <c r="AO2100" s="966" t="s">
        <v>1167</v>
      </c>
      <c r="AP2100" s="936"/>
      <c r="AQ2100" s="1245"/>
      <c r="AR2100" s="1245"/>
      <c r="AS2100" s="936"/>
    </row>
    <row r="2101" ht="15.75" customHeight="1">
      <c r="A2101" s="1099"/>
      <c r="B2101" s="948" t="s">
        <v>3313</v>
      </c>
      <c r="C2101" s="1197" t="s">
        <v>3314</v>
      </c>
      <c r="D2101" s="1197" t="s">
        <v>3314</v>
      </c>
      <c r="E2101" s="1147" t="s">
        <v>3314</v>
      </c>
      <c r="F2101" s="940"/>
      <c r="G2101" s="953"/>
      <c r="H2101" s="969"/>
      <c r="I2101" s="998" t="s">
        <v>5201</v>
      </c>
      <c r="J2101" s="982" t="s">
        <v>150</v>
      </c>
      <c r="K2101" s="1194" t="s">
        <v>136</v>
      </c>
      <c r="L2101" s="959">
        <v>62.0</v>
      </c>
      <c r="M2101" s="960">
        <v>50.0</v>
      </c>
      <c r="N2101" s="960">
        <v>58.0</v>
      </c>
      <c r="O2101" s="960">
        <v>73.0</v>
      </c>
      <c r="P2101" s="960">
        <v>54.0</v>
      </c>
      <c r="Q2101" s="960">
        <v>72.0</v>
      </c>
      <c r="R2101" s="960">
        <v>180.0</v>
      </c>
      <c r="S2101" s="960">
        <v>243.0</v>
      </c>
      <c r="T2101" s="960">
        <v>267.0</v>
      </c>
      <c r="U2101" s="960">
        <f t="array" ref="U2101">HLOOKUP($J2101,'Type Chart'!$C$2:$T$20,2,false)*HLOOKUP($K2101,'Type Chart'!$C$2:$U$20,2,false)</f>
        <v>1</v>
      </c>
      <c r="V2101" s="960">
        <f t="array" ref="V2101">HLOOKUP($J2101,'Type Chart'!$C$2:$T$20,3,false)*HLOOKUP($K2101,'Type Chart'!$C$2:$U$20,3,false)</f>
        <v>2</v>
      </c>
      <c r="W2101" s="960">
        <f t="array" ref="W2101">HLOOKUP($J2101,'Type Chart'!$C$2:$T$20,4,false)*HLOOKUP($K2101,'Type Chart'!$C$2:$U$20,4,false)</f>
        <v>1</v>
      </c>
      <c r="X2101" s="960">
        <f t="array" ref="X2101">HLOOKUP($J2101,'Type Chart'!$C$2:$T$20,5,false)*HLOOKUP($K2101,'Type Chart'!$C$2:$U$20,5,false)</f>
        <v>1</v>
      </c>
      <c r="Y2101" s="960">
        <f t="array" ref="Y2101">HLOOKUP($J2101,'Type Chart'!$C$2:$T$20,6,false)*HLOOKUP($K2101,'Type Chart'!$C$2:$U$20,6,false)</f>
        <v>2</v>
      </c>
      <c r="Z2101" s="960">
        <f t="array" ref="Z2101">HLOOKUP($J2101,'Type Chart'!$C$2:$T$20,7,false)*HLOOKUP($K2101,'Type Chart'!$C$2:$U$20,7,false)</f>
        <v>2</v>
      </c>
      <c r="AA2101" s="960">
        <f t="array" ref="AA2101">HLOOKUP($J2101,'Type Chart'!$C$2:$T$20,8,false)*HLOOKUP($K2101,'Type Chart'!$C$2:$U$20,8,false)</f>
        <v>0.5</v>
      </c>
      <c r="AB2101" s="960">
        <f t="array" ref="AB2101">HLOOKUP($J2101,'Type Chart'!$C$2:$T$20,9,false)*HLOOKUP($K2101,'Type Chart'!$C$2:$U$20,9,false)</f>
        <v>0</v>
      </c>
      <c r="AC2101" s="960">
        <f t="array" ref="AC2101">HLOOKUP($J2101,'Type Chart'!$C$2:$T$20,10,false)*HLOOKUP($K2101,'Type Chart'!$C$2:$U$20,10,false)</f>
        <v>0.5</v>
      </c>
      <c r="AD2101" s="960">
        <f t="array" ref="AD2101">HLOOKUP($J2101,'Type Chart'!$C$2:$T$20,11,false)*HLOOKUP($K2101,'Type Chart'!$C$2:$U$20,11,false)</f>
        <v>0.5</v>
      </c>
      <c r="AE2101" s="960">
        <f t="array" ref="AE2101">HLOOKUP($J2101,'Type Chart'!$C$2:$T$20,12,false)*HLOOKUP($K2101,'Type Chart'!$C$2:$U$20,12,false)</f>
        <v>2</v>
      </c>
      <c r="AF2101" s="960">
        <f t="array" ref="AF2101">HLOOKUP($J2101,'Type Chart'!$C$2:$T$20,13,false)*HLOOKUP($K2101,'Type Chart'!$C$2:$U$20,13,false)</f>
        <v>0.5</v>
      </c>
      <c r="AG2101" s="960">
        <f t="array" ref="AG2101">HLOOKUP($J2101,'Type Chart'!$C$2:$T$20,14,false)*HLOOKUP($K2101,'Type Chart'!$C$2:$U$20,14,false)</f>
        <v>1</v>
      </c>
      <c r="AH2101" s="960">
        <f t="array" ref="AH2101">HLOOKUP($J2101,'Type Chart'!$C$2:$T$20,15,false)*HLOOKUP($K2101,'Type Chart'!$C$2:$U$20,15,false)</f>
        <v>1</v>
      </c>
      <c r="AI2101" s="960">
        <f t="array" ref="AI2101">HLOOKUP($J2101,'Type Chart'!$C$2:$T$20,16,false)*HLOOKUP($K2101,'Type Chart'!$C$2:$U$20,16,false)</f>
        <v>0.5</v>
      </c>
      <c r="AJ2101" s="960">
        <f t="array" ref="AJ2101">HLOOKUP($J2101,'Type Chart'!$C$2:$T$20,17,false)*HLOOKUP($K2101,'Type Chart'!$C$2:$U$20,17,false)</f>
        <v>1</v>
      </c>
      <c r="AK2101" s="960">
        <f t="array" ref="AK2101">HLOOKUP($J2101,'Type Chart'!$C$2:$T$20,18,false)*HLOOKUP($K2101,'Type Chart'!$C$2:$U$20,18,false)</f>
        <v>1</v>
      </c>
      <c r="AL2101" s="960">
        <f t="array" ref="AL2101">HLOOKUP($J2101,'Type Chart'!$C$2:$T$20,19,false)*HLOOKUP($K2101,'Type Chart'!$C$2:$U$20,19,false)</f>
        <v>0.5</v>
      </c>
      <c r="AM2101" s="964" t="s">
        <v>1147</v>
      </c>
      <c r="AN2101" s="965" t="s">
        <v>1062</v>
      </c>
      <c r="AO2101" s="966" t="s">
        <v>1577</v>
      </c>
      <c r="AP2101" s="936"/>
      <c r="AQ2101" s="1245"/>
      <c r="AR2101" s="1245"/>
      <c r="AS2101" s="936"/>
    </row>
    <row r="2102" ht="15.75" customHeight="1">
      <c r="A2102" s="1099"/>
      <c r="B2102" s="948" t="s">
        <v>3316</v>
      </c>
      <c r="C2102" s="1197" t="s">
        <v>3317</v>
      </c>
      <c r="D2102" s="1197" t="s">
        <v>3317</v>
      </c>
      <c r="E2102" s="1147" t="s">
        <v>3317</v>
      </c>
      <c r="F2102" s="940"/>
      <c r="G2102" s="953"/>
      <c r="H2102" s="969"/>
      <c r="I2102" s="998" t="s">
        <v>5202</v>
      </c>
      <c r="J2102" s="982" t="s">
        <v>150</v>
      </c>
      <c r="K2102" s="1194" t="s">
        <v>136</v>
      </c>
      <c r="L2102" s="959">
        <v>86.0</v>
      </c>
      <c r="M2102" s="960">
        <v>68.0</v>
      </c>
      <c r="N2102" s="960">
        <v>72.0</v>
      </c>
      <c r="O2102" s="960">
        <v>109.0</v>
      </c>
      <c r="P2102" s="960">
        <v>66.0</v>
      </c>
      <c r="Q2102" s="960">
        <v>106.0</v>
      </c>
      <c r="R2102" s="960">
        <v>248.0</v>
      </c>
      <c r="S2102" s="960">
        <v>311.0</v>
      </c>
      <c r="T2102" s="960">
        <v>342.0</v>
      </c>
      <c r="U2102" s="960">
        <f t="array" ref="U2102">HLOOKUP($J2102,'Type Chart'!$C$2:$T$20,2,false)*HLOOKUP($K2102,'Type Chart'!$C$2:$U$20,2,false)</f>
        <v>1</v>
      </c>
      <c r="V2102" s="960">
        <f t="array" ref="V2102">HLOOKUP($J2102,'Type Chart'!$C$2:$T$20,3,false)*HLOOKUP($K2102,'Type Chart'!$C$2:$U$20,3,false)</f>
        <v>2</v>
      </c>
      <c r="W2102" s="960">
        <f t="array" ref="W2102">HLOOKUP($J2102,'Type Chart'!$C$2:$T$20,4,false)*HLOOKUP($K2102,'Type Chart'!$C$2:$U$20,4,false)</f>
        <v>1</v>
      </c>
      <c r="X2102" s="960">
        <f t="array" ref="X2102">HLOOKUP($J2102,'Type Chart'!$C$2:$T$20,5,false)*HLOOKUP($K2102,'Type Chart'!$C$2:$U$20,5,false)</f>
        <v>1</v>
      </c>
      <c r="Y2102" s="960">
        <f t="array" ref="Y2102">HLOOKUP($J2102,'Type Chart'!$C$2:$T$20,6,false)*HLOOKUP($K2102,'Type Chart'!$C$2:$U$20,6,false)</f>
        <v>2</v>
      </c>
      <c r="Z2102" s="960">
        <f t="array" ref="Z2102">HLOOKUP($J2102,'Type Chart'!$C$2:$T$20,7,false)*HLOOKUP($K2102,'Type Chart'!$C$2:$U$20,7,false)</f>
        <v>2</v>
      </c>
      <c r="AA2102" s="960">
        <f t="array" ref="AA2102">HLOOKUP($J2102,'Type Chart'!$C$2:$T$20,8,false)*HLOOKUP($K2102,'Type Chart'!$C$2:$U$20,8,false)</f>
        <v>0.5</v>
      </c>
      <c r="AB2102" s="960">
        <f t="array" ref="AB2102">HLOOKUP($J2102,'Type Chart'!$C$2:$T$20,9,false)*HLOOKUP($K2102,'Type Chart'!$C$2:$U$20,9,false)</f>
        <v>0</v>
      </c>
      <c r="AC2102" s="960">
        <f t="array" ref="AC2102">HLOOKUP($J2102,'Type Chart'!$C$2:$T$20,10,false)*HLOOKUP($K2102,'Type Chart'!$C$2:$U$20,10,false)</f>
        <v>0.5</v>
      </c>
      <c r="AD2102" s="960">
        <f t="array" ref="AD2102">HLOOKUP($J2102,'Type Chart'!$C$2:$T$20,11,false)*HLOOKUP($K2102,'Type Chart'!$C$2:$U$20,11,false)</f>
        <v>0.5</v>
      </c>
      <c r="AE2102" s="960">
        <f t="array" ref="AE2102">HLOOKUP($J2102,'Type Chart'!$C$2:$T$20,12,false)*HLOOKUP($K2102,'Type Chart'!$C$2:$U$20,12,false)</f>
        <v>2</v>
      </c>
      <c r="AF2102" s="960">
        <f t="array" ref="AF2102">HLOOKUP($J2102,'Type Chart'!$C$2:$T$20,13,false)*HLOOKUP($K2102,'Type Chart'!$C$2:$U$20,13,false)</f>
        <v>0.5</v>
      </c>
      <c r="AG2102" s="960">
        <f t="array" ref="AG2102">HLOOKUP($J2102,'Type Chart'!$C$2:$T$20,14,false)*HLOOKUP($K2102,'Type Chart'!$C$2:$U$20,14,false)</f>
        <v>1</v>
      </c>
      <c r="AH2102" s="960">
        <f t="array" ref="AH2102">HLOOKUP($J2102,'Type Chart'!$C$2:$T$20,15,false)*HLOOKUP($K2102,'Type Chart'!$C$2:$U$20,15,false)</f>
        <v>1</v>
      </c>
      <c r="AI2102" s="960">
        <f t="array" ref="AI2102">HLOOKUP($J2102,'Type Chart'!$C$2:$T$20,16,false)*HLOOKUP($K2102,'Type Chart'!$C$2:$U$20,16,false)</f>
        <v>0.5</v>
      </c>
      <c r="AJ2102" s="960">
        <f t="array" ref="AJ2102">HLOOKUP($J2102,'Type Chart'!$C$2:$T$20,17,false)*HLOOKUP($K2102,'Type Chart'!$C$2:$U$20,17,false)</f>
        <v>1</v>
      </c>
      <c r="AK2102" s="960">
        <f t="array" ref="AK2102">HLOOKUP($J2102,'Type Chart'!$C$2:$T$20,18,false)*HLOOKUP($K2102,'Type Chart'!$C$2:$U$20,18,false)</f>
        <v>1</v>
      </c>
      <c r="AL2102" s="960">
        <f t="array" ref="AL2102">HLOOKUP($J2102,'Type Chart'!$C$2:$T$20,19,false)*HLOOKUP($K2102,'Type Chart'!$C$2:$U$20,19,false)</f>
        <v>0.5</v>
      </c>
      <c r="AM2102" s="964" t="s">
        <v>1147</v>
      </c>
      <c r="AN2102" s="965" t="s">
        <v>1062</v>
      </c>
      <c r="AO2102" s="966" t="s">
        <v>1577</v>
      </c>
      <c r="AP2102" s="936"/>
      <c r="AQ2102" s="1245"/>
      <c r="AR2102" s="1245"/>
      <c r="AS2102" s="936"/>
    </row>
    <row r="2103" ht="15.75" customHeight="1">
      <c r="A2103" s="1099"/>
      <c r="B2103" s="948" t="s">
        <v>3318</v>
      </c>
      <c r="C2103" s="1197" t="s">
        <v>3319</v>
      </c>
      <c r="D2103" s="1197" t="s">
        <v>3319</v>
      </c>
      <c r="E2103" s="1147" t="s">
        <v>3319</v>
      </c>
      <c r="F2103" s="940"/>
      <c r="G2103" s="953"/>
      <c r="H2103" s="969"/>
      <c r="I2103" s="998" t="s">
        <v>5203</v>
      </c>
      <c r="J2103" s="1207" t="s">
        <v>127</v>
      </c>
      <c r="K2103" s="984" t="s">
        <v>216</v>
      </c>
      <c r="L2103" s="959">
        <v>44.0</v>
      </c>
      <c r="M2103" s="960">
        <v>38.0</v>
      </c>
      <c r="N2103" s="960">
        <v>39.0</v>
      </c>
      <c r="O2103" s="960">
        <v>61.0</v>
      </c>
      <c r="P2103" s="960">
        <v>79.0</v>
      </c>
      <c r="Q2103" s="960">
        <v>42.0</v>
      </c>
      <c r="R2103" s="960">
        <v>120.0</v>
      </c>
      <c r="S2103" s="960">
        <v>183.0</v>
      </c>
      <c r="T2103" s="960">
        <v>201.0</v>
      </c>
      <c r="U2103" s="960">
        <f t="array" ref="U2103">HLOOKUP($J2103,'Type Chart'!$C$2:$T$20,2,false)*HLOOKUP($K2103,'Type Chart'!$C$2:$U$20,2,false)</f>
        <v>1</v>
      </c>
      <c r="V2103" s="960">
        <f t="array" ref="V2103">HLOOKUP($J2103,'Type Chart'!$C$2:$T$20,3,false)*HLOOKUP($K2103,'Type Chart'!$C$2:$U$20,3,false)</f>
        <v>0.5</v>
      </c>
      <c r="W2103" s="960">
        <f t="array" ref="W2103">HLOOKUP($J2103,'Type Chart'!$C$2:$T$20,4,false)*HLOOKUP($K2103,'Type Chart'!$C$2:$U$20,4,false)</f>
        <v>1</v>
      </c>
      <c r="X2103" s="960">
        <f t="array" ref="X2103">HLOOKUP($J2103,'Type Chart'!$C$2:$T$20,5,false)*HLOOKUP($K2103,'Type Chart'!$C$2:$U$20,5,false)</f>
        <v>2</v>
      </c>
      <c r="Y2103" s="960">
        <f t="array" ref="Y2103">HLOOKUP($J2103,'Type Chart'!$C$2:$T$20,6,false)*HLOOKUP($K2103,'Type Chart'!$C$2:$U$20,6,false)</f>
        <v>1</v>
      </c>
      <c r="Z2103" s="960">
        <f t="array" ref="Z2103">HLOOKUP($J2103,'Type Chart'!$C$2:$T$20,7,false)*HLOOKUP($K2103,'Type Chart'!$C$2:$U$20,7,false)</f>
        <v>1</v>
      </c>
      <c r="AA2103" s="960">
        <f t="array" ref="AA2103">HLOOKUP($J2103,'Type Chart'!$C$2:$T$20,8,false)*HLOOKUP($K2103,'Type Chart'!$C$2:$U$20,8,false)</f>
        <v>0.5</v>
      </c>
      <c r="AB2103" s="960">
        <f t="array" ref="AB2103">HLOOKUP($J2103,'Type Chart'!$C$2:$T$20,9,false)*HLOOKUP($K2103,'Type Chart'!$C$2:$U$20,9,false)</f>
        <v>1</v>
      </c>
      <c r="AC2103" s="960">
        <f t="array" ref="AC2103">HLOOKUP($J2103,'Type Chart'!$C$2:$T$20,10,false)*HLOOKUP($K2103,'Type Chart'!$C$2:$U$20,10,false)</f>
        <v>2</v>
      </c>
      <c r="AD2103" s="960">
        <f t="array" ref="AD2103">HLOOKUP($J2103,'Type Chart'!$C$2:$T$20,11,false)*HLOOKUP($K2103,'Type Chart'!$C$2:$U$20,11,false)</f>
        <v>1</v>
      </c>
      <c r="AE2103" s="960">
        <f t="array" ref="AE2103">HLOOKUP($J2103,'Type Chart'!$C$2:$T$20,12,false)*HLOOKUP($K2103,'Type Chart'!$C$2:$U$20,12,false)</f>
        <v>1</v>
      </c>
      <c r="AF2103" s="960">
        <f t="array" ref="AF2103">HLOOKUP($J2103,'Type Chart'!$C$2:$T$20,13,false)*HLOOKUP($K2103,'Type Chart'!$C$2:$U$20,13,false)</f>
        <v>1</v>
      </c>
      <c r="AG2103" s="960">
        <f t="array" ref="AG2103">HLOOKUP($J2103,'Type Chart'!$C$2:$T$20,14,false)*HLOOKUP($K2103,'Type Chart'!$C$2:$U$20,14,false)</f>
        <v>1</v>
      </c>
      <c r="AH2103" s="960">
        <f t="array" ref="AH2103">HLOOKUP($J2103,'Type Chart'!$C$2:$T$20,15,false)*HLOOKUP($K2103,'Type Chart'!$C$2:$U$20,15,false)</f>
        <v>1</v>
      </c>
      <c r="AI2103" s="960">
        <f t="array" ref="AI2103">HLOOKUP($J2103,'Type Chart'!$C$2:$T$20,16,false)*HLOOKUP($K2103,'Type Chart'!$C$2:$U$20,16,false)</f>
        <v>1</v>
      </c>
      <c r="AJ2103" s="960">
        <f t="array" ref="AJ2103">HLOOKUP($J2103,'Type Chart'!$C$2:$T$20,17,false)*HLOOKUP($K2103,'Type Chart'!$C$2:$U$20,17,false)</f>
        <v>0</v>
      </c>
      <c r="AK2103" s="960">
        <f t="array" ref="AK2103">HLOOKUP($J2103,'Type Chart'!$C$2:$T$20,18,false)*HLOOKUP($K2103,'Type Chart'!$C$2:$U$20,18,false)</f>
        <v>0.5</v>
      </c>
      <c r="AL2103" s="960">
        <f t="array" ref="AL2103">HLOOKUP($J2103,'Type Chart'!$C$2:$T$20,19,false)*HLOOKUP($K2103,'Type Chart'!$C$2:$U$20,19,false)</f>
        <v>1</v>
      </c>
      <c r="AM2103" s="964" t="s">
        <v>3321</v>
      </c>
      <c r="AN2103" s="965"/>
      <c r="AO2103" s="966" t="s">
        <v>3322</v>
      </c>
      <c r="AP2103" s="936"/>
      <c r="AQ2103" s="1245"/>
      <c r="AR2103" s="1245"/>
      <c r="AS2103" s="936"/>
    </row>
    <row r="2104" ht="15.75" customHeight="1">
      <c r="A2104" s="1099"/>
      <c r="B2104" s="948" t="s">
        <v>3323</v>
      </c>
      <c r="C2104" s="1197" t="s">
        <v>3324</v>
      </c>
      <c r="D2104" s="1197" t="s">
        <v>3324</v>
      </c>
      <c r="E2104" s="1147" t="s">
        <v>3324</v>
      </c>
      <c r="F2104" s="940"/>
      <c r="G2104" s="953"/>
      <c r="H2104" s="969"/>
      <c r="I2104" s="998" t="s">
        <v>5204</v>
      </c>
      <c r="J2104" s="1207" t="s">
        <v>127</v>
      </c>
      <c r="K2104" s="984" t="s">
        <v>216</v>
      </c>
      <c r="L2104" s="959">
        <v>54.0</v>
      </c>
      <c r="M2104" s="960">
        <v>45.0</v>
      </c>
      <c r="N2104" s="960">
        <v>47.0</v>
      </c>
      <c r="O2104" s="960">
        <v>75.0</v>
      </c>
      <c r="P2104" s="960">
        <v>98.0</v>
      </c>
      <c r="Q2104" s="960">
        <v>52.0</v>
      </c>
      <c r="R2104" s="960">
        <v>140.0</v>
      </c>
      <c r="S2104" s="960">
        <v>203.0</v>
      </c>
      <c r="T2104" s="960">
        <v>223.0</v>
      </c>
      <c r="U2104" s="960">
        <f t="array" ref="U2104">HLOOKUP($J2104,'Type Chart'!$C$2:$T$20,2,false)*HLOOKUP($K2104,'Type Chart'!$C$2:$U$20,2,false)</f>
        <v>1</v>
      </c>
      <c r="V2104" s="960">
        <f t="array" ref="V2104">HLOOKUP($J2104,'Type Chart'!$C$2:$T$20,3,false)*HLOOKUP($K2104,'Type Chart'!$C$2:$U$20,3,false)</f>
        <v>0.5</v>
      </c>
      <c r="W2104" s="960">
        <f t="array" ref="W2104">HLOOKUP($J2104,'Type Chart'!$C$2:$T$20,4,false)*HLOOKUP($K2104,'Type Chart'!$C$2:$U$20,4,false)</f>
        <v>1</v>
      </c>
      <c r="X2104" s="960">
        <f t="array" ref="X2104">HLOOKUP($J2104,'Type Chart'!$C$2:$T$20,5,false)*HLOOKUP($K2104,'Type Chart'!$C$2:$U$20,5,false)</f>
        <v>2</v>
      </c>
      <c r="Y2104" s="960">
        <f t="array" ref="Y2104">HLOOKUP($J2104,'Type Chart'!$C$2:$T$20,6,false)*HLOOKUP($K2104,'Type Chart'!$C$2:$U$20,6,false)</f>
        <v>1</v>
      </c>
      <c r="Z2104" s="960">
        <f t="array" ref="Z2104">HLOOKUP($J2104,'Type Chart'!$C$2:$T$20,7,false)*HLOOKUP($K2104,'Type Chart'!$C$2:$U$20,7,false)</f>
        <v>1</v>
      </c>
      <c r="AA2104" s="960">
        <f t="array" ref="AA2104">HLOOKUP($J2104,'Type Chart'!$C$2:$T$20,8,false)*HLOOKUP($K2104,'Type Chart'!$C$2:$U$20,8,false)</f>
        <v>0.5</v>
      </c>
      <c r="AB2104" s="960">
        <f t="array" ref="AB2104">HLOOKUP($J2104,'Type Chart'!$C$2:$T$20,9,false)*HLOOKUP($K2104,'Type Chart'!$C$2:$U$20,9,false)</f>
        <v>1</v>
      </c>
      <c r="AC2104" s="960">
        <f t="array" ref="AC2104">HLOOKUP($J2104,'Type Chart'!$C$2:$T$20,10,false)*HLOOKUP($K2104,'Type Chart'!$C$2:$U$20,10,false)</f>
        <v>2</v>
      </c>
      <c r="AD2104" s="960">
        <f t="array" ref="AD2104">HLOOKUP($J2104,'Type Chart'!$C$2:$T$20,11,false)*HLOOKUP($K2104,'Type Chart'!$C$2:$U$20,11,false)</f>
        <v>1</v>
      </c>
      <c r="AE2104" s="960">
        <f t="array" ref="AE2104">HLOOKUP($J2104,'Type Chart'!$C$2:$T$20,12,false)*HLOOKUP($K2104,'Type Chart'!$C$2:$U$20,12,false)</f>
        <v>1</v>
      </c>
      <c r="AF2104" s="960">
        <f t="array" ref="AF2104">HLOOKUP($J2104,'Type Chart'!$C$2:$T$20,13,false)*HLOOKUP($K2104,'Type Chart'!$C$2:$U$20,13,false)</f>
        <v>1</v>
      </c>
      <c r="AG2104" s="960">
        <f t="array" ref="AG2104">HLOOKUP($J2104,'Type Chart'!$C$2:$T$20,14,false)*HLOOKUP($K2104,'Type Chart'!$C$2:$U$20,14,false)</f>
        <v>1</v>
      </c>
      <c r="AH2104" s="960">
        <f t="array" ref="AH2104">HLOOKUP($J2104,'Type Chart'!$C$2:$T$20,15,false)*HLOOKUP($K2104,'Type Chart'!$C$2:$U$20,15,false)</f>
        <v>1</v>
      </c>
      <c r="AI2104" s="960">
        <f t="array" ref="AI2104">HLOOKUP($J2104,'Type Chart'!$C$2:$T$20,16,false)*HLOOKUP($K2104,'Type Chart'!$C$2:$U$20,16,false)</f>
        <v>1</v>
      </c>
      <c r="AJ2104" s="960">
        <f t="array" ref="AJ2104">HLOOKUP($J2104,'Type Chart'!$C$2:$T$20,17,false)*HLOOKUP($K2104,'Type Chart'!$C$2:$U$20,17,false)</f>
        <v>0</v>
      </c>
      <c r="AK2104" s="960">
        <f t="array" ref="AK2104">HLOOKUP($J2104,'Type Chart'!$C$2:$T$20,18,false)*HLOOKUP($K2104,'Type Chart'!$C$2:$U$20,18,false)</f>
        <v>0.5</v>
      </c>
      <c r="AL2104" s="960">
        <f t="array" ref="AL2104">HLOOKUP($J2104,'Type Chart'!$C$2:$T$20,19,false)*HLOOKUP($K2104,'Type Chart'!$C$2:$U$20,19,false)</f>
        <v>1</v>
      </c>
      <c r="AM2104" s="964" t="s">
        <v>3321</v>
      </c>
      <c r="AN2104" s="965"/>
      <c r="AO2104" s="966" t="s">
        <v>3322</v>
      </c>
      <c r="AP2104" s="936"/>
      <c r="AQ2104" s="1245"/>
      <c r="AR2104" s="1245"/>
      <c r="AS2104" s="936"/>
    </row>
    <row r="2105" ht="15.75" customHeight="1">
      <c r="A2105" s="1099"/>
      <c r="B2105" s="948" t="s">
        <v>3326</v>
      </c>
      <c r="C2105" s="1197" t="s">
        <v>3327</v>
      </c>
      <c r="D2105" s="1197" t="s">
        <v>3327</v>
      </c>
      <c r="E2105" s="1147" t="s">
        <v>3327</v>
      </c>
      <c r="F2105" s="940"/>
      <c r="G2105" s="953"/>
      <c r="H2105" s="969"/>
      <c r="I2105" s="998" t="s">
        <v>5205</v>
      </c>
      <c r="J2105" s="1207" t="s">
        <v>127</v>
      </c>
      <c r="K2105" s="984" t="s">
        <v>216</v>
      </c>
      <c r="L2105" s="959">
        <v>74.0</v>
      </c>
      <c r="M2105" s="960">
        <v>65.0</v>
      </c>
      <c r="N2105" s="960">
        <v>67.0</v>
      </c>
      <c r="O2105" s="960">
        <v>125.0</v>
      </c>
      <c r="P2105" s="960">
        <v>128.0</v>
      </c>
      <c r="Q2105" s="960">
        <v>92.0</v>
      </c>
      <c r="R2105" s="960">
        <v>220.0</v>
      </c>
      <c r="S2105" s="960">
        <v>283.0</v>
      </c>
      <c r="T2105" s="960">
        <v>311.0</v>
      </c>
      <c r="U2105" s="960">
        <f t="array" ref="U2105">HLOOKUP($J2105,'Type Chart'!$C$2:$T$20,2,false)*HLOOKUP($K2105,'Type Chart'!$C$2:$U$20,2,false)</f>
        <v>1</v>
      </c>
      <c r="V2105" s="960">
        <f t="array" ref="V2105">HLOOKUP($J2105,'Type Chart'!$C$2:$T$20,3,false)*HLOOKUP($K2105,'Type Chart'!$C$2:$U$20,3,false)</f>
        <v>0.5</v>
      </c>
      <c r="W2105" s="960">
        <f t="array" ref="W2105">HLOOKUP($J2105,'Type Chart'!$C$2:$T$20,4,false)*HLOOKUP($K2105,'Type Chart'!$C$2:$U$20,4,false)</f>
        <v>1</v>
      </c>
      <c r="X2105" s="960">
        <f t="array" ref="X2105">HLOOKUP($J2105,'Type Chart'!$C$2:$T$20,5,false)*HLOOKUP($K2105,'Type Chart'!$C$2:$U$20,5,false)</f>
        <v>2</v>
      </c>
      <c r="Y2105" s="960">
        <f t="array" ref="Y2105">HLOOKUP($J2105,'Type Chart'!$C$2:$T$20,6,false)*HLOOKUP($K2105,'Type Chart'!$C$2:$U$20,6,false)</f>
        <v>1</v>
      </c>
      <c r="Z2105" s="960">
        <f t="array" ref="Z2105">HLOOKUP($J2105,'Type Chart'!$C$2:$T$20,7,false)*HLOOKUP($K2105,'Type Chart'!$C$2:$U$20,7,false)</f>
        <v>1</v>
      </c>
      <c r="AA2105" s="960">
        <f t="array" ref="AA2105">HLOOKUP($J2105,'Type Chart'!$C$2:$T$20,8,false)*HLOOKUP($K2105,'Type Chart'!$C$2:$U$20,8,false)</f>
        <v>0.5</v>
      </c>
      <c r="AB2105" s="960">
        <f t="array" ref="AB2105">HLOOKUP($J2105,'Type Chart'!$C$2:$T$20,9,false)*HLOOKUP($K2105,'Type Chart'!$C$2:$U$20,9,false)</f>
        <v>1</v>
      </c>
      <c r="AC2105" s="960">
        <f t="array" ref="AC2105">HLOOKUP($J2105,'Type Chart'!$C$2:$T$20,10,false)*HLOOKUP($K2105,'Type Chart'!$C$2:$U$20,10,false)</f>
        <v>2</v>
      </c>
      <c r="AD2105" s="960">
        <f t="array" ref="AD2105">HLOOKUP($J2105,'Type Chart'!$C$2:$T$20,11,false)*HLOOKUP($K2105,'Type Chart'!$C$2:$U$20,11,false)</f>
        <v>1</v>
      </c>
      <c r="AE2105" s="960">
        <f t="array" ref="AE2105">HLOOKUP($J2105,'Type Chart'!$C$2:$T$20,12,false)*HLOOKUP($K2105,'Type Chart'!$C$2:$U$20,12,false)</f>
        <v>1</v>
      </c>
      <c r="AF2105" s="960">
        <f t="array" ref="AF2105">HLOOKUP($J2105,'Type Chart'!$C$2:$T$20,13,false)*HLOOKUP($K2105,'Type Chart'!$C$2:$U$20,13,false)</f>
        <v>1</v>
      </c>
      <c r="AG2105" s="960">
        <f t="array" ref="AG2105">HLOOKUP($J2105,'Type Chart'!$C$2:$T$20,14,false)*HLOOKUP($K2105,'Type Chart'!$C$2:$U$20,14,false)</f>
        <v>1</v>
      </c>
      <c r="AH2105" s="960">
        <f t="array" ref="AH2105">HLOOKUP($J2105,'Type Chart'!$C$2:$T$20,15,false)*HLOOKUP($K2105,'Type Chart'!$C$2:$U$20,15,false)</f>
        <v>1</v>
      </c>
      <c r="AI2105" s="960">
        <f t="array" ref="AI2105">HLOOKUP($J2105,'Type Chart'!$C$2:$T$20,16,false)*HLOOKUP($K2105,'Type Chart'!$C$2:$U$20,16,false)</f>
        <v>1</v>
      </c>
      <c r="AJ2105" s="960">
        <f t="array" ref="AJ2105">HLOOKUP($J2105,'Type Chart'!$C$2:$T$20,17,false)*HLOOKUP($K2105,'Type Chart'!$C$2:$U$20,17,false)</f>
        <v>0</v>
      </c>
      <c r="AK2105" s="960">
        <f t="array" ref="AK2105">HLOOKUP($J2105,'Type Chart'!$C$2:$T$20,18,false)*HLOOKUP($K2105,'Type Chart'!$C$2:$U$20,18,false)</f>
        <v>0.5</v>
      </c>
      <c r="AL2105" s="960">
        <f t="array" ref="AL2105">HLOOKUP($J2105,'Type Chart'!$C$2:$T$20,19,false)*HLOOKUP($K2105,'Type Chart'!$C$2:$U$20,19,false)</f>
        <v>1</v>
      </c>
      <c r="AM2105" s="964" t="s">
        <v>3321</v>
      </c>
      <c r="AN2105" s="965"/>
      <c r="AO2105" s="966"/>
      <c r="AP2105" s="936"/>
      <c r="AQ2105" s="1245"/>
      <c r="AR2105" s="1245"/>
      <c r="AS2105" s="936"/>
    </row>
    <row r="2106" ht="15.75" customHeight="1">
      <c r="A2106" s="1099"/>
      <c r="B2106" s="948" t="s">
        <v>3329</v>
      </c>
      <c r="C2106" s="1197" t="s">
        <v>3330</v>
      </c>
      <c r="D2106" s="1197" t="s">
        <v>3330</v>
      </c>
      <c r="E2106" s="1147" t="s">
        <v>3330</v>
      </c>
      <c r="F2106" s="940"/>
      <c r="G2106" s="953"/>
      <c r="H2106" s="969"/>
      <c r="I2106" s="998" t="s">
        <v>5206</v>
      </c>
      <c r="J2106" s="1207" t="s">
        <v>127</v>
      </c>
      <c r="K2106" s="984" t="s">
        <v>216</v>
      </c>
      <c r="L2106" s="959">
        <v>78.0</v>
      </c>
      <c r="M2106" s="960">
        <v>65.0</v>
      </c>
      <c r="N2106" s="960">
        <v>68.0</v>
      </c>
      <c r="O2106" s="960">
        <v>112.0</v>
      </c>
      <c r="P2106" s="960">
        <v>154.0</v>
      </c>
      <c r="Q2106" s="960">
        <v>75.0</v>
      </c>
      <c r="R2106" s="960">
        <v>186.0</v>
      </c>
      <c r="S2106" s="960">
        <v>249.0</v>
      </c>
      <c r="T2106" s="960">
        <v>273.0</v>
      </c>
      <c r="U2106" s="960">
        <f t="array" ref="U2106">HLOOKUP($J2106,'Type Chart'!$C$2:$T$20,2,false)*HLOOKUP($K2106,'Type Chart'!$C$2:$U$20,2,false)</f>
        <v>1</v>
      </c>
      <c r="V2106" s="960">
        <f t="array" ref="V2106">HLOOKUP($J2106,'Type Chart'!$C$2:$T$20,3,false)*HLOOKUP($K2106,'Type Chart'!$C$2:$U$20,3,false)</f>
        <v>0.5</v>
      </c>
      <c r="W2106" s="960">
        <f t="array" ref="W2106">HLOOKUP($J2106,'Type Chart'!$C$2:$T$20,4,false)*HLOOKUP($K2106,'Type Chart'!$C$2:$U$20,4,false)</f>
        <v>1</v>
      </c>
      <c r="X2106" s="960">
        <f t="array" ref="X2106">HLOOKUP($J2106,'Type Chart'!$C$2:$T$20,5,false)*HLOOKUP($K2106,'Type Chart'!$C$2:$U$20,5,false)</f>
        <v>2</v>
      </c>
      <c r="Y2106" s="960">
        <f t="array" ref="Y2106">HLOOKUP($J2106,'Type Chart'!$C$2:$T$20,6,false)*HLOOKUP($K2106,'Type Chart'!$C$2:$U$20,6,false)</f>
        <v>1</v>
      </c>
      <c r="Z2106" s="960">
        <f t="array" ref="Z2106">HLOOKUP($J2106,'Type Chart'!$C$2:$T$20,7,false)*HLOOKUP($K2106,'Type Chart'!$C$2:$U$20,7,false)</f>
        <v>1</v>
      </c>
      <c r="AA2106" s="960">
        <f t="array" ref="AA2106">HLOOKUP($J2106,'Type Chart'!$C$2:$T$20,8,false)*HLOOKUP($K2106,'Type Chart'!$C$2:$U$20,8,false)</f>
        <v>0.5</v>
      </c>
      <c r="AB2106" s="960">
        <f t="array" ref="AB2106">HLOOKUP($J2106,'Type Chart'!$C$2:$T$20,9,false)*HLOOKUP($K2106,'Type Chart'!$C$2:$U$20,9,false)</f>
        <v>1</v>
      </c>
      <c r="AC2106" s="960">
        <f t="array" ref="AC2106">HLOOKUP($J2106,'Type Chart'!$C$2:$T$20,10,false)*HLOOKUP($K2106,'Type Chart'!$C$2:$U$20,10,false)</f>
        <v>2</v>
      </c>
      <c r="AD2106" s="960">
        <f t="array" ref="AD2106">HLOOKUP($J2106,'Type Chart'!$C$2:$T$20,11,false)*HLOOKUP($K2106,'Type Chart'!$C$2:$U$20,11,false)</f>
        <v>1</v>
      </c>
      <c r="AE2106" s="960">
        <f t="array" ref="AE2106">HLOOKUP($J2106,'Type Chart'!$C$2:$T$20,12,false)*HLOOKUP($K2106,'Type Chart'!$C$2:$U$20,12,false)</f>
        <v>1</v>
      </c>
      <c r="AF2106" s="960">
        <f t="array" ref="AF2106">HLOOKUP($J2106,'Type Chart'!$C$2:$T$20,13,false)*HLOOKUP($K2106,'Type Chart'!$C$2:$U$20,13,false)</f>
        <v>1</v>
      </c>
      <c r="AG2106" s="960">
        <f t="array" ref="AG2106">HLOOKUP($J2106,'Type Chart'!$C$2:$T$20,14,false)*HLOOKUP($K2106,'Type Chart'!$C$2:$U$20,14,false)</f>
        <v>1</v>
      </c>
      <c r="AH2106" s="960">
        <f t="array" ref="AH2106">HLOOKUP($J2106,'Type Chart'!$C$2:$T$20,15,false)*HLOOKUP($K2106,'Type Chart'!$C$2:$U$20,15,false)</f>
        <v>1</v>
      </c>
      <c r="AI2106" s="960">
        <f t="array" ref="AI2106">HLOOKUP($J2106,'Type Chart'!$C$2:$T$20,16,false)*HLOOKUP($K2106,'Type Chart'!$C$2:$U$20,16,false)</f>
        <v>1</v>
      </c>
      <c r="AJ2106" s="960">
        <f t="array" ref="AJ2106">HLOOKUP($J2106,'Type Chart'!$C$2:$T$20,17,false)*HLOOKUP($K2106,'Type Chart'!$C$2:$U$20,17,false)</f>
        <v>0</v>
      </c>
      <c r="AK2106" s="960">
        <f t="array" ref="AK2106">HLOOKUP($J2106,'Type Chart'!$C$2:$T$20,18,false)*HLOOKUP($K2106,'Type Chart'!$C$2:$U$20,18,false)</f>
        <v>0.5</v>
      </c>
      <c r="AL2106" s="960">
        <f t="array" ref="AL2106">HLOOKUP($J2106,'Type Chart'!$C$2:$T$20,19,false)*HLOOKUP($K2106,'Type Chart'!$C$2:$U$20,19,false)</f>
        <v>1</v>
      </c>
      <c r="AM2106" s="964" t="s">
        <v>3321</v>
      </c>
      <c r="AN2106" s="965"/>
      <c r="AO2106" s="966" t="s">
        <v>3322</v>
      </c>
      <c r="AP2106" s="936"/>
      <c r="AQ2106" s="1245"/>
      <c r="AR2106" s="1245"/>
      <c r="AS2106" s="936"/>
    </row>
    <row r="2107" ht="15.75" customHeight="1">
      <c r="A2107" s="1099"/>
      <c r="B2107" s="948" t="s">
        <v>3331</v>
      </c>
      <c r="C2107" s="1197" t="s">
        <v>3332</v>
      </c>
      <c r="D2107" s="1197" t="s">
        <v>3332</v>
      </c>
      <c r="E2107" s="1147" t="s">
        <v>3332</v>
      </c>
      <c r="F2107" s="940"/>
      <c r="G2107" s="953"/>
      <c r="H2107" s="969"/>
      <c r="I2107" s="998" t="s">
        <v>5207</v>
      </c>
      <c r="J2107" s="957" t="s">
        <v>209</v>
      </c>
      <c r="K2107" s="984" t="s">
        <v>216</v>
      </c>
      <c r="L2107" s="959">
        <v>66.0</v>
      </c>
      <c r="M2107" s="960">
        <v>65.0</v>
      </c>
      <c r="N2107" s="960">
        <v>48.0</v>
      </c>
      <c r="O2107" s="960">
        <v>62.0</v>
      </c>
      <c r="P2107" s="960">
        <v>57.0</v>
      </c>
      <c r="Q2107" s="960">
        <v>52.0</v>
      </c>
      <c r="R2107" s="960">
        <v>140.0</v>
      </c>
      <c r="S2107" s="960">
        <v>203.0</v>
      </c>
      <c r="T2107" s="960">
        <v>223.0</v>
      </c>
      <c r="U2107" s="960">
        <f t="array" ref="U2107">HLOOKUP($J2107,'Type Chart'!$C$2:$T$20,2,false)*HLOOKUP($K2107,'Type Chart'!$C$2:$U$20,2,false)</f>
        <v>1</v>
      </c>
      <c r="V2107" s="960">
        <f t="array" ref="V2107">HLOOKUP($J2107,'Type Chart'!$C$2:$T$20,3,false)*HLOOKUP($K2107,'Type Chart'!$C$2:$U$20,3,false)</f>
        <v>1</v>
      </c>
      <c r="W2107" s="960">
        <f t="array" ref="W2107">HLOOKUP($J2107,'Type Chart'!$C$2:$T$20,4,false)*HLOOKUP($K2107,'Type Chart'!$C$2:$U$20,4,false)</f>
        <v>2</v>
      </c>
      <c r="X2107" s="960">
        <f t="array" ref="X2107">HLOOKUP($J2107,'Type Chart'!$C$2:$T$20,5,false)*HLOOKUP($K2107,'Type Chart'!$C$2:$U$20,5,false)</f>
        <v>2</v>
      </c>
      <c r="Y2107" s="960">
        <f t="array" ref="Y2107">HLOOKUP($J2107,'Type Chart'!$C$2:$T$20,6,false)*HLOOKUP($K2107,'Type Chart'!$C$2:$U$20,6,false)</f>
        <v>0.5</v>
      </c>
      <c r="Z2107" s="960">
        <f t="array" ref="Z2107">HLOOKUP($J2107,'Type Chart'!$C$2:$T$20,7,false)*HLOOKUP($K2107,'Type Chart'!$C$2:$U$20,7,false)</f>
        <v>1</v>
      </c>
      <c r="AA2107" s="960">
        <f t="array" ref="AA2107">HLOOKUP($J2107,'Type Chart'!$C$2:$T$20,8,false)*HLOOKUP($K2107,'Type Chart'!$C$2:$U$20,8,false)</f>
        <v>2</v>
      </c>
      <c r="AB2107" s="960">
        <f t="array" ref="AB2107">HLOOKUP($J2107,'Type Chart'!$C$2:$T$20,9,false)*HLOOKUP($K2107,'Type Chart'!$C$2:$U$20,9,false)</f>
        <v>1</v>
      </c>
      <c r="AC2107" s="960">
        <f t="array" ref="AC2107">HLOOKUP($J2107,'Type Chart'!$C$2:$T$20,10,false)*HLOOKUP($K2107,'Type Chart'!$C$2:$U$20,10,false)</f>
        <v>1</v>
      </c>
      <c r="AD2107" s="960">
        <f t="array" ref="AD2107">HLOOKUP($J2107,'Type Chart'!$C$2:$T$20,11,false)*HLOOKUP($K2107,'Type Chart'!$C$2:$U$20,11,false)</f>
        <v>2</v>
      </c>
      <c r="AE2107" s="960">
        <f t="array" ref="AE2107">HLOOKUP($J2107,'Type Chart'!$C$2:$T$20,12,false)*HLOOKUP($K2107,'Type Chart'!$C$2:$U$20,12,false)</f>
        <v>0.5</v>
      </c>
      <c r="AF2107" s="960">
        <f t="array" ref="AF2107">HLOOKUP($J2107,'Type Chart'!$C$2:$T$20,13,false)*HLOOKUP($K2107,'Type Chart'!$C$2:$U$20,13,false)</f>
        <v>0.5</v>
      </c>
      <c r="AG2107" s="960">
        <f t="array" ref="AG2107">HLOOKUP($J2107,'Type Chart'!$C$2:$T$20,14,false)*HLOOKUP($K2107,'Type Chart'!$C$2:$U$20,14,false)</f>
        <v>0.5</v>
      </c>
      <c r="AH2107" s="960">
        <f t="array" ref="AH2107">HLOOKUP($J2107,'Type Chart'!$C$2:$T$20,15,false)*HLOOKUP($K2107,'Type Chart'!$C$2:$U$20,15,false)</f>
        <v>1</v>
      </c>
      <c r="AI2107" s="960">
        <f t="array" ref="AI2107">HLOOKUP($J2107,'Type Chart'!$C$2:$T$20,16,false)*HLOOKUP($K2107,'Type Chart'!$C$2:$U$20,16,false)</f>
        <v>2</v>
      </c>
      <c r="AJ2107" s="960">
        <f t="array" ref="AJ2107">HLOOKUP($J2107,'Type Chart'!$C$2:$T$20,17,false)*HLOOKUP($K2107,'Type Chart'!$C$2:$U$20,17,false)</f>
        <v>1</v>
      </c>
      <c r="AK2107" s="960">
        <f t="array" ref="AK2107">HLOOKUP($J2107,'Type Chart'!$C$2:$T$20,18,false)*HLOOKUP($K2107,'Type Chart'!$C$2:$U$20,18,false)</f>
        <v>1</v>
      </c>
      <c r="AL2107" s="960">
        <f t="array" ref="AL2107">HLOOKUP($J2107,'Type Chart'!$C$2:$T$20,19,false)*HLOOKUP($K2107,'Type Chart'!$C$2:$U$20,19,false)</f>
        <v>1</v>
      </c>
      <c r="AM2107" s="1145" t="s">
        <v>1772</v>
      </c>
      <c r="AN2107" s="965"/>
      <c r="AO2107" s="1146" t="s">
        <v>3334</v>
      </c>
      <c r="AP2107" s="936"/>
      <c r="AQ2107" s="1245"/>
      <c r="AR2107" s="1245"/>
      <c r="AS2107" s="936"/>
    </row>
    <row r="2108" ht="15.75" customHeight="1">
      <c r="A2108" s="1099"/>
      <c r="B2108" s="948" t="s">
        <v>3335</v>
      </c>
      <c r="C2108" s="1197" t="s">
        <v>3336</v>
      </c>
      <c r="D2108" s="1197" t="s">
        <v>3336</v>
      </c>
      <c r="E2108" s="1147" t="s">
        <v>3336</v>
      </c>
      <c r="F2108" s="940"/>
      <c r="G2108" s="953"/>
      <c r="H2108" s="969"/>
      <c r="I2108" s="998" t="s">
        <v>5208</v>
      </c>
      <c r="J2108" s="957" t="s">
        <v>209</v>
      </c>
      <c r="K2108" s="984" t="s">
        <v>216</v>
      </c>
      <c r="L2108" s="959">
        <v>123.0</v>
      </c>
      <c r="M2108" s="960">
        <v>100.0</v>
      </c>
      <c r="N2108" s="960">
        <v>62.0</v>
      </c>
      <c r="O2108" s="960">
        <v>97.0</v>
      </c>
      <c r="P2108" s="960">
        <v>81.0</v>
      </c>
      <c r="Q2108" s="960">
        <v>68.0</v>
      </c>
      <c r="R2108" s="960">
        <v>172.0</v>
      </c>
      <c r="S2108" s="960">
        <v>235.0</v>
      </c>
      <c r="T2108" s="960">
        <v>258.0</v>
      </c>
      <c r="U2108" s="960">
        <f t="array" ref="U2108">HLOOKUP($J2108,'Type Chart'!$C$2:$T$20,2,false)*HLOOKUP($K2108,'Type Chart'!$C$2:$U$20,2,false)</f>
        <v>1</v>
      </c>
      <c r="V2108" s="960">
        <f t="array" ref="V2108">HLOOKUP($J2108,'Type Chart'!$C$2:$T$20,3,false)*HLOOKUP($K2108,'Type Chart'!$C$2:$U$20,3,false)</f>
        <v>1</v>
      </c>
      <c r="W2108" s="960">
        <f t="array" ref="W2108">HLOOKUP($J2108,'Type Chart'!$C$2:$T$20,4,false)*HLOOKUP($K2108,'Type Chart'!$C$2:$U$20,4,false)</f>
        <v>2</v>
      </c>
      <c r="X2108" s="960">
        <f t="array" ref="X2108">HLOOKUP($J2108,'Type Chart'!$C$2:$T$20,5,false)*HLOOKUP($K2108,'Type Chart'!$C$2:$U$20,5,false)</f>
        <v>2</v>
      </c>
      <c r="Y2108" s="960">
        <f t="array" ref="Y2108">HLOOKUP($J2108,'Type Chart'!$C$2:$T$20,6,false)*HLOOKUP($K2108,'Type Chart'!$C$2:$U$20,6,false)</f>
        <v>0.5</v>
      </c>
      <c r="Z2108" s="960">
        <f t="array" ref="Z2108">HLOOKUP($J2108,'Type Chart'!$C$2:$T$20,7,false)*HLOOKUP($K2108,'Type Chart'!$C$2:$U$20,7,false)</f>
        <v>1</v>
      </c>
      <c r="AA2108" s="960">
        <f t="array" ref="AA2108">HLOOKUP($J2108,'Type Chart'!$C$2:$T$20,8,false)*HLOOKUP($K2108,'Type Chart'!$C$2:$U$20,8,false)</f>
        <v>2</v>
      </c>
      <c r="AB2108" s="960">
        <f t="array" ref="AB2108">HLOOKUP($J2108,'Type Chart'!$C$2:$T$20,9,false)*HLOOKUP($K2108,'Type Chart'!$C$2:$U$20,9,false)</f>
        <v>1</v>
      </c>
      <c r="AC2108" s="960">
        <f t="array" ref="AC2108">HLOOKUP($J2108,'Type Chart'!$C$2:$T$20,10,false)*HLOOKUP($K2108,'Type Chart'!$C$2:$U$20,10,false)</f>
        <v>1</v>
      </c>
      <c r="AD2108" s="960">
        <f t="array" ref="AD2108">HLOOKUP($J2108,'Type Chart'!$C$2:$T$20,11,false)*HLOOKUP($K2108,'Type Chart'!$C$2:$U$20,11,false)</f>
        <v>2</v>
      </c>
      <c r="AE2108" s="960">
        <f t="array" ref="AE2108">HLOOKUP($J2108,'Type Chart'!$C$2:$T$20,12,false)*HLOOKUP($K2108,'Type Chart'!$C$2:$U$20,12,false)</f>
        <v>0.5</v>
      </c>
      <c r="AF2108" s="960">
        <f t="array" ref="AF2108">HLOOKUP($J2108,'Type Chart'!$C$2:$T$20,13,false)*HLOOKUP($K2108,'Type Chart'!$C$2:$U$20,13,false)</f>
        <v>0.5</v>
      </c>
      <c r="AG2108" s="960">
        <f t="array" ref="AG2108">HLOOKUP($J2108,'Type Chart'!$C$2:$T$20,14,false)*HLOOKUP($K2108,'Type Chart'!$C$2:$U$20,14,false)</f>
        <v>0.5</v>
      </c>
      <c r="AH2108" s="960">
        <f t="array" ref="AH2108">HLOOKUP($J2108,'Type Chart'!$C$2:$T$20,15,false)*HLOOKUP($K2108,'Type Chart'!$C$2:$U$20,15,false)</f>
        <v>1</v>
      </c>
      <c r="AI2108" s="960">
        <f t="array" ref="AI2108">HLOOKUP($J2108,'Type Chart'!$C$2:$T$20,16,false)*HLOOKUP($K2108,'Type Chart'!$C$2:$U$20,16,false)</f>
        <v>2</v>
      </c>
      <c r="AJ2108" s="960">
        <f t="array" ref="AJ2108">HLOOKUP($J2108,'Type Chart'!$C$2:$T$20,17,false)*HLOOKUP($K2108,'Type Chart'!$C$2:$U$20,17,false)</f>
        <v>1</v>
      </c>
      <c r="AK2108" s="960">
        <f t="array" ref="AK2108">HLOOKUP($J2108,'Type Chart'!$C$2:$T$20,18,false)*HLOOKUP($K2108,'Type Chart'!$C$2:$U$20,18,false)</f>
        <v>1</v>
      </c>
      <c r="AL2108" s="960">
        <f t="array" ref="AL2108">HLOOKUP($J2108,'Type Chart'!$C$2:$T$20,19,false)*HLOOKUP($K2108,'Type Chart'!$C$2:$U$20,19,false)</f>
        <v>1</v>
      </c>
      <c r="AM2108" s="964" t="s">
        <v>1772</v>
      </c>
      <c r="AN2108" s="965"/>
      <c r="AO2108" s="966" t="s">
        <v>3334</v>
      </c>
      <c r="AP2108" s="936"/>
      <c r="AQ2108" s="1245"/>
      <c r="AR2108" s="1245"/>
      <c r="AS2108" s="936"/>
    </row>
    <row r="2109" ht="15.75" customHeight="1">
      <c r="A2109" s="1099"/>
      <c r="B2109" s="948" t="s">
        <v>3337</v>
      </c>
      <c r="C2109" s="1197" t="s">
        <v>3338</v>
      </c>
      <c r="D2109" s="1197" t="s">
        <v>3338</v>
      </c>
      <c r="E2109" s="1147" t="s">
        <v>3338</v>
      </c>
      <c r="F2109" s="940"/>
      <c r="G2109" s="953"/>
      <c r="H2109" s="969"/>
      <c r="I2109" s="998" t="s">
        <v>5209</v>
      </c>
      <c r="J2109" s="1213" t="s">
        <v>341</v>
      </c>
      <c r="K2109" s="984" t="s">
        <v>216</v>
      </c>
      <c r="L2109" s="959">
        <v>67.0</v>
      </c>
      <c r="M2109" s="960">
        <v>82.0</v>
      </c>
      <c r="N2109" s="960">
        <v>62.0</v>
      </c>
      <c r="O2109" s="960">
        <v>46.0</v>
      </c>
      <c r="P2109" s="960">
        <v>48.0</v>
      </c>
      <c r="Q2109" s="960">
        <v>43.0</v>
      </c>
      <c r="R2109" s="960">
        <v>122.0</v>
      </c>
      <c r="S2109" s="960">
        <v>185.0</v>
      </c>
      <c r="T2109" s="960">
        <v>203.0</v>
      </c>
      <c r="U2109" s="960">
        <f t="array" ref="U2109">HLOOKUP($J2109,'Type Chart'!$C$2:$T$20,2,false)*HLOOKUP($K2109,'Type Chart'!$C$2:$U$20,2,false)</f>
        <v>1</v>
      </c>
      <c r="V2109" s="960">
        <f t="array" ref="V2109">HLOOKUP($J2109,'Type Chart'!$C$2:$T$20,3,false)*HLOOKUP($K2109,'Type Chart'!$C$2:$U$20,3,false)</f>
        <v>1</v>
      </c>
      <c r="W2109" s="960">
        <f t="array" ref="W2109">HLOOKUP($J2109,'Type Chart'!$C$2:$T$20,4,false)*HLOOKUP($K2109,'Type Chart'!$C$2:$U$20,4,false)</f>
        <v>2</v>
      </c>
      <c r="X2109" s="960">
        <f t="array" ref="X2109">HLOOKUP($J2109,'Type Chart'!$C$2:$T$20,5,false)*HLOOKUP($K2109,'Type Chart'!$C$2:$U$20,5,false)</f>
        <v>1</v>
      </c>
      <c r="Y2109" s="960">
        <f t="array" ref="Y2109">HLOOKUP($J2109,'Type Chart'!$C$2:$T$20,6,false)*HLOOKUP($K2109,'Type Chart'!$C$2:$U$20,6,false)</f>
        <v>1</v>
      </c>
      <c r="Z2109" s="960">
        <f t="array" ref="Z2109">HLOOKUP($J2109,'Type Chart'!$C$2:$T$20,7,false)*HLOOKUP($K2109,'Type Chart'!$C$2:$U$20,7,false)</f>
        <v>0.5</v>
      </c>
      <c r="AA2109" s="960">
        <f t="array" ref="AA2109">HLOOKUP($J2109,'Type Chart'!$C$2:$T$20,8,false)*HLOOKUP($K2109,'Type Chart'!$C$2:$U$20,8,false)</f>
        <v>0.5</v>
      </c>
      <c r="AB2109" s="960">
        <f t="array" ref="AB2109">HLOOKUP($J2109,'Type Chart'!$C$2:$T$20,9,false)*HLOOKUP($K2109,'Type Chart'!$C$2:$U$20,9,false)</f>
        <v>1</v>
      </c>
      <c r="AC2109" s="960">
        <f t="array" ref="AC2109">HLOOKUP($J2109,'Type Chart'!$C$2:$T$20,10,false)*HLOOKUP($K2109,'Type Chart'!$C$2:$U$20,10,false)</f>
        <v>1</v>
      </c>
      <c r="AD2109" s="960">
        <f t="array" ref="AD2109">HLOOKUP($J2109,'Type Chart'!$C$2:$T$20,11,false)*HLOOKUP($K2109,'Type Chart'!$C$2:$U$20,11,false)</f>
        <v>1</v>
      </c>
      <c r="AE2109" s="960">
        <f t="array" ref="AE2109">HLOOKUP($J2109,'Type Chart'!$C$2:$T$20,12,false)*HLOOKUP($K2109,'Type Chart'!$C$2:$U$20,12,false)</f>
        <v>1</v>
      </c>
      <c r="AF2109" s="960">
        <f t="array" ref="AF2109">HLOOKUP($J2109,'Type Chart'!$C$2:$T$20,13,false)*HLOOKUP($K2109,'Type Chart'!$C$2:$U$20,13,false)</f>
        <v>1</v>
      </c>
      <c r="AG2109" s="960">
        <f t="array" ref="AG2109">HLOOKUP($J2109,'Type Chart'!$C$2:$T$20,14,false)*HLOOKUP($K2109,'Type Chart'!$C$2:$U$20,14,false)</f>
        <v>1</v>
      </c>
      <c r="AH2109" s="960">
        <f t="array" ref="AH2109">HLOOKUP($J2109,'Type Chart'!$C$2:$T$20,15,false)*HLOOKUP($K2109,'Type Chart'!$C$2:$U$20,15,false)</f>
        <v>2</v>
      </c>
      <c r="AI2109" s="960">
        <f t="array" ref="AI2109">HLOOKUP($J2109,'Type Chart'!$C$2:$T$20,16,false)*HLOOKUP($K2109,'Type Chart'!$C$2:$U$20,16,false)</f>
        <v>1</v>
      </c>
      <c r="AJ2109" s="960">
        <f t="array" ref="AJ2109">HLOOKUP($J2109,'Type Chart'!$C$2:$T$20,17,false)*HLOOKUP($K2109,'Type Chart'!$C$2:$U$20,17,false)</f>
        <v>1</v>
      </c>
      <c r="AK2109" s="960">
        <f t="array" ref="AK2109">HLOOKUP($J2109,'Type Chart'!$C$2:$T$20,18,false)*HLOOKUP($K2109,'Type Chart'!$C$2:$U$20,18,false)</f>
        <v>0.5</v>
      </c>
      <c r="AL2109" s="960">
        <f t="array" ref="AL2109">HLOOKUP($J2109,'Type Chart'!$C$2:$T$20,19,false)*HLOOKUP($K2109,'Type Chart'!$C$2:$U$20,19,false)</f>
        <v>2</v>
      </c>
      <c r="AM2109" s="964" t="s">
        <v>1501</v>
      </c>
      <c r="AN2109" s="965" t="s">
        <v>1576</v>
      </c>
      <c r="AO2109" s="966" t="s">
        <v>1399</v>
      </c>
      <c r="AP2109" s="936"/>
      <c r="AQ2109" s="1245"/>
      <c r="AR2109" s="1245"/>
      <c r="AS2109" s="936"/>
    </row>
    <row r="2110" ht="15.75" customHeight="1">
      <c r="A2110" s="1099"/>
      <c r="B2110" s="948" t="s">
        <v>3340</v>
      </c>
      <c r="C2110" s="1197" t="s">
        <v>3341</v>
      </c>
      <c r="D2110" s="1197" t="s">
        <v>3341</v>
      </c>
      <c r="E2110" s="1147" t="s">
        <v>3341</v>
      </c>
      <c r="F2110" s="940"/>
      <c r="G2110" s="953"/>
      <c r="H2110" s="969"/>
      <c r="I2110" s="998" t="s">
        <v>5210</v>
      </c>
      <c r="J2110" s="1213" t="s">
        <v>341</v>
      </c>
      <c r="K2110" s="1195" t="s">
        <v>193</v>
      </c>
      <c r="L2110" s="959">
        <v>95.0</v>
      </c>
      <c r="M2110" s="960">
        <v>124.0</v>
      </c>
      <c r="N2110" s="960">
        <v>78.0</v>
      </c>
      <c r="O2110" s="960">
        <v>69.0</v>
      </c>
      <c r="P2110" s="960">
        <v>71.0</v>
      </c>
      <c r="Q2110" s="960">
        <v>58.0</v>
      </c>
      <c r="R2110" s="960">
        <v>152.0</v>
      </c>
      <c r="S2110" s="960">
        <v>215.0</v>
      </c>
      <c r="T2110" s="960">
        <v>236.0</v>
      </c>
      <c r="U2110" s="960">
        <f t="array" ref="U2110">HLOOKUP($J2110,'Type Chart'!$C$2:$T$20,2,false)*HLOOKUP($K2110,'Type Chart'!$C$2:$U$20,2,false)</f>
        <v>1</v>
      </c>
      <c r="V2110" s="960">
        <f t="array" ref="V2110">HLOOKUP($J2110,'Type Chart'!$C$2:$T$20,3,false)*HLOOKUP($K2110,'Type Chart'!$C$2:$U$20,3,false)</f>
        <v>2</v>
      </c>
      <c r="W2110" s="960">
        <f t="array" ref="W2110">HLOOKUP($J2110,'Type Chart'!$C$2:$T$20,4,false)*HLOOKUP($K2110,'Type Chart'!$C$2:$U$20,4,false)</f>
        <v>2</v>
      </c>
      <c r="X2110" s="960">
        <f t="array" ref="X2110">HLOOKUP($J2110,'Type Chart'!$C$2:$T$20,5,false)*HLOOKUP($K2110,'Type Chart'!$C$2:$U$20,5,false)</f>
        <v>1</v>
      </c>
      <c r="Y2110" s="960">
        <f t="array" ref="Y2110">HLOOKUP($J2110,'Type Chart'!$C$2:$T$20,6,false)*HLOOKUP($K2110,'Type Chart'!$C$2:$U$20,6,false)</f>
        <v>1</v>
      </c>
      <c r="Z2110" s="960">
        <f t="array" ref="Z2110">HLOOKUP($J2110,'Type Chart'!$C$2:$T$20,7,false)*HLOOKUP($K2110,'Type Chart'!$C$2:$U$20,7,false)</f>
        <v>0.5</v>
      </c>
      <c r="AA2110" s="960">
        <f t="array" ref="AA2110">HLOOKUP($J2110,'Type Chart'!$C$2:$T$20,8,false)*HLOOKUP($K2110,'Type Chart'!$C$2:$U$20,8,false)</f>
        <v>1</v>
      </c>
      <c r="AB2110" s="960">
        <f t="array" ref="AB2110">HLOOKUP($J2110,'Type Chart'!$C$2:$T$20,9,false)*HLOOKUP($K2110,'Type Chart'!$C$2:$U$20,9,false)</f>
        <v>0.5</v>
      </c>
      <c r="AC2110" s="960">
        <f t="array" ref="AC2110">HLOOKUP($J2110,'Type Chart'!$C$2:$T$20,10,false)*HLOOKUP($K2110,'Type Chart'!$C$2:$U$20,10,false)</f>
        <v>1</v>
      </c>
      <c r="AD2110" s="960">
        <f t="array" ref="AD2110">HLOOKUP($J2110,'Type Chart'!$C$2:$T$20,11,false)*HLOOKUP($K2110,'Type Chart'!$C$2:$U$20,11,false)</f>
        <v>1</v>
      </c>
      <c r="AE2110" s="960">
        <f t="array" ref="AE2110">HLOOKUP($J2110,'Type Chart'!$C$2:$T$20,12,false)*HLOOKUP($K2110,'Type Chart'!$C$2:$U$20,12,false)</f>
        <v>1</v>
      </c>
      <c r="AF2110" s="960">
        <f t="array" ref="AF2110">HLOOKUP($J2110,'Type Chart'!$C$2:$T$20,13,false)*HLOOKUP($K2110,'Type Chart'!$C$2:$U$20,13,false)</f>
        <v>1</v>
      </c>
      <c r="AG2110" s="960">
        <f t="array" ref="AG2110">HLOOKUP($J2110,'Type Chart'!$C$2:$T$20,14,false)*HLOOKUP($K2110,'Type Chart'!$C$2:$U$20,14,false)</f>
        <v>1</v>
      </c>
      <c r="AH2110" s="960">
        <f t="array" ref="AH2110">HLOOKUP($J2110,'Type Chart'!$C$2:$T$20,15,false)*HLOOKUP($K2110,'Type Chart'!$C$2:$U$20,15,false)</f>
        <v>0</v>
      </c>
      <c r="AI2110" s="960">
        <f t="array" ref="AI2110">HLOOKUP($J2110,'Type Chart'!$C$2:$T$20,16,false)*HLOOKUP($K2110,'Type Chart'!$C$2:$U$20,16,false)</f>
        <v>1</v>
      </c>
      <c r="AJ2110" s="960">
        <f t="array" ref="AJ2110">HLOOKUP($J2110,'Type Chart'!$C$2:$T$20,17,false)*HLOOKUP($K2110,'Type Chart'!$C$2:$U$20,17,false)</f>
        <v>1</v>
      </c>
      <c r="AK2110" s="960">
        <f t="array" ref="AK2110">HLOOKUP($J2110,'Type Chart'!$C$2:$T$20,18,false)*HLOOKUP($K2110,'Type Chart'!$C$2:$U$20,18,false)</f>
        <v>0.25</v>
      </c>
      <c r="AL2110" s="960">
        <f t="array" ref="AL2110">HLOOKUP($J2110,'Type Chart'!$C$2:$T$20,19,false)*HLOOKUP($K2110,'Type Chart'!$C$2:$U$20,19,false)</f>
        <v>4</v>
      </c>
      <c r="AM2110" s="964" t="s">
        <v>1501</v>
      </c>
      <c r="AN2110" s="965" t="s">
        <v>1576</v>
      </c>
      <c r="AO2110" s="966" t="s">
        <v>1399</v>
      </c>
      <c r="AP2110" s="936"/>
      <c r="AQ2110" s="1245"/>
      <c r="AR2110" s="1245"/>
      <c r="AS2110" s="936"/>
    </row>
    <row r="2111" ht="15.75" customHeight="1">
      <c r="A2111" s="1099"/>
      <c r="B2111" s="948" t="s">
        <v>3343</v>
      </c>
      <c r="C2111" s="1197" t="s">
        <v>3344</v>
      </c>
      <c r="D2111" s="1197" t="s">
        <v>3344</v>
      </c>
      <c r="E2111" s="1147" t="s">
        <v>3344</v>
      </c>
      <c r="F2111" s="940"/>
      <c r="G2111" s="953"/>
      <c r="H2111" s="969"/>
      <c r="I2111" s="998" t="s">
        <v>5211</v>
      </c>
      <c r="J2111" s="1194" t="s">
        <v>136</v>
      </c>
      <c r="K2111" s="984" t="s">
        <v>216</v>
      </c>
      <c r="L2111" s="959">
        <v>75.0</v>
      </c>
      <c r="M2111" s="960">
        <v>80.0</v>
      </c>
      <c r="N2111" s="960">
        <v>60.0</v>
      </c>
      <c r="O2111" s="960">
        <v>65.0</v>
      </c>
      <c r="P2111" s="960">
        <v>90.0</v>
      </c>
      <c r="Q2111" s="960">
        <v>102.0</v>
      </c>
      <c r="R2111" s="960">
        <v>240.0</v>
      </c>
      <c r="S2111" s="960">
        <v>303.0</v>
      </c>
      <c r="T2111" s="960">
        <v>333.0</v>
      </c>
      <c r="U2111" s="960">
        <f t="array" ref="U2111">HLOOKUP($J2111,'Type Chart'!$C$2:$T$20,2,false)*HLOOKUP($K2111,'Type Chart'!$C$2:$U$20,2,false)</f>
        <v>1</v>
      </c>
      <c r="V2111" s="960">
        <f t="array" ref="V2111">HLOOKUP($J2111,'Type Chart'!$C$2:$T$20,3,false)*HLOOKUP($K2111,'Type Chart'!$C$2:$U$20,3,false)</f>
        <v>2</v>
      </c>
      <c r="W2111" s="960">
        <f t="array" ref="W2111">HLOOKUP($J2111,'Type Chart'!$C$2:$T$20,4,false)*HLOOKUP($K2111,'Type Chart'!$C$2:$U$20,4,false)</f>
        <v>1</v>
      </c>
      <c r="X2111" s="960">
        <f t="array" ref="X2111">HLOOKUP($J2111,'Type Chart'!$C$2:$T$20,5,false)*HLOOKUP($K2111,'Type Chart'!$C$2:$U$20,5,false)</f>
        <v>1</v>
      </c>
      <c r="Y2111" s="960">
        <f t="array" ref="Y2111">HLOOKUP($J2111,'Type Chart'!$C$2:$T$20,6,false)*HLOOKUP($K2111,'Type Chart'!$C$2:$U$20,6,false)</f>
        <v>1</v>
      </c>
      <c r="Z2111" s="960">
        <f t="array" ref="Z2111">HLOOKUP($J2111,'Type Chart'!$C$2:$T$20,7,false)*HLOOKUP($K2111,'Type Chart'!$C$2:$U$20,7,false)</f>
        <v>1</v>
      </c>
      <c r="AA2111" s="960">
        <f t="array" ref="AA2111">HLOOKUP($J2111,'Type Chart'!$C$2:$T$20,8,false)*HLOOKUP($K2111,'Type Chart'!$C$2:$U$20,8,false)</f>
        <v>1</v>
      </c>
      <c r="AB2111" s="960">
        <f t="array" ref="AB2111">HLOOKUP($J2111,'Type Chart'!$C$2:$T$20,9,false)*HLOOKUP($K2111,'Type Chart'!$C$2:$U$20,9,false)</f>
        <v>0</v>
      </c>
      <c r="AC2111" s="960">
        <f t="array" ref="AC2111">HLOOKUP($J2111,'Type Chart'!$C$2:$T$20,10,false)*HLOOKUP($K2111,'Type Chart'!$C$2:$U$20,10,false)</f>
        <v>1</v>
      </c>
      <c r="AD2111" s="960">
        <f t="array" ref="AD2111">HLOOKUP($J2111,'Type Chart'!$C$2:$T$20,11,false)*HLOOKUP($K2111,'Type Chart'!$C$2:$U$20,11,false)</f>
        <v>1</v>
      </c>
      <c r="AE2111" s="960">
        <f t="array" ref="AE2111">HLOOKUP($J2111,'Type Chart'!$C$2:$T$20,12,false)*HLOOKUP($K2111,'Type Chart'!$C$2:$U$20,12,false)</f>
        <v>1</v>
      </c>
      <c r="AF2111" s="960">
        <f t="array" ref="AF2111">HLOOKUP($J2111,'Type Chart'!$C$2:$T$20,13,false)*HLOOKUP($K2111,'Type Chart'!$C$2:$U$20,13,false)</f>
        <v>1</v>
      </c>
      <c r="AG2111" s="960">
        <f t="array" ref="AG2111">HLOOKUP($J2111,'Type Chart'!$C$2:$T$20,14,false)*HLOOKUP($K2111,'Type Chart'!$C$2:$U$20,14,false)</f>
        <v>1</v>
      </c>
      <c r="AH2111" s="960">
        <f t="array" ref="AH2111">HLOOKUP($J2111,'Type Chart'!$C$2:$T$20,15,false)*HLOOKUP($K2111,'Type Chart'!$C$2:$U$20,15,false)</f>
        <v>1</v>
      </c>
      <c r="AI2111" s="960">
        <f t="array" ref="AI2111">HLOOKUP($J2111,'Type Chart'!$C$2:$T$20,16,false)*HLOOKUP($K2111,'Type Chart'!$C$2:$U$20,16,false)</f>
        <v>1</v>
      </c>
      <c r="AJ2111" s="960">
        <f t="array" ref="AJ2111">HLOOKUP($J2111,'Type Chart'!$C$2:$T$20,17,false)*HLOOKUP($K2111,'Type Chart'!$C$2:$U$20,17,false)</f>
        <v>1</v>
      </c>
      <c r="AK2111" s="960">
        <f t="array" ref="AK2111">HLOOKUP($J2111,'Type Chart'!$C$2:$T$20,18,false)*HLOOKUP($K2111,'Type Chart'!$C$2:$U$20,18,false)</f>
        <v>1</v>
      </c>
      <c r="AL2111" s="960">
        <f t="array" ref="AL2111">HLOOKUP($J2111,'Type Chart'!$C$2:$T$20,19,false)*HLOOKUP($K2111,'Type Chart'!$C$2:$U$20,19,false)</f>
        <v>1</v>
      </c>
      <c r="AM2111" s="964" t="s">
        <v>1254</v>
      </c>
      <c r="AN2111" s="965"/>
      <c r="AO2111" s="966"/>
      <c r="AP2111" s="936"/>
      <c r="AQ2111" s="1245"/>
      <c r="AR2111" s="1245"/>
      <c r="AS2111" s="936"/>
    </row>
    <row r="2112" ht="15.75" customHeight="1">
      <c r="A2112" s="1099"/>
      <c r="B2112" s="948" t="s">
        <v>3346</v>
      </c>
      <c r="C2112" s="1197" t="s">
        <v>3347</v>
      </c>
      <c r="D2112" s="1197" t="s">
        <v>3347</v>
      </c>
      <c r="E2112" s="1147" t="s">
        <v>3347</v>
      </c>
      <c r="F2112" s="940"/>
      <c r="G2112" s="953"/>
      <c r="H2112" s="969"/>
      <c r="I2112" s="998" t="s">
        <v>5212</v>
      </c>
      <c r="J2112" s="1203" t="s">
        <v>344</v>
      </c>
      <c r="K2112" s="984" t="s">
        <v>216</v>
      </c>
      <c r="L2112" s="959">
        <v>62.0</v>
      </c>
      <c r="M2112" s="960">
        <v>48.0</v>
      </c>
      <c r="N2112" s="960">
        <v>54.0</v>
      </c>
      <c r="O2112" s="960">
        <v>63.0</v>
      </c>
      <c r="P2112" s="960">
        <v>60.0</v>
      </c>
      <c r="Q2112" s="960">
        <v>68.0</v>
      </c>
      <c r="R2112" s="960">
        <v>172.0</v>
      </c>
      <c r="S2112" s="960">
        <v>235.0</v>
      </c>
      <c r="T2112" s="960">
        <v>258.0</v>
      </c>
      <c r="U2112" s="960">
        <f t="array" ref="U2112">HLOOKUP($J2112,'Type Chart'!$C$2:$T$20,2,false)*HLOOKUP($K2112,'Type Chart'!$C$2:$U$20,2,false)</f>
        <v>1</v>
      </c>
      <c r="V2112" s="960">
        <f t="array" ref="V2112">HLOOKUP($J2112,'Type Chart'!$C$2:$T$20,3,false)*HLOOKUP($K2112,'Type Chart'!$C$2:$U$20,3,false)</f>
        <v>0.5</v>
      </c>
      <c r="W2112" s="960">
        <f t="array" ref="W2112">HLOOKUP($J2112,'Type Chart'!$C$2:$T$20,4,false)*HLOOKUP($K2112,'Type Chart'!$C$2:$U$20,4,false)</f>
        <v>1</v>
      </c>
      <c r="X2112" s="960">
        <f t="array" ref="X2112">HLOOKUP($J2112,'Type Chart'!$C$2:$T$20,5,false)*HLOOKUP($K2112,'Type Chart'!$C$2:$U$20,5,false)</f>
        <v>1</v>
      </c>
      <c r="Y2112" s="960">
        <f t="array" ref="Y2112">HLOOKUP($J2112,'Type Chart'!$C$2:$T$20,6,false)*HLOOKUP($K2112,'Type Chart'!$C$2:$U$20,6,false)</f>
        <v>1</v>
      </c>
      <c r="Z2112" s="960">
        <f t="array" ref="Z2112">HLOOKUP($J2112,'Type Chart'!$C$2:$T$20,7,false)*HLOOKUP($K2112,'Type Chart'!$C$2:$U$20,7,false)</f>
        <v>1</v>
      </c>
      <c r="AA2112" s="960">
        <f t="array" ref="AA2112">HLOOKUP($J2112,'Type Chart'!$C$2:$T$20,8,false)*HLOOKUP($K2112,'Type Chart'!$C$2:$U$20,8,false)</f>
        <v>2</v>
      </c>
      <c r="AB2112" s="960">
        <f t="array" ref="AB2112">HLOOKUP($J2112,'Type Chart'!$C$2:$T$20,9,false)*HLOOKUP($K2112,'Type Chart'!$C$2:$U$20,9,false)</f>
        <v>2</v>
      </c>
      <c r="AC2112" s="960">
        <f t="array" ref="AC2112">HLOOKUP($J2112,'Type Chart'!$C$2:$T$20,10,false)*HLOOKUP($K2112,'Type Chart'!$C$2:$U$20,10,false)</f>
        <v>1</v>
      </c>
      <c r="AD2112" s="960">
        <f t="array" ref="AD2112">HLOOKUP($J2112,'Type Chart'!$C$2:$T$20,11,false)*HLOOKUP($K2112,'Type Chart'!$C$2:$U$20,11,false)</f>
        <v>1</v>
      </c>
      <c r="AE2112" s="960">
        <f t="array" ref="AE2112">HLOOKUP($J2112,'Type Chart'!$C$2:$T$20,12,false)*HLOOKUP($K2112,'Type Chart'!$C$2:$U$20,12,false)</f>
        <v>1</v>
      </c>
      <c r="AF2112" s="960">
        <f t="array" ref="AF2112">HLOOKUP($J2112,'Type Chart'!$C$2:$T$20,13,false)*HLOOKUP($K2112,'Type Chart'!$C$2:$U$20,13,false)</f>
        <v>1</v>
      </c>
      <c r="AG2112" s="960">
        <f t="array" ref="AG2112">HLOOKUP($J2112,'Type Chart'!$C$2:$T$20,14,false)*HLOOKUP($K2112,'Type Chart'!$C$2:$U$20,14,false)</f>
        <v>1</v>
      </c>
      <c r="AH2112" s="960">
        <f t="array" ref="AH2112">HLOOKUP($J2112,'Type Chart'!$C$2:$T$20,15,false)*HLOOKUP($K2112,'Type Chart'!$C$2:$U$20,15,false)</f>
        <v>0.5</v>
      </c>
      <c r="AI2112" s="960">
        <f t="array" ref="AI2112">HLOOKUP($J2112,'Type Chart'!$C$2:$T$20,16,false)*HLOOKUP($K2112,'Type Chart'!$C$2:$U$20,16,false)</f>
        <v>1</v>
      </c>
      <c r="AJ2112" s="960">
        <f t="array" ref="AJ2112">HLOOKUP($J2112,'Type Chart'!$C$2:$T$20,17,false)*HLOOKUP($K2112,'Type Chart'!$C$2:$U$20,17,false)</f>
        <v>1</v>
      </c>
      <c r="AK2112" s="960">
        <f t="array" ref="AK2112">HLOOKUP($J2112,'Type Chart'!$C$2:$T$20,18,false)*HLOOKUP($K2112,'Type Chart'!$C$2:$U$20,18,false)</f>
        <v>2</v>
      </c>
      <c r="AL2112" s="960">
        <f t="array" ref="AL2112">HLOOKUP($J2112,'Type Chart'!$C$2:$T$20,19,false)*HLOOKUP($K2112,'Type Chart'!$C$2:$U$20,19,false)</f>
        <v>1</v>
      </c>
      <c r="AM2112" s="964" t="s">
        <v>1022</v>
      </c>
      <c r="AN2112" s="965" t="s">
        <v>1193</v>
      </c>
      <c r="AO2112" s="966" t="s">
        <v>1370</v>
      </c>
      <c r="AP2112" s="936"/>
      <c r="AQ2112" s="1245"/>
      <c r="AR2112" s="1245"/>
      <c r="AS2112" s="936"/>
    </row>
    <row r="2113" ht="15.75" customHeight="1">
      <c r="A2113" s="1099"/>
      <c r="B2113" s="948" t="s">
        <v>3349</v>
      </c>
      <c r="C2113" s="1197" t="s">
        <v>3350</v>
      </c>
      <c r="D2113" s="1197" t="s">
        <v>3350</v>
      </c>
      <c r="E2113" s="1147" t="s">
        <v>3351</v>
      </c>
      <c r="F2113" s="940"/>
      <c r="G2113" s="953"/>
      <c r="H2113" s="969"/>
      <c r="I2113" s="998" t="s">
        <v>5213</v>
      </c>
      <c r="J2113" s="1203" t="s">
        <v>344</v>
      </c>
      <c r="K2113" s="984" t="s">
        <v>216</v>
      </c>
      <c r="L2113" s="959">
        <v>74.0</v>
      </c>
      <c r="M2113" s="960">
        <v>48.0</v>
      </c>
      <c r="N2113" s="960">
        <v>76.0</v>
      </c>
      <c r="O2113" s="960">
        <v>83.0</v>
      </c>
      <c r="P2113" s="960">
        <v>81.0</v>
      </c>
      <c r="Q2113" s="960">
        <v>104.0</v>
      </c>
      <c r="R2113" s="960">
        <v>244.0</v>
      </c>
      <c r="S2113" s="960">
        <v>307.0</v>
      </c>
      <c r="T2113" s="960">
        <v>337.0</v>
      </c>
      <c r="U2113" s="960">
        <f t="array" ref="U2113">HLOOKUP($J2113,'Type Chart'!$C$2:$T$20,2,false)*HLOOKUP($K2113,'Type Chart'!$C$2:$U$20,2,false)</f>
        <v>1</v>
      </c>
      <c r="V2113" s="960">
        <f t="array" ref="V2113">HLOOKUP($J2113,'Type Chart'!$C$2:$T$20,3,false)*HLOOKUP($K2113,'Type Chart'!$C$2:$U$20,3,false)</f>
        <v>0.5</v>
      </c>
      <c r="W2113" s="960">
        <f t="array" ref="W2113">HLOOKUP($J2113,'Type Chart'!$C$2:$T$20,4,false)*HLOOKUP($K2113,'Type Chart'!$C$2:$U$20,4,false)</f>
        <v>1</v>
      </c>
      <c r="X2113" s="960">
        <f t="array" ref="X2113">HLOOKUP($J2113,'Type Chart'!$C$2:$T$20,5,false)*HLOOKUP($K2113,'Type Chart'!$C$2:$U$20,5,false)</f>
        <v>1</v>
      </c>
      <c r="Y2113" s="960">
        <f t="array" ref="Y2113">HLOOKUP($J2113,'Type Chart'!$C$2:$T$20,6,false)*HLOOKUP($K2113,'Type Chart'!$C$2:$U$20,6,false)</f>
        <v>1</v>
      </c>
      <c r="Z2113" s="960">
        <f t="array" ref="Z2113">HLOOKUP($J2113,'Type Chart'!$C$2:$T$20,7,false)*HLOOKUP($K2113,'Type Chart'!$C$2:$U$20,7,false)</f>
        <v>1</v>
      </c>
      <c r="AA2113" s="960">
        <f t="array" ref="AA2113">HLOOKUP($J2113,'Type Chart'!$C$2:$T$20,8,false)*HLOOKUP($K2113,'Type Chart'!$C$2:$U$20,8,false)</f>
        <v>2</v>
      </c>
      <c r="AB2113" s="960">
        <f t="array" ref="AB2113">HLOOKUP($J2113,'Type Chart'!$C$2:$T$20,9,false)*HLOOKUP($K2113,'Type Chart'!$C$2:$U$20,9,false)</f>
        <v>2</v>
      </c>
      <c r="AC2113" s="960">
        <f t="array" ref="AC2113">HLOOKUP($J2113,'Type Chart'!$C$2:$T$20,10,false)*HLOOKUP($K2113,'Type Chart'!$C$2:$U$20,10,false)</f>
        <v>1</v>
      </c>
      <c r="AD2113" s="960">
        <f t="array" ref="AD2113">HLOOKUP($J2113,'Type Chart'!$C$2:$T$20,11,false)*HLOOKUP($K2113,'Type Chart'!$C$2:$U$20,11,false)</f>
        <v>1</v>
      </c>
      <c r="AE2113" s="960">
        <f t="array" ref="AE2113">HLOOKUP($J2113,'Type Chart'!$C$2:$T$20,12,false)*HLOOKUP($K2113,'Type Chart'!$C$2:$U$20,12,false)</f>
        <v>1</v>
      </c>
      <c r="AF2113" s="960">
        <f t="array" ref="AF2113">HLOOKUP($J2113,'Type Chart'!$C$2:$T$20,13,false)*HLOOKUP($K2113,'Type Chart'!$C$2:$U$20,13,false)</f>
        <v>1</v>
      </c>
      <c r="AG2113" s="960">
        <f t="array" ref="AG2113">HLOOKUP($J2113,'Type Chart'!$C$2:$T$20,14,false)*HLOOKUP($K2113,'Type Chart'!$C$2:$U$20,14,false)</f>
        <v>1</v>
      </c>
      <c r="AH2113" s="960">
        <f t="array" ref="AH2113">HLOOKUP($J2113,'Type Chart'!$C$2:$T$20,15,false)*HLOOKUP($K2113,'Type Chart'!$C$2:$U$20,15,false)</f>
        <v>0.5</v>
      </c>
      <c r="AI2113" s="960">
        <f t="array" ref="AI2113">HLOOKUP($J2113,'Type Chart'!$C$2:$T$20,16,false)*HLOOKUP($K2113,'Type Chart'!$C$2:$U$20,16,false)</f>
        <v>1</v>
      </c>
      <c r="AJ2113" s="960">
        <f t="array" ref="AJ2113">HLOOKUP($J2113,'Type Chart'!$C$2:$T$20,17,false)*HLOOKUP($K2113,'Type Chart'!$C$2:$U$20,17,false)</f>
        <v>1</v>
      </c>
      <c r="AK2113" s="960">
        <f t="array" ref="AK2113">HLOOKUP($J2113,'Type Chart'!$C$2:$T$20,18,false)*HLOOKUP($K2113,'Type Chart'!$C$2:$U$20,18,false)</f>
        <v>2</v>
      </c>
      <c r="AL2113" s="960">
        <f t="array" ref="AL2113">HLOOKUP($J2113,'Type Chart'!$C$2:$T$20,19,false)*HLOOKUP($K2113,'Type Chart'!$C$2:$U$20,19,false)</f>
        <v>1</v>
      </c>
      <c r="AM2113" s="964" t="s">
        <v>1022</v>
      </c>
      <c r="AN2113" s="965" t="s">
        <v>1193</v>
      </c>
      <c r="AO2113" s="966" t="s">
        <v>1813</v>
      </c>
      <c r="AP2113" s="936"/>
      <c r="AQ2113" s="1245"/>
      <c r="AR2113" s="1245"/>
      <c r="AS2113" s="936"/>
    </row>
    <row r="2114" ht="15.75" customHeight="1">
      <c r="A2114" s="1099"/>
      <c r="B2114" s="948" t="s">
        <v>3353</v>
      </c>
      <c r="C2114" s="1197" t="s">
        <v>3354</v>
      </c>
      <c r="D2114" s="1197" t="s">
        <v>3354</v>
      </c>
      <c r="E2114" s="1147" t="s">
        <v>3355</v>
      </c>
      <c r="F2114" s="940"/>
      <c r="G2114" s="953"/>
      <c r="H2114" s="969"/>
      <c r="I2114" s="998" t="s">
        <v>5214</v>
      </c>
      <c r="J2114" s="1203" t="s">
        <v>344</v>
      </c>
      <c r="K2114" s="984" t="s">
        <v>216</v>
      </c>
      <c r="L2114" s="959">
        <v>74.0</v>
      </c>
      <c r="M2114" s="960">
        <v>48.0</v>
      </c>
      <c r="N2114" s="960">
        <v>76.0</v>
      </c>
      <c r="O2114" s="960">
        <v>83.0</v>
      </c>
      <c r="P2114" s="960">
        <v>81.0</v>
      </c>
      <c r="Q2114" s="960">
        <v>104.0</v>
      </c>
      <c r="R2114" s="960">
        <v>244.0</v>
      </c>
      <c r="S2114" s="960">
        <v>307.0</v>
      </c>
      <c r="T2114" s="960">
        <v>337.0</v>
      </c>
      <c r="U2114" s="960">
        <f t="array" ref="U2114">HLOOKUP($J2114,'Type Chart'!$C$2:$T$20,2,false)*HLOOKUP($K2114,'Type Chart'!$C$2:$U$20,2,false)</f>
        <v>1</v>
      </c>
      <c r="V2114" s="960">
        <f t="array" ref="V2114">HLOOKUP($J2114,'Type Chart'!$C$2:$T$20,3,false)*HLOOKUP($K2114,'Type Chart'!$C$2:$U$20,3,false)</f>
        <v>0.5</v>
      </c>
      <c r="W2114" s="960">
        <f t="array" ref="W2114">HLOOKUP($J2114,'Type Chart'!$C$2:$T$20,4,false)*HLOOKUP($K2114,'Type Chart'!$C$2:$U$20,4,false)</f>
        <v>1</v>
      </c>
      <c r="X2114" s="960">
        <f t="array" ref="X2114">HLOOKUP($J2114,'Type Chart'!$C$2:$T$20,5,false)*HLOOKUP($K2114,'Type Chart'!$C$2:$U$20,5,false)</f>
        <v>1</v>
      </c>
      <c r="Y2114" s="960">
        <f t="array" ref="Y2114">HLOOKUP($J2114,'Type Chart'!$C$2:$T$20,6,false)*HLOOKUP($K2114,'Type Chart'!$C$2:$U$20,6,false)</f>
        <v>1</v>
      </c>
      <c r="Z2114" s="960">
        <f t="array" ref="Z2114">HLOOKUP($J2114,'Type Chart'!$C$2:$T$20,7,false)*HLOOKUP($K2114,'Type Chart'!$C$2:$U$20,7,false)</f>
        <v>1</v>
      </c>
      <c r="AA2114" s="960">
        <f t="array" ref="AA2114">HLOOKUP($J2114,'Type Chart'!$C$2:$T$20,8,false)*HLOOKUP($K2114,'Type Chart'!$C$2:$U$20,8,false)</f>
        <v>2</v>
      </c>
      <c r="AB2114" s="960">
        <f t="array" ref="AB2114">HLOOKUP($J2114,'Type Chart'!$C$2:$T$20,9,false)*HLOOKUP($K2114,'Type Chart'!$C$2:$U$20,9,false)</f>
        <v>2</v>
      </c>
      <c r="AC2114" s="960">
        <f t="array" ref="AC2114">HLOOKUP($J2114,'Type Chart'!$C$2:$T$20,10,false)*HLOOKUP($K2114,'Type Chart'!$C$2:$U$20,10,false)</f>
        <v>1</v>
      </c>
      <c r="AD2114" s="960">
        <f t="array" ref="AD2114">HLOOKUP($J2114,'Type Chart'!$C$2:$T$20,11,false)*HLOOKUP($K2114,'Type Chart'!$C$2:$U$20,11,false)</f>
        <v>1</v>
      </c>
      <c r="AE2114" s="960">
        <f t="array" ref="AE2114">HLOOKUP($J2114,'Type Chart'!$C$2:$T$20,12,false)*HLOOKUP($K2114,'Type Chart'!$C$2:$U$20,12,false)</f>
        <v>1</v>
      </c>
      <c r="AF2114" s="960">
        <f t="array" ref="AF2114">HLOOKUP($J2114,'Type Chart'!$C$2:$T$20,13,false)*HLOOKUP($K2114,'Type Chart'!$C$2:$U$20,13,false)</f>
        <v>1</v>
      </c>
      <c r="AG2114" s="960">
        <f t="array" ref="AG2114">HLOOKUP($J2114,'Type Chart'!$C$2:$T$20,14,false)*HLOOKUP($K2114,'Type Chart'!$C$2:$U$20,14,false)</f>
        <v>1</v>
      </c>
      <c r="AH2114" s="960">
        <f t="array" ref="AH2114">HLOOKUP($J2114,'Type Chart'!$C$2:$T$20,15,false)*HLOOKUP($K2114,'Type Chart'!$C$2:$U$20,15,false)</f>
        <v>0.5</v>
      </c>
      <c r="AI2114" s="960">
        <f t="array" ref="AI2114">HLOOKUP($J2114,'Type Chart'!$C$2:$T$20,16,false)*HLOOKUP($K2114,'Type Chart'!$C$2:$U$20,16,false)</f>
        <v>1</v>
      </c>
      <c r="AJ2114" s="960">
        <f t="array" ref="AJ2114">HLOOKUP($J2114,'Type Chart'!$C$2:$T$20,17,false)*HLOOKUP($K2114,'Type Chart'!$C$2:$U$20,17,false)</f>
        <v>1</v>
      </c>
      <c r="AK2114" s="960">
        <f t="array" ref="AK2114">HLOOKUP($J2114,'Type Chart'!$C$2:$T$20,18,false)*HLOOKUP($K2114,'Type Chart'!$C$2:$U$20,18,false)</f>
        <v>2</v>
      </c>
      <c r="AL2114" s="960">
        <f t="array" ref="AL2114">HLOOKUP($J2114,'Type Chart'!$C$2:$T$20,19,false)*HLOOKUP($K2114,'Type Chart'!$C$2:$U$20,19,false)</f>
        <v>1</v>
      </c>
      <c r="AM2114" s="964" t="s">
        <v>1022</v>
      </c>
      <c r="AN2114" s="965" t="s">
        <v>1193</v>
      </c>
      <c r="AO2114" s="966" t="s">
        <v>1185</v>
      </c>
      <c r="AP2114" s="936"/>
      <c r="AQ2114" s="1245"/>
      <c r="AR2114" s="1245"/>
      <c r="AS2114" s="936"/>
    </row>
    <row r="2115" ht="15.75" customHeight="1">
      <c r="A2115" s="1099"/>
      <c r="B2115" s="948" t="s">
        <v>3357</v>
      </c>
      <c r="C2115" s="1197" t="s">
        <v>3358</v>
      </c>
      <c r="D2115" s="1197" t="s">
        <v>3358</v>
      </c>
      <c r="E2115" s="1147" t="s">
        <v>3358</v>
      </c>
      <c r="F2115" s="940"/>
      <c r="G2115" s="953"/>
      <c r="H2115" s="969"/>
      <c r="I2115" s="998" t="s">
        <v>5215</v>
      </c>
      <c r="J2115" s="1206" t="s">
        <v>82</v>
      </c>
      <c r="K2115" s="1220" t="s">
        <v>215</v>
      </c>
      <c r="L2115" s="959">
        <v>45.0</v>
      </c>
      <c r="M2115" s="960">
        <v>80.0</v>
      </c>
      <c r="N2115" s="960">
        <v>100.0</v>
      </c>
      <c r="O2115" s="960">
        <v>35.0</v>
      </c>
      <c r="P2115" s="960">
        <v>37.0</v>
      </c>
      <c r="Q2115" s="960">
        <v>28.0</v>
      </c>
      <c r="R2115" s="960">
        <v>92.0</v>
      </c>
      <c r="S2115" s="960">
        <v>155.0</v>
      </c>
      <c r="T2115" s="960">
        <v>170.0</v>
      </c>
      <c r="U2115" s="960">
        <f t="array" ref="U2115">HLOOKUP($J2115,'Type Chart'!$C$2:$T$20,2,false)*HLOOKUP($K2115,'Type Chart'!$C$2:$U$20,2,false)</f>
        <v>0</v>
      </c>
      <c r="V2115" s="960">
        <f t="array" ref="V2115">HLOOKUP($J2115,'Type Chart'!$C$2:$T$20,3,false)*HLOOKUP($K2115,'Type Chart'!$C$2:$U$20,3,false)</f>
        <v>0</v>
      </c>
      <c r="W2115" s="960">
        <f t="array" ref="W2115">HLOOKUP($J2115,'Type Chart'!$C$2:$T$20,4,false)*HLOOKUP($K2115,'Type Chart'!$C$2:$U$20,4,false)</f>
        <v>0.5</v>
      </c>
      <c r="X2115" s="960">
        <f t="array" ref="X2115">HLOOKUP($J2115,'Type Chart'!$C$2:$T$20,5,false)*HLOOKUP($K2115,'Type Chart'!$C$2:$U$20,5,false)</f>
        <v>0</v>
      </c>
      <c r="Y2115" s="960">
        <f t="array" ref="Y2115">HLOOKUP($J2115,'Type Chart'!$C$2:$T$20,6,false)*HLOOKUP($K2115,'Type Chart'!$C$2:$U$20,6,false)</f>
        <v>2</v>
      </c>
      <c r="Z2115" s="960">
        <f t="array" ref="Z2115">HLOOKUP($J2115,'Type Chart'!$C$2:$T$20,7,false)*HLOOKUP($K2115,'Type Chart'!$C$2:$U$20,7,false)</f>
        <v>0.5</v>
      </c>
      <c r="AA2115" s="960">
        <f t="array" ref="AA2115">HLOOKUP($J2115,'Type Chart'!$C$2:$T$20,8,false)*HLOOKUP($K2115,'Type Chart'!$C$2:$U$20,8,false)</f>
        <v>0.25</v>
      </c>
      <c r="AB2115" s="960">
        <f t="array" ref="AB2115">HLOOKUP($J2115,'Type Chart'!$C$2:$T$20,9,false)*HLOOKUP($K2115,'Type Chart'!$C$2:$U$20,9,false)</f>
        <v>2</v>
      </c>
      <c r="AC2115" s="960">
        <f t="array" ref="AC2115">HLOOKUP($J2115,'Type Chart'!$C$2:$T$20,10,false)*HLOOKUP($K2115,'Type Chart'!$C$2:$U$20,10,false)</f>
        <v>0.5</v>
      </c>
      <c r="AD2115" s="960">
        <f t="array" ref="AD2115">HLOOKUP($J2115,'Type Chart'!$C$2:$T$20,11,false)*HLOOKUP($K2115,'Type Chart'!$C$2:$U$20,11,false)</f>
        <v>2</v>
      </c>
      <c r="AE2115" s="960">
        <f t="array" ref="AE2115">HLOOKUP($J2115,'Type Chart'!$C$2:$T$20,12,false)*HLOOKUP($K2115,'Type Chart'!$C$2:$U$20,12,false)</f>
        <v>1</v>
      </c>
      <c r="AF2115" s="960">
        <f t="array" ref="AF2115">HLOOKUP($J2115,'Type Chart'!$C$2:$T$20,13,false)*HLOOKUP($K2115,'Type Chart'!$C$2:$U$20,13,false)</f>
        <v>0.5</v>
      </c>
      <c r="AG2115" s="960">
        <f t="array" ref="AG2115">HLOOKUP($J2115,'Type Chart'!$C$2:$T$20,14,false)*HLOOKUP($K2115,'Type Chart'!$C$2:$U$20,14,false)</f>
        <v>1</v>
      </c>
      <c r="AH2115" s="960">
        <f t="array" ref="AH2115">HLOOKUP($J2115,'Type Chart'!$C$2:$T$20,15,false)*HLOOKUP($K2115,'Type Chart'!$C$2:$U$20,15,false)</f>
        <v>0.5</v>
      </c>
      <c r="AI2115" s="960">
        <f t="array" ref="AI2115">HLOOKUP($J2115,'Type Chart'!$C$2:$T$20,16,false)*HLOOKUP($K2115,'Type Chart'!$C$2:$U$20,16,false)</f>
        <v>0.5</v>
      </c>
      <c r="AJ2115" s="960">
        <f t="array" ref="AJ2115">HLOOKUP($J2115,'Type Chart'!$C$2:$T$20,17,false)*HLOOKUP($K2115,'Type Chart'!$C$2:$U$20,17,false)</f>
        <v>0.5</v>
      </c>
      <c r="AK2115" s="960">
        <f t="array" ref="AK2115">HLOOKUP($J2115,'Type Chart'!$C$2:$T$20,18,false)*HLOOKUP($K2115,'Type Chart'!$C$2:$U$20,18,false)</f>
        <v>2</v>
      </c>
      <c r="AL2115" s="960">
        <f t="array" ref="AL2115">HLOOKUP($J2115,'Type Chart'!$C$2:$T$20,19,false)*HLOOKUP($K2115,'Type Chart'!$C$2:$U$20,19,false)</f>
        <v>0.5</v>
      </c>
      <c r="AM2115" s="964" t="s">
        <v>1034</v>
      </c>
      <c r="AN2115" s="965"/>
      <c r="AO2115" s="966"/>
      <c r="AP2115" s="936"/>
      <c r="AQ2115" s="1245"/>
      <c r="AR2115" s="1245"/>
      <c r="AS2115" s="936"/>
    </row>
    <row r="2116" ht="15.75" customHeight="1">
      <c r="A2116" s="1099"/>
      <c r="B2116" s="948" t="s">
        <v>3360</v>
      </c>
      <c r="C2116" s="1197" t="s">
        <v>3361</v>
      </c>
      <c r="D2116" s="1197" t="s">
        <v>3361</v>
      </c>
      <c r="E2116" s="1147" t="s">
        <v>3361</v>
      </c>
      <c r="F2116" s="940"/>
      <c r="G2116" s="953"/>
      <c r="H2116" s="969"/>
      <c r="I2116" s="998" t="s">
        <v>5216</v>
      </c>
      <c r="J2116" s="1206" t="s">
        <v>82</v>
      </c>
      <c r="K2116" s="1220" t="s">
        <v>215</v>
      </c>
      <c r="L2116" s="959">
        <v>59.0</v>
      </c>
      <c r="M2116" s="960">
        <v>110.0</v>
      </c>
      <c r="N2116" s="960">
        <v>150.0</v>
      </c>
      <c r="O2116" s="960">
        <v>45.0</v>
      </c>
      <c r="P2116" s="960">
        <v>49.0</v>
      </c>
      <c r="Q2116" s="960">
        <v>35.0</v>
      </c>
      <c r="R2116" s="960">
        <v>106.0</v>
      </c>
      <c r="S2116" s="960">
        <v>169.0</v>
      </c>
      <c r="T2116" s="960">
        <v>185.0</v>
      </c>
      <c r="U2116" s="960">
        <f t="array" ref="U2116">HLOOKUP($J2116,'Type Chart'!$C$2:$T$20,2,false)*HLOOKUP($K2116,'Type Chart'!$C$2:$U$20,2,false)</f>
        <v>0</v>
      </c>
      <c r="V2116" s="960">
        <f t="array" ref="V2116">HLOOKUP($J2116,'Type Chart'!$C$2:$T$20,3,false)*HLOOKUP($K2116,'Type Chart'!$C$2:$U$20,3,false)</f>
        <v>0</v>
      </c>
      <c r="W2116" s="960">
        <f t="array" ref="W2116">HLOOKUP($J2116,'Type Chart'!$C$2:$T$20,4,false)*HLOOKUP($K2116,'Type Chart'!$C$2:$U$20,4,false)</f>
        <v>0.5</v>
      </c>
      <c r="X2116" s="960">
        <f t="array" ref="X2116">HLOOKUP($J2116,'Type Chart'!$C$2:$T$20,5,false)*HLOOKUP($K2116,'Type Chart'!$C$2:$U$20,5,false)</f>
        <v>0</v>
      </c>
      <c r="Y2116" s="960">
        <f t="array" ref="Y2116">HLOOKUP($J2116,'Type Chart'!$C$2:$T$20,6,false)*HLOOKUP($K2116,'Type Chart'!$C$2:$U$20,6,false)</f>
        <v>2</v>
      </c>
      <c r="Z2116" s="960">
        <f t="array" ref="Z2116">HLOOKUP($J2116,'Type Chart'!$C$2:$T$20,7,false)*HLOOKUP($K2116,'Type Chart'!$C$2:$U$20,7,false)</f>
        <v>0.5</v>
      </c>
      <c r="AA2116" s="960">
        <f t="array" ref="AA2116">HLOOKUP($J2116,'Type Chart'!$C$2:$T$20,8,false)*HLOOKUP($K2116,'Type Chart'!$C$2:$U$20,8,false)</f>
        <v>0.25</v>
      </c>
      <c r="AB2116" s="960">
        <f t="array" ref="AB2116">HLOOKUP($J2116,'Type Chart'!$C$2:$T$20,9,false)*HLOOKUP($K2116,'Type Chart'!$C$2:$U$20,9,false)</f>
        <v>2</v>
      </c>
      <c r="AC2116" s="960">
        <f t="array" ref="AC2116">HLOOKUP($J2116,'Type Chart'!$C$2:$T$20,10,false)*HLOOKUP($K2116,'Type Chart'!$C$2:$U$20,10,false)</f>
        <v>0.5</v>
      </c>
      <c r="AD2116" s="960">
        <f t="array" ref="AD2116">HLOOKUP($J2116,'Type Chart'!$C$2:$T$20,11,false)*HLOOKUP($K2116,'Type Chart'!$C$2:$U$20,11,false)</f>
        <v>2</v>
      </c>
      <c r="AE2116" s="960">
        <f t="array" ref="AE2116">HLOOKUP($J2116,'Type Chart'!$C$2:$T$20,12,false)*HLOOKUP($K2116,'Type Chart'!$C$2:$U$20,12,false)</f>
        <v>1</v>
      </c>
      <c r="AF2116" s="960">
        <f t="array" ref="AF2116">HLOOKUP($J2116,'Type Chart'!$C$2:$T$20,13,false)*HLOOKUP($K2116,'Type Chart'!$C$2:$U$20,13,false)</f>
        <v>0.5</v>
      </c>
      <c r="AG2116" s="960">
        <f t="array" ref="AG2116">HLOOKUP($J2116,'Type Chart'!$C$2:$T$20,14,false)*HLOOKUP($K2116,'Type Chart'!$C$2:$U$20,14,false)</f>
        <v>1</v>
      </c>
      <c r="AH2116" s="960">
        <f t="array" ref="AH2116">HLOOKUP($J2116,'Type Chart'!$C$2:$T$20,15,false)*HLOOKUP($K2116,'Type Chart'!$C$2:$U$20,15,false)</f>
        <v>0.5</v>
      </c>
      <c r="AI2116" s="960">
        <f t="array" ref="AI2116">HLOOKUP($J2116,'Type Chart'!$C$2:$T$20,16,false)*HLOOKUP($K2116,'Type Chart'!$C$2:$U$20,16,false)</f>
        <v>0.5</v>
      </c>
      <c r="AJ2116" s="960">
        <f t="array" ref="AJ2116">HLOOKUP($J2116,'Type Chart'!$C$2:$T$20,17,false)*HLOOKUP($K2116,'Type Chart'!$C$2:$U$20,17,false)</f>
        <v>0.5</v>
      </c>
      <c r="AK2116" s="960">
        <f t="array" ref="AK2116">HLOOKUP($J2116,'Type Chart'!$C$2:$T$20,18,false)*HLOOKUP($K2116,'Type Chart'!$C$2:$U$20,18,false)</f>
        <v>2</v>
      </c>
      <c r="AL2116" s="960">
        <f t="array" ref="AL2116">HLOOKUP($J2116,'Type Chart'!$C$2:$T$20,19,false)*HLOOKUP($K2116,'Type Chart'!$C$2:$U$20,19,false)</f>
        <v>0.5</v>
      </c>
      <c r="AM2116" s="964" t="s">
        <v>1034</v>
      </c>
      <c r="AN2116" s="965"/>
      <c r="AO2116" s="966"/>
      <c r="AP2116" s="936"/>
      <c r="AQ2116" s="1245"/>
      <c r="AR2116" s="1245"/>
      <c r="AS2116" s="936"/>
    </row>
    <row r="2117" ht="15.75" customHeight="1">
      <c r="A2117" s="1099"/>
      <c r="B2117" s="948" t="s">
        <v>3363</v>
      </c>
      <c r="C2117" s="1197" t="s">
        <v>3364</v>
      </c>
      <c r="D2117" s="1197" t="s">
        <v>3364</v>
      </c>
      <c r="E2117" s="1147" t="s">
        <v>3364</v>
      </c>
      <c r="F2117" s="940"/>
      <c r="G2117" s="953"/>
      <c r="H2117" s="969"/>
      <c r="I2117" s="998" t="s">
        <v>5217</v>
      </c>
      <c r="J2117" s="1206" t="s">
        <v>82</v>
      </c>
      <c r="K2117" s="1220" t="s">
        <v>215</v>
      </c>
      <c r="L2117" s="959">
        <v>60.0</v>
      </c>
      <c r="M2117" s="960">
        <v>50.0</v>
      </c>
      <c r="N2117" s="960">
        <v>140.0</v>
      </c>
      <c r="O2117" s="960">
        <v>50.0</v>
      </c>
      <c r="P2117" s="960">
        <v>140.0</v>
      </c>
      <c r="Q2117" s="960">
        <v>60.0</v>
      </c>
      <c r="R2117" s="960">
        <v>156.0</v>
      </c>
      <c r="S2117" s="960">
        <v>219.0</v>
      </c>
      <c r="T2117" s="960">
        <v>240.0</v>
      </c>
      <c r="U2117" s="960">
        <f t="array" ref="U2117">HLOOKUP($J2117,'Type Chart'!$C$2:$T$20,2,false)*HLOOKUP($K2117,'Type Chart'!$C$2:$U$20,2,false)</f>
        <v>0</v>
      </c>
      <c r="V2117" s="960">
        <f t="array" ref="V2117">HLOOKUP($J2117,'Type Chart'!$C$2:$T$20,3,false)*HLOOKUP($K2117,'Type Chart'!$C$2:$U$20,3,false)</f>
        <v>0</v>
      </c>
      <c r="W2117" s="960">
        <f t="array" ref="W2117">HLOOKUP($J2117,'Type Chart'!$C$2:$T$20,4,false)*HLOOKUP($K2117,'Type Chart'!$C$2:$U$20,4,false)</f>
        <v>0.5</v>
      </c>
      <c r="X2117" s="960">
        <f t="array" ref="X2117">HLOOKUP($J2117,'Type Chart'!$C$2:$T$20,5,false)*HLOOKUP($K2117,'Type Chart'!$C$2:$U$20,5,false)</f>
        <v>0</v>
      </c>
      <c r="Y2117" s="960">
        <f t="array" ref="Y2117">HLOOKUP($J2117,'Type Chart'!$C$2:$T$20,6,false)*HLOOKUP($K2117,'Type Chart'!$C$2:$U$20,6,false)</f>
        <v>2</v>
      </c>
      <c r="Z2117" s="960">
        <f t="array" ref="Z2117">HLOOKUP($J2117,'Type Chart'!$C$2:$T$20,7,false)*HLOOKUP($K2117,'Type Chart'!$C$2:$U$20,7,false)</f>
        <v>0.5</v>
      </c>
      <c r="AA2117" s="960">
        <f t="array" ref="AA2117">HLOOKUP($J2117,'Type Chart'!$C$2:$T$20,8,false)*HLOOKUP($K2117,'Type Chart'!$C$2:$U$20,8,false)</f>
        <v>0.25</v>
      </c>
      <c r="AB2117" s="960">
        <f t="array" ref="AB2117">HLOOKUP($J2117,'Type Chart'!$C$2:$T$20,9,false)*HLOOKUP($K2117,'Type Chart'!$C$2:$U$20,9,false)</f>
        <v>2</v>
      </c>
      <c r="AC2117" s="960">
        <f t="array" ref="AC2117">HLOOKUP($J2117,'Type Chart'!$C$2:$T$20,10,false)*HLOOKUP($K2117,'Type Chart'!$C$2:$U$20,10,false)</f>
        <v>0.5</v>
      </c>
      <c r="AD2117" s="960">
        <f t="array" ref="AD2117">HLOOKUP($J2117,'Type Chart'!$C$2:$T$20,11,false)*HLOOKUP($K2117,'Type Chart'!$C$2:$U$20,11,false)</f>
        <v>2</v>
      </c>
      <c r="AE2117" s="960">
        <f t="array" ref="AE2117">HLOOKUP($J2117,'Type Chart'!$C$2:$T$20,12,false)*HLOOKUP($K2117,'Type Chart'!$C$2:$U$20,12,false)</f>
        <v>1</v>
      </c>
      <c r="AF2117" s="960">
        <f t="array" ref="AF2117">HLOOKUP($J2117,'Type Chart'!$C$2:$T$20,13,false)*HLOOKUP($K2117,'Type Chart'!$C$2:$U$20,13,false)</f>
        <v>0.5</v>
      </c>
      <c r="AG2117" s="960">
        <f t="array" ref="AG2117">HLOOKUP($J2117,'Type Chart'!$C$2:$T$20,14,false)*HLOOKUP($K2117,'Type Chart'!$C$2:$U$20,14,false)</f>
        <v>1</v>
      </c>
      <c r="AH2117" s="960">
        <f t="array" ref="AH2117">HLOOKUP($J2117,'Type Chart'!$C$2:$T$20,15,false)*HLOOKUP($K2117,'Type Chart'!$C$2:$U$20,15,false)</f>
        <v>0.5</v>
      </c>
      <c r="AI2117" s="960">
        <f t="array" ref="AI2117">HLOOKUP($J2117,'Type Chart'!$C$2:$T$20,16,false)*HLOOKUP($K2117,'Type Chart'!$C$2:$U$20,16,false)</f>
        <v>0.5</v>
      </c>
      <c r="AJ2117" s="960">
        <f t="array" ref="AJ2117">HLOOKUP($J2117,'Type Chart'!$C$2:$T$20,17,false)*HLOOKUP($K2117,'Type Chart'!$C$2:$U$20,17,false)</f>
        <v>0.5</v>
      </c>
      <c r="AK2117" s="960">
        <f t="array" ref="AK2117">HLOOKUP($J2117,'Type Chart'!$C$2:$T$20,18,false)*HLOOKUP($K2117,'Type Chart'!$C$2:$U$20,18,false)</f>
        <v>2</v>
      </c>
      <c r="AL2117" s="960">
        <f t="array" ref="AL2117">HLOOKUP($J2117,'Type Chart'!$C$2:$T$20,19,false)*HLOOKUP($K2117,'Type Chart'!$C$2:$U$20,19,false)</f>
        <v>0.5</v>
      </c>
      <c r="AM2117" s="1145" t="s">
        <v>3366</v>
      </c>
      <c r="AN2117" s="965"/>
      <c r="AO2117" s="1146"/>
      <c r="AP2117" s="936"/>
      <c r="AQ2117" s="1245"/>
      <c r="AR2117" s="1245"/>
      <c r="AS2117" s="936"/>
    </row>
    <row r="2118" ht="15.75" customHeight="1">
      <c r="A2118" s="1099"/>
      <c r="B2118" s="948" t="s">
        <v>3367</v>
      </c>
      <c r="C2118" s="1197" t="s">
        <v>3368</v>
      </c>
      <c r="D2118" s="1197" t="s">
        <v>3368</v>
      </c>
      <c r="E2118" s="1147" t="s">
        <v>3368</v>
      </c>
      <c r="F2118" s="940"/>
      <c r="G2118" s="953"/>
      <c r="H2118" s="969"/>
      <c r="I2118" s="998" t="s">
        <v>5218</v>
      </c>
      <c r="J2118" s="1206" t="s">
        <v>82</v>
      </c>
      <c r="K2118" s="1220" t="s">
        <v>215</v>
      </c>
      <c r="L2118" s="959">
        <v>60.0</v>
      </c>
      <c r="M2118" s="960">
        <v>140.0</v>
      </c>
      <c r="N2118" s="960">
        <v>50.0</v>
      </c>
      <c r="O2118" s="960">
        <v>140.0</v>
      </c>
      <c r="P2118" s="960">
        <v>50.0</v>
      </c>
      <c r="Q2118" s="960">
        <v>60.0</v>
      </c>
      <c r="R2118" s="960">
        <v>156.0</v>
      </c>
      <c r="S2118" s="960">
        <v>219.0</v>
      </c>
      <c r="T2118" s="960">
        <v>240.0</v>
      </c>
      <c r="U2118" s="960">
        <f t="array" ref="U2118">HLOOKUP($J2118,'Type Chart'!$C$2:$T$20,2,false)*HLOOKUP($K2118,'Type Chart'!$C$2:$U$20,2,false)</f>
        <v>0</v>
      </c>
      <c r="V2118" s="960">
        <f t="array" ref="V2118">HLOOKUP($J2118,'Type Chart'!$C$2:$T$20,3,false)*HLOOKUP($K2118,'Type Chart'!$C$2:$U$20,3,false)</f>
        <v>0</v>
      </c>
      <c r="W2118" s="960">
        <f t="array" ref="W2118">HLOOKUP($J2118,'Type Chart'!$C$2:$T$20,4,false)*HLOOKUP($K2118,'Type Chart'!$C$2:$U$20,4,false)</f>
        <v>0.5</v>
      </c>
      <c r="X2118" s="960">
        <f t="array" ref="X2118">HLOOKUP($J2118,'Type Chart'!$C$2:$T$20,5,false)*HLOOKUP($K2118,'Type Chart'!$C$2:$U$20,5,false)</f>
        <v>0</v>
      </c>
      <c r="Y2118" s="960">
        <f t="array" ref="Y2118">HLOOKUP($J2118,'Type Chart'!$C$2:$T$20,6,false)*HLOOKUP($K2118,'Type Chart'!$C$2:$U$20,6,false)</f>
        <v>2</v>
      </c>
      <c r="Z2118" s="960">
        <f t="array" ref="Z2118">HLOOKUP($J2118,'Type Chart'!$C$2:$T$20,7,false)*HLOOKUP($K2118,'Type Chart'!$C$2:$U$20,7,false)</f>
        <v>0.5</v>
      </c>
      <c r="AA2118" s="960">
        <f t="array" ref="AA2118">HLOOKUP($J2118,'Type Chart'!$C$2:$T$20,8,false)*HLOOKUP($K2118,'Type Chart'!$C$2:$U$20,8,false)</f>
        <v>0.25</v>
      </c>
      <c r="AB2118" s="960">
        <f t="array" ref="AB2118">HLOOKUP($J2118,'Type Chart'!$C$2:$T$20,9,false)*HLOOKUP($K2118,'Type Chart'!$C$2:$U$20,9,false)</f>
        <v>2</v>
      </c>
      <c r="AC2118" s="960">
        <f t="array" ref="AC2118">HLOOKUP($J2118,'Type Chart'!$C$2:$T$20,10,false)*HLOOKUP($K2118,'Type Chart'!$C$2:$U$20,10,false)</f>
        <v>0.5</v>
      </c>
      <c r="AD2118" s="960">
        <f t="array" ref="AD2118">HLOOKUP($J2118,'Type Chart'!$C$2:$T$20,11,false)*HLOOKUP($K2118,'Type Chart'!$C$2:$U$20,11,false)</f>
        <v>2</v>
      </c>
      <c r="AE2118" s="960">
        <f t="array" ref="AE2118">HLOOKUP($J2118,'Type Chart'!$C$2:$T$20,12,false)*HLOOKUP($K2118,'Type Chart'!$C$2:$U$20,12,false)</f>
        <v>1</v>
      </c>
      <c r="AF2118" s="960">
        <f t="array" ref="AF2118">HLOOKUP($J2118,'Type Chart'!$C$2:$T$20,13,false)*HLOOKUP($K2118,'Type Chart'!$C$2:$U$20,13,false)</f>
        <v>0.5</v>
      </c>
      <c r="AG2118" s="960">
        <f t="array" ref="AG2118">HLOOKUP($J2118,'Type Chart'!$C$2:$T$20,14,false)*HLOOKUP($K2118,'Type Chart'!$C$2:$U$20,14,false)</f>
        <v>1</v>
      </c>
      <c r="AH2118" s="960">
        <f t="array" ref="AH2118">HLOOKUP($J2118,'Type Chart'!$C$2:$T$20,15,false)*HLOOKUP($K2118,'Type Chart'!$C$2:$U$20,15,false)</f>
        <v>0.5</v>
      </c>
      <c r="AI2118" s="960">
        <f t="array" ref="AI2118">HLOOKUP($J2118,'Type Chart'!$C$2:$T$20,16,false)*HLOOKUP($K2118,'Type Chart'!$C$2:$U$20,16,false)</f>
        <v>0.5</v>
      </c>
      <c r="AJ2118" s="960">
        <f t="array" ref="AJ2118">HLOOKUP($J2118,'Type Chart'!$C$2:$T$20,17,false)*HLOOKUP($K2118,'Type Chart'!$C$2:$U$20,17,false)</f>
        <v>0.5</v>
      </c>
      <c r="AK2118" s="960">
        <f t="array" ref="AK2118">HLOOKUP($J2118,'Type Chart'!$C$2:$T$20,18,false)*HLOOKUP($K2118,'Type Chart'!$C$2:$U$20,18,false)</f>
        <v>2</v>
      </c>
      <c r="AL2118" s="960">
        <f t="array" ref="AL2118">HLOOKUP($J2118,'Type Chart'!$C$2:$T$20,19,false)*HLOOKUP($K2118,'Type Chart'!$C$2:$U$20,19,false)</f>
        <v>0.5</v>
      </c>
      <c r="AM2118" s="964" t="s">
        <v>3366</v>
      </c>
      <c r="AN2118" s="965"/>
      <c r="AO2118" s="966"/>
      <c r="AP2118" s="936"/>
      <c r="AQ2118" s="1245"/>
      <c r="AR2118" s="1245"/>
      <c r="AS2118" s="936"/>
    </row>
    <row r="2119" ht="15.75" customHeight="1">
      <c r="A2119" s="1099"/>
      <c r="B2119" s="948" t="s">
        <v>3370</v>
      </c>
      <c r="C2119" s="1197" t="s">
        <v>3371</v>
      </c>
      <c r="D2119" s="1197" t="s">
        <v>3371</v>
      </c>
      <c r="E2119" s="1147" t="s">
        <v>3371</v>
      </c>
      <c r="F2119" s="940"/>
      <c r="G2119" s="953"/>
      <c r="H2119" s="969"/>
      <c r="I2119" s="998" t="s">
        <v>5219</v>
      </c>
      <c r="J2119" s="1207" t="s">
        <v>127</v>
      </c>
      <c r="K2119" s="984" t="s">
        <v>216</v>
      </c>
      <c r="L2119" s="959">
        <v>78.0</v>
      </c>
      <c r="M2119" s="960">
        <v>52.0</v>
      </c>
      <c r="N2119" s="960">
        <v>60.0</v>
      </c>
      <c r="O2119" s="960">
        <v>63.0</v>
      </c>
      <c r="P2119" s="960">
        <v>65.0</v>
      </c>
      <c r="Q2119" s="960">
        <v>23.0</v>
      </c>
      <c r="R2119" s="960">
        <v>82.0</v>
      </c>
      <c r="S2119" s="960">
        <v>145.0</v>
      </c>
      <c r="T2119" s="960">
        <v>159.0</v>
      </c>
      <c r="U2119" s="960">
        <f t="array" ref="U2119">HLOOKUP($J2119,'Type Chart'!$C$2:$T$20,2,false)*HLOOKUP($K2119,'Type Chart'!$C$2:$U$20,2,false)</f>
        <v>1</v>
      </c>
      <c r="V2119" s="960">
        <f t="array" ref="V2119">HLOOKUP($J2119,'Type Chart'!$C$2:$T$20,3,false)*HLOOKUP($K2119,'Type Chart'!$C$2:$U$20,3,false)</f>
        <v>0.5</v>
      </c>
      <c r="W2119" s="960">
        <f t="array" ref="W2119">HLOOKUP($J2119,'Type Chart'!$C$2:$T$20,4,false)*HLOOKUP($K2119,'Type Chart'!$C$2:$U$20,4,false)</f>
        <v>1</v>
      </c>
      <c r="X2119" s="960">
        <f t="array" ref="X2119">HLOOKUP($J2119,'Type Chart'!$C$2:$T$20,5,false)*HLOOKUP($K2119,'Type Chart'!$C$2:$U$20,5,false)</f>
        <v>2</v>
      </c>
      <c r="Y2119" s="960">
        <f t="array" ref="Y2119">HLOOKUP($J2119,'Type Chart'!$C$2:$T$20,6,false)*HLOOKUP($K2119,'Type Chart'!$C$2:$U$20,6,false)</f>
        <v>1</v>
      </c>
      <c r="Z2119" s="960">
        <f t="array" ref="Z2119">HLOOKUP($J2119,'Type Chart'!$C$2:$T$20,7,false)*HLOOKUP($K2119,'Type Chart'!$C$2:$U$20,7,false)</f>
        <v>1</v>
      </c>
      <c r="AA2119" s="960">
        <f t="array" ref="AA2119">HLOOKUP($J2119,'Type Chart'!$C$2:$T$20,8,false)*HLOOKUP($K2119,'Type Chart'!$C$2:$U$20,8,false)</f>
        <v>0.5</v>
      </c>
      <c r="AB2119" s="960">
        <f t="array" ref="AB2119">HLOOKUP($J2119,'Type Chart'!$C$2:$T$20,9,false)*HLOOKUP($K2119,'Type Chart'!$C$2:$U$20,9,false)</f>
        <v>1</v>
      </c>
      <c r="AC2119" s="960">
        <f t="array" ref="AC2119">HLOOKUP($J2119,'Type Chart'!$C$2:$T$20,10,false)*HLOOKUP($K2119,'Type Chart'!$C$2:$U$20,10,false)</f>
        <v>2</v>
      </c>
      <c r="AD2119" s="960">
        <f t="array" ref="AD2119">HLOOKUP($J2119,'Type Chart'!$C$2:$T$20,11,false)*HLOOKUP($K2119,'Type Chart'!$C$2:$U$20,11,false)</f>
        <v>1</v>
      </c>
      <c r="AE2119" s="960">
        <f t="array" ref="AE2119">HLOOKUP($J2119,'Type Chart'!$C$2:$T$20,12,false)*HLOOKUP($K2119,'Type Chart'!$C$2:$U$20,12,false)</f>
        <v>1</v>
      </c>
      <c r="AF2119" s="960">
        <f t="array" ref="AF2119">HLOOKUP($J2119,'Type Chart'!$C$2:$T$20,13,false)*HLOOKUP($K2119,'Type Chart'!$C$2:$U$20,13,false)</f>
        <v>1</v>
      </c>
      <c r="AG2119" s="960">
        <f t="array" ref="AG2119">HLOOKUP($J2119,'Type Chart'!$C$2:$T$20,14,false)*HLOOKUP($K2119,'Type Chart'!$C$2:$U$20,14,false)</f>
        <v>1</v>
      </c>
      <c r="AH2119" s="960">
        <f t="array" ref="AH2119">HLOOKUP($J2119,'Type Chart'!$C$2:$T$20,15,false)*HLOOKUP($K2119,'Type Chart'!$C$2:$U$20,15,false)</f>
        <v>1</v>
      </c>
      <c r="AI2119" s="960">
        <f t="array" ref="AI2119">HLOOKUP($J2119,'Type Chart'!$C$2:$T$20,16,false)*HLOOKUP($K2119,'Type Chart'!$C$2:$U$20,16,false)</f>
        <v>1</v>
      </c>
      <c r="AJ2119" s="960">
        <f t="array" ref="AJ2119">HLOOKUP($J2119,'Type Chart'!$C$2:$T$20,17,false)*HLOOKUP($K2119,'Type Chart'!$C$2:$U$20,17,false)</f>
        <v>0</v>
      </c>
      <c r="AK2119" s="960">
        <f t="array" ref="AK2119">HLOOKUP($J2119,'Type Chart'!$C$2:$T$20,18,false)*HLOOKUP($K2119,'Type Chart'!$C$2:$U$20,18,false)</f>
        <v>0.5</v>
      </c>
      <c r="AL2119" s="960">
        <f t="array" ref="AL2119">HLOOKUP($J2119,'Type Chart'!$C$2:$T$20,19,false)*HLOOKUP($K2119,'Type Chart'!$C$2:$U$20,19,false)</f>
        <v>1</v>
      </c>
      <c r="AM2119" s="964" t="s">
        <v>1522</v>
      </c>
      <c r="AN2119" s="965"/>
      <c r="AO2119" s="966" t="s">
        <v>3373</v>
      </c>
      <c r="AP2119" s="936"/>
      <c r="AQ2119" s="1245"/>
      <c r="AR2119" s="1245"/>
      <c r="AS2119" s="936"/>
    </row>
    <row r="2120" ht="15.75" customHeight="1">
      <c r="A2120" s="1099"/>
      <c r="B2120" s="948" t="s">
        <v>3374</v>
      </c>
      <c r="C2120" s="1197" t="s">
        <v>3375</v>
      </c>
      <c r="D2120" s="1197" t="s">
        <v>3375</v>
      </c>
      <c r="E2120" s="1147" t="s">
        <v>3375</v>
      </c>
      <c r="F2120" s="940"/>
      <c r="G2120" s="953"/>
      <c r="H2120" s="969"/>
      <c r="I2120" s="998" t="s">
        <v>5220</v>
      </c>
      <c r="J2120" s="1207" t="s">
        <v>127</v>
      </c>
      <c r="K2120" s="984" t="s">
        <v>216</v>
      </c>
      <c r="L2120" s="959">
        <v>101.0</v>
      </c>
      <c r="M2120" s="960">
        <v>72.0</v>
      </c>
      <c r="N2120" s="960">
        <v>72.0</v>
      </c>
      <c r="O2120" s="960">
        <v>99.0</v>
      </c>
      <c r="P2120" s="960">
        <v>89.0</v>
      </c>
      <c r="Q2120" s="960">
        <v>29.0</v>
      </c>
      <c r="R2120" s="960">
        <v>94.0</v>
      </c>
      <c r="S2120" s="960">
        <v>157.0</v>
      </c>
      <c r="T2120" s="960">
        <v>172.0</v>
      </c>
      <c r="U2120" s="960">
        <f t="array" ref="U2120">HLOOKUP($J2120,'Type Chart'!$C$2:$T$20,2,false)*HLOOKUP($K2120,'Type Chart'!$C$2:$U$20,2,false)</f>
        <v>1</v>
      </c>
      <c r="V2120" s="960">
        <f t="array" ref="V2120">HLOOKUP($J2120,'Type Chart'!$C$2:$T$20,3,false)*HLOOKUP($K2120,'Type Chart'!$C$2:$U$20,3,false)</f>
        <v>0.5</v>
      </c>
      <c r="W2120" s="960">
        <f t="array" ref="W2120">HLOOKUP($J2120,'Type Chart'!$C$2:$T$20,4,false)*HLOOKUP($K2120,'Type Chart'!$C$2:$U$20,4,false)</f>
        <v>1</v>
      </c>
      <c r="X2120" s="960">
        <f t="array" ref="X2120">HLOOKUP($J2120,'Type Chart'!$C$2:$T$20,5,false)*HLOOKUP($K2120,'Type Chart'!$C$2:$U$20,5,false)</f>
        <v>2</v>
      </c>
      <c r="Y2120" s="960">
        <f t="array" ref="Y2120">HLOOKUP($J2120,'Type Chart'!$C$2:$T$20,6,false)*HLOOKUP($K2120,'Type Chart'!$C$2:$U$20,6,false)</f>
        <v>1</v>
      </c>
      <c r="Z2120" s="960">
        <f t="array" ref="Z2120">HLOOKUP($J2120,'Type Chart'!$C$2:$T$20,7,false)*HLOOKUP($K2120,'Type Chart'!$C$2:$U$20,7,false)</f>
        <v>1</v>
      </c>
      <c r="AA2120" s="960">
        <f t="array" ref="AA2120">HLOOKUP($J2120,'Type Chart'!$C$2:$T$20,8,false)*HLOOKUP($K2120,'Type Chart'!$C$2:$U$20,8,false)</f>
        <v>0.5</v>
      </c>
      <c r="AB2120" s="960">
        <f t="array" ref="AB2120">HLOOKUP($J2120,'Type Chart'!$C$2:$T$20,9,false)*HLOOKUP($K2120,'Type Chart'!$C$2:$U$20,9,false)</f>
        <v>1</v>
      </c>
      <c r="AC2120" s="960">
        <f t="array" ref="AC2120">HLOOKUP($J2120,'Type Chart'!$C$2:$T$20,10,false)*HLOOKUP($K2120,'Type Chart'!$C$2:$U$20,10,false)</f>
        <v>2</v>
      </c>
      <c r="AD2120" s="960">
        <f t="array" ref="AD2120">HLOOKUP($J2120,'Type Chart'!$C$2:$T$20,11,false)*HLOOKUP($K2120,'Type Chart'!$C$2:$U$20,11,false)</f>
        <v>1</v>
      </c>
      <c r="AE2120" s="960">
        <f t="array" ref="AE2120">HLOOKUP($J2120,'Type Chart'!$C$2:$T$20,12,false)*HLOOKUP($K2120,'Type Chart'!$C$2:$U$20,12,false)</f>
        <v>1</v>
      </c>
      <c r="AF2120" s="960">
        <f t="array" ref="AF2120">HLOOKUP($J2120,'Type Chart'!$C$2:$T$20,13,false)*HLOOKUP($K2120,'Type Chart'!$C$2:$U$20,13,false)</f>
        <v>1</v>
      </c>
      <c r="AG2120" s="960">
        <f t="array" ref="AG2120">HLOOKUP($J2120,'Type Chart'!$C$2:$T$20,14,false)*HLOOKUP($K2120,'Type Chart'!$C$2:$U$20,14,false)</f>
        <v>1</v>
      </c>
      <c r="AH2120" s="960">
        <f t="array" ref="AH2120">HLOOKUP($J2120,'Type Chart'!$C$2:$T$20,15,false)*HLOOKUP($K2120,'Type Chart'!$C$2:$U$20,15,false)</f>
        <v>1</v>
      </c>
      <c r="AI2120" s="960">
        <f t="array" ref="AI2120">HLOOKUP($J2120,'Type Chart'!$C$2:$T$20,16,false)*HLOOKUP($K2120,'Type Chart'!$C$2:$U$20,16,false)</f>
        <v>1</v>
      </c>
      <c r="AJ2120" s="960">
        <f t="array" ref="AJ2120">HLOOKUP($J2120,'Type Chart'!$C$2:$T$20,17,false)*HLOOKUP($K2120,'Type Chart'!$C$2:$U$20,17,false)</f>
        <v>0</v>
      </c>
      <c r="AK2120" s="960">
        <f t="array" ref="AK2120">HLOOKUP($J2120,'Type Chart'!$C$2:$T$20,18,false)*HLOOKUP($K2120,'Type Chart'!$C$2:$U$20,18,false)</f>
        <v>0.5</v>
      </c>
      <c r="AL2120" s="960">
        <f t="array" ref="AL2120">HLOOKUP($J2120,'Type Chart'!$C$2:$T$20,19,false)*HLOOKUP($K2120,'Type Chart'!$C$2:$U$20,19,false)</f>
        <v>1</v>
      </c>
      <c r="AM2120" s="964" t="s">
        <v>1522</v>
      </c>
      <c r="AN2120" s="965"/>
      <c r="AO2120" s="966" t="s">
        <v>3373</v>
      </c>
      <c r="AP2120" s="936"/>
      <c r="AQ2120" s="1245"/>
      <c r="AR2120" s="1245"/>
      <c r="AS2120" s="936"/>
    </row>
    <row r="2121" ht="15.75" customHeight="1">
      <c r="A2121" s="1099"/>
      <c r="B2121" s="948" t="s">
        <v>3377</v>
      </c>
      <c r="C2121" s="1197" t="s">
        <v>3378</v>
      </c>
      <c r="D2121" s="1197" t="s">
        <v>3378</v>
      </c>
      <c r="E2121" s="1147" t="s">
        <v>3378</v>
      </c>
      <c r="F2121" s="940"/>
      <c r="G2121" s="953"/>
      <c r="H2121" s="969"/>
      <c r="I2121" s="998" t="s">
        <v>5221</v>
      </c>
      <c r="J2121" s="1207" t="s">
        <v>127</v>
      </c>
      <c r="K2121" s="984" t="s">
        <v>216</v>
      </c>
      <c r="L2121" s="959">
        <v>62.0</v>
      </c>
      <c r="M2121" s="960">
        <v>48.0</v>
      </c>
      <c r="N2121" s="960">
        <v>66.0</v>
      </c>
      <c r="O2121" s="960">
        <v>59.0</v>
      </c>
      <c r="P2121" s="960">
        <v>57.0</v>
      </c>
      <c r="Q2121" s="960">
        <v>49.0</v>
      </c>
      <c r="R2121" s="960">
        <v>134.0</v>
      </c>
      <c r="S2121" s="960">
        <v>197.0</v>
      </c>
      <c r="T2121" s="960">
        <v>216.0</v>
      </c>
      <c r="U2121" s="960">
        <f t="array" ref="U2121">HLOOKUP($J2121,'Type Chart'!$C$2:$T$20,2,false)*HLOOKUP($K2121,'Type Chart'!$C$2:$U$20,2,false)</f>
        <v>1</v>
      </c>
      <c r="V2121" s="960">
        <f t="array" ref="V2121">HLOOKUP($J2121,'Type Chart'!$C$2:$T$20,3,false)*HLOOKUP($K2121,'Type Chart'!$C$2:$U$20,3,false)</f>
        <v>0.5</v>
      </c>
      <c r="W2121" s="960">
        <f t="array" ref="W2121">HLOOKUP($J2121,'Type Chart'!$C$2:$T$20,4,false)*HLOOKUP($K2121,'Type Chart'!$C$2:$U$20,4,false)</f>
        <v>1</v>
      </c>
      <c r="X2121" s="960">
        <f t="array" ref="X2121">HLOOKUP($J2121,'Type Chart'!$C$2:$T$20,5,false)*HLOOKUP($K2121,'Type Chart'!$C$2:$U$20,5,false)</f>
        <v>2</v>
      </c>
      <c r="Y2121" s="960">
        <f t="array" ref="Y2121">HLOOKUP($J2121,'Type Chart'!$C$2:$T$20,6,false)*HLOOKUP($K2121,'Type Chart'!$C$2:$U$20,6,false)</f>
        <v>1</v>
      </c>
      <c r="Z2121" s="960">
        <f t="array" ref="Z2121">HLOOKUP($J2121,'Type Chart'!$C$2:$T$20,7,false)*HLOOKUP($K2121,'Type Chart'!$C$2:$U$20,7,false)</f>
        <v>1</v>
      </c>
      <c r="AA2121" s="960">
        <f t="array" ref="AA2121">HLOOKUP($J2121,'Type Chart'!$C$2:$T$20,8,false)*HLOOKUP($K2121,'Type Chart'!$C$2:$U$20,8,false)</f>
        <v>0.5</v>
      </c>
      <c r="AB2121" s="960">
        <f t="array" ref="AB2121">HLOOKUP($J2121,'Type Chart'!$C$2:$T$20,9,false)*HLOOKUP($K2121,'Type Chart'!$C$2:$U$20,9,false)</f>
        <v>1</v>
      </c>
      <c r="AC2121" s="960">
        <f t="array" ref="AC2121">HLOOKUP($J2121,'Type Chart'!$C$2:$T$20,10,false)*HLOOKUP($K2121,'Type Chart'!$C$2:$U$20,10,false)</f>
        <v>2</v>
      </c>
      <c r="AD2121" s="960">
        <f t="array" ref="AD2121">HLOOKUP($J2121,'Type Chart'!$C$2:$T$20,11,false)*HLOOKUP($K2121,'Type Chart'!$C$2:$U$20,11,false)</f>
        <v>1</v>
      </c>
      <c r="AE2121" s="960">
        <f t="array" ref="AE2121">HLOOKUP($J2121,'Type Chart'!$C$2:$T$20,12,false)*HLOOKUP($K2121,'Type Chart'!$C$2:$U$20,12,false)</f>
        <v>1</v>
      </c>
      <c r="AF2121" s="960">
        <f t="array" ref="AF2121">HLOOKUP($J2121,'Type Chart'!$C$2:$T$20,13,false)*HLOOKUP($K2121,'Type Chart'!$C$2:$U$20,13,false)</f>
        <v>1</v>
      </c>
      <c r="AG2121" s="960">
        <f t="array" ref="AG2121">HLOOKUP($J2121,'Type Chart'!$C$2:$T$20,14,false)*HLOOKUP($K2121,'Type Chart'!$C$2:$U$20,14,false)</f>
        <v>1</v>
      </c>
      <c r="AH2121" s="960">
        <f t="array" ref="AH2121">HLOOKUP($J2121,'Type Chart'!$C$2:$T$20,15,false)*HLOOKUP($K2121,'Type Chart'!$C$2:$U$20,15,false)</f>
        <v>1</v>
      </c>
      <c r="AI2121" s="960">
        <f t="array" ref="AI2121">HLOOKUP($J2121,'Type Chart'!$C$2:$T$20,16,false)*HLOOKUP($K2121,'Type Chart'!$C$2:$U$20,16,false)</f>
        <v>1</v>
      </c>
      <c r="AJ2121" s="960">
        <f t="array" ref="AJ2121">HLOOKUP($J2121,'Type Chart'!$C$2:$T$20,17,false)*HLOOKUP($K2121,'Type Chart'!$C$2:$U$20,17,false)</f>
        <v>0</v>
      </c>
      <c r="AK2121" s="960">
        <f t="array" ref="AK2121">HLOOKUP($J2121,'Type Chart'!$C$2:$T$20,18,false)*HLOOKUP($K2121,'Type Chart'!$C$2:$U$20,18,false)</f>
        <v>0.5</v>
      </c>
      <c r="AL2121" s="960">
        <f t="array" ref="AL2121">HLOOKUP($J2121,'Type Chart'!$C$2:$T$20,19,false)*HLOOKUP($K2121,'Type Chart'!$C$2:$U$20,19,false)</f>
        <v>1</v>
      </c>
      <c r="AM2121" s="964" t="s">
        <v>3380</v>
      </c>
      <c r="AN2121" s="965"/>
      <c r="AO2121" s="966" t="s">
        <v>1498</v>
      </c>
      <c r="AP2121" s="936"/>
      <c r="AQ2121" s="1245"/>
      <c r="AR2121" s="1245"/>
      <c r="AS2121" s="936"/>
    </row>
    <row r="2122" ht="15.75" customHeight="1">
      <c r="A2122" s="1099"/>
      <c r="B2122" s="948" t="s">
        <v>3381</v>
      </c>
      <c r="C2122" s="1197" t="s">
        <v>3382</v>
      </c>
      <c r="D2122" s="1197" t="s">
        <v>3382</v>
      </c>
      <c r="E2122" s="1147" t="s">
        <v>3382</v>
      </c>
      <c r="F2122" s="940"/>
      <c r="G2122" s="953"/>
      <c r="H2122" s="969"/>
      <c r="I2122" s="998" t="s">
        <v>5222</v>
      </c>
      <c r="J2122" s="1207" t="s">
        <v>127</v>
      </c>
      <c r="K2122" s="984" t="s">
        <v>216</v>
      </c>
      <c r="L2122" s="959">
        <v>82.0</v>
      </c>
      <c r="M2122" s="960">
        <v>80.0</v>
      </c>
      <c r="N2122" s="960">
        <v>86.0</v>
      </c>
      <c r="O2122" s="960">
        <v>85.0</v>
      </c>
      <c r="P2122" s="960">
        <v>75.0</v>
      </c>
      <c r="Q2122" s="960">
        <v>72.0</v>
      </c>
      <c r="R2122" s="960">
        <v>180.0</v>
      </c>
      <c r="S2122" s="960">
        <v>243.0</v>
      </c>
      <c r="T2122" s="960">
        <v>267.0</v>
      </c>
      <c r="U2122" s="960">
        <f t="array" ref="U2122">HLOOKUP($J2122,'Type Chart'!$C$2:$T$20,2,false)*HLOOKUP($K2122,'Type Chart'!$C$2:$U$20,2,false)</f>
        <v>1</v>
      </c>
      <c r="V2122" s="960">
        <f t="array" ref="V2122">HLOOKUP($J2122,'Type Chart'!$C$2:$T$20,3,false)*HLOOKUP($K2122,'Type Chart'!$C$2:$U$20,3,false)</f>
        <v>0.5</v>
      </c>
      <c r="W2122" s="960">
        <f t="array" ref="W2122">HLOOKUP($J2122,'Type Chart'!$C$2:$T$20,4,false)*HLOOKUP($K2122,'Type Chart'!$C$2:$U$20,4,false)</f>
        <v>1</v>
      </c>
      <c r="X2122" s="960">
        <f t="array" ref="X2122">HLOOKUP($J2122,'Type Chart'!$C$2:$T$20,5,false)*HLOOKUP($K2122,'Type Chart'!$C$2:$U$20,5,false)</f>
        <v>2</v>
      </c>
      <c r="Y2122" s="960">
        <f t="array" ref="Y2122">HLOOKUP($J2122,'Type Chart'!$C$2:$T$20,6,false)*HLOOKUP($K2122,'Type Chart'!$C$2:$U$20,6,false)</f>
        <v>1</v>
      </c>
      <c r="Z2122" s="960">
        <f t="array" ref="Z2122">HLOOKUP($J2122,'Type Chart'!$C$2:$T$20,7,false)*HLOOKUP($K2122,'Type Chart'!$C$2:$U$20,7,false)</f>
        <v>1</v>
      </c>
      <c r="AA2122" s="960">
        <f t="array" ref="AA2122">HLOOKUP($J2122,'Type Chart'!$C$2:$T$20,8,false)*HLOOKUP($K2122,'Type Chart'!$C$2:$U$20,8,false)</f>
        <v>0.5</v>
      </c>
      <c r="AB2122" s="960">
        <f t="array" ref="AB2122">HLOOKUP($J2122,'Type Chart'!$C$2:$T$20,9,false)*HLOOKUP($K2122,'Type Chart'!$C$2:$U$20,9,false)</f>
        <v>1</v>
      </c>
      <c r="AC2122" s="960">
        <f t="array" ref="AC2122">HLOOKUP($J2122,'Type Chart'!$C$2:$T$20,10,false)*HLOOKUP($K2122,'Type Chart'!$C$2:$U$20,10,false)</f>
        <v>2</v>
      </c>
      <c r="AD2122" s="960">
        <f t="array" ref="AD2122">HLOOKUP($J2122,'Type Chart'!$C$2:$T$20,11,false)*HLOOKUP($K2122,'Type Chart'!$C$2:$U$20,11,false)</f>
        <v>1</v>
      </c>
      <c r="AE2122" s="960">
        <f t="array" ref="AE2122">HLOOKUP($J2122,'Type Chart'!$C$2:$T$20,12,false)*HLOOKUP($K2122,'Type Chart'!$C$2:$U$20,12,false)</f>
        <v>1</v>
      </c>
      <c r="AF2122" s="960">
        <f t="array" ref="AF2122">HLOOKUP($J2122,'Type Chart'!$C$2:$T$20,13,false)*HLOOKUP($K2122,'Type Chart'!$C$2:$U$20,13,false)</f>
        <v>1</v>
      </c>
      <c r="AG2122" s="960">
        <f t="array" ref="AG2122">HLOOKUP($J2122,'Type Chart'!$C$2:$T$20,14,false)*HLOOKUP($K2122,'Type Chart'!$C$2:$U$20,14,false)</f>
        <v>1</v>
      </c>
      <c r="AH2122" s="960">
        <f t="array" ref="AH2122">HLOOKUP($J2122,'Type Chart'!$C$2:$T$20,15,false)*HLOOKUP($K2122,'Type Chart'!$C$2:$U$20,15,false)</f>
        <v>1</v>
      </c>
      <c r="AI2122" s="960">
        <f t="array" ref="AI2122">HLOOKUP($J2122,'Type Chart'!$C$2:$T$20,16,false)*HLOOKUP($K2122,'Type Chart'!$C$2:$U$20,16,false)</f>
        <v>1</v>
      </c>
      <c r="AJ2122" s="960">
        <f t="array" ref="AJ2122">HLOOKUP($J2122,'Type Chart'!$C$2:$T$20,17,false)*HLOOKUP($K2122,'Type Chart'!$C$2:$U$20,17,false)</f>
        <v>0</v>
      </c>
      <c r="AK2122" s="960">
        <f t="array" ref="AK2122">HLOOKUP($J2122,'Type Chart'!$C$2:$T$20,18,false)*HLOOKUP($K2122,'Type Chart'!$C$2:$U$20,18,false)</f>
        <v>0.5</v>
      </c>
      <c r="AL2122" s="960">
        <f t="array" ref="AL2122">HLOOKUP($J2122,'Type Chart'!$C$2:$T$20,19,false)*HLOOKUP($K2122,'Type Chart'!$C$2:$U$20,19,false)</f>
        <v>1</v>
      </c>
      <c r="AM2122" s="964" t="s">
        <v>3380</v>
      </c>
      <c r="AN2122" s="965"/>
      <c r="AO2122" s="966" t="s">
        <v>1498</v>
      </c>
      <c r="AP2122" s="936"/>
      <c r="AQ2122" s="1245"/>
      <c r="AR2122" s="1245"/>
      <c r="AS2122" s="936"/>
    </row>
    <row r="2123" ht="15.75" customHeight="1">
      <c r="A2123" s="1099"/>
      <c r="B2123" s="948" t="s">
        <v>3384</v>
      </c>
      <c r="C2123" s="1197" t="s">
        <v>3385</v>
      </c>
      <c r="D2123" s="1197" t="s">
        <v>3385</v>
      </c>
      <c r="E2123" s="1147" t="s">
        <v>3385</v>
      </c>
      <c r="F2123" s="940"/>
      <c r="G2123" s="953"/>
      <c r="H2123" s="969"/>
      <c r="I2123" s="998" t="s">
        <v>5223</v>
      </c>
      <c r="J2123" s="1195" t="s">
        <v>193</v>
      </c>
      <c r="K2123" s="1203" t="s">
        <v>344</v>
      </c>
      <c r="L2123" s="959">
        <v>53.0</v>
      </c>
      <c r="M2123" s="960">
        <v>54.0</v>
      </c>
      <c r="N2123" s="960">
        <v>53.0</v>
      </c>
      <c r="O2123" s="960">
        <v>37.0</v>
      </c>
      <c r="P2123" s="960">
        <v>46.0</v>
      </c>
      <c r="Q2123" s="960">
        <v>45.0</v>
      </c>
      <c r="R2123" s="960">
        <v>126.0</v>
      </c>
      <c r="S2123" s="960">
        <v>189.0</v>
      </c>
      <c r="T2123" s="960">
        <v>207.0</v>
      </c>
      <c r="U2123" s="960">
        <f t="array" ref="U2123">HLOOKUP($J2123,'Type Chart'!$C$2:$T$20,2,false)*HLOOKUP($K2123,'Type Chart'!$C$2:$U$20,2,false)</f>
        <v>1</v>
      </c>
      <c r="V2123" s="960">
        <f t="array" ref="V2123">HLOOKUP($J2123,'Type Chart'!$C$2:$T$20,3,false)*HLOOKUP($K2123,'Type Chart'!$C$2:$U$20,3,false)</f>
        <v>1</v>
      </c>
      <c r="W2123" s="960">
        <f t="array" ref="W2123">HLOOKUP($J2123,'Type Chart'!$C$2:$T$20,4,false)*HLOOKUP($K2123,'Type Chart'!$C$2:$U$20,4,false)</f>
        <v>1</v>
      </c>
      <c r="X2123" s="960">
        <f t="array" ref="X2123">HLOOKUP($J2123,'Type Chart'!$C$2:$T$20,5,false)*HLOOKUP($K2123,'Type Chart'!$C$2:$U$20,5,false)</f>
        <v>1</v>
      </c>
      <c r="Y2123" s="960">
        <f t="array" ref="Y2123">HLOOKUP($J2123,'Type Chart'!$C$2:$T$20,6,false)*HLOOKUP($K2123,'Type Chart'!$C$2:$U$20,6,false)</f>
        <v>1</v>
      </c>
      <c r="Z2123" s="960">
        <f t="array" ref="Z2123">HLOOKUP($J2123,'Type Chart'!$C$2:$T$20,7,false)*HLOOKUP($K2123,'Type Chart'!$C$2:$U$20,7,false)</f>
        <v>1</v>
      </c>
      <c r="AA2123" s="960">
        <f t="array" ref="AA2123">HLOOKUP($J2123,'Type Chart'!$C$2:$T$20,8,false)*HLOOKUP($K2123,'Type Chart'!$C$2:$U$20,8,false)</f>
        <v>4</v>
      </c>
      <c r="AB2123" s="960">
        <f t="array" ref="AB2123">HLOOKUP($J2123,'Type Chart'!$C$2:$T$20,9,false)*HLOOKUP($K2123,'Type Chart'!$C$2:$U$20,9,false)</f>
        <v>1</v>
      </c>
      <c r="AC2123" s="960">
        <f t="array" ref="AC2123">HLOOKUP($J2123,'Type Chart'!$C$2:$T$20,10,false)*HLOOKUP($K2123,'Type Chart'!$C$2:$U$20,10,false)</f>
        <v>1</v>
      </c>
      <c r="AD2123" s="960">
        <f t="array" ref="AD2123">HLOOKUP($J2123,'Type Chart'!$C$2:$T$20,11,false)*HLOOKUP($K2123,'Type Chart'!$C$2:$U$20,11,false)</f>
        <v>1</v>
      </c>
      <c r="AE2123" s="960">
        <f t="array" ref="AE2123">HLOOKUP($J2123,'Type Chart'!$C$2:$T$20,12,false)*HLOOKUP($K2123,'Type Chart'!$C$2:$U$20,12,false)</f>
        <v>1</v>
      </c>
      <c r="AF2123" s="960">
        <f t="array" ref="AF2123">HLOOKUP($J2123,'Type Chart'!$C$2:$T$20,13,false)*HLOOKUP($K2123,'Type Chart'!$C$2:$U$20,13,false)</f>
        <v>1</v>
      </c>
      <c r="AG2123" s="960">
        <f t="array" ref="AG2123">HLOOKUP($J2123,'Type Chart'!$C$2:$T$20,14,false)*HLOOKUP($K2123,'Type Chart'!$C$2:$U$20,14,false)</f>
        <v>1</v>
      </c>
      <c r="AH2123" s="960">
        <f t="array" ref="AH2123">HLOOKUP($J2123,'Type Chart'!$C$2:$T$20,15,false)*HLOOKUP($K2123,'Type Chart'!$C$2:$U$20,15,false)</f>
        <v>0</v>
      </c>
      <c r="AI2123" s="960">
        <f t="array" ref="AI2123">HLOOKUP($J2123,'Type Chart'!$C$2:$T$20,16,false)*HLOOKUP($K2123,'Type Chart'!$C$2:$U$20,16,false)</f>
        <v>1</v>
      </c>
      <c r="AJ2123" s="960">
        <f t="array" ref="AJ2123">HLOOKUP($J2123,'Type Chart'!$C$2:$T$20,17,false)*HLOOKUP($K2123,'Type Chart'!$C$2:$U$20,17,false)</f>
        <v>1</v>
      </c>
      <c r="AK2123" s="960">
        <f t="array" ref="AK2123">HLOOKUP($J2123,'Type Chart'!$C$2:$T$20,18,false)*HLOOKUP($K2123,'Type Chart'!$C$2:$U$20,18,false)</f>
        <v>1</v>
      </c>
      <c r="AL2123" s="960">
        <f t="array" ref="AL2123">HLOOKUP($J2123,'Type Chart'!$C$2:$T$20,19,false)*HLOOKUP($K2123,'Type Chart'!$C$2:$U$20,19,false)</f>
        <v>2</v>
      </c>
      <c r="AM2123" s="964" t="s">
        <v>1861</v>
      </c>
      <c r="AN2123" s="965" t="s">
        <v>1902</v>
      </c>
      <c r="AO2123" s="966" t="s">
        <v>1193</v>
      </c>
      <c r="AP2123" s="936"/>
      <c r="AQ2123" s="1245"/>
      <c r="AR2123" s="1245"/>
      <c r="AS2123" s="936"/>
    </row>
    <row r="2124" ht="15.75" customHeight="1">
      <c r="A2124" s="1099"/>
      <c r="B2124" s="948" t="s">
        <v>3387</v>
      </c>
      <c r="C2124" s="1197" t="s">
        <v>3388</v>
      </c>
      <c r="D2124" s="1197" t="s">
        <v>3388</v>
      </c>
      <c r="E2124" s="1147" t="s">
        <v>3388</v>
      </c>
      <c r="F2124" s="940"/>
      <c r="G2124" s="953"/>
      <c r="H2124" s="969"/>
      <c r="I2124" s="998" t="s">
        <v>5224</v>
      </c>
      <c r="J2124" s="1195" t="s">
        <v>193</v>
      </c>
      <c r="K2124" s="1203" t="s">
        <v>344</v>
      </c>
      <c r="L2124" s="959">
        <v>86.0</v>
      </c>
      <c r="M2124" s="960">
        <v>92.0</v>
      </c>
      <c r="N2124" s="960">
        <v>88.0</v>
      </c>
      <c r="O2124" s="960">
        <v>68.0</v>
      </c>
      <c r="P2124" s="960">
        <v>75.0</v>
      </c>
      <c r="Q2124" s="960">
        <v>73.0</v>
      </c>
      <c r="R2124" s="960">
        <v>182.0</v>
      </c>
      <c r="S2124" s="960">
        <v>245.0</v>
      </c>
      <c r="T2124" s="960">
        <v>269.0</v>
      </c>
      <c r="U2124" s="960">
        <f t="array" ref="U2124">HLOOKUP($J2124,'Type Chart'!$C$2:$T$20,2,false)*HLOOKUP($K2124,'Type Chart'!$C$2:$U$20,2,false)</f>
        <v>1</v>
      </c>
      <c r="V2124" s="960">
        <f t="array" ref="V2124">HLOOKUP($J2124,'Type Chart'!$C$2:$T$20,3,false)*HLOOKUP($K2124,'Type Chart'!$C$2:$U$20,3,false)</f>
        <v>1</v>
      </c>
      <c r="W2124" s="960">
        <f t="array" ref="W2124">HLOOKUP($J2124,'Type Chart'!$C$2:$T$20,4,false)*HLOOKUP($K2124,'Type Chart'!$C$2:$U$20,4,false)</f>
        <v>1</v>
      </c>
      <c r="X2124" s="960">
        <f t="array" ref="X2124">HLOOKUP($J2124,'Type Chart'!$C$2:$T$20,5,false)*HLOOKUP($K2124,'Type Chart'!$C$2:$U$20,5,false)</f>
        <v>1</v>
      </c>
      <c r="Y2124" s="960">
        <f t="array" ref="Y2124">HLOOKUP($J2124,'Type Chart'!$C$2:$T$20,6,false)*HLOOKUP($K2124,'Type Chart'!$C$2:$U$20,6,false)</f>
        <v>1</v>
      </c>
      <c r="Z2124" s="960">
        <f t="array" ref="Z2124">HLOOKUP($J2124,'Type Chart'!$C$2:$T$20,7,false)*HLOOKUP($K2124,'Type Chart'!$C$2:$U$20,7,false)</f>
        <v>1</v>
      </c>
      <c r="AA2124" s="960">
        <f t="array" ref="AA2124">HLOOKUP($J2124,'Type Chart'!$C$2:$T$20,8,false)*HLOOKUP($K2124,'Type Chart'!$C$2:$U$20,8,false)</f>
        <v>4</v>
      </c>
      <c r="AB2124" s="960">
        <f t="array" ref="AB2124">HLOOKUP($J2124,'Type Chart'!$C$2:$T$20,9,false)*HLOOKUP($K2124,'Type Chart'!$C$2:$U$20,9,false)</f>
        <v>1</v>
      </c>
      <c r="AC2124" s="960">
        <f t="array" ref="AC2124">HLOOKUP($J2124,'Type Chart'!$C$2:$T$20,10,false)*HLOOKUP($K2124,'Type Chart'!$C$2:$U$20,10,false)</f>
        <v>1</v>
      </c>
      <c r="AD2124" s="960">
        <f t="array" ref="AD2124">HLOOKUP($J2124,'Type Chart'!$C$2:$T$20,11,false)*HLOOKUP($K2124,'Type Chart'!$C$2:$U$20,11,false)</f>
        <v>1</v>
      </c>
      <c r="AE2124" s="960">
        <f t="array" ref="AE2124">HLOOKUP($J2124,'Type Chart'!$C$2:$T$20,12,false)*HLOOKUP($K2124,'Type Chart'!$C$2:$U$20,12,false)</f>
        <v>1</v>
      </c>
      <c r="AF2124" s="960">
        <f t="array" ref="AF2124">HLOOKUP($J2124,'Type Chart'!$C$2:$T$20,13,false)*HLOOKUP($K2124,'Type Chart'!$C$2:$U$20,13,false)</f>
        <v>1</v>
      </c>
      <c r="AG2124" s="960">
        <f t="array" ref="AG2124">HLOOKUP($J2124,'Type Chart'!$C$2:$T$20,14,false)*HLOOKUP($K2124,'Type Chart'!$C$2:$U$20,14,false)</f>
        <v>1</v>
      </c>
      <c r="AH2124" s="960">
        <f t="array" ref="AH2124">HLOOKUP($J2124,'Type Chart'!$C$2:$T$20,15,false)*HLOOKUP($K2124,'Type Chart'!$C$2:$U$20,15,false)</f>
        <v>0</v>
      </c>
      <c r="AI2124" s="960">
        <f t="array" ref="AI2124">HLOOKUP($J2124,'Type Chart'!$C$2:$T$20,16,false)*HLOOKUP($K2124,'Type Chart'!$C$2:$U$20,16,false)</f>
        <v>1</v>
      </c>
      <c r="AJ2124" s="960">
        <f t="array" ref="AJ2124">HLOOKUP($J2124,'Type Chart'!$C$2:$T$20,17,false)*HLOOKUP($K2124,'Type Chart'!$C$2:$U$20,17,false)</f>
        <v>1</v>
      </c>
      <c r="AK2124" s="960">
        <f t="array" ref="AK2124">HLOOKUP($J2124,'Type Chart'!$C$2:$T$20,18,false)*HLOOKUP($K2124,'Type Chart'!$C$2:$U$20,18,false)</f>
        <v>1</v>
      </c>
      <c r="AL2124" s="960">
        <f t="array" ref="AL2124">HLOOKUP($J2124,'Type Chart'!$C$2:$T$20,19,false)*HLOOKUP($K2124,'Type Chart'!$C$2:$U$20,19,false)</f>
        <v>2</v>
      </c>
      <c r="AM2124" s="1145" t="s">
        <v>1861</v>
      </c>
      <c r="AN2124" s="965" t="s">
        <v>1902</v>
      </c>
      <c r="AO2124" s="966" t="s">
        <v>1193</v>
      </c>
      <c r="AP2124" s="936"/>
      <c r="AQ2124" s="1245"/>
      <c r="AR2124" s="1245"/>
      <c r="AS2124" s="936"/>
    </row>
    <row r="2125" ht="15.75" customHeight="1">
      <c r="A2125" s="1099"/>
      <c r="B2125" s="948" t="s">
        <v>3389</v>
      </c>
      <c r="C2125" s="1197" t="s">
        <v>3390</v>
      </c>
      <c r="D2125" s="1197" t="s">
        <v>3390</v>
      </c>
      <c r="E2125" s="1147" t="s">
        <v>3390</v>
      </c>
      <c r="F2125" s="940"/>
      <c r="G2125" s="953"/>
      <c r="H2125" s="969"/>
      <c r="I2125" s="998" t="s">
        <v>5225</v>
      </c>
      <c r="J2125" s="1214" t="s">
        <v>342</v>
      </c>
      <c r="K2125" s="1056" t="s">
        <v>81</v>
      </c>
      <c r="L2125" s="959">
        <v>42.0</v>
      </c>
      <c r="M2125" s="960">
        <v>52.0</v>
      </c>
      <c r="N2125" s="960">
        <v>67.0</v>
      </c>
      <c r="O2125" s="960">
        <v>39.0</v>
      </c>
      <c r="P2125" s="960">
        <v>56.0</v>
      </c>
      <c r="Q2125" s="960">
        <v>50.0</v>
      </c>
      <c r="R2125" s="960">
        <v>136.0</v>
      </c>
      <c r="S2125" s="960">
        <v>199.0</v>
      </c>
      <c r="T2125" s="960">
        <v>218.0</v>
      </c>
      <c r="U2125" s="960">
        <f t="array" ref="U2125">HLOOKUP($J2125,'Type Chart'!$C$2:$T$20,2,false)*HLOOKUP($K2125,'Type Chart'!$C$2:$U$20,2,false)</f>
        <v>0.5</v>
      </c>
      <c r="V2125" s="960">
        <f t="array" ref="V2125">HLOOKUP($J2125,'Type Chart'!$C$2:$T$20,3,false)*HLOOKUP($K2125,'Type Chart'!$C$2:$U$20,3,false)</f>
        <v>2</v>
      </c>
      <c r="W2125" s="960">
        <f t="array" ref="W2125">HLOOKUP($J2125,'Type Chart'!$C$2:$T$20,4,false)*HLOOKUP($K2125,'Type Chart'!$C$2:$U$20,4,false)</f>
        <v>0.5</v>
      </c>
      <c r="X2125" s="960">
        <f t="array" ref="X2125">HLOOKUP($J2125,'Type Chart'!$C$2:$T$20,5,false)*HLOOKUP($K2125,'Type Chart'!$C$2:$U$20,5,false)</f>
        <v>0.5</v>
      </c>
      <c r="Y2125" s="960">
        <f t="array" ref="Y2125">HLOOKUP($J2125,'Type Chart'!$C$2:$T$20,6,false)*HLOOKUP($K2125,'Type Chart'!$C$2:$U$20,6,false)</f>
        <v>2</v>
      </c>
      <c r="Z2125" s="960">
        <f t="array" ref="Z2125">HLOOKUP($J2125,'Type Chart'!$C$2:$T$20,7,false)*HLOOKUP($K2125,'Type Chart'!$C$2:$U$20,7,false)</f>
        <v>1</v>
      </c>
      <c r="AA2125" s="960">
        <f t="array" ref="AA2125">HLOOKUP($J2125,'Type Chart'!$C$2:$T$20,8,false)*HLOOKUP($K2125,'Type Chart'!$C$2:$U$20,8,false)</f>
        <v>1</v>
      </c>
      <c r="AB2125" s="960">
        <f t="array" ref="AB2125">HLOOKUP($J2125,'Type Chart'!$C$2:$T$20,9,false)*HLOOKUP($K2125,'Type Chart'!$C$2:$U$20,9,false)</f>
        <v>1</v>
      </c>
      <c r="AC2125" s="960">
        <f t="array" ref="AC2125">HLOOKUP($J2125,'Type Chart'!$C$2:$T$20,10,false)*HLOOKUP($K2125,'Type Chart'!$C$2:$U$20,10,false)</f>
        <v>1</v>
      </c>
      <c r="AD2125" s="960">
        <f t="array" ref="AD2125">HLOOKUP($J2125,'Type Chart'!$C$2:$T$20,11,false)*HLOOKUP($K2125,'Type Chart'!$C$2:$U$20,11,false)</f>
        <v>0.25</v>
      </c>
      <c r="AE2125" s="960">
        <f t="array" ref="AE2125">HLOOKUP($J2125,'Type Chart'!$C$2:$T$20,12,false)*HLOOKUP($K2125,'Type Chart'!$C$2:$U$20,12,false)</f>
        <v>1</v>
      </c>
      <c r="AF2125" s="960">
        <f t="array" ref="AF2125">HLOOKUP($J2125,'Type Chart'!$C$2:$T$20,13,false)*HLOOKUP($K2125,'Type Chart'!$C$2:$U$20,13,false)</f>
        <v>4</v>
      </c>
      <c r="AG2125" s="960">
        <f t="array" ref="AG2125">HLOOKUP($J2125,'Type Chart'!$C$2:$T$20,14,false)*HLOOKUP($K2125,'Type Chart'!$C$2:$U$20,14,false)</f>
        <v>2</v>
      </c>
      <c r="AH2125" s="960">
        <f t="array" ref="AH2125">HLOOKUP($J2125,'Type Chart'!$C$2:$T$20,15,false)*HLOOKUP($K2125,'Type Chart'!$C$2:$U$20,15,false)</f>
        <v>1</v>
      </c>
      <c r="AI2125" s="960">
        <f t="array" ref="AI2125">HLOOKUP($J2125,'Type Chart'!$C$2:$T$20,16,false)*HLOOKUP($K2125,'Type Chart'!$C$2:$U$20,16,false)</f>
        <v>0.5</v>
      </c>
      <c r="AJ2125" s="960">
        <f t="array" ref="AJ2125">HLOOKUP($J2125,'Type Chart'!$C$2:$T$20,17,false)*HLOOKUP($K2125,'Type Chart'!$C$2:$U$20,17,false)</f>
        <v>1</v>
      </c>
      <c r="AK2125" s="960">
        <f t="array" ref="AK2125">HLOOKUP($J2125,'Type Chart'!$C$2:$T$20,18,false)*HLOOKUP($K2125,'Type Chart'!$C$2:$U$20,18,false)</f>
        <v>1</v>
      </c>
      <c r="AL2125" s="960">
        <f t="array" ref="AL2125">HLOOKUP($J2125,'Type Chart'!$C$2:$T$20,19,false)*HLOOKUP($K2125,'Type Chart'!$C$2:$U$20,19,false)</f>
        <v>1</v>
      </c>
      <c r="AM2125" s="1145" t="s">
        <v>1014</v>
      </c>
      <c r="AN2125" s="965" t="s">
        <v>932</v>
      </c>
      <c r="AO2125" s="966" t="s">
        <v>1869</v>
      </c>
      <c r="AP2125" s="936"/>
      <c r="AQ2125" s="1245"/>
      <c r="AR2125" s="1245"/>
      <c r="AS2125" s="936"/>
    </row>
    <row r="2126" ht="15.75" customHeight="1">
      <c r="A2126" s="1099"/>
      <c r="B2126" s="948" t="s">
        <v>3392</v>
      </c>
      <c r="C2126" s="1197" t="s">
        <v>3393</v>
      </c>
      <c r="D2126" s="1197" t="s">
        <v>3393</v>
      </c>
      <c r="E2126" s="1147" t="s">
        <v>3393</v>
      </c>
      <c r="F2126" s="940"/>
      <c r="G2126" s="953"/>
      <c r="H2126" s="969"/>
      <c r="I2126" s="998" t="s">
        <v>5226</v>
      </c>
      <c r="J2126" s="1214" t="s">
        <v>342</v>
      </c>
      <c r="K2126" s="1056" t="s">
        <v>81</v>
      </c>
      <c r="L2126" s="959">
        <v>72.0</v>
      </c>
      <c r="M2126" s="960">
        <v>105.0</v>
      </c>
      <c r="N2126" s="960">
        <v>115.0</v>
      </c>
      <c r="O2126" s="960">
        <v>54.0</v>
      </c>
      <c r="P2126" s="960">
        <v>86.0</v>
      </c>
      <c r="Q2126" s="960">
        <v>68.0</v>
      </c>
      <c r="R2126" s="960">
        <v>172.0</v>
      </c>
      <c r="S2126" s="960">
        <v>235.0</v>
      </c>
      <c r="T2126" s="960">
        <v>258.0</v>
      </c>
      <c r="U2126" s="960">
        <f t="array" ref="U2126">HLOOKUP($J2126,'Type Chart'!$C$2:$T$20,2,false)*HLOOKUP($K2126,'Type Chart'!$C$2:$U$20,2,false)</f>
        <v>0.5</v>
      </c>
      <c r="V2126" s="960">
        <f t="array" ref="V2126">HLOOKUP($J2126,'Type Chart'!$C$2:$T$20,3,false)*HLOOKUP($K2126,'Type Chart'!$C$2:$U$20,3,false)</f>
        <v>2</v>
      </c>
      <c r="W2126" s="960">
        <f t="array" ref="W2126">HLOOKUP($J2126,'Type Chart'!$C$2:$T$20,4,false)*HLOOKUP($K2126,'Type Chart'!$C$2:$U$20,4,false)</f>
        <v>0.5</v>
      </c>
      <c r="X2126" s="960">
        <f t="array" ref="X2126">HLOOKUP($J2126,'Type Chart'!$C$2:$T$20,5,false)*HLOOKUP($K2126,'Type Chart'!$C$2:$U$20,5,false)</f>
        <v>0.5</v>
      </c>
      <c r="Y2126" s="960">
        <f t="array" ref="Y2126">HLOOKUP($J2126,'Type Chart'!$C$2:$T$20,6,false)*HLOOKUP($K2126,'Type Chart'!$C$2:$U$20,6,false)</f>
        <v>2</v>
      </c>
      <c r="Z2126" s="960">
        <f t="array" ref="Z2126">HLOOKUP($J2126,'Type Chart'!$C$2:$T$20,7,false)*HLOOKUP($K2126,'Type Chart'!$C$2:$U$20,7,false)</f>
        <v>1</v>
      </c>
      <c r="AA2126" s="960">
        <f t="array" ref="AA2126">HLOOKUP($J2126,'Type Chart'!$C$2:$T$20,8,false)*HLOOKUP($K2126,'Type Chart'!$C$2:$U$20,8,false)</f>
        <v>1</v>
      </c>
      <c r="AB2126" s="960">
        <f t="array" ref="AB2126">HLOOKUP($J2126,'Type Chart'!$C$2:$T$20,9,false)*HLOOKUP($K2126,'Type Chart'!$C$2:$U$20,9,false)</f>
        <v>1</v>
      </c>
      <c r="AC2126" s="960">
        <f t="array" ref="AC2126">HLOOKUP($J2126,'Type Chart'!$C$2:$T$20,10,false)*HLOOKUP($K2126,'Type Chart'!$C$2:$U$20,10,false)</f>
        <v>1</v>
      </c>
      <c r="AD2126" s="960">
        <f t="array" ref="AD2126">HLOOKUP($J2126,'Type Chart'!$C$2:$T$20,11,false)*HLOOKUP($K2126,'Type Chart'!$C$2:$U$20,11,false)</f>
        <v>0.25</v>
      </c>
      <c r="AE2126" s="960">
        <f t="array" ref="AE2126">HLOOKUP($J2126,'Type Chart'!$C$2:$T$20,12,false)*HLOOKUP($K2126,'Type Chart'!$C$2:$U$20,12,false)</f>
        <v>1</v>
      </c>
      <c r="AF2126" s="960">
        <f t="array" ref="AF2126">HLOOKUP($J2126,'Type Chart'!$C$2:$T$20,13,false)*HLOOKUP($K2126,'Type Chart'!$C$2:$U$20,13,false)</f>
        <v>4</v>
      </c>
      <c r="AG2126" s="960">
        <f t="array" ref="AG2126">HLOOKUP($J2126,'Type Chart'!$C$2:$T$20,14,false)*HLOOKUP($K2126,'Type Chart'!$C$2:$U$20,14,false)</f>
        <v>2</v>
      </c>
      <c r="AH2126" s="960">
        <f t="array" ref="AH2126">HLOOKUP($J2126,'Type Chart'!$C$2:$T$20,15,false)*HLOOKUP($K2126,'Type Chart'!$C$2:$U$20,15,false)</f>
        <v>1</v>
      </c>
      <c r="AI2126" s="960">
        <f t="array" ref="AI2126">HLOOKUP($J2126,'Type Chart'!$C$2:$T$20,16,false)*HLOOKUP($K2126,'Type Chart'!$C$2:$U$20,16,false)</f>
        <v>0.5</v>
      </c>
      <c r="AJ2126" s="960">
        <f t="array" ref="AJ2126">HLOOKUP($J2126,'Type Chart'!$C$2:$T$20,17,false)*HLOOKUP($K2126,'Type Chart'!$C$2:$U$20,17,false)</f>
        <v>1</v>
      </c>
      <c r="AK2126" s="960">
        <f t="array" ref="AK2126">HLOOKUP($J2126,'Type Chart'!$C$2:$T$20,18,false)*HLOOKUP($K2126,'Type Chart'!$C$2:$U$20,18,false)</f>
        <v>1</v>
      </c>
      <c r="AL2126" s="960">
        <f t="array" ref="AL2126">HLOOKUP($J2126,'Type Chart'!$C$2:$T$20,19,false)*HLOOKUP($K2126,'Type Chart'!$C$2:$U$20,19,false)</f>
        <v>1</v>
      </c>
      <c r="AM2126" s="964" t="s">
        <v>1014</v>
      </c>
      <c r="AN2126" s="965" t="s">
        <v>932</v>
      </c>
      <c r="AO2126" s="966" t="s">
        <v>1869</v>
      </c>
      <c r="AP2126" s="936"/>
      <c r="AQ2126" s="1245"/>
      <c r="AR2126" s="1245"/>
      <c r="AS2126" s="936"/>
    </row>
    <row r="2127" ht="15.75" customHeight="1">
      <c r="A2127" s="1099"/>
      <c r="B2127" s="948" t="s">
        <v>3395</v>
      </c>
      <c r="C2127" s="1197" t="s">
        <v>3396</v>
      </c>
      <c r="D2127" s="1197" t="s">
        <v>3396</v>
      </c>
      <c r="E2127" s="1147" t="s">
        <v>3396</v>
      </c>
      <c r="F2127" s="940"/>
      <c r="G2127" s="953"/>
      <c r="H2127" s="969"/>
      <c r="I2127" s="998" t="s">
        <v>5227</v>
      </c>
      <c r="J2127" s="958" t="s">
        <v>178</v>
      </c>
      <c r="K2127" s="1056" t="s">
        <v>81</v>
      </c>
      <c r="L2127" s="959">
        <v>50.0</v>
      </c>
      <c r="M2127" s="960">
        <v>60.0</v>
      </c>
      <c r="N2127" s="960">
        <v>60.0</v>
      </c>
      <c r="O2127" s="960">
        <v>60.0</v>
      </c>
      <c r="P2127" s="960">
        <v>60.0</v>
      </c>
      <c r="Q2127" s="960">
        <v>30.0</v>
      </c>
      <c r="R2127" s="960">
        <v>96.0</v>
      </c>
      <c r="S2127" s="960">
        <v>159.0</v>
      </c>
      <c r="T2127" s="960">
        <v>174.0</v>
      </c>
      <c r="U2127" s="960">
        <f t="array" ref="U2127">HLOOKUP($J2127,'Type Chart'!$C$2:$T$20,2,false)*HLOOKUP($K2127,'Type Chart'!$C$2:$U$20,2,false)</f>
        <v>1</v>
      </c>
      <c r="V2127" s="960">
        <f t="array" ref="V2127">HLOOKUP($J2127,'Type Chart'!$C$2:$T$20,3,false)*HLOOKUP($K2127,'Type Chart'!$C$2:$U$20,3,false)</f>
        <v>0.5</v>
      </c>
      <c r="W2127" s="960">
        <f t="array" ref="W2127">HLOOKUP($J2127,'Type Chart'!$C$2:$T$20,4,false)*HLOOKUP($K2127,'Type Chart'!$C$2:$U$20,4,false)</f>
        <v>1</v>
      </c>
      <c r="X2127" s="960">
        <f t="array" ref="X2127">HLOOKUP($J2127,'Type Chart'!$C$2:$T$20,5,false)*HLOOKUP($K2127,'Type Chart'!$C$2:$U$20,5,false)</f>
        <v>0.5</v>
      </c>
      <c r="Y2127" s="960">
        <f t="array" ref="Y2127">HLOOKUP($J2127,'Type Chart'!$C$2:$T$20,6,false)*HLOOKUP($K2127,'Type Chart'!$C$2:$U$20,6,false)</f>
        <v>2</v>
      </c>
      <c r="Z2127" s="960">
        <f t="array" ref="Z2127">HLOOKUP($J2127,'Type Chart'!$C$2:$T$20,7,false)*HLOOKUP($K2127,'Type Chart'!$C$2:$U$20,7,false)</f>
        <v>1</v>
      </c>
      <c r="AA2127" s="960">
        <f t="array" ref="AA2127">HLOOKUP($J2127,'Type Chart'!$C$2:$T$20,8,false)*HLOOKUP($K2127,'Type Chart'!$C$2:$U$20,8,false)</f>
        <v>0.5</v>
      </c>
      <c r="AB2127" s="960">
        <f t="array" ref="AB2127">HLOOKUP($J2127,'Type Chart'!$C$2:$T$20,9,false)*HLOOKUP($K2127,'Type Chart'!$C$2:$U$20,9,false)</f>
        <v>1</v>
      </c>
      <c r="AC2127" s="960">
        <f t="array" ref="AC2127">HLOOKUP($J2127,'Type Chart'!$C$2:$T$20,10,false)*HLOOKUP($K2127,'Type Chart'!$C$2:$U$20,10,false)</f>
        <v>0.5</v>
      </c>
      <c r="AD2127" s="960">
        <f t="array" ref="AD2127">HLOOKUP($J2127,'Type Chart'!$C$2:$T$20,11,false)*HLOOKUP($K2127,'Type Chart'!$C$2:$U$20,11,false)</f>
        <v>0.5</v>
      </c>
      <c r="AE2127" s="960">
        <f t="array" ref="AE2127">HLOOKUP($J2127,'Type Chart'!$C$2:$T$20,12,false)*HLOOKUP($K2127,'Type Chart'!$C$2:$U$20,12,false)</f>
        <v>0.5</v>
      </c>
      <c r="AF2127" s="960">
        <f t="array" ref="AF2127">HLOOKUP($J2127,'Type Chart'!$C$2:$T$20,13,false)*HLOOKUP($K2127,'Type Chart'!$C$2:$U$20,13,false)</f>
        <v>1</v>
      </c>
      <c r="AG2127" s="960">
        <f t="array" ref="AG2127">HLOOKUP($J2127,'Type Chart'!$C$2:$T$20,14,false)*HLOOKUP($K2127,'Type Chart'!$C$2:$U$20,14,false)</f>
        <v>2</v>
      </c>
      <c r="AH2127" s="960">
        <f t="array" ref="AH2127">HLOOKUP($J2127,'Type Chart'!$C$2:$T$20,15,false)*HLOOKUP($K2127,'Type Chart'!$C$2:$U$20,15,false)</f>
        <v>2</v>
      </c>
      <c r="AI2127" s="960">
        <f t="array" ref="AI2127">HLOOKUP($J2127,'Type Chart'!$C$2:$T$20,16,false)*HLOOKUP($K2127,'Type Chart'!$C$2:$U$20,16,false)</f>
        <v>0.5</v>
      </c>
      <c r="AJ2127" s="960">
        <f t="array" ref="AJ2127">HLOOKUP($J2127,'Type Chart'!$C$2:$T$20,17,false)*HLOOKUP($K2127,'Type Chart'!$C$2:$U$20,17,false)</f>
        <v>1</v>
      </c>
      <c r="AK2127" s="960">
        <f t="array" ref="AK2127">HLOOKUP($J2127,'Type Chart'!$C$2:$T$20,18,false)*HLOOKUP($K2127,'Type Chart'!$C$2:$U$20,18,false)</f>
        <v>1</v>
      </c>
      <c r="AL2127" s="960">
        <f t="array" ref="AL2127">HLOOKUP($J2127,'Type Chart'!$C$2:$T$20,19,false)*HLOOKUP($K2127,'Type Chart'!$C$2:$U$20,19,false)</f>
        <v>0.5</v>
      </c>
      <c r="AM2127" s="964" t="s">
        <v>1146</v>
      </c>
      <c r="AN2127" s="965" t="s">
        <v>1417</v>
      </c>
      <c r="AO2127" s="966" t="s">
        <v>1018</v>
      </c>
      <c r="AP2127" s="936"/>
      <c r="AQ2127" s="1245"/>
      <c r="AR2127" s="1245"/>
      <c r="AS2127" s="936"/>
    </row>
    <row r="2128" ht="15.75" customHeight="1">
      <c r="A2128" s="1099"/>
      <c r="B2128" s="948" t="s">
        <v>3398</v>
      </c>
      <c r="C2128" s="1197" t="s">
        <v>3399</v>
      </c>
      <c r="D2128" s="1197" t="s">
        <v>3399</v>
      </c>
      <c r="E2128" s="1147" t="s">
        <v>3399</v>
      </c>
      <c r="F2128" s="940"/>
      <c r="G2128" s="953"/>
      <c r="H2128" s="969"/>
      <c r="I2128" s="998" t="s">
        <v>177</v>
      </c>
      <c r="J2128" s="958" t="s">
        <v>178</v>
      </c>
      <c r="K2128" s="1006" t="s">
        <v>346</v>
      </c>
      <c r="L2128" s="959">
        <v>65.0</v>
      </c>
      <c r="M2128" s="960">
        <v>75.0</v>
      </c>
      <c r="N2128" s="960">
        <v>90.0</v>
      </c>
      <c r="O2128" s="960">
        <v>97.0</v>
      </c>
      <c r="P2128" s="960">
        <v>123.0</v>
      </c>
      <c r="Q2128" s="960">
        <v>44.0</v>
      </c>
      <c r="R2128" s="960">
        <v>124.0</v>
      </c>
      <c r="S2128" s="960">
        <v>187.0</v>
      </c>
      <c r="T2128" s="960">
        <v>205.0</v>
      </c>
      <c r="U2128" s="960">
        <f t="array" ref="U2128">HLOOKUP($J2128,'Type Chart'!$C$2:$T$20,2,false)*HLOOKUP($K2128,'Type Chart'!$C$2:$U$20,2,false)</f>
        <v>1</v>
      </c>
      <c r="V2128" s="960">
        <f t="array" ref="V2128">HLOOKUP($J2128,'Type Chart'!$C$2:$T$20,3,false)*HLOOKUP($K2128,'Type Chart'!$C$2:$U$20,3,false)</f>
        <v>0.5</v>
      </c>
      <c r="W2128" s="960">
        <f t="array" ref="W2128">HLOOKUP($J2128,'Type Chart'!$C$2:$T$20,4,false)*HLOOKUP($K2128,'Type Chart'!$C$2:$U$20,4,false)</f>
        <v>1</v>
      </c>
      <c r="X2128" s="960">
        <f t="array" ref="X2128">HLOOKUP($J2128,'Type Chart'!$C$2:$T$20,5,false)*HLOOKUP($K2128,'Type Chart'!$C$2:$U$20,5,false)</f>
        <v>0.5</v>
      </c>
      <c r="Y2128" s="960">
        <f t="array" ref="Y2128">HLOOKUP($J2128,'Type Chart'!$C$2:$T$20,6,false)*HLOOKUP($K2128,'Type Chart'!$C$2:$U$20,6,false)</f>
        <v>2</v>
      </c>
      <c r="Z2128" s="960">
        <f t="array" ref="Z2128">HLOOKUP($J2128,'Type Chart'!$C$2:$T$20,7,false)*HLOOKUP($K2128,'Type Chart'!$C$2:$U$20,7,false)</f>
        <v>1</v>
      </c>
      <c r="AA2128" s="960">
        <f t="array" ref="AA2128">HLOOKUP($J2128,'Type Chart'!$C$2:$T$20,8,false)*HLOOKUP($K2128,'Type Chart'!$C$2:$U$20,8,false)</f>
        <v>0.5</v>
      </c>
      <c r="AB2128" s="960">
        <f t="array" ref="AB2128">HLOOKUP($J2128,'Type Chart'!$C$2:$T$20,9,false)*HLOOKUP($K2128,'Type Chart'!$C$2:$U$20,9,false)</f>
        <v>1</v>
      </c>
      <c r="AC2128" s="960">
        <f t="array" ref="AC2128">HLOOKUP($J2128,'Type Chart'!$C$2:$T$20,10,false)*HLOOKUP($K2128,'Type Chart'!$C$2:$U$20,10,false)</f>
        <v>1</v>
      </c>
      <c r="AD2128" s="960">
        <f t="array" ref="AD2128">HLOOKUP($J2128,'Type Chart'!$C$2:$T$20,11,false)*HLOOKUP($K2128,'Type Chart'!$C$2:$U$20,11,false)</f>
        <v>0.5</v>
      </c>
      <c r="AE2128" s="960">
        <f t="array" ref="AE2128">HLOOKUP($J2128,'Type Chart'!$C$2:$T$20,12,false)*HLOOKUP($K2128,'Type Chart'!$C$2:$U$20,12,false)</f>
        <v>0.5</v>
      </c>
      <c r="AF2128" s="960">
        <f t="array" ref="AF2128">HLOOKUP($J2128,'Type Chart'!$C$2:$T$20,13,false)*HLOOKUP($K2128,'Type Chart'!$C$2:$U$20,13,false)</f>
        <v>0.25</v>
      </c>
      <c r="AG2128" s="960">
        <f t="array" ref="AG2128">HLOOKUP($J2128,'Type Chart'!$C$2:$T$20,14,false)*HLOOKUP($K2128,'Type Chart'!$C$2:$U$20,14,false)</f>
        <v>0.5</v>
      </c>
      <c r="AH2128" s="960">
        <f t="array" ref="AH2128">HLOOKUP($J2128,'Type Chart'!$C$2:$T$20,15,false)*HLOOKUP($K2128,'Type Chart'!$C$2:$U$20,15,false)</f>
        <v>2</v>
      </c>
      <c r="AI2128" s="960">
        <f t="array" ref="AI2128">HLOOKUP($J2128,'Type Chart'!$C$2:$T$20,16,false)*HLOOKUP($K2128,'Type Chart'!$C$2:$U$20,16,false)</f>
        <v>2</v>
      </c>
      <c r="AJ2128" s="960">
        <f t="array" ref="AJ2128">HLOOKUP($J2128,'Type Chart'!$C$2:$T$20,17,false)*HLOOKUP($K2128,'Type Chart'!$C$2:$U$20,17,false)</f>
        <v>2</v>
      </c>
      <c r="AK2128" s="960">
        <f t="array" ref="AK2128">HLOOKUP($J2128,'Type Chart'!$C$2:$T$20,18,false)*HLOOKUP($K2128,'Type Chart'!$C$2:$U$20,18,false)</f>
        <v>1</v>
      </c>
      <c r="AL2128" s="960">
        <f t="array" ref="AL2128">HLOOKUP($J2128,'Type Chart'!$C$2:$T$20,19,false)*HLOOKUP($K2128,'Type Chart'!$C$2:$U$20,19,false)</f>
        <v>1</v>
      </c>
      <c r="AM2128" s="964" t="s">
        <v>1146</v>
      </c>
      <c r="AN2128" s="965" t="s">
        <v>1417</v>
      </c>
      <c r="AO2128" s="966" t="s">
        <v>1018</v>
      </c>
      <c r="AP2128" s="936"/>
      <c r="AQ2128" s="1245"/>
      <c r="AR2128" s="1245"/>
      <c r="AS2128" s="936"/>
    </row>
    <row r="2129" ht="15.75" customHeight="1">
      <c r="A2129" s="1099"/>
      <c r="B2129" s="948" t="s">
        <v>3400</v>
      </c>
      <c r="C2129" s="1197" t="s">
        <v>3401</v>
      </c>
      <c r="D2129" s="1197" t="s">
        <v>3401</v>
      </c>
      <c r="E2129" s="1147" t="s">
        <v>3401</v>
      </c>
      <c r="F2129" s="940"/>
      <c r="G2129" s="953"/>
      <c r="H2129" s="969"/>
      <c r="I2129" s="998" t="s">
        <v>5228</v>
      </c>
      <c r="J2129" s="1056" t="s">
        <v>81</v>
      </c>
      <c r="K2129" s="984" t="s">
        <v>216</v>
      </c>
      <c r="L2129" s="959">
        <v>50.0</v>
      </c>
      <c r="M2129" s="960">
        <v>53.0</v>
      </c>
      <c r="N2129" s="960">
        <v>62.0</v>
      </c>
      <c r="O2129" s="960">
        <v>58.0</v>
      </c>
      <c r="P2129" s="960">
        <v>63.0</v>
      </c>
      <c r="Q2129" s="960">
        <v>44.0</v>
      </c>
      <c r="R2129" s="960">
        <v>124.0</v>
      </c>
      <c r="S2129" s="960">
        <v>187.0</v>
      </c>
      <c r="T2129" s="960">
        <v>205.0</v>
      </c>
      <c r="U2129" s="960">
        <f t="array" ref="U2129">HLOOKUP($J2129,'Type Chart'!$C$2:$T$20,2,false)*HLOOKUP($K2129,'Type Chart'!$C$2:$U$20,2,false)</f>
        <v>1</v>
      </c>
      <c r="V2129" s="960">
        <f t="array" ref="V2129">HLOOKUP($J2129,'Type Chart'!$C$2:$T$20,3,false)*HLOOKUP($K2129,'Type Chart'!$C$2:$U$20,3,false)</f>
        <v>1</v>
      </c>
      <c r="W2129" s="960">
        <f t="array" ref="W2129">HLOOKUP($J2129,'Type Chart'!$C$2:$T$20,4,false)*HLOOKUP($K2129,'Type Chart'!$C$2:$U$20,4,false)</f>
        <v>1</v>
      </c>
      <c r="X2129" s="960">
        <f t="array" ref="X2129">HLOOKUP($J2129,'Type Chart'!$C$2:$T$20,5,false)*HLOOKUP($K2129,'Type Chart'!$C$2:$U$20,5,false)</f>
        <v>1</v>
      </c>
      <c r="Y2129" s="960">
        <f t="array" ref="Y2129">HLOOKUP($J2129,'Type Chart'!$C$2:$T$20,6,false)*HLOOKUP($K2129,'Type Chart'!$C$2:$U$20,6,false)</f>
        <v>1</v>
      </c>
      <c r="Z2129" s="960">
        <f t="array" ref="Z2129">HLOOKUP($J2129,'Type Chart'!$C$2:$T$20,7,false)*HLOOKUP($K2129,'Type Chart'!$C$2:$U$20,7,false)</f>
        <v>1</v>
      </c>
      <c r="AA2129" s="960">
        <f t="array" ref="AA2129">HLOOKUP($J2129,'Type Chart'!$C$2:$T$20,8,false)*HLOOKUP($K2129,'Type Chart'!$C$2:$U$20,8,false)</f>
        <v>1</v>
      </c>
      <c r="AB2129" s="960">
        <f t="array" ref="AB2129">HLOOKUP($J2129,'Type Chart'!$C$2:$T$20,9,false)*HLOOKUP($K2129,'Type Chart'!$C$2:$U$20,9,false)</f>
        <v>1</v>
      </c>
      <c r="AC2129" s="960">
        <f t="array" ref="AC2129">HLOOKUP($J2129,'Type Chart'!$C$2:$T$20,10,false)*HLOOKUP($K2129,'Type Chart'!$C$2:$U$20,10,false)</f>
        <v>0.5</v>
      </c>
      <c r="AD2129" s="960">
        <f t="array" ref="AD2129">HLOOKUP($J2129,'Type Chart'!$C$2:$T$20,11,false)*HLOOKUP($K2129,'Type Chart'!$C$2:$U$20,11,false)</f>
        <v>0.5</v>
      </c>
      <c r="AE2129" s="960">
        <f t="array" ref="AE2129">HLOOKUP($J2129,'Type Chart'!$C$2:$T$20,12,false)*HLOOKUP($K2129,'Type Chart'!$C$2:$U$20,12,false)</f>
        <v>0.5</v>
      </c>
      <c r="AF2129" s="960">
        <f t="array" ref="AF2129">HLOOKUP($J2129,'Type Chart'!$C$2:$T$20,13,false)*HLOOKUP($K2129,'Type Chart'!$C$2:$U$20,13,false)</f>
        <v>2</v>
      </c>
      <c r="AG2129" s="960">
        <f t="array" ref="AG2129">HLOOKUP($J2129,'Type Chart'!$C$2:$T$20,14,false)*HLOOKUP($K2129,'Type Chart'!$C$2:$U$20,14,false)</f>
        <v>2</v>
      </c>
      <c r="AH2129" s="960">
        <f t="array" ref="AH2129">HLOOKUP($J2129,'Type Chart'!$C$2:$T$20,15,false)*HLOOKUP($K2129,'Type Chart'!$C$2:$U$20,15,false)</f>
        <v>1</v>
      </c>
      <c r="AI2129" s="960">
        <f t="array" ref="AI2129">HLOOKUP($J2129,'Type Chart'!$C$2:$T$20,16,false)*HLOOKUP($K2129,'Type Chart'!$C$2:$U$20,16,false)</f>
        <v>0.5</v>
      </c>
      <c r="AJ2129" s="960">
        <f t="array" ref="AJ2129">HLOOKUP($J2129,'Type Chart'!$C$2:$T$20,17,false)*HLOOKUP($K2129,'Type Chart'!$C$2:$U$20,17,false)</f>
        <v>1</v>
      </c>
      <c r="AK2129" s="960">
        <f t="array" ref="AK2129">HLOOKUP($J2129,'Type Chart'!$C$2:$T$20,18,false)*HLOOKUP($K2129,'Type Chart'!$C$2:$U$20,18,false)</f>
        <v>1</v>
      </c>
      <c r="AL2129" s="960">
        <f t="array" ref="AL2129">HLOOKUP($J2129,'Type Chart'!$C$2:$T$20,19,false)*HLOOKUP($K2129,'Type Chart'!$C$2:$U$20,19,false)</f>
        <v>1</v>
      </c>
      <c r="AM2129" s="964" t="s">
        <v>983</v>
      </c>
      <c r="AN2129" s="965"/>
      <c r="AO2129" s="966"/>
      <c r="AP2129" s="936"/>
      <c r="AQ2129" s="1245"/>
      <c r="AR2129" s="1245"/>
      <c r="AS2129" s="936"/>
    </row>
    <row r="2130" ht="15.75" customHeight="1">
      <c r="A2130" s="1099"/>
      <c r="B2130" s="948" t="s">
        <v>3403</v>
      </c>
      <c r="C2130" s="1197" t="s">
        <v>3404</v>
      </c>
      <c r="D2130" s="1197" t="s">
        <v>3404</v>
      </c>
      <c r="E2130" s="1147" t="s">
        <v>3404</v>
      </c>
      <c r="F2130" s="940"/>
      <c r="G2130" s="953"/>
      <c r="H2130" s="969"/>
      <c r="I2130" s="998" t="s">
        <v>5229</v>
      </c>
      <c r="J2130" s="1056" t="s">
        <v>81</v>
      </c>
      <c r="K2130" s="984" t="s">
        <v>216</v>
      </c>
      <c r="L2130" s="959">
        <v>71.0</v>
      </c>
      <c r="M2130" s="960">
        <v>73.0</v>
      </c>
      <c r="N2130" s="960">
        <v>88.0</v>
      </c>
      <c r="O2130" s="960">
        <v>120.0</v>
      </c>
      <c r="P2130" s="960">
        <v>89.0</v>
      </c>
      <c r="Q2130" s="960">
        <v>59.0</v>
      </c>
      <c r="R2130" s="960">
        <v>154.0</v>
      </c>
      <c r="S2130" s="960">
        <v>217.0</v>
      </c>
      <c r="T2130" s="960">
        <v>238.0</v>
      </c>
      <c r="U2130" s="960">
        <f t="array" ref="U2130">HLOOKUP($J2130,'Type Chart'!$C$2:$T$20,2,false)*HLOOKUP($K2130,'Type Chart'!$C$2:$U$20,2,false)</f>
        <v>1</v>
      </c>
      <c r="V2130" s="960">
        <f t="array" ref="V2130">HLOOKUP($J2130,'Type Chart'!$C$2:$T$20,3,false)*HLOOKUP($K2130,'Type Chart'!$C$2:$U$20,3,false)</f>
        <v>1</v>
      </c>
      <c r="W2130" s="960">
        <f t="array" ref="W2130">HLOOKUP($J2130,'Type Chart'!$C$2:$T$20,4,false)*HLOOKUP($K2130,'Type Chart'!$C$2:$U$20,4,false)</f>
        <v>1</v>
      </c>
      <c r="X2130" s="960">
        <f t="array" ref="X2130">HLOOKUP($J2130,'Type Chart'!$C$2:$T$20,5,false)*HLOOKUP($K2130,'Type Chart'!$C$2:$U$20,5,false)</f>
        <v>1</v>
      </c>
      <c r="Y2130" s="960">
        <f t="array" ref="Y2130">HLOOKUP($J2130,'Type Chart'!$C$2:$T$20,6,false)*HLOOKUP($K2130,'Type Chart'!$C$2:$U$20,6,false)</f>
        <v>1</v>
      </c>
      <c r="Z2130" s="960">
        <f t="array" ref="Z2130">HLOOKUP($J2130,'Type Chart'!$C$2:$T$20,7,false)*HLOOKUP($K2130,'Type Chart'!$C$2:$U$20,7,false)</f>
        <v>1</v>
      </c>
      <c r="AA2130" s="960">
        <f t="array" ref="AA2130">HLOOKUP($J2130,'Type Chart'!$C$2:$T$20,8,false)*HLOOKUP($K2130,'Type Chart'!$C$2:$U$20,8,false)</f>
        <v>1</v>
      </c>
      <c r="AB2130" s="960">
        <f t="array" ref="AB2130">HLOOKUP($J2130,'Type Chart'!$C$2:$T$20,9,false)*HLOOKUP($K2130,'Type Chart'!$C$2:$U$20,9,false)</f>
        <v>1</v>
      </c>
      <c r="AC2130" s="960">
        <f t="array" ref="AC2130">HLOOKUP($J2130,'Type Chart'!$C$2:$T$20,10,false)*HLOOKUP($K2130,'Type Chart'!$C$2:$U$20,10,false)</f>
        <v>0.5</v>
      </c>
      <c r="AD2130" s="960">
        <f t="array" ref="AD2130">HLOOKUP($J2130,'Type Chart'!$C$2:$T$20,11,false)*HLOOKUP($K2130,'Type Chart'!$C$2:$U$20,11,false)</f>
        <v>0.5</v>
      </c>
      <c r="AE2130" s="960">
        <f t="array" ref="AE2130">HLOOKUP($J2130,'Type Chart'!$C$2:$T$20,12,false)*HLOOKUP($K2130,'Type Chart'!$C$2:$U$20,12,false)</f>
        <v>0.5</v>
      </c>
      <c r="AF2130" s="960">
        <f t="array" ref="AF2130">HLOOKUP($J2130,'Type Chart'!$C$2:$T$20,13,false)*HLOOKUP($K2130,'Type Chart'!$C$2:$U$20,13,false)</f>
        <v>2</v>
      </c>
      <c r="AG2130" s="960">
        <f t="array" ref="AG2130">HLOOKUP($J2130,'Type Chart'!$C$2:$T$20,14,false)*HLOOKUP($K2130,'Type Chart'!$C$2:$U$20,14,false)</f>
        <v>2</v>
      </c>
      <c r="AH2130" s="960">
        <f t="array" ref="AH2130">HLOOKUP($J2130,'Type Chart'!$C$2:$T$20,15,false)*HLOOKUP($K2130,'Type Chart'!$C$2:$U$20,15,false)</f>
        <v>1</v>
      </c>
      <c r="AI2130" s="960">
        <f t="array" ref="AI2130">HLOOKUP($J2130,'Type Chart'!$C$2:$T$20,16,false)*HLOOKUP($K2130,'Type Chart'!$C$2:$U$20,16,false)</f>
        <v>0.5</v>
      </c>
      <c r="AJ2130" s="960">
        <f t="array" ref="AJ2130">HLOOKUP($J2130,'Type Chart'!$C$2:$T$20,17,false)*HLOOKUP($K2130,'Type Chart'!$C$2:$U$20,17,false)</f>
        <v>1</v>
      </c>
      <c r="AK2130" s="960">
        <f t="array" ref="AK2130">HLOOKUP($J2130,'Type Chart'!$C$2:$T$20,18,false)*HLOOKUP($K2130,'Type Chart'!$C$2:$U$20,18,false)</f>
        <v>1</v>
      </c>
      <c r="AL2130" s="960">
        <f t="array" ref="AL2130">HLOOKUP($J2130,'Type Chart'!$C$2:$T$20,19,false)*HLOOKUP($K2130,'Type Chart'!$C$2:$U$20,19,false)</f>
        <v>1</v>
      </c>
      <c r="AM2130" s="964" t="s">
        <v>983</v>
      </c>
      <c r="AN2130" s="965"/>
      <c r="AO2130" s="966"/>
      <c r="AP2130" s="936"/>
      <c r="AQ2130" s="1245"/>
      <c r="AR2130" s="1245"/>
      <c r="AS2130" s="936"/>
    </row>
    <row r="2131" ht="15.75" customHeight="1">
      <c r="A2131" s="1099"/>
      <c r="B2131" s="948" t="s">
        <v>3405</v>
      </c>
      <c r="C2131" s="1197" t="s">
        <v>3406</v>
      </c>
      <c r="D2131" s="1197" t="s">
        <v>3406</v>
      </c>
      <c r="E2131" s="1147" t="s">
        <v>3406</v>
      </c>
      <c r="F2131" s="940"/>
      <c r="G2131" s="953"/>
      <c r="H2131" s="969"/>
      <c r="I2131" s="998" t="s">
        <v>5230</v>
      </c>
      <c r="J2131" s="1196" t="s">
        <v>203</v>
      </c>
      <c r="K2131" s="1194" t="s">
        <v>136</v>
      </c>
      <c r="L2131" s="959">
        <v>44.0</v>
      </c>
      <c r="M2131" s="960">
        <v>38.0</v>
      </c>
      <c r="N2131" s="960">
        <v>33.0</v>
      </c>
      <c r="O2131" s="960">
        <v>61.0</v>
      </c>
      <c r="P2131" s="960">
        <v>43.0</v>
      </c>
      <c r="Q2131" s="960">
        <v>70.0</v>
      </c>
      <c r="R2131" s="960">
        <v>176.0</v>
      </c>
      <c r="S2131" s="960">
        <v>239.0</v>
      </c>
      <c r="T2131" s="960">
        <v>262.0</v>
      </c>
      <c r="U2131" s="960">
        <f t="array" ref="U2131">HLOOKUP($J2131,'Type Chart'!$C$2:$T$20,2,false)*HLOOKUP($K2131,'Type Chart'!$C$2:$U$20,2,false)</f>
        <v>1</v>
      </c>
      <c r="V2131" s="960">
        <f t="array" ref="V2131">HLOOKUP($J2131,'Type Chart'!$C$2:$T$20,3,false)*HLOOKUP($K2131,'Type Chart'!$C$2:$U$20,3,false)</f>
        <v>2</v>
      </c>
      <c r="W2131" s="960">
        <f t="array" ref="W2131">HLOOKUP($J2131,'Type Chart'!$C$2:$T$20,4,false)*HLOOKUP($K2131,'Type Chart'!$C$2:$U$20,4,false)</f>
        <v>0.5</v>
      </c>
      <c r="X2131" s="960">
        <f t="array" ref="X2131">HLOOKUP($J2131,'Type Chart'!$C$2:$T$20,5,false)*HLOOKUP($K2131,'Type Chart'!$C$2:$U$20,5,false)</f>
        <v>1</v>
      </c>
      <c r="Y2131" s="960">
        <f t="array" ref="Y2131">HLOOKUP($J2131,'Type Chart'!$C$2:$T$20,6,false)*HLOOKUP($K2131,'Type Chart'!$C$2:$U$20,6,false)</f>
        <v>2</v>
      </c>
      <c r="Z2131" s="960">
        <f t="array" ref="Z2131">HLOOKUP($J2131,'Type Chart'!$C$2:$T$20,7,false)*HLOOKUP($K2131,'Type Chart'!$C$2:$U$20,7,false)</f>
        <v>1</v>
      </c>
      <c r="AA2131" s="960">
        <f t="array" ref="AA2131">HLOOKUP($J2131,'Type Chart'!$C$2:$T$20,8,false)*HLOOKUP($K2131,'Type Chart'!$C$2:$U$20,8,false)</f>
        <v>1</v>
      </c>
      <c r="AB2131" s="960">
        <f t="array" ref="AB2131">HLOOKUP($J2131,'Type Chart'!$C$2:$T$20,9,false)*HLOOKUP($K2131,'Type Chart'!$C$2:$U$20,9,false)</f>
        <v>0</v>
      </c>
      <c r="AC2131" s="960">
        <f t="array" ref="AC2131">HLOOKUP($J2131,'Type Chart'!$C$2:$T$20,10,false)*HLOOKUP($K2131,'Type Chart'!$C$2:$U$20,10,false)</f>
        <v>0.5</v>
      </c>
      <c r="AD2131" s="960">
        <f t="array" ref="AD2131">HLOOKUP($J2131,'Type Chart'!$C$2:$T$20,11,false)*HLOOKUP($K2131,'Type Chart'!$C$2:$U$20,11,false)</f>
        <v>1</v>
      </c>
      <c r="AE2131" s="960">
        <f t="array" ref="AE2131">HLOOKUP($J2131,'Type Chart'!$C$2:$T$20,12,false)*HLOOKUP($K2131,'Type Chart'!$C$2:$U$20,12,false)</f>
        <v>1</v>
      </c>
      <c r="AF2131" s="960">
        <f t="array" ref="AF2131">HLOOKUP($J2131,'Type Chart'!$C$2:$T$20,13,false)*HLOOKUP($K2131,'Type Chart'!$C$2:$U$20,13,false)</f>
        <v>1</v>
      </c>
      <c r="AG2131" s="960">
        <f t="array" ref="AG2131">HLOOKUP($J2131,'Type Chart'!$C$2:$T$20,14,false)*HLOOKUP($K2131,'Type Chart'!$C$2:$U$20,14,false)</f>
        <v>0.5</v>
      </c>
      <c r="AH2131" s="960">
        <f t="array" ref="AH2131">HLOOKUP($J2131,'Type Chart'!$C$2:$T$20,15,false)*HLOOKUP($K2131,'Type Chart'!$C$2:$U$20,15,false)</f>
        <v>1</v>
      </c>
      <c r="AI2131" s="960">
        <f t="array" ref="AI2131">HLOOKUP($J2131,'Type Chart'!$C$2:$T$20,16,false)*HLOOKUP($K2131,'Type Chart'!$C$2:$U$20,16,false)</f>
        <v>1</v>
      </c>
      <c r="AJ2131" s="960">
        <f t="array" ref="AJ2131">HLOOKUP($J2131,'Type Chart'!$C$2:$T$20,17,false)*HLOOKUP($K2131,'Type Chart'!$C$2:$U$20,17,false)</f>
        <v>1</v>
      </c>
      <c r="AK2131" s="960">
        <f t="array" ref="AK2131">HLOOKUP($J2131,'Type Chart'!$C$2:$T$20,18,false)*HLOOKUP($K2131,'Type Chart'!$C$2:$U$20,18,false)</f>
        <v>1</v>
      </c>
      <c r="AL2131" s="960">
        <f t="array" ref="AL2131">HLOOKUP($J2131,'Type Chart'!$C$2:$T$20,19,false)*HLOOKUP($K2131,'Type Chart'!$C$2:$U$20,19,false)</f>
        <v>1</v>
      </c>
      <c r="AM2131" s="964" t="s">
        <v>1210</v>
      </c>
      <c r="AN2131" s="965" t="s">
        <v>1129</v>
      </c>
      <c r="AO2131" s="966" t="s">
        <v>831</v>
      </c>
      <c r="AP2131" s="936"/>
      <c r="AQ2131" s="1245"/>
      <c r="AR2131" s="1245"/>
      <c r="AS2131" s="936"/>
    </row>
    <row r="2132" ht="15.75" customHeight="1">
      <c r="A2132" s="1099"/>
      <c r="B2132" s="948" t="s">
        <v>3408</v>
      </c>
      <c r="C2132" s="1197" t="s">
        <v>3409</v>
      </c>
      <c r="D2132" s="1197" t="s">
        <v>3409</v>
      </c>
      <c r="E2132" s="1147" t="s">
        <v>3409</v>
      </c>
      <c r="F2132" s="940"/>
      <c r="G2132" s="953"/>
      <c r="H2132" s="969"/>
      <c r="I2132" s="998" t="s">
        <v>5231</v>
      </c>
      <c r="J2132" s="1196" t="s">
        <v>203</v>
      </c>
      <c r="K2132" s="1194" t="s">
        <v>136</v>
      </c>
      <c r="L2132" s="959">
        <v>62.0</v>
      </c>
      <c r="M2132" s="960">
        <v>55.0</v>
      </c>
      <c r="N2132" s="960">
        <v>52.0</v>
      </c>
      <c r="O2132" s="960">
        <v>109.0</v>
      </c>
      <c r="P2132" s="960">
        <v>94.0</v>
      </c>
      <c r="Q2132" s="960">
        <v>109.0</v>
      </c>
      <c r="R2132" s="960">
        <v>254.0</v>
      </c>
      <c r="S2132" s="960">
        <v>317.0</v>
      </c>
      <c r="T2132" s="960">
        <v>348.0</v>
      </c>
      <c r="U2132" s="960">
        <f t="array" ref="U2132">HLOOKUP($J2132,'Type Chart'!$C$2:$T$20,2,false)*HLOOKUP($K2132,'Type Chart'!$C$2:$U$20,2,false)</f>
        <v>1</v>
      </c>
      <c r="V2132" s="960">
        <f t="array" ref="V2132">HLOOKUP($J2132,'Type Chart'!$C$2:$T$20,3,false)*HLOOKUP($K2132,'Type Chart'!$C$2:$U$20,3,false)</f>
        <v>2</v>
      </c>
      <c r="W2132" s="960">
        <f t="array" ref="W2132">HLOOKUP($J2132,'Type Chart'!$C$2:$T$20,4,false)*HLOOKUP($K2132,'Type Chart'!$C$2:$U$20,4,false)</f>
        <v>0.5</v>
      </c>
      <c r="X2132" s="960">
        <f t="array" ref="X2132">HLOOKUP($J2132,'Type Chart'!$C$2:$T$20,5,false)*HLOOKUP($K2132,'Type Chart'!$C$2:$U$20,5,false)</f>
        <v>1</v>
      </c>
      <c r="Y2132" s="960">
        <f t="array" ref="Y2132">HLOOKUP($J2132,'Type Chart'!$C$2:$T$20,6,false)*HLOOKUP($K2132,'Type Chart'!$C$2:$U$20,6,false)</f>
        <v>2</v>
      </c>
      <c r="Z2132" s="960">
        <f t="array" ref="Z2132">HLOOKUP($J2132,'Type Chart'!$C$2:$T$20,7,false)*HLOOKUP($K2132,'Type Chart'!$C$2:$U$20,7,false)</f>
        <v>1</v>
      </c>
      <c r="AA2132" s="960">
        <f t="array" ref="AA2132">HLOOKUP($J2132,'Type Chart'!$C$2:$T$20,8,false)*HLOOKUP($K2132,'Type Chart'!$C$2:$U$20,8,false)</f>
        <v>1</v>
      </c>
      <c r="AB2132" s="960">
        <f t="array" ref="AB2132">HLOOKUP($J2132,'Type Chart'!$C$2:$T$20,9,false)*HLOOKUP($K2132,'Type Chart'!$C$2:$U$20,9,false)</f>
        <v>0</v>
      </c>
      <c r="AC2132" s="960">
        <f t="array" ref="AC2132">HLOOKUP($J2132,'Type Chart'!$C$2:$T$20,10,false)*HLOOKUP($K2132,'Type Chart'!$C$2:$U$20,10,false)</f>
        <v>0.5</v>
      </c>
      <c r="AD2132" s="960">
        <f t="array" ref="AD2132">HLOOKUP($J2132,'Type Chart'!$C$2:$T$20,11,false)*HLOOKUP($K2132,'Type Chart'!$C$2:$U$20,11,false)</f>
        <v>1</v>
      </c>
      <c r="AE2132" s="960">
        <f t="array" ref="AE2132">HLOOKUP($J2132,'Type Chart'!$C$2:$T$20,12,false)*HLOOKUP($K2132,'Type Chart'!$C$2:$U$20,12,false)</f>
        <v>1</v>
      </c>
      <c r="AF2132" s="960">
        <f t="array" ref="AF2132">HLOOKUP($J2132,'Type Chart'!$C$2:$T$20,13,false)*HLOOKUP($K2132,'Type Chart'!$C$2:$U$20,13,false)</f>
        <v>1</v>
      </c>
      <c r="AG2132" s="960">
        <f t="array" ref="AG2132">HLOOKUP($J2132,'Type Chart'!$C$2:$T$20,14,false)*HLOOKUP($K2132,'Type Chart'!$C$2:$U$20,14,false)</f>
        <v>0.5</v>
      </c>
      <c r="AH2132" s="960">
        <f t="array" ref="AH2132">HLOOKUP($J2132,'Type Chart'!$C$2:$T$20,15,false)*HLOOKUP($K2132,'Type Chart'!$C$2:$U$20,15,false)</f>
        <v>1</v>
      </c>
      <c r="AI2132" s="960">
        <f t="array" ref="AI2132">HLOOKUP($J2132,'Type Chart'!$C$2:$T$20,16,false)*HLOOKUP($K2132,'Type Chart'!$C$2:$U$20,16,false)</f>
        <v>1</v>
      </c>
      <c r="AJ2132" s="960">
        <f t="array" ref="AJ2132">HLOOKUP($J2132,'Type Chart'!$C$2:$T$20,17,false)*HLOOKUP($K2132,'Type Chart'!$C$2:$U$20,17,false)</f>
        <v>1</v>
      </c>
      <c r="AK2132" s="960">
        <f t="array" ref="AK2132">HLOOKUP($J2132,'Type Chart'!$C$2:$T$20,18,false)*HLOOKUP($K2132,'Type Chart'!$C$2:$U$20,18,false)</f>
        <v>1</v>
      </c>
      <c r="AL2132" s="960">
        <f t="array" ref="AL2132">HLOOKUP($J2132,'Type Chart'!$C$2:$T$20,19,false)*HLOOKUP($K2132,'Type Chart'!$C$2:$U$20,19,false)</f>
        <v>1</v>
      </c>
      <c r="AM2132" s="964" t="s">
        <v>1210</v>
      </c>
      <c r="AN2132" s="965" t="s">
        <v>1129</v>
      </c>
      <c r="AO2132" s="966" t="s">
        <v>831</v>
      </c>
      <c r="AP2132" s="936"/>
      <c r="AQ2132" s="1245"/>
      <c r="AR2132" s="1245"/>
      <c r="AS2132" s="936"/>
    </row>
    <row r="2133" ht="15.75" customHeight="1">
      <c r="A2133" s="1099"/>
      <c r="B2133" s="948" t="s">
        <v>3411</v>
      </c>
      <c r="C2133" s="1197" t="s">
        <v>3412</v>
      </c>
      <c r="D2133" s="1197" t="s">
        <v>3412</v>
      </c>
      <c r="E2133" s="1147" t="s">
        <v>3412</v>
      </c>
      <c r="F2133" s="940"/>
      <c r="G2133" s="953"/>
      <c r="H2133" s="969"/>
      <c r="I2133" s="998" t="s">
        <v>5232</v>
      </c>
      <c r="J2133" s="1214" t="s">
        <v>342</v>
      </c>
      <c r="K2133" s="1006" t="s">
        <v>346</v>
      </c>
      <c r="L2133" s="959">
        <v>58.0</v>
      </c>
      <c r="M2133" s="960">
        <v>89.0</v>
      </c>
      <c r="N2133" s="960">
        <v>77.0</v>
      </c>
      <c r="O2133" s="960">
        <v>45.0</v>
      </c>
      <c r="P2133" s="960">
        <v>45.0</v>
      </c>
      <c r="Q2133" s="960">
        <v>48.0</v>
      </c>
      <c r="R2133" s="960">
        <v>132.0</v>
      </c>
      <c r="S2133" s="960">
        <v>195.0</v>
      </c>
      <c r="T2133" s="960">
        <v>214.0</v>
      </c>
      <c r="U2133" s="960">
        <f t="array" ref="U2133">HLOOKUP($J2133,'Type Chart'!$C$2:$T$20,2,false)*HLOOKUP($K2133,'Type Chart'!$C$2:$U$20,2,false)</f>
        <v>0.5</v>
      </c>
      <c r="V2133" s="960">
        <f t="array" ref="V2133">HLOOKUP($J2133,'Type Chart'!$C$2:$T$20,3,false)*HLOOKUP($K2133,'Type Chart'!$C$2:$U$20,3,false)</f>
        <v>2</v>
      </c>
      <c r="W2133" s="960">
        <f t="array" ref="W2133">HLOOKUP($J2133,'Type Chart'!$C$2:$T$20,4,false)*HLOOKUP($K2133,'Type Chart'!$C$2:$U$20,4,false)</f>
        <v>0.5</v>
      </c>
      <c r="X2133" s="960">
        <f t="array" ref="X2133">HLOOKUP($J2133,'Type Chart'!$C$2:$T$20,5,false)*HLOOKUP($K2133,'Type Chart'!$C$2:$U$20,5,false)</f>
        <v>0.5</v>
      </c>
      <c r="Y2133" s="960">
        <f t="array" ref="Y2133">HLOOKUP($J2133,'Type Chart'!$C$2:$T$20,6,false)*HLOOKUP($K2133,'Type Chart'!$C$2:$U$20,6,false)</f>
        <v>2</v>
      </c>
      <c r="Z2133" s="960">
        <f t="array" ref="Z2133">HLOOKUP($J2133,'Type Chart'!$C$2:$T$20,7,false)*HLOOKUP($K2133,'Type Chart'!$C$2:$U$20,7,false)</f>
        <v>1</v>
      </c>
      <c r="AA2133" s="960">
        <f t="array" ref="AA2133">HLOOKUP($J2133,'Type Chart'!$C$2:$T$20,8,false)*HLOOKUP($K2133,'Type Chart'!$C$2:$U$20,8,false)</f>
        <v>1</v>
      </c>
      <c r="AB2133" s="960">
        <f t="array" ref="AB2133">HLOOKUP($J2133,'Type Chart'!$C$2:$T$20,9,false)*HLOOKUP($K2133,'Type Chart'!$C$2:$U$20,9,false)</f>
        <v>1</v>
      </c>
      <c r="AC2133" s="960">
        <f t="array" ref="AC2133">HLOOKUP($J2133,'Type Chart'!$C$2:$T$20,10,false)*HLOOKUP($K2133,'Type Chart'!$C$2:$U$20,10,false)</f>
        <v>2</v>
      </c>
      <c r="AD2133" s="960">
        <f t="array" ref="AD2133">HLOOKUP($J2133,'Type Chart'!$C$2:$T$20,11,false)*HLOOKUP($K2133,'Type Chart'!$C$2:$U$20,11,false)</f>
        <v>0.25</v>
      </c>
      <c r="AE2133" s="960">
        <f t="array" ref="AE2133">HLOOKUP($J2133,'Type Chart'!$C$2:$T$20,12,false)*HLOOKUP($K2133,'Type Chart'!$C$2:$U$20,12,false)</f>
        <v>1</v>
      </c>
      <c r="AF2133" s="960">
        <f t="array" ref="AF2133">HLOOKUP($J2133,'Type Chart'!$C$2:$T$20,13,false)*HLOOKUP($K2133,'Type Chart'!$C$2:$U$20,13,false)</f>
        <v>1</v>
      </c>
      <c r="AG2133" s="960">
        <f t="array" ref="AG2133">HLOOKUP($J2133,'Type Chart'!$C$2:$T$20,14,false)*HLOOKUP($K2133,'Type Chart'!$C$2:$U$20,14,false)</f>
        <v>0.5</v>
      </c>
      <c r="AH2133" s="960">
        <f t="array" ref="AH2133">HLOOKUP($J2133,'Type Chart'!$C$2:$T$20,15,false)*HLOOKUP($K2133,'Type Chart'!$C$2:$U$20,15,false)</f>
        <v>1</v>
      </c>
      <c r="AI2133" s="960">
        <f t="array" ref="AI2133">HLOOKUP($J2133,'Type Chart'!$C$2:$T$20,16,false)*HLOOKUP($K2133,'Type Chart'!$C$2:$U$20,16,false)</f>
        <v>2</v>
      </c>
      <c r="AJ2133" s="960">
        <f t="array" ref="AJ2133">HLOOKUP($J2133,'Type Chart'!$C$2:$T$20,17,false)*HLOOKUP($K2133,'Type Chart'!$C$2:$U$20,17,false)</f>
        <v>2</v>
      </c>
      <c r="AK2133" s="960">
        <f t="array" ref="AK2133">HLOOKUP($J2133,'Type Chart'!$C$2:$T$20,18,false)*HLOOKUP($K2133,'Type Chart'!$C$2:$U$20,18,false)</f>
        <v>1</v>
      </c>
      <c r="AL2133" s="960">
        <f t="array" ref="AL2133">HLOOKUP($J2133,'Type Chart'!$C$2:$T$20,19,false)*HLOOKUP($K2133,'Type Chart'!$C$2:$U$20,19,false)</f>
        <v>2</v>
      </c>
      <c r="AM2133" s="964" t="s">
        <v>2205</v>
      </c>
      <c r="AN2133" s="965"/>
      <c r="AO2133" s="966" t="s">
        <v>1331</v>
      </c>
      <c r="AP2133" s="936"/>
      <c r="AQ2133" s="1245"/>
      <c r="AR2133" s="1245"/>
      <c r="AS2133" s="936"/>
    </row>
    <row r="2134" ht="15.75" customHeight="1">
      <c r="A2134" s="1099"/>
      <c r="B2134" s="948" t="s">
        <v>3414</v>
      </c>
      <c r="C2134" s="1197" t="s">
        <v>3415</v>
      </c>
      <c r="D2134" s="1197" t="s">
        <v>3415</v>
      </c>
      <c r="E2134" s="1147" t="s">
        <v>3415</v>
      </c>
      <c r="F2134" s="940"/>
      <c r="G2134" s="953"/>
      <c r="H2134" s="969"/>
      <c r="I2134" s="998" t="s">
        <v>5233</v>
      </c>
      <c r="J2134" s="1214" t="s">
        <v>342</v>
      </c>
      <c r="K2134" s="1006" t="s">
        <v>346</v>
      </c>
      <c r="L2134" s="959">
        <v>82.0</v>
      </c>
      <c r="M2134" s="960">
        <v>121.0</v>
      </c>
      <c r="N2134" s="960">
        <v>119.0</v>
      </c>
      <c r="O2134" s="960">
        <v>69.0</v>
      </c>
      <c r="P2134" s="960">
        <v>59.0</v>
      </c>
      <c r="Q2134" s="960">
        <v>71.0</v>
      </c>
      <c r="R2134" s="960">
        <v>178.0</v>
      </c>
      <c r="S2134" s="960">
        <v>241.0</v>
      </c>
      <c r="T2134" s="960">
        <v>265.0</v>
      </c>
      <c r="U2134" s="960">
        <f t="array" ref="U2134">HLOOKUP($J2134,'Type Chart'!$C$2:$T$20,2,false)*HLOOKUP($K2134,'Type Chart'!$C$2:$U$20,2,false)</f>
        <v>0.5</v>
      </c>
      <c r="V2134" s="960">
        <f t="array" ref="V2134">HLOOKUP($J2134,'Type Chart'!$C$2:$T$20,3,false)*HLOOKUP($K2134,'Type Chart'!$C$2:$U$20,3,false)</f>
        <v>2</v>
      </c>
      <c r="W2134" s="960">
        <f t="array" ref="W2134">HLOOKUP($J2134,'Type Chart'!$C$2:$T$20,4,false)*HLOOKUP($K2134,'Type Chart'!$C$2:$U$20,4,false)</f>
        <v>0.5</v>
      </c>
      <c r="X2134" s="960">
        <f t="array" ref="X2134">HLOOKUP($J2134,'Type Chart'!$C$2:$T$20,5,false)*HLOOKUP($K2134,'Type Chart'!$C$2:$U$20,5,false)</f>
        <v>0.5</v>
      </c>
      <c r="Y2134" s="960">
        <f t="array" ref="Y2134">HLOOKUP($J2134,'Type Chart'!$C$2:$T$20,6,false)*HLOOKUP($K2134,'Type Chart'!$C$2:$U$20,6,false)</f>
        <v>2</v>
      </c>
      <c r="Z2134" s="960">
        <f t="array" ref="Z2134">HLOOKUP($J2134,'Type Chart'!$C$2:$T$20,7,false)*HLOOKUP($K2134,'Type Chart'!$C$2:$U$20,7,false)</f>
        <v>1</v>
      </c>
      <c r="AA2134" s="960">
        <f t="array" ref="AA2134">HLOOKUP($J2134,'Type Chart'!$C$2:$T$20,8,false)*HLOOKUP($K2134,'Type Chart'!$C$2:$U$20,8,false)</f>
        <v>1</v>
      </c>
      <c r="AB2134" s="960">
        <f t="array" ref="AB2134">HLOOKUP($J2134,'Type Chart'!$C$2:$T$20,9,false)*HLOOKUP($K2134,'Type Chart'!$C$2:$U$20,9,false)</f>
        <v>1</v>
      </c>
      <c r="AC2134" s="960">
        <f t="array" ref="AC2134">HLOOKUP($J2134,'Type Chart'!$C$2:$T$20,10,false)*HLOOKUP($K2134,'Type Chart'!$C$2:$U$20,10,false)</f>
        <v>2</v>
      </c>
      <c r="AD2134" s="960">
        <f t="array" ref="AD2134">HLOOKUP($J2134,'Type Chart'!$C$2:$T$20,11,false)*HLOOKUP($K2134,'Type Chart'!$C$2:$U$20,11,false)</f>
        <v>0.25</v>
      </c>
      <c r="AE2134" s="960">
        <f t="array" ref="AE2134">HLOOKUP($J2134,'Type Chart'!$C$2:$T$20,12,false)*HLOOKUP($K2134,'Type Chart'!$C$2:$U$20,12,false)</f>
        <v>1</v>
      </c>
      <c r="AF2134" s="960">
        <f t="array" ref="AF2134">HLOOKUP($J2134,'Type Chart'!$C$2:$T$20,13,false)*HLOOKUP($K2134,'Type Chart'!$C$2:$U$20,13,false)</f>
        <v>1</v>
      </c>
      <c r="AG2134" s="960">
        <f t="array" ref="AG2134">HLOOKUP($J2134,'Type Chart'!$C$2:$T$20,14,false)*HLOOKUP($K2134,'Type Chart'!$C$2:$U$20,14,false)</f>
        <v>0.5</v>
      </c>
      <c r="AH2134" s="960">
        <f t="array" ref="AH2134">HLOOKUP($J2134,'Type Chart'!$C$2:$T$20,15,false)*HLOOKUP($K2134,'Type Chart'!$C$2:$U$20,15,false)</f>
        <v>1</v>
      </c>
      <c r="AI2134" s="960">
        <f t="array" ref="AI2134">HLOOKUP($J2134,'Type Chart'!$C$2:$T$20,16,false)*HLOOKUP($K2134,'Type Chart'!$C$2:$U$20,16,false)</f>
        <v>2</v>
      </c>
      <c r="AJ2134" s="960">
        <f t="array" ref="AJ2134">HLOOKUP($J2134,'Type Chart'!$C$2:$T$20,17,false)*HLOOKUP($K2134,'Type Chart'!$C$2:$U$20,17,false)</f>
        <v>2</v>
      </c>
      <c r="AK2134" s="960">
        <f t="array" ref="AK2134">HLOOKUP($J2134,'Type Chart'!$C$2:$T$20,18,false)*HLOOKUP($K2134,'Type Chart'!$C$2:$U$20,18,false)</f>
        <v>1</v>
      </c>
      <c r="AL2134" s="960">
        <f t="array" ref="AL2134">HLOOKUP($J2134,'Type Chart'!$C$2:$T$20,19,false)*HLOOKUP($K2134,'Type Chart'!$C$2:$U$20,19,false)</f>
        <v>2</v>
      </c>
      <c r="AM2134" s="964" t="s">
        <v>2205</v>
      </c>
      <c r="AN2134" s="965"/>
      <c r="AO2134" s="966" t="s">
        <v>1276</v>
      </c>
      <c r="AP2134" s="936"/>
      <c r="AQ2134" s="1245"/>
      <c r="AR2134" s="1245"/>
      <c r="AS2134" s="936"/>
    </row>
    <row r="2135" ht="15.75" customHeight="1">
      <c r="A2135" s="1099"/>
      <c r="B2135" s="948" t="s">
        <v>3417</v>
      </c>
      <c r="C2135" s="1197" t="s">
        <v>3418</v>
      </c>
      <c r="D2135" s="1197" t="s">
        <v>3418</v>
      </c>
      <c r="E2135" s="1147" t="s">
        <v>3418</v>
      </c>
      <c r="F2135" s="940"/>
      <c r="G2135" s="953"/>
      <c r="H2135" s="969"/>
      <c r="I2135" s="998" t="s">
        <v>5234</v>
      </c>
      <c r="J2135" s="1214" t="s">
        <v>342</v>
      </c>
      <c r="K2135" s="1205" t="s">
        <v>345</v>
      </c>
      <c r="L2135" s="959">
        <v>77.0</v>
      </c>
      <c r="M2135" s="960">
        <v>59.0</v>
      </c>
      <c r="N2135" s="960">
        <v>50.0</v>
      </c>
      <c r="O2135" s="960">
        <v>67.0</v>
      </c>
      <c r="P2135" s="960">
        <v>63.0</v>
      </c>
      <c r="Q2135" s="960">
        <v>46.0</v>
      </c>
      <c r="R2135" s="960">
        <v>128.0</v>
      </c>
      <c r="S2135" s="960">
        <v>191.0</v>
      </c>
      <c r="T2135" s="960">
        <v>210.0</v>
      </c>
      <c r="U2135" s="960">
        <f t="array" ref="U2135">HLOOKUP($J2135,'Type Chart'!$C$2:$T$20,2,false)*HLOOKUP($K2135,'Type Chart'!$C$2:$U$20,2,false)</f>
        <v>0.5</v>
      </c>
      <c r="V2135" s="960">
        <f t="array" ref="V2135">HLOOKUP($J2135,'Type Chart'!$C$2:$T$20,3,false)*HLOOKUP($K2135,'Type Chart'!$C$2:$U$20,3,false)</f>
        <v>4</v>
      </c>
      <c r="W2135" s="960">
        <f t="array" ref="W2135">HLOOKUP($J2135,'Type Chart'!$C$2:$T$20,4,false)*HLOOKUP($K2135,'Type Chart'!$C$2:$U$20,4,false)</f>
        <v>0.5</v>
      </c>
      <c r="X2135" s="960">
        <f t="array" ref="X2135">HLOOKUP($J2135,'Type Chart'!$C$2:$T$20,5,false)*HLOOKUP($K2135,'Type Chart'!$C$2:$U$20,5,false)</f>
        <v>0.5</v>
      </c>
      <c r="Y2135" s="960">
        <f t="array" ref="Y2135">HLOOKUP($J2135,'Type Chart'!$C$2:$T$20,6,false)*HLOOKUP($K2135,'Type Chart'!$C$2:$U$20,6,false)</f>
        <v>2</v>
      </c>
      <c r="Z2135" s="960">
        <f t="array" ref="Z2135">HLOOKUP($J2135,'Type Chart'!$C$2:$T$20,7,false)*HLOOKUP($K2135,'Type Chart'!$C$2:$U$20,7,false)</f>
        <v>2</v>
      </c>
      <c r="AA2135" s="960">
        <f t="array" ref="AA2135">HLOOKUP($J2135,'Type Chart'!$C$2:$T$20,8,false)*HLOOKUP($K2135,'Type Chart'!$C$2:$U$20,8,false)</f>
        <v>1</v>
      </c>
      <c r="AB2135" s="960">
        <f t="array" ref="AB2135">HLOOKUP($J2135,'Type Chart'!$C$2:$T$20,9,false)*HLOOKUP($K2135,'Type Chart'!$C$2:$U$20,9,false)</f>
        <v>1</v>
      </c>
      <c r="AC2135" s="960">
        <f t="array" ref="AC2135">HLOOKUP($J2135,'Type Chart'!$C$2:$T$20,10,false)*HLOOKUP($K2135,'Type Chart'!$C$2:$U$20,10,false)</f>
        <v>4</v>
      </c>
      <c r="AD2135" s="960">
        <f t="array" ref="AD2135">HLOOKUP($J2135,'Type Chart'!$C$2:$T$20,11,false)*HLOOKUP($K2135,'Type Chart'!$C$2:$U$20,11,false)</f>
        <v>1</v>
      </c>
      <c r="AE2135" s="960">
        <f t="array" ref="AE2135">HLOOKUP($J2135,'Type Chart'!$C$2:$T$20,12,false)*HLOOKUP($K2135,'Type Chart'!$C$2:$U$20,12,false)</f>
        <v>2</v>
      </c>
      <c r="AF2135" s="960">
        <f t="array" ref="AF2135">HLOOKUP($J2135,'Type Chart'!$C$2:$T$20,13,false)*HLOOKUP($K2135,'Type Chart'!$C$2:$U$20,13,false)</f>
        <v>2</v>
      </c>
      <c r="AG2135" s="960">
        <f t="array" ref="AG2135">HLOOKUP($J2135,'Type Chart'!$C$2:$T$20,14,false)*HLOOKUP($K2135,'Type Chart'!$C$2:$U$20,14,false)</f>
        <v>1</v>
      </c>
      <c r="AH2135" s="960">
        <f t="array" ref="AH2135">HLOOKUP($J2135,'Type Chart'!$C$2:$T$20,15,false)*HLOOKUP($K2135,'Type Chart'!$C$2:$U$20,15,false)</f>
        <v>1</v>
      </c>
      <c r="AI2135" s="960">
        <f t="array" ref="AI2135">HLOOKUP($J2135,'Type Chart'!$C$2:$T$20,16,false)*HLOOKUP($K2135,'Type Chart'!$C$2:$U$20,16,false)</f>
        <v>0.5</v>
      </c>
      <c r="AJ2135" s="960">
        <f t="array" ref="AJ2135">HLOOKUP($J2135,'Type Chart'!$C$2:$T$20,17,false)*HLOOKUP($K2135,'Type Chart'!$C$2:$U$20,17,false)</f>
        <v>1</v>
      </c>
      <c r="AK2135" s="960">
        <f t="array" ref="AK2135">HLOOKUP($J2135,'Type Chart'!$C$2:$T$20,18,false)*HLOOKUP($K2135,'Type Chart'!$C$2:$U$20,18,false)</f>
        <v>1</v>
      </c>
      <c r="AL2135" s="960">
        <f t="array" ref="AL2135">HLOOKUP($J2135,'Type Chart'!$C$2:$T$20,19,false)*HLOOKUP($K2135,'Type Chart'!$C$2:$U$20,19,false)</f>
        <v>1</v>
      </c>
      <c r="AM2135" s="964" t="s">
        <v>2348</v>
      </c>
      <c r="AN2135" s="965"/>
      <c r="AO2135" s="966" t="s">
        <v>1176</v>
      </c>
      <c r="AP2135" s="936"/>
      <c r="AQ2135" s="1245"/>
      <c r="AR2135" s="1245"/>
      <c r="AS2135" s="936"/>
    </row>
    <row r="2136" ht="15.75" customHeight="1">
      <c r="A2136" s="1099"/>
      <c r="B2136" s="948" t="s">
        <v>3420</v>
      </c>
      <c r="C2136" s="1197" t="s">
        <v>3421</v>
      </c>
      <c r="D2136" s="1197" t="s">
        <v>3421</v>
      </c>
      <c r="E2136" s="1147" t="s">
        <v>3421</v>
      </c>
      <c r="F2136" s="940"/>
      <c r="G2136" s="953"/>
      <c r="H2136" s="969"/>
      <c r="I2136" s="998" t="s">
        <v>5235</v>
      </c>
      <c r="J2136" s="1214" t="s">
        <v>342</v>
      </c>
      <c r="K2136" s="1205" t="s">
        <v>345</v>
      </c>
      <c r="L2136" s="959">
        <v>123.0</v>
      </c>
      <c r="M2136" s="960">
        <v>77.0</v>
      </c>
      <c r="N2136" s="960">
        <v>72.0</v>
      </c>
      <c r="O2136" s="960">
        <v>99.0</v>
      </c>
      <c r="P2136" s="960">
        <v>92.0</v>
      </c>
      <c r="Q2136" s="960">
        <v>58.0</v>
      </c>
      <c r="R2136" s="960">
        <v>152.0</v>
      </c>
      <c r="S2136" s="960">
        <v>215.0</v>
      </c>
      <c r="T2136" s="960">
        <v>236.0</v>
      </c>
      <c r="U2136" s="960">
        <f t="array" ref="U2136">HLOOKUP($J2136,'Type Chart'!$C$2:$T$20,2,false)*HLOOKUP($K2136,'Type Chart'!$C$2:$U$20,2,false)</f>
        <v>0.5</v>
      </c>
      <c r="V2136" s="960">
        <f t="array" ref="V2136">HLOOKUP($J2136,'Type Chart'!$C$2:$T$20,3,false)*HLOOKUP($K2136,'Type Chart'!$C$2:$U$20,3,false)</f>
        <v>4</v>
      </c>
      <c r="W2136" s="960">
        <f t="array" ref="W2136">HLOOKUP($J2136,'Type Chart'!$C$2:$T$20,4,false)*HLOOKUP($K2136,'Type Chart'!$C$2:$U$20,4,false)</f>
        <v>0.5</v>
      </c>
      <c r="X2136" s="960">
        <f t="array" ref="X2136">HLOOKUP($J2136,'Type Chart'!$C$2:$T$20,5,false)*HLOOKUP($K2136,'Type Chart'!$C$2:$U$20,5,false)</f>
        <v>0.5</v>
      </c>
      <c r="Y2136" s="960">
        <f t="array" ref="Y2136">HLOOKUP($J2136,'Type Chart'!$C$2:$T$20,6,false)*HLOOKUP($K2136,'Type Chart'!$C$2:$U$20,6,false)</f>
        <v>2</v>
      </c>
      <c r="Z2136" s="960">
        <f t="array" ref="Z2136">HLOOKUP($J2136,'Type Chart'!$C$2:$T$20,7,false)*HLOOKUP($K2136,'Type Chart'!$C$2:$U$20,7,false)</f>
        <v>2</v>
      </c>
      <c r="AA2136" s="960">
        <f t="array" ref="AA2136">HLOOKUP($J2136,'Type Chart'!$C$2:$T$20,8,false)*HLOOKUP($K2136,'Type Chart'!$C$2:$U$20,8,false)</f>
        <v>1</v>
      </c>
      <c r="AB2136" s="960">
        <f t="array" ref="AB2136">HLOOKUP($J2136,'Type Chart'!$C$2:$T$20,9,false)*HLOOKUP($K2136,'Type Chart'!$C$2:$U$20,9,false)</f>
        <v>1</v>
      </c>
      <c r="AC2136" s="960">
        <f t="array" ref="AC2136">HLOOKUP($J2136,'Type Chart'!$C$2:$T$20,10,false)*HLOOKUP($K2136,'Type Chart'!$C$2:$U$20,10,false)</f>
        <v>4</v>
      </c>
      <c r="AD2136" s="960">
        <f t="array" ref="AD2136">HLOOKUP($J2136,'Type Chart'!$C$2:$T$20,11,false)*HLOOKUP($K2136,'Type Chart'!$C$2:$U$20,11,false)</f>
        <v>1</v>
      </c>
      <c r="AE2136" s="960">
        <f t="array" ref="AE2136">HLOOKUP($J2136,'Type Chart'!$C$2:$T$20,12,false)*HLOOKUP($K2136,'Type Chart'!$C$2:$U$20,12,false)</f>
        <v>2</v>
      </c>
      <c r="AF2136" s="960">
        <f t="array" ref="AF2136">HLOOKUP($J2136,'Type Chart'!$C$2:$T$20,13,false)*HLOOKUP($K2136,'Type Chart'!$C$2:$U$20,13,false)</f>
        <v>2</v>
      </c>
      <c r="AG2136" s="960">
        <f t="array" ref="AG2136">HLOOKUP($J2136,'Type Chart'!$C$2:$T$20,14,false)*HLOOKUP($K2136,'Type Chart'!$C$2:$U$20,14,false)</f>
        <v>1</v>
      </c>
      <c r="AH2136" s="960">
        <f t="array" ref="AH2136">HLOOKUP($J2136,'Type Chart'!$C$2:$T$20,15,false)*HLOOKUP($K2136,'Type Chart'!$C$2:$U$20,15,false)</f>
        <v>1</v>
      </c>
      <c r="AI2136" s="960">
        <f t="array" ref="AI2136">HLOOKUP($J2136,'Type Chart'!$C$2:$T$20,16,false)*HLOOKUP($K2136,'Type Chart'!$C$2:$U$20,16,false)</f>
        <v>0.5</v>
      </c>
      <c r="AJ2136" s="960">
        <f t="array" ref="AJ2136">HLOOKUP($J2136,'Type Chart'!$C$2:$T$20,17,false)*HLOOKUP($K2136,'Type Chart'!$C$2:$U$20,17,false)</f>
        <v>1</v>
      </c>
      <c r="AK2136" s="960">
        <f t="array" ref="AK2136">HLOOKUP($J2136,'Type Chart'!$C$2:$T$20,18,false)*HLOOKUP($K2136,'Type Chart'!$C$2:$U$20,18,false)</f>
        <v>1</v>
      </c>
      <c r="AL2136" s="960">
        <f t="array" ref="AL2136">HLOOKUP($J2136,'Type Chart'!$C$2:$T$20,19,false)*HLOOKUP($K2136,'Type Chart'!$C$2:$U$20,19,false)</f>
        <v>1</v>
      </c>
      <c r="AM2136" s="964" t="s">
        <v>2348</v>
      </c>
      <c r="AN2136" s="965"/>
      <c r="AO2136" s="966" t="s">
        <v>1176</v>
      </c>
      <c r="AP2136" s="936"/>
      <c r="AQ2136" s="1245"/>
      <c r="AR2136" s="1245"/>
      <c r="AS2136" s="936"/>
    </row>
    <row r="2137" ht="15.75" customHeight="1">
      <c r="A2137" s="1099"/>
      <c r="B2137" s="948" t="s">
        <v>3423</v>
      </c>
      <c r="C2137" s="1197" t="s">
        <v>3424</v>
      </c>
      <c r="D2137" s="1197" t="s">
        <v>3424</v>
      </c>
      <c r="E2137" s="1147" t="s">
        <v>3424</v>
      </c>
      <c r="F2137" s="940"/>
      <c r="G2137" s="953"/>
      <c r="H2137" s="969"/>
      <c r="I2137" s="998" t="s">
        <v>170</v>
      </c>
      <c r="J2137" s="1207" t="s">
        <v>127</v>
      </c>
      <c r="K2137" s="984" t="s">
        <v>216</v>
      </c>
      <c r="L2137" s="959">
        <v>95.0</v>
      </c>
      <c r="M2137" s="960">
        <v>65.0</v>
      </c>
      <c r="N2137" s="960">
        <v>65.0</v>
      </c>
      <c r="O2137" s="960">
        <v>110.0</v>
      </c>
      <c r="P2137" s="960">
        <v>130.0</v>
      </c>
      <c r="Q2137" s="960">
        <v>60.0</v>
      </c>
      <c r="R2137" s="960">
        <v>156.0</v>
      </c>
      <c r="S2137" s="960">
        <v>219.0</v>
      </c>
      <c r="T2137" s="960">
        <v>240.0</v>
      </c>
      <c r="U2137" s="960">
        <f t="array" ref="U2137">HLOOKUP($J2137,'Type Chart'!$C$2:$T$20,2,false)*HLOOKUP($K2137,'Type Chart'!$C$2:$U$20,2,false)</f>
        <v>1</v>
      </c>
      <c r="V2137" s="960">
        <f t="array" ref="V2137">HLOOKUP($J2137,'Type Chart'!$C$2:$T$20,3,false)*HLOOKUP($K2137,'Type Chart'!$C$2:$U$20,3,false)</f>
        <v>0.5</v>
      </c>
      <c r="W2137" s="960">
        <f t="array" ref="W2137">HLOOKUP($J2137,'Type Chart'!$C$2:$T$20,4,false)*HLOOKUP($K2137,'Type Chart'!$C$2:$U$20,4,false)</f>
        <v>1</v>
      </c>
      <c r="X2137" s="960">
        <f t="array" ref="X2137">HLOOKUP($J2137,'Type Chart'!$C$2:$T$20,5,false)*HLOOKUP($K2137,'Type Chart'!$C$2:$U$20,5,false)</f>
        <v>2</v>
      </c>
      <c r="Y2137" s="960">
        <f t="array" ref="Y2137">HLOOKUP($J2137,'Type Chart'!$C$2:$T$20,6,false)*HLOOKUP($K2137,'Type Chart'!$C$2:$U$20,6,false)</f>
        <v>1</v>
      </c>
      <c r="Z2137" s="960">
        <f t="array" ref="Z2137">HLOOKUP($J2137,'Type Chart'!$C$2:$T$20,7,false)*HLOOKUP($K2137,'Type Chart'!$C$2:$U$20,7,false)</f>
        <v>1</v>
      </c>
      <c r="AA2137" s="960">
        <f t="array" ref="AA2137">HLOOKUP($J2137,'Type Chart'!$C$2:$T$20,8,false)*HLOOKUP($K2137,'Type Chart'!$C$2:$U$20,8,false)</f>
        <v>0.5</v>
      </c>
      <c r="AB2137" s="960">
        <f t="array" ref="AB2137">HLOOKUP($J2137,'Type Chart'!$C$2:$T$20,9,false)*HLOOKUP($K2137,'Type Chart'!$C$2:$U$20,9,false)</f>
        <v>1</v>
      </c>
      <c r="AC2137" s="960">
        <f t="array" ref="AC2137">HLOOKUP($J2137,'Type Chart'!$C$2:$T$20,10,false)*HLOOKUP($K2137,'Type Chart'!$C$2:$U$20,10,false)</f>
        <v>2</v>
      </c>
      <c r="AD2137" s="960">
        <f t="array" ref="AD2137">HLOOKUP($J2137,'Type Chart'!$C$2:$T$20,11,false)*HLOOKUP($K2137,'Type Chart'!$C$2:$U$20,11,false)</f>
        <v>1</v>
      </c>
      <c r="AE2137" s="960">
        <f t="array" ref="AE2137">HLOOKUP($J2137,'Type Chart'!$C$2:$T$20,12,false)*HLOOKUP($K2137,'Type Chart'!$C$2:$U$20,12,false)</f>
        <v>1</v>
      </c>
      <c r="AF2137" s="960">
        <f t="array" ref="AF2137">HLOOKUP($J2137,'Type Chart'!$C$2:$T$20,13,false)*HLOOKUP($K2137,'Type Chart'!$C$2:$U$20,13,false)</f>
        <v>1</v>
      </c>
      <c r="AG2137" s="960">
        <f t="array" ref="AG2137">HLOOKUP($J2137,'Type Chart'!$C$2:$T$20,14,false)*HLOOKUP($K2137,'Type Chart'!$C$2:$U$20,14,false)</f>
        <v>1</v>
      </c>
      <c r="AH2137" s="960">
        <f t="array" ref="AH2137">HLOOKUP($J2137,'Type Chart'!$C$2:$T$20,15,false)*HLOOKUP($K2137,'Type Chart'!$C$2:$U$20,15,false)</f>
        <v>1</v>
      </c>
      <c r="AI2137" s="960">
        <f t="array" ref="AI2137">HLOOKUP($J2137,'Type Chart'!$C$2:$T$20,16,false)*HLOOKUP($K2137,'Type Chart'!$C$2:$U$20,16,false)</f>
        <v>1</v>
      </c>
      <c r="AJ2137" s="960">
        <f t="array" ref="AJ2137">HLOOKUP($J2137,'Type Chart'!$C$2:$T$20,17,false)*HLOOKUP($K2137,'Type Chart'!$C$2:$U$20,17,false)</f>
        <v>0</v>
      </c>
      <c r="AK2137" s="960">
        <f t="array" ref="AK2137">HLOOKUP($J2137,'Type Chart'!$C$2:$T$20,18,false)*HLOOKUP($K2137,'Type Chart'!$C$2:$U$20,18,false)</f>
        <v>0.5</v>
      </c>
      <c r="AL2137" s="960">
        <f t="array" ref="AL2137">HLOOKUP($J2137,'Type Chart'!$C$2:$T$20,19,false)*HLOOKUP($K2137,'Type Chart'!$C$2:$U$20,19,false)</f>
        <v>1</v>
      </c>
      <c r="AM2137" s="964" t="s">
        <v>1165</v>
      </c>
      <c r="AN2137" s="965"/>
      <c r="AO2137" s="966" t="s">
        <v>2079</v>
      </c>
      <c r="AP2137" s="936"/>
      <c r="AQ2137" s="1245"/>
      <c r="AR2137" s="1245"/>
      <c r="AS2137" s="936"/>
    </row>
    <row r="2138" ht="15.75" customHeight="1">
      <c r="A2138" s="1099"/>
      <c r="B2138" s="948" t="s">
        <v>3425</v>
      </c>
      <c r="C2138" s="1197" t="s">
        <v>3426</v>
      </c>
      <c r="D2138" s="1197" t="s">
        <v>3426</v>
      </c>
      <c r="E2138" s="1147" t="s">
        <v>3426</v>
      </c>
      <c r="F2138" s="940"/>
      <c r="G2138" s="953"/>
      <c r="H2138" s="969"/>
      <c r="I2138" s="998" t="s">
        <v>5236</v>
      </c>
      <c r="J2138" s="1213" t="s">
        <v>341</v>
      </c>
      <c r="K2138" s="1001" t="s">
        <v>128</v>
      </c>
      <c r="L2138" s="959">
        <v>78.0</v>
      </c>
      <c r="M2138" s="960">
        <v>92.0</v>
      </c>
      <c r="N2138" s="960">
        <v>75.0</v>
      </c>
      <c r="O2138" s="960">
        <v>74.0</v>
      </c>
      <c r="P2138" s="960">
        <v>63.0</v>
      </c>
      <c r="Q2138" s="960">
        <v>118.0</v>
      </c>
      <c r="R2138" s="960">
        <v>272.0</v>
      </c>
      <c r="S2138" s="960">
        <v>335.0</v>
      </c>
      <c r="T2138" s="960">
        <v>368.0</v>
      </c>
      <c r="U2138" s="960">
        <f t="array" ref="U2138">HLOOKUP($J2138,'Type Chart'!$C$2:$T$20,2,false)*HLOOKUP($K2138,'Type Chart'!$C$2:$U$20,2,false)</f>
        <v>1</v>
      </c>
      <c r="V2138" s="960">
        <f t="array" ref="V2138">HLOOKUP($J2138,'Type Chart'!$C$2:$T$20,3,false)*HLOOKUP($K2138,'Type Chart'!$C$2:$U$20,3,false)</f>
        <v>0.5</v>
      </c>
      <c r="W2138" s="960">
        <f t="array" ref="W2138">HLOOKUP($J2138,'Type Chart'!$C$2:$T$20,4,false)*HLOOKUP($K2138,'Type Chart'!$C$2:$U$20,4,false)</f>
        <v>2</v>
      </c>
      <c r="X2138" s="960">
        <f t="array" ref="X2138">HLOOKUP($J2138,'Type Chart'!$C$2:$T$20,5,false)*HLOOKUP($K2138,'Type Chart'!$C$2:$U$20,5,false)</f>
        <v>1</v>
      </c>
      <c r="Y2138" s="960">
        <f t="array" ref="Y2138">HLOOKUP($J2138,'Type Chart'!$C$2:$T$20,6,false)*HLOOKUP($K2138,'Type Chart'!$C$2:$U$20,6,false)</f>
        <v>0</v>
      </c>
      <c r="Z2138" s="960">
        <f t="array" ref="Z2138">HLOOKUP($J2138,'Type Chart'!$C$2:$T$20,7,false)*HLOOKUP($K2138,'Type Chart'!$C$2:$U$20,7,false)</f>
        <v>1</v>
      </c>
      <c r="AA2138" s="960">
        <f t="array" ref="AA2138">HLOOKUP($J2138,'Type Chart'!$C$2:$T$20,8,false)*HLOOKUP($K2138,'Type Chart'!$C$2:$U$20,8,false)</f>
        <v>0.25</v>
      </c>
      <c r="AB2138" s="960">
        <f t="array" ref="AB2138">HLOOKUP($J2138,'Type Chart'!$C$2:$T$20,9,false)*HLOOKUP($K2138,'Type Chart'!$C$2:$U$20,9,false)</f>
        <v>1</v>
      </c>
      <c r="AC2138" s="960">
        <f t="array" ref="AC2138">HLOOKUP($J2138,'Type Chart'!$C$2:$T$20,10,false)*HLOOKUP($K2138,'Type Chart'!$C$2:$U$20,10,false)</f>
        <v>1</v>
      </c>
      <c r="AD2138" s="960">
        <f t="array" ref="AD2138">HLOOKUP($J2138,'Type Chart'!$C$2:$T$20,11,false)*HLOOKUP($K2138,'Type Chart'!$C$2:$U$20,11,false)</f>
        <v>1</v>
      </c>
      <c r="AE2138" s="960">
        <f t="array" ref="AE2138">HLOOKUP($J2138,'Type Chart'!$C$2:$T$20,12,false)*HLOOKUP($K2138,'Type Chart'!$C$2:$U$20,12,false)</f>
        <v>1</v>
      </c>
      <c r="AF2138" s="960">
        <f t="array" ref="AF2138">HLOOKUP($J2138,'Type Chart'!$C$2:$T$20,13,false)*HLOOKUP($K2138,'Type Chart'!$C$2:$U$20,13,false)</f>
        <v>0.5</v>
      </c>
      <c r="AG2138" s="960">
        <f t="array" ref="AG2138">HLOOKUP($J2138,'Type Chart'!$C$2:$T$20,14,false)*HLOOKUP($K2138,'Type Chart'!$C$2:$U$20,14,false)</f>
        <v>2</v>
      </c>
      <c r="AH2138" s="960">
        <f t="array" ref="AH2138">HLOOKUP($J2138,'Type Chart'!$C$2:$T$20,15,false)*HLOOKUP($K2138,'Type Chart'!$C$2:$U$20,15,false)</f>
        <v>2</v>
      </c>
      <c r="AI2138" s="960">
        <f t="array" ref="AI2138">HLOOKUP($J2138,'Type Chart'!$C$2:$T$20,16,false)*HLOOKUP($K2138,'Type Chart'!$C$2:$U$20,16,false)</f>
        <v>2</v>
      </c>
      <c r="AJ2138" s="960">
        <f t="array" ref="AJ2138">HLOOKUP($J2138,'Type Chart'!$C$2:$T$20,17,false)*HLOOKUP($K2138,'Type Chart'!$C$2:$U$20,17,false)</f>
        <v>1</v>
      </c>
      <c r="AK2138" s="960">
        <f t="array" ref="AK2138">HLOOKUP($J2138,'Type Chart'!$C$2:$T$20,18,false)*HLOOKUP($K2138,'Type Chart'!$C$2:$U$20,18,false)</f>
        <v>0.5</v>
      </c>
      <c r="AL2138" s="960">
        <f t="array" ref="AL2138">HLOOKUP($J2138,'Type Chart'!$C$2:$T$20,19,false)*HLOOKUP($K2138,'Type Chart'!$C$2:$U$20,19,false)</f>
        <v>2</v>
      </c>
      <c r="AM2138" s="964" t="s">
        <v>1250</v>
      </c>
      <c r="AN2138" s="965" t="s">
        <v>1498</v>
      </c>
      <c r="AO2138" s="966" t="s">
        <v>1576</v>
      </c>
      <c r="AP2138" s="936"/>
      <c r="AQ2138" s="1245"/>
      <c r="AR2138" s="1245"/>
      <c r="AS2138" s="936"/>
    </row>
    <row r="2139" ht="15.75" customHeight="1">
      <c r="A2139" s="1099"/>
      <c r="B2139" s="948" t="s">
        <v>3427</v>
      </c>
      <c r="C2139" s="1197" t="s">
        <v>3428</v>
      </c>
      <c r="D2139" s="1197" t="s">
        <v>3428</v>
      </c>
      <c r="E2139" s="1147" t="s">
        <v>3428</v>
      </c>
      <c r="F2139" s="940"/>
      <c r="G2139" s="953"/>
      <c r="H2139" s="969"/>
      <c r="I2139" s="998" t="s">
        <v>5237</v>
      </c>
      <c r="J2139" s="1196" t="s">
        <v>203</v>
      </c>
      <c r="K2139" s="1207" t="s">
        <v>127</v>
      </c>
      <c r="L2139" s="959">
        <v>67.0</v>
      </c>
      <c r="M2139" s="960">
        <v>58.0</v>
      </c>
      <c r="N2139" s="960">
        <v>57.0</v>
      </c>
      <c r="O2139" s="960">
        <v>81.0</v>
      </c>
      <c r="P2139" s="960">
        <v>67.0</v>
      </c>
      <c r="Q2139" s="960">
        <v>101.0</v>
      </c>
      <c r="R2139" s="960">
        <v>238.0</v>
      </c>
      <c r="S2139" s="960">
        <v>301.0</v>
      </c>
      <c r="T2139" s="960">
        <v>331.0</v>
      </c>
      <c r="U2139" s="960">
        <f t="array" ref="U2139">HLOOKUP($J2139,'Type Chart'!$C$2:$T$20,2,false)*HLOOKUP($K2139,'Type Chart'!$C$2:$U$20,2,false)</f>
        <v>1</v>
      </c>
      <c r="V2139" s="960">
        <f t="array" ref="V2139">HLOOKUP($J2139,'Type Chart'!$C$2:$T$20,3,false)*HLOOKUP($K2139,'Type Chart'!$C$2:$U$20,3,false)</f>
        <v>0.5</v>
      </c>
      <c r="W2139" s="960">
        <f t="array" ref="W2139">HLOOKUP($J2139,'Type Chart'!$C$2:$T$20,4,false)*HLOOKUP($K2139,'Type Chart'!$C$2:$U$20,4,false)</f>
        <v>0.5</v>
      </c>
      <c r="X2139" s="960">
        <f t="array" ref="X2139">HLOOKUP($J2139,'Type Chart'!$C$2:$T$20,5,false)*HLOOKUP($K2139,'Type Chart'!$C$2:$U$20,5,false)</f>
        <v>2</v>
      </c>
      <c r="Y2139" s="960">
        <f t="array" ref="Y2139">HLOOKUP($J2139,'Type Chart'!$C$2:$T$20,6,false)*HLOOKUP($K2139,'Type Chart'!$C$2:$U$20,6,false)</f>
        <v>2</v>
      </c>
      <c r="Z2139" s="960">
        <f t="array" ref="Z2139">HLOOKUP($J2139,'Type Chart'!$C$2:$T$20,7,false)*HLOOKUP($K2139,'Type Chart'!$C$2:$U$20,7,false)</f>
        <v>1</v>
      </c>
      <c r="AA2139" s="960">
        <f t="array" ref="AA2139">HLOOKUP($J2139,'Type Chart'!$C$2:$T$20,8,false)*HLOOKUP($K2139,'Type Chart'!$C$2:$U$20,8,false)</f>
        <v>0.5</v>
      </c>
      <c r="AB2139" s="960">
        <f t="array" ref="AB2139">HLOOKUP($J2139,'Type Chart'!$C$2:$T$20,9,false)*HLOOKUP($K2139,'Type Chart'!$C$2:$U$20,9,false)</f>
        <v>1</v>
      </c>
      <c r="AC2139" s="960">
        <f t="array" ref="AC2139">HLOOKUP($J2139,'Type Chart'!$C$2:$T$20,10,false)*HLOOKUP($K2139,'Type Chart'!$C$2:$U$20,10,false)</f>
        <v>1</v>
      </c>
      <c r="AD2139" s="960">
        <f t="array" ref="AD2139">HLOOKUP($J2139,'Type Chart'!$C$2:$T$20,11,false)*HLOOKUP($K2139,'Type Chart'!$C$2:$U$20,11,false)</f>
        <v>1</v>
      </c>
      <c r="AE2139" s="960">
        <f t="array" ref="AE2139">HLOOKUP($J2139,'Type Chart'!$C$2:$T$20,12,false)*HLOOKUP($K2139,'Type Chart'!$C$2:$U$20,12,false)</f>
        <v>1</v>
      </c>
      <c r="AF2139" s="960">
        <f t="array" ref="AF2139">HLOOKUP($J2139,'Type Chart'!$C$2:$T$20,13,false)*HLOOKUP($K2139,'Type Chart'!$C$2:$U$20,13,false)</f>
        <v>1</v>
      </c>
      <c r="AG2139" s="960">
        <f t="array" ref="AG2139">HLOOKUP($J2139,'Type Chart'!$C$2:$T$20,14,false)*HLOOKUP($K2139,'Type Chart'!$C$2:$U$20,14,false)</f>
        <v>0.5</v>
      </c>
      <c r="AH2139" s="960">
        <f t="array" ref="AH2139">HLOOKUP($J2139,'Type Chart'!$C$2:$T$20,15,false)*HLOOKUP($K2139,'Type Chart'!$C$2:$U$20,15,false)</f>
        <v>1</v>
      </c>
      <c r="AI2139" s="960">
        <f t="array" ref="AI2139">HLOOKUP($J2139,'Type Chart'!$C$2:$T$20,16,false)*HLOOKUP($K2139,'Type Chart'!$C$2:$U$20,16,false)</f>
        <v>1</v>
      </c>
      <c r="AJ2139" s="960">
        <f t="array" ref="AJ2139">HLOOKUP($J2139,'Type Chart'!$C$2:$T$20,17,false)*HLOOKUP($K2139,'Type Chart'!$C$2:$U$20,17,false)</f>
        <v>0</v>
      </c>
      <c r="AK2139" s="960">
        <f t="array" ref="AK2139">HLOOKUP($J2139,'Type Chart'!$C$2:$T$20,18,false)*HLOOKUP($K2139,'Type Chart'!$C$2:$U$20,18,false)</f>
        <v>0.5</v>
      </c>
      <c r="AL2139" s="960">
        <f t="array" ref="AL2139">HLOOKUP($J2139,'Type Chart'!$C$2:$T$20,19,false)*HLOOKUP($K2139,'Type Chart'!$C$2:$U$20,19,false)</f>
        <v>1</v>
      </c>
      <c r="AM2139" s="964" t="s">
        <v>3286</v>
      </c>
      <c r="AN2139" s="965" t="s">
        <v>1238</v>
      </c>
      <c r="AO2139" s="966" t="s">
        <v>1759</v>
      </c>
      <c r="AP2139" s="936"/>
      <c r="AQ2139" s="1245"/>
      <c r="AR2139" s="1245"/>
      <c r="AS2139" s="936"/>
    </row>
    <row r="2140" ht="15.75" customHeight="1">
      <c r="A2140" s="1099"/>
      <c r="B2140" s="948" t="s">
        <v>3429</v>
      </c>
      <c r="C2140" s="1197" t="s">
        <v>3430</v>
      </c>
      <c r="D2140" s="1197" t="s">
        <v>3430</v>
      </c>
      <c r="E2140" s="1147" t="s">
        <v>3430</v>
      </c>
      <c r="F2140" s="940"/>
      <c r="G2140" s="953"/>
      <c r="H2140" s="969"/>
      <c r="I2140" s="998" t="s">
        <v>5238</v>
      </c>
      <c r="J2140" s="1214" t="s">
        <v>342</v>
      </c>
      <c r="K2140" s="1207" t="s">
        <v>127</v>
      </c>
      <c r="L2140" s="959">
        <v>50.0</v>
      </c>
      <c r="M2140" s="960">
        <v>50.0</v>
      </c>
      <c r="N2140" s="960">
        <v>150.0</v>
      </c>
      <c r="O2140" s="960">
        <v>50.0</v>
      </c>
      <c r="P2140" s="960">
        <v>150.0</v>
      </c>
      <c r="Q2140" s="960">
        <v>50.0</v>
      </c>
      <c r="R2140" s="960">
        <v>136.0</v>
      </c>
      <c r="S2140" s="960">
        <v>199.0</v>
      </c>
      <c r="T2140" s="960">
        <v>218.0</v>
      </c>
      <c r="U2140" s="960">
        <f t="array" ref="U2140">HLOOKUP($J2140,'Type Chart'!$C$2:$T$20,2,false)*HLOOKUP($K2140,'Type Chart'!$C$2:$U$20,2,false)</f>
        <v>0.5</v>
      </c>
      <c r="V2140" s="960">
        <f t="array" ref="V2140">HLOOKUP($J2140,'Type Chart'!$C$2:$T$20,3,false)*HLOOKUP($K2140,'Type Chart'!$C$2:$U$20,3,false)</f>
        <v>1</v>
      </c>
      <c r="W2140" s="960">
        <f t="array" ref="W2140">HLOOKUP($J2140,'Type Chart'!$C$2:$T$20,4,false)*HLOOKUP($K2140,'Type Chart'!$C$2:$U$20,4,false)</f>
        <v>0.5</v>
      </c>
      <c r="X2140" s="960">
        <f t="array" ref="X2140">HLOOKUP($J2140,'Type Chart'!$C$2:$T$20,5,false)*HLOOKUP($K2140,'Type Chart'!$C$2:$U$20,5,false)</f>
        <v>1</v>
      </c>
      <c r="Y2140" s="960">
        <f t="array" ref="Y2140">HLOOKUP($J2140,'Type Chart'!$C$2:$T$20,6,false)*HLOOKUP($K2140,'Type Chart'!$C$2:$U$20,6,false)</f>
        <v>2</v>
      </c>
      <c r="Z2140" s="960">
        <f t="array" ref="Z2140">HLOOKUP($J2140,'Type Chart'!$C$2:$T$20,7,false)*HLOOKUP($K2140,'Type Chart'!$C$2:$U$20,7,false)</f>
        <v>1</v>
      </c>
      <c r="AA2140" s="960">
        <f t="array" ref="AA2140">HLOOKUP($J2140,'Type Chart'!$C$2:$T$20,8,false)*HLOOKUP($K2140,'Type Chart'!$C$2:$U$20,8,false)</f>
        <v>0.5</v>
      </c>
      <c r="AB2140" s="960">
        <f t="array" ref="AB2140">HLOOKUP($J2140,'Type Chart'!$C$2:$T$20,9,false)*HLOOKUP($K2140,'Type Chart'!$C$2:$U$20,9,false)</f>
        <v>1</v>
      </c>
      <c r="AC2140" s="960">
        <f t="array" ref="AC2140">HLOOKUP($J2140,'Type Chart'!$C$2:$T$20,10,false)*HLOOKUP($K2140,'Type Chart'!$C$2:$U$20,10,false)</f>
        <v>4</v>
      </c>
      <c r="AD2140" s="960">
        <f t="array" ref="AD2140">HLOOKUP($J2140,'Type Chart'!$C$2:$T$20,11,false)*HLOOKUP($K2140,'Type Chart'!$C$2:$U$20,11,false)</f>
        <v>0.5</v>
      </c>
      <c r="AE2140" s="960">
        <f t="array" ref="AE2140">HLOOKUP($J2140,'Type Chart'!$C$2:$T$20,12,false)*HLOOKUP($K2140,'Type Chart'!$C$2:$U$20,12,false)</f>
        <v>2</v>
      </c>
      <c r="AF2140" s="960">
        <f t="array" ref="AF2140">HLOOKUP($J2140,'Type Chart'!$C$2:$T$20,13,false)*HLOOKUP($K2140,'Type Chart'!$C$2:$U$20,13,false)</f>
        <v>2</v>
      </c>
      <c r="AG2140" s="960">
        <f t="array" ref="AG2140">HLOOKUP($J2140,'Type Chart'!$C$2:$T$20,14,false)*HLOOKUP($K2140,'Type Chart'!$C$2:$U$20,14,false)</f>
        <v>1</v>
      </c>
      <c r="AH2140" s="960">
        <f t="array" ref="AH2140">HLOOKUP($J2140,'Type Chart'!$C$2:$T$20,15,false)*HLOOKUP($K2140,'Type Chart'!$C$2:$U$20,15,false)</f>
        <v>1</v>
      </c>
      <c r="AI2140" s="960">
        <f t="array" ref="AI2140">HLOOKUP($J2140,'Type Chart'!$C$2:$T$20,16,false)*HLOOKUP($K2140,'Type Chart'!$C$2:$U$20,16,false)</f>
        <v>1</v>
      </c>
      <c r="AJ2140" s="960">
        <f t="array" ref="AJ2140">HLOOKUP($J2140,'Type Chart'!$C$2:$T$20,17,false)*HLOOKUP($K2140,'Type Chart'!$C$2:$U$20,17,false)</f>
        <v>0</v>
      </c>
      <c r="AK2140" s="960">
        <f t="array" ref="AK2140">HLOOKUP($J2140,'Type Chart'!$C$2:$T$20,18,false)*HLOOKUP($K2140,'Type Chart'!$C$2:$U$20,18,false)</f>
        <v>0.5</v>
      </c>
      <c r="AL2140" s="960">
        <f t="array" ref="AL2140">HLOOKUP($J2140,'Type Chart'!$C$2:$T$20,19,false)*HLOOKUP($K2140,'Type Chart'!$C$2:$U$20,19,false)</f>
        <v>1</v>
      </c>
      <c r="AM2140" s="964" t="s">
        <v>1324</v>
      </c>
      <c r="AN2140" s="965"/>
      <c r="AO2140" s="966" t="s">
        <v>1331</v>
      </c>
      <c r="AP2140" s="936"/>
      <c r="AQ2140" s="1245"/>
      <c r="AR2140" s="1245"/>
      <c r="AS2140" s="936"/>
    </row>
    <row r="2141" ht="15.75" customHeight="1">
      <c r="A2141" s="1099"/>
      <c r="B2141" s="948" t="s">
        <v>3431</v>
      </c>
      <c r="C2141" s="1197" t="s">
        <v>3432</v>
      </c>
      <c r="D2141" s="1197" t="s">
        <v>3432</v>
      </c>
      <c r="E2141" s="1147" t="s">
        <v>3432</v>
      </c>
      <c r="F2141" s="940"/>
      <c r="G2141" s="953"/>
      <c r="H2141" s="969"/>
      <c r="I2141" s="998" t="s">
        <v>5239</v>
      </c>
      <c r="J2141" s="1231" t="s">
        <v>346</v>
      </c>
      <c r="K2141" s="1199" t="s">
        <v>216</v>
      </c>
      <c r="L2141" s="1200">
        <v>45.0</v>
      </c>
      <c r="M2141" s="1201">
        <v>50.0</v>
      </c>
      <c r="N2141" s="1201">
        <v>35.0</v>
      </c>
      <c r="O2141" s="1201">
        <v>55.0</v>
      </c>
      <c r="P2141" s="1201">
        <v>75.0</v>
      </c>
      <c r="Q2141" s="1201">
        <v>40.0</v>
      </c>
      <c r="R2141" s="960">
        <v>116.0</v>
      </c>
      <c r="S2141" s="960">
        <v>179.0</v>
      </c>
      <c r="T2141" s="960">
        <v>196.0</v>
      </c>
      <c r="U2141" s="960">
        <f t="array" ref="U2141">HLOOKUP($J2141,'Type Chart'!$C$2:$T$20,2,false)*HLOOKUP($K2141,'Type Chart'!$C$2:$U$20,2,false)</f>
        <v>1</v>
      </c>
      <c r="V2141" s="960">
        <f t="array" ref="V2141">HLOOKUP($J2141,'Type Chart'!$C$2:$T$20,3,false)*HLOOKUP($K2141,'Type Chart'!$C$2:$U$20,3,false)</f>
        <v>1</v>
      </c>
      <c r="W2141" s="960">
        <f t="array" ref="W2141">HLOOKUP($J2141,'Type Chart'!$C$2:$T$20,4,false)*HLOOKUP($K2141,'Type Chart'!$C$2:$U$20,4,false)</f>
        <v>1</v>
      </c>
      <c r="X2141" s="960">
        <f t="array" ref="X2141">HLOOKUP($J2141,'Type Chart'!$C$2:$T$20,5,false)*HLOOKUP($K2141,'Type Chart'!$C$2:$U$20,5,false)</f>
        <v>1</v>
      </c>
      <c r="Y2141" s="960">
        <f t="array" ref="Y2141">HLOOKUP($J2141,'Type Chart'!$C$2:$T$20,6,false)*HLOOKUP($K2141,'Type Chart'!$C$2:$U$20,6,false)</f>
        <v>1</v>
      </c>
      <c r="Z2141" s="960">
        <f t="array" ref="Z2141">HLOOKUP($J2141,'Type Chart'!$C$2:$T$20,7,false)*HLOOKUP($K2141,'Type Chart'!$C$2:$U$20,7,false)</f>
        <v>1</v>
      </c>
      <c r="AA2141" s="960">
        <f t="array" ref="AA2141">HLOOKUP($J2141,'Type Chart'!$C$2:$T$20,8,false)*HLOOKUP($K2141,'Type Chart'!$C$2:$U$20,8,false)</f>
        <v>1</v>
      </c>
      <c r="AB2141" s="960">
        <f t="array" ref="AB2141">HLOOKUP($J2141,'Type Chart'!$C$2:$T$20,9,false)*HLOOKUP($K2141,'Type Chart'!$C$2:$U$20,9,false)</f>
        <v>1</v>
      </c>
      <c r="AC2141" s="960">
        <f t="array" ref="AC2141">HLOOKUP($J2141,'Type Chart'!$C$2:$T$20,10,false)*HLOOKUP($K2141,'Type Chart'!$C$2:$U$20,10,false)</f>
        <v>1</v>
      </c>
      <c r="AD2141" s="960">
        <f t="array" ref="AD2141">HLOOKUP($J2141,'Type Chart'!$C$2:$T$20,11,false)*HLOOKUP($K2141,'Type Chart'!$C$2:$U$20,11,false)</f>
        <v>0.5</v>
      </c>
      <c r="AE2141" s="960">
        <f t="array" ref="AE2141">HLOOKUP($J2141,'Type Chart'!$C$2:$T$20,12,false)*HLOOKUP($K2141,'Type Chart'!$C$2:$U$20,12,false)</f>
        <v>0.5</v>
      </c>
      <c r="AF2141" s="960">
        <f t="array" ref="AF2141">HLOOKUP($J2141,'Type Chart'!$C$2:$T$20,13,false)*HLOOKUP($K2141,'Type Chart'!$C$2:$U$20,13,false)</f>
        <v>0.5</v>
      </c>
      <c r="AG2141" s="960">
        <f t="array" ref="AG2141">HLOOKUP($J2141,'Type Chart'!$C$2:$T$20,14,false)*HLOOKUP($K2141,'Type Chart'!$C$2:$U$20,14,false)</f>
        <v>0.5</v>
      </c>
      <c r="AH2141" s="960">
        <f t="array" ref="AH2141">HLOOKUP($J2141,'Type Chart'!$C$2:$T$20,15,false)*HLOOKUP($K2141,'Type Chart'!$C$2:$U$20,15,false)</f>
        <v>1</v>
      </c>
      <c r="AI2141" s="960">
        <f t="array" ref="AI2141">HLOOKUP($J2141,'Type Chart'!$C$2:$T$20,16,false)*HLOOKUP($K2141,'Type Chart'!$C$2:$U$20,16,false)</f>
        <v>2</v>
      </c>
      <c r="AJ2141" s="960">
        <f t="array" ref="AJ2141">HLOOKUP($J2141,'Type Chart'!$C$2:$T$20,17,false)*HLOOKUP($K2141,'Type Chart'!$C$2:$U$20,17,false)</f>
        <v>2</v>
      </c>
      <c r="AK2141" s="960">
        <f t="array" ref="AK2141">HLOOKUP($J2141,'Type Chart'!$C$2:$T$20,18,false)*HLOOKUP($K2141,'Type Chart'!$C$2:$U$20,18,false)</f>
        <v>1</v>
      </c>
      <c r="AL2141" s="960">
        <f t="array" ref="AL2141">HLOOKUP($J2141,'Type Chart'!$C$2:$T$20,19,false)*HLOOKUP($K2141,'Type Chart'!$C$2:$U$20,19,false)</f>
        <v>2</v>
      </c>
      <c r="AM2141" s="1145" t="s">
        <v>1772</v>
      </c>
      <c r="AN2141" s="965" t="s">
        <v>1409</v>
      </c>
      <c r="AO2141" s="1146" t="s">
        <v>3434</v>
      </c>
      <c r="AP2141" s="936"/>
      <c r="AQ2141" s="1245"/>
      <c r="AR2141" s="1245"/>
      <c r="AS2141" s="936"/>
    </row>
    <row r="2142" ht="15.75" customHeight="1">
      <c r="A2142" s="1099"/>
      <c r="B2142" s="948" t="s">
        <v>3435</v>
      </c>
      <c r="C2142" s="1197" t="s">
        <v>3436</v>
      </c>
      <c r="D2142" s="1197" t="s">
        <v>3436</v>
      </c>
      <c r="E2142" s="1147" t="s">
        <v>3436</v>
      </c>
      <c r="F2142" s="940"/>
      <c r="G2142" s="953"/>
      <c r="H2142" s="969"/>
      <c r="I2142" s="998" t="s">
        <v>5240</v>
      </c>
      <c r="J2142" s="1231" t="s">
        <v>346</v>
      </c>
      <c r="K2142" s="1199" t="s">
        <v>216</v>
      </c>
      <c r="L2142" s="1200">
        <v>68.0</v>
      </c>
      <c r="M2142" s="1201">
        <v>75.0</v>
      </c>
      <c r="N2142" s="1201">
        <v>53.0</v>
      </c>
      <c r="O2142" s="1201">
        <v>83.0</v>
      </c>
      <c r="P2142" s="1201">
        <v>113.0</v>
      </c>
      <c r="Q2142" s="1201">
        <v>60.0</v>
      </c>
      <c r="R2142" s="960">
        <v>156.0</v>
      </c>
      <c r="S2142" s="960">
        <v>219.0</v>
      </c>
      <c r="T2142" s="960">
        <v>240.0</v>
      </c>
      <c r="U2142" s="960">
        <f t="array" ref="U2142">HLOOKUP($J2142,'Type Chart'!$C$2:$T$20,2,false)*HLOOKUP($K2142,'Type Chart'!$C$2:$U$20,2,false)</f>
        <v>1</v>
      </c>
      <c r="V2142" s="960">
        <f t="array" ref="V2142">HLOOKUP($J2142,'Type Chart'!$C$2:$T$20,3,false)*HLOOKUP($K2142,'Type Chart'!$C$2:$U$20,3,false)</f>
        <v>1</v>
      </c>
      <c r="W2142" s="960">
        <f t="array" ref="W2142">HLOOKUP($J2142,'Type Chart'!$C$2:$T$20,4,false)*HLOOKUP($K2142,'Type Chart'!$C$2:$U$20,4,false)</f>
        <v>1</v>
      </c>
      <c r="X2142" s="960">
        <f t="array" ref="X2142">HLOOKUP($J2142,'Type Chart'!$C$2:$T$20,5,false)*HLOOKUP($K2142,'Type Chart'!$C$2:$U$20,5,false)</f>
        <v>1</v>
      </c>
      <c r="Y2142" s="960">
        <f t="array" ref="Y2142">HLOOKUP($J2142,'Type Chart'!$C$2:$T$20,6,false)*HLOOKUP($K2142,'Type Chart'!$C$2:$U$20,6,false)</f>
        <v>1</v>
      </c>
      <c r="Z2142" s="960">
        <f t="array" ref="Z2142">HLOOKUP($J2142,'Type Chart'!$C$2:$T$20,7,false)*HLOOKUP($K2142,'Type Chart'!$C$2:$U$20,7,false)</f>
        <v>1</v>
      </c>
      <c r="AA2142" s="960">
        <f t="array" ref="AA2142">HLOOKUP($J2142,'Type Chart'!$C$2:$T$20,8,false)*HLOOKUP($K2142,'Type Chart'!$C$2:$U$20,8,false)</f>
        <v>1</v>
      </c>
      <c r="AB2142" s="960">
        <f t="array" ref="AB2142">HLOOKUP($J2142,'Type Chart'!$C$2:$T$20,9,false)*HLOOKUP($K2142,'Type Chart'!$C$2:$U$20,9,false)</f>
        <v>1</v>
      </c>
      <c r="AC2142" s="960">
        <f t="array" ref="AC2142">HLOOKUP($J2142,'Type Chart'!$C$2:$T$20,10,false)*HLOOKUP($K2142,'Type Chart'!$C$2:$U$20,10,false)</f>
        <v>1</v>
      </c>
      <c r="AD2142" s="960">
        <f t="array" ref="AD2142">HLOOKUP($J2142,'Type Chart'!$C$2:$T$20,11,false)*HLOOKUP($K2142,'Type Chart'!$C$2:$U$20,11,false)</f>
        <v>0.5</v>
      </c>
      <c r="AE2142" s="960">
        <f t="array" ref="AE2142">HLOOKUP($J2142,'Type Chart'!$C$2:$T$20,12,false)*HLOOKUP($K2142,'Type Chart'!$C$2:$U$20,12,false)</f>
        <v>0.5</v>
      </c>
      <c r="AF2142" s="960">
        <f t="array" ref="AF2142">HLOOKUP($J2142,'Type Chart'!$C$2:$T$20,13,false)*HLOOKUP($K2142,'Type Chart'!$C$2:$U$20,13,false)</f>
        <v>0.5</v>
      </c>
      <c r="AG2142" s="960">
        <f t="array" ref="AG2142">HLOOKUP($J2142,'Type Chart'!$C$2:$T$20,14,false)*HLOOKUP($K2142,'Type Chart'!$C$2:$U$20,14,false)</f>
        <v>0.5</v>
      </c>
      <c r="AH2142" s="960">
        <f t="array" ref="AH2142">HLOOKUP($J2142,'Type Chart'!$C$2:$T$20,15,false)*HLOOKUP($K2142,'Type Chart'!$C$2:$U$20,15,false)</f>
        <v>1</v>
      </c>
      <c r="AI2142" s="960">
        <f t="array" ref="AI2142">HLOOKUP($J2142,'Type Chart'!$C$2:$T$20,16,false)*HLOOKUP($K2142,'Type Chart'!$C$2:$U$20,16,false)</f>
        <v>2</v>
      </c>
      <c r="AJ2142" s="960">
        <f t="array" ref="AJ2142">HLOOKUP($J2142,'Type Chart'!$C$2:$T$20,17,false)*HLOOKUP($K2142,'Type Chart'!$C$2:$U$20,17,false)</f>
        <v>2</v>
      </c>
      <c r="AK2142" s="960">
        <f t="array" ref="AK2142">HLOOKUP($J2142,'Type Chart'!$C$2:$T$20,18,false)*HLOOKUP($K2142,'Type Chart'!$C$2:$U$20,18,false)</f>
        <v>1</v>
      </c>
      <c r="AL2142" s="960">
        <f t="array" ref="AL2142">HLOOKUP($J2142,'Type Chart'!$C$2:$T$20,19,false)*HLOOKUP($K2142,'Type Chart'!$C$2:$U$20,19,false)</f>
        <v>2</v>
      </c>
      <c r="AM2142" s="1145" t="s">
        <v>1772</v>
      </c>
      <c r="AN2142" s="965" t="s">
        <v>1409</v>
      </c>
      <c r="AO2142" s="1146" t="s">
        <v>3434</v>
      </c>
      <c r="AP2142" s="936"/>
      <c r="AQ2142" s="1245"/>
      <c r="AR2142" s="1245"/>
      <c r="AS2142" s="936"/>
    </row>
    <row r="2143" ht="15.75" customHeight="1">
      <c r="A2143" s="1099"/>
      <c r="B2143" s="948" t="s">
        <v>3437</v>
      </c>
      <c r="C2143" s="1197" t="s">
        <v>5241</v>
      </c>
      <c r="D2143" s="1197" t="s">
        <v>5241</v>
      </c>
      <c r="E2143" s="1147" t="s">
        <v>5241</v>
      </c>
      <c r="F2143" s="940"/>
      <c r="G2143" s="953"/>
      <c r="H2143" s="969"/>
      <c r="I2143" s="998" t="s">
        <v>5242</v>
      </c>
      <c r="J2143" s="1233" t="s">
        <v>82</v>
      </c>
      <c r="K2143" s="1231" t="s">
        <v>346</v>
      </c>
      <c r="L2143" s="1200">
        <v>58.0</v>
      </c>
      <c r="M2143" s="1201">
        <v>75.0</v>
      </c>
      <c r="N2143" s="1201">
        <v>83.0</v>
      </c>
      <c r="O2143" s="1201">
        <v>83.0</v>
      </c>
      <c r="P2143" s="1201">
        <v>113.0</v>
      </c>
      <c r="Q2143" s="1201">
        <v>40.0</v>
      </c>
      <c r="R2143" s="960">
        <v>116.0</v>
      </c>
      <c r="S2143" s="960">
        <v>179.0</v>
      </c>
      <c r="T2143" s="960">
        <v>196.0</v>
      </c>
      <c r="U2143" s="960">
        <f t="array" ref="U2143">HLOOKUP($J2143,'Type Chart'!$C$2:$T$20,2,false)*HLOOKUP($K2143,'Type Chart'!$C$2:$U$20,2,false)</f>
        <v>0.5</v>
      </c>
      <c r="V2143" s="960">
        <f t="array" ref="V2143">HLOOKUP($J2143,'Type Chart'!$C$2:$T$20,3,false)*HLOOKUP($K2143,'Type Chart'!$C$2:$U$20,3,false)</f>
        <v>2</v>
      </c>
      <c r="W2143" s="960">
        <f t="array" ref="W2143">HLOOKUP($J2143,'Type Chart'!$C$2:$T$20,4,false)*HLOOKUP($K2143,'Type Chart'!$C$2:$U$20,4,false)</f>
        <v>0.5</v>
      </c>
      <c r="X2143" s="960">
        <f t="array" ref="X2143">HLOOKUP($J2143,'Type Chart'!$C$2:$T$20,5,false)*HLOOKUP($K2143,'Type Chart'!$C$2:$U$20,5,false)</f>
        <v>0</v>
      </c>
      <c r="Y2143" s="960">
        <f t="array" ref="Y2143">HLOOKUP($J2143,'Type Chart'!$C$2:$T$20,6,false)*HLOOKUP($K2143,'Type Chart'!$C$2:$U$20,6,false)</f>
        <v>2</v>
      </c>
      <c r="Z2143" s="960">
        <f t="array" ref="Z2143">HLOOKUP($J2143,'Type Chart'!$C$2:$T$20,7,false)*HLOOKUP($K2143,'Type Chart'!$C$2:$U$20,7,false)</f>
        <v>0.5</v>
      </c>
      <c r="AA2143" s="960">
        <f t="array" ref="AA2143">HLOOKUP($J2143,'Type Chart'!$C$2:$T$20,8,false)*HLOOKUP($K2143,'Type Chart'!$C$2:$U$20,8,false)</f>
        <v>0.5</v>
      </c>
      <c r="AB2143" s="960">
        <f t="array" ref="AB2143">HLOOKUP($J2143,'Type Chart'!$C$2:$T$20,9,false)*HLOOKUP($K2143,'Type Chart'!$C$2:$U$20,9,false)</f>
        <v>1</v>
      </c>
      <c r="AC2143" s="960">
        <f t="array" ref="AC2143">HLOOKUP($J2143,'Type Chart'!$C$2:$T$20,10,false)*HLOOKUP($K2143,'Type Chart'!$C$2:$U$20,10,false)</f>
        <v>0.5</v>
      </c>
      <c r="AD2143" s="960">
        <f t="array" ref="AD2143">HLOOKUP($J2143,'Type Chart'!$C$2:$T$20,11,false)*HLOOKUP($K2143,'Type Chart'!$C$2:$U$20,11,false)</f>
        <v>1</v>
      </c>
      <c r="AE2143" s="960">
        <f t="array" ref="AE2143">HLOOKUP($J2143,'Type Chart'!$C$2:$T$20,12,false)*HLOOKUP($K2143,'Type Chart'!$C$2:$U$20,12,false)</f>
        <v>0.5</v>
      </c>
      <c r="AF2143" s="960">
        <f t="array" ref="AF2143">HLOOKUP($J2143,'Type Chart'!$C$2:$T$20,13,false)*HLOOKUP($K2143,'Type Chart'!$C$2:$U$20,13,false)</f>
        <v>0.25</v>
      </c>
      <c r="AG2143" s="960">
        <f t="array" ref="AG2143">HLOOKUP($J2143,'Type Chart'!$C$2:$T$20,14,false)*HLOOKUP($K2143,'Type Chart'!$C$2:$U$20,14,false)</f>
        <v>0.5</v>
      </c>
      <c r="AH2143" s="960">
        <f t="array" ref="AH2143">HLOOKUP($J2143,'Type Chart'!$C$2:$T$20,15,false)*HLOOKUP($K2143,'Type Chart'!$C$2:$U$20,15,false)</f>
        <v>0.5</v>
      </c>
      <c r="AI2143" s="960">
        <f t="array" ref="AI2143">HLOOKUP($J2143,'Type Chart'!$C$2:$T$20,16,false)*HLOOKUP($K2143,'Type Chart'!$C$2:$U$20,16,false)</f>
        <v>1</v>
      </c>
      <c r="AJ2143" s="960">
        <f t="array" ref="AJ2143">HLOOKUP($J2143,'Type Chart'!$C$2:$T$20,17,false)*HLOOKUP($K2143,'Type Chart'!$C$2:$U$20,17,false)</f>
        <v>1</v>
      </c>
      <c r="AK2143" s="960">
        <f t="array" ref="AK2143">HLOOKUP($J2143,'Type Chart'!$C$2:$T$20,18,false)*HLOOKUP($K2143,'Type Chart'!$C$2:$U$20,18,false)</f>
        <v>1</v>
      </c>
      <c r="AL2143" s="960">
        <f t="array" ref="AL2143">HLOOKUP($J2143,'Type Chart'!$C$2:$T$20,19,false)*HLOOKUP($K2143,'Type Chart'!$C$2:$U$20,19,false)</f>
        <v>1</v>
      </c>
      <c r="AM2143" s="1145" t="s">
        <v>1772</v>
      </c>
      <c r="AN2143" s="964" t="s">
        <v>1385</v>
      </c>
      <c r="AO2143" s="1146" t="s">
        <v>3434</v>
      </c>
      <c r="AP2143" s="936"/>
      <c r="AQ2143" s="1245"/>
      <c r="AR2143" s="1245"/>
      <c r="AS2143" s="936"/>
    </row>
    <row r="2144" ht="15.75" customHeight="1">
      <c r="A2144" s="1099"/>
      <c r="B2144" s="948" t="s">
        <v>3438</v>
      </c>
      <c r="C2144" s="1197" t="s">
        <v>3439</v>
      </c>
      <c r="D2144" s="1197" t="s">
        <v>3439</v>
      </c>
      <c r="E2144" s="1147" t="s">
        <v>3439</v>
      </c>
      <c r="F2144" s="940"/>
      <c r="G2144" s="953"/>
      <c r="H2144" s="969"/>
      <c r="I2144" s="998" t="s">
        <v>5243</v>
      </c>
      <c r="J2144" s="1006" t="s">
        <v>346</v>
      </c>
      <c r="K2144" s="984" t="s">
        <v>216</v>
      </c>
      <c r="L2144" s="959">
        <v>90.0</v>
      </c>
      <c r="M2144" s="960">
        <v>100.0</v>
      </c>
      <c r="N2144" s="960">
        <v>70.0</v>
      </c>
      <c r="O2144" s="960">
        <v>110.0</v>
      </c>
      <c r="P2144" s="960">
        <v>150.0</v>
      </c>
      <c r="Q2144" s="960">
        <v>80.0</v>
      </c>
      <c r="R2144" s="960">
        <v>196.0</v>
      </c>
      <c r="S2144" s="960">
        <v>259.0</v>
      </c>
      <c r="T2144" s="960">
        <v>284.0</v>
      </c>
      <c r="U2144" s="960">
        <f t="array" ref="U2144">HLOOKUP($J2144,'Type Chart'!$C$2:$T$20,2,false)*HLOOKUP($K2144,'Type Chart'!$C$2:$U$20,2,false)</f>
        <v>1</v>
      </c>
      <c r="V2144" s="960">
        <f t="array" ref="V2144">HLOOKUP($J2144,'Type Chart'!$C$2:$T$20,3,false)*HLOOKUP($K2144,'Type Chart'!$C$2:$U$20,3,false)</f>
        <v>1</v>
      </c>
      <c r="W2144" s="960">
        <f t="array" ref="W2144">HLOOKUP($J2144,'Type Chart'!$C$2:$T$20,4,false)*HLOOKUP($K2144,'Type Chart'!$C$2:$U$20,4,false)</f>
        <v>1</v>
      </c>
      <c r="X2144" s="960">
        <f t="array" ref="X2144">HLOOKUP($J2144,'Type Chart'!$C$2:$T$20,5,false)*HLOOKUP($K2144,'Type Chart'!$C$2:$U$20,5,false)</f>
        <v>1</v>
      </c>
      <c r="Y2144" s="960">
        <f t="array" ref="Y2144">HLOOKUP($J2144,'Type Chart'!$C$2:$T$20,6,false)*HLOOKUP($K2144,'Type Chart'!$C$2:$U$20,6,false)</f>
        <v>1</v>
      </c>
      <c r="Z2144" s="960">
        <f t="array" ref="Z2144">HLOOKUP($J2144,'Type Chart'!$C$2:$T$20,7,false)*HLOOKUP($K2144,'Type Chart'!$C$2:$U$20,7,false)</f>
        <v>1</v>
      </c>
      <c r="AA2144" s="960">
        <f t="array" ref="AA2144">HLOOKUP($J2144,'Type Chart'!$C$2:$T$20,8,false)*HLOOKUP($K2144,'Type Chart'!$C$2:$U$20,8,false)</f>
        <v>1</v>
      </c>
      <c r="AB2144" s="960">
        <f t="array" ref="AB2144">HLOOKUP($J2144,'Type Chart'!$C$2:$T$20,9,false)*HLOOKUP($K2144,'Type Chart'!$C$2:$U$20,9,false)</f>
        <v>1</v>
      </c>
      <c r="AC2144" s="960">
        <f t="array" ref="AC2144">HLOOKUP($J2144,'Type Chart'!$C$2:$T$20,10,false)*HLOOKUP($K2144,'Type Chart'!$C$2:$U$20,10,false)</f>
        <v>1</v>
      </c>
      <c r="AD2144" s="960">
        <f t="array" ref="AD2144">HLOOKUP($J2144,'Type Chart'!$C$2:$T$20,11,false)*HLOOKUP($K2144,'Type Chart'!$C$2:$U$20,11,false)</f>
        <v>0.5</v>
      </c>
      <c r="AE2144" s="960">
        <f t="array" ref="AE2144">HLOOKUP($J2144,'Type Chart'!$C$2:$T$20,12,false)*HLOOKUP($K2144,'Type Chart'!$C$2:$U$20,12,false)</f>
        <v>0.5</v>
      </c>
      <c r="AF2144" s="960">
        <f t="array" ref="AF2144">HLOOKUP($J2144,'Type Chart'!$C$2:$T$20,13,false)*HLOOKUP($K2144,'Type Chart'!$C$2:$U$20,13,false)</f>
        <v>0.5</v>
      </c>
      <c r="AG2144" s="960">
        <f t="array" ref="AG2144">HLOOKUP($J2144,'Type Chart'!$C$2:$T$20,14,false)*HLOOKUP($K2144,'Type Chart'!$C$2:$U$20,14,false)</f>
        <v>0.5</v>
      </c>
      <c r="AH2144" s="960">
        <f t="array" ref="AH2144">HLOOKUP($J2144,'Type Chart'!$C$2:$T$20,15,false)*HLOOKUP($K2144,'Type Chart'!$C$2:$U$20,15,false)</f>
        <v>1</v>
      </c>
      <c r="AI2144" s="960">
        <f t="array" ref="AI2144">HLOOKUP($J2144,'Type Chart'!$C$2:$T$20,16,false)*HLOOKUP($K2144,'Type Chart'!$C$2:$U$20,16,false)</f>
        <v>2</v>
      </c>
      <c r="AJ2144" s="960">
        <f t="array" ref="AJ2144">HLOOKUP($J2144,'Type Chart'!$C$2:$T$20,17,false)*HLOOKUP($K2144,'Type Chart'!$C$2:$U$20,17,false)</f>
        <v>2</v>
      </c>
      <c r="AK2144" s="960">
        <f t="array" ref="AK2144">HLOOKUP($J2144,'Type Chart'!$C$2:$T$20,18,false)*HLOOKUP($K2144,'Type Chart'!$C$2:$U$20,18,false)</f>
        <v>1</v>
      </c>
      <c r="AL2144" s="960">
        <f t="array" ref="AL2144">HLOOKUP($J2144,'Type Chart'!$C$2:$T$20,19,false)*HLOOKUP($K2144,'Type Chart'!$C$2:$U$20,19,false)</f>
        <v>2</v>
      </c>
      <c r="AM2144" s="964" t="s">
        <v>1772</v>
      </c>
      <c r="AN2144" s="965" t="s">
        <v>1409</v>
      </c>
      <c r="AO2144" s="966" t="s">
        <v>3434</v>
      </c>
      <c r="AP2144" s="936"/>
      <c r="AQ2144" s="1245"/>
      <c r="AR2144" s="1245"/>
      <c r="AS2144" s="936"/>
    </row>
    <row r="2145" ht="15.75" customHeight="1">
      <c r="A2145" s="1099"/>
      <c r="B2145" s="948" t="s">
        <v>3440</v>
      </c>
      <c r="C2145" s="1197" t="s">
        <v>5244</v>
      </c>
      <c r="D2145" s="1197" t="s">
        <v>5244</v>
      </c>
      <c r="E2145" s="1147" t="s">
        <v>5244</v>
      </c>
      <c r="F2145" s="940"/>
      <c r="G2145" s="953"/>
      <c r="H2145" s="969"/>
      <c r="I2145" s="998" t="s">
        <v>5245</v>
      </c>
      <c r="J2145" s="1206" t="s">
        <v>82</v>
      </c>
      <c r="K2145" s="1006" t="s">
        <v>346</v>
      </c>
      <c r="L2145" s="959">
        <v>80.0</v>
      </c>
      <c r="M2145" s="960">
        <v>100.0</v>
      </c>
      <c r="N2145" s="960">
        <v>100.0</v>
      </c>
      <c r="O2145" s="960">
        <v>110.0</v>
      </c>
      <c r="P2145" s="960">
        <v>150.0</v>
      </c>
      <c r="Q2145" s="960">
        <v>60.0</v>
      </c>
      <c r="R2145" s="960">
        <v>156.0</v>
      </c>
      <c r="S2145" s="960">
        <v>219.0</v>
      </c>
      <c r="T2145" s="960">
        <v>240.0</v>
      </c>
      <c r="U2145" s="960">
        <f t="array" ref="U2145">HLOOKUP($J2145,'Type Chart'!$C$2:$T$20,2,false)*HLOOKUP($K2145,'Type Chart'!$C$2:$U$20,2,false)</f>
        <v>0.5</v>
      </c>
      <c r="V2145" s="960">
        <f t="array" ref="V2145">HLOOKUP($J2145,'Type Chart'!$C$2:$T$20,3,false)*HLOOKUP($K2145,'Type Chart'!$C$2:$U$20,3,false)</f>
        <v>2</v>
      </c>
      <c r="W2145" s="960">
        <f t="array" ref="W2145">HLOOKUP($J2145,'Type Chart'!$C$2:$T$20,4,false)*HLOOKUP($K2145,'Type Chart'!$C$2:$U$20,4,false)</f>
        <v>0.5</v>
      </c>
      <c r="X2145" s="960">
        <f t="array" ref="X2145">HLOOKUP($J2145,'Type Chart'!$C$2:$T$20,5,false)*HLOOKUP($K2145,'Type Chart'!$C$2:$U$20,5,false)</f>
        <v>0</v>
      </c>
      <c r="Y2145" s="960">
        <f t="array" ref="Y2145">HLOOKUP($J2145,'Type Chart'!$C$2:$T$20,6,false)*HLOOKUP($K2145,'Type Chart'!$C$2:$U$20,6,false)</f>
        <v>2</v>
      </c>
      <c r="Z2145" s="960">
        <f t="array" ref="Z2145">HLOOKUP($J2145,'Type Chart'!$C$2:$T$20,7,false)*HLOOKUP($K2145,'Type Chart'!$C$2:$U$20,7,false)</f>
        <v>0.5</v>
      </c>
      <c r="AA2145" s="960">
        <f t="array" ref="AA2145">HLOOKUP($J2145,'Type Chart'!$C$2:$T$20,8,false)*HLOOKUP($K2145,'Type Chart'!$C$2:$U$20,8,false)</f>
        <v>0.5</v>
      </c>
      <c r="AB2145" s="960">
        <f t="array" ref="AB2145">HLOOKUP($J2145,'Type Chart'!$C$2:$T$20,9,false)*HLOOKUP($K2145,'Type Chart'!$C$2:$U$20,9,false)</f>
        <v>1</v>
      </c>
      <c r="AC2145" s="960">
        <f t="array" ref="AC2145">HLOOKUP($J2145,'Type Chart'!$C$2:$T$20,10,false)*HLOOKUP($K2145,'Type Chart'!$C$2:$U$20,10,false)</f>
        <v>0.5</v>
      </c>
      <c r="AD2145" s="960">
        <f t="array" ref="AD2145">HLOOKUP($J2145,'Type Chart'!$C$2:$T$20,11,false)*HLOOKUP($K2145,'Type Chart'!$C$2:$U$20,11,false)</f>
        <v>1</v>
      </c>
      <c r="AE2145" s="960">
        <f t="array" ref="AE2145">HLOOKUP($J2145,'Type Chart'!$C$2:$T$20,12,false)*HLOOKUP($K2145,'Type Chart'!$C$2:$U$20,12,false)</f>
        <v>0.5</v>
      </c>
      <c r="AF2145" s="960">
        <f t="array" ref="AF2145">HLOOKUP($J2145,'Type Chart'!$C$2:$T$20,13,false)*HLOOKUP($K2145,'Type Chart'!$C$2:$U$20,13,false)</f>
        <v>0.25</v>
      </c>
      <c r="AG2145" s="960">
        <f t="array" ref="AG2145">HLOOKUP($J2145,'Type Chart'!$C$2:$T$20,14,false)*HLOOKUP($K2145,'Type Chart'!$C$2:$U$20,14,false)</f>
        <v>0.5</v>
      </c>
      <c r="AH2145" s="960">
        <f t="array" ref="AH2145">HLOOKUP($J2145,'Type Chart'!$C$2:$T$20,15,false)*HLOOKUP($K2145,'Type Chart'!$C$2:$U$20,15,false)</f>
        <v>0.5</v>
      </c>
      <c r="AI2145" s="960">
        <f t="array" ref="AI2145">HLOOKUP($J2145,'Type Chart'!$C$2:$T$20,16,false)*HLOOKUP($K2145,'Type Chart'!$C$2:$U$20,16,false)</f>
        <v>1</v>
      </c>
      <c r="AJ2145" s="960">
        <f t="array" ref="AJ2145">HLOOKUP($J2145,'Type Chart'!$C$2:$T$20,17,false)*HLOOKUP($K2145,'Type Chart'!$C$2:$U$20,17,false)</f>
        <v>1</v>
      </c>
      <c r="AK2145" s="960">
        <f t="array" ref="AK2145">HLOOKUP($J2145,'Type Chart'!$C$2:$T$20,18,false)*HLOOKUP($K2145,'Type Chart'!$C$2:$U$20,18,false)</f>
        <v>1</v>
      </c>
      <c r="AL2145" s="960">
        <f t="array" ref="AL2145">HLOOKUP($J2145,'Type Chart'!$C$2:$T$20,19,false)*HLOOKUP($K2145,'Type Chart'!$C$2:$U$20,19,false)</f>
        <v>1</v>
      </c>
      <c r="AM2145" s="964" t="s">
        <v>1772</v>
      </c>
      <c r="AN2145" s="964" t="s">
        <v>1385</v>
      </c>
      <c r="AO2145" s="966" t="s">
        <v>3434</v>
      </c>
      <c r="AP2145" s="936"/>
      <c r="AQ2145" s="1245"/>
      <c r="AR2145" s="1245"/>
      <c r="AS2145" s="936"/>
    </row>
    <row r="2146" ht="15.75" customHeight="1">
      <c r="A2146" s="1099"/>
      <c r="B2146" s="948" t="s">
        <v>3441</v>
      </c>
      <c r="C2146" s="1197"/>
      <c r="D2146" s="1197" t="s">
        <v>3442</v>
      </c>
      <c r="E2146" s="1147" t="s">
        <v>3442</v>
      </c>
      <c r="F2146" s="940"/>
      <c r="G2146" s="953"/>
      <c r="H2146" s="969"/>
      <c r="I2146" s="998" t="s">
        <v>5246</v>
      </c>
      <c r="J2146" s="1206" t="s">
        <v>82</v>
      </c>
      <c r="K2146" s="1207" t="s">
        <v>127</v>
      </c>
      <c r="L2146" s="959">
        <v>57.0</v>
      </c>
      <c r="M2146" s="960">
        <v>80.0</v>
      </c>
      <c r="N2146" s="960">
        <v>91.0</v>
      </c>
      <c r="O2146" s="960">
        <v>80.0</v>
      </c>
      <c r="P2146" s="960">
        <v>87.0</v>
      </c>
      <c r="Q2146" s="960">
        <v>75.0</v>
      </c>
      <c r="R2146" s="960">
        <v>186.0</v>
      </c>
      <c r="S2146" s="960">
        <v>249.0</v>
      </c>
      <c r="T2146" s="960">
        <v>273.0</v>
      </c>
      <c r="U2146" s="960">
        <f t="array" ref="U2146">HLOOKUP($J2146,'Type Chart'!$C$2:$T$20,2,false)*HLOOKUP($K2146,'Type Chart'!$C$2:$U$20,2,false)</f>
        <v>0.5</v>
      </c>
      <c r="V2146" s="960">
        <f t="array" ref="V2146">HLOOKUP($J2146,'Type Chart'!$C$2:$T$20,3,false)*HLOOKUP($K2146,'Type Chart'!$C$2:$U$20,3,false)</f>
        <v>1</v>
      </c>
      <c r="W2146" s="960">
        <f t="array" ref="W2146">HLOOKUP($J2146,'Type Chart'!$C$2:$T$20,4,false)*HLOOKUP($K2146,'Type Chart'!$C$2:$U$20,4,false)</f>
        <v>0.5</v>
      </c>
      <c r="X2146" s="960">
        <f t="array" ref="X2146">HLOOKUP($J2146,'Type Chart'!$C$2:$T$20,5,false)*HLOOKUP($K2146,'Type Chart'!$C$2:$U$20,5,false)</f>
        <v>0</v>
      </c>
      <c r="Y2146" s="960">
        <f t="array" ref="Y2146">HLOOKUP($J2146,'Type Chart'!$C$2:$T$20,6,false)*HLOOKUP($K2146,'Type Chart'!$C$2:$U$20,6,false)</f>
        <v>2</v>
      </c>
      <c r="Z2146" s="960">
        <f t="array" ref="Z2146">HLOOKUP($J2146,'Type Chart'!$C$2:$T$20,7,false)*HLOOKUP($K2146,'Type Chart'!$C$2:$U$20,7,false)</f>
        <v>0.5</v>
      </c>
      <c r="AA2146" s="960">
        <f t="array" ref="AA2146">HLOOKUP($J2146,'Type Chart'!$C$2:$T$20,8,false)*HLOOKUP($K2146,'Type Chart'!$C$2:$U$20,8,false)</f>
        <v>0.25</v>
      </c>
      <c r="AB2146" s="960">
        <f t="array" ref="AB2146">HLOOKUP($J2146,'Type Chart'!$C$2:$T$20,9,false)*HLOOKUP($K2146,'Type Chart'!$C$2:$U$20,9,false)</f>
        <v>1</v>
      </c>
      <c r="AC2146" s="960">
        <f t="array" ref="AC2146">HLOOKUP($J2146,'Type Chart'!$C$2:$T$20,10,false)*HLOOKUP($K2146,'Type Chart'!$C$2:$U$20,10,false)</f>
        <v>1</v>
      </c>
      <c r="AD2146" s="960">
        <f t="array" ref="AD2146">HLOOKUP($J2146,'Type Chart'!$C$2:$T$20,11,false)*HLOOKUP($K2146,'Type Chart'!$C$2:$U$20,11,false)</f>
        <v>2</v>
      </c>
      <c r="AE2146" s="960">
        <f t="array" ref="AE2146">HLOOKUP($J2146,'Type Chart'!$C$2:$T$20,12,false)*HLOOKUP($K2146,'Type Chart'!$C$2:$U$20,12,false)</f>
        <v>1</v>
      </c>
      <c r="AF2146" s="960">
        <f t="array" ref="AF2146">HLOOKUP($J2146,'Type Chart'!$C$2:$T$20,13,false)*HLOOKUP($K2146,'Type Chart'!$C$2:$U$20,13,false)</f>
        <v>0.5</v>
      </c>
      <c r="AG2146" s="960">
        <f t="array" ref="AG2146">HLOOKUP($J2146,'Type Chart'!$C$2:$T$20,14,false)*HLOOKUP($K2146,'Type Chart'!$C$2:$U$20,14,false)</f>
        <v>1</v>
      </c>
      <c r="AH2146" s="960">
        <f t="array" ref="AH2146">HLOOKUP($J2146,'Type Chart'!$C$2:$T$20,15,false)*HLOOKUP($K2146,'Type Chart'!$C$2:$U$20,15,false)</f>
        <v>0.5</v>
      </c>
      <c r="AI2146" s="960">
        <f t="array" ref="AI2146">HLOOKUP($J2146,'Type Chart'!$C$2:$T$20,16,false)*HLOOKUP($K2146,'Type Chart'!$C$2:$U$20,16,false)</f>
        <v>0.5</v>
      </c>
      <c r="AJ2146" s="960">
        <f t="array" ref="AJ2146">HLOOKUP($J2146,'Type Chart'!$C$2:$T$20,17,false)*HLOOKUP($K2146,'Type Chart'!$C$2:$U$20,17,false)</f>
        <v>0</v>
      </c>
      <c r="AK2146" s="960">
        <f t="array" ref="AK2146">HLOOKUP($J2146,'Type Chart'!$C$2:$T$20,18,false)*HLOOKUP($K2146,'Type Chart'!$C$2:$U$20,18,false)</f>
        <v>0.5</v>
      </c>
      <c r="AL2146" s="960">
        <f t="array" ref="AL2146">HLOOKUP($J2146,'Type Chart'!$C$2:$T$20,19,false)*HLOOKUP($K2146,'Type Chart'!$C$2:$U$20,19,false)</f>
        <v>0.5</v>
      </c>
      <c r="AM2146" s="964" t="s">
        <v>1813</v>
      </c>
      <c r="AN2146" s="965"/>
      <c r="AO2146" s="966" t="s">
        <v>3266</v>
      </c>
      <c r="AP2146" s="936"/>
      <c r="AQ2146" s="1245"/>
      <c r="AR2146" s="1245"/>
      <c r="AS2146" s="936"/>
    </row>
    <row r="2147" ht="15.75" customHeight="1">
      <c r="A2147" s="1099"/>
      <c r="B2147" s="948" t="s">
        <v>3443</v>
      </c>
      <c r="C2147" s="1197" t="s">
        <v>3444</v>
      </c>
      <c r="D2147" s="1197" t="s">
        <v>3444</v>
      </c>
      <c r="E2147" s="1147" t="s">
        <v>3444</v>
      </c>
      <c r="F2147" s="940"/>
      <c r="G2147" s="953"/>
      <c r="H2147" s="969"/>
      <c r="I2147" s="998" t="s">
        <v>5247</v>
      </c>
      <c r="J2147" s="1220" t="s">
        <v>215</v>
      </c>
      <c r="K2147" s="957" t="s">
        <v>209</v>
      </c>
      <c r="L2147" s="959">
        <v>43.0</v>
      </c>
      <c r="M2147" s="960">
        <v>70.0</v>
      </c>
      <c r="N2147" s="960">
        <v>48.0</v>
      </c>
      <c r="O2147" s="960">
        <v>50.0</v>
      </c>
      <c r="P2147" s="960">
        <v>60.0</v>
      </c>
      <c r="Q2147" s="960">
        <v>38.0</v>
      </c>
      <c r="R2147" s="960">
        <v>112.0</v>
      </c>
      <c r="S2147" s="960">
        <v>175.0</v>
      </c>
      <c r="T2147" s="960">
        <v>192.0</v>
      </c>
      <c r="U2147" s="960">
        <f t="array" ref="U2147">HLOOKUP($J2147,'Type Chart'!$C$2:$T$20,2,false)*HLOOKUP($K2147,'Type Chart'!$C$2:$U$20,2,false)</f>
        <v>0</v>
      </c>
      <c r="V2147" s="960">
        <f t="array" ref="V2147">HLOOKUP($J2147,'Type Chart'!$C$2:$T$20,3,false)*HLOOKUP($K2147,'Type Chart'!$C$2:$U$20,3,false)</f>
        <v>0</v>
      </c>
      <c r="W2147" s="960">
        <f t="array" ref="W2147">HLOOKUP($J2147,'Type Chart'!$C$2:$T$20,4,false)*HLOOKUP($K2147,'Type Chart'!$C$2:$U$20,4,false)</f>
        <v>2</v>
      </c>
      <c r="X2147" s="960">
        <f t="array" ref="X2147">HLOOKUP($J2147,'Type Chart'!$C$2:$T$20,5,false)*HLOOKUP($K2147,'Type Chart'!$C$2:$U$20,5,false)</f>
        <v>1</v>
      </c>
      <c r="Y2147" s="960">
        <f t="array" ref="Y2147">HLOOKUP($J2147,'Type Chart'!$C$2:$T$20,6,false)*HLOOKUP($K2147,'Type Chart'!$C$2:$U$20,6,false)</f>
        <v>0.5</v>
      </c>
      <c r="Z2147" s="960">
        <f t="array" ref="Z2147">HLOOKUP($J2147,'Type Chart'!$C$2:$T$20,7,false)*HLOOKUP($K2147,'Type Chart'!$C$2:$U$20,7,false)</f>
        <v>1</v>
      </c>
      <c r="AA2147" s="960">
        <f t="array" ref="AA2147">HLOOKUP($J2147,'Type Chart'!$C$2:$T$20,8,false)*HLOOKUP($K2147,'Type Chart'!$C$2:$U$20,8,false)</f>
        <v>1</v>
      </c>
      <c r="AB2147" s="960">
        <f t="array" ref="AB2147">HLOOKUP($J2147,'Type Chart'!$C$2:$T$20,9,false)*HLOOKUP($K2147,'Type Chart'!$C$2:$U$20,9,false)</f>
        <v>2</v>
      </c>
      <c r="AC2147" s="960">
        <f t="array" ref="AC2147">HLOOKUP($J2147,'Type Chart'!$C$2:$T$20,10,false)*HLOOKUP($K2147,'Type Chart'!$C$2:$U$20,10,false)</f>
        <v>1</v>
      </c>
      <c r="AD2147" s="960">
        <f t="array" ref="AD2147">HLOOKUP($J2147,'Type Chart'!$C$2:$T$20,11,false)*HLOOKUP($K2147,'Type Chart'!$C$2:$U$20,11,false)</f>
        <v>2</v>
      </c>
      <c r="AE2147" s="960">
        <f t="array" ref="AE2147">HLOOKUP($J2147,'Type Chart'!$C$2:$T$20,12,false)*HLOOKUP($K2147,'Type Chart'!$C$2:$U$20,12,false)</f>
        <v>0.5</v>
      </c>
      <c r="AF2147" s="960">
        <f t="array" ref="AF2147">HLOOKUP($J2147,'Type Chart'!$C$2:$T$20,13,false)*HLOOKUP($K2147,'Type Chart'!$C$2:$U$20,13,false)</f>
        <v>0.5</v>
      </c>
      <c r="AG2147" s="960">
        <f t="array" ref="AG2147">HLOOKUP($J2147,'Type Chart'!$C$2:$T$20,14,false)*HLOOKUP($K2147,'Type Chart'!$C$2:$U$20,14,false)</f>
        <v>0.5</v>
      </c>
      <c r="AH2147" s="960">
        <f t="array" ref="AH2147">HLOOKUP($J2147,'Type Chart'!$C$2:$T$20,15,false)*HLOOKUP($K2147,'Type Chart'!$C$2:$U$20,15,false)</f>
        <v>1</v>
      </c>
      <c r="AI2147" s="960">
        <f t="array" ref="AI2147">HLOOKUP($J2147,'Type Chart'!$C$2:$T$20,16,false)*HLOOKUP($K2147,'Type Chart'!$C$2:$U$20,16,false)</f>
        <v>2</v>
      </c>
      <c r="AJ2147" s="960">
        <f t="array" ref="AJ2147">HLOOKUP($J2147,'Type Chart'!$C$2:$T$20,17,false)*HLOOKUP($K2147,'Type Chart'!$C$2:$U$20,17,false)</f>
        <v>1</v>
      </c>
      <c r="AK2147" s="960">
        <f t="array" ref="AK2147">HLOOKUP($J2147,'Type Chart'!$C$2:$T$20,18,false)*HLOOKUP($K2147,'Type Chart'!$C$2:$U$20,18,false)</f>
        <v>2</v>
      </c>
      <c r="AL2147" s="960">
        <f t="array" ref="AL2147">HLOOKUP($J2147,'Type Chart'!$C$2:$T$20,19,false)*HLOOKUP($K2147,'Type Chart'!$C$2:$U$20,19,false)</f>
        <v>1</v>
      </c>
      <c r="AM2147" s="1145" t="s">
        <v>1520</v>
      </c>
      <c r="AN2147" s="965" t="s">
        <v>1188</v>
      </c>
      <c r="AO2147" s="1146" t="s">
        <v>1478</v>
      </c>
      <c r="AP2147" s="936"/>
      <c r="AQ2147" s="1245"/>
      <c r="AR2147" s="1245"/>
      <c r="AS2147" s="936"/>
    </row>
    <row r="2148" ht="15.75" customHeight="1">
      <c r="A2148" s="1099"/>
      <c r="B2148" s="948" t="s">
        <v>3446</v>
      </c>
      <c r="C2148" s="1197" t="s">
        <v>3447</v>
      </c>
      <c r="D2148" s="1197" t="s">
        <v>3447</v>
      </c>
      <c r="E2148" s="1147" t="s">
        <v>3447</v>
      </c>
      <c r="F2148" s="940"/>
      <c r="G2148" s="953"/>
      <c r="H2148" s="969"/>
      <c r="I2148" s="998" t="s">
        <v>5248</v>
      </c>
      <c r="J2148" s="1221" t="s">
        <v>215</v>
      </c>
      <c r="K2148" s="1228" t="s">
        <v>209</v>
      </c>
      <c r="L2148" s="1200">
        <v>85.0</v>
      </c>
      <c r="M2148" s="1201">
        <v>110.0</v>
      </c>
      <c r="N2148" s="1201">
        <v>76.0</v>
      </c>
      <c r="O2148" s="1201">
        <v>65.0</v>
      </c>
      <c r="P2148" s="1201">
        <v>82.0</v>
      </c>
      <c r="Q2148" s="1201">
        <v>56.0</v>
      </c>
      <c r="R2148" s="960">
        <v>148.0</v>
      </c>
      <c r="S2148" s="960">
        <v>211.0</v>
      </c>
      <c r="T2148" s="960">
        <v>232.0</v>
      </c>
      <c r="U2148" s="960">
        <f t="array" ref="U2148">HLOOKUP($J2148,'Type Chart'!$C$2:$T$20,2,false)*HLOOKUP($K2148,'Type Chart'!$C$2:$U$20,2,false)</f>
        <v>0</v>
      </c>
      <c r="V2148" s="960">
        <f t="array" ref="V2148">HLOOKUP($J2148,'Type Chart'!$C$2:$T$20,3,false)*HLOOKUP($K2148,'Type Chart'!$C$2:$U$20,3,false)</f>
        <v>0</v>
      </c>
      <c r="W2148" s="960">
        <f t="array" ref="W2148">HLOOKUP($J2148,'Type Chart'!$C$2:$T$20,4,false)*HLOOKUP($K2148,'Type Chart'!$C$2:$U$20,4,false)</f>
        <v>2</v>
      </c>
      <c r="X2148" s="960">
        <f t="array" ref="X2148">HLOOKUP($J2148,'Type Chart'!$C$2:$T$20,5,false)*HLOOKUP($K2148,'Type Chart'!$C$2:$U$20,5,false)</f>
        <v>1</v>
      </c>
      <c r="Y2148" s="960">
        <f t="array" ref="Y2148">HLOOKUP($J2148,'Type Chart'!$C$2:$T$20,6,false)*HLOOKUP($K2148,'Type Chart'!$C$2:$U$20,6,false)</f>
        <v>0.5</v>
      </c>
      <c r="Z2148" s="960">
        <f t="array" ref="Z2148">HLOOKUP($J2148,'Type Chart'!$C$2:$T$20,7,false)*HLOOKUP($K2148,'Type Chart'!$C$2:$U$20,7,false)</f>
        <v>1</v>
      </c>
      <c r="AA2148" s="960">
        <f t="array" ref="AA2148">HLOOKUP($J2148,'Type Chart'!$C$2:$T$20,8,false)*HLOOKUP($K2148,'Type Chart'!$C$2:$U$20,8,false)</f>
        <v>1</v>
      </c>
      <c r="AB2148" s="960">
        <f t="array" ref="AB2148">HLOOKUP($J2148,'Type Chart'!$C$2:$T$20,9,false)*HLOOKUP($K2148,'Type Chart'!$C$2:$U$20,9,false)</f>
        <v>2</v>
      </c>
      <c r="AC2148" s="960">
        <f t="array" ref="AC2148">HLOOKUP($J2148,'Type Chart'!$C$2:$T$20,10,false)*HLOOKUP($K2148,'Type Chart'!$C$2:$U$20,10,false)</f>
        <v>1</v>
      </c>
      <c r="AD2148" s="960">
        <f t="array" ref="AD2148">HLOOKUP($J2148,'Type Chart'!$C$2:$T$20,11,false)*HLOOKUP($K2148,'Type Chart'!$C$2:$U$20,11,false)</f>
        <v>2</v>
      </c>
      <c r="AE2148" s="960">
        <f t="array" ref="AE2148">HLOOKUP($J2148,'Type Chart'!$C$2:$T$20,12,false)*HLOOKUP($K2148,'Type Chart'!$C$2:$U$20,12,false)</f>
        <v>0.5</v>
      </c>
      <c r="AF2148" s="960">
        <f t="array" ref="AF2148">HLOOKUP($J2148,'Type Chart'!$C$2:$T$20,13,false)*HLOOKUP($K2148,'Type Chart'!$C$2:$U$20,13,false)</f>
        <v>0.5</v>
      </c>
      <c r="AG2148" s="960">
        <f t="array" ref="AG2148">HLOOKUP($J2148,'Type Chart'!$C$2:$T$20,14,false)*HLOOKUP($K2148,'Type Chart'!$C$2:$U$20,14,false)</f>
        <v>0.5</v>
      </c>
      <c r="AH2148" s="960">
        <f t="array" ref="AH2148">HLOOKUP($J2148,'Type Chart'!$C$2:$T$20,15,false)*HLOOKUP($K2148,'Type Chart'!$C$2:$U$20,15,false)</f>
        <v>1</v>
      </c>
      <c r="AI2148" s="960">
        <f t="array" ref="AI2148">HLOOKUP($J2148,'Type Chart'!$C$2:$T$20,16,false)*HLOOKUP($K2148,'Type Chart'!$C$2:$U$20,16,false)</f>
        <v>2</v>
      </c>
      <c r="AJ2148" s="960">
        <f t="array" ref="AJ2148">HLOOKUP($J2148,'Type Chart'!$C$2:$T$20,17,false)*HLOOKUP($K2148,'Type Chart'!$C$2:$U$20,17,false)</f>
        <v>1</v>
      </c>
      <c r="AK2148" s="960">
        <f t="array" ref="AK2148">HLOOKUP($J2148,'Type Chart'!$C$2:$T$20,18,false)*HLOOKUP($K2148,'Type Chart'!$C$2:$U$20,18,false)</f>
        <v>2</v>
      </c>
      <c r="AL2148" s="960">
        <f t="array" ref="AL2148">HLOOKUP($J2148,'Type Chart'!$C$2:$T$20,19,false)*HLOOKUP($K2148,'Type Chart'!$C$2:$U$20,19,false)</f>
        <v>1</v>
      </c>
      <c r="AM2148" s="1145" t="s">
        <v>1520</v>
      </c>
      <c r="AN2148" s="965" t="s">
        <v>1188</v>
      </c>
      <c r="AO2148" s="1146" t="s">
        <v>1478</v>
      </c>
      <c r="AP2148" s="936"/>
      <c r="AQ2148" s="1245"/>
      <c r="AR2148" s="1245"/>
      <c r="AS2148" s="936"/>
    </row>
    <row r="2149" ht="15.75" customHeight="1">
      <c r="A2149" s="1099"/>
      <c r="B2149" s="948" t="s">
        <v>3448</v>
      </c>
      <c r="C2149" s="1197" t="s">
        <v>3449</v>
      </c>
      <c r="D2149" s="1197" t="s">
        <v>3449</v>
      </c>
      <c r="E2149" s="1147" t="s">
        <v>3449</v>
      </c>
      <c r="F2149" s="940"/>
      <c r="G2149" s="953"/>
      <c r="H2149" s="969"/>
      <c r="I2149" s="998" t="s">
        <v>5249</v>
      </c>
      <c r="J2149" s="1220" t="s">
        <v>215</v>
      </c>
      <c r="K2149" s="957" t="s">
        <v>209</v>
      </c>
      <c r="L2149" s="959">
        <v>49.0</v>
      </c>
      <c r="M2149" s="960">
        <v>66.0</v>
      </c>
      <c r="N2149" s="960">
        <v>70.0</v>
      </c>
      <c r="O2149" s="960">
        <v>44.0</v>
      </c>
      <c r="P2149" s="960">
        <v>55.0</v>
      </c>
      <c r="Q2149" s="960">
        <v>51.0</v>
      </c>
      <c r="R2149" s="960">
        <v>138.0</v>
      </c>
      <c r="S2149" s="960">
        <v>201.0</v>
      </c>
      <c r="T2149" s="960">
        <v>221.0</v>
      </c>
      <c r="U2149" s="960">
        <f t="array" ref="U2149">HLOOKUP($J2149,'Type Chart'!$C$2:$T$20,2,false)*HLOOKUP($K2149,'Type Chart'!$C$2:$U$20,2,false)</f>
        <v>0</v>
      </c>
      <c r="V2149" s="960">
        <f t="array" ref="V2149">HLOOKUP($J2149,'Type Chart'!$C$2:$T$20,3,false)*HLOOKUP($K2149,'Type Chart'!$C$2:$U$20,3,false)</f>
        <v>0</v>
      </c>
      <c r="W2149" s="960">
        <f t="array" ref="W2149">HLOOKUP($J2149,'Type Chart'!$C$2:$T$20,4,false)*HLOOKUP($K2149,'Type Chart'!$C$2:$U$20,4,false)</f>
        <v>2</v>
      </c>
      <c r="X2149" s="960">
        <f t="array" ref="X2149">HLOOKUP($J2149,'Type Chart'!$C$2:$T$20,5,false)*HLOOKUP($K2149,'Type Chart'!$C$2:$U$20,5,false)</f>
        <v>1</v>
      </c>
      <c r="Y2149" s="960">
        <f t="array" ref="Y2149">HLOOKUP($J2149,'Type Chart'!$C$2:$T$20,6,false)*HLOOKUP($K2149,'Type Chart'!$C$2:$U$20,6,false)</f>
        <v>0.5</v>
      </c>
      <c r="Z2149" s="960">
        <f t="array" ref="Z2149">HLOOKUP($J2149,'Type Chart'!$C$2:$T$20,7,false)*HLOOKUP($K2149,'Type Chart'!$C$2:$U$20,7,false)</f>
        <v>1</v>
      </c>
      <c r="AA2149" s="960">
        <f t="array" ref="AA2149">HLOOKUP($J2149,'Type Chart'!$C$2:$T$20,8,false)*HLOOKUP($K2149,'Type Chart'!$C$2:$U$20,8,false)</f>
        <v>1</v>
      </c>
      <c r="AB2149" s="960">
        <f t="array" ref="AB2149">HLOOKUP($J2149,'Type Chart'!$C$2:$T$20,9,false)*HLOOKUP($K2149,'Type Chart'!$C$2:$U$20,9,false)</f>
        <v>2</v>
      </c>
      <c r="AC2149" s="960">
        <f t="array" ref="AC2149">HLOOKUP($J2149,'Type Chart'!$C$2:$T$20,10,false)*HLOOKUP($K2149,'Type Chart'!$C$2:$U$20,10,false)</f>
        <v>1</v>
      </c>
      <c r="AD2149" s="960">
        <f t="array" ref="AD2149">HLOOKUP($J2149,'Type Chart'!$C$2:$T$20,11,false)*HLOOKUP($K2149,'Type Chart'!$C$2:$U$20,11,false)</f>
        <v>2</v>
      </c>
      <c r="AE2149" s="960">
        <f t="array" ref="AE2149">HLOOKUP($J2149,'Type Chart'!$C$2:$T$20,12,false)*HLOOKUP($K2149,'Type Chart'!$C$2:$U$20,12,false)</f>
        <v>0.5</v>
      </c>
      <c r="AF2149" s="960">
        <f t="array" ref="AF2149">HLOOKUP($J2149,'Type Chart'!$C$2:$T$20,13,false)*HLOOKUP($K2149,'Type Chart'!$C$2:$U$20,13,false)</f>
        <v>0.5</v>
      </c>
      <c r="AG2149" s="960">
        <f t="array" ref="AG2149">HLOOKUP($J2149,'Type Chart'!$C$2:$T$20,14,false)*HLOOKUP($K2149,'Type Chart'!$C$2:$U$20,14,false)</f>
        <v>0.5</v>
      </c>
      <c r="AH2149" s="960">
        <f t="array" ref="AH2149">HLOOKUP($J2149,'Type Chart'!$C$2:$T$20,15,false)*HLOOKUP($K2149,'Type Chart'!$C$2:$U$20,15,false)</f>
        <v>1</v>
      </c>
      <c r="AI2149" s="960">
        <f t="array" ref="AI2149">HLOOKUP($J2149,'Type Chart'!$C$2:$T$20,16,false)*HLOOKUP($K2149,'Type Chart'!$C$2:$U$20,16,false)</f>
        <v>2</v>
      </c>
      <c r="AJ2149" s="960">
        <f t="array" ref="AJ2149">HLOOKUP($J2149,'Type Chart'!$C$2:$T$20,17,false)*HLOOKUP($K2149,'Type Chart'!$C$2:$U$20,17,false)</f>
        <v>1</v>
      </c>
      <c r="AK2149" s="960">
        <f t="array" ref="AK2149">HLOOKUP($J2149,'Type Chart'!$C$2:$T$20,18,false)*HLOOKUP($K2149,'Type Chart'!$C$2:$U$20,18,false)</f>
        <v>2</v>
      </c>
      <c r="AL2149" s="960">
        <f t="array" ref="AL2149">HLOOKUP($J2149,'Type Chart'!$C$2:$T$20,19,false)*HLOOKUP($K2149,'Type Chart'!$C$2:$U$20,19,false)</f>
        <v>1</v>
      </c>
      <c r="AM2149" s="964" t="s">
        <v>1238</v>
      </c>
      <c r="AN2149" s="965" t="s">
        <v>1188</v>
      </c>
      <c r="AO2149" s="966" t="s">
        <v>1454</v>
      </c>
      <c r="AP2149" s="936"/>
      <c r="AQ2149" s="1245"/>
      <c r="AR2149" s="1245"/>
      <c r="AS2149" s="936"/>
    </row>
    <row r="2150" ht="15.75" customHeight="1">
      <c r="A2150" s="1099"/>
      <c r="B2150" s="948" t="s">
        <v>3451</v>
      </c>
      <c r="C2150" s="1197" t="s">
        <v>3452</v>
      </c>
      <c r="D2150" s="1197" t="s">
        <v>3452</v>
      </c>
      <c r="E2150" s="1147" t="s">
        <v>3452</v>
      </c>
      <c r="F2150" s="940"/>
      <c r="G2150" s="953"/>
      <c r="H2150" s="969"/>
      <c r="I2150" s="998" t="s">
        <v>5250</v>
      </c>
      <c r="J2150" s="1220" t="s">
        <v>215</v>
      </c>
      <c r="K2150" s="957" t="s">
        <v>209</v>
      </c>
      <c r="L2150" s="959">
        <v>44.0</v>
      </c>
      <c r="M2150" s="960">
        <v>66.0</v>
      </c>
      <c r="N2150" s="960">
        <v>70.0</v>
      </c>
      <c r="O2150" s="960">
        <v>44.0</v>
      </c>
      <c r="P2150" s="960">
        <v>55.0</v>
      </c>
      <c r="Q2150" s="960">
        <v>56.0</v>
      </c>
      <c r="R2150" s="960">
        <v>148.0</v>
      </c>
      <c r="S2150" s="960">
        <v>211.0</v>
      </c>
      <c r="T2150" s="960">
        <v>232.0</v>
      </c>
      <c r="U2150" s="960">
        <f t="array" ref="U2150">HLOOKUP($J2150,'Type Chart'!$C$2:$T$20,2,false)*HLOOKUP($K2150,'Type Chart'!$C$2:$U$20,2,false)</f>
        <v>0</v>
      </c>
      <c r="V2150" s="960">
        <f t="array" ref="V2150">HLOOKUP($J2150,'Type Chart'!$C$2:$T$20,3,false)*HLOOKUP($K2150,'Type Chart'!$C$2:$U$20,3,false)</f>
        <v>0</v>
      </c>
      <c r="W2150" s="960">
        <f t="array" ref="W2150">HLOOKUP($J2150,'Type Chart'!$C$2:$T$20,4,false)*HLOOKUP($K2150,'Type Chart'!$C$2:$U$20,4,false)</f>
        <v>2</v>
      </c>
      <c r="X2150" s="960">
        <f t="array" ref="X2150">HLOOKUP($J2150,'Type Chart'!$C$2:$T$20,5,false)*HLOOKUP($K2150,'Type Chart'!$C$2:$U$20,5,false)</f>
        <v>1</v>
      </c>
      <c r="Y2150" s="960">
        <f t="array" ref="Y2150">HLOOKUP($J2150,'Type Chart'!$C$2:$T$20,6,false)*HLOOKUP($K2150,'Type Chart'!$C$2:$U$20,6,false)</f>
        <v>0.5</v>
      </c>
      <c r="Z2150" s="960">
        <f t="array" ref="Z2150">HLOOKUP($J2150,'Type Chart'!$C$2:$T$20,7,false)*HLOOKUP($K2150,'Type Chart'!$C$2:$U$20,7,false)</f>
        <v>1</v>
      </c>
      <c r="AA2150" s="960">
        <f t="array" ref="AA2150">HLOOKUP($J2150,'Type Chart'!$C$2:$T$20,8,false)*HLOOKUP($K2150,'Type Chart'!$C$2:$U$20,8,false)</f>
        <v>1</v>
      </c>
      <c r="AB2150" s="960">
        <f t="array" ref="AB2150">HLOOKUP($J2150,'Type Chart'!$C$2:$T$20,9,false)*HLOOKUP($K2150,'Type Chart'!$C$2:$U$20,9,false)</f>
        <v>2</v>
      </c>
      <c r="AC2150" s="960">
        <f t="array" ref="AC2150">HLOOKUP($J2150,'Type Chart'!$C$2:$T$20,10,false)*HLOOKUP($K2150,'Type Chart'!$C$2:$U$20,10,false)</f>
        <v>1</v>
      </c>
      <c r="AD2150" s="960">
        <f t="array" ref="AD2150">HLOOKUP($J2150,'Type Chart'!$C$2:$T$20,11,false)*HLOOKUP($K2150,'Type Chart'!$C$2:$U$20,11,false)</f>
        <v>2</v>
      </c>
      <c r="AE2150" s="960">
        <f t="array" ref="AE2150">HLOOKUP($J2150,'Type Chart'!$C$2:$T$20,12,false)*HLOOKUP($K2150,'Type Chart'!$C$2:$U$20,12,false)</f>
        <v>0.5</v>
      </c>
      <c r="AF2150" s="960">
        <f t="array" ref="AF2150">HLOOKUP($J2150,'Type Chart'!$C$2:$T$20,13,false)*HLOOKUP($K2150,'Type Chart'!$C$2:$U$20,13,false)</f>
        <v>0.5</v>
      </c>
      <c r="AG2150" s="960">
        <f t="array" ref="AG2150">HLOOKUP($J2150,'Type Chart'!$C$2:$T$20,14,false)*HLOOKUP($K2150,'Type Chart'!$C$2:$U$20,14,false)</f>
        <v>0.5</v>
      </c>
      <c r="AH2150" s="960">
        <f t="array" ref="AH2150">HLOOKUP($J2150,'Type Chart'!$C$2:$T$20,15,false)*HLOOKUP($K2150,'Type Chart'!$C$2:$U$20,15,false)</f>
        <v>1</v>
      </c>
      <c r="AI2150" s="960">
        <f t="array" ref="AI2150">HLOOKUP($J2150,'Type Chart'!$C$2:$T$20,16,false)*HLOOKUP($K2150,'Type Chart'!$C$2:$U$20,16,false)</f>
        <v>2</v>
      </c>
      <c r="AJ2150" s="960">
        <f t="array" ref="AJ2150">HLOOKUP($J2150,'Type Chart'!$C$2:$T$20,17,false)*HLOOKUP($K2150,'Type Chart'!$C$2:$U$20,17,false)</f>
        <v>1</v>
      </c>
      <c r="AK2150" s="960">
        <f t="array" ref="AK2150">HLOOKUP($J2150,'Type Chart'!$C$2:$T$20,18,false)*HLOOKUP($K2150,'Type Chart'!$C$2:$U$20,18,false)</f>
        <v>2</v>
      </c>
      <c r="AL2150" s="960">
        <f t="array" ref="AL2150">HLOOKUP($J2150,'Type Chart'!$C$2:$T$20,19,false)*HLOOKUP($K2150,'Type Chart'!$C$2:$U$20,19,false)</f>
        <v>1</v>
      </c>
      <c r="AM2150" s="964" t="s">
        <v>1238</v>
      </c>
      <c r="AN2150" s="965" t="s">
        <v>1188</v>
      </c>
      <c r="AO2150" s="966" t="s">
        <v>1454</v>
      </c>
      <c r="AP2150" s="936"/>
      <c r="AQ2150" s="1245"/>
      <c r="AR2150" s="1245"/>
      <c r="AS2150" s="936"/>
    </row>
    <row r="2151" ht="15.75" customHeight="1">
      <c r="A2151" s="1099"/>
      <c r="B2151" s="948" t="s">
        <v>3454</v>
      </c>
      <c r="C2151" s="1197" t="s">
        <v>3455</v>
      </c>
      <c r="D2151" s="1197" t="s">
        <v>3455</v>
      </c>
      <c r="E2151" s="1147" t="s">
        <v>3455</v>
      </c>
      <c r="F2151" s="940"/>
      <c r="G2151" s="953"/>
      <c r="H2151" s="969"/>
      <c r="I2151" s="998" t="s">
        <v>5251</v>
      </c>
      <c r="J2151" s="1220" t="s">
        <v>215</v>
      </c>
      <c r="K2151" s="957" t="s">
        <v>209</v>
      </c>
      <c r="L2151" s="959">
        <v>54.0</v>
      </c>
      <c r="M2151" s="960">
        <v>66.0</v>
      </c>
      <c r="N2151" s="960">
        <v>70.0</v>
      </c>
      <c r="O2151" s="960">
        <v>44.0</v>
      </c>
      <c r="P2151" s="960">
        <v>55.0</v>
      </c>
      <c r="Q2151" s="960">
        <v>46.0</v>
      </c>
      <c r="R2151" s="960">
        <v>128.0</v>
      </c>
      <c r="S2151" s="960">
        <v>191.0</v>
      </c>
      <c r="T2151" s="960">
        <v>210.0</v>
      </c>
      <c r="U2151" s="960">
        <f t="array" ref="U2151">HLOOKUP($J2151,'Type Chart'!$C$2:$T$20,2,false)*HLOOKUP($K2151,'Type Chart'!$C$2:$U$20,2,false)</f>
        <v>0</v>
      </c>
      <c r="V2151" s="960">
        <f t="array" ref="V2151">HLOOKUP($J2151,'Type Chart'!$C$2:$T$20,3,false)*HLOOKUP($K2151,'Type Chart'!$C$2:$U$20,3,false)</f>
        <v>0</v>
      </c>
      <c r="W2151" s="960">
        <f t="array" ref="W2151">HLOOKUP($J2151,'Type Chart'!$C$2:$T$20,4,false)*HLOOKUP($K2151,'Type Chart'!$C$2:$U$20,4,false)</f>
        <v>2</v>
      </c>
      <c r="X2151" s="960">
        <f t="array" ref="X2151">HLOOKUP($J2151,'Type Chart'!$C$2:$T$20,5,false)*HLOOKUP($K2151,'Type Chart'!$C$2:$U$20,5,false)</f>
        <v>1</v>
      </c>
      <c r="Y2151" s="960">
        <f t="array" ref="Y2151">HLOOKUP($J2151,'Type Chart'!$C$2:$T$20,6,false)*HLOOKUP($K2151,'Type Chart'!$C$2:$U$20,6,false)</f>
        <v>0.5</v>
      </c>
      <c r="Z2151" s="960">
        <f t="array" ref="Z2151">HLOOKUP($J2151,'Type Chart'!$C$2:$T$20,7,false)*HLOOKUP($K2151,'Type Chart'!$C$2:$U$20,7,false)</f>
        <v>1</v>
      </c>
      <c r="AA2151" s="960">
        <f t="array" ref="AA2151">HLOOKUP($J2151,'Type Chart'!$C$2:$T$20,8,false)*HLOOKUP($K2151,'Type Chart'!$C$2:$U$20,8,false)</f>
        <v>1</v>
      </c>
      <c r="AB2151" s="960">
        <f t="array" ref="AB2151">HLOOKUP($J2151,'Type Chart'!$C$2:$T$20,9,false)*HLOOKUP($K2151,'Type Chart'!$C$2:$U$20,9,false)</f>
        <v>2</v>
      </c>
      <c r="AC2151" s="960">
        <f t="array" ref="AC2151">HLOOKUP($J2151,'Type Chart'!$C$2:$T$20,10,false)*HLOOKUP($K2151,'Type Chart'!$C$2:$U$20,10,false)</f>
        <v>1</v>
      </c>
      <c r="AD2151" s="960">
        <f t="array" ref="AD2151">HLOOKUP($J2151,'Type Chart'!$C$2:$T$20,11,false)*HLOOKUP($K2151,'Type Chart'!$C$2:$U$20,11,false)</f>
        <v>2</v>
      </c>
      <c r="AE2151" s="960">
        <f t="array" ref="AE2151">HLOOKUP($J2151,'Type Chart'!$C$2:$T$20,12,false)*HLOOKUP($K2151,'Type Chart'!$C$2:$U$20,12,false)</f>
        <v>0.5</v>
      </c>
      <c r="AF2151" s="960">
        <f t="array" ref="AF2151">HLOOKUP($J2151,'Type Chart'!$C$2:$T$20,13,false)*HLOOKUP($K2151,'Type Chart'!$C$2:$U$20,13,false)</f>
        <v>0.5</v>
      </c>
      <c r="AG2151" s="960">
        <f t="array" ref="AG2151">HLOOKUP($J2151,'Type Chart'!$C$2:$T$20,14,false)*HLOOKUP($K2151,'Type Chart'!$C$2:$U$20,14,false)</f>
        <v>0.5</v>
      </c>
      <c r="AH2151" s="960">
        <f t="array" ref="AH2151">HLOOKUP($J2151,'Type Chart'!$C$2:$T$20,15,false)*HLOOKUP($K2151,'Type Chart'!$C$2:$U$20,15,false)</f>
        <v>1</v>
      </c>
      <c r="AI2151" s="960">
        <f t="array" ref="AI2151">HLOOKUP($J2151,'Type Chart'!$C$2:$T$20,16,false)*HLOOKUP($K2151,'Type Chart'!$C$2:$U$20,16,false)</f>
        <v>2</v>
      </c>
      <c r="AJ2151" s="960">
        <f t="array" ref="AJ2151">HLOOKUP($J2151,'Type Chart'!$C$2:$T$20,17,false)*HLOOKUP($K2151,'Type Chart'!$C$2:$U$20,17,false)</f>
        <v>1</v>
      </c>
      <c r="AK2151" s="960">
        <f t="array" ref="AK2151">HLOOKUP($J2151,'Type Chart'!$C$2:$T$20,18,false)*HLOOKUP($K2151,'Type Chart'!$C$2:$U$20,18,false)</f>
        <v>2</v>
      </c>
      <c r="AL2151" s="960">
        <f t="array" ref="AL2151">HLOOKUP($J2151,'Type Chart'!$C$2:$T$20,19,false)*HLOOKUP($K2151,'Type Chart'!$C$2:$U$20,19,false)</f>
        <v>1</v>
      </c>
      <c r="AM2151" s="964" t="s">
        <v>1238</v>
      </c>
      <c r="AN2151" s="965" t="s">
        <v>1188</v>
      </c>
      <c r="AO2151" s="966" t="s">
        <v>1454</v>
      </c>
      <c r="AP2151" s="936"/>
      <c r="AQ2151" s="1245"/>
      <c r="AR2151" s="1245"/>
      <c r="AS2151" s="936"/>
    </row>
    <row r="2152" ht="15.75" customHeight="1">
      <c r="A2152" s="1099"/>
      <c r="B2152" s="948" t="s">
        <v>3457</v>
      </c>
      <c r="C2152" s="1197" t="s">
        <v>3458</v>
      </c>
      <c r="D2152" s="1197" t="s">
        <v>3458</v>
      </c>
      <c r="E2152" s="1147" t="s">
        <v>3458</v>
      </c>
      <c r="F2152" s="940"/>
      <c r="G2152" s="953"/>
      <c r="H2152" s="969"/>
      <c r="I2152" s="998" t="s">
        <v>5252</v>
      </c>
      <c r="J2152" s="1220" t="s">
        <v>215</v>
      </c>
      <c r="K2152" s="957" t="s">
        <v>209</v>
      </c>
      <c r="L2152" s="959">
        <v>59.0</v>
      </c>
      <c r="M2152" s="960">
        <v>66.0</v>
      </c>
      <c r="N2152" s="960">
        <v>70.0</v>
      </c>
      <c r="O2152" s="960">
        <v>44.0</v>
      </c>
      <c r="P2152" s="960">
        <v>55.0</v>
      </c>
      <c r="Q2152" s="960">
        <v>41.0</v>
      </c>
      <c r="R2152" s="960">
        <v>118.0</v>
      </c>
      <c r="S2152" s="960">
        <v>181.0</v>
      </c>
      <c r="T2152" s="960">
        <v>199.0</v>
      </c>
      <c r="U2152" s="960">
        <f t="array" ref="U2152">HLOOKUP($J2152,'Type Chart'!$C$2:$T$20,2,false)*HLOOKUP($K2152,'Type Chart'!$C$2:$U$20,2,false)</f>
        <v>0</v>
      </c>
      <c r="V2152" s="960">
        <f t="array" ref="V2152">HLOOKUP($J2152,'Type Chart'!$C$2:$T$20,3,false)*HLOOKUP($K2152,'Type Chart'!$C$2:$U$20,3,false)</f>
        <v>0</v>
      </c>
      <c r="W2152" s="960">
        <f t="array" ref="W2152">HLOOKUP($J2152,'Type Chart'!$C$2:$T$20,4,false)*HLOOKUP($K2152,'Type Chart'!$C$2:$U$20,4,false)</f>
        <v>2</v>
      </c>
      <c r="X2152" s="960">
        <f t="array" ref="X2152">HLOOKUP($J2152,'Type Chart'!$C$2:$T$20,5,false)*HLOOKUP($K2152,'Type Chart'!$C$2:$U$20,5,false)</f>
        <v>1</v>
      </c>
      <c r="Y2152" s="960">
        <f t="array" ref="Y2152">HLOOKUP($J2152,'Type Chart'!$C$2:$T$20,6,false)*HLOOKUP($K2152,'Type Chart'!$C$2:$U$20,6,false)</f>
        <v>0.5</v>
      </c>
      <c r="Z2152" s="960">
        <f t="array" ref="Z2152">HLOOKUP($J2152,'Type Chart'!$C$2:$T$20,7,false)*HLOOKUP($K2152,'Type Chart'!$C$2:$U$20,7,false)</f>
        <v>1</v>
      </c>
      <c r="AA2152" s="960">
        <f t="array" ref="AA2152">HLOOKUP($J2152,'Type Chart'!$C$2:$T$20,8,false)*HLOOKUP($K2152,'Type Chart'!$C$2:$U$20,8,false)</f>
        <v>1</v>
      </c>
      <c r="AB2152" s="960">
        <f t="array" ref="AB2152">HLOOKUP($J2152,'Type Chart'!$C$2:$T$20,9,false)*HLOOKUP($K2152,'Type Chart'!$C$2:$U$20,9,false)</f>
        <v>2</v>
      </c>
      <c r="AC2152" s="960">
        <f t="array" ref="AC2152">HLOOKUP($J2152,'Type Chart'!$C$2:$T$20,10,false)*HLOOKUP($K2152,'Type Chart'!$C$2:$U$20,10,false)</f>
        <v>1</v>
      </c>
      <c r="AD2152" s="960">
        <f t="array" ref="AD2152">HLOOKUP($J2152,'Type Chart'!$C$2:$T$20,11,false)*HLOOKUP($K2152,'Type Chart'!$C$2:$U$20,11,false)</f>
        <v>2</v>
      </c>
      <c r="AE2152" s="960">
        <f t="array" ref="AE2152">HLOOKUP($J2152,'Type Chart'!$C$2:$T$20,12,false)*HLOOKUP($K2152,'Type Chart'!$C$2:$U$20,12,false)</f>
        <v>0.5</v>
      </c>
      <c r="AF2152" s="960">
        <f t="array" ref="AF2152">HLOOKUP($J2152,'Type Chart'!$C$2:$T$20,13,false)*HLOOKUP($K2152,'Type Chart'!$C$2:$U$20,13,false)</f>
        <v>0.5</v>
      </c>
      <c r="AG2152" s="960">
        <f t="array" ref="AG2152">HLOOKUP($J2152,'Type Chart'!$C$2:$T$20,14,false)*HLOOKUP($K2152,'Type Chart'!$C$2:$U$20,14,false)</f>
        <v>0.5</v>
      </c>
      <c r="AH2152" s="960">
        <f t="array" ref="AH2152">HLOOKUP($J2152,'Type Chart'!$C$2:$T$20,15,false)*HLOOKUP($K2152,'Type Chart'!$C$2:$U$20,15,false)</f>
        <v>1</v>
      </c>
      <c r="AI2152" s="960">
        <f t="array" ref="AI2152">HLOOKUP($J2152,'Type Chart'!$C$2:$T$20,16,false)*HLOOKUP($K2152,'Type Chart'!$C$2:$U$20,16,false)</f>
        <v>2</v>
      </c>
      <c r="AJ2152" s="960">
        <f t="array" ref="AJ2152">HLOOKUP($J2152,'Type Chart'!$C$2:$T$20,17,false)*HLOOKUP($K2152,'Type Chart'!$C$2:$U$20,17,false)</f>
        <v>1</v>
      </c>
      <c r="AK2152" s="960">
        <f t="array" ref="AK2152">HLOOKUP($J2152,'Type Chart'!$C$2:$T$20,18,false)*HLOOKUP($K2152,'Type Chart'!$C$2:$U$20,18,false)</f>
        <v>2</v>
      </c>
      <c r="AL2152" s="960">
        <f t="array" ref="AL2152">HLOOKUP($J2152,'Type Chart'!$C$2:$T$20,19,false)*HLOOKUP($K2152,'Type Chart'!$C$2:$U$20,19,false)</f>
        <v>1</v>
      </c>
      <c r="AM2152" s="964" t="s">
        <v>1238</v>
      </c>
      <c r="AN2152" s="965" t="s">
        <v>1188</v>
      </c>
      <c r="AO2152" s="966" t="s">
        <v>1454</v>
      </c>
      <c r="AP2152" s="936"/>
      <c r="AQ2152" s="1245"/>
      <c r="AR2152" s="1245"/>
      <c r="AS2152" s="936"/>
    </row>
    <row r="2153" ht="15.75" customHeight="1">
      <c r="A2153" s="1099"/>
      <c r="B2153" s="948" t="s">
        <v>3460</v>
      </c>
      <c r="C2153" s="1197" t="s">
        <v>3461</v>
      </c>
      <c r="D2153" s="1197" t="s">
        <v>3461</v>
      </c>
      <c r="E2153" s="1147" t="s">
        <v>3461</v>
      </c>
      <c r="F2153" s="940"/>
      <c r="G2153" s="953"/>
      <c r="H2153" s="969"/>
      <c r="I2153" s="998" t="s">
        <v>5253</v>
      </c>
      <c r="J2153" s="1220" t="s">
        <v>215</v>
      </c>
      <c r="K2153" s="957" t="s">
        <v>209</v>
      </c>
      <c r="L2153" s="959">
        <v>65.0</v>
      </c>
      <c r="M2153" s="960">
        <v>90.0</v>
      </c>
      <c r="N2153" s="960">
        <v>122.0</v>
      </c>
      <c r="O2153" s="960">
        <v>58.0</v>
      </c>
      <c r="P2153" s="960">
        <v>75.0</v>
      </c>
      <c r="Q2153" s="960">
        <v>84.0</v>
      </c>
      <c r="R2153" s="960">
        <v>204.0</v>
      </c>
      <c r="S2153" s="960">
        <v>267.0</v>
      </c>
      <c r="T2153" s="960">
        <v>293.0</v>
      </c>
      <c r="U2153" s="960">
        <f t="array" ref="U2153">HLOOKUP($J2153,'Type Chart'!$C$2:$T$20,2,false)*HLOOKUP($K2153,'Type Chart'!$C$2:$U$20,2,false)</f>
        <v>0</v>
      </c>
      <c r="V2153" s="960">
        <f t="array" ref="V2153">HLOOKUP($J2153,'Type Chart'!$C$2:$T$20,3,false)*HLOOKUP($K2153,'Type Chart'!$C$2:$U$20,3,false)</f>
        <v>0</v>
      </c>
      <c r="W2153" s="960">
        <f t="array" ref="W2153">HLOOKUP($J2153,'Type Chart'!$C$2:$T$20,4,false)*HLOOKUP($K2153,'Type Chart'!$C$2:$U$20,4,false)</f>
        <v>2</v>
      </c>
      <c r="X2153" s="960">
        <f t="array" ref="X2153">HLOOKUP($J2153,'Type Chart'!$C$2:$T$20,5,false)*HLOOKUP($K2153,'Type Chart'!$C$2:$U$20,5,false)</f>
        <v>1</v>
      </c>
      <c r="Y2153" s="960">
        <f t="array" ref="Y2153">HLOOKUP($J2153,'Type Chart'!$C$2:$T$20,6,false)*HLOOKUP($K2153,'Type Chart'!$C$2:$U$20,6,false)</f>
        <v>0.5</v>
      </c>
      <c r="Z2153" s="960">
        <f t="array" ref="Z2153">HLOOKUP($J2153,'Type Chart'!$C$2:$T$20,7,false)*HLOOKUP($K2153,'Type Chart'!$C$2:$U$20,7,false)</f>
        <v>1</v>
      </c>
      <c r="AA2153" s="960">
        <f t="array" ref="AA2153">HLOOKUP($J2153,'Type Chart'!$C$2:$T$20,8,false)*HLOOKUP($K2153,'Type Chart'!$C$2:$U$20,8,false)</f>
        <v>1</v>
      </c>
      <c r="AB2153" s="960">
        <f t="array" ref="AB2153">HLOOKUP($J2153,'Type Chart'!$C$2:$T$20,9,false)*HLOOKUP($K2153,'Type Chart'!$C$2:$U$20,9,false)</f>
        <v>2</v>
      </c>
      <c r="AC2153" s="960">
        <f t="array" ref="AC2153">HLOOKUP($J2153,'Type Chart'!$C$2:$T$20,10,false)*HLOOKUP($K2153,'Type Chart'!$C$2:$U$20,10,false)</f>
        <v>1</v>
      </c>
      <c r="AD2153" s="960">
        <f t="array" ref="AD2153">HLOOKUP($J2153,'Type Chart'!$C$2:$T$20,11,false)*HLOOKUP($K2153,'Type Chart'!$C$2:$U$20,11,false)</f>
        <v>2</v>
      </c>
      <c r="AE2153" s="960">
        <f t="array" ref="AE2153">HLOOKUP($J2153,'Type Chart'!$C$2:$T$20,12,false)*HLOOKUP($K2153,'Type Chart'!$C$2:$U$20,12,false)</f>
        <v>0.5</v>
      </c>
      <c r="AF2153" s="960">
        <f t="array" ref="AF2153">HLOOKUP($J2153,'Type Chart'!$C$2:$T$20,13,false)*HLOOKUP($K2153,'Type Chart'!$C$2:$U$20,13,false)</f>
        <v>0.5</v>
      </c>
      <c r="AG2153" s="960">
        <f t="array" ref="AG2153">HLOOKUP($J2153,'Type Chart'!$C$2:$T$20,14,false)*HLOOKUP($K2153,'Type Chart'!$C$2:$U$20,14,false)</f>
        <v>0.5</v>
      </c>
      <c r="AH2153" s="960">
        <f t="array" ref="AH2153">HLOOKUP($J2153,'Type Chart'!$C$2:$T$20,15,false)*HLOOKUP($K2153,'Type Chart'!$C$2:$U$20,15,false)</f>
        <v>1</v>
      </c>
      <c r="AI2153" s="960">
        <f t="array" ref="AI2153">HLOOKUP($J2153,'Type Chart'!$C$2:$T$20,16,false)*HLOOKUP($K2153,'Type Chart'!$C$2:$U$20,16,false)</f>
        <v>2</v>
      </c>
      <c r="AJ2153" s="960">
        <f t="array" ref="AJ2153">HLOOKUP($J2153,'Type Chart'!$C$2:$T$20,17,false)*HLOOKUP($K2153,'Type Chart'!$C$2:$U$20,17,false)</f>
        <v>1</v>
      </c>
      <c r="AK2153" s="960">
        <f t="array" ref="AK2153">HLOOKUP($J2153,'Type Chart'!$C$2:$T$20,18,false)*HLOOKUP($K2153,'Type Chart'!$C$2:$U$20,18,false)</f>
        <v>2</v>
      </c>
      <c r="AL2153" s="960">
        <f t="array" ref="AL2153">HLOOKUP($J2153,'Type Chart'!$C$2:$T$20,19,false)*HLOOKUP($K2153,'Type Chart'!$C$2:$U$20,19,false)</f>
        <v>1</v>
      </c>
      <c r="AM2153" s="964" t="s">
        <v>1238</v>
      </c>
      <c r="AN2153" s="965" t="s">
        <v>1188</v>
      </c>
      <c r="AO2153" s="966" t="s">
        <v>1454</v>
      </c>
      <c r="AP2153" s="936"/>
      <c r="AQ2153" s="1245"/>
      <c r="AR2153" s="1245"/>
      <c r="AS2153" s="936"/>
    </row>
    <row r="2154" ht="15.75" customHeight="1">
      <c r="A2154" s="1099"/>
      <c r="B2154" s="948" t="s">
        <v>3463</v>
      </c>
      <c r="C2154" s="1197" t="s">
        <v>3464</v>
      </c>
      <c r="D2154" s="1197" t="s">
        <v>3464</v>
      </c>
      <c r="E2154" s="1147" t="s">
        <v>3464</v>
      </c>
      <c r="F2154" s="940"/>
      <c r="G2154" s="953"/>
      <c r="H2154" s="969"/>
      <c r="I2154" s="998" t="s">
        <v>5254</v>
      </c>
      <c r="J2154" s="1220" t="s">
        <v>215</v>
      </c>
      <c r="K2154" s="957" t="s">
        <v>209</v>
      </c>
      <c r="L2154" s="959">
        <v>55.0</v>
      </c>
      <c r="M2154" s="960">
        <v>85.0</v>
      </c>
      <c r="N2154" s="960">
        <v>122.0</v>
      </c>
      <c r="O2154" s="960">
        <v>58.0</v>
      </c>
      <c r="P2154" s="960">
        <v>75.0</v>
      </c>
      <c r="Q2154" s="960">
        <v>99.0</v>
      </c>
      <c r="R2154" s="960">
        <v>234.0</v>
      </c>
      <c r="S2154" s="960">
        <v>297.0</v>
      </c>
      <c r="T2154" s="960">
        <v>326.0</v>
      </c>
      <c r="U2154" s="960">
        <f t="array" ref="U2154">HLOOKUP($J2154,'Type Chart'!$C$2:$T$20,2,false)*HLOOKUP($K2154,'Type Chart'!$C$2:$U$20,2,false)</f>
        <v>0</v>
      </c>
      <c r="V2154" s="960">
        <f t="array" ref="V2154">HLOOKUP($J2154,'Type Chart'!$C$2:$T$20,3,false)*HLOOKUP($K2154,'Type Chart'!$C$2:$U$20,3,false)</f>
        <v>0</v>
      </c>
      <c r="W2154" s="960">
        <f t="array" ref="W2154">HLOOKUP($J2154,'Type Chart'!$C$2:$T$20,4,false)*HLOOKUP($K2154,'Type Chart'!$C$2:$U$20,4,false)</f>
        <v>2</v>
      </c>
      <c r="X2154" s="960">
        <f t="array" ref="X2154">HLOOKUP($J2154,'Type Chart'!$C$2:$T$20,5,false)*HLOOKUP($K2154,'Type Chart'!$C$2:$U$20,5,false)</f>
        <v>1</v>
      </c>
      <c r="Y2154" s="960">
        <f t="array" ref="Y2154">HLOOKUP($J2154,'Type Chart'!$C$2:$T$20,6,false)*HLOOKUP($K2154,'Type Chart'!$C$2:$U$20,6,false)</f>
        <v>0.5</v>
      </c>
      <c r="Z2154" s="960">
        <f t="array" ref="Z2154">HLOOKUP($J2154,'Type Chart'!$C$2:$T$20,7,false)*HLOOKUP($K2154,'Type Chart'!$C$2:$U$20,7,false)</f>
        <v>1</v>
      </c>
      <c r="AA2154" s="960">
        <f t="array" ref="AA2154">HLOOKUP($J2154,'Type Chart'!$C$2:$T$20,8,false)*HLOOKUP($K2154,'Type Chart'!$C$2:$U$20,8,false)</f>
        <v>1</v>
      </c>
      <c r="AB2154" s="960">
        <f t="array" ref="AB2154">HLOOKUP($J2154,'Type Chart'!$C$2:$T$20,9,false)*HLOOKUP($K2154,'Type Chart'!$C$2:$U$20,9,false)</f>
        <v>2</v>
      </c>
      <c r="AC2154" s="960">
        <f t="array" ref="AC2154">HLOOKUP($J2154,'Type Chart'!$C$2:$T$20,10,false)*HLOOKUP($K2154,'Type Chart'!$C$2:$U$20,10,false)</f>
        <v>1</v>
      </c>
      <c r="AD2154" s="960">
        <f t="array" ref="AD2154">HLOOKUP($J2154,'Type Chart'!$C$2:$T$20,11,false)*HLOOKUP($K2154,'Type Chart'!$C$2:$U$20,11,false)</f>
        <v>2</v>
      </c>
      <c r="AE2154" s="960">
        <f t="array" ref="AE2154">HLOOKUP($J2154,'Type Chart'!$C$2:$T$20,12,false)*HLOOKUP($K2154,'Type Chart'!$C$2:$U$20,12,false)</f>
        <v>0.5</v>
      </c>
      <c r="AF2154" s="960">
        <f t="array" ref="AF2154">HLOOKUP($J2154,'Type Chart'!$C$2:$T$20,13,false)*HLOOKUP($K2154,'Type Chart'!$C$2:$U$20,13,false)</f>
        <v>0.5</v>
      </c>
      <c r="AG2154" s="960">
        <f t="array" ref="AG2154">HLOOKUP($J2154,'Type Chart'!$C$2:$T$20,14,false)*HLOOKUP($K2154,'Type Chart'!$C$2:$U$20,14,false)</f>
        <v>0.5</v>
      </c>
      <c r="AH2154" s="960">
        <f t="array" ref="AH2154">HLOOKUP($J2154,'Type Chart'!$C$2:$T$20,15,false)*HLOOKUP($K2154,'Type Chart'!$C$2:$U$20,15,false)</f>
        <v>1</v>
      </c>
      <c r="AI2154" s="960">
        <f t="array" ref="AI2154">HLOOKUP($J2154,'Type Chart'!$C$2:$T$20,16,false)*HLOOKUP($K2154,'Type Chart'!$C$2:$U$20,16,false)</f>
        <v>2</v>
      </c>
      <c r="AJ2154" s="960">
        <f t="array" ref="AJ2154">HLOOKUP($J2154,'Type Chart'!$C$2:$T$20,17,false)*HLOOKUP($K2154,'Type Chart'!$C$2:$U$20,17,false)</f>
        <v>1</v>
      </c>
      <c r="AK2154" s="960">
        <f t="array" ref="AK2154">HLOOKUP($J2154,'Type Chart'!$C$2:$T$20,18,false)*HLOOKUP($K2154,'Type Chart'!$C$2:$U$20,18,false)</f>
        <v>2</v>
      </c>
      <c r="AL2154" s="960">
        <f t="array" ref="AL2154">HLOOKUP($J2154,'Type Chart'!$C$2:$T$20,19,false)*HLOOKUP($K2154,'Type Chart'!$C$2:$U$20,19,false)</f>
        <v>1</v>
      </c>
      <c r="AM2154" s="964" t="s">
        <v>1238</v>
      </c>
      <c r="AN2154" s="965" t="s">
        <v>1188</v>
      </c>
      <c r="AO2154" s="966" t="s">
        <v>1454</v>
      </c>
      <c r="AP2154" s="936"/>
      <c r="AQ2154" s="1245"/>
      <c r="AR2154" s="1245"/>
      <c r="AS2154" s="936"/>
    </row>
    <row r="2155" ht="15.75" customHeight="1">
      <c r="A2155" s="1099"/>
      <c r="B2155" s="948" t="s">
        <v>3466</v>
      </c>
      <c r="C2155" s="1197" t="s">
        <v>3467</v>
      </c>
      <c r="D2155" s="1197" t="s">
        <v>3467</v>
      </c>
      <c r="E2155" s="1147" t="s">
        <v>3467</v>
      </c>
      <c r="F2155" s="940"/>
      <c r="G2155" s="953"/>
      <c r="H2155" s="969"/>
      <c r="I2155" s="998" t="s">
        <v>5255</v>
      </c>
      <c r="J2155" s="1220" t="s">
        <v>215</v>
      </c>
      <c r="K2155" s="957" t="s">
        <v>209</v>
      </c>
      <c r="L2155" s="959">
        <v>75.0</v>
      </c>
      <c r="M2155" s="960">
        <v>95.0</v>
      </c>
      <c r="N2155" s="960">
        <v>122.0</v>
      </c>
      <c r="O2155" s="960">
        <v>58.0</v>
      </c>
      <c r="P2155" s="960">
        <v>75.0</v>
      </c>
      <c r="Q2155" s="960">
        <v>69.0</v>
      </c>
      <c r="R2155" s="960">
        <v>174.0</v>
      </c>
      <c r="S2155" s="960">
        <v>237.0</v>
      </c>
      <c r="T2155" s="960">
        <v>260.0</v>
      </c>
      <c r="U2155" s="960">
        <f t="array" ref="U2155">HLOOKUP($J2155,'Type Chart'!$C$2:$T$20,2,false)*HLOOKUP($K2155,'Type Chart'!$C$2:$U$20,2,false)</f>
        <v>0</v>
      </c>
      <c r="V2155" s="960">
        <f t="array" ref="V2155">HLOOKUP($J2155,'Type Chart'!$C$2:$T$20,3,false)*HLOOKUP($K2155,'Type Chart'!$C$2:$U$20,3,false)</f>
        <v>0</v>
      </c>
      <c r="W2155" s="960">
        <f t="array" ref="W2155">HLOOKUP($J2155,'Type Chart'!$C$2:$T$20,4,false)*HLOOKUP($K2155,'Type Chart'!$C$2:$U$20,4,false)</f>
        <v>2</v>
      </c>
      <c r="X2155" s="960">
        <f t="array" ref="X2155">HLOOKUP($J2155,'Type Chart'!$C$2:$T$20,5,false)*HLOOKUP($K2155,'Type Chart'!$C$2:$U$20,5,false)</f>
        <v>1</v>
      </c>
      <c r="Y2155" s="960">
        <f t="array" ref="Y2155">HLOOKUP($J2155,'Type Chart'!$C$2:$T$20,6,false)*HLOOKUP($K2155,'Type Chart'!$C$2:$U$20,6,false)</f>
        <v>0.5</v>
      </c>
      <c r="Z2155" s="960">
        <f t="array" ref="Z2155">HLOOKUP($J2155,'Type Chart'!$C$2:$T$20,7,false)*HLOOKUP($K2155,'Type Chart'!$C$2:$U$20,7,false)</f>
        <v>1</v>
      </c>
      <c r="AA2155" s="960">
        <f t="array" ref="AA2155">HLOOKUP($J2155,'Type Chart'!$C$2:$T$20,8,false)*HLOOKUP($K2155,'Type Chart'!$C$2:$U$20,8,false)</f>
        <v>1</v>
      </c>
      <c r="AB2155" s="960">
        <f t="array" ref="AB2155">HLOOKUP($J2155,'Type Chart'!$C$2:$T$20,9,false)*HLOOKUP($K2155,'Type Chart'!$C$2:$U$20,9,false)</f>
        <v>2</v>
      </c>
      <c r="AC2155" s="960">
        <f t="array" ref="AC2155">HLOOKUP($J2155,'Type Chart'!$C$2:$T$20,10,false)*HLOOKUP($K2155,'Type Chart'!$C$2:$U$20,10,false)</f>
        <v>1</v>
      </c>
      <c r="AD2155" s="960">
        <f t="array" ref="AD2155">HLOOKUP($J2155,'Type Chart'!$C$2:$T$20,11,false)*HLOOKUP($K2155,'Type Chart'!$C$2:$U$20,11,false)</f>
        <v>2</v>
      </c>
      <c r="AE2155" s="960">
        <f t="array" ref="AE2155">HLOOKUP($J2155,'Type Chart'!$C$2:$T$20,12,false)*HLOOKUP($K2155,'Type Chart'!$C$2:$U$20,12,false)</f>
        <v>0.5</v>
      </c>
      <c r="AF2155" s="960">
        <f t="array" ref="AF2155">HLOOKUP($J2155,'Type Chart'!$C$2:$T$20,13,false)*HLOOKUP($K2155,'Type Chart'!$C$2:$U$20,13,false)</f>
        <v>0.5</v>
      </c>
      <c r="AG2155" s="960">
        <f t="array" ref="AG2155">HLOOKUP($J2155,'Type Chart'!$C$2:$T$20,14,false)*HLOOKUP($K2155,'Type Chart'!$C$2:$U$20,14,false)</f>
        <v>0.5</v>
      </c>
      <c r="AH2155" s="960">
        <f t="array" ref="AH2155">HLOOKUP($J2155,'Type Chart'!$C$2:$T$20,15,false)*HLOOKUP($K2155,'Type Chart'!$C$2:$U$20,15,false)</f>
        <v>1</v>
      </c>
      <c r="AI2155" s="960">
        <f t="array" ref="AI2155">HLOOKUP($J2155,'Type Chart'!$C$2:$T$20,16,false)*HLOOKUP($K2155,'Type Chart'!$C$2:$U$20,16,false)</f>
        <v>2</v>
      </c>
      <c r="AJ2155" s="960">
        <f t="array" ref="AJ2155">HLOOKUP($J2155,'Type Chart'!$C$2:$T$20,17,false)*HLOOKUP($K2155,'Type Chart'!$C$2:$U$20,17,false)</f>
        <v>1</v>
      </c>
      <c r="AK2155" s="960">
        <f t="array" ref="AK2155">HLOOKUP($J2155,'Type Chart'!$C$2:$T$20,18,false)*HLOOKUP($K2155,'Type Chart'!$C$2:$U$20,18,false)</f>
        <v>2</v>
      </c>
      <c r="AL2155" s="960">
        <f t="array" ref="AL2155">HLOOKUP($J2155,'Type Chart'!$C$2:$T$20,19,false)*HLOOKUP($K2155,'Type Chart'!$C$2:$U$20,19,false)</f>
        <v>1</v>
      </c>
      <c r="AM2155" s="964" t="s">
        <v>1238</v>
      </c>
      <c r="AN2155" s="965" t="s">
        <v>1188</v>
      </c>
      <c r="AO2155" s="966" t="s">
        <v>1454</v>
      </c>
      <c r="AP2155" s="936"/>
      <c r="AQ2155" s="1245"/>
      <c r="AR2155" s="1245"/>
      <c r="AS2155" s="936"/>
    </row>
    <row r="2156" ht="15.75" customHeight="1">
      <c r="A2156" s="1099"/>
      <c r="B2156" s="948" t="s">
        <v>3469</v>
      </c>
      <c r="C2156" s="1197" t="s">
        <v>3470</v>
      </c>
      <c r="D2156" s="1197" t="s">
        <v>3470</v>
      </c>
      <c r="E2156" s="1147" t="s">
        <v>3470</v>
      </c>
      <c r="F2156" s="940"/>
      <c r="G2156" s="953"/>
      <c r="H2156" s="969"/>
      <c r="I2156" s="998" t="s">
        <v>5256</v>
      </c>
      <c r="J2156" s="1220" t="s">
        <v>215</v>
      </c>
      <c r="K2156" s="957" t="s">
        <v>209</v>
      </c>
      <c r="L2156" s="959">
        <v>85.0</v>
      </c>
      <c r="M2156" s="960">
        <v>100.0</v>
      </c>
      <c r="N2156" s="960">
        <v>122.0</v>
      </c>
      <c r="O2156" s="960">
        <v>58.0</v>
      </c>
      <c r="P2156" s="960">
        <v>75.0</v>
      </c>
      <c r="Q2156" s="960">
        <v>54.0</v>
      </c>
      <c r="R2156" s="960">
        <v>144.0</v>
      </c>
      <c r="S2156" s="960">
        <v>207.0</v>
      </c>
      <c r="T2156" s="960">
        <v>227.0</v>
      </c>
      <c r="U2156" s="960">
        <f t="array" ref="U2156">HLOOKUP($J2156,'Type Chart'!$C$2:$T$20,2,false)*HLOOKUP($K2156,'Type Chart'!$C$2:$U$20,2,false)</f>
        <v>0</v>
      </c>
      <c r="V2156" s="960">
        <f t="array" ref="V2156">HLOOKUP($J2156,'Type Chart'!$C$2:$T$20,3,false)*HLOOKUP($K2156,'Type Chart'!$C$2:$U$20,3,false)</f>
        <v>0</v>
      </c>
      <c r="W2156" s="960">
        <f t="array" ref="W2156">HLOOKUP($J2156,'Type Chart'!$C$2:$T$20,4,false)*HLOOKUP($K2156,'Type Chart'!$C$2:$U$20,4,false)</f>
        <v>2</v>
      </c>
      <c r="X2156" s="960">
        <f t="array" ref="X2156">HLOOKUP($J2156,'Type Chart'!$C$2:$T$20,5,false)*HLOOKUP($K2156,'Type Chart'!$C$2:$U$20,5,false)</f>
        <v>1</v>
      </c>
      <c r="Y2156" s="960">
        <f t="array" ref="Y2156">HLOOKUP($J2156,'Type Chart'!$C$2:$T$20,6,false)*HLOOKUP($K2156,'Type Chart'!$C$2:$U$20,6,false)</f>
        <v>0.5</v>
      </c>
      <c r="Z2156" s="960">
        <f t="array" ref="Z2156">HLOOKUP($J2156,'Type Chart'!$C$2:$T$20,7,false)*HLOOKUP($K2156,'Type Chart'!$C$2:$U$20,7,false)</f>
        <v>1</v>
      </c>
      <c r="AA2156" s="960">
        <f t="array" ref="AA2156">HLOOKUP($J2156,'Type Chart'!$C$2:$T$20,8,false)*HLOOKUP($K2156,'Type Chart'!$C$2:$U$20,8,false)</f>
        <v>1</v>
      </c>
      <c r="AB2156" s="960">
        <f t="array" ref="AB2156">HLOOKUP($J2156,'Type Chart'!$C$2:$T$20,9,false)*HLOOKUP($K2156,'Type Chart'!$C$2:$U$20,9,false)</f>
        <v>2</v>
      </c>
      <c r="AC2156" s="960">
        <f t="array" ref="AC2156">HLOOKUP($J2156,'Type Chart'!$C$2:$T$20,10,false)*HLOOKUP($K2156,'Type Chart'!$C$2:$U$20,10,false)</f>
        <v>1</v>
      </c>
      <c r="AD2156" s="960">
        <f t="array" ref="AD2156">HLOOKUP($J2156,'Type Chart'!$C$2:$T$20,11,false)*HLOOKUP($K2156,'Type Chart'!$C$2:$U$20,11,false)</f>
        <v>2</v>
      </c>
      <c r="AE2156" s="960">
        <f t="array" ref="AE2156">HLOOKUP($J2156,'Type Chart'!$C$2:$T$20,12,false)*HLOOKUP($K2156,'Type Chart'!$C$2:$U$20,12,false)</f>
        <v>0.5</v>
      </c>
      <c r="AF2156" s="960">
        <f t="array" ref="AF2156">HLOOKUP($J2156,'Type Chart'!$C$2:$T$20,13,false)*HLOOKUP($K2156,'Type Chart'!$C$2:$U$20,13,false)</f>
        <v>0.5</v>
      </c>
      <c r="AG2156" s="960">
        <f t="array" ref="AG2156">HLOOKUP($J2156,'Type Chart'!$C$2:$T$20,14,false)*HLOOKUP($K2156,'Type Chart'!$C$2:$U$20,14,false)</f>
        <v>0.5</v>
      </c>
      <c r="AH2156" s="960">
        <f t="array" ref="AH2156">HLOOKUP($J2156,'Type Chart'!$C$2:$T$20,15,false)*HLOOKUP($K2156,'Type Chart'!$C$2:$U$20,15,false)</f>
        <v>1</v>
      </c>
      <c r="AI2156" s="960">
        <f t="array" ref="AI2156">HLOOKUP($J2156,'Type Chart'!$C$2:$T$20,16,false)*HLOOKUP($K2156,'Type Chart'!$C$2:$U$20,16,false)</f>
        <v>2</v>
      </c>
      <c r="AJ2156" s="960">
        <f t="array" ref="AJ2156">HLOOKUP($J2156,'Type Chart'!$C$2:$T$20,17,false)*HLOOKUP($K2156,'Type Chart'!$C$2:$U$20,17,false)</f>
        <v>1</v>
      </c>
      <c r="AK2156" s="960">
        <f t="array" ref="AK2156">HLOOKUP($J2156,'Type Chart'!$C$2:$T$20,18,false)*HLOOKUP($K2156,'Type Chart'!$C$2:$U$20,18,false)</f>
        <v>2</v>
      </c>
      <c r="AL2156" s="960">
        <f t="array" ref="AL2156">HLOOKUP($J2156,'Type Chart'!$C$2:$T$20,19,false)*HLOOKUP($K2156,'Type Chart'!$C$2:$U$20,19,false)</f>
        <v>1</v>
      </c>
      <c r="AM2156" s="964" t="s">
        <v>1238</v>
      </c>
      <c r="AN2156" s="965" t="s">
        <v>1188</v>
      </c>
      <c r="AO2156" s="966" t="s">
        <v>1454</v>
      </c>
      <c r="AP2156" s="936"/>
      <c r="AQ2156" s="1245"/>
      <c r="AR2156" s="1245"/>
      <c r="AS2156" s="936"/>
    </row>
    <row r="2157" ht="15.75" customHeight="1">
      <c r="A2157" s="1099"/>
      <c r="B2157" s="948" t="s">
        <v>3472</v>
      </c>
      <c r="C2157" s="1197" t="s">
        <v>3473</v>
      </c>
      <c r="D2157" s="1197" t="s">
        <v>3473</v>
      </c>
      <c r="E2157" s="1147" t="s">
        <v>3473</v>
      </c>
      <c r="F2157" s="940"/>
      <c r="G2157" s="953"/>
      <c r="H2157" s="969"/>
      <c r="I2157" s="998" t="s">
        <v>5257</v>
      </c>
      <c r="J2157" s="1205" t="s">
        <v>345</v>
      </c>
      <c r="K2157" s="984" t="s">
        <v>216</v>
      </c>
      <c r="L2157" s="959">
        <v>55.0</v>
      </c>
      <c r="M2157" s="960">
        <v>69.0</v>
      </c>
      <c r="N2157" s="960">
        <v>85.0</v>
      </c>
      <c r="O2157" s="960">
        <v>32.0</v>
      </c>
      <c r="P2157" s="960">
        <v>35.0</v>
      </c>
      <c r="Q2157" s="960">
        <v>28.0</v>
      </c>
      <c r="R2157" s="960">
        <v>92.0</v>
      </c>
      <c r="S2157" s="960">
        <v>155.0</v>
      </c>
      <c r="T2157" s="960">
        <v>170.0</v>
      </c>
      <c r="U2157" s="960">
        <f t="array" ref="U2157">HLOOKUP($J2157,'Type Chart'!$C$2:$T$20,2,false)*HLOOKUP($K2157,'Type Chart'!$C$2:$U$20,2,false)</f>
        <v>1</v>
      </c>
      <c r="V2157" s="960">
        <f t="array" ref="V2157">HLOOKUP($J2157,'Type Chart'!$C$2:$T$20,3,false)*HLOOKUP($K2157,'Type Chart'!$C$2:$U$20,3,false)</f>
        <v>2</v>
      </c>
      <c r="W2157" s="960">
        <f t="array" ref="W2157">HLOOKUP($J2157,'Type Chart'!$C$2:$T$20,4,false)*HLOOKUP($K2157,'Type Chart'!$C$2:$U$20,4,false)</f>
        <v>1</v>
      </c>
      <c r="X2157" s="960">
        <f t="array" ref="X2157">HLOOKUP($J2157,'Type Chart'!$C$2:$T$20,5,false)*HLOOKUP($K2157,'Type Chart'!$C$2:$U$20,5,false)</f>
        <v>1</v>
      </c>
      <c r="Y2157" s="960">
        <f t="array" ref="Y2157">HLOOKUP($J2157,'Type Chart'!$C$2:$T$20,6,false)*HLOOKUP($K2157,'Type Chart'!$C$2:$U$20,6,false)</f>
        <v>1</v>
      </c>
      <c r="Z2157" s="960">
        <f t="array" ref="Z2157">HLOOKUP($J2157,'Type Chart'!$C$2:$T$20,7,false)*HLOOKUP($K2157,'Type Chart'!$C$2:$U$20,7,false)</f>
        <v>2</v>
      </c>
      <c r="AA2157" s="960">
        <f t="array" ref="AA2157">HLOOKUP($J2157,'Type Chart'!$C$2:$T$20,8,false)*HLOOKUP($K2157,'Type Chart'!$C$2:$U$20,8,false)</f>
        <v>1</v>
      </c>
      <c r="AB2157" s="960">
        <f t="array" ref="AB2157">HLOOKUP($J2157,'Type Chart'!$C$2:$T$20,9,false)*HLOOKUP($K2157,'Type Chart'!$C$2:$U$20,9,false)</f>
        <v>1</v>
      </c>
      <c r="AC2157" s="960">
        <f t="array" ref="AC2157">HLOOKUP($J2157,'Type Chart'!$C$2:$T$20,10,false)*HLOOKUP($K2157,'Type Chart'!$C$2:$U$20,10,false)</f>
        <v>2</v>
      </c>
      <c r="AD2157" s="960">
        <f t="array" ref="AD2157">HLOOKUP($J2157,'Type Chart'!$C$2:$T$20,11,false)*HLOOKUP($K2157,'Type Chart'!$C$2:$U$20,11,false)</f>
        <v>2</v>
      </c>
      <c r="AE2157" s="960">
        <f t="array" ref="AE2157">HLOOKUP($J2157,'Type Chart'!$C$2:$T$20,12,false)*HLOOKUP($K2157,'Type Chart'!$C$2:$U$20,12,false)</f>
        <v>1</v>
      </c>
      <c r="AF2157" s="960">
        <f t="array" ref="AF2157">HLOOKUP($J2157,'Type Chart'!$C$2:$T$20,13,false)*HLOOKUP($K2157,'Type Chart'!$C$2:$U$20,13,false)</f>
        <v>1</v>
      </c>
      <c r="AG2157" s="960">
        <f t="array" ref="AG2157">HLOOKUP($J2157,'Type Chart'!$C$2:$T$20,14,false)*HLOOKUP($K2157,'Type Chart'!$C$2:$U$20,14,false)</f>
        <v>1</v>
      </c>
      <c r="AH2157" s="960">
        <f t="array" ref="AH2157">HLOOKUP($J2157,'Type Chart'!$C$2:$T$20,15,false)*HLOOKUP($K2157,'Type Chart'!$C$2:$U$20,15,false)</f>
        <v>1</v>
      </c>
      <c r="AI2157" s="960">
        <f t="array" ref="AI2157">HLOOKUP($J2157,'Type Chart'!$C$2:$T$20,16,false)*HLOOKUP($K2157,'Type Chart'!$C$2:$U$20,16,false)</f>
        <v>0.5</v>
      </c>
      <c r="AJ2157" s="960">
        <f t="array" ref="AJ2157">HLOOKUP($J2157,'Type Chart'!$C$2:$T$20,17,false)*HLOOKUP($K2157,'Type Chart'!$C$2:$U$20,17,false)</f>
        <v>1</v>
      </c>
      <c r="AK2157" s="960">
        <f t="array" ref="AK2157">HLOOKUP($J2157,'Type Chart'!$C$2:$T$20,18,false)*HLOOKUP($K2157,'Type Chart'!$C$2:$U$20,18,false)</f>
        <v>1</v>
      </c>
      <c r="AL2157" s="960">
        <f t="array" ref="AL2157">HLOOKUP($J2157,'Type Chart'!$C$2:$T$20,19,false)*HLOOKUP($K2157,'Type Chart'!$C$2:$U$20,19,false)</f>
        <v>1</v>
      </c>
      <c r="AM2157" s="964" t="s">
        <v>1370</v>
      </c>
      <c r="AN2157" s="965" t="s">
        <v>1410</v>
      </c>
      <c r="AO2157" s="966" t="s">
        <v>1331</v>
      </c>
      <c r="AP2157" s="936"/>
      <c r="AQ2157" s="1245"/>
      <c r="AR2157" s="1245"/>
      <c r="AS2157" s="936"/>
    </row>
    <row r="2158" ht="15.75" customHeight="1">
      <c r="A2158" s="1099"/>
      <c r="B2158" s="948" t="s">
        <v>3475</v>
      </c>
      <c r="C2158" s="1197" t="s">
        <v>3476</v>
      </c>
      <c r="D2158" s="1197" t="s">
        <v>3476</v>
      </c>
      <c r="E2158" s="1147" t="s">
        <v>3476</v>
      </c>
      <c r="F2158" s="940"/>
      <c r="G2158" s="953"/>
      <c r="H2158" s="969"/>
      <c r="I2158" s="998" t="s">
        <v>5258</v>
      </c>
      <c r="J2158" s="1224" t="s">
        <v>345</v>
      </c>
      <c r="K2158" s="1199" t="s">
        <v>216</v>
      </c>
      <c r="L2158" s="1200">
        <v>95.0</v>
      </c>
      <c r="M2158" s="1201">
        <v>117.0</v>
      </c>
      <c r="N2158" s="1201">
        <v>184.0</v>
      </c>
      <c r="O2158" s="1201">
        <v>44.0</v>
      </c>
      <c r="P2158" s="1201">
        <v>46.0</v>
      </c>
      <c r="Q2158" s="1201">
        <v>28.0</v>
      </c>
      <c r="R2158" s="960">
        <v>92.0</v>
      </c>
      <c r="S2158" s="960">
        <v>155.0</v>
      </c>
      <c r="T2158" s="960">
        <v>170.0</v>
      </c>
      <c r="U2158" s="960">
        <f t="array" ref="U2158">HLOOKUP($J2158,'Type Chart'!$C$2:$T$20,2,false)*HLOOKUP($K2158,'Type Chart'!$C$2:$U$20,2,false)</f>
        <v>1</v>
      </c>
      <c r="V2158" s="960">
        <f t="array" ref="V2158">HLOOKUP($J2158,'Type Chart'!$C$2:$T$20,3,false)*HLOOKUP($K2158,'Type Chart'!$C$2:$U$20,3,false)</f>
        <v>2</v>
      </c>
      <c r="W2158" s="960">
        <f t="array" ref="W2158">HLOOKUP($J2158,'Type Chart'!$C$2:$T$20,4,false)*HLOOKUP($K2158,'Type Chart'!$C$2:$U$20,4,false)</f>
        <v>1</v>
      </c>
      <c r="X2158" s="960">
        <f t="array" ref="X2158">HLOOKUP($J2158,'Type Chart'!$C$2:$T$20,5,false)*HLOOKUP($K2158,'Type Chart'!$C$2:$U$20,5,false)</f>
        <v>1</v>
      </c>
      <c r="Y2158" s="960">
        <f t="array" ref="Y2158">HLOOKUP($J2158,'Type Chart'!$C$2:$T$20,6,false)*HLOOKUP($K2158,'Type Chart'!$C$2:$U$20,6,false)</f>
        <v>1</v>
      </c>
      <c r="Z2158" s="960">
        <f t="array" ref="Z2158">HLOOKUP($J2158,'Type Chart'!$C$2:$T$20,7,false)*HLOOKUP($K2158,'Type Chart'!$C$2:$U$20,7,false)</f>
        <v>2</v>
      </c>
      <c r="AA2158" s="960">
        <f t="array" ref="AA2158">HLOOKUP($J2158,'Type Chart'!$C$2:$T$20,8,false)*HLOOKUP($K2158,'Type Chart'!$C$2:$U$20,8,false)</f>
        <v>1</v>
      </c>
      <c r="AB2158" s="960">
        <f t="array" ref="AB2158">HLOOKUP($J2158,'Type Chart'!$C$2:$T$20,9,false)*HLOOKUP($K2158,'Type Chart'!$C$2:$U$20,9,false)</f>
        <v>1</v>
      </c>
      <c r="AC2158" s="960">
        <f t="array" ref="AC2158">HLOOKUP($J2158,'Type Chart'!$C$2:$T$20,10,false)*HLOOKUP($K2158,'Type Chart'!$C$2:$U$20,10,false)</f>
        <v>2</v>
      </c>
      <c r="AD2158" s="960">
        <f t="array" ref="AD2158">HLOOKUP($J2158,'Type Chart'!$C$2:$T$20,11,false)*HLOOKUP($K2158,'Type Chart'!$C$2:$U$20,11,false)</f>
        <v>2</v>
      </c>
      <c r="AE2158" s="960">
        <f t="array" ref="AE2158">HLOOKUP($J2158,'Type Chart'!$C$2:$T$20,12,false)*HLOOKUP($K2158,'Type Chart'!$C$2:$U$20,12,false)</f>
        <v>1</v>
      </c>
      <c r="AF2158" s="960">
        <f t="array" ref="AF2158">HLOOKUP($J2158,'Type Chart'!$C$2:$T$20,13,false)*HLOOKUP($K2158,'Type Chart'!$C$2:$U$20,13,false)</f>
        <v>1</v>
      </c>
      <c r="AG2158" s="960">
        <f t="array" ref="AG2158">HLOOKUP($J2158,'Type Chart'!$C$2:$T$20,14,false)*HLOOKUP($K2158,'Type Chart'!$C$2:$U$20,14,false)</f>
        <v>1</v>
      </c>
      <c r="AH2158" s="960">
        <f t="array" ref="AH2158">HLOOKUP($J2158,'Type Chart'!$C$2:$T$20,15,false)*HLOOKUP($K2158,'Type Chart'!$C$2:$U$20,15,false)</f>
        <v>1</v>
      </c>
      <c r="AI2158" s="960">
        <f t="array" ref="AI2158">HLOOKUP($J2158,'Type Chart'!$C$2:$T$20,16,false)*HLOOKUP($K2158,'Type Chart'!$C$2:$U$20,16,false)</f>
        <v>0.5</v>
      </c>
      <c r="AJ2158" s="960">
        <f t="array" ref="AJ2158">HLOOKUP($J2158,'Type Chart'!$C$2:$T$20,17,false)*HLOOKUP($K2158,'Type Chart'!$C$2:$U$20,17,false)</f>
        <v>1</v>
      </c>
      <c r="AK2158" s="960">
        <f t="array" ref="AK2158">HLOOKUP($J2158,'Type Chart'!$C$2:$T$20,18,false)*HLOOKUP($K2158,'Type Chart'!$C$2:$U$20,18,false)</f>
        <v>1</v>
      </c>
      <c r="AL2158" s="960">
        <f t="array" ref="AL2158">HLOOKUP($J2158,'Type Chart'!$C$2:$T$20,19,false)*HLOOKUP($K2158,'Type Chart'!$C$2:$U$20,19,false)</f>
        <v>1</v>
      </c>
      <c r="AM2158" s="1145" t="s">
        <v>1370</v>
      </c>
      <c r="AN2158" s="965" t="s">
        <v>1410</v>
      </c>
      <c r="AO2158" s="966" t="s">
        <v>1331</v>
      </c>
      <c r="AP2158" s="936"/>
      <c r="AQ2158" s="1245"/>
      <c r="AR2158" s="1245"/>
      <c r="AS2158" s="936"/>
    </row>
    <row r="2159" ht="15.75" customHeight="1">
      <c r="A2159" s="1099"/>
      <c r="B2159" s="948" t="s">
        <v>3477</v>
      </c>
      <c r="C2159" s="1197" t="s">
        <v>3478</v>
      </c>
      <c r="D2159" s="1197" t="s">
        <v>3478</v>
      </c>
      <c r="E2159" s="1147" t="s">
        <v>3478</v>
      </c>
      <c r="F2159" s="940"/>
      <c r="G2159" s="953"/>
      <c r="H2159" s="969"/>
      <c r="I2159" s="998" t="s">
        <v>5259</v>
      </c>
      <c r="J2159" s="1235" t="s">
        <v>345</v>
      </c>
      <c r="K2159" s="1236" t="s">
        <v>342</v>
      </c>
      <c r="L2159" s="1237">
        <v>95.0</v>
      </c>
      <c r="M2159" s="1238">
        <v>117.0</v>
      </c>
      <c r="N2159" s="1238">
        <v>185.0</v>
      </c>
      <c r="O2159" s="1238">
        <v>44.0</v>
      </c>
      <c r="P2159" s="1238">
        <v>46.0</v>
      </c>
      <c r="Q2159" s="1238">
        <v>28.0</v>
      </c>
      <c r="R2159" s="960">
        <v>92.0</v>
      </c>
      <c r="S2159" s="960">
        <v>155.0</v>
      </c>
      <c r="T2159" s="960">
        <v>170.0</v>
      </c>
      <c r="U2159" s="960">
        <f t="array" ref="U2159">HLOOKUP($J2159,'Type Chart'!$C$2:$T$20,2,false)*HLOOKUP($K2159,'Type Chart'!$C$2:$U$20,2,false)</f>
        <v>0.5</v>
      </c>
      <c r="V2159" s="960">
        <f t="array" ref="V2159">HLOOKUP($J2159,'Type Chart'!$C$2:$T$20,3,false)*HLOOKUP($K2159,'Type Chart'!$C$2:$U$20,3,false)</f>
        <v>4</v>
      </c>
      <c r="W2159" s="960">
        <f t="array" ref="W2159">HLOOKUP($J2159,'Type Chart'!$C$2:$T$20,4,false)*HLOOKUP($K2159,'Type Chart'!$C$2:$U$20,4,false)</f>
        <v>0.5</v>
      </c>
      <c r="X2159" s="960">
        <f t="array" ref="X2159">HLOOKUP($J2159,'Type Chart'!$C$2:$T$20,5,false)*HLOOKUP($K2159,'Type Chart'!$C$2:$U$20,5,false)</f>
        <v>0.5</v>
      </c>
      <c r="Y2159" s="960">
        <f t="array" ref="Y2159">HLOOKUP($J2159,'Type Chart'!$C$2:$T$20,6,false)*HLOOKUP($K2159,'Type Chart'!$C$2:$U$20,6,false)</f>
        <v>2</v>
      </c>
      <c r="Z2159" s="960">
        <f t="array" ref="Z2159">HLOOKUP($J2159,'Type Chart'!$C$2:$T$20,7,false)*HLOOKUP($K2159,'Type Chart'!$C$2:$U$20,7,false)</f>
        <v>2</v>
      </c>
      <c r="AA2159" s="960">
        <f t="array" ref="AA2159">HLOOKUP($J2159,'Type Chart'!$C$2:$T$20,8,false)*HLOOKUP($K2159,'Type Chart'!$C$2:$U$20,8,false)</f>
        <v>1</v>
      </c>
      <c r="AB2159" s="960">
        <f t="array" ref="AB2159">HLOOKUP($J2159,'Type Chart'!$C$2:$T$20,9,false)*HLOOKUP($K2159,'Type Chart'!$C$2:$U$20,9,false)</f>
        <v>1</v>
      </c>
      <c r="AC2159" s="960">
        <f t="array" ref="AC2159">HLOOKUP($J2159,'Type Chart'!$C$2:$T$20,10,false)*HLOOKUP($K2159,'Type Chart'!$C$2:$U$20,10,false)</f>
        <v>4</v>
      </c>
      <c r="AD2159" s="960">
        <f t="array" ref="AD2159">HLOOKUP($J2159,'Type Chart'!$C$2:$T$20,11,false)*HLOOKUP($K2159,'Type Chart'!$C$2:$U$20,11,false)</f>
        <v>1</v>
      </c>
      <c r="AE2159" s="960">
        <f t="array" ref="AE2159">HLOOKUP($J2159,'Type Chart'!$C$2:$T$20,12,false)*HLOOKUP($K2159,'Type Chart'!$C$2:$U$20,12,false)</f>
        <v>2</v>
      </c>
      <c r="AF2159" s="960">
        <f t="array" ref="AF2159">HLOOKUP($J2159,'Type Chart'!$C$2:$T$20,13,false)*HLOOKUP($K2159,'Type Chart'!$C$2:$U$20,13,false)</f>
        <v>2</v>
      </c>
      <c r="AG2159" s="960">
        <f t="array" ref="AG2159">HLOOKUP($J2159,'Type Chart'!$C$2:$T$20,14,false)*HLOOKUP($K2159,'Type Chart'!$C$2:$U$20,14,false)</f>
        <v>1</v>
      </c>
      <c r="AH2159" s="960">
        <f t="array" ref="AH2159">HLOOKUP($J2159,'Type Chart'!$C$2:$T$20,15,false)*HLOOKUP($K2159,'Type Chart'!$C$2:$U$20,15,false)</f>
        <v>1</v>
      </c>
      <c r="AI2159" s="960">
        <f t="array" ref="AI2159">HLOOKUP($J2159,'Type Chart'!$C$2:$T$20,16,false)*HLOOKUP($K2159,'Type Chart'!$C$2:$U$20,16,false)</f>
        <v>0.5</v>
      </c>
      <c r="AJ2159" s="960">
        <f t="array" ref="AJ2159">HLOOKUP($J2159,'Type Chart'!$C$2:$T$20,17,false)*HLOOKUP($K2159,'Type Chart'!$C$2:$U$20,17,false)</f>
        <v>1</v>
      </c>
      <c r="AK2159" s="960">
        <f t="array" ref="AK2159">HLOOKUP($J2159,'Type Chart'!$C$2:$T$20,18,false)*HLOOKUP($K2159,'Type Chart'!$C$2:$U$20,18,false)</f>
        <v>1</v>
      </c>
      <c r="AL2159" s="960">
        <f t="array" ref="AL2159">HLOOKUP($J2159,'Type Chart'!$C$2:$T$20,19,false)*HLOOKUP($K2159,'Type Chart'!$C$2:$U$20,19,false)</f>
        <v>1</v>
      </c>
      <c r="AM2159" s="1145"/>
      <c r="AN2159" s="965"/>
      <c r="AO2159" s="966"/>
      <c r="AP2159" s="936"/>
      <c r="AQ2159" s="1245"/>
      <c r="AR2159" s="1245"/>
      <c r="AS2159" s="936"/>
    </row>
    <row r="2160" ht="15.75" customHeight="1">
      <c r="A2160" s="1099"/>
      <c r="B2160" s="948" t="s">
        <v>3479</v>
      </c>
      <c r="C2160" s="1197" t="s">
        <v>3480</v>
      </c>
      <c r="D2160" s="1197" t="s">
        <v>3480</v>
      </c>
      <c r="E2160" s="1147" t="s">
        <v>3480</v>
      </c>
      <c r="F2160" s="940"/>
      <c r="G2160" s="953"/>
      <c r="H2160" s="969"/>
      <c r="I2160" s="998" t="s">
        <v>5260</v>
      </c>
      <c r="J2160" s="1001" t="s">
        <v>128</v>
      </c>
      <c r="K2160" s="1006" t="s">
        <v>346</v>
      </c>
      <c r="L2160" s="959">
        <v>40.0</v>
      </c>
      <c r="M2160" s="960">
        <v>30.0</v>
      </c>
      <c r="N2160" s="960">
        <v>35.0</v>
      </c>
      <c r="O2160" s="960">
        <v>45.0</v>
      </c>
      <c r="P2160" s="960">
        <v>40.0</v>
      </c>
      <c r="Q2160" s="960">
        <v>55.0</v>
      </c>
      <c r="R2160" s="960">
        <v>146.0</v>
      </c>
      <c r="S2160" s="960">
        <v>209.0</v>
      </c>
      <c r="T2160" s="960">
        <v>229.0</v>
      </c>
      <c r="U2160" s="960">
        <f t="array" ref="U2160">HLOOKUP($J2160,'Type Chart'!$C$2:$T$20,2,false)*HLOOKUP($K2160,'Type Chart'!$C$2:$U$20,2,false)</f>
        <v>1</v>
      </c>
      <c r="V2160" s="960">
        <f t="array" ref="V2160">HLOOKUP($J2160,'Type Chart'!$C$2:$T$20,3,false)*HLOOKUP($K2160,'Type Chart'!$C$2:$U$20,3,false)</f>
        <v>0.5</v>
      </c>
      <c r="W2160" s="960">
        <f t="array" ref="W2160">HLOOKUP($J2160,'Type Chart'!$C$2:$T$20,4,false)*HLOOKUP($K2160,'Type Chart'!$C$2:$U$20,4,false)</f>
        <v>1</v>
      </c>
      <c r="X2160" s="960">
        <f t="array" ref="X2160">HLOOKUP($J2160,'Type Chart'!$C$2:$T$20,5,false)*HLOOKUP($K2160,'Type Chart'!$C$2:$U$20,5,false)</f>
        <v>1</v>
      </c>
      <c r="Y2160" s="960">
        <f t="array" ref="Y2160">HLOOKUP($J2160,'Type Chart'!$C$2:$T$20,6,false)*HLOOKUP($K2160,'Type Chart'!$C$2:$U$20,6,false)</f>
        <v>0</v>
      </c>
      <c r="Z2160" s="960">
        <f t="array" ref="Z2160">HLOOKUP($J2160,'Type Chart'!$C$2:$T$20,7,false)*HLOOKUP($K2160,'Type Chart'!$C$2:$U$20,7,false)</f>
        <v>2</v>
      </c>
      <c r="AA2160" s="960">
        <f t="array" ref="AA2160">HLOOKUP($J2160,'Type Chart'!$C$2:$T$20,8,false)*HLOOKUP($K2160,'Type Chart'!$C$2:$U$20,8,false)</f>
        <v>0.5</v>
      </c>
      <c r="AB2160" s="960">
        <f t="array" ref="AB2160">HLOOKUP($J2160,'Type Chart'!$C$2:$T$20,9,false)*HLOOKUP($K2160,'Type Chart'!$C$2:$U$20,9,false)</f>
        <v>1</v>
      </c>
      <c r="AC2160" s="960">
        <f t="array" ref="AC2160">HLOOKUP($J2160,'Type Chart'!$C$2:$T$20,10,false)*HLOOKUP($K2160,'Type Chart'!$C$2:$U$20,10,false)</f>
        <v>1</v>
      </c>
      <c r="AD2160" s="960">
        <f t="array" ref="AD2160">HLOOKUP($J2160,'Type Chart'!$C$2:$T$20,11,false)*HLOOKUP($K2160,'Type Chart'!$C$2:$U$20,11,false)</f>
        <v>0.5</v>
      </c>
      <c r="AE2160" s="960">
        <f t="array" ref="AE2160">HLOOKUP($J2160,'Type Chart'!$C$2:$T$20,12,false)*HLOOKUP($K2160,'Type Chart'!$C$2:$U$20,12,false)</f>
        <v>0.5</v>
      </c>
      <c r="AF2160" s="960">
        <f t="array" ref="AF2160">HLOOKUP($J2160,'Type Chart'!$C$2:$T$20,13,false)*HLOOKUP($K2160,'Type Chart'!$C$2:$U$20,13,false)</f>
        <v>0.25</v>
      </c>
      <c r="AG2160" s="960">
        <f t="array" ref="AG2160">HLOOKUP($J2160,'Type Chart'!$C$2:$T$20,14,false)*HLOOKUP($K2160,'Type Chart'!$C$2:$U$20,14,false)</f>
        <v>1</v>
      </c>
      <c r="AH2160" s="960">
        <f t="array" ref="AH2160">HLOOKUP($J2160,'Type Chart'!$C$2:$T$20,15,false)*HLOOKUP($K2160,'Type Chart'!$C$2:$U$20,15,false)</f>
        <v>1</v>
      </c>
      <c r="AI2160" s="960">
        <f t="array" ref="AI2160">HLOOKUP($J2160,'Type Chart'!$C$2:$T$20,16,false)*HLOOKUP($K2160,'Type Chart'!$C$2:$U$20,16,false)</f>
        <v>4</v>
      </c>
      <c r="AJ2160" s="960">
        <f t="array" ref="AJ2160">HLOOKUP($J2160,'Type Chart'!$C$2:$T$20,17,false)*HLOOKUP($K2160,'Type Chart'!$C$2:$U$20,17,false)</f>
        <v>2</v>
      </c>
      <c r="AK2160" s="960">
        <f t="array" ref="AK2160">HLOOKUP($J2160,'Type Chart'!$C$2:$T$20,18,false)*HLOOKUP($K2160,'Type Chart'!$C$2:$U$20,18,false)</f>
        <v>1</v>
      </c>
      <c r="AL2160" s="960">
        <f t="array" ref="AL2160">HLOOKUP($J2160,'Type Chart'!$C$2:$T$20,19,false)*HLOOKUP($K2160,'Type Chart'!$C$2:$U$20,19,false)</f>
        <v>2</v>
      </c>
      <c r="AM2160" s="964" t="s">
        <v>1188</v>
      </c>
      <c r="AN2160" s="965" t="s">
        <v>1193</v>
      </c>
      <c r="AO2160" s="966" t="s">
        <v>1828</v>
      </c>
      <c r="AP2160" s="936"/>
      <c r="AQ2160" s="1245"/>
      <c r="AR2160" s="1245"/>
      <c r="AS2160" s="936"/>
    </row>
    <row r="2161" ht="15.75" customHeight="1">
      <c r="A2161" s="1099"/>
      <c r="B2161" s="948" t="s">
        <v>3482</v>
      </c>
      <c r="C2161" s="1197" t="s">
        <v>3483</v>
      </c>
      <c r="D2161" s="1197" t="s">
        <v>3483</v>
      </c>
      <c r="E2161" s="1147" t="s">
        <v>3483</v>
      </c>
      <c r="F2161" s="940"/>
      <c r="G2161" s="953"/>
      <c r="H2161" s="969"/>
      <c r="I2161" s="998" t="s">
        <v>149</v>
      </c>
      <c r="J2161" s="1001" t="s">
        <v>128</v>
      </c>
      <c r="K2161" s="1006" t="s">
        <v>346</v>
      </c>
      <c r="L2161" s="959">
        <v>85.0</v>
      </c>
      <c r="M2161" s="960">
        <v>70.0</v>
      </c>
      <c r="N2161" s="960">
        <v>80.0</v>
      </c>
      <c r="O2161" s="960">
        <v>97.0</v>
      </c>
      <c r="P2161" s="960">
        <v>80.0</v>
      </c>
      <c r="Q2161" s="960">
        <v>123.0</v>
      </c>
      <c r="R2161" s="960">
        <v>282.0</v>
      </c>
      <c r="S2161" s="960">
        <v>345.0</v>
      </c>
      <c r="T2161" s="960">
        <v>379.0</v>
      </c>
      <c r="U2161" s="960">
        <f t="array" ref="U2161">HLOOKUP($J2161,'Type Chart'!$C$2:$T$20,2,false)*HLOOKUP($K2161,'Type Chart'!$C$2:$U$20,2,false)</f>
        <v>1</v>
      </c>
      <c r="V2161" s="960">
        <f t="array" ref="V2161">HLOOKUP($J2161,'Type Chart'!$C$2:$T$20,3,false)*HLOOKUP($K2161,'Type Chart'!$C$2:$U$20,3,false)</f>
        <v>0.5</v>
      </c>
      <c r="W2161" s="960">
        <f t="array" ref="W2161">HLOOKUP($J2161,'Type Chart'!$C$2:$T$20,4,false)*HLOOKUP($K2161,'Type Chart'!$C$2:$U$20,4,false)</f>
        <v>1</v>
      </c>
      <c r="X2161" s="960">
        <f t="array" ref="X2161">HLOOKUP($J2161,'Type Chart'!$C$2:$T$20,5,false)*HLOOKUP($K2161,'Type Chart'!$C$2:$U$20,5,false)</f>
        <v>1</v>
      </c>
      <c r="Y2161" s="960">
        <f t="array" ref="Y2161">HLOOKUP($J2161,'Type Chart'!$C$2:$T$20,6,false)*HLOOKUP($K2161,'Type Chart'!$C$2:$U$20,6,false)</f>
        <v>0</v>
      </c>
      <c r="Z2161" s="960">
        <f t="array" ref="Z2161">HLOOKUP($J2161,'Type Chart'!$C$2:$T$20,7,false)*HLOOKUP($K2161,'Type Chart'!$C$2:$U$20,7,false)</f>
        <v>2</v>
      </c>
      <c r="AA2161" s="960">
        <f t="array" ref="AA2161">HLOOKUP($J2161,'Type Chart'!$C$2:$T$20,8,false)*HLOOKUP($K2161,'Type Chart'!$C$2:$U$20,8,false)</f>
        <v>0.5</v>
      </c>
      <c r="AB2161" s="960">
        <f t="array" ref="AB2161">HLOOKUP($J2161,'Type Chart'!$C$2:$T$20,9,false)*HLOOKUP($K2161,'Type Chart'!$C$2:$U$20,9,false)</f>
        <v>1</v>
      </c>
      <c r="AC2161" s="960">
        <f t="array" ref="AC2161">HLOOKUP($J2161,'Type Chart'!$C$2:$T$20,10,false)*HLOOKUP($K2161,'Type Chart'!$C$2:$U$20,10,false)</f>
        <v>1</v>
      </c>
      <c r="AD2161" s="960">
        <f t="array" ref="AD2161">HLOOKUP($J2161,'Type Chart'!$C$2:$T$20,11,false)*HLOOKUP($K2161,'Type Chart'!$C$2:$U$20,11,false)</f>
        <v>0.5</v>
      </c>
      <c r="AE2161" s="960">
        <f t="array" ref="AE2161">HLOOKUP($J2161,'Type Chart'!$C$2:$T$20,12,false)*HLOOKUP($K2161,'Type Chart'!$C$2:$U$20,12,false)</f>
        <v>0.5</v>
      </c>
      <c r="AF2161" s="960">
        <f t="array" ref="AF2161">HLOOKUP($J2161,'Type Chart'!$C$2:$T$20,13,false)*HLOOKUP($K2161,'Type Chart'!$C$2:$U$20,13,false)</f>
        <v>0.25</v>
      </c>
      <c r="AG2161" s="960">
        <f t="array" ref="AG2161">HLOOKUP($J2161,'Type Chart'!$C$2:$T$20,14,false)*HLOOKUP($K2161,'Type Chart'!$C$2:$U$20,14,false)</f>
        <v>1</v>
      </c>
      <c r="AH2161" s="960">
        <f t="array" ref="AH2161">HLOOKUP($J2161,'Type Chart'!$C$2:$T$20,15,false)*HLOOKUP($K2161,'Type Chart'!$C$2:$U$20,15,false)</f>
        <v>1</v>
      </c>
      <c r="AI2161" s="960">
        <f t="array" ref="AI2161">HLOOKUP($J2161,'Type Chart'!$C$2:$T$20,16,false)*HLOOKUP($K2161,'Type Chart'!$C$2:$U$20,16,false)</f>
        <v>4</v>
      </c>
      <c r="AJ2161" s="960">
        <f t="array" ref="AJ2161">HLOOKUP($J2161,'Type Chart'!$C$2:$T$20,17,false)*HLOOKUP($K2161,'Type Chart'!$C$2:$U$20,17,false)</f>
        <v>2</v>
      </c>
      <c r="AK2161" s="960">
        <f t="array" ref="AK2161">HLOOKUP($J2161,'Type Chart'!$C$2:$T$20,18,false)*HLOOKUP($K2161,'Type Chart'!$C$2:$U$20,18,false)</f>
        <v>1</v>
      </c>
      <c r="AL2161" s="960">
        <f t="array" ref="AL2161">HLOOKUP($J2161,'Type Chart'!$C$2:$T$20,19,false)*HLOOKUP($K2161,'Type Chart'!$C$2:$U$20,19,false)</f>
        <v>2</v>
      </c>
      <c r="AM2161" s="964" t="s">
        <v>1188</v>
      </c>
      <c r="AN2161" s="965" t="s">
        <v>1193</v>
      </c>
      <c r="AO2161" s="966" t="s">
        <v>1828</v>
      </c>
      <c r="AP2161" s="936"/>
      <c r="AQ2161" s="1245"/>
      <c r="AR2161" s="1245"/>
      <c r="AS2161" s="936"/>
    </row>
    <row r="2162" ht="15.75" customHeight="1">
      <c r="A2162" s="1099"/>
      <c r="B2162" s="948" t="s">
        <v>3484</v>
      </c>
      <c r="C2162" s="1197" t="s">
        <v>3485</v>
      </c>
      <c r="D2162" s="1197" t="s">
        <v>3485</v>
      </c>
      <c r="E2162" s="1147" t="s">
        <v>3485</v>
      </c>
      <c r="F2162" s="940"/>
      <c r="G2162" s="953"/>
      <c r="H2162" s="969"/>
      <c r="I2162" s="998" t="s">
        <v>5261</v>
      </c>
      <c r="J2162" s="1207" t="s">
        <v>127</v>
      </c>
      <c r="K2162" s="984" t="s">
        <v>216</v>
      </c>
      <c r="L2162" s="959">
        <v>126.0</v>
      </c>
      <c r="M2162" s="960">
        <v>131.0</v>
      </c>
      <c r="N2162" s="960">
        <v>95.0</v>
      </c>
      <c r="O2162" s="960">
        <v>131.0</v>
      </c>
      <c r="P2162" s="960">
        <v>98.0</v>
      </c>
      <c r="Q2162" s="960">
        <v>99.0</v>
      </c>
      <c r="R2162" s="960">
        <v>234.0</v>
      </c>
      <c r="S2162" s="960">
        <v>297.0</v>
      </c>
      <c r="T2162" s="960">
        <v>326.0</v>
      </c>
      <c r="U2162" s="960">
        <f t="array" ref="U2162">HLOOKUP($J2162,'Type Chart'!$C$2:$T$20,2,false)*HLOOKUP($K2162,'Type Chart'!$C$2:$U$20,2,false)</f>
        <v>1</v>
      </c>
      <c r="V2162" s="960">
        <f t="array" ref="V2162">HLOOKUP($J2162,'Type Chart'!$C$2:$T$20,3,false)*HLOOKUP($K2162,'Type Chart'!$C$2:$U$20,3,false)</f>
        <v>0.5</v>
      </c>
      <c r="W2162" s="960">
        <f t="array" ref="W2162">HLOOKUP($J2162,'Type Chart'!$C$2:$T$20,4,false)*HLOOKUP($K2162,'Type Chart'!$C$2:$U$20,4,false)</f>
        <v>1</v>
      </c>
      <c r="X2162" s="960">
        <f t="array" ref="X2162">HLOOKUP($J2162,'Type Chart'!$C$2:$T$20,5,false)*HLOOKUP($K2162,'Type Chart'!$C$2:$U$20,5,false)</f>
        <v>2</v>
      </c>
      <c r="Y2162" s="960">
        <f t="array" ref="Y2162">HLOOKUP($J2162,'Type Chart'!$C$2:$T$20,6,false)*HLOOKUP($K2162,'Type Chart'!$C$2:$U$20,6,false)</f>
        <v>1</v>
      </c>
      <c r="Z2162" s="960">
        <f t="array" ref="Z2162">HLOOKUP($J2162,'Type Chart'!$C$2:$T$20,7,false)*HLOOKUP($K2162,'Type Chart'!$C$2:$U$20,7,false)</f>
        <v>1</v>
      </c>
      <c r="AA2162" s="960">
        <f t="array" ref="AA2162">HLOOKUP($J2162,'Type Chart'!$C$2:$T$20,8,false)*HLOOKUP($K2162,'Type Chart'!$C$2:$U$20,8,false)</f>
        <v>0.5</v>
      </c>
      <c r="AB2162" s="960">
        <f t="array" ref="AB2162">HLOOKUP($J2162,'Type Chart'!$C$2:$T$20,9,false)*HLOOKUP($K2162,'Type Chart'!$C$2:$U$20,9,false)</f>
        <v>1</v>
      </c>
      <c r="AC2162" s="960">
        <f t="array" ref="AC2162">HLOOKUP($J2162,'Type Chart'!$C$2:$T$20,10,false)*HLOOKUP($K2162,'Type Chart'!$C$2:$U$20,10,false)</f>
        <v>2</v>
      </c>
      <c r="AD2162" s="960">
        <f t="array" ref="AD2162">HLOOKUP($J2162,'Type Chart'!$C$2:$T$20,11,false)*HLOOKUP($K2162,'Type Chart'!$C$2:$U$20,11,false)</f>
        <v>1</v>
      </c>
      <c r="AE2162" s="960">
        <f t="array" ref="AE2162">HLOOKUP($J2162,'Type Chart'!$C$2:$T$20,12,false)*HLOOKUP($K2162,'Type Chart'!$C$2:$U$20,12,false)</f>
        <v>1</v>
      </c>
      <c r="AF2162" s="960">
        <f t="array" ref="AF2162">HLOOKUP($J2162,'Type Chart'!$C$2:$T$20,13,false)*HLOOKUP($K2162,'Type Chart'!$C$2:$U$20,13,false)</f>
        <v>1</v>
      </c>
      <c r="AG2162" s="960">
        <f t="array" ref="AG2162">HLOOKUP($J2162,'Type Chart'!$C$2:$T$20,14,false)*HLOOKUP($K2162,'Type Chart'!$C$2:$U$20,14,false)</f>
        <v>1</v>
      </c>
      <c r="AH2162" s="960">
        <f t="array" ref="AH2162">HLOOKUP($J2162,'Type Chart'!$C$2:$T$20,15,false)*HLOOKUP($K2162,'Type Chart'!$C$2:$U$20,15,false)</f>
        <v>1</v>
      </c>
      <c r="AI2162" s="960">
        <f t="array" ref="AI2162">HLOOKUP($J2162,'Type Chart'!$C$2:$T$20,16,false)*HLOOKUP($K2162,'Type Chart'!$C$2:$U$20,16,false)</f>
        <v>1</v>
      </c>
      <c r="AJ2162" s="960">
        <f t="array" ref="AJ2162">HLOOKUP($J2162,'Type Chart'!$C$2:$T$20,17,false)*HLOOKUP($K2162,'Type Chart'!$C$2:$U$20,17,false)</f>
        <v>0</v>
      </c>
      <c r="AK2162" s="960">
        <f t="array" ref="AK2162">HLOOKUP($J2162,'Type Chart'!$C$2:$T$20,18,false)*HLOOKUP($K2162,'Type Chart'!$C$2:$U$20,18,false)</f>
        <v>0.5</v>
      </c>
      <c r="AL2162" s="960">
        <f t="array" ref="AL2162">HLOOKUP($J2162,'Type Chart'!$C$2:$T$20,19,false)*HLOOKUP($K2162,'Type Chart'!$C$2:$U$20,19,false)</f>
        <v>1</v>
      </c>
      <c r="AM2162" s="964" t="s">
        <v>3486</v>
      </c>
      <c r="AN2162" s="965"/>
      <c r="AO2162" s="966"/>
      <c r="AP2162" s="936"/>
      <c r="AQ2162" s="1245"/>
      <c r="AR2162" s="1245"/>
      <c r="AS2162" s="936"/>
    </row>
    <row r="2163" ht="15.75" customHeight="1">
      <c r="A2163" s="1099"/>
      <c r="B2163" s="948" t="s">
        <v>3487</v>
      </c>
      <c r="C2163" s="1197" t="s">
        <v>3488</v>
      </c>
      <c r="D2163" s="1197" t="s">
        <v>3488</v>
      </c>
      <c r="E2163" s="1147" t="s">
        <v>3488</v>
      </c>
      <c r="F2163" s="940"/>
      <c r="G2163" s="953"/>
      <c r="H2163" s="969"/>
      <c r="I2163" s="998" t="s">
        <v>5262</v>
      </c>
      <c r="J2163" s="1195" t="s">
        <v>193</v>
      </c>
      <c r="K2163" s="1001" t="s">
        <v>128</v>
      </c>
      <c r="L2163" s="959">
        <v>126.0</v>
      </c>
      <c r="M2163" s="960">
        <v>131.0</v>
      </c>
      <c r="N2163" s="960">
        <v>95.0</v>
      </c>
      <c r="O2163" s="960">
        <v>131.0</v>
      </c>
      <c r="P2163" s="960">
        <v>98.0</v>
      </c>
      <c r="Q2163" s="960">
        <v>99.0</v>
      </c>
      <c r="R2163" s="960">
        <v>234.0</v>
      </c>
      <c r="S2163" s="960">
        <v>297.0</v>
      </c>
      <c r="T2163" s="960">
        <v>326.0</v>
      </c>
      <c r="U2163" s="960">
        <f t="array" ref="U2163">HLOOKUP($J2163,'Type Chart'!$C$2:$T$20,2,false)*HLOOKUP($K2163,'Type Chart'!$C$2:$U$20,2,false)</f>
        <v>1</v>
      </c>
      <c r="V2163" s="960">
        <f t="array" ref="V2163">HLOOKUP($J2163,'Type Chart'!$C$2:$T$20,3,false)*HLOOKUP($K2163,'Type Chart'!$C$2:$U$20,3,false)</f>
        <v>1</v>
      </c>
      <c r="W2163" s="960">
        <f t="array" ref="W2163">HLOOKUP($J2163,'Type Chart'!$C$2:$T$20,4,false)*HLOOKUP($K2163,'Type Chart'!$C$2:$U$20,4,false)</f>
        <v>1</v>
      </c>
      <c r="X2163" s="960">
        <f t="array" ref="X2163">HLOOKUP($J2163,'Type Chart'!$C$2:$T$20,5,false)*HLOOKUP($K2163,'Type Chart'!$C$2:$U$20,5,false)</f>
        <v>1</v>
      </c>
      <c r="Y2163" s="960">
        <f t="array" ref="Y2163">HLOOKUP($J2163,'Type Chart'!$C$2:$T$20,6,false)*HLOOKUP($K2163,'Type Chart'!$C$2:$U$20,6,false)</f>
        <v>0</v>
      </c>
      <c r="Z2163" s="960">
        <f t="array" ref="Z2163">HLOOKUP($J2163,'Type Chart'!$C$2:$T$20,7,false)*HLOOKUP($K2163,'Type Chart'!$C$2:$U$20,7,false)</f>
        <v>2</v>
      </c>
      <c r="AA2163" s="960">
        <f t="array" ref="AA2163">HLOOKUP($J2163,'Type Chart'!$C$2:$T$20,8,false)*HLOOKUP($K2163,'Type Chart'!$C$2:$U$20,8,false)</f>
        <v>1</v>
      </c>
      <c r="AB2163" s="960">
        <f t="array" ref="AB2163">HLOOKUP($J2163,'Type Chart'!$C$2:$T$20,9,false)*HLOOKUP($K2163,'Type Chart'!$C$2:$U$20,9,false)</f>
        <v>0.5</v>
      </c>
      <c r="AC2163" s="960">
        <f t="array" ref="AC2163">HLOOKUP($J2163,'Type Chart'!$C$2:$T$20,10,false)*HLOOKUP($K2163,'Type Chart'!$C$2:$U$20,10,false)</f>
        <v>1</v>
      </c>
      <c r="AD2163" s="960">
        <f t="array" ref="AD2163">HLOOKUP($J2163,'Type Chart'!$C$2:$T$20,11,false)*HLOOKUP($K2163,'Type Chart'!$C$2:$U$20,11,false)</f>
        <v>1</v>
      </c>
      <c r="AE2163" s="960">
        <f t="array" ref="AE2163">HLOOKUP($J2163,'Type Chart'!$C$2:$T$20,12,false)*HLOOKUP($K2163,'Type Chart'!$C$2:$U$20,12,false)</f>
        <v>1</v>
      </c>
      <c r="AF2163" s="960">
        <f t="array" ref="AF2163">HLOOKUP($J2163,'Type Chart'!$C$2:$T$20,13,false)*HLOOKUP($K2163,'Type Chart'!$C$2:$U$20,13,false)</f>
        <v>0.5</v>
      </c>
      <c r="AG2163" s="960">
        <f t="array" ref="AG2163">HLOOKUP($J2163,'Type Chart'!$C$2:$T$20,14,false)*HLOOKUP($K2163,'Type Chart'!$C$2:$U$20,14,false)</f>
        <v>2</v>
      </c>
      <c r="AH2163" s="960">
        <f t="array" ref="AH2163">HLOOKUP($J2163,'Type Chart'!$C$2:$T$20,15,false)*HLOOKUP($K2163,'Type Chart'!$C$2:$U$20,15,false)</f>
        <v>0</v>
      </c>
      <c r="AI2163" s="960">
        <f t="array" ref="AI2163">HLOOKUP($J2163,'Type Chart'!$C$2:$T$20,16,false)*HLOOKUP($K2163,'Type Chart'!$C$2:$U$20,16,false)</f>
        <v>2</v>
      </c>
      <c r="AJ2163" s="960">
        <f t="array" ref="AJ2163">HLOOKUP($J2163,'Type Chart'!$C$2:$T$20,17,false)*HLOOKUP($K2163,'Type Chart'!$C$2:$U$20,17,false)</f>
        <v>1</v>
      </c>
      <c r="AK2163" s="960">
        <f t="array" ref="AK2163">HLOOKUP($J2163,'Type Chart'!$C$2:$T$20,18,false)*HLOOKUP($K2163,'Type Chart'!$C$2:$U$20,18,false)</f>
        <v>0.5</v>
      </c>
      <c r="AL2163" s="960">
        <f t="array" ref="AL2163">HLOOKUP($J2163,'Type Chart'!$C$2:$T$20,19,false)*HLOOKUP($K2163,'Type Chart'!$C$2:$U$20,19,false)</f>
        <v>2</v>
      </c>
      <c r="AM2163" s="964" t="s">
        <v>3489</v>
      </c>
      <c r="AN2163" s="965"/>
      <c r="AO2163" s="966"/>
      <c r="AP2163" s="936"/>
      <c r="AQ2163" s="1245"/>
      <c r="AR2163" s="1245"/>
      <c r="AS2163" s="936"/>
    </row>
    <row r="2164" ht="15.75" customHeight="1">
      <c r="A2164" s="1099"/>
      <c r="B2164" s="948" t="s">
        <v>3490</v>
      </c>
      <c r="C2164" s="1197" t="s">
        <v>3491</v>
      </c>
      <c r="D2164" s="1197" t="s">
        <v>3491</v>
      </c>
      <c r="E2164" s="1147" t="s">
        <v>3491</v>
      </c>
      <c r="F2164" s="940"/>
      <c r="G2164" s="953"/>
      <c r="H2164" s="969"/>
      <c r="I2164" s="998" t="s">
        <v>5263</v>
      </c>
      <c r="J2164" s="1231" t="s">
        <v>346</v>
      </c>
      <c r="K2164" s="1223" t="s">
        <v>80</v>
      </c>
      <c r="L2164" s="1200">
        <v>108.0</v>
      </c>
      <c r="M2164" s="1201">
        <v>100.0</v>
      </c>
      <c r="N2164" s="1201">
        <v>121.0</v>
      </c>
      <c r="O2164" s="1201">
        <v>81.0</v>
      </c>
      <c r="P2164" s="1201">
        <v>95.0</v>
      </c>
      <c r="Q2164" s="1201">
        <v>95.0</v>
      </c>
      <c r="R2164" s="960">
        <v>226.0</v>
      </c>
      <c r="S2164" s="960">
        <v>289.0</v>
      </c>
      <c r="T2164" s="960">
        <v>317.0</v>
      </c>
      <c r="U2164" s="960">
        <f t="array" ref="U2164">HLOOKUP($J2164,'Type Chart'!$C$2:$T$20,2,false)*HLOOKUP($K2164,'Type Chart'!$C$2:$U$20,2,false)</f>
        <v>1</v>
      </c>
      <c r="V2164" s="960">
        <f t="array" ref="V2164">HLOOKUP($J2164,'Type Chart'!$C$2:$T$20,3,false)*HLOOKUP($K2164,'Type Chart'!$C$2:$U$20,3,false)</f>
        <v>1</v>
      </c>
      <c r="W2164" s="960">
        <f t="array" ref="W2164">HLOOKUP($J2164,'Type Chart'!$C$2:$T$20,4,false)*HLOOKUP($K2164,'Type Chart'!$C$2:$U$20,4,false)</f>
        <v>1</v>
      </c>
      <c r="X2164" s="960">
        <f t="array" ref="X2164">HLOOKUP($J2164,'Type Chart'!$C$2:$T$20,5,false)*HLOOKUP($K2164,'Type Chart'!$C$2:$U$20,5,false)</f>
        <v>0.5</v>
      </c>
      <c r="Y2164" s="960">
        <f t="array" ref="Y2164">HLOOKUP($J2164,'Type Chart'!$C$2:$T$20,6,false)*HLOOKUP($K2164,'Type Chart'!$C$2:$U$20,6,false)</f>
        <v>1</v>
      </c>
      <c r="Z2164" s="960">
        <f t="array" ref="Z2164">HLOOKUP($J2164,'Type Chart'!$C$2:$T$20,7,false)*HLOOKUP($K2164,'Type Chart'!$C$2:$U$20,7,false)</f>
        <v>0.5</v>
      </c>
      <c r="AA2164" s="960">
        <f t="array" ref="AA2164">HLOOKUP($J2164,'Type Chart'!$C$2:$T$20,8,false)*HLOOKUP($K2164,'Type Chart'!$C$2:$U$20,8,false)</f>
        <v>1</v>
      </c>
      <c r="AB2164" s="960">
        <f t="array" ref="AB2164">HLOOKUP($J2164,'Type Chart'!$C$2:$T$20,9,false)*HLOOKUP($K2164,'Type Chart'!$C$2:$U$20,9,false)</f>
        <v>1</v>
      </c>
      <c r="AC2164" s="960">
        <f t="array" ref="AC2164">HLOOKUP($J2164,'Type Chart'!$C$2:$T$20,10,false)*HLOOKUP($K2164,'Type Chart'!$C$2:$U$20,10,false)</f>
        <v>1</v>
      </c>
      <c r="AD2164" s="960">
        <f t="array" ref="AD2164">HLOOKUP($J2164,'Type Chart'!$C$2:$T$20,11,false)*HLOOKUP($K2164,'Type Chart'!$C$2:$U$20,11,false)</f>
        <v>0.5</v>
      </c>
      <c r="AE2164" s="960">
        <f t="array" ref="AE2164">HLOOKUP($J2164,'Type Chart'!$C$2:$T$20,12,false)*HLOOKUP($K2164,'Type Chart'!$C$2:$U$20,12,false)</f>
        <v>1</v>
      </c>
      <c r="AF2164" s="960">
        <f t="array" ref="AF2164">HLOOKUP($J2164,'Type Chart'!$C$2:$T$20,13,false)*HLOOKUP($K2164,'Type Chart'!$C$2:$U$20,13,false)</f>
        <v>1</v>
      </c>
      <c r="AG2164" s="960">
        <f t="array" ref="AG2164">HLOOKUP($J2164,'Type Chart'!$C$2:$T$20,14,false)*HLOOKUP($K2164,'Type Chart'!$C$2:$U$20,14,false)</f>
        <v>0</v>
      </c>
      <c r="AH2164" s="960">
        <f t="array" ref="AH2164">HLOOKUP($J2164,'Type Chart'!$C$2:$T$20,15,false)*HLOOKUP($K2164,'Type Chart'!$C$2:$U$20,15,false)</f>
        <v>1</v>
      </c>
      <c r="AI2164" s="960">
        <f t="array" ref="AI2164">HLOOKUP($J2164,'Type Chart'!$C$2:$T$20,16,false)*HLOOKUP($K2164,'Type Chart'!$C$2:$U$20,16,false)</f>
        <v>4</v>
      </c>
      <c r="AJ2164" s="960">
        <f t="array" ref="AJ2164">HLOOKUP($J2164,'Type Chart'!$C$2:$T$20,17,false)*HLOOKUP($K2164,'Type Chart'!$C$2:$U$20,17,false)</f>
        <v>2</v>
      </c>
      <c r="AK2164" s="960">
        <f t="array" ref="AK2164">HLOOKUP($J2164,'Type Chart'!$C$2:$T$20,18,false)*HLOOKUP($K2164,'Type Chart'!$C$2:$U$20,18,false)</f>
        <v>1</v>
      </c>
      <c r="AL2164" s="960">
        <f t="array" ref="AL2164">HLOOKUP($J2164,'Type Chart'!$C$2:$T$20,19,false)*HLOOKUP($K2164,'Type Chart'!$C$2:$U$20,19,false)</f>
        <v>2</v>
      </c>
      <c r="AM2164" s="1145" t="s">
        <v>3493</v>
      </c>
      <c r="AN2164" s="965" t="s">
        <v>3494</v>
      </c>
      <c r="AO2164" s="1146"/>
      <c r="AP2164" s="936"/>
      <c r="AQ2164" s="1245"/>
      <c r="AR2164" s="1245"/>
      <c r="AS2164" s="936"/>
    </row>
    <row r="2165" ht="15.75" customHeight="1">
      <c r="A2165" s="1099"/>
      <c r="B2165" s="948" t="s">
        <v>3495</v>
      </c>
      <c r="C2165" s="1197" t="s">
        <v>3496</v>
      </c>
      <c r="D2165" s="1197" t="s">
        <v>3496</v>
      </c>
      <c r="E2165" s="1147" t="s">
        <v>3496</v>
      </c>
      <c r="F2165" s="940"/>
      <c r="G2165" s="953"/>
      <c r="H2165" s="969"/>
      <c r="I2165" s="998" t="s">
        <v>5264</v>
      </c>
      <c r="J2165" s="1006" t="s">
        <v>346</v>
      </c>
      <c r="K2165" s="1204" t="s">
        <v>80</v>
      </c>
      <c r="L2165" s="959">
        <v>54.0</v>
      </c>
      <c r="M2165" s="960">
        <v>100.0</v>
      </c>
      <c r="N2165" s="960">
        <v>71.0</v>
      </c>
      <c r="O2165" s="960">
        <v>61.0</v>
      </c>
      <c r="P2165" s="960">
        <v>85.0</v>
      </c>
      <c r="Q2165" s="960">
        <v>115.0</v>
      </c>
      <c r="R2165" s="960">
        <v>266.0</v>
      </c>
      <c r="S2165" s="960">
        <v>329.0</v>
      </c>
      <c r="T2165" s="960">
        <v>361.0</v>
      </c>
      <c r="U2165" s="960">
        <f t="array" ref="U2165">HLOOKUP($J2165,'Type Chart'!$C$2:$T$20,2,false)*HLOOKUP($K2165,'Type Chart'!$C$2:$U$20,2,false)</f>
        <v>1</v>
      </c>
      <c r="V2165" s="960">
        <f t="array" ref="V2165">HLOOKUP($J2165,'Type Chart'!$C$2:$T$20,3,false)*HLOOKUP($K2165,'Type Chart'!$C$2:$U$20,3,false)</f>
        <v>1</v>
      </c>
      <c r="W2165" s="960">
        <f t="array" ref="W2165">HLOOKUP($J2165,'Type Chart'!$C$2:$T$20,4,false)*HLOOKUP($K2165,'Type Chart'!$C$2:$U$20,4,false)</f>
        <v>1</v>
      </c>
      <c r="X2165" s="960">
        <f t="array" ref="X2165">HLOOKUP($J2165,'Type Chart'!$C$2:$T$20,5,false)*HLOOKUP($K2165,'Type Chart'!$C$2:$U$20,5,false)</f>
        <v>0.5</v>
      </c>
      <c r="Y2165" s="960">
        <f t="array" ref="Y2165">HLOOKUP($J2165,'Type Chart'!$C$2:$T$20,6,false)*HLOOKUP($K2165,'Type Chart'!$C$2:$U$20,6,false)</f>
        <v>1</v>
      </c>
      <c r="Z2165" s="960">
        <f t="array" ref="Z2165">HLOOKUP($J2165,'Type Chart'!$C$2:$T$20,7,false)*HLOOKUP($K2165,'Type Chart'!$C$2:$U$20,7,false)</f>
        <v>0.5</v>
      </c>
      <c r="AA2165" s="960">
        <f t="array" ref="AA2165">HLOOKUP($J2165,'Type Chart'!$C$2:$T$20,8,false)*HLOOKUP($K2165,'Type Chart'!$C$2:$U$20,8,false)</f>
        <v>1</v>
      </c>
      <c r="AB2165" s="960">
        <f t="array" ref="AB2165">HLOOKUP($J2165,'Type Chart'!$C$2:$T$20,9,false)*HLOOKUP($K2165,'Type Chart'!$C$2:$U$20,9,false)</f>
        <v>1</v>
      </c>
      <c r="AC2165" s="960">
        <f t="array" ref="AC2165">HLOOKUP($J2165,'Type Chart'!$C$2:$T$20,10,false)*HLOOKUP($K2165,'Type Chart'!$C$2:$U$20,10,false)</f>
        <v>1</v>
      </c>
      <c r="AD2165" s="960">
        <f t="array" ref="AD2165">HLOOKUP($J2165,'Type Chart'!$C$2:$T$20,11,false)*HLOOKUP($K2165,'Type Chart'!$C$2:$U$20,11,false)</f>
        <v>0.5</v>
      </c>
      <c r="AE2165" s="960">
        <f t="array" ref="AE2165">HLOOKUP($J2165,'Type Chart'!$C$2:$T$20,12,false)*HLOOKUP($K2165,'Type Chart'!$C$2:$U$20,12,false)</f>
        <v>1</v>
      </c>
      <c r="AF2165" s="960">
        <f t="array" ref="AF2165">HLOOKUP($J2165,'Type Chart'!$C$2:$T$20,13,false)*HLOOKUP($K2165,'Type Chart'!$C$2:$U$20,13,false)</f>
        <v>1</v>
      </c>
      <c r="AG2165" s="960">
        <f t="array" ref="AG2165">HLOOKUP($J2165,'Type Chart'!$C$2:$T$20,14,false)*HLOOKUP($K2165,'Type Chart'!$C$2:$U$20,14,false)</f>
        <v>0</v>
      </c>
      <c r="AH2165" s="960">
        <f t="array" ref="AH2165">HLOOKUP($J2165,'Type Chart'!$C$2:$T$20,15,false)*HLOOKUP($K2165,'Type Chart'!$C$2:$U$20,15,false)</f>
        <v>1</v>
      </c>
      <c r="AI2165" s="960">
        <f t="array" ref="AI2165">HLOOKUP($J2165,'Type Chart'!$C$2:$T$20,16,false)*HLOOKUP($K2165,'Type Chart'!$C$2:$U$20,16,false)</f>
        <v>4</v>
      </c>
      <c r="AJ2165" s="960">
        <f t="array" ref="AJ2165">HLOOKUP($J2165,'Type Chart'!$C$2:$T$20,17,false)*HLOOKUP($K2165,'Type Chart'!$C$2:$U$20,17,false)</f>
        <v>2</v>
      </c>
      <c r="AK2165" s="960">
        <f t="array" ref="AK2165">HLOOKUP($J2165,'Type Chart'!$C$2:$T$20,18,false)*HLOOKUP($K2165,'Type Chart'!$C$2:$U$20,18,false)</f>
        <v>1</v>
      </c>
      <c r="AL2165" s="960">
        <f t="array" ref="AL2165">HLOOKUP($J2165,'Type Chart'!$C$2:$T$20,19,false)*HLOOKUP($K2165,'Type Chart'!$C$2:$U$20,19,false)</f>
        <v>2</v>
      </c>
      <c r="AM2165" s="964" t="s">
        <v>3493</v>
      </c>
      <c r="AN2165" s="965" t="s">
        <v>3494</v>
      </c>
      <c r="AO2165" s="966"/>
      <c r="AP2165" s="936"/>
      <c r="AQ2165" s="1245"/>
      <c r="AR2165" s="1245"/>
      <c r="AS2165" s="936"/>
    </row>
    <row r="2166" ht="15.75" customHeight="1">
      <c r="A2166" s="1099"/>
      <c r="B2166" s="948" t="s">
        <v>3498</v>
      </c>
      <c r="C2166" s="1197" t="s">
        <v>3499</v>
      </c>
      <c r="D2166" s="1197" t="s">
        <v>3499</v>
      </c>
      <c r="E2166" s="1147" t="s">
        <v>3499</v>
      </c>
      <c r="F2166" s="940"/>
      <c r="G2166" s="953"/>
      <c r="H2166" s="969"/>
      <c r="I2166" s="998" t="s">
        <v>5265</v>
      </c>
      <c r="J2166" s="1006" t="s">
        <v>346</v>
      </c>
      <c r="K2166" s="1204" t="s">
        <v>80</v>
      </c>
      <c r="L2166" s="959">
        <v>216.0</v>
      </c>
      <c r="M2166" s="960">
        <v>100.0</v>
      </c>
      <c r="N2166" s="960">
        <v>121.0</v>
      </c>
      <c r="O2166" s="960">
        <v>91.0</v>
      </c>
      <c r="P2166" s="960">
        <v>95.0</v>
      </c>
      <c r="Q2166" s="960">
        <v>85.0</v>
      </c>
      <c r="R2166" s="960">
        <v>206.0</v>
      </c>
      <c r="S2166" s="960">
        <v>269.0</v>
      </c>
      <c r="T2166" s="960">
        <v>295.0</v>
      </c>
      <c r="U2166" s="960">
        <f t="array" ref="U2166">HLOOKUP($J2166,'Type Chart'!$C$2:$T$20,2,false)*HLOOKUP($K2166,'Type Chart'!$C$2:$U$20,2,false)</f>
        <v>1</v>
      </c>
      <c r="V2166" s="960">
        <f t="array" ref="V2166">HLOOKUP($J2166,'Type Chart'!$C$2:$T$20,3,false)*HLOOKUP($K2166,'Type Chart'!$C$2:$U$20,3,false)</f>
        <v>1</v>
      </c>
      <c r="W2166" s="960">
        <f t="array" ref="W2166">HLOOKUP($J2166,'Type Chart'!$C$2:$T$20,4,false)*HLOOKUP($K2166,'Type Chart'!$C$2:$U$20,4,false)</f>
        <v>1</v>
      </c>
      <c r="X2166" s="960">
        <f t="array" ref="X2166">HLOOKUP($J2166,'Type Chart'!$C$2:$T$20,5,false)*HLOOKUP($K2166,'Type Chart'!$C$2:$U$20,5,false)</f>
        <v>0.5</v>
      </c>
      <c r="Y2166" s="960">
        <f t="array" ref="Y2166">HLOOKUP($J2166,'Type Chart'!$C$2:$T$20,6,false)*HLOOKUP($K2166,'Type Chart'!$C$2:$U$20,6,false)</f>
        <v>1</v>
      </c>
      <c r="Z2166" s="960">
        <f t="array" ref="Z2166">HLOOKUP($J2166,'Type Chart'!$C$2:$T$20,7,false)*HLOOKUP($K2166,'Type Chart'!$C$2:$U$20,7,false)</f>
        <v>0.5</v>
      </c>
      <c r="AA2166" s="960">
        <f t="array" ref="AA2166">HLOOKUP($J2166,'Type Chart'!$C$2:$T$20,8,false)*HLOOKUP($K2166,'Type Chart'!$C$2:$U$20,8,false)</f>
        <v>1</v>
      </c>
      <c r="AB2166" s="960">
        <f t="array" ref="AB2166">HLOOKUP($J2166,'Type Chart'!$C$2:$T$20,9,false)*HLOOKUP($K2166,'Type Chart'!$C$2:$U$20,9,false)</f>
        <v>1</v>
      </c>
      <c r="AC2166" s="960">
        <f t="array" ref="AC2166">HLOOKUP($J2166,'Type Chart'!$C$2:$T$20,10,false)*HLOOKUP($K2166,'Type Chart'!$C$2:$U$20,10,false)</f>
        <v>1</v>
      </c>
      <c r="AD2166" s="960">
        <f t="array" ref="AD2166">HLOOKUP($J2166,'Type Chart'!$C$2:$T$20,11,false)*HLOOKUP($K2166,'Type Chart'!$C$2:$U$20,11,false)</f>
        <v>0.5</v>
      </c>
      <c r="AE2166" s="960">
        <f t="array" ref="AE2166">HLOOKUP($J2166,'Type Chart'!$C$2:$T$20,12,false)*HLOOKUP($K2166,'Type Chart'!$C$2:$U$20,12,false)</f>
        <v>1</v>
      </c>
      <c r="AF2166" s="960">
        <f t="array" ref="AF2166">HLOOKUP($J2166,'Type Chart'!$C$2:$T$20,13,false)*HLOOKUP($K2166,'Type Chart'!$C$2:$U$20,13,false)</f>
        <v>1</v>
      </c>
      <c r="AG2166" s="960">
        <f t="array" ref="AG2166">HLOOKUP($J2166,'Type Chart'!$C$2:$T$20,14,false)*HLOOKUP($K2166,'Type Chart'!$C$2:$U$20,14,false)</f>
        <v>0</v>
      </c>
      <c r="AH2166" s="960">
        <f t="array" ref="AH2166">HLOOKUP($J2166,'Type Chart'!$C$2:$T$20,15,false)*HLOOKUP($K2166,'Type Chart'!$C$2:$U$20,15,false)</f>
        <v>1</v>
      </c>
      <c r="AI2166" s="960">
        <f t="array" ref="AI2166">HLOOKUP($J2166,'Type Chart'!$C$2:$T$20,16,false)*HLOOKUP($K2166,'Type Chart'!$C$2:$U$20,16,false)</f>
        <v>4</v>
      </c>
      <c r="AJ2166" s="960">
        <f t="array" ref="AJ2166">HLOOKUP($J2166,'Type Chart'!$C$2:$T$20,17,false)*HLOOKUP($K2166,'Type Chart'!$C$2:$U$20,17,false)</f>
        <v>2</v>
      </c>
      <c r="AK2166" s="960">
        <f t="array" ref="AK2166">HLOOKUP($J2166,'Type Chart'!$C$2:$T$20,18,false)*HLOOKUP($K2166,'Type Chart'!$C$2:$U$20,18,false)</f>
        <v>1</v>
      </c>
      <c r="AL2166" s="960">
        <f t="array" ref="AL2166">HLOOKUP($J2166,'Type Chart'!$C$2:$T$20,19,false)*HLOOKUP($K2166,'Type Chart'!$C$2:$U$20,19,false)</f>
        <v>2</v>
      </c>
      <c r="AM2166" s="964" t="s">
        <v>3494</v>
      </c>
      <c r="AN2166" s="965"/>
      <c r="AO2166" s="966"/>
      <c r="AP2166" s="936"/>
      <c r="AQ2166" s="1245"/>
      <c r="AR2166" s="1245"/>
      <c r="AS2166" s="936"/>
    </row>
    <row r="2167" ht="15.75" customHeight="1">
      <c r="A2167" s="1099"/>
      <c r="B2167" s="948" t="s">
        <v>3500</v>
      </c>
      <c r="C2167" s="1197" t="s">
        <v>3501</v>
      </c>
      <c r="D2167" s="1197" t="s">
        <v>3501</v>
      </c>
      <c r="E2167" s="1147" t="s">
        <v>3501</v>
      </c>
      <c r="F2167" s="940"/>
      <c r="G2167" s="953"/>
      <c r="H2167" s="969"/>
      <c r="I2167" s="998" t="s">
        <v>5266</v>
      </c>
      <c r="J2167" s="1214" t="s">
        <v>342</v>
      </c>
      <c r="K2167" s="1207" t="s">
        <v>127</v>
      </c>
      <c r="L2167" s="959">
        <v>50.0</v>
      </c>
      <c r="M2167" s="960">
        <v>100.0</v>
      </c>
      <c r="N2167" s="960">
        <v>150.0</v>
      </c>
      <c r="O2167" s="960">
        <v>100.0</v>
      </c>
      <c r="P2167" s="960">
        <v>150.0</v>
      </c>
      <c r="Q2167" s="960">
        <v>50.0</v>
      </c>
      <c r="R2167" s="960">
        <v>136.0</v>
      </c>
      <c r="S2167" s="960">
        <v>199.0</v>
      </c>
      <c r="T2167" s="960">
        <v>218.0</v>
      </c>
      <c r="U2167" s="960">
        <f t="array" ref="U2167">HLOOKUP($J2167,'Type Chart'!$C$2:$T$20,2,false)*HLOOKUP($K2167,'Type Chart'!$C$2:$U$20,2,false)</f>
        <v>0.5</v>
      </c>
      <c r="V2167" s="960">
        <f t="array" ref="V2167">HLOOKUP($J2167,'Type Chart'!$C$2:$T$20,3,false)*HLOOKUP($K2167,'Type Chart'!$C$2:$U$20,3,false)</f>
        <v>1</v>
      </c>
      <c r="W2167" s="960">
        <f t="array" ref="W2167">HLOOKUP($J2167,'Type Chart'!$C$2:$T$20,4,false)*HLOOKUP($K2167,'Type Chart'!$C$2:$U$20,4,false)</f>
        <v>0.5</v>
      </c>
      <c r="X2167" s="960">
        <f t="array" ref="X2167">HLOOKUP($J2167,'Type Chart'!$C$2:$T$20,5,false)*HLOOKUP($K2167,'Type Chart'!$C$2:$U$20,5,false)</f>
        <v>1</v>
      </c>
      <c r="Y2167" s="960">
        <f t="array" ref="Y2167">HLOOKUP($J2167,'Type Chart'!$C$2:$T$20,6,false)*HLOOKUP($K2167,'Type Chart'!$C$2:$U$20,6,false)</f>
        <v>2</v>
      </c>
      <c r="Z2167" s="960">
        <f t="array" ref="Z2167">HLOOKUP($J2167,'Type Chart'!$C$2:$T$20,7,false)*HLOOKUP($K2167,'Type Chart'!$C$2:$U$20,7,false)</f>
        <v>1</v>
      </c>
      <c r="AA2167" s="960">
        <f t="array" ref="AA2167">HLOOKUP($J2167,'Type Chart'!$C$2:$T$20,8,false)*HLOOKUP($K2167,'Type Chart'!$C$2:$U$20,8,false)</f>
        <v>0.5</v>
      </c>
      <c r="AB2167" s="960">
        <f t="array" ref="AB2167">HLOOKUP($J2167,'Type Chart'!$C$2:$T$20,9,false)*HLOOKUP($K2167,'Type Chart'!$C$2:$U$20,9,false)</f>
        <v>1</v>
      </c>
      <c r="AC2167" s="960">
        <f t="array" ref="AC2167">HLOOKUP($J2167,'Type Chart'!$C$2:$T$20,10,false)*HLOOKUP($K2167,'Type Chart'!$C$2:$U$20,10,false)</f>
        <v>4</v>
      </c>
      <c r="AD2167" s="960">
        <f t="array" ref="AD2167">HLOOKUP($J2167,'Type Chart'!$C$2:$T$20,11,false)*HLOOKUP($K2167,'Type Chart'!$C$2:$U$20,11,false)</f>
        <v>0.5</v>
      </c>
      <c r="AE2167" s="960">
        <f t="array" ref="AE2167">HLOOKUP($J2167,'Type Chart'!$C$2:$T$20,12,false)*HLOOKUP($K2167,'Type Chart'!$C$2:$U$20,12,false)</f>
        <v>2</v>
      </c>
      <c r="AF2167" s="960">
        <f t="array" ref="AF2167">HLOOKUP($J2167,'Type Chart'!$C$2:$T$20,13,false)*HLOOKUP($K2167,'Type Chart'!$C$2:$U$20,13,false)</f>
        <v>2</v>
      </c>
      <c r="AG2167" s="960">
        <f t="array" ref="AG2167">HLOOKUP($J2167,'Type Chart'!$C$2:$T$20,14,false)*HLOOKUP($K2167,'Type Chart'!$C$2:$U$20,14,false)</f>
        <v>1</v>
      </c>
      <c r="AH2167" s="960">
        <f t="array" ref="AH2167">HLOOKUP($J2167,'Type Chart'!$C$2:$T$20,15,false)*HLOOKUP($K2167,'Type Chart'!$C$2:$U$20,15,false)</f>
        <v>1</v>
      </c>
      <c r="AI2167" s="960">
        <f t="array" ref="AI2167">HLOOKUP($J2167,'Type Chart'!$C$2:$T$20,16,false)*HLOOKUP($K2167,'Type Chart'!$C$2:$U$20,16,false)</f>
        <v>1</v>
      </c>
      <c r="AJ2167" s="960">
        <f t="array" ref="AJ2167">HLOOKUP($J2167,'Type Chart'!$C$2:$T$20,17,false)*HLOOKUP($K2167,'Type Chart'!$C$2:$U$20,17,false)</f>
        <v>0</v>
      </c>
      <c r="AK2167" s="960">
        <f t="array" ref="AK2167">HLOOKUP($J2167,'Type Chart'!$C$2:$T$20,18,false)*HLOOKUP($K2167,'Type Chart'!$C$2:$U$20,18,false)</f>
        <v>0.5</v>
      </c>
      <c r="AL2167" s="960">
        <f t="array" ref="AL2167">HLOOKUP($J2167,'Type Chart'!$C$2:$T$20,19,false)*HLOOKUP($K2167,'Type Chart'!$C$2:$U$20,19,false)</f>
        <v>1</v>
      </c>
      <c r="AM2167" s="964" t="s">
        <v>1324</v>
      </c>
      <c r="AN2167" s="965"/>
      <c r="AO2167" s="966"/>
      <c r="AP2167" s="936"/>
      <c r="AQ2167" s="1245"/>
      <c r="AR2167" s="1245"/>
      <c r="AS2167" s="936"/>
    </row>
    <row r="2168" ht="15.75" customHeight="1">
      <c r="A2168" s="1099"/>
      <c r="B2168" s="948" t="s">
        <v>3502</v>
      </c>
      <c r="C2168" s="1197" t="s">
        <v>3503</v>
      </c>
      <c r="D2168" s="1197" t="s">
        <v>3503</v>
      </c>
      <c r="E2168" s="1147" t="s">
        <v>3503</v>
      </c>
      <c r="F2168" s="940"/>
      <c r="G2168" s="953"/>
      <c r="H2168" s="969"/>
      <c r="I2168" s="998" t="s">
        <v>5267</v>
      </c>
      <c r="J2168" s="1222" t="s">
        <v>342</v>
      </c>
      <c r="K2168" s="1234" t="s">
        <v>127</v>
      </c>
      <c r="L2168" s="1200">
        <v>50.0</v>
      </c>
      <c r="M2168" s="1201">
        <v>160.0</v>
      </c>
      <c r="N2168" s="1201">
        <v>110.0</v>
      </c>
      <c r="O2168" s="1201">
        <v>160.0</v>
      </c>
      <c r="P2168" s="1201">
        <v>110.0</v>
      </c>
      <c r="Q2168" s="1201">
        <v>110.0</v>
      </c>
      <c r="R2168" s="960">
        <v>256.0</v>
      </c>
      <c r="S2168" s="960">
        <v>319.0</v>
      </c>
      <c r="T2168" s="960">
        <v>350.0</v>
      </c>
      <c r="U2168" s="960">
        <f t="array" ref="U2168">HLOOKUP($J2168,'Type Chart'!$C$2:$T$20,2,false)*HLOOKUP($K2168,'Type Chart'!$C$2:$U$20,2,false)</f>
        <v>0.5</v>
      </c>
      <c r="V2168" s="960">
        <f t="array" ref="V2168">HLOOKUP($J2168,'Type Chart'!$C$2:$T$20,3,false)*HLOOKUP($K2168,'Type Chart'!$C$2:$U$20,3,false)</f>
        <v>1</v>
      </c>
      <c r="W2168" s="960">
        <f t="array" ref="W2168">HLOOKUP($J2168,'Type Chart'!$C$2:$T$20,4,false)*HLOOKUP($K2168,'Type Chart'!$C$2:$U$20,4,false)</f>
        <v>0.5</v>
      </c>
      <c r="X2168" s="960">
        <f t="array" ref="X2168">HLOOKUP($J2168,'Type Chart'!$C$2:$T$20,5,false)*HLOOKUP($K2168,'Type Chart'!$C$2:$U$20,5,false)</f>
        <v>1</v>
      </c>
      <c r="Y2168" s="960">
        <f t="array" ref="Y2168">HLOOKUP($J2168,'Type Chart'!$C$2:$T$20,6,false)*HLOOKUP($K2168,'Type Chart'!$C$2:$U$20,6,false)</f>
        <v>2</v>
      </c>
      <c r="Z2168" s="960">
        <f t="array" ref="Z2168">HLOOKUP($J2168,'Type Chart'!$C$2:$T$20,7,false)*HLOOKUP($K2168,'Type Chart'!$C$2:$U$20,7,false)</f>
        <v>1</v>
      </c>
      <c r="AA2168" s="960">
        <f t="array" ref="AA2168">HLOOKUP($J2168,'Type Chart'!$C$2:$T$20,8,false)*HLOOKUP($K2168,'Type Chart'!$C$2:$U$20,8,false)</f>
        <v>0.5</v>
      </c>
      <c r="AB2168" s="960">
        <f t="array" ref="AB2168">HLOOKUP($J2168,'Type Chart'!$C$2:$T$20,9,false)*HLOOKUP($K2168,'Type Chart'!$C$2:$U$20,9,false)</f>
        <v>1</v>
      </c>
      <c r="AC2168" s="960">
        <f t="array" ref="AC2168">HLOOKUP($J2168,'Type Chart'!$C$2:$T$20,10,false)*HLOOKUP($K2168,'Type Chart'!$C$2:$U$20,10,false)</f>
        <v>4</v>
      </c>
      <c r="AD2168" s="960">
        <f t="array" ref="AD2168">HLOOKUP($J2168,'Type Chart'!$C$2:$T$20,11,false)*HLOOKUP($K2168,'Type Chart'!$C$2:$U$20,11,false)</f>
        <v>0.5</v>
      </c>
      <c r="AE2168" s="960">
        <f t="array" ref="AE2168">HLOOKUP($J2168,'Type Chart'!$C$2:$T$20,12,false)*HLOOKUP($K2168,'Type Chart'!$C$2:$U$20,12,false)</f>
        <v>2</v>
      </c>
      <c r="AF2168" s="960">
        <f t="array" ref="AF2168">HLOOKUP($J2168,'Type Chart'!$C$2:$T$20,13,false)*HLOOKUP($K2168,'Type Chart'!$C$2:$U$20,13,false)</f>
        <v>2</v>
      </c>
      <c r="AG2168" s="960">
        <f t="array" ref="AG2168">HLOOKUP($J2168,'Type Chart'!$C$2:$T$20,14,false)*HLOOKUP($K2168,'Type Chart'!$C$2:$U$20,14,false)</f>
        <v>1</v>
      </c>
      <c r="AH2168" s="960">
        <f t="array" ref="AH2168">HLOOKUP($J2168,'Type Chart'!$C$2:$T$20,15,false)*HLOOKUP($K2168,'Type Chart'!$C$2:$U$20,15,false)</f>
        <v>1</v>
      </c>
      <c r="AI2168" s="960">
        <f t="array" ref="AI2168">HLOOKUP($J2168,'Type Chart'!$C$2:$T$20,16,false)*HLOOKUP($K2168,'Type Chart'!$C$2:$U$20,16,false)</f>
        <v>1</v>
      </c>
      <c r="AJ2168" s="960">
        <f t="array" ref="AJ2168">HLOOKUP($J2168,'Type Chart'!$C$2:$T$20,17,false)*HLOOKUP($K2168,'Type Chart'!$C$2:$U$20,17,false)</f>
        <v>0</v>
      </c>
      <c r="AK2168" s="960">
        <f t="array" ref="AK2168">HLOOKUP($J2168,'Type Chart'!$C$2:$T$20,18,false)*HLOOKUP($K2168,'Type Chart'!$C$2:$U$20,18,false)</f>
        <v>0.5</v>
      </c>
      <c r="AL2168" s="960">
        <f t="array" ref="AL2168">HLOOKUP($J2168,'Type Chart'!$C$2:$T$20,19,false)*HLOOKUP($K2168,'Type Chart'!$C$2:$U$20,19,false)</f>
        <v>1</v>
      </c>
      <c r="AM2168" s="1145" t="s">
        <v>1752</v>
      </c>
      <c r="AN2168" s="1202"/>
      <c r="AO2168" s="1146"/>
      <c r="AP2168" s="936"/>
      <c r="AQ2168" s="1245"/>
      <c r="AR2168" s="1245"/>
      <c r="AS2168" s="936"/>
    </row>
    <row r="2169" ht="15.75" customHeight="1">
      <c r="A2169" s="1099"/>
      <c r="B2169" s="948" t="s">
        <v>3505</v>
      </c>
      <c r="C2169" s="1197" t="s">
        <v>3506</v>
      </c>
      <c r="D2169" s="1197" t="s">
        <v>3506</v>
      </c>
      <c r="E2169" s="1147" t="s">
        <v>3506</v>
      </c>
      <c r="F2169" s="940"/>
      <c r="G2169" s="953"/>
      <c r="H2169" s="969"/>
      <c r="I2169" s="998" t="s">
        <v>5268</v>
      </c>
      <c r="J2169" s="1203" t="s">
        <v>344</v>
      </c>
      <c r="K2169" s="1220" t="s">
        <v>215</v>
      </c>
      <c r="L2169" s="959">
        <v>80.0</v>
      </c>
      <c r="M2169" s="960">
        <v>110.0</v>
      </c>
      <c r="N2169" s="960">
        <v>60.0</v>
      </c>
      <c r="O2169" s="960">
        <v>150.0</v>
      </c>
      <c r="P2169" s="960">
        <v>130.0</v>
      </c>
      <c r="Q2169" s="960">
        <v>70.0</v>
      </c>
      <c r="R2169" s="960">
        <v>176.0</v>
      </c>
      <c r="S2169" s="960">
        <v>239.0</v>
      </c>
      <c r="T2169" s="960">
        <v>262.0</v>
      </c>
      <c r="U2169" s="960">
        <f t="array" ref="U2169">HLOOKUP($J2169,'Type Chart'!$C$2:$T$20,2,false)*HLOOKUP($K2169,'Type Chart'!$C$2:$U$20,2,false)</f>
        <v>0</v>
      </c>
      <c r="V2169" s="960">
        <f t="array" ref="V2169">HLOOKUP($J2169,'Type Chart'!$C$2:$T$20,3,false)*HLOOKUP($K2169,'Type Chart'!$C$2:$U$20,3,false)</f>
        <v>0</v>
      </c>
      <c r="W2169" s="960">
        <f t="array" ref="W2169">HLOOKUP($J2169,'Type Chart'!$C$2:$T$20,4,false)*HLOOKUP($K2169,'Type Chart'!$C$2:$U$20,4,false)</f>
        <v>1</v>
      </c>
      <c r="X2169" s="960">
        <f t="array" ref="X2169">HLOOKUP($J2169,'Type Chart'!$C$2:$T$20,5,false)*HLOOKUP($K2169,'Type Chart'!$C$2:$U$20,5,false)</f>
        <v>0.5</v>
      </c>
      <c r="Y2169" s="960">
        <f t="array" ref="Y2169">HLOOKUP($J2169,'Type Chart'!$C$2:$T$20,6,false)*HLOOKUP($K2169,'Type Chart'!$C$2:$U$20,6,false)</f>
        <v>1</v>
      </c>
      <c r="Z2169" s="960">
        <f t="array" ref="Z2169">HLOOKUP($J2169,'Type Chart'!$C$2:$T$20,7,false)*HLOOKUP($K2169,'Type Chart'!$C$2:$U$20,7,false)</f>
        <v>1</v>
      </c>
      <c r="AA2169" s="960">
        <f t="array" ref="AA2169">HLOOKUP($J2169,'Type Chart'!$C$2:$T$20,8,false)*HLOOKUP($K2169,'Type Chart'!$C$2:$U$20,8,false)</f>
        <v>1</v>
      </c>
      <c r="AB2169" s="960">
        <f t="array" ref="AB2169">HLOOKUP($J2169,'Type Chart'!$C$2:$T$20,9,false)*HLOOKUP($K2169,'Type Chart'!$C$2:$U$20,9,false)</f>
        <v>4</v>
      </c>
      <c r="AC2169" s="960">
        <f t="array" ref="AC2169">HLOOKUP($J2169,'Type Chart'!$C$2:$T$20,10,false)*HLOOKUP($K2169,'Type Chart'!$C$2:$U$20,10,false)</f>
        <v>1</v>
      </c>
      <c r="AD2169" s="960">
        <f t="array" ref="AD2169">HLOOKUP($J2169,'Type Chart'!$C$2:$T$20,11,false)*HLOOKUP($K2169,'Type Chart'!$C$2:$U$20,11,false)</f>
        <v>1</v>
      </c>
      <c r="AE2169" s="960">
        <f t="array" ref="AE2169">HLOOKUP($J2169,'Type Chart'!$C$2:$T$20,12,false)*HLOOKUP($K2169,'Type Chart'!$C$2:$U$20,12,false)</f>
        <v>1</v>
      </c>
      <c r="AF2169" s="960">
        <f t="array" ref="AF2169">HLOOKUP($J2169,'Type Chart'!$C$2:$T$20,13,false)*HLOOKUP($K2169,'Type Chart'!$C$2:$U$20,13,false)</f>
        <v>1</v>
      </c>
      <c r="AG2169" s="960">
        <f t="array" ref="AG2169">HLOOKUP($J2169,'Type Chart'!$C$2:$T$20,14,false)*HLOOKUP($K2169,'Type Chart'!$C$2:$U$20,14,false)</f>
        <v>1</v>
      </c>
      <c r="AH2169" s="960">
        <f t="array" ref="AH2169">HLOOKUP($J2169,'Type Chart'!$C$2:$T$20,15,false)*HLOOKUP($K2169,'Type Chart'!$C$2:$U$20,15,false)</f>
        <v>0.5</v>
      </c>
      <c r="AI2169" s="960">
        <f t="array" ref="AI2169">HLOOKUP($J2169,'Type Chart'!$C$2:$T$20,16,false)*HLOOKUP($K2169,'Type Chart'!$C$2:$U$20,16,false)</f>
        <v>1</v>
      </c>
      <c r="AJ2169" s="960">
        <f t="array" ref="AJ2169">HLOOKUP($J2169,'Type Chart'!$C$2:$T$20,17,false)*HLOOKUP($K2169,'Type Chart'!$C$2:$U$20,17,false)</f>
        <v>1</v>
      </c>
      <c r="AK2169" s="960">
        <f t="array" ref="AK2169">HLOOKUP($J2169,'Type Chart'!$C$2:$T$20,18,false)*HLOOKUP($K2169,'Type Chart'!$C$2:$U$20,18,false)</f>
        <v>4</v>
      </c>
      <c r="AL2169" s="960">
        <f t="array" ref="AL2169">HLOOKUP($J2169,'Type Chart'!$C$2:$T$20,19,false)*HLOOKUP($K2169,'Type Chart'!$C$2:$U$20,19,false)</f>
        <v>1</v>
      </c>
      <c r="AM2169" s="964" t="s">
        <v>3266</v>
      </c>
      <c r="AN2169" s="965"/>
      <c r="AO2169" s="966"/>
      <c r="AP2169" s="936"/>
      <c r="AQ2169" s="1245"/>
      <c r="AR2169" s="1245"/>
      <c r="AS2169" s="936"/>
    </row>
    <row r="2170" ht="15.75" customHeight="1">
      <c r="A2170" s="1099"/>
      <c r="B2170" s="948" t="s">
        <v>3507</v>
      </c>
      <c r="C2170" s="1197" t="s">
        <v>3508</v>
      </c>
      <c r="D2170" s="1197" t="s">
        <v>3508</v>
      </c>
      <c r="E2170" s="1147" t="s">
        <v>3508</v>
      </c>
      <c r="F2170" s="940"/>
      <c r="G2170" s="953"/>
      <c r="H2170" s="969"/>
      <c r="I2170" s="998" t="s">
        <v>180</v>
      </c>
      <c r="J2170" s="1203" t="s">
        <v>344</v>
      </c>
      <c r="K2170" s="1195" t="s">
        <v>193</v>
      </c>
      <c r="L2170" s="959">
        <v>80.0</v>
      </c>
      <c r="M2170" s="960">
        <v>160.0</v>
      </c>
      <c r="N2170" s="960">
        <v>60.0</v>
      </c>
      <c r="O2170" s="960">
        <v>170.0</v>
      </c>
      <c r="P2170" s="960">
        <v>130.0</v>
      </c>
      <c r="Q2170" s="960">
        <v>80.0</v>
      </c>
      <c r="R2170" s="960">
        <v>196.0</v>
      </c>
      <c r="S2170" s="960">
        <v>259.0</v>
      </c>
      <c r="T2170" s="960">
        <v>284.0</v>
      </c>
      <c r="U2170" s="960">
        <f t="array" ref="U2170">HLOOKUP($J2170,'Type Chart'!$C$2:$T$20,2,false)*HLOOKUP($K2170,'Type Chart'!$C$2:$U$20,2,false)</f>
        <v>1</v>
      </c>
      <c r="V2170" s="960">
        <f t="array" ref="V2170">HLOOKUP($J2170,'Type Chart'!$C$2:$T$20,3,false)*HLOOKUP($K2170,'Type Chart'!$C$2:$U$20,3,false)</f>
        <v>1</v>
      </c>
      <c r="W2170" s="960">
        <f t="array" ref="W2170">HLOOKUP($J2170,'Type Chart'!$C$2:$T$20,4,false)*HLOOKUP($K2170,'Type Chart'!$C$2:$U$20,4,false)</f>
        <v>1</v>
      </c>
      <c r="X2170" s="960">
        <f t="array" ref="X2170">HLOOKUP($J2170,'Type Chart'!$C$2:$T$20,5,false)*HLOOKUP($K2170,'Type Chart'!$C$2:$U$20,5,false)</f>
        <v>1</v>
      </c>
      <c r="Y2170" s="960">
        <f t="array" ref="Y2170">HLOOKUP($J2170,'Type Chart'!$C$2:$T$20,6,false)*HLOOKUP($K2170,'Type Chart'!$C$2:$U$20,6,false)</f>
        <v>1</v>
      </c>
      <c r="Z2170" s="960">
        <f t="array" ref="Z2170">HLOOKUP($J2170,'Type Chart'!$C$2:$T$20,7,false)*HLOOKUP($K2170,'Type Chart'!$C$2:$U$20,7,false)</f>
        <v>1</v>
      </c>
      <c r="AA2170" s="960">
        <f t="array" ref="AA2170">HLOOKUP($J2170,'Type Chart'!$C$2:$T$20,8,false)*HLOOKUP($K2170,'Type Chart'!$C$2:$U$20,8,false)</f>
        <v>4</v>
      </c>
      <c r="AB2170" s="960">
        <f t="array" ref="AB2170">HLOOKUP($J2170,'Type Chart'!$C$2:$T$20,9,false)*HLOOKUP($K2170,'Type Chart'!$C$2:$U$20,9,false)</f>
        <v>1</v>
      </c>
      <c r="AC2170" s="960">
        <f t="array" ref="AC2170">HLOOKUP($J2170,'Type Chart'!$C$2:$T$20,10,false)*HLOOKUP($K2170,'Type Chart'!$C$2:$U$20,10,false)</f>
        <v>1</v>
      </c>
      <c r="AD2170" s="960">
        <f t="array" ref="AD2170">HLOOKUP($J2170,'Type Chart'!$C$2:$T$20,11,false)*HLOOKUP($K2170,'Type Chart'!$C$2:$U$20,11,false)</f>
        <v>1</v>
      </c>
      <c r="AE2170" s="960">
        <f t="array" ref="AE2170">HLOOKUP($J2170,'Type Chart'!$C$2:$T$20,12,false)*HLOOKUP($K2170,'Type Chart'!$C$2:$U$20,12,false)</f>
        <v>1</v>
      </c>
      <c r="AF2170" s="960">
        <f t="array" ref="AF2170">HLOOKUP($J2170,'Type Chart'!$C$2:$T$20,13,false)*HLOOKUP($K2170,'Type Chart'!$C$2:$U$20,13,false)</f>
        <v>1</v>
      </c>
      <c r="AG2170" s="960">
        <f t="array" ref="AG2170">HLOOKUP($J2170,'Type Chart'!$C$2:$T$20,14,false)*HLOOKUP($K2170,'Type Chart'!$C$2:$U$20,14,false)</f>
        <v>1</v>
      </c>
      <c r="AH2170" s="960">
        <f t="array" ref="AH2170">HLOOKUP($J2170,'Type Chart'!$C$2:$T$20,15,false)*HLOOKUP($K2170,'Type Chart'!$C$2:$U$20,15,false)</f>
        <v>0</v>
      </c>
      <c r="AI2170" s="960">
        <f t="array" ref="AI2170">HLOOKUP($J2170,'Type Chart'!$C$2:$T$20,16,false)*HLOOKUP($K2170,'Type Chart'!$C$2:$U$20,16,false)</f>
        <v>1</v>
      </c>
      <c r="AJ2170" s="960">
        <f t="array" ref="AJ2170">HLOOKUP($J2170,'Type Chart'!$C$2:$T$20,17,false)*HLOOKUP($K2170,'Type Chart'!$C$2:$U$20,17,false)</f>
        <v>1</v>
      </c>
      <c r="AK2170" s="960">
        <f t="array" ref="AK2170">HLOOKUP($J2170,'Type Chart'!$C$2:$T$20,18,false)*HLOOKUP($K2170,'Type Chart'!$C$2:$U$20,18,false)</f>
        <v>1</v>
      </c>
      <c r="AL2170" s="960">
        <f t="array" ref="AL2170">HLOOKUP($J2170,'Type Chart'!$C$2:$T$20,19,false)*HLOOKUP($K2170,'Type Chart'!$C$2:$U$20,19,false)</f>
        <v>2</v>
      </c>
      <c r="AM2170" s="964" t="s">
        <v>3266</v>
      </c>
      <c r="AN2170" s="965"/>
      <c r="AO2170" s="966"/>
      <c r="AP2170" s="936"/>
      <c r="AQ2170" s="1245"/>
      <c r="AR2170" s="1245"/>
      <c r="AS2170" s="936"/>
    </row>
    <row r="2171" ht="15.75" customHeight="1">
      <c r="A2171" s="1099"/>
      <c r="B2171" s="948" t="s">
        <v>3509</v>
      </c>
      <c r="C2171" s="1197" t="s">
        <v>3510</v>
      </c>
      <c r="D2171" s="1197" t="s">
        <v>3510</v>
      </c>
      <c r="E2171" s="1147" t="s">
        <v>3510</v>
      </c>
      <c r="F2171" s="940"/>
      <c r="G2171" s="953"/>
      <c r="H2171" s="969"/>
      <c r="I2171" s="998" t="s">
        <v>5269</v>
      </c>
      <c r="J2171" s="982" t="s">
        <v>150</v>
      </c>
      <c r="K2171" s="1056" t="s">
        <v>81</v>
      </c>
      <c r="L2171" s="959">
        <v>80.0</v>
      </c>
      <c r="M2171" s="960">
        <v>110.0</v>
      </c>
      <c r="N2171" s="960">
        <v>120.0</v>
      </c>
      <c r="O2171" s="960">
        <v>130.0</v>
      </c>
      <c r="P2171" s="960">
        <v>90.0</v>
      </c>
      <c r="Q2171" s="960">
        <v>70.0</v>
      </c>
      <c r="R2171" s="960">
        <v>176.0</v>
      </c>
      <c r="S2171" s="960">
        <v>239.0</v>
      </c>
      <c r="T2171" s="960">
        <v>262.0</v>
      </c>
      <c r="U2171" s="960">
        <f t="array" ref="U2171">HLOOKUP($J2171,'Type Chart'!$C$2:$T$20,2,false)*HLOOKUP($K2171,'Type Chart'!$C$2:$U$20,2,false)</f>
        <v>1</v>
      </c>
      <c r="V2171" s="960">
        <f t="array" ref="V2171">HLOOKUP($J2171,'Type Chart'!$C$2:$T$20,3,false)*HLOOKUP($K2171,'Type Chart'!$C$2:$U$20,3,false)</f>
        <v>1</v>
      </c>
      <c r="W2171" s="960">
        <f t="array" ref="W2171">HLOOKUP($J2171,'Type Chart'!$C$2:$T$20,4,false)*HLOOKUP($K2171,'Type Chart'!$C$2:$U$20,4,false)</f>
        <v>1</v>
      </c>
      <c r="X2171" s="960">
        <f t="array" ref="X2171">HLOOKUP($J2171,'Type Chart'!$C$2:$T$20,5,false)*HLOOKUP($K2171,'Type Chart'!$C$2:$U$20,5,false)</f>
        <v>1</v>
      </c>
      <c r="Y2171" s="960">
        <f t="array" ref="Y2171">HLOOKUP($J2171,'Type Chart'!$C$2:$T$20,6,false)*HLOOKUP($K2171,'Type Chart'!$C$2:$U$20,6,false)</f>
        <v>2</v>
      </c>
      <c r="Z2171" s="960">
        <f t="array" ref="Z2171">HLOOKUP($J2171,'Type Chart'!$C$2:$T$20,7,false)*HLOOKUP($K2171,'Type Chart'!$C$2:$U$20,7,false)</f>
        <v>2</v>
      </c>
      <c r="AA2171" s="960">
        <f t="array" ref="AA2171">HLOOKUP($J2171,'Type Chart'!$C$2:$T$20,8,false)*HLOOKUP($K2171,'Type Chart'!$C$2:$U$20,8,false)</f>
        <v>0.5</v>
      </c>
      <c r="AB2171" s="960">
        <f t="array" ref="AB2171">HLOOKUP($J2171,'Type Chart'!$C$2:$T$20,9,false)*HLOOKUP($K2171,'Type Chart'!$C$2:$U$20,9,false)</f>
        <v>1</v>
      </c>
      <c r="AC2171" s="960">
        <f t="array" ref="AC2171">HLOOKUP($J2171,'Type Chart'!$C$2:$T$20,10,false)*HLOOKUP($K2171,'Type Chart'!$C$2:$U$20,10,false)</f>
        <v>0.25</v>
      </c>
      <c r="AD2171" s="960">
        <f t="array" ref="AD2171">HLOOKUP($J2171,'Type Chart'!$C$2:$T$20,11,false)*HLOOKUP($K2171,'Type Chart'!$C$2:$U$20,11,false)</f>
        <v>0.25</v>
      </c>
      <c r="AE2171" s="960">
        <f t="array" ref="AE2171">HLOOKUP($J2171,'Type Chart'!$C$2:$T$20,12,false)*HLOOKUP($K2171,'Type Chart'!$C$2:$U$20,12,false)</f>
        <v>1</v>
      </c>
      <c r="AF2171" s="960">
        <f t="array" ref="AF2171">HLOOKUP($J2171,'Type Chart'!$C$2:$T$20,13,false)*HLOOKUP($K2171,'Type Chart'!$C$2:$U$20,13,false)</f>
        <v>1</v>
      </c>
      <c r="AG2171" s="960">
        <f t="array" ref="AG2171">HLOOKUP($J2171,'Type Chart'!$C$2:$T$20,14,false)*HLOOKUP($K2171,'Type Chart'!$C$2:$U$20,14,false)</f>
        <v>2</v>
      </c>
      <c r="AH2171" s="960">
        <f t="array" ref="AH2171">HLOOKUP($J2171,'Type Chart'!$C$2:$T$20,15,false)*HLOOKUP($K2171,'Type Chart'!$C$2:$U$20,15,false)</f>
        <v>1</v>
      </c>
      <c r="AI2171" s="960">
        <f t="array" ref="AI2171">HLOOKUP($J2171,'Type Chart'!$C$2:$T$20,16,false)*HLOOKUP($K2171,'Type Chart'!$C$2:$U$20,16,false)</f>
        <v>0.25</v>
      </c>
      <c r="AJ2171" s="960">
        <f t="array" ref="AJ2171">HLOOKUP($J2171,'Type Chart'!$C$2:$T$20,17,false)*HLOOKUP($K2171,'Type Chart'!$C$2:$U$20,17,false)</f>
        <v>1</v>
      </c>
      <c r="AK2171" s="960">
        <f t="array" ref="AK2171">HLOOKUP($J2171,'Type Chart'!$C$2:$T$20,18,false)*HLOOKUP($K2171,'Type Chart'!$C$2:$U$20,18,false)</f>
        <v>1</v>
      </c>
      <c r="AL2171" s="960">
        <f t="array" ref="AL2171">HLOOKUP($J2171,'Type Chart'!$C$2:$T$20,19,false)*HLOOKUP($K2171,'Type Chart'!$C$2:$U$20,19,false)</f>
        <v>0.5</v>
      </c>
      <c r="AM2171" s="964" t="s">
        <v>1283</v>
      </c>
      <c r="AN2171" s="965"/>
      <c r="AO2171" s="966"/>
      <c r="AP2171" s="936"/>
      <c r="AQ2171" s="1245"/>
      <c r="AR2171" s="1245"/>
      <c r="AS2171" s="936"/>
    </row>
    <row r="2172" ht="15.75" customHeight="1">
      <c r="A2172" s="1099"/>
      <c r="B2172" s="948" t="s">
        <v>3511</v>
      </c>
      <c r="C2172" s="1197" t="s">
        <v>3512</v>
      </c>
      <c r="D2172" s="1197" t="s">
        <v>3512</v>
      </c>
      <c r="E2172" s="1147" t="s">
        <v>3512</v>
      </c>
      <c r="F2172" s="940"/>
      <c r="G2172" s="953"/>
      <c r="H2172" s="969"/>
      <c r="I2172" s="998" t="s">
        <v>5270</v>
      </c>
      <c r="J2172" s="957" t="s">
        <v>209</v>
      </c>
      <c r="K2172" s="1001" t="s">
        <v>128</v>
      </c>
      <c r="L2172" s="959">
        <v>68.0</v>
      </c>
      <c r="M2172" s="960">
        <v>55.0</v>
      </c>
      <c r="N2172" s="960">
        <v>55.0</v>
      </c>
      <c r="O2172" s="960">
        <v>50.0</v>
      </c>
      <c r="P2172" s="960">
        <v>50.0</v>
      </c>
      <c r="Q2172" s="960">
        <v>42.0</v>
      </c>
      <c r="R2172" s="960">
        <v>120.0</v>
      </c>
      <c r="S2172" s="960">
        <v>183.0</v>
      </c>
      <c r="T2172" s="960">
        <v>201.0</v>
      </c>
      <c r="U2172" s="960">
        <f t="array" ref="U2172">HLOOKUP($J2172,'Type Chart'!$C$2:$T$20,2,false)*HLOOKUP($K2172,'Type Chart'!$C$2:$U$20,2,false)</f>
        <v>1</v>
      </c>
      <c r="V2172" s="960">
        <f t="array" ref="V2172">HLOOKUP($J2172,'Type Chart'!$C$2:$T$20,3,false)*HLOOKUP($K2172,'Type Chart'!$C$2:$U$20,3,false)</f>
        <v>0.5</v>
      </c>
      <c r="W2172" s="960">
        <f t="array" ref="W2172">HLOOKUP($J2172,'Type Chart'!$C$2:$T$20,4,false)*HLOOKUP($K2172,'Type Chart'!$C$2:$U$20,4,false)</f>
        <v>2</v>
      </c>
      <c r="X2172" s="960">
        <f t="array" ref="X2172">HLOOKUP($J2172,'Type Chart'!$C$2:$T$20,5,false)*HLOOKUP($K2172,'Type Chart'!$C$2:$U$20,5,false)</f>
        <v>2</v>
      </c>
      <c r="Y2172" s="960">
        <f t="array" ref="Y2172">HLOOKUP($J2172,'Type Chart'!$C$2:$T$20,6,false)*HLOOKUP($K2172,'Type Chart'!$C$2:$U$20,6,false)</f>
        <v>0</v>
      </c>
      <c r="Z2172" s="960">
        <f t="array" ref="Z2172">HLOOKUP($J2172,'Type Chart'!$C$2:$T$20,7,false)*HLOOKUP($K2172,'Type Chart'!$C$2:$U$20,7,false)</f>
        <v>2</v>
      </c>
      <c r="AA2172" s="960">
        <f t="array" ref="AA2172">HLOOKUP($J2172,'Type Chart'!$C$2:$T$20,8,false)*HLOOKUP($K2172,'Type Chart'!$C$2:$U$20,8,false)</f>
        <v>1</v>
      </c>
      <c r="AB2172" s="960">
        <f t="array" ref="AB2172">HLOOKUP($J2172,'Type Chart'!$C$2:$T$20,9,false)*HLOOKUP($K2172,'Type Chart'!$C$2:$U$20,9,false)</f>
        <v>1</v>
      </c>
      <c r="AC2172" s="960">
        <f t="array" ref="AC2172">HLOOKUP($J2172,'Type Chart'!$C$2:$T$20,10,false)*HLOOKUP($K2172,'Type Chart'!$C$2:$U$20,10,false)</f>
        <v>1</v>
      </c>
      <c r="AD2172" s="960">
        <f t="array" ref="AD2172">HLOOKUP($J2172,'Type Chart'!$C$2:$T$20,11,false)*HLOOKUP($K2172,'Type Chart'!$C$2:$U$20,11,false)</f>
        <v>2</v>
      </c>
      <c r="AE2172" s="960">
        <f t="array" ref="AE2172">HLOOKUP($J2172,'Type Chart'!$C$2:$T$20,12,false)*HLOOKUP($K2172,'Type Chart'!$C$2:$U$20,12,false)</f>
        <v>0.5</v>
      </c>
      <c r="AF2172" s="960">
        <f t="array" ref="AF2172">HLOOKUP($J2172,'Type Chart'!$C$2:$T$20,13,false)*HLOOKUP($K2172,'Type Chart'!$C$2:$U$20,13,false)</f>
        <v>0.25</v>
      </c>
      <c r="AG2172" s="960">
        <f t="array" ref="AG2172">HLOOKUP($J2172,'Type Chart'!$C$2:$T$20,14,false)*HLOOKUP($K2172,'Type Chart'!$C$2:$U$20,14,false)</f>
        <v>1</v>
      </c>
      <c r="AH2172" s="960">
        <f t="array" ref="AH2172">HLOOKUP($J2172,'Type Chart'!$C$2:$T$20,15,false)*HLOOKUP($K2172,'Type Chart'!$C$2:$U$20,15,false)</f>
        <v>1</v>
      </c>
      <c r="AI2172" s="960">
        <f t="array" ref="AI2172">HLOOKUP($J2172,'Type Chart'!$C$2:$T$20,16,false)*HLOOKUP($K2172,'Type Chart'!$C$2:$U$20,16,false)</f>
        <v>4</v>
      </c>
      <c r="AJ2172" s="960">
        <f t="array" ref="AJ2172">HLOOKUP($J2172,'Type Chart'!$C$2:$T$20,17,false)*HLOOKUP($K2172,'Type Chart'!$C$2:$U$20,17,false)</f>
        <v>1</v>
      </c>
      <c r="AK2172" s="960">
        <f t="array" ref="AK2172">HLOOKUP($J2172,'Type Chart'!$C$2:$T$20,18,false)*HLOOKUP($K2172,'Type Chart'!$C$2:$U$20,18,false)</f>
        <v>1</v>
      </c>
      <c r="AL2172" s="960">
        <f t="array" ref="AL2172">HLOOKUP($J2172,'Type Chart'!$C$2:$T$20,19,false)*HLOOKUP($K2172,'Type Chart'!$C$2:$U$20,19,false)</f>
        <v>1</v>
      </c>
      <c r="AM2172" s="964" t="s">
        <v>522</v>
      </c>
      <c r="AN2172" s="965"/>
      <c r="AO2172" s="966" t="s">
        <v>3514</v>
      </c>
      <c r="AP2172" s="936"/>
      <c r="AQ2172" s="1245"/>
      <c r="AR2172" s="1245"/>
      <c r="AS2172" s="936"/>
    </row>
    <row r="2173" ht="15.75" customHeight="1">
      <c r="A2173" s="1099"/>
      <c r="B2173" s="948" t="s">
        <v>3515</v>
      </c>
      <c r="C2173" s="1197" t="s">
        <v>3516</v>
      </c>
      <c r="D2173" s="1197" t="s">
        <v>3516</v>
      </c>
      <c r="E2173" s="1147" t="s">
        <v>3516</v>
      </c>
      <c r="F2173" s="940"/>
      <c r="G2173" s="953"/>
      <c r="H2173" s="969"/>
      <c r="I2173" s="998" t="s">
        <v>5271</v>
      </c>
      <c r="J2173" s="957" t="s">
        <v>209</v>
      </c>
      <c r="K2173" s="1001" t="s">
        <v>128</v>
      </c>
      <c r="L2173" s="959">
        <v>78.0</v>
      </c>
      <c r="M2173" s="960">
        <v>75.0</v>
      </c>
      <c r="N2173" s="960">
        <v>75.0</v>
      </c>
      <c r="O2173" s="960">
        <v>70.0</v>
      </c>
      <c r="P2173" s="960">
        <v>70.0</v>
      </c>
      <c r="Q2173" s="960">
        <v>52.0</v>
      </c>
      <c r="R2173" s="960">
        <v>140.0</v>
      </c>
      <c r="S2173" s="960">
        <v>203.0</v>
      </c>
      <c r="T2173" s="960">
        <v>223.0</v>
      </c>
      <c r="U2173" s="960">
        <f t="array" ref="U2173">HLOOKUP($J2173,'Type Chart'!$C$2:$T$20,2,false)*HLOOKUP($K2173,'Type Chart'!$C$2:$U$20,2,false)</f>
        <v>1</v>
      </c>
      <c r="V2173" s="960">
        <f t="array" ref="V2173">HLOOKUP($J2173,'Type Chart'!$C$2:$T$20,3,false)*HLOOKUP($K2173,'Type Chart'!$C$2:$U$20,3,false)</f>
        <v>0.5</v>
      </c>
      <c r="W2173" s="960">
        <f t="array" ref="W2173">HLOOKUP($J2173,'Type Chart'!$C$2:$T$20,4,false)*HLOOKUP($K2173,'Type Chart'!$C$2:$U$20,4,false)</f>
        <v>2</v>
      </c>
      <c r="X2173" s="960">
        <f t="array" ref="X2173">HLOOKUP($J2173,'Type Chart'!$C$2:$T$20,5,false)*HLOOKUP($K2173,'Type Chart'!$C$2:$U$20,5,false)</f>
        <v>2</v>
      </c>
      <c r="Y2173" s="960">
        <f t="array" ref="Y2173">HLOOKUP($J2173,'Type Chart'!$C$2:$T$20,6,false)*HLOOKUP($K2173,'Type Chart'!$C$2:$U$20,6,false)</f>
        <v>0</v>
      </c>
      <c r="Z2173" s="960">
        <f t="array" ref="Z2173">HLOOKUP($J2173,'Type Chart'!$C$2:$T$20,7,false)*HLOOKUP($K2173,'Type Chart'!$C$2:$U$20,7,false)</f>
        <v>2</v>
      </c>
      <c r="AA2173" s="960">
        <f t="array" ref="AA2173">HLOOKUP($J2173,'Type Chart'!$C$2:$T$20,8,false)*HLOOKUP($K2173,'Type Chart'!$C$2:$U$20,8,false)</f>
        <v>1</v>
      </c>
      <c r="AB2173" s="960">
        <f t="array" ref="AB2173">HLOOKUP($J2173,'Type Chart'!$C$2:$T$20,9,false)*HLOOKUP($K2173,'Type Chart'!$C$2:$U$20,9,false)</f>
        <v>1</v>
      </c>
      <c r="AC2173" s="960">
        <f t="array" ref="AC2173">HLOOKUP($J2173,'Type Chart'!$C$2:$T$20,10,false)*HLOOKUP($K2173,'Type Chart'!$C$2:$U$20,10,false)</f>
        <v>1</v>
      </c>
      <c r="AD2173" s="960">
        <f t="array" ref="AD2173">HLOOKUP($J2173,'Type Chart'!$C$2:$T$20,11,false)*HLOOKUP($K2173,'Type Chart'!$C$2:$U$20,11,false)</f>
        <v>2</v>
      </c>
      <c r="AE2173" s="960">
        <f t="array" ref="AE2173">HLOOKUP($J2173,'Type Chart'!$C$2:$T$20,12,false)*HLOOKUP($K2173,'Type Chart'!$C$2:$U$20,12,false)</f>
        <v>0.5</v>
      </c>
      <c r="AF2173" s="960">
        <f t="array" ref="AF2173">HLOOKUP($J2173,'Type Chart'!$C$2:$T$20,13,false)*HLOOKUP($K2173,'Type Chart'!$C$2:$U$20,13,false)</f>
        <v>0.25</v>
      </c>
      <c r="AG2173" s="960">
        <f t="array" ref="AG2173">HLOOKUP($J2173,'Type Chart'!$C$2:$T$20,14,false)*HLOOKUP($K2173,'Type Chart'!$C$2:$U$20,14,false)</f>
        <v>1</v>
      </c>
      <c r="AH2173" s="960">
        <f t="array" ref="AH2173">HLOOKUP($J2173,'Type Chart'!$C$2:$T$20,15,false)*HLOOKUP($K2173,'Type Chart'!$C$2:$U$20,15,false)</f>
        <v>1</v>
      </c>
      <c r="AI2173" s="960">
        <f t="array" ref="AI2173">HLOOKUP($J2173,'Type Chart'!$C$2:$T$20,16,false)*HLOOKUP($K2173,'Type Chart'!$C$2:$U$20,16,false)</f>
        <v>4</v>
      </c>
      <c r="AJ2173" s="960">
        <f t="array" ref="AJ2173">HLOOKUP($J2173,'Type Chart'!$C$2:$T$20,17,false)*HLOOKUP($K2173,'Type Chart'!$C$2:$U$20,17,false)</f>
        <v>1</v>
      </c>
      <c r="AK2173" s="960">
        <f t="array" ref="AK2173">HLOOKUP($J2173,'Type Chart'!$C$2:$T$20,18,false)*HLOOKUP($K2173,'Type Chart'!$C$2:$U$20,18,false)</f>
        <v>1</v>
      </c>
      <c r="AL2173" s="960">
        <f t="array" ref="AL2173">HLOOKUP($J2173,'Type Chart'!$C$2:$T$20,19,false)*HLOOKUP($K2173,'Type Chart'!$C$2:$U$20,19,false)</f>
        <v>1</v>
      </c>
      <c r="AM2173" s="1145" t="s">
        <v>522</v>
      </c>
      <c r="AN2173" s="965"/>
      <c r="AO2173" s="1146" t="s">
        <v>3514</v>
      </c>
      <c r="AP2173" s="936"/>
      <c r="AQ2173" s="1245"/>
      <c r="AR2173" s="1245"/>
      <c r="AS2173" s="936"/>
    </row>
    <row r="2174" ht="15.75" customHeight="1">
      <c r="A2174" s="1099"/>
      <c r="B2174" s="948" t="s">
        <v>3518</v>
      </c>
      <c r="C2174" s="1197" t="s">
        <v>3519</v>
      </c>
      <c r="D2174" s="1197" t="s">
        <v>3519</v>
      </c>
      <c r="E2174" s="1147" t="s">
        <v>3519</v>
      </c>
      <c r="F2174" s="940"/>
      <c r="G2174" s="953"/>
      <c r="H2174" s="969"/>
      <c r="I2174" s="998" t="s">
        <v>5272</v>
      </c>
      <c r="J2174" s="957" t="s">
        <v>209</v>
      </c>
      <c r="K2174" s="1220" t="s">
        <v>215</v>
      </c>
      <c r="L2174" s="959">
        <v>78.0</v>
      </c>
      <c r="M2174" s="960">
        <v>107.0</v>
      </c>
      <c r="N2174" s="960">
        <v>75.0</v>
      </c>
      <c r="O2174" s="960">
        <v>100.0</v>
      </c>
      <c r="P2174" s="960">
        <v>100.0</v>
      </c>
      <c r="Q2174" s="960">
        <v>70.0</v>
      </c>
      <c r="R2174" s="960">
        <v>176.0</v>
      </c>
      <c r="S2174" s="960">
        <v>239.0</v>
      </c>
      <c r="T2174" s="960">
        <v>262.0</v>
      </c>
      <c r="U2174" s="960">
        <f t="array" ref="U2174">HLOOKUP($J2174,'Type Chart'!$C$2:$T$20,2,false)*HLOOKUP($K2174,'Type Chart'!$C$2:$U$20,2,false)</f>
        <v>0</v>
      </c>
      <c r="V2174" s="960">
        <f t="array" ref="V2174">HLOOKUP($J2174,'Type Chart'!$C$2:$T$20,3,false)*HLOOKUP($K2174,'Type Chart'!$C$2:$U$20,3,false)</f>
        <v>0</v>
      </c>
      <c r="W2174" s="960">
        <f t="array" ref="W2174">HLOOKUP($J2174,'Type Chart'!$C$2:$T$20,4,false)*HLOOKUP($K2174,'Type Chart'!$C$2:$U$20,4,false)</f>
        <v>2</v>
      </c>
      <c r="X2174" s="960">
        <f t="array" ref="X2174">HLOOKUP($J2174,'Type Chart'!$C$2:$T$20,5,false)*HLOOKUP($K2174,'Type Chart'!$C$2:$U$20,5,false)</f>
        <v>1</v>
      </c>
      <c r="Y2174" s="960">
        <f t="array" ref="Y2174">HLOOKUP($J2174,'Type Chart'!$C$2:$T$20,6,false)*HLOOKUP($K2174,'Type Chart'!$C$2:$U$20,6,false)</f>
        <v>0.5</v>
      </c>
      <c r="Z2174" s="960">
        <f t="array" ref="Z2174">HLOOKUP($J2174,'Type Chart'!$C$2:$T$20,7,false)*HLOOKUP($K2174,'Type Chart'!$C$2:$U$20,7,false)</f>
        <v>1</v>
      </c>
      <c r="AA2174" s="960">
        <f t="array" ref="AA2174">HLOOKUP($J2174,'Type Chart'!$C$2:$T$20,8,false)*HLOOKUP($K2174,'Type Chart'!$C$2:$U$20,8,false)</f>
        <v>1</v>
      </c>
      <c r="AB2174" s="960">
        <f t="array" ref="AB2174">HLOOKUP($J2174,'Type Chart'!$C$2:$T$20,9,false)*HLOOKUP($K2174,'Type Chart'!$C$2:$U$20,9,false)</f>
        <v>2</v>
      </c>
      <c r="AC2174" s="960">
        <f t="array" ref="AC2174">HLOOKUP($J2174,'Type Chart'!$C$2:$T$20,10,false)*HLOOKUP($K2174,'Type Chart'!$C$2:$U$20,10,false)</f>
        <v>1</v>
      </c>
      <c r="AD2174" s="960">
        <f t="array" ref="AD2174">HLOOKUP($J2174,'Type Chart'!$C$2:$T$20,11,false)*HLOOKUP($K2174,'Type Chart'!$C$2:$U$20,11,false)</f>
        <v>2</v>
      </c>
      <c r="AE2174" s="960">
        <f t="array" ref="AE2174">HLOOKUP($J2174,'Type Chart'!$C$2:$T$20,12,false)*HLOOKUP($K2174,'Type Chart'!$C$2:$U$20,12,false)</f>
        <v>0.5</v>
      </c>
      <c r="AF2174" s="960">
        <f t="array" ref="AF2174">HLOOKUP($J2174,'Type Chart'!$C$2:$T$20,13,false)*HLOOKUP($K2174,'Type Chart'!$C$2:$U$20,13,false)</f>
        <v>0.5</v>
      </c>
      <c r="AG2174" s="960">
        <f t="array" ref="AG2174">HLOOKUP($J2174,'Type Chart'!$C$2:$T$20,14,false)*HLOOKUP($K2174,'Type Chart'!$C$2:$U$20,14,false)</f>
        <v>0.5</v>
      </c>
      <c r="AH2174" s="960">
        <f t="array" ref="AH2174">HLOOKUP($J2174,'Type Chart'!$C$2:$T$20,15,false)*HLOOKUP($K2174,'Type Chart'!$C$2:$U$20,15,false)</f>
        <v>1</v>
      </c>
      <c r="AI2174" s="960">
        <f t="array" ref="AI2174">HLOOKUP($J2174,'Type Chart'!$C$2:$T$20,16,false)*HLOOKUP($K2174,'Type Chart'!$C$2:$U$20,16,false)</f>
        <v>2</v>
      </c>
      <c r="AJ2174" s="960">
        <f t="array" ref="AJ2174">HLOOKUP($J2174,'Type Chart'!$C$2:$T$20,17,false)*HLOOKUP($K2174,'Type Chart'!$C$2:$U$20,17,false)</f>
        <v>1</v>
      </c>
      <c r="AK2174" s="960">
        <f t="array" ref="AK2174">HLOOKUP($J2174,'Type Chart'!$C$2:$T$20,18,false)*HLOOKUP($K2174,'Type Chart'!$C$2:$U$20,18,false)</f>
        <v>2</v>
      </c>
      <c r="AL2174" s="960">
        <f t="array" ref="AL2174">HLOOKUP($J2174,'Type Chart'!$C$2:$T$20,19,false)*HLOOKUP($K2174,'Type Chart'!$C$2:$U$20,19,false)</f>
        <v>1</v>
      </c>
      <c r="AM2174" s="964" t="s">
        <v>522</v>
      </c>
      <c r="AN2174" s="965"/>
      <c r="AO2174" s="966" t="s">
        <v>3514</v>
      </c>
      <c r="AP2174" s="936"/>
      <c r="AQ2174" s="1245"/>
      <c r="AR2174" s="1245"/>
      <c r="AS2174" s="936"/>
    </row>
    <row r="2175" ht="15.75" customHeight="1">
      <c r="A2175" s="1099"/>
      <c r="B2175" s="948" t="s">
        <v>3520</v>
      </c>
      <c r="C2175" s="1197" t="s">
        <v>3521</v>
      </c>
      <c r="D2175" s="1197" t="s">
        <v>3521</v>
      </c>
      <c r="E2175" s="1147" t="s">
        <v>3521</v>
      </c>
      <c r="F2175" s="940"/>
      <c r="G2175" s="953"/>
      <c r="H2175" s="969"/>
      <c r="I2175" s="998" t="s">
        <v>5273</v>
      </c>
      <c r="J2175" s="1235" t="s">
        <v>209</v>
      </c>
      <c r="K2175" s="1236" t="s">
        <v>341</v>
      </c>
      <c r="L2175" s="1237">
        <v>78.0</v>
      </c>
      <c r="M2175" s="1238">
        <v>107.0</v>
      </c>
      <c r="N2175" s="1238">
        <v>75.0</v>
      </c>
      <c r="O2175" s="1238">
        <v>100.0</v>
      </c>
      <c r="P2175" s="1238">
        <v>100.0</v>
      </c>
      <c r="Q2175" s="1238">
        <v>70.0</v>
      </c>
      <c r="R2175" s="960">
        <v>176.0</v>
      </c>
      <c r="S2175" s="960">
        <v>239.0</v>
      </c>
      <c r="T2175" s="960">
        <v>262.0</v>
      </c>
      <c r="U2175" s="960">
        <f t="array" ref="U2175">HLOOKUP($J2175,'Type Chart'!$C$2:$T$20,2,false)*HLOOKUP($K2175,'Type Chart'!$C$2:$U$20,2,false)</f>
        <v>1</v>
      </c>
      <c r="V2175" s="960">
        <f t="array" ref="V2175">HLOOKUP($J2175,'Type Chart'!$C$2:$T$20,3,false)*HLOOKUP($K2175,'Type Chart'!$C$2:$U$20,3,false)</f>
        <v>1</v>
      </c>
      <c r="W2175" s="960">
        <f t="array" ref="W2175">HLOOKUP($J2175,'Type Chart'!$C$2:$T$20,4,false)*HLOOKUP($K2175,'Type Chart'!$C$2:$U$20,4,false)</f>
        <v>4</v>
      </c>
      <c r="X2175" s="960">
        <f t="array" ref="X2175">HLOOKUP($J2175,'Type Chart'!$C$2:$T$20,5,false)*HLOOKUP($K2175,'Type Chart'!$C$2:$U$20,5,false)</f>
        <v>2</v>
      </c>
      <c r="Y2175" s="960">
        <f t="array" ref="Y2175">HLOOKUP($J2175,'Type Chart'!$C$2:$T$20,6,false)*HLOOKUP($K2175,'Type Chart'!$C$2:$U$20,6,false)</f>
        <v>0.5</v>
      </c>
      <c r="Z2175" s="960">
        <f t="array" ref="Z2175">HLOOKUP($J2175,'Type Chart'!$C$2:$T$20,7,false)*HLOOKUP($K2175,'Type Chart'!$C$2:$U$20,7,false)</f>
        <v>0.5</v>
      </c>
      <c r="AA2175" s="960">
        <f t="array" ref="AA2175">HLOOKUP($J2175,'Type Chart'!$C$2:$T$20,8,false)*HLOOKUP($K2175,'Type Chart'!$C$2:$U$20,8,false)</f>
        <v>1</v>
      </c>
      <c r="AB2175" s="960">
        <f t="array" ref="AB2175">HLOOKUP($J2175,'Type Chart'!$C$2:$T$20,9,false)*HLOOKUP($K2175,'Type Chart'!$C$2:$U$20,9,false)</f>
        <v>1</v>
      </c>
      <c r="AC2175" s="960">
        <f t="array" ref="AC2175">HLOOKUP($J2175,'Type Chart'!$C$2:$T$20,10,false)*HLOOKUP($K2175,'Type Chart'!$C$2:$U$20,10,false)</f>
        <v>1</v>
      </c>
      <c r="AD2175" s="960">
        <f t="array" ref="AD2175">HLOOKUP($J2175,'Type Chart'!$C$2:$T$20,11,false)*HLOOKUP($K2175,'Type Chart'!$C$2:$U$20,11,false)</f>
        <v>2</v>
      </c>
      <c r="AE2175" s="960">
        <f t="array" ref="AE2175">HLOOKUP($J2175,'Type Chart'!$C$2:$T$20,12,false)*HLOOKUP($K2175,'Type Chart'!$C$2:$U$20,12,false)</f>
        <v>0.5</v>
      </c>
      <c r="AF2175" s="960">
        <f t="array" ref="AF2175">HLOOKUP($J2175,'Type Chart'!$C$2:$T$20,13,false)*HLOOKUP($K2175,'Type Chart'!$C$2:$U$20,13,false)</f>
        <v>0.5</v>
      </c>
      <c r="AG2175" s="960">
        <f t="array" ref="AG2175">HLOOKUP($J2175,'Type Chart'!$C$2:$T$20,14,false)*HLOOKUP($K2175,'Type Chart'!$C$2:$U$20,14,false)</f>
        <v>0.5</v>
      </c>
      <c r="AH2175" s="960">
        <f t="array" ref="AH2175">HLOOKUP($J2175,'Type Chart'!$C$2:$T$20,15,false)*HLOOKUP($K2175,'Type Chart'!$C$2:$U$20,15,false)</f>
        <v>2</v>
      </c>
      <c r="AI2175" s="960">
        <f t="array" ref="AI2175">HLOOKUP($J2175,'Type Chart'!$C$2:$T$20,16,false)*HLOOKUP($K2175,'Type Chart'!$C$2:$U$20,16,false)</f>
        <v>2</v>
      </c>
      <c r="AJ2175" s="960">
        <f t="array" ref="AJ2175">HLOOKUP($J2175,'Type Chart'!$C$2:$T$20,17,false)*HLOOKUP($K2175,'Type Chart'!$C$2:$U$20,17,false)</f>
        <v>1</v>
      </c>
      <c r="AK2175" s="960">
        <f t="array" ref="AK2175">HLOOKUP($J2175,'Type Chart'!$C$2:$T$20,18,false)*HLOOKUP($K2175,'Type Chart'!$C$2:$U$20,18,false)</f>
        <v>0.5</v>
      </c>
      <c r="AL2175" s="960">
        <f t="array" ref="AL2175">HLOOKUP($J2175,'Type Chart'!$C$2:$T$20,19,false)*HLOOKUP($K2175,'Type Chart'!$C$2:$U$20,19,false)</f>
        <v>2</v>
      </c>
      <c r="AM2175" s="1145"/>
      <c r="AN2175" s="965"/>
      <c r="AO2175" s="966"/>
      <c r="AP2175" s="936"/>
      <c r="AQ2175" s="1245"/>
      <c r="AR2175" s="1245"/>
      <c r="AS2175" s="936"/>
    </row>
    <row r="2176" ht="15.75" customHeight="1">
      <c r="A2176" s="1099"/>
      <c r="B2176" s="948" t="s">
        <v>3522</v>
      </c>
      <c r="C2176" s="1197" t="s">
        <v>3523</v>
      </c>
      <c r="D2176" s="1197" t="s">
        <v>3523</v>
      </c>
      <c r="E2176" s="1147" t="s">
        <v>3523</v>
      </c>
      <c r="F2176" s="940"/>
      <c r="G2176" s="953"/>
      <c r="H2176" s="969"/>
      <c r="I2176" s="998" t="s">
        <v>5274</v>
      </c>
      <c r="J2176" s="982" t="s">
        <v>150</v>
      </c>
      <c r="K2176" s="984" t="s">
        <v>216</v>
      </c>
      <c r="L2176" s="959">
        <v>45.0</v>
      </c>
      <c r="M2176" s="960">
        <v>65.0</v>
      </c>
      <c r="N2176" s="960">
        <v>40.0</v>
      </c>
      <c r="O2176" s="960">
        <v>60.0</v>
      </c>
      <c r="P2176" s="960">
        <v>40.0</v>
      </c>
      <c r="Q2176" s="960">
        <v>70.0</v>
      </c>
      <c r="R2176" s="960">
        <v>176.0</v>
      </c>
      <c r="S2176" s="960">
        <v>239.0</v>
      </c>
      <c r="T2176" s="960">
        <v>262.0</v>
      </c>
      <c r="U2176" s="960">
        <f t="array" ref="U2176">HLOOKUP($J2176,'Type Chart'!$C$2:$T$20,2,false)*HLOOKUP($K2176,'Type Chart'!$C$2:$U$20,2,false)</f>
        <v>1</v>
      </c>
      <c r="V2176" s="960">
        <f t="array" ref="V2176">HLOOKUP($J2176,'Type Chart'!$C$2:$T$20,3,false)*HLOOKUP($K2176,'Type Chart'!$C$2:$U$20,3,false)</f>
        <v>1</v>
      </c>
      <c r="W2176" s="960">
        <f t="array" ref="W2176">HLOOKUP($J2176,'Type Chart'!$C$2:$T$20,4,false)*HLOOKUP($K2176,'Type Chart'!$C$2:$U$20,4,false)</f>
        <v>1</v>
      </c>
      <c r="X2176" s="960">
        <f t="array" ref="X2176">HLOOKUP($J2176,'Type Chart'!$C$2:$T$20,5,false)*HLOOKUP($K2176,'Type Chart'!$C$2:$U$20,5,false)</f>
        <v>1</v>
      </c>
      <c r="Y2176" s="960">
        <f t="array" ref="Y2176">HLOOKUP($J2176,'Type Chart'!$C$2:$T$20,6,false)*HLOOKUP($K2176,'Type Chart'!$C$2:$U$20,6,false)</f>
        <v>2</v>
      </c>
      <c r="Z2176" s="960">
        <f t="array" ref="Z2176">HLOOKUP($J2176,'Type Chart'!$C$2:$T$20,7,false)*HLOOKUP($K2176,'Type Chart'!$C$2:$U$20,7,false)</f>
        <v>2</v>
      </c>
      <c r="AA2176" s="960">
        <f t="array" ref="AA2176">HLOOKUP($J2176,'Type Chart'!$C$2:$T$20,8,false)*HLOOKUP($K2176,'Type Chart'!$C$2:$U$20,8,false)</f>
        <v>0.5</v>
      </c>
      <c r="AB2176" s="960">
        <f t="array" ref="AB2176">HLOOKUP($J2176,'Type Chart'!$C$2:$T$20,9,false)*HLOOKUP($K2176,'Type Chart'!$C$2:$U$20,9,false)</f>
        <v>1</v>
      </c>
      <c r="AC2176" s="960">
        <f t="array" ref="AC2176">HLOOKUP($J2176,'Type Chart'!$C$2:$T$20,10,false)*HLOOKUP($K2176,'Type Chart'!$C$2:$U$20,10,false)</f>
        <v>0.5</v>
      </c>
      <c r="AD2176" s="960">
        <f t="array" ref="AD2176">HLOOKUP($J2176,'Type Chart'!$C$2:$T$20,11,false)*HLOOKUP($K2176,'Type Chart'!$C$2:$U$20,11,false)</f>
        <v>0.5</v>
      </c>
      <c r="AE2176" s="960">
        <f t="array" ref="AE2176">HLOOKUP($J2176,'Type Chart'!$C$2:$T$20,12,false)*HLOOKUP($K2176,'Type Chart'!$C$2:$U$20,12,false)</f>
        <v>2</v>
      </c>
      <c r="AF2176" s="960">
        <f t="array" ref="AF2176">HLOOKUP($J2176,'Type Chart'!$C$2:$T$20,13,false)*HLOOKUP($K2176,'Type Chart'!$C$2:$U$20,13,false)</f>
        <v>0.5</v>
      </c>
      <c r="AG2176" s="960">
        <f t="array" ref="AG2176">HLOOKUP($J2176,'Type Chart'!$C$2:$T$20,14,false)*HLOOKUP($K2176,'Type Chart'!$C$2:$U$20,14,false)</f>
        <v>1</v>
      </c>
      <c r="AH2176" s="960">
        <f t="array" ref="AH2176">HLOOKUP($J2176,'Type Chart'!$C$2:$T$20,15,false)*HLOOKUP($K2176,'Type Chart'!$C$2:$U$20,15,false)</f>
        <v>1</v>
      </c>
      <c r="AI2176" s="960">
        <f t="array" ref="AI2176">HLOOKUP($J2176,'Type Chart'!$C$2:$T$20,16,false)*HLOOKUP($K2176,'Type Chart'!$C$2:$U$20,16,false)</f>
        <v>0.5</v>
      </c>
      <c r="AJ2176" s="960">
        <f t="array" ref="AJ2176">HLOOKUP($J2176,'Type Chart'!$C$2:$T$20,17,false)*HLOOKUP($K2176,'Type Chart'!$C$2:$U$20,17,false)</f>
        <v>1</v>
      </c>
      <c r="AK2176" s="960">
        <f t="array" ref="AK2176">HLOOKUP($J2176,'Type Chart'!$C$2:$T$20,18,false)*HLOOKUP($K2176,'Type Chart'!$C$2:$U$20,18,false)</f>
        <v>1</v>
      </c>
      <c r="AL2176" s="960">
        <f t="array" ref="AL2176">HLOOKUP($J2176,'Type Chart'!$C$2:$T$20,19,false)*HLOOKUP($K2176,'Type Chart'!$C$2:$U$20,19,false)</f>
        <v>0.5</v>
      </c>
      <c r="AM2176" s="964" t="s">
        <v>830</v>
      </c>
      <c r="AN2176" s="965"/>
      <c r="AO2176" s="966" t="s">
        <v>1061</v>
      </c>
      <c r="AP2176" s="936"/>
      <c r="AQ2176" s="1245"/>
      <c r="AR2176" s="1245"/>
      <c r="AS2176" s="936"/>
    </row>
    <row r="2177" ht="15.75" customHeight="1">
      <c r="A2177" s="1099"/>
      <c r="B2177" s="948" t="s">
        <v>3525</v>
      </c>
      <c r="C2177" s="1197" t="s">
        <v>3526</v>
      </c>
      <c r="D2177" s="1197" t="s">
        <v>3526</v>
      </c>
      <c r="E2177" s="1147" t="s">
        <v>3526</v>
      </c>
      <c r="F2177" s="940"/>
      <c r="G2177" s="953"/>
      <c r="H2177" s="969"/>
      <c r="I2177" s="998" t="s">
        <v>5275</v>
      </c>
      <c r="J2177" s="982" t="s">
        <v>150</v>
      </c>
      <c r="K2177" s="984" t="s">
        <v>216</v>
      </c>
      <c r="L2177" s="959">
        <v>65.0</v>
      </c>
      <c r="M2177" s="960">
        <v>85.0</v>
      </c>
      <c r="N2177" s="960">
        <v>50.0</v>
      </c>
      <c r="O2177" s="960">
        <v>80.0</v>
      </c>
      <c r="P2177" s="960">
        <v>50.0</v>
      </c>
      <c r="Q2177" s="960">
        <v>90.0</v>
      </c>
      <c r="R2177" s="960">
        <v>216.0</v>
      </c>
      <c r="S2177" s="960">
        <v>279.0</v>
      </c>
      <c r="T2177" s="960">
        <v>306.0</v>
      </c>
      <c r="U2177" s="960">
        <f t="array" ref="U2177">HLOOKUP($J2177,'Type Chart'!$C$2:$T$20,2,false)*HLOOKUP($K2177,'Type Chart'!$C$2:$U$20,2,false)</f>
        <v>1</v>
      </c>
      <c r="V2177" s="960">
        <f t="array" ref="V2177">HLOOKUP($J2177,'Type Chart'!$C$2:$T$20,3,false)*HLOOKUP($K2177,'Type Chart'!$C$2:$U$20,3,false)</f>
        <v>1</v>
      </c>
      <c r="W2177" s="960">
        <f t="array" ref="W2177">HLOOKUP($J2177,'Type Chart'!$C$2:$T$20,4,false)*HLOOKUP($K2177,'Type Chart'!$C$2:$U$20,4,false)</f>
        <v>1</v>
      </c>
      <c r="X2177" s="960">
        <f t="array" ref="X2177">HLOOKUP($J2177,'Type Chart'!$C$2:$T$20,5,false)*HLOOKUP($K2177,'Type Chart'!$C$2:$U$20,5,false)</f>
        <v>1</v>
      </c>
      <c r="Y2177" s="960">
        <f t="array" ref="Y2177">HLOOKUP($J2177,'Type Chart'!$C$2:$T$20,6,false)*HLOOKUP($K2177,'Type Chart'!$C$2:$U$20,6,false)</f>
        <v>2</v>
      </c>
      <c r="Z2177" s="960">
        <f t="array" ref="Z2177">HLOOKUP($J2177,'Type Chart'!$C$2:$T$20,7,false)*HLOOKUP($K2177,'Type Chart'!$C$2:$U$20,7,false)</f>
        <v>2</v>
      </c>
      <c r="AA2177" s="960">
        <f t="array" ref="AA2177">HLOOKUP($J2177,'Type Chart'!$C$2:$T$20,8,false)*HLOOKUP($K2177,'Type Chart'!$C$2:$U$20,8,false)</f>
        <v>0.5</v>
      </c>
      <c r="AB2177" s="960">
        <f t="array" ref="AB2177">HLOOKUP($J2177,'Type Chart'!$C$2:$T$20,9,false)*HLOOKUP($K2177,'Type Chart'!$C$2:$U$20,9,false)</f>
        <v>1</v>
      </c>
      <c r="AC2177" s="960">
        <f t="array" ref="AC2177">HLOOKUP($J2177,'Type Chart'!$C$2:$T$20,10,false)*HLOOKUP($K2177,'Type Chart'!$C$2:$U$20,10,false)</f>
        <v>0.5</v>
      </c>
      <c r="AD2177" s="960">
        <f t="array" ref="AD2177">HLOOKUP($J2177,'Type Chart'!$C$2:$T$20,11,false)*HLOOKUP($K2177,'Type Chart'!$C$2:$U$20,11,false)</f>
        <v>0.5</v>
      </c>
      <c r="AE2177" s="960">
        <f t="array" ref="AE2177">HLOOKUP($J2177,'Type Chart'!$C$2:$T$20,12,false)*HLOOKUP($K2177,'Type Chart'!$C$2:$U$20,12,false)</f>
        <v>2</v>
      </c>
      <c r="AF2177" s="960">
        <f t="array" ref="AF2177">HLOOKUP($J2177,'Type Chart'!$C$2:$T$20,13,false)*HLOOKUP($K2177,'Type Chart'!$C$2:$U$20,13,false)</f>
        <v>0.5</v>
      </c>
      <c r="AG2177" s="960">
        <f t="array" ref="AG2177">HLOOKUP($J2177,'Type Chart'!$C$2:$T$20,14,false)*HLOOKUP($K2177,'Type Chart'!$C$2:$U$20,14,false)</f>
        <v>1</v>
      </c>
      <c r="AH2177" s="960">
        <f t="array" ref="AH2177">HLOOKUP($J2177,'Type Chart'!$C$2:$T$20,15,false)*HLOOKUP($K2177,'Type Chart'!$C$2:$U$20,15,false)</f>
        <v>1</v>
      </c>
      <c r="AI2177" s="960">
        <f t="array" ref="AI2177">HLOOKUP($J2177,'Type Chart'!$C$2:$T$20,16,false)*HLOOKUP($K2177,'Type Chart'!$C$2:$U$20,16,false)</f>
        <v>0.5</v>
      </c>
      <c r="AJ2177" s="960">
        <f t="array" ref="AJ2177">HLOOKUP($J2177,'Type Chart'!$C$2:$T$20,17,false)*HLOOKUP($K2177,'Type Chart'!$C$2:$U$20,17,false)</f>
        <v>1</v>
      </c>
      <c r="AK2177" s="960">
        <f t="array" ref="AK2177">HLOOKUP($J2177,'Type Chart'!$C$2:$T$20,18,false)*HLOOKUP($K2177,'Type Chart'!$C$2:$U$20,18,false)</f>
        <v>1</v>
      </c>
      <c r="AL2177" s="960">
        <f t="array" ref="AL2177">HLOOKUP($J2177,'Type Chart'!$C$2:$T$20,19,false)*HLOOKUP($K2177,'Type Chart'!$C$2:$U$20,19,false)</f>
        <v>0.5</v>
      </c>
      <c r="AM2177" s="964" t="s">
        <v>830</v>
      </c>
      <c r="AN2177" s="965"/>
      <c r="AO2177" s="966" t="s">
        <v>1061</v>
      </c>
      <c r="AP2177" s="936"/>
      <c r="AQ2177" s="1245"/>
      <c r="AR2177" s="1245"/>
      <c r="AS2177" s="936"/>
    </row>
    <row r="2178" ht="15.75" customHeight="1">
      <c r="A2178" s="1099"/>
      <c r="B2178" s="948" t="s">
        <v>3527</v>
      </c>
      <c r="C2178" s="1197" t="s">
        <v>3528</v>
      </c>
      <c r="D2178" s="1197" t="s">
        <v>3528</v>
      </c>
      <c r="E2178" s="1147" t="s">
        <v>3528</v>
      </c>
      <c r="F2178" s="940"/>
      <c r="G2178" s="953"/>
      <c r="H2178" s="969"/>
      <c r="I2178" s="998" t="s">
        <v>5276</v>
      </c>
      <c r="J2178" s="982" t="s">
        <v>150</v>
      </c>
      <c r="K2178" s="1195" t="s">
        <v>193</v>
      </c>
      <c r="L2178" s="959">
        <v>95.0</v>
      </c>
      <c r="M2178" s="960">
        <v>115.0</v>
      </c>
      <c r="N2178" s="960">
        <v>90.0</v>
      </c>
      <c r="O2178" s="960">
        <v>80.0</v>
      </c>
      <c r="P2178" s="960">
        <v>90.0</v>
      </c>
      <c r="Q2178" s="960">
        <v>60.0</v>
      </c>
      <c r="R2178" s="960">
        <v>156.0</v>
      </c>
      <c r="S2178" s="960">
        <v>219.0</v>
      </c>
      <c r="T2178" s="960">
        <v>240.0</v>
      </c>
      <c r="U2178" s="960">
        <f t="array" ref="U2178">HLOOKUP($J2178,'Type Chart'!$C$2:$T$20,2,false)*HLOOKUP($K2178,'Type Chart'!$C$2:$U$20,2,false)</f>
        <v>1</v>
      </c>
      <c r="V2178" s="960">
        <f t="array" ref="V2178">HLOOKUP($J2178,'Type Chart'!$C$2:$T$20,3,false)*HLOOKUP($K2178,'Type Chart'!$C$2:$U$20,3,false)</f>
        <v>2</v>
      </c>
      <c r="W2178" s="960">
        <f t="array" ref="W2178">HLOOKUP($J2178,'Type Chart'!$C$2:$T$20,4,false)*HLOOKUP($K2178,'Type Chart'!$C$2:$U$20,4,false)</f>
        <v>1</v>
      </c>
      <c r="X2178" s="960">
        <f t="array" ref="X2178">HLOOKUP($J2178,'Type Chart'!$C$2:$T$20,5,false)*HLOOKUP($K2178,'Type Chart'!$C$2:$U$20,5,false)</f>
        <v>1</v>
      </c>
      <c r="Y2178" s="960">
        <f t="array" ref="Y2178">HLOOKUP($J2178,'Type Chart'!$C$2:$T$20,6,false)*HLOOKUP($K2178,'Type Chart'!$C$2:$U$20,6,false)</f>
        <v>2</v>
      </c>
      <c r="Z2178" s="960">
        <f t="array" ref="Z2178">HLOOKUP($J2178,'Type Chart'!$C$2:$T$20,7,false)*HLOOKUP($K2178,'Type Chart'!$C$2:$U$20,7,false)</f>
        <v>2</v>
      </c>
      <c r="AA2178" s="960">
        <f t="array" ref="AA2178">HLOOKUP($J2178,'Type Chart'!$C$2:$T$20,8,false)*HLOOKUP($K2178,'Type Chart'!$C$2:$U$20,8,false)</f>
        <v>1</v>
      </c>
      <c r="AB2178" s="960">
        <f t="array" ref="AB2178">HLOOKUP($J2178,'Type Chart'!$C$2:$T$20,9,false)*HLOOKUP($K2178,'Type Chart'!$C$2:$U$20,9,false)</f>
        <v>0.5</v>
      </c>
      <c r="AC2178" s="960">
        <f t="array" ref="AC2178">HLOOKUP($J2178,'Type Chart'!$C$2:$T$20,10,false)*HLOOKUP($K2178,'Type Chart'!$C$2:$U$20,10,false)</f>
        <v>0.5</v>
      </c>
      <c r="AD2178" s="960">
        <f t="array" ref="AD2178">HLOOKUP($J2178,'Type Chart'!$C$2:$T$20,11,false)*HLOOKUP($K2178,'Type Chart'!$C$2:$U$20,11,false)</f>
        <v>0.5</v>
      </c>
      <c r="AE2178" s="960">
        <f t="array" ref="AE2178">HLOOKUP($J2178,'Type Chart'!$C$2:$T$20,12,false)*HLOOKUP($K2178,'Type Chart'!$C$2:$U$20,12,false)</f>
        <v>2</v>
      </c>
      <c r="AF2178" s="960">
        <f t="array" ref="AF2178">HLOOKUP($J2178,'Type Chart'!$C$2:$T$20,13,false)*HLOOKUP($K2178,'Type Chart'!$C$2:$U$20,13,false)</f>
        <v>0.5</v>
      </c>
      <c r="AG2178" s="960">
        <f t="array" ref="AG2178">HLOOKUP($J2178,'Type Chart'!$C$2:$T$20,14,false)*HLOOKUP($K2178,'Type Chart'!$C$2:$U$20,14,false)</f>
        <v>1</v>
      </c>
      <c r="AH2178" s="960">
        <f t="array" ref="AH2178">HLOOKUP($J2178,'Type Chart'!$C$2:$T$20,15,false)*HLOOKUP($K2178,'Type Chart'!$C$2:$U$20,15,false)</f>
        <v>0</v>
      </c>
      <c r="AI2178" s="960">
        <f t="array" ref="AI2178">HLOOKUP($J2178,'Type Chart'!$C$2:$T$20,16,false)*HLOOKUP($K2178,'Type Chart'!$C$2:$U$20,16,false)</f>
        <v>0.5</v>
      </c>
      <c r="AJ2178" s="960">
        <f t="array" ref="AJ2178">HLOOKUP($J2178,'Type Chart'!$C$2:$T$20,17,false)*HLOOKUP($K2178,'Type Chart'!$C$2:$U$20,17,false)</f>
        <v>1</v>
      </c>
      <c r="AK2178" s="960">
        <f t="array" ref="AK2178">HLOOKUP($J2178,'Type Chart'!$C$2:$T$20,18,false)*HLOOKUP($K2178,'Type Chart'!$C$2:$U$20,18,false)</f>
        <v>0.5</v>
      </c>
      <c r="AL2178" s="960">
        <f t="array" ref="AL2178">HLOOKUP($J2178,'Type Chart'!$C$2:$T$20,19,false)*HLOOKUP($K2178,'Type Chart'!$C$2:$U$20,19,false)</f>
        <v>1</v>
      </c>
      <c r="AM2178" s="1145" t="s">
        <v>830</v>
      </c>
      <c r="AN2178" s="1202"/>
      <c r="AO2178" s="1146" t="s">
        <v>1061</v>
      </c>
      <c r="AP2178" s="936"/>
      <c r="AQ2178" s="1245"/>
      <c r="AR2178" s="1245"/>
      <c r="AS2178" s="936"/>
    </row>
    <row r="2179" ht="15.75" customHeight="1">
      <c r="A2179" s="1099"/>
      <c r="B2179" s="948" t="s">
        <v>3529</v>
      </c>
      <c r="C2179" s="1197" t="s">
        <v>3530</v>
      </c>
      <c r="D2179" s="1197" t="s">
        <v>3530</v>
      </c>
      <c r="E2179" s="1147" t="s">
        <v>3530</v>
      </c>
      <c r="F2179" s="940"/>
      <c r="G2179" s="953"/>
      <c r="H2179" s="969"/>
      <c r="I2179" s="998" t="s">
        <v>5277</v>
      </c>
      <c r="J2179" s="1056" t="s">
        <v>81</v>
      </c>
      <c r="K2179" s="984" t="s">
        <v>216</v>
      </c>
      <c r="L2179" s="959">
        <v>50.0</v>
      </c>
      <c r="M2179" s="960">
        <v>54.0</v>
      </c>
      <c r="N2179" s="960">
        <v>54.0</v>
      </c>
      <c r="O2179" s="960">
        <v>66.0</v>
      </c>
      <c r="P2179" s="960">
        <v>56.0</v>
      </c>
      <c r="Q2179" s="960">
        <v>40.0</v>
      </c>
      <c r="R2179" s="960">
        <v>116.0</v>
      </c>
      <c r="S2179" s="960">
        <v>179.0</v>
      </c>
      <c r="T2179" s="960">
        <v>196.0</v>
      </c>
      <c r="U2179" s="960">
        <f t="array" ref="U2179">HLOOKUP($J2179,'Type Chart'!$C$2:$T$20,2,false)*HLOOKUP($K2179,'Type Chart'!$C$2:$U$20,2,false)</f>
        <v>1</v>
      </c>
      <c r="V2179" s="960">
        <f t="array" ref="V2179">HLOOKUP($J2179,'Type Chart'!$C$2:$T$20,3,false)*HLOOKUP($K2179,'Type Chart'!$C$2:$U$20,3,false)</f>
        <v>1</v>
      </c>
      <c r="W2179" s="960">
        <f t="array" ref="W2179">HLOOKUP($J2179,'Type Chart'!$C$2:$T$20,4,false)*HLOOKUP($K2179,'Type Chart'!$C$2:$U$20,4,false)</f>
        <v>1</v>
      </c>
      <c r="X2179" s="960">
        <f t="array" ref="X2179">HLOOKUP($J2179,'Type Chart'!$C$2:$T$20,5,false)*HLOOKUP($K2179,'Type Chart'!$C$2:$U$20,5,false)</f>
        <v>1</v>
      </c>
      <c r="Y2179" s="960">
        <f t="array" ref="Y2179">HLOOKUP($J2179,'Type Chart'!$C$2:$T$20,6,false)*HLOOKUP($K2179,'Type Chart'!$C$2:$U$20,6,false)</f>
        <v>1</v>
      </c>
      <c r="Z2179" s="960">
        <f t="array" ref="Z2179">HLOOKUP($J2179,'Type Chart'!$C$2:$T$20,7,false)*HLOOKUP($K2179,'Type Chart'!$C$2:$U$20,7,false)</f>
        <v>1</v>
      </c>
      <c r="AA2179" s="960">
        <f t="array" ref="AA2179">HLOOKUP($J2179,'Type Chart'!$C$2:$T$20,8,false)*HLOOKUP($K2179,'Type Chart'!$C$2:$U$20,8,false)</f>
        <v>1</v>
      </c>
      <c r="AB2179" s="960">
        <f t="array" ref="AB2179">HLOOKUP($J2179,'Type Chart'!$C$2:$T$20,9,false)*HLOOKUP($K2179,'Type Chart'!$C$2:$U$20,9,false)</f>
        <v>1</v>
      </c>
      <c r="AC2179" s="960">
        <f t="array" ref="AC2179">HLOOKUP($J2179,'Type Chart'!$C$2:$T$20,10,false)*HLOOKUP($K2179,'Type Chart'!$C$2:$U$20,10,false)</f>
        <v>0.5</v>
      </c>
      <c r="AD2179" s="960">
        <f t="array" ref="AD2179">HLOOKUP($J2179,'Type Chart'!$C$2:$T$20,11,false)*HLOOKUP($K2179,'Type Chart'!$C$2:$U$20,11,false)</f>
        <v>0.5</v>
      </c>
      <c r="AE2179" s="960">
        <f t="array" ref="AE2179">HLOOKUP($J2179,'Type Chart'!$C$2:$T$20,12,false)*HLOOKUP($K2179,'Type Chart'!$C$2:$U$20,12,false)</f>
        <v>0.5</v>
      </c>
      <c r="AF2179" s="960">
        <f t="array" ref="AF2179">HLOOKUP($J2179,'Type Chart'!$C$2:$T$20,13,false)*HLOOKUP($K2179,'Type Chart'!$C$2:$U$20,13,false)</f>
        <v>2</v>
      </c>
      <c r="AG2179" s="960">
        <f t="array" ref="AG2179">HLOOKUP($J2179,'Type Chart'!$C$2:$T$20,14,false)*HLOOKUP($K2179,'Type Chart'!$C$2:$U$20,14,false)</f>
        <v>2</v>
      </c>
      <c r="AH2179" s="960">
        <f t="array" ref="AH2179">HLOOKUP($J2179,'Type Chart'!$C$2:$T$20,15,false)*HLOOKUP($K2179,'Type Chart'!$C$2:$U$20,15,false)</f>
        <v>1</v>
      </c>
      <c r="AI2179" s="960">
        <f t="array" ref="AI2179">HLOOKUP($J2179,'Type Chart'!$C$2:$T$20,16,false)*HLOOKUP($K2179,'Type Chart'!$C$2:$U$20,16,false)</f>
        <v>0.5</v>
      </c>
      <c r="AJ2179" s="960">
        <f t="array" ref="AJ2179">HLOOKUP($J2179,'Type Chart'!$C$2:$T$20,17,false)*HLOOKUP($K2179,'Type Chart'!$C$2:$U$20,17,false)</f>
        <v>1</v>
      </c>
      <c r="AK2179" s="960">
        <f t="array" ref="AK2179">HLOOKUP($J2179,'Type Chart'!$C$2:$T$20,18,false)*HLOOKUP($K2179,'Type Chart'!$C$2:$U$20,18,false)</f>
        <v>1</v>
      </c>
      <c r="AL2179" s="960">
        <f t="array" ref="AL2179">HLOOKUP($J2179,'Type Chart'!$C$2:$T$20,19,false)*HLOOKUP($K2179,'Type Chart'!$C$2:$U$20,19,false)</f>
        <v>1</v>
      </c>
      <c r="AM2179" s="1145" t="s">
        <v>959</v>
      </c>
      <c r="AN2179" s="1202"/>
      <c r="AO2179" s="1146" t="s">
        <v>3532</v>
      </c>
      <c r="AP2179" s="936"/>
      <c r="AQ2179" s="1245"/>
      <c r="AR2179" s="1245"/>
      <c r="AS2179" s="936"/>
    </row>
    <row r="2180" ht="15.75" customHeight="1">
      <c r="A2180" s="1099"/>
      <c r="B2180" s="948" t="s">
        <v>3533</v>
      </c>
      <c r="C2180" s="1197" t="s">
        <v>3534</v>
      </c>
      <c r="D2180" s="1197" t="s">
        <v>3534</v>
      </c>
      <c r="E2180" s="1147" t="s">
        <v>3534</v>
      </c>
      <c r="F2180" s="940"/>
      <c r="G2180" s="953"/>
      <c r="H2180" s="969"/>
      <c r="I2180" s="998" t="s">
        <v>5278</v>
      </c>
      <c r="J2180" s="1056" t="s">
        <v>81</v>
      </c>
      <c r="K2180" s="984" t="s">
        <v>216</v>
      </c>
      <c r="L2180" s="959">
        <v>60.0</v>
      </c>
      <c r="M2180" s="960">
        <v>69.0</v>
      </c>
      <c r="N2180" s="960">
        <v>69.0</v>
      </c>
      <c r="O2180" s="960">
        <v>91.0</v>
      </c>
      <c r="P2180" s="960">
        <v>81.0</v>
      </c>
      <c r="Q2180" s="960">
        <v>50.0</v>
      </c>
      <c r="R2180" s="960">
        <v>136.0</v>
      </c>
      <c r="S2180" s="960">
        <v>199.0</v>
      </c>
      <c r="T2180" s="960">
        <v>218.0</v>
      </c>
      <c r="U2180" s="960">
        <f t="array" ref="U2180">HLOOKUP($J2180,'Type Chart'!$C$2:$T$20,2,false)*HLOOKUP($K2180,'Type Chart'!$C$2:$U$20,2,false)</f>
        <v>1</v>
      </c>
      <c r="V2180" s="960">
        <f t="array" ref="V2180">HLOOKUP($J2180,'Type Chart'!$C$2:$T$20,3,false)*HLOOKUP($K2180,'Type Chart'!$C$2:$U$20,3,false)</f>
        <v>1</v>
      </c>
      <c r="W2180" s="960">
        <f t="array" ref="W2180">HLOOKUP($J2180,'Type Chart'!$C$2:$T$20,4,false)*HLOOKUP($K2180,'Type Chart'!$C$2:$U$20,4,false)</f>
        <v>1</v>
      </c>
      <c r="X2180" s="960">
        <f t="array" ref="X2180">HLOOKUP($J2180,'Type Chart'!$C$2:$T$20,5,false)*HLOOKUP($K2180,'Type Chart'!$C$2:$U$20,5,false)</f>
        <v>1</v>
      </c>
      <c r="Y2180" s="960">
        <f t="array" ref="Y2180">HLOOKUP($J2180,'Type Chart'!$C$2:$T$20,6,false)*HLOOKUP($K2180,'Type Chart'!$C$2:$U$20,6,false)</f>
        <v>1</v>
      </c>
      <c r="Z2180" s="960">
        <f t="array" ref="Z2180">HLOOKUP($J2180,'Type Chart'!$C$2:$T$20,7,false)*HLOOKUP($K2180,'Type Chart'!$C$2:$U$20,7,false)</f>
        <v>1</v>
      </c>
      <c r="AA2180" s="960">
        <f t="array" ref="AA2180">HLOOKUP($J2180,'Type Chart'!$C$2:$T$20,8,false)*HLOOKUP($K2180,'Type Chart'!$C$2:$U$20,8,false)</f>
        <v>1</v>
      </c>
      <c r="AB2180" s="960">
        <f t="array" ref="AB2180">HLOOKUP($J2180,'Type Chart'!$C$2:$T$20,9,false)*HLOOKUP($K2180,'Type Chart'!$C$2:$U$20,9,false)</f>
        <v>1</v>
      </c>
      <c r="AC2180" s="960">
        <f t="array" ref="AC2180">HLOOKUP($J2180,'Type Chart'!$C$2:$T$20,10,false)*HLOOKUP($K2180,'Type Chart'!$C$2:$U$20,10,false)</f>
        <v>0.5</v>
      </c>
      <c r="AD2180" s="960">
        <f t="array" ref="AD2180">HLOOKUP($J2180,'Type Chart'!$C$2:$T$20,11,false)*HLOOKUP($K2180,'Type Chart'!$C$2:$U$20,11,false)</f>
        <v>0.5</v>
      </c>
      <c r="AE2180" s="960">
        <f t="array" ref="AE2180">HLOOKUP($J2180,'Type Chart'!$C$2:$T$20,12,false)*HLOOKUP($K2180,'Type Chart'!$C$2:$U$20,12,false)</f>
        <v>0.5</v>
      </c>
      <c r="AF2180" s="960">
        <f t="array" ref="AF2180">HLOOKUP($J2180,'Type Chart'!$C$2:$T$20,13,false)*HLOOKUP($K2180,'Type Chart'!$C$2:$U$20,13,false)</f>
        <v>2</v>
      </c>
      <c r="AG2180" s="960">
        <f t="array" ref="AG2180">HLOOKUP($J2180,'Type Chart'!$C$2:$T$20,14,false)*HLOOKUP($K2180,'Type Chart'!$C$2:$U$20,14,false)</f>
        <v>2</v>
      </c>
      <c r="AH2180" s="960">
        <f t="array" ref="AH2180">HLOOKUP($J2180,'Type Chart'!$C$2:$T$20,15,false)*HLOOKUP($K2180,'Type Chart'!$C$2:$U$20,15,false)</f>
        <v>1</v>
      </c>
      <c r="AI2180" s="960">
        <f t="array" ref="AI2180">HLOOKUP($J2180,'Type Chart'!$C$2:$T$20,16,false)*HLOOKUP($K2180,'Type Chart'!$C$2:$U$20,16,false)</f>
        <v>0.5</v>
      </c>
      <c r="AJ2180" s="960">
        <f t="array" ref="AJ2180">HLOOKUP($J2180,'Type Chart'!$C$2:$T$20,17,false)*HLOOKUP($K2180,'Type Chart'!$C$2:$U$20,17,false)</f>
        <v>1</v>
      </c>
      <c r="AK2180" s="960">
        <f t="array" ref="AK2180">HLOOKUP($J2180,'Type Chart'!$C$2:$T$20,18,false)*HLOOKUP($K2180,'Type Chart'!$C$2:$U$20,18,false)</f>
        <v>1</v>
      </c>
      <c r="AL2180" s="960">
        <f t="array" ref="AL2180">HLOOKUP($J2180,'Type Chart'!$C$2:$T$20,19,false)*HLOOKUP($K2180,'Type Chart'!$C$2:$U$20,19,false)</f>
        <v>1</v>
      </c>
      <c r="AM2180" s="964" t="s">
        <v>959</v>
      </c>
      <c r="AN2180" s="965"/>
      <c r="AO2180" s="966" t="s">
        <v>3532</v>
      </c>
      <c r="AP2180" s="936"/>
      <c r="AQ2180" s="1245"/>
      <c r="AR2180" s="1245"/>
      <c r="AS2180" s="936"/>
    </row>
    <row r="2181" ht="15.75" customHeight="1">
      <c r="A2181" s="1099"/>
      <c r="B2181" s="948" t="s">
        <v>3535</v>
      </c>
      <c r="C2181" s="1197" t="s">
        <v>3536</v>
      </c>
      <c r="D2181" s="1197" t="s">
        <v>3536</v>
      </c>
      <c r="E2181" s="1147" t="s">
        <v>3536</v>
      </c>
      <c r="F2181" s="940"/>
      <c r="G2181" s="953"/>
      <c r="H2181" s="969"/>
      <c r="I2181" s="998" t="s">
        <v>5279</v>
      </c>
      <c r="J2181" s="1056" t="s">
        <v>81</v>
      </c>
      <c r="K2181" s="1207" t="s">
        <v>127</v>
      </c>
      <c r="L2181" s="959">
        <v>80.0</v>
      </c>
      <c r="M2181" s="960">
        <v>74.0</v>
      </c>
      <c r="N2181" s="960">
        <v>74.0</v>
      </c>
      <c r="O2181" s="960">
        <v>126.0</v>
      </c>
      <c r="P2181" s="960">
        <v>116.0</v>
      </c>
      <c r="Q2181" s="960">
        <v>60.0</v>
      </c>
      <c r="R2181" s="960">
        <v>156.0</v>
      </c>
      <c r="S2181" s="960">
        <v>219.0</v>
      </c>
      <c r="T2181" s="960">
        <v>240.0</v>
      </c>
      <c r="U2181" s="960">
        <f t="array" ref="U2181">HLOOKUP($J2181,'Type Chart'!$C$2:$T$20,2,false)*HLOOKUP($K2181,'Type Chart'!$C$2:$U$20,2,false)</f>
        <v>1</v>
      </c>
      <c r="V2181" s="960">
        <f t="array" ref="V2181">HLOOKUP($J2181,'Type Chart'!$C$2:$T$20,3,false)*HLOOKUP($K2181,'Type Chart'!$C$2:$U$20,3,false)</f>
        <v>0.5</v>
      </c>
      <c r="W2181" s="960">
        <f t="array" ref="W2181">HLOOKUP($J2181,'Type Chart'!$C$2:$T$20,4,false)*HLOOKUP($K2181,'Type Chart'!$C$2:$U$20,4,false)</f>
        <v>1</v>
      </c>
      <c r="X2181" s="960">
        <f t="array" ref="X2181">HLOOKUP($J2181,'Type Chart'!$C$2:$T$20,5,false)*HLOOKUP($K2181,'Type Chart'!$C$2:$U$20,5,false)</f>
        <v>2</v>
      </c>
      <c r="Y2181" s="960">
        <f t="array" ref="Y2181">HLOOKUP($J2181,'Type Chart'!$C$2:$T$20,6,false)*HLOOKUP($K2181,'Type Chart'!$C$2:$U$20,6,false)</f>
        <v>1</v>
      </c>
      <c r="Z2181" s="960">
        <f t="array" ref="Z2181">HLOOKUP($J2181,'Type Chart'!$C$2:$T$20,7,false)*HLOOKUP($K2181,'Type Chart'!$C$2:$U$20,7,false)</f>
        <v>1</v>
      </c>
      <c r="AA2181" s="960">
        <f t="array" ref="AA2181">HLOOKUP($J2181,'Type Chart'!$C$2:$T$20,8,false)*HLOOKUP($K2181,'Type Chart'!$C$2:$U$20,8,false)</f>
        <v>0.5</v>
      </c>
      <c r="AB2181" s="960">
        <f t="array" ref="AB2181">HLOOKUP($J2181,'Type Chart'!$C$2:$T$20,9,false)*HLOOKUP($K2181,'Type Chart'!$C$2:$U$20,9,false)</f>
        <v>1</v>
      </c>
      <c r="AC2181" s="960">
        <f t="array" ref="AC2181">HLOOKUP($J2181,'Type Chart'!$C$2:$T$20,10,false)*HLOOKUP($K2181,'Type Chart'!$C$2:$U$20,10,false)</f>
        <v>1</v>
      </c>
      <c r="AD2181" s="960">
        <f t="array" ref="AD2181">HLOOKUP($J2181,'Type Chart'!$C$2:$T$20,11,false)*HLOOKUP($K2181,'Type Chart'!$C$2:$U$20,11,false)</f>
        <v>0.5</v>
      </c>
      <c r="AE2181" s="960">
        <f t="array" ref="AE2181">HLOOKUP($J2181,'Type Chart'!$C$2:$T$20,12,false)*HLOOKUP($K2181,'Type Chart'!$C$2:$U$20,12,false)</f>
        <v>0.5</v>
      </c>
      <c r="AF2181" s="960">
        <f t="array" ref="AF2181">HLOOKUP($J2181,'Type Chart'!$C$2:$T$20,13,false)*HLOOKUP($K2181,'Type Chart'!$C$2:$U$20,13,false)</f>
        <v>2</v>
      </c>
      <c r="AG2181" s="960">
        <f t="array" ref="AG2181">HLOOKUP($J2181,'Type Chart'!$C$2:$T$20,14,false)*HLOOKUP($K2181,'Type Chart'!$C$2:$U$20,14,false)</f>
        <v>2</v>
      </c>
      <c r="AH2181" s="960">
        <f t="array" ref="AH2181">HLOOKUP($J2181,'Type Chart'!$C$2:$T$20,15,false)*HLOOKUP($K2181,'Type Chart'!$C$2:$U$20,15,false)</f>
        <v>1</v>
      </c>
      <c r="AI2181" s="960">
        <f t="array" ref="AI2181">HLOOKUP($J2181,'Type Chart'!$C$2:$T$20,16,false)*HLOOKUP($K2181,'Type Chart'!$C$2:$U$20,16,false)</f>
        <v>0.5</v>
      </c>
      <c r="AJ2181" s="960">
        <f t="array" ref="AJ2181">HLOOKUP($J2181,'Type Chart'!$C$2:$T$20,17,false)*HLOOKUP($K2181,'Type Chart'!$C$2:$U$20,17,false)</f>
        <v>0</v>
      </c>
      <c r="AK2181" s="960">
        <f t="array" ref="AK2181">HLOOKUP($J2181,'Type Chart'!$C$2:$T$20,18,false)*HLOOKUP($K2181,'Type Chart'!$C$2:$U$20,18,false)</f>
        <v>0.5</v>
      </c>
      <c r="AL2181" s="960">
        <f t="array" ref="AL2181">HLOOKUP($J2181,'Type Chart'!$C$2:$T$20,19,false)*HLOOKUP($K2181,'Type Chart'!$C$2:$U$20,19,false)</f>
        <v>1</v>
      </c>
      <c r="AM2181" s="964" t="s">
        <v>959</v>
      </c>
      <c r="AN2181" s="965"/>
      <c r="AO2181" s="966" t="s">
        <v>3532</v>
      </c>
      <c r="AP2181" s="936"/>
      <c r="AQ2181" s="1245"/>
      <c r="AR2181" s="1245"/>
      <c r="AS2181" s="936"/>
    </row>
    <row r="2182" ht="15.75" customHeight="1">
      <c r="A2182" s="1099"/>
      <c r="B2182" s="948" t="s">
        <v>3537</v>
      </c>
      <c r="C2182" s="1197" t="s">
        <v>3538</v>
      </c>
      <c r="D2182" s="1197" t="s">
        <v>3538</v>
      </c>
      <c r="E2182" s="1147" t="s">
        <v>3538</v>
      </c>
      <c r="F2182" s="940"/>
      <c r="G2182" s="953"/>
      <c r="H2182" s="969"/>
      <c r="I2182" s="998" t="s">
        <v>5280</v>
      </c>
      <c r="J2182" s="1194" t="s">
        <v>136</v>
      </c>
      <c r="K2182" s="1001" t="s">
        <v>128</v>
      </c>
      <c r="L2182" s="959">
        <v>35.0</v>
      </c>
      <c r="M2182" s="960">
        <v>75.0</v>
      </c>
      <c r="N2182" s="960">
        <v>30.0</v>
      </c>
      <c r="O2182" s="960">
        <v>30.0</v>
      </c>
      <c r="P2182" s="960">
        <v>30.0</v>
      </c>
      <c r="Q2182" s="960">
        <v>65.0</v>
      </c>
      <c r="R2182" s="960">
        <v>166.0</v>
      </c>
      <c r="S2182" s="960">
        <v>229.0</v>
      </c>
      <c r="T2182" s="960">
        <v>251.0</v>
      </c>
      <c r="U2182" s="960">
        <f t="array" ref="U2182">HLOOKUP($J2182,'Type Chart'!$C$2:$T$20,2,false)*HLOOKUP($K2182,'Type Chart'!$C$2:$U$20,2,false)</f>
        <v>1</v>
      </c>
      <c r="V2182" s="960">
        <f t="array" ref="V2182">HLOOKUP($J2182,'Type Chart'!$C$2:$T$20,3,false)*HLOOKUP($K2182,'Type Chart'!$C$2:$U$20,3,false)</f>
        <v>1</v>
      </c>
      <c r="W2182" s="960">
        <f t="array" ref="W2182">HLOOKUP($J2182,'Type Chart'!$C$2:$T$20,4,false)*HLOOKUP($K2182,'Type Chart'!$C$2:$U$20,4,false)</f>
        <v>1</v>
      </c>
      <c r="X2182" s="960">
        <f t="array" ref="X2182">HLOOKUP($J2182,'Type Chart'!$C$2:$T$20,5,false)*HLOOKUP($K2182,'Type Chart'!$C$2:$U$20,5,false)</f>
        <v>1</v>
      </c>
      <c r="Y2182" s="960">
        <f t="array" ref="Y2182">HLOOKUP($J2182,'Type Chart'!$C$2:$T$20,6,false)*HLOOKUP($K2182,'Type Chart'!$C$2:$U$20,6,false)</f>
        <v>0</v>
      </c>
      <c r="Z2182" s="960">
        <f t="array" ref="Z2182">HLOOKUP($J2182,'Type Chart'!$C$2:$T$20,7,false)*HLOOKUP($K2182,'Type Chart'!$C$2:$U$20,7,false)</f>
        <v>2</v>
      </c>
      <c r="AA2182" s="960">
        <f t="array" ref="AA2182">HLOOKUP($J2182,'Type Chart'!$C$2:$T$20,8,false)*HLOOKUP($K2182,'Type Chart'!$C$2:$U$20,8,false)</f>
        <v>0.5</v>
      </c>
      <c r="AB2182" s="960">
        <f t="array" ref="AB2182">HLOOKUP($J2182,'Type Chart'!$C$2:$T$20,9,false)*HLOOKUP($K2182,'Type Chart'!$C$2:$U$20,9,false)</f>
        <v>0</v>
      </c>
      <c r="AC2182" s="960">
        <f t="array" ref="AC2182">HLOOKUP($J2182,'Type Chart'!$C$2:$T$20,10,false)*HLOOKUP($K2182,'Type Chart'!$C$2:$U$20,10,false)</f>
        <v>1</v>
      </c>
      <c r="AD2182" s="960">
        <f t="array" ref="AD2182">HLOOKUP($J2182,'Type Chart'!$C$2:$T$20,11,false)*HLOOKUP($K2182,'Type Chart'!$C$2:$U$20,11,false)</f>
        <v>1</v>
      </c>
      <c r="AE2182" s="960">
        <f t="array" ref="AE2182">HLOOKUP($J2182,'Type Chart'!$C$2:$T$20,12,false)*HLOOKUP($K2182,'Type Chart'!$C$2:$U$20,12,false)</f>
        <v>1</v>
      </c>
      <c r="AF2182" s="960">
        <f t="array" ref="AF2182">HLOOKUP($J2182,'Type Chart'!$C$2:$T$20,13,false)*HLOOKUP($K2182,'Type Chart'!$C$2:$U$20,13,false)</f>
        <v>0.5</v>
      </c>
      <c r="AG2182" s="960">
        <f t="array" ref="AG2182">HLOOKUP($J2182,'Type Chart'!$C$2:$T$20,14,false)*HLOOKUP($K2182,'Type Chart'!$C$2:$U$20,14,false)</f>
        <v>2</v>
      </c>
      <c r="AH2182" s="960">
        <f t="array" ref="AH2182">HLOOKUP($J2182,'Type Chart'!$C$2:$T$20,15,false)*HLOOKUP($K2182,'Type Chart'!$C$2:$U$20,15,false)</f>
        <v>1</v>
      </c>
      <c r="AI2182" s="960">
        <f t="array" ref="AI2182">HLOOKUP($J2182,'Type Chart'!$C$2:$T$20,16,false)*HLOOKUP($K2182,'Type Chart'!$C$2:$U$20,16,false)</f>
        <v>2</v>
      </c>
      <c r="AJ2182" s="960">
        <f t="array" ref="AJ2182">HLOOKUP($J2182,'Type Chart'!$C$2:$T$20,17,false)*HLOOKUP($K2182,'Type Chart'!$C$2:$U$20,17,false)</f>
        <v>1</v>
      </c>
      <c r="AK2182" s="960">
        <f t="array" ref="AK2182">HLOOKUP($J2182,'Type Chart'!$C$2:$T$20,18,false)*HLOOKUP($K2182,'Type Chart'!$C$2:$U$20,18,false)</f>
        <v>1</v>
      </c>
      <c r="AL2182" s="960">
        <f t="array" ref="AL2182">HLOOKUP($J2182,'Type Chart'!$C$2:$T$20,19,false)*HLOOKUP($K2182,'Type Chart'!$C$2:$U$20,19,false)</f>
        <v>1</v>
      </c>
      <c r="AM2182" s="964" t="s">
        <v>1022</v>
      </c>
      <c r="AN2182" s="965" t="s">
        <v>1430</v>
      </c>
      <c r="AO2182" s="966" t="s">
        <v>1238</v>
      </c>
      <c r="AP2182" s="936"/>
      <c r="AQ2182" s="1245"/>
      <c r="AR2182" s="1245"/>
      <c r="AS2182" s="936"/>
    </row>
    <row r="2183" ht="15.75" customHeight="1">
      <c r="A2183" s="1099"/>
      <c r="B2183" s="948" t="s">
        <v>3540</v>
      </c>
      <c r="C2183" s="1197" t="s">
        <v>3541</v>
      </c>
      <c r="D2183" s="1197" t="s">
        <v>3541</v>
      </c>
      <c r="E2183" s="1147" t="s">
        <v>3541</v>
      </c>
      <c r="F2183" s="940"/>
      <c r="G2183" s="953"/>
      <c r="H2183" s="969"/>
      <c r="I2183" s="998" t="s">
        <v>5281</v>
      </c>
      <c r="J2183" s="1194" t="s">
        <v>136</v>
      </c>
      <c r="K2183" s="1001" t="s">
        <v>128</v>
      </c>
      <c r="L2183" s="959">
        <v>55.0</v>
      </c>
      <c r="M2183" s="960">
        <v>85.0</v>
      </c>
      <c r="N2183" s="960">
        <v>50.0</v>
      </c>
      <c r="O2183" s="960">
        <v>40.0</v>
      </c>
      <c r="P2183" s="960">
        <v>50.0</v>
      </c>
      <c r="Q2183" s="960">
        <v>75.0</v>
      </c>
      <c r="R2183" s="960">
        <v>186.0</v>
      </c>
      <c r="S2183" s="960">
        <v>249.0</v>
      </c>
      <c r="T2183" s="960">
        <v>273.0</v>
      </c>
      <c r="U2183" s="960">
        <f t="array" ref="U2183">HLOOKUP($J2183,'Type Chart'!$C$2:$T$20,2,false)*HLOOKUP($K2183,'Type Chart'!$C$2:$U$20,2,false)</f>
        <v>1</v>
      </c>
      <c r="V2183" s="960">
        <f t="array" ref="V2183">HLOOKUP($J2183,'Type Chart'!$C$2:$T$20,3,false)*HLOOKUP($K2183,'Type Chart'!$C$2:$U$20,3,false)</f>
        <v>1</v>
      </c>
      <c r="W2183" s="960">
        <f t="array" ref="W2183">HLOOKUP($J2183,'Type Chart'!$C$2:$T$20,4,false)*HLOOKUP($K2183,'Type Chart'!$C$2:$U$20,4,false)</f>
        <v>1</v>
      </c>
      <c r="X2183" s="960">
        <f t="array" ref="X2183">HLOOKUP($J2183,'Type Chart'!$C$2:$T$20,5,false)*HLOOKUP($K2183,'Type Chart'!$C$2:$U$20,5,false)</f>
        <v>1</v>
      </c>
      <c r="Y2183" s="960">
        <f t="array" ref="Y2183">HLOOKUP($J2183,'Type Chart'!$C$2:$T$20,6,false)*HLOOKUP($K2183,'Type Chart'!$C$2:$U$20,6,false)</f>
        <v>0</v>
      </c>
      <c r="Z2183" s="960">
        <f t="array" ref="Z2183">HLOOKUP($J2183,'Type Chart'!$C$2:$T$20,7,false)*HLOOKUP($K2183,'Type Chart'!$C$2:$U$20,7,false)</f>
        <v>2</v>
      </c>
      <c r="AA2183" s="960">
        <f t="array" ref="AA2183">HLOOKUP($J2183,'Type Chart'!$C$2:$T$20,8,false)*HLOOKUP($K2183,'Type Chart'!$C$2:$U$20,8,false)</f>
        <v>0.5</v>
      </c>
      <c r="AB2183" s="960">
        <f t="array" ref="AB2183">HLOOKUP($J2183,'Type Chart'!$C$2:$T$20,9,false)*HLOOKUP($K2183,'Type Chart'!$C$2:$U$20,9,false)</f>
        <v>0</v>
      </c>
      <c r="AC2183" s="960">
        <f t="array" ref="AC2183">HLOOKUP($J2183,'Type Chart'!$C$2:$T$20,10,false)*HLOOKUP($K2183,'Type Chart'!$C$2:$U$20,10,false)</f>
        <v>1</v>
      </c>
      <c r="AD2183" s="960">
        <f t="array" ref="AD2183">HLOOKUP($J2183,'Type Chart'!$C$2:$T$20,11,false)*HLOOKUP($K2183,'Type Chart'!$C$2:$U$20,11,false)</f>
        <v>1</v>
      </c>
      <c r="AE2183" s="960">
        <f t="array" ref="AE2183">HLOOKUP($J2183,'Type Chart'!$C$2:$T$20,12,false)*HLOOKUP($K2183,'Type Chart'!$C$2:$U$20,12,false)</f>
        <v>1</v>
      </c>
      <c r="AF2183" s="960">
        <f t="array" ref="AF2183">HLOOKUP($J2183,'Type Chart'!$C$2:$T$20,13,false)*HLOOKUP($K2183,'Type Chart'!$C$2:$U$20,13,false)</f>
        <v>0.5</v>
      </c>
      <c r="AG2183" s="960">
        <f t="array" ref="AG2183">HLOOKUP($J2183,'Type Chart'!$C$2:$T$20,14,false)*HLOOKUP($K2183,'Type Chart'!$C$2:$U$20,14,false)</f>
        <v>2</v>
      </c>
      <c r="AH2183" s="960">
        <f t="array" ref="AH2183">HLOOKUP($J2183,'Type Chart'!$C$2:$T$20,15,false)*HLOOKUP($K2183,'Type Chart'!$C$2:$U$20,15,false)</f>
        <v>1</v>
      </c>
      <c r="AI2183" s="960">
        <f t="array" ref="AI2183">HLOOKUP($J2183,'Type Chart'!$C$2:$T$20,16,false)*HLOOKUP($K2183,'Type Chart'!$C$2:$U$20,16,false)</f>
        <v>2</v>
      </c>
      <c r="AJ2183" s="960">
        <f t="array" ref="AJ2183">HLOOKUP($J2183,'Type Chart'!$C$2:$T$20,17,false)*HLOOKUP($K2183,'Type Chart'!$C$2:$U$20,17,false)</f>
        <v>1</v>
      </c>
      <c r="AK2183" s="960">
        <f t="array" ref="AK2183">HLOOKUP($J2183,'Type Chart'!$C$2:$T$20,18,false)*HLOOKUP($K2183,'Type Chart'!$C$2:$U$20,18,false)</f>
        <v>1</v>
      </c>
      <c r="AL2183" s="960">
        <f t="array" ref="AL2183">HLOOKUP($J2183,'Type Chart'!$C$2:$T$20,19,false)*HLOOKUP($K2183,'Type Chart'!$C$2:$U$20,19,false)</f>
        <v>1</v>
      </c>
      <c r="AM2183" s="964" t="s">
        <v>1022</v>
      </c>
      <c r="AN2183" s="965" t="s">
        <v>1430</v>
      </c>
      <c r="AO2183" s="966" t="s">
        <v>1238</v>
      </c>
      <c r="AP2183" s="936"/>
      <c r="AQ2183" s="1245"/>
      <c r="AR2183" s="1245"/>
      <c r="AS2183" s="936"/>
    </row>
    <row r="2184" ht="15.75" customHeight="1">
      <c r="A2184" s="1099"/>
      <c r="B2184" s="948" t="s">
        <v>3543</v>
      </c>
      <c r="C2184" s="1197" t="s">
        <v>3544</v>
      </c>
      <c r="D2184" s="1197" t="s">
        <v>3544</v>
      </c>
      <c r="E2184" s="1147" t="s">
        <v>3544</v>
      </c>
      <c r="F2184" s="940"/>
      <c r="G2184" s="953"/>
      <c r="H2184" s="969"/>
      <c r="I2184" s="998" t="s">
        <v>5282</v>
      </c>
      <c r="J2184" s="1194" t="s">
        <v>136</v>
      </c>
      <c r="K2184" s="1001" t="s">
        <v>128</v>
      </c>
      <c r="L2184" s="959">
        <v>80.0</v>
      </c>
      <c r="M2184" s="960">
        <v>120.0</v>
      </c>
      <c r="N2184" s="960">
        <v>75.0</v>
      </c>
      <c r="O2184" s="960">
        <v>75.0</v>
      </c>
      <c r="P2184" s="960">
        <v>75.0</v>
      </c>
      <c r="Q2184" s="960">
        <v>60.0</v>
      </c>
      <c r="R2184" s="960">
        <v>156.0</v>
      </c>
      <c r="S2184" s="960">
        <v>219.0</v>
      </c>
      <c r="T2184" s="960">
        <v>240.0</v>
      </c>
      <c r="U2184" s="960">
        <f t="array" ref="U2184">HLOOKUP($J2184,'Type Chart'!$C$2:$T$20,2,false)*HLOOKUP($K2184,'Type Chart'!$C$2:$U$20,2,false)</f>
        <v>1</v>
      </c>
      <c r="V2184" s="960">
        <f t="array" ref="V2184">HLOOKUP($J2184,'Type Chart'!$C$2:$T$20,3,false)*HLOOKUP($K2184,'Type Chart'!$C$2:$U$20,3,false)</f>
        <v>1</v>
      </c>
      <c r="W2184" s="960">
        <f t="array" ref="W2184">HLOOKUP($J2184,'Type Chart'!$C$2:$T$20,4,false)*HLOOKUP($K2184,'Type Chart'!$C$2:$U$20,4,false)</f>
        <v>1</v>
      </c>
      <c r="X2184" s="960">
        <f t="array" ref="X2184">HLOOKUP($J2184,'Type Chart'!$C$2:$T$20,5,false)*HLOOKUP($K2184,'Type Chart'!$C$2:$U$20,5,false)</f>
        <v>1</v>
      </c>
      <c r="Y2184" s="960">
        <f t="array" ref="Y2184">HLOOKUP($J2184,'Type Chart'!$C$2:$T$20,6,false)*HLOOKUP($K2184,'Type Chart'!$C$2:$U$20,6,false)</f>
        <v>0</v>
      </c>
      <c r="Z2184" s="960">
        <f t="array" ref="Z2184">HLOOKUP($J2184,'Type Chart'!$C$2:$T$20,7,false)*HLOOKUP($K2184,'Type Chart'!$C$2:$U$20,7,false)</f>
        <v>2</v>
      </c>
      <c r="AA2184" s="960">
        <f t="array" ref="AA2184">HLOOKUP($J2184,'Type Chart'!$C$2:$T$20,8,false)*HLOOKUP($K2184,'Type Chart'!$C$2:$U$20,8,false)</f>
        <v>0.5</v>
      </c>
      <c r="AB2184" s="960">
        <f t="array" ref="AB2184">HLOOKUP($J2184,'Type Chart'!$C$2:$T$20,9,false)*HLOOKUP($K2184,'Type Chart'!$C$2:$U$20,9,false)</f>
        <v>0</v>
      </c>
      <c r="AC2184" s="960">
        <f t="array" ref="AC2184">HLOOKUP($J2184,'Type Chart'!$C$2:$T$20,10,false)*HLOOKUP($K2184,'Type Chart'!$C$2:$U$20,10,false)</f>
        <v>1</v>
      </c>
      <c r="AD2184" s="960">
        <f t="array" ref="AD2184">HLOOKUP($J2184,'Type Chart'!$C$2:$T$20,11,false)*HLOOKUP($K2184,'Type Chart'!$C$2:$U$20,11,false)</f>
        <v>1</v>
      </c>
      <c r="AE2184" s="960">
        <f t="array" ref="AE2184">HLOOKUP($J2184,'Type Chart'!$C$2:$T$20,12,false)*HLOOKUP($K2184,'Type Chart'!$C$2:$U$20,12,false)</f>
        <v>1</v>
      </c>
      <c r="AF2184" s="960">
        <f t="array" ref="AF2184">HLOOKUP($J2184,'Type Chart'!$C$2:$T$20,13,false)*HLOOKUP($K2184,'Type Chart'!$C$2:$U$20,13,false)</f>
        <v>0.5</v>
      </c>
      <c r="AG2184" s="960">
        <f t="array" ref="AG2184">HLOOKUP($J2184,'Type Chart'!$C$2:$T$20,14,false)*HLOOKUP($K2184,'Type Chart'!$C$2:$U$20,14,false)</f>
        <v>2</v>
      </c>
      <c r="AH2184" s="960">
        <f t="array" ref="AH2184">HLOOKUP($J2184,'Type Chart'!$C$2:$T$20,15,false)*HLOOKUP($K2184,'Type Chart'!$C$2:$U$20,15,false)</f>
        <v>1</v>
      </c>
      <c r="AI2184" s="960">
        <f t="array" ref="AI2184">HLOOKUP($J2184,'Type Chart'!$C$2:$T$20,16,false)*HLOOKUP($K2184,'Type Chart'!$C$2:$U$20,16,false)</f>
        <v>2</v>
      </c>
      <c r="AJ2184" s="960">
        <f t="array" ref="AJ2184">HLOOKUP($J2184,'Type Chart'!$C$2:$T$20,17,false)*HLOOKUP($K2184,'Type Chart'!$C$2:$U$20,17,false)</f>
        <v>1</v>
      </c>
      <c r="AK2184" s="960">
        <f t="array" ref="AK2184">HLOOKUP($J2184,'Type Chart'!$C$2:$T$20,18,false)*HLOOKUP($K2184,'Type Chart'!$C$2:$U$20,18,false)</f>
        <v>1</v>
      </c>
      <c r="AL2184" s="960">
        <f t="array" ref="AL2184">HLOOKUP($J2184,'Type Chart'!$C$2:$T$20,19,false)*HLOOKUP($K2184,'Type Chart'!$C$2:$U$20,19,false)</f>
        <v>1</v>
      </c>
      <c r="AM2184" s="964" t="s">
        <v>1022</v>
      </c>
      <c r="AN2184" s="965" t="s">
        <v>1430</v>
      </c>
      <c r="AO2184" s="966" t="s">
        <v>1153</v>
      </c>
      <c r="AP2184" s="936"/>
      <c r="AQ2184" s="1245"/>
      <c r="AR2184" s="1245"/>
      <c r="AS2184" s="936"/>
    </row>
    <row r="2185" ht="15.75" customHeight="1">
      <c r="A2185" s="1099"/>
      <c r="B2185" s="948" t="s">
        <v>3545</v>
      </c>
      <c r="C2185" s="1197" t="s">
        <v>3546</v>
      </c>
      <c r="D2185" s="1197" t="s">
        <v>3546</v>
      </c>
      <c r="E2185" s="1147" t="s">
        <v>3546</v>
      </c>
      <c r="F2185" s="940"/>
      <c r="G2185" s="953"/>
      <c r="H2185" s="969"/>
      <c r="I2185" s="998" t="s">
        <v>5283</v>
      </c>
      <c r="J2185" s="1194" t="s">
        <v>136</v>
      </c>
      <c r="K2185" s="984" t="s">
        <v>216</v>
      </c>
      <c r="L2185" s="959">
        <v>48.0</v>
      </c>
      <c r="M2185" s="960">
        <v>70.0</v>
      </c>
      <c r="N2185" s="960">
        <v>30.0</v>
      </c>
      <c r="O2185" s="960">
        <v>30.0</v>
      </c>
      <c r="P2185" s="960">
        <v>30.0</v>
      </c>
      <c r="Q2185" s="960">
        <v>45.0</v>
      </c>
      <c r="R2185" s="960">
        <v>126.0</v>
      </c>
      <c r="S2185" s="960">
        <v>189.0</v>
      </c>
      <c r="T2185" s="960">
        <v>207.0</v>
      </c>
      <c r="U2185" s="960">
        <f t="array" ref="U2185">HLOOKUP($J2185,'Type Chart'!$C$2:$T$20,2,false)*HLOOKUP($K2185,'Type Chart'!$C$2:$U$20,2,false)</f>
        <v>1</v>
      </c>
      <c r="V2185" s="960">
        <f t="array" ref="V2185">HLOOKUP($J2185,'Type Chart'!$C$2:$T$20,3,false)*HLOOKUP($K2185,'Type Chart'!$C$2:$U$20,3,false)</f>
        <v>2</v>
      </c>
      <c r="W2185" s="960">
        <f t="array" ref="W2185">HLOOKUP($J2185,'Type Chart'!$C$2:$T$20,4,false)*HLOOKUP($K2185,'Type Chart'!$C$2:$U$20,4,false)</f>
        <v>1</v>
      </c>
      <c r="X2185" s="960">
        <f t="array" ref="X2185">HLOOKUP($J2185,'Type Chart'!$C$2:$T$20,5,false)*HLOOKUP($K2185,'Type Chart'!$C$2:$U$20,5,false)</f>
        <v>1</v>
      </c>
      <c r="Y2185" s="960">
        <f t="array" ref="Y2185">HLOOKUP($J2185,'Type Chart'!$C$2:$T$20,6,false)*HLOOKUP($K2185,'Type Chart'!$C$2:$U$20,6,false)</f>
        <v>1</v>
      </c>
      <c r="Z2185" s="960">
        <f t="array" ref="Z2185">HLOOKUP($J2185,'Type Chart'!$C$2:$T$20,7,false)*HLOOKUP($K2185,'Type Chart'!$C$2:$U$20,7,false)</f>
        <v>1</v>
      </c>
      <c r="AA2185" s="960">
        <f t="array" ref="AA2185">HLOOKUP($J2185,'Type Chart'!$C$2:$T$20,8,false)*HLOOKUP($K2185,'Type Chart'!$C$2:$U$20,8,false)</f>
        <v>1</v>
      </c>
      <c r="AB2185" s="960">
        <f t="array" ref="AB2185">HLOOKUP($J2185,'Type Chart'!$C$2:$T$20,9,false)*HLOOKUP($K2185,'Type Chart'!$C$2:$U$20,9,false)</f>
        <v>0</v>
      </c>
      <c r="AC2185" s="960">
        <f t="array" ref="AC2185">HLOOKUP($J2185,'Type Chart'!$C$2:$T$20,10,false)*HLOOKUP($K2185,'Type Chart'!$C$2:$U$20,10,false)</f>
        <v>1</v>
      </c>
      <c r="AD2185" s="960">
        <f t="array" ref="AD2185">HLOOKUP($J2185,'Type Chart'!$C$2:$T$20,11,false)*HLOOKUP($K2185,'Type Chart'!$C$2:$U$20,11,false)</f>
        <v>1</v>
      </c>
      <c r="AE2185" s="960">
        <f t="array" ref="AE2185">HLOOKUP($J2185,'Type Chart'!$C$2:$T$20,12,false)*HLOOKUP($K2185,'Type Chart'!$C$2:$U$20,12,false)</f>
        <v>1</v>
      </c>
      <c r="AF2185" s="960">
        <f t="array" ref="AF2185">HLOOKUP($J2185,'Type Chart'!$C$2:$T$20,13,false)*HLOOKUP($K2185,'Type Chart'!$C$2:$U$20,13,false)</f>
        <v>1</v>
      </c>
      <c r="AG2185" s="960">
        <f t="array" ref="AG2185">HLOOKUP($J2185,'Type Chart'!$C$2:$T$20,14,false)*HLOOKUP($K2185,'Type Chart'!$C$2:$U$20,14,false)</f>
        <v>1</v>
      </c>
      <c r="AH2185" s="960">
        <f t="array" ref="AH2185">HLOOKUP($J2185,'Type Chart'!$C$2:$T$20,15,false)*HLOOKUP($K2185,'Type Chart'!$C$2:$U$20,15,false)</f>
        <v>1</v>
      </c>
      <c r="AI2185" s="960">
        <f t="array" ref="AI2185">HLOOKUP($J2185,'Type Chart'!$C$2:$T$20,16,false)*HLOOKUP($K2185,'Type Chart'!$C$2:$U$20,16,false)</f>
        <v>1</v>
      </c>
      <c r="AJ2185" s="960">
        <f t="array" ref="AJ2185">HLOOKUP($J2185,'Type Chart'!$C$2:$T$20,17,false)*HLOOKUP($K2185,'Type Chart'!$C$2:$U$20,17,false)</f>
        <v>1</v>
      </c>
      <c r="AK2185" s="960">
        <f t="array" ref="AK2185">HLOOKUP($J2185,'Type Chart'!$C$2:$T$20,18,false)*HLOOKUP($K2185,'Type Chart'!$C$2:$U$20,18,false)</f>
        <v>1</v>
      </c>
      <c r="AL2185" s="960">
        <f t="array" ref="AL2185">HLOOKUP($J2185,'Type Chart'!$C$2:$T$20,19,false)*HLOOKUP($K2185,'Type Chart'!$C$2:$U$20,19,false)</f>
        <v>1</v>
      </c>
      <c r="AM2185" s="964" t="s">
        <v>3548</v>
      </c>
      <c r="AN2185" s="965" t="s">
        <v>2205</v>
      </c>
      <c r="AO2185" s="966" t="s">
        <v>1018</v>
      </c>
      <c r="AP2185" s="936"/>
      <c r="AQ2185" s="1245"/>
      <c r="AR2185" s="1245"/>
      <c r="AS2185" s="936"/>
    </row>
    <row r="2186" ht="15.75" customHeight="1">
      <c r="A2186" s="1099"/>
      <c r="B2186" s="948" t="s">
        <v>3549</v>
      </c>
      <c r="C2186" s="1197" t="s">
        <v>3550</v>
      </c>
      <c r="D2186" s="1197" t="s">
        <v>3550</v>
      </c>
      <c r="E2186" s="1147" t="s">
        <v>3550</v>
      </c>
      <c r="F2186" s="940"/>
      <c r="G2186" s="953"/>
      <c r="H2186" s="969"/>
      <c r="I2186" s="998" t="s">
        <v>5284</v>
      </c>
      <c r="J2186" s="1194" t="s">
        <v>136</v>
      </c>
      <c r="K2186" s="984" t="s">
        <v>216</v>
      </c>
      <c r="L2186" s="959">
        <v>88.0</v>
      </c>
      <c r="M2186" s="960">
        <v>110.0</v>
      </c>
      <c r="N2186" s="960">
        <v>60.0</v>
      </c>
      <c r="O2186" s="960">
        <v>55.0</v>
      </c>
      <c r="P2186" s="960">
        <v>60.0</v>
      </c>
      <c r="Q2186" s="960">
        <v>45.0</v>
      </c>
      <c r="R2186" s="960">
        <v>126.0</v>
      </c>
      <c r="S2186" s="960">
        <v>189.0</v>
      </c>
      <c r="T2186" s="960">
        <v>207.0</v>
      </c>
      <c r="U2186" s="960">
        <f t="array" ref="U2186">HLOOKUP($J2186,'Type Chart'!$C$2:$T$20,2,false)*HLOOKUP($K2186,'Type Chart'!$C$2:$U$20,2,false)</f>
        <v>1</v>
      </c>
      <c r="V2186" s="960">
        <f t="array" ref="V2186">HLOOKUP($J2186,'Type Chart'!$C$2:$T$20,3,false)*HLOOKUP($K2186,'Type Chart'!$C$2:$U$20,3,false)</f>
        <v>2</v>
      </c>
      <c r="W2186" s="960">
        <f t="array" ref="W2186">HLOOKUP($J2186,'Type Chart'!$C$2:$T$20,4,false)*HLOOKUP($K2186,'Type Chart'!$C$2:$U$20,4,false)</f>
        <v>1</v>
      </c>
      <c r="X2186" s="960">
        <f t="array" ref="X2186">HLOOKUP($J2186,'Type Chart'!$C$2:$T$20,5,false)*HLOOKUP($K2186,'Type Chart'!$C$2:$U$20,5,false)</f>
        <v>1</v>
      </c>
      <c r="Y2186" s="960">
        <f t="array" ref="Y2186">HLOOKUP($J2186,'Type Chart'!$C$2:$T$20,6,false)*HLOOKUP($K2186,'Type Chart'!$C$2:$U$20,6,false)</f>
        <v>1</v>
      </c>
      <c r="Z2186" s="960">
        <f t="array" ref="Z2186">HLOOKUP($J2186,'Type Chart'!$C$2:$T$20,7,false)*HLOOKUP($K2186,'Type Chart'!$C$2:$U$20,7,false)</f>
        <v>1</v>
      </c>
      <c r="AA2186" s="960">
        <f t="array" ref="AA2186">HLOOKUP($J2186,'Type Chart'!$C$2:$T$20,8,false)*HLOOKUP($K2186,'Type Chart'!$C$2:$U$20,8,false)</f>
        <v>1</v>
      </c>
      <c r="AB2186" s="960">
        <f t="array" ref="AB2186">HLOOKUP($J2186,'Type Chart'!$C$2:$T$20,9,false)*HLOOKUP($K2186,'Type Chart'!$C$2:$U$20,9,false)</f>
        <v>0</v>
      </c>
      <c r="AC2186" s="960">
        <f t="array" ref="AC2186">HLOOKUP($J2186,'Type Chart'!$C$2:$T$20,10,false)*HLOOKUP($K2186,'Type Chart'!$C$2:$U$20,10,false)</f>
        <v>1</v>
      </c>
      <c r="AD2186" s="960">
        <f t="array" ref="AD2186">HLOOKUP($J2186,'Type Chart'!$C$2:$T$20,11,false)*HLOOKUP($K2186,'Type Chart'!$C$2:$U$20,11,false)</f>
        <v>1</v>
      </c>
      <c r="AE2186" s="960">
        <f t="array" ref="AE2186">HLOOKUP($J2186,'Type Chart'!$C$2:$T$20,12,false)*HLOOKUP($K2186,'Type Chart'!$C$2:$U$20,12,false)</f>
        <v>1</v>
      </c>
      <c r="AF2186" s="960">
        <f t="array" ref="AF2186">HLOOKUP($J2186,'Type Chart'!$C$2:$T$20,13,false)*HLOOKUP($K2186,'Type Chart'!$C$2:$U$20,13,false)</f>
        <v>1</v>
      </c>
      <c r="AG2186" s="960">
        <f t="array" ref="AG2186">HLOOKUP($J2186,'Type Chart'!$C$2:$T$20,14,false)*HLOOKUP($K2186,'Type Chart'!$C$2:$U$20,14,false)</f>
        <v>1</v>
      </c>
      <c r="AH2186" s="960">
        <f t="array" ref="AH2186">HLOOKUP($J2186,'Type Chart'!$C$2:$T$20,15,false)*HLOOKUP($K2186,'Type Chart'!$C$2:$U$20,15,false)</f>
        <v>1</v>
      </c>
      <c r="AI2186" s="960">
        <f t="array" ref="AI2186">HLOOKUP($J2186,'Type Chart'!$C$2:$T$20,16,false)*HLOOKUP($K2186,'Type Chart'!$C$2:$U$20,16,false)</f>
        <v>1</v>
      </c>
      <c r="AJ2186" s="960">
        <f t="array" ref="AJ2186">HLOOKUP($J2186,'Type Chart'!$C$2:$T$20,17,false)*HLOOKUP($K2186,'Type Chart'!$C$2:$U$20,17,false)</f>
        <v>1</v>
      </c>
      <c r="AK2186" s="960">
        <f t="array" ref="AK2186">HLOOKUP($J2186,'Type Chart'!$C$2:$T$20,18,false)*HLOOKUP($K2186,'Type Chart'!$C$2:$U$20,18,false)</f>
        <v>1</v>
      </c>
      <c r="AL2186" s="960">
        <f t="array" ref="AL2186">HLOOKUP($J2186,'Type Chart'!$C$2:$T$20,19,false)*HLOOKUP($K2186,'Type Chart'!$C$2:$U$20,19,false)</f>
        <v>1</v>
      </c>
      <c r="AM2186" s="964" t="s">
        <v>3548</v>
      </c>
      <c r="AN2186" s="965" t="s">
        <v>2205</v>
      </c>
      <c r="AO2186" s="966" t="s">
        <v>1018</v>
      </c>
      <c r="AP2186" s="936"/>
      <c r="AQ2186" s="1245"/>
      <c r="AR2186" s="1245"/>
      <c r="AS2186" s="936"/>
    </row>
    <row r="2187" ht="15.75" customHeight="1">
      <c r="A2187" s="1099"/>
      <c r="B2187" s="948" t="s">
        <v>3551</v>
      </c>
      <c r="C2187" s="1197" t="s">
        <v>3552</v>
      </c>
      <c r="D2187" s="1197" t="s">
        <v>3552</v>
      </c>
      <c r="E2187" s="1147" t="s">
        <v>3552</v>
      </c>
      <c r="F2187" s="940"/>
      <c r="G2187" s="953"/>
      <c r="H2187" s="969"/>
      <c r="I2187" s="998" t="s">
        <v>5285</v>
      </c>
      <c r="J2187" s="1180" t="s">
        <v>343</v>
      </c>
      <c r="K2187" s="984" t="s">
        <v>216</v>
      </c>
      <c r="L2187" s="959">
        <v>47.0</v>
      </c>
      <c r="M2187" s="960">
        <v>62.0</v>
      </c>
      <c r="N2187" s="960">
        <v>45.0</v>
      </c>
      <c r="O2187" s="960">
        <v>55.0</v>
      </c>
      <c r="P2187" s="960">
        <v>45.0</v>
      </c>
      <c r="Q2187" s="960">
        <v>46.0</v>
      </c>
      <c r="R2187" s="960">
        <v>128.0</v>
      </c>
      <c r="S2187" s="960">
        <v>191.0</v>
      </c>
      <c r="T2187" s="960">
        <v>210.0</v>
      </c>
      <c r="U2187" s="960">
        <f t="array" ref="U2187">HLOOKUP($J2187,'Type Chart'!$C$2:$T$20,2,false)*HLOOKUP($K2187,'Type Chart'!$C$2:$U$20,2,false)</f>
        <v>1</v>
      </c>
      <c r="V2187" s="960">
        <f t="array" ref="V2187">HLOOKUP($J2187,'Type Chart'!$C$2:$T$20,3,false)*HLOOKUP($K2187,'Type Chart'!$C$2:$U$20,3,false)</f>
        <v>0.5</v>
      </c>
      <c r="W2187" s="960">
        <f t="array" ref="W2187">HLOOKUP($J2187,'Type Chart'!$C$2:$T$20,4,false)*HLOOKUP($K2187,'Type Chart'!$C$2:$U$20,4,false)</f>
        <v>2</v>
      </c>
      <c r="X2187" s="960">
        <f t="array" ref="X2187">HLOOKUP($J2187,'Type Chart'!$C$2:$T$20,5,false)*HLOOKUP($K2187,'Type Chart'!$C$2:$U$20,5,false)</f>
        <v>1</v>
      </c>
      <c r="Y2187" s="960">
        <f t="array" ref="Y2187">HLOOKUP($J2187,'Type Chart'!$C$2:$T$20,6,false)*HLOOKUP($K2187,'Type Chart'!$C$2:$U$20,6,false)</f>
        <v>0.5</v>
      </c>
      <c r="Z2187" s="960">
        <f t="array" ref="Z2187">HLOOKUP($J2187,'Type Chart'!$C$2:$T$20,7,false)*HLOOKUP($K2187,'Type Chart'!$C$2:$U$20,7,false)</f>
        <v>2</v>
      </c>
      <c r="AA2187" s="960">
        <f t="array" ref="AA2187">HLOOKUP($J2187,'Type Chart'!$C$2:$T$20,8,false)*HLOOKUP($K2187,'Type Chart'!$C$2:$U$20,8,false)</f>
        <v>1</v>
      </c>
      <c r="AB2187" s="960">
        <f t="array" ref="AB2187">HLOOKUP($J2187,'Type Chart'!$C$2:$T$20,9,false)*HLOOKUP($K2187,'Type Chart'!$C$2:$U$20,9,false)</f>
        <v>1</v>
      </c>
      <c r="AC2187" s="960">
        <f t="array" ref="AC2187">HLOOKUP($J2187,'Type Chart'!$C$2:$T$20,10,false)*HLOOKUP($K2187,'Type Chart'!$C$2:$U$20,10,false)</f>
        <v>1</v>
      </c>
      <c r="AD2187" s="960">
        <f t="array" ref="AD2187">HLOOKUP($J2187,'Type Chart'!$C$2:$T$20,11,false)*HLOOKUP($K2187,'Type Chart'!$C$2:$U$20,11,false)</f>
        <v>2</v>
      </c>
      <c r="AE2187" s="960">
        <f t="array" ref="AE2187">HLOOKUP($J2187,'Type Chart'!$C$2:$T$20,12,false)*HLOOKUP($K2187,'Type Chart'!$C$2:$U$20,12,false)</f>
        <v>1</v>
      </c>
      <c r="AF2187" s="960">
        <f t="array" ref="AF2187">HLOOKUP($J2187,'Type Chart'!$C$2:$T$20,13,false)*HLOOKUP($K2187,'Type Chart'!$C$2:$U$20,13,false)</f>
        <v>0.5</v>
      </c>
      <c r="AG2187" s="960">
        <f t="array" ref="AG2187">HLOOKUP($J2187,'Type Chart'!$C$2:$T$20,14,false)*HLOOKUP($K2187,'Type Chart'!$C$2:$U$20,14,false)</f>
        <v>1</v>
      </c>
      <c r="AH2187" s="960">
        <f t="array" ref="AH2187">HLOOKUP($J2187,'Type Chart'!$C$2:$T$20,15,false)*HLOOKUP($K2187,'Type Chart'!$C$2:$U$20,15,false)</f>
        <v>1</v>
      </c>
      <c r="AI2187" s="960">
        <f t="array" ref="AI2187">HLOOKUP($J2187,'Type Chart'!$C$2:$T$20,16,false)*HLOOKUP($K2187,'Type Chart'!$C$2:$U$20,16,false)</f>
        <v>1</v>
      </c>
      <c r="AJ2187" s="960">
        <f t="array" ref="AJ2187">HLOOKUP($J2187,'Type Chart'!$C$2:$T$20,17,false)*HLOOKUP($K2187,'Type Chart'!$C$2:$U$20,17,false)</f>
        <v>1</v>
      </c>
      <c r="AK2187" s="960">
        <f t="array" ref="AK2187">HLOOKUP($J2187,'Type Chart'!$C$2:$T$20,18,false)*HLOOKUP($K2187,'Type Chart'!$C$2:$U$20,18,false)</f>
        <v>1</v>
      </c>
      <c r="AL2187" s="960">
        <f t="array" ref="AL2187">HLOOKUP($J2187,'Type Chart'!$C$2:$T$20,19,false)*HLOOKUP($K2187,'Type Chart'!$C$2:$U$20,19,false)</f>
        <v>1</v>
      </c>
      <c r="AM2187" s="964" t="s">
        <v>1013</v>
      </c>
      <c r="AN2187" s="965"/>
      <c r="AO2187" s="966"/>
      <c r="AP2187" s="936"/>
      <c r="AQ2187" s="1245"/>
      <c r="AR2187" s="1245"/>
      <c r="AS2187" s="936"/>
    </row>
    <row r="2188" ht="15.75" customHeight="1">
      <c r="A2188" s="1099"/>
      <c r="B2188" s="948" t="s">
        <v>3554</v>
      </c>
      <c r="C2188" s="1197" t="s">
        <v>3555</v>
      </c>
      <c r="D2188" s="1197" t="s">
        <v>3555</v>
      </c>
      <c r="E2188" s="1147" t="s">
        <v>3555</v>
      </c>
      <c r="F2188" s="940"/>
      <c r="G2188" s="953"/>
      <c r="H2188" s="969"/>
      <c r="I2188" s="998" t="s">
        <v>5286</v>
      </c>
      <c r="J2188" s="1180" t="s">
        <v>343</v>
      </c>
      <c r="K2188" s="1196" t="s">
        <v>203</v>
      </c>
      <c r="L2188" s="959">
        <v>57.0</v>
      </c>
      <c r="M2188" s="960">
        <v>82.0</v>
      </c>
      <c r="N2188" s="960">
        <v>95.0</v>
      </c>
      <c r="O2188" s="960">
        <v>55.0</v>
      </c>
      <c r="P2188" s="960">
        <v>75.0</v>
      </c>
      <c r="Q2188" s="960">
        <v>36.0</v>
      </c>
      <c r="R2188" s="960">
        <v>108.0</v>
      </c>
      <c r="S2188" s="960">
        <v>171.0</v>
      </c>
      <c r="T2188" s="960">
        <v>188.0</v>
      </c>
      <c r="U2188" s="960">
        <f t="array" ref="U2188">HLOOKUP($J2188,'Type Chart'!$C$2:$T$20,2,false)*HLOOKUP($K2188,'Type Chart'!$C$2:$U$20,2,false)</f>
        <v>1</v>
      </c>
      <c r="V2188" s="960">
        <f t="array" ref="V2188">HLOOKUP($J2188,'Type Chart'!$C$2:$T$20,3,false)*HLOOKUP($K2188,'Type Chart'!$C$2:$U$20,3,false)</f>
        <v>0.5</v>
      </c>
      <c r="W2188" s="960">
        <f t="array" ref="W2188">HLOOKUP($J2188,'Type Chart'!$C$2:$T$20,4,false)*HLOOKUP($K2188,'Type Chart'!$C$2:$U$20,4,false)</f>
        <v>1</v>
      </c>
      <c r="X2188" s="960">
        <f t="array" ref="X2188">HLOOKUP($J2188,'Type Chart'!$C$2:$T$20,5,false)*HLOOKUP($K2188,'Type Chart'!$C$2:$U$20,5,false)</f>
        <v>1</v>
      </c>
      <c r="Y2188" s="960">
        <f t="array" ref="Y2188">HLOOKUP($J2188,'Type Chart'!$C$2:$T$20,6,false)*HLOOKUP($K2188,'Type Chart'!$C$2:$U$20,6,false)</f>
        <v>1</v>
      </c>
      <c r="Z2188" s="960">
        <f t="array" ref="Z2188">HLOOKUP($J2188,'Type Chart'!$C$2:$T$20,7,false)*HLOOKUP($K2188,'Type Chart'!$C$2:$U$20,7,false)</f>
        <v>2</v>
      </c>
      <c r="AA2188" s="960">
        <f t="array" ref="AA2188">HLOOKUP($J2188,'Type Chart'!$C$2:$T$20,8,false)*HLOOKUP($K2188,'Type Chart'!$C$2:$U$20,8,false)</f>
        <v>1</v>
      </c>
      <c r="AB2188" s="960">
        <f t="array" ref="AB2188">HLOOKUP($J2188,'Type Chart'!$C$2:$T$20,9,false)*HLOOKUP($K2188,'Type Chart'!$C$2:$U$20,9,false)</f>
        <v>1</v>
      </c>
      <c r="AC2188" s="960">
        <f t="array" ref="AC2188">HLOOKUP($J2188,'Type Chart'!$C$2:$T$20,10,false)*HLOOKUP($K2188,'Type Chart'!$C$2:$U$20,10,false)</f>
        <v>0.5</v>
      </c>
      <c r="AD2188" s="960">
        <f t="array" ref="AD2188">HLOOKUP($J2188,'Type Chart'!$C$2:$T$20,11,false)*HLOOKUP($K2188,'Type Chart'!$C$2:$U$20,11,false)</f>
        <v>2</v>
      </c>
      <c r="AE2188" s="960">
        <f t="array" ref="AE2188">HLOOKUP($J2188,'Type Chart'!$C$2:$T$20,12,false)*HLOOKUP($K2188,'Type Chart'!$C$2:$U$20,12,false)</f>
        <v>1</v>
      </c>
      <c r="AF2188" s="960">
        <f t="array" ref="AF2188">HLOOKUP($J2188,'Type Chart'!$C$2:$T$20,13,false)*HLOOKUP($K2188,'Type Chart'!$C$2:$U$20,13,false)</f>
        <v>0.5</v>
      </c>
      <c r="AG2188" s="960">
        <f t="array" ref="AG2188">HLOOKUP($J2188,'Type Chart'!$C$2:$T$20,14,false)*HLOOKUP($K2188,'Type Chart'!$C$2:$U$20,14,false)</f>
        <v>0.5</v>
      </c>
      <c r="AH2188" s="960">
        <f t="array" ref="AH2188">HLOOKUP($J2188,'Type Chart'!$C$2:$T$20,15,false)*HLOOKUP($K2188,'Type Chart'!$C$2:$U$20,15,false)</f>
        <v>1</v>
      </c>
      <c r="AI2188" s="960">
        <f t="array" ref="AI2188">HLOOKUP($J2188,'Type Chart'!$C$2:$T$20,16,false)*HLOOKUP($K2188,'Type Chart'!$C$2:$U$20,16,false)</f>
        <v>1</v>
      </c>
      <c r="AJ2188" s="960">
        <f t="array" ref="AJ2188">HLOOKUP($J2188,'Type Chart'!$C$2:$T$20,17,false)*HLOOKUP($K2188,'Type Chart'!$C$2:$U$20,17,false)</f>
        <v>1</v>
      </c>
      <c r="AK2188" s="960">
        <f t="array" ref="AK2188">HLOOKUP($J2188,'Type Chart'!$C$2:$T$20,18,false)*HLOOKUP($K2188,'Type Chart'!$C$2:$U$20,18,false)</f>
        <v>1</v>
      </c>
      <c r="AL2188" s="960">
        <f t="array" ref="AL2188">HLOOKUP($J2188,'Type Chart'!$C$2:$T$20,19,false)*HLOOKUP($K2188,'Type Chart'!$C$2:$U$20,19,false)</f>
        <v>1</v>
      </c>
      <c r="AM2188" s="964" t="s">
        <v>3556</v>
      </c>
      <c r="AN2188" s="965"/>
      <c r="AO2188" s="966"/>
      <c r="AP2188" s="936"/>
      <c r="AQ2188" s="1245"/>
      <c r="AR2188" s="1245"/>
      <c r="AS2188" s="936"/>
    </row>
    <row r="2189" ht="15.75" customHeight="1">
      <c r="A2189" s="1099"/>
      <c r="B2189" s="948" t="s">
        <v>3557</v>
      </c>
      <c r="C2189" s="1197" t="s">
        <v>3558</v>
      </c>
      <c r="D2189" s="1197" t="s">
        <v>3558</v>
      </c>
      <c r="E2189" s="1147" t="s">
        <v>3558</v>
      </c>
      <c r="F2189" s="940"/>
      <c r="G2189" s="953"/>
      <c r="H2189" s="969"/>
      <c r="I2189" s="998" t="s">
        <v>5287</v>
      </c>
      <c r="J2189" s="1180" t="s">
        <v>343</v>
      </c>
      <c r="K2189" s="1196" t="s">
        <v>203</v>
      </c>
      <c r="L2189" s="959">
        <v>77.0</v>
      </c>
      <c r="M2189" s="960">
        <v>70.0</v>
      </c>
      <c r="N2189" s="960">
        <v>90.0</v>
      </c>
      <c r="O2189" s="960">
        <v>145.0</v>
      </c>
      <c r="P2189" s="960">
        <v>75.0</v>
      </c>
      <c r="Q2189" s="960">
        <v>43.0</v>
      </c>
      <c r="R2189" s="960">
        <v>122.0</v>
      </c>
      <c r="S2189" s="960">
        <v>185.0</v>
      </c>
      <c r="T2189" s="960">
        <v>203.0</v>
      </c>
      <c r="U2189" s="960">
        <f t="array" ref="U2189">HLOOKUP($J2189,'Type Chart'!$C$2:$T$20,2,false)*HLOOKUP($K2189,'Type Chart'!$C$2:$U$20,2,false)</f>
        <v>1</v>
      </c>
      <c r="V2189" s="960">
        <f t="array" ref="V2189">HLOOKUP($J2189,'Type Chart'!$C$2:$T$20,3,false)*HLOOKUP($K2189,'Type Chart'!$C$2:$U$20,3,false)</f>
        <v>0.5</v>
      </c>
      <c r="W2189" s="960">
        <f t="array" ref="W2189">HLOOKUP($J2189,'Type Chart'!$C$2:$T$20,4,false)*HLOOKUP($K2189,'Type Chart'!$C$2:$U$20,4,false)</f>
        <v>1</v>
      </c>
      <c r="X2189" s="960">
        <f t="array" ref="X2189">HLOOKUP($J2189,'Type Chart'!$C$2:$T$20,5,false)*HLOOKUP($K2189,'Type Chart'!$C$2:$U$20,5,false)</f>
        <v>1</v>
      </c>
      <c r="Y2189" s="960">
        <f t="array" ref="Y2189">HLOOKUP($J2189,'Type Chart'!$C$2:$T$20,6,false)*HLOOKUP($K2189,'Type Chart'!$C$2:$U$20,6,false)</f>
        <v>1</v>
      </c>
      <c r="Z2189" s="960">
        <f t="array" ref="Z2189">HLOOKUP($J2189,'Type Chart'!$C$2:$T$20,7,false)*HLOOKUP($K2189,'Type Chart'!$C$2:$U$20,7,false)</f>
        <v>2</v>
      </c>
      <c r="AA2189" s="960">
        <f t="array" ref="AA2189">HLOOKUP($J2189,'Type Chart'!$C$2:$T$20,8,false)*HLOOKUP($K2189,'Type Chart'!$C$2:$U$20,8,false)</f>
        <v>1</v>
      </c>
      <c r="AB2189" s="960">
        <f t="array" ref="AB2189">HLOOKUP($J2189,'Type Chart'!$C$2:$T$20,9,false)*HLOOKUP($K2189,'Type Chart'!$C$2:$U$20,9,false)</f>
        <v>1</v>
      </c>
      <c r="AC2189" s="960">
        <f t="array" ref="AC2189">HLOOKUP($J2189,'Type Chart'!$C$2:$T$20,10,false)*HLOOKUP($K2189,'Type Chart'!$C$2:$U$20,10,false)</f>
        <v>0.5</v>
      </c>
      <c r="AD2189" s="960">
        <f t="array" ref="AD2189">HLOOKUP($J2189,'Type Chart'!$C$2:$T$20,11,false)*HLOOKUP($K2189,'Type Chart'!$C$2:$U$20,11,false)</f>
        <v>2</v>
      </c>
      <c r="AE2189" s="960">
        <f t="array" ref="AE2189">HLOOKUP($J2189,'Type Chart'!$C$2:$T$20,12,false)*HLOOKUP($K2189,'Type Chart'!$C$2:$U$20,12,false)</f>
        <v>1</v>
      </c>
      <c r="AF2189" s="960">
        <f t="array" ref="AF2189">HLOOKUP($J2189,'Type Chart'!$C$2:$T$20,13,false)*HLOOKUP($K2189,'Type Chart'!$C$2:$U$20,13,false)</f>
        <v>0.5</v>
      </c>
      <c r="AG2189" s="960">
        <f t="array" ref="AG2189">HLOOKUP($J2189,'Type Chart'!$C$2:$T$20,14,false)*HLOOKUP($K2189,'Type Chart'!$C$2:$U$20,14,false)</f>
        <v>0.5</v>
      </c>
      <c r="AH2189" s="960">
        <f t="array" ref="AH2189">HLOOKUP($J2189,'Type Chart'!$C$2:$T$20,15,false)*HLOOKUP($K2189,'Type Chart'!$C$2:$U$20,15,false)</f>
        <v>1</v>
      </c>
      <c r="AI2189" s="960">
        <f t="array" ref="AI2189">HLOOKUP($J2189,'Type Chart'!$C$2:$T$20,16,false)*HLOOKUP($K2189,'Type Chart'!$C$2:$U$20,16,false)</f>
        <v>1</v>
      </c>
      <c r="AJ2189" s="960">
        <f t="array" ref="AJ2189">HLOOKUP($J2189,'Type Chart'!$C$2:$T$20,17,false)*HLOOKUP($K2189,'Type Chart'!$C$2:$U$20,17,false)</f>
        <v>1</v>
      </c>
      <c r="AK2189" s="960">
        <f t="array" ref="AK2189">HLOOKUP($J2189,'Type Chart'!$C$2:$T$20,18,false)*HLOOKUP($K2189,'Type Chart'!$C$2:$U$20,18,false)</f>
        <v>1</v>
      </c>
      <c r="AL2189" s="960">
        <f t="array" ref="AL2189">HLOOKUP($J2189,'Type Chart'!$C$2:$T$20,19,false)*HLOOKUP($K2189,'Type Chart'!$C$2:$U$20,19,false)</f>
        <v>1</v>
      </c>
      <c r="AM2189" s="964" t="s">
        <v>1437</v>
      </c>
      <c r="AN2189" s="965"/>
      <c r="AO2189" s="966"/>
      <c r="AP2189" s="936"/>
      <c r="AQ2189" s="1245"/>
      <c r="AR2189" s="1245"/>
      <c r="AS2189" s="936"/>
    </row>
    <row r="2190" ht="15.75" customHeight="1">
      <c r="A2190" s="1099"/>
      <c r="B2190" s="948" t="s">
        <v>3559</v>
      </c>
      <c r="C2190" s="1197" t="s">
        <v>3560</v>
      </c>
      <c r="D2190" s="1197" t="s">
        <v>3560</v>
      </c>
      <c r="E2190" s="1147" t="s">
        <v>3560</v>
      </c>
      <c r="F2190" s="940"/>
      <c r="G2190" s="953"/>
      <c r="H2190" s="969"/>
      <c r="I2190" s="998" t="s">
        <v>5288</v>
      </c>
      <c r="J2190" s="1213" t="s">
        <v>341</v>
      </c>
      <c r="K2190" s="984" t="s">
        <v>216</v>
      </c>
      <c r="L2190" s="959">
        <v>47.0</v>
      </c>
      <c r="M2190" s="960">
        <v>82.0</v>
      </c>
      <c r="N2190" s="960">
        <v>57.0</v>
      </c>
      <c r="O2190" s="960">
        <v>42.0</v>
      </c>
      <c r="P2190" s="960">
        <v>47.0</v>
      </c>
      <c r="Q2190" s="960">
        <v>63.0</v>
      </c>
      <c r="R2190" s="960">
        <v>162.0</v>
      </c>
      <c r="S2190" s="960">
        <v>225.0</v>
      </c>
      <c r="T2190" s="960">
        <v>247.0</v>
      </c>
      <c r="U2190" s="960">
        <f t="array" ref="U2190">HLOOKUP($J2190,'Type Chart'!$C$2:$T$20,2,false)*HLOOKUP($K2190,'Type Chart'!$C$2:$U$20,2,false)</f>
        <v>1</v>
      </c>
      <c r="V2190" s="960">
        <f t="array" ref="V2190">HLOOKUP($J2190,'Type Chart'!$C$2:$T$20,3,false)*HLOOKUP($K2190,'Type Chart'!$C$2:$U$20,3,false)</f>
        <v>1</v>
      </c>
      <c r="W2190" s="960">
        <f t="array" ref="W2190">HLOOKUP($J2190,'Type Chart'!$C$2:$T$20,4,false)*HLOOKUP($K2190,'Type Chart'!$C$2:$U$20,4,false)</f>
        <v>2</v>
      </c>
      <c r="X2190" s="960">
        <f t="array" ref="X2190">HLOOKUP($J2190,'Type Chart'!$C$2:$T$20,5,false)*HLOOKUP($K2190,'Type Chart'!$C$2:$U$20,5,false)</f>
        <v>1</v>
      </c>
      <c r="Y2190" s="960">
        <f t="array" ref="Y2190">HLOOKUP($J2190,'Type Chart'!$C$2:$T$20,6,false)*HLOOKUP($K2190,'Type Chart'!$C$2:$U$20,6,false)</f>
        <v>1</v>
      </c>
      <c r="Z2190" s="960">
        <f t="array" ref="Z2190">HLOOKUP($J2190,'Type Chart'!$C$2:$T$20,7,false)*HLOOKUP($K2190,'Type Chart'!$C$2:$U$20,7,false)</f>
        <v>0.5</v>
      </c>
      <c r="AA2190" s="960">
        <f t="array" ref="AA2190">HLOOKUP($J2190,'Type Chart'!$C$2:$T$20,8,false)*HLOOKUP($K2190,'Type Chart'!$C$2:$U$20,8,false)</f>
        <v>0.5</v>
      </c>
      <c r="AB2190" s="960">
        <f t="array" ref="AB2190">HLOOKUP($J2190,'Type Chart'!$C$2:$T$20,9,false)*HLOOKUP($K2190,'Type Chart'!$C$2:$U$20,9,false)</f>
        <v>1</v>
      </c>
      <c r="AC2190" s="960">
        <f t="array" ref="AC2190">HLOOKUP($J2190,'Type Chart'!$C$2:$T$20,10,false)*HLOOKUP($K2190,'Type Chart'!$C$2:$U$20,10,false)</f>
        <v>1</v>
      </c>
      <c r="AD2190" s="960">
        <f t="array" ref="AD2190">HLOOKUP($J2190,'Type Chart'!$C$2:$T$20,11,false)*HLOOKUP($K2190,'Type Chart'!$C$2:$U$20,11,false)</f>
        <v>1</v>
      </c>
      <c r="AE2190" s="960">
        <f t="array" ref="AE2190">HLOOKUP($J2190,'Type Chart'!$C$2:$T$20,12,false)*HLOOKUP($K2190,'Type Chart'!$C$2:$U$20,12,false)</f>
        <v>1</v>
      </c>
      <c r="AF2190" s="960">
        <f t="array" ref="AF2190">HLOOKUP($J2190,'Type Chart'!$C$2:$T$20,13,false)*HLOOKUP($K2190,'Type Chart'!$C$2:$U$20,13,false)</f>
        <v>1</v>
      </c>
      <c r="AG2190" s="960">
        <f t="array" ref="AG2190">HLOOKUP($J2190,'Type Chart'!$C$2:$T$20,14,false)*HLOOKUP($K2190,'Type Chart'!$C$2:$U$20,14,false)</f>
        <v>1</v>
      </c>
      <c r="AH2190" s="960">
        <f t="array" ref="AH2190">HLOOKUP($J2190,'Type Chart'!$C$2:$T$20,15,false)*HLOOKUP($K2190,'Type Chart'!$C$2:$U$20,15,false)</f>
        <v>2</v>
      </c>
      <c r="AI2190" s="960">
        <f t="array" ref="AI2190">HLOOKUP($J2190,'Type Chart'!$C$2:$T$20,16,false)*HLOOKUP($K2190,'Type Chart'!$C$2:$U$20,16,false)</f>
        <v>1</v>
      </c>
      <c r="AJ2190" s="960">
        <f t="array" ref="AJ2190">HLOOKUP($J2190,'Type Chart'!$C$2:$T$20,17,false)*HLOOKUP($K2190,'Type Chart'!$C$2:$U$20,17,false)</f>
        <v>1</v>
      </c>
      <c r="AK2190" s="960">
        <f t="array" ref="AK2190">HLOOKUP($J2190,'Type Chart'!$C$2:$T$20,18,false)*HLOOKUP($K2190,'Type Chart'!$C$2:$U$20,18,false)</f>
        <v>0.5</v>
      </c>
      <c r="AL2190" s="960">
        <f t="array" ref="AL2190">HLOOKUP($J2190,'Type Chart'!$C$2:$T$20,19,false)*HLOOKUP($K2190,'Type Chart'!$C$2:$U$20,19,false)</f>
        <v>2</v>
      </c>
      <c r="AM2190" s="1145" t="s">
        <v>1461</v>
      </c>
      <c r="AN2190" s="965" t="s">
        <v>1501</v>
      </c>
      <c r="AO2190" s="966" t="s">
        <v>1266</v>
      </c>
      <c r="AP2190" s="936"/>
      <c r="AQ2190" s="1245"/>
      <c r="AR2190" s="1245"/>
      <c r="AS2190" s="936"/>
    </row>
    <row r="2191" ht="15.75" customHeight="1">
      <c r="A2191" s="1099"/>
      <c r="B2191" s="948" t="s">
        <v>3562</v>
      </c>
      <c r="C2191" s="1197" t="s">
        <v>3563</v>
      </c>
      <c r="D2191" s="1197" t="s">
        <v>3563</v>
      </c>
      <c r="E2191" s="1147" t="s">
        <v>3563</v>
      </c>
      <c r="F2191" s="940"/>
      <c r="G2191" s="953"/>
      <c r="H2191" s="969"/>
      <c r="I2191" s="998" t="s">
        <v>5289</v>
      </c>
      <c r="J2191" s="1213" t="s">
        <v>341</v>
      </c>
      <c r="K2191" s="1205" t="s">
        <v>345</v>
      </c>
      <c r="L2191" s="959">
        <v>97.0</v>
      </c>
      <c r="M2191" s="960">
        <v>132.0</v>
      </c>
      <c r="N2191" s="960">
        <v>77.0</v>
      </c>
      <c r="O2191" s="960">
        <v>62.0</v>
      </c>
      <c r="P2191" s="960">
        <v>67.0</v>
      </c>
      <c r="Q2191" s="960">
        <v>43.0</v>
      </c>
      <c r="R2191" s="960">
        <v>122.0</v>
      </c>
      <c r="S2191" s="960">
        <v>185.0</v>
      </c>
      <c r="T2191" s="960">
        <v>203.0</v>
      </c>
      <c r="U2191" s="960">
        <f t="array" ref="U2191">HLOOKUP($J2191,'Type Chart'!$C$2:$T$20,2,false)*HLOOKUP($K2191,'Type Chart'!$C$2:$U$20,2,false)</f>
        <v>1</v>
      </c>
      <c r="V2191" s="960">
        <f t="array" ref="V2191">HLOOKUP($J2191,'Type Chart'!$C$2:$T$20,3,false)*HLOOKUP($K2191,'Type Chart'!$C$2:$U$20,3,false)</f>
        <v>2</v>
      </c>
      <c r="W2191" s="960">
        <f t="array" ref="W2191">HLOOKUP($J2191,'Type Chart'!$C$2:$T$20,4,false)*HLOOKUP($K2191,'Type Chart'!$C$2:$U$20,4,false)</f>
        <v>2</v>
      </c>
      <c r="X2191" s="960">
        <f t="array" ref="X2191">HLOOKUP($J2191,'Type Chart'!$C$2:$T$20,5,false)*HLOOKUP($K2191,'Type Chart'!$C$2:$U$20,5,false)</f>
        <v>1</v>
      </c>
      <c r="Y2191" s="960">
        <f t="array" ref="Y2191">HLOOKUP($J2191,'Type Chart'!$C$2:$T$20,6,false)*HLOOKUP($K2191,'Type Chart'!$C$2:$U$20,6,false)</f>
        <v>1</v>
      </c>
      <c r="Z2191" s="960">
        <f t="array" ref="Z2191">HLOOKUP($J2191,'Type Chart'!$C$2:$T$20,7,false)*HLOOKUP($K2191,'Type Chart'!$C$2:$U$20,7,false)</f>
        <v>1</v>
      </c>
      <c r="AA2191" s="960">
        <f t="array" ref="AA2191">HLOOKUP($J2191,'Type Chart'!$C$2:$T$20,8,false)*HLOOKUP($K2191,'Type Chart'!$C$2:$U$20,8,false)</f>
        <v>0.5</v>
      </c>
      <c r="AB2191" s="960">
        <f t="array" ref="AB2191">HLOOKUP($J2191,'Type Chart'!$C$2:$T$20,9,false)*HLOOKUP($K2191,'Type Chart'!$C$2:$U$20,9,false)</f>
        <v>1</v>
      </c>
      <c r="AC2191" s="960">
        <f t="array" ref="AC2191">HLOOKUP($J2191,'Type Chart'!$C$2:$T$20,10,false)*HLOOKUP($K2191,'Type Chart'!$C$2:$U$20,10,false)</f>
        <v>2</v>
      </c>
      <c r="AD2191" s="960">
        <f t="array" ref="AD2191">HLOOKUP($J2191,'Type Chart'!$C$2:$T$20,11,false)*HLOOKUP($K2191,'Type Chart'!$C$2:$U$20,11,false)</f>
        <v>2</v>
      </c>
      <c r="AE2191" s="960">
        <f t="array" ref="AE2191">HLOOKUP($J2191,'Type Chart'!$C$2:$T$20,12,false)*HLOOKUP($K2191,'Type Chart'!$C$2:$U$20,12,false)</f>
        <v>1</v>
      </c>
      <c r="AF2191" s="960">
        <f t="array" ref="AF2191">HLOOKUP($J2191,'Type Chart'!$C$2:$T$20,13,false)*HLOOKUP($K2191,'Type Chart'!$C$2:$U$20,13,false)</f>
        <v>1</v>
      </c>
      <c r="AG2191" s="960">
        <f t="array" ref="AG2191">HLOOKUP($J2191,'Type Chart'!$C$2:$T$20,14,false)*HLOOKUP($K2191,'Type Chart'!$C$2:$U$20,14,false)</f>
        <v>1</v>
      </c>
      <c r="AH2191" s="960">
        <f t="array" ref="AH2191">HLOOKUP($J2191,'Type Chart'!$C$2:$T$20,15,false)*HLOOKUP($K2191,'Type Chart'!$C$2:$U$20,15,false)</f>
        <v>2</v>
      </c>
      <c r="AI2191" s="960">
        <f t="array" ref="AI2191">HLOOKUP($J2191,'Type Chart'!$C$2:$T$20,16,false)*HLOOKUP($K2191,'Type Chart'!$C$2:$U$20,16,false)</f>
        <v>0.5</v>
      </c>
      <c r="AJ2191" s="960">
        <f t="array" ref="AJ2191">HLOOKUP($J2191,'Type Chart'!$C$2:$T$20,17,false)*HLOOKUP($K2191,'Type Chart'!$C$2:$U$20,17,false)</f>
        <v>1</v>
      </c>
      <c r="AK2191" s="960">
        <f t="array" ref="AK2191">HLOOKUP($J2191,'Type Chart'!$C$2:$T$20,18,false)*HLOOKUP($K2191,'Type Chart'!$C$2:$U$20,18,false)</f>
        <v>0.5</v>
      </c>
      <c r="AL2191" s="960">
        <f t="array" ref="AL2191">HLOOKUP($J2191,'Type Chart'!$C$2:$T$20,19,false)*HLOOKUP($K2191,'Type Chart'!$C$2:$U$20,19,false)</f>
        <v>2</v>
      </c>
      <c r="AM2191" s="964" t="s">
        <v>1461</v>
      </c>
      <c r="AN2191" s="965" t="s">
        <v>1501</v>
      </c>
      <c r="AO2191" s="966" t="s">
        <v>1266</v>
      </c>
      <c r="AP2191" s="936"/>
      <c r="AQ2191" s="1245"/>
      <c r="AR2191" s="1245"/>
      <c r="AS2191" s="936"/>
    </row>
    <row r="2192" ht="15.75" customHeight="1">
      <c r="A2192" s="1099"/>
      <c r="B2192" s="948" t="s">
        <v>3564</v>
      </c>
      <c r="C2192" s="1197" t="s">
        <v>3565</v>
      </c>
      <c r="D2192" s="1197" t="s">
        <v>3565</v>
      </c>
      <c r="E2192" s="1147" t="s">
        <v>3565</v>
      </c>
      <c r="F2192" s="940"/>
      <c r="G2192" s="953"/>
      <c r="H2192" s="969"/>
      <c r="I2192" s="998" t="s">
        <v>5290</v>
      </c>
      <c r="J2192" s="982" t="s">
        <v>150</v>
      </c>
      <c r="K2192" s="1001" t="s">
        <v>128</v>
      </c>
      <c r="L2192" s="959">
        <v>75.0</v>
      </c>
      <c r="M2192" s="960">
        <v>70.0</v>
      </c>
      <c r="N2192" s="960">
        <v>70.0</v>
      </c>
      <c r="O2192" s="960">
        <v>98.0</v>
      </c>
      <c r="P2192" s="960">
        <v>70.0</v>
      </c>
      <c r="Q2192" s="960">
        <v>93.0</v>
      </c>
      <c r="R2192" s="960">
        <v>222.0</v>
      </c>
      <c r="S2192" s="960">
        <v>285.0</v>
      </c>
      <c r="T2192" s="960">
        <v>313.0</v>
      </c>
      <c r="U2192" s="960">
        <f t="array" ref="U2192">HLOOKUP($J2192,'Type Chart'!$C$2:$T$20,2,false)*HLOOKUP($K2192,'Type Chart'!$C$2:$U$20,2,false)</f>
        <v>1</v>
      </c>
      <c r="V2192" s="960">
        <f t="array" ref="V2192">HLOOKUP($J2192,'Type Chart'!$C$2:$T$20,3,false)*HLOOKUP($K2192,'Type Chart'!$C$2:$U$20,3,false)</f>
        <v>0.5</v>
      </c>
      <c r="W2192" s="960">
        <f t="array" ref="W2192">HLOOKUP($J2192,'Type Chart'!$C$2:$T$20,4,false)*HLOOKUP($K2192,'Type Chart'!$C$2:$U$20,4,false)</f>
        <v>1</v>
      </c>
      <c r="X2192" s="960">
        <f t="array" ref="X2192">HLOOKUP($J2192,'Type Chart'!$C$2:$T$20,5,false)*HLOOKUP($K2192,'Type Chart'!$C$2:$U$20,5,false)</f>
        <v>1</v>
      </c>
      <c r="Y2192" s="960">
        <f t="array" ref="Y2192">HLOOKUP($J2192,'Type Chart'!$C$2:$T$20,6,false)*HLOOKUP($K2192,'Type Chart'!$C$2:$U$20,6,false)</f>
        <v>0</v>
      </c>
      <c r="Z2192" s="960">
        <f t="array" ref="Z2192">HLOOKUP($J2192,'Type Chart'!$C$2:$T$20,7,false)*HLOOKUP($K2192,'Type Chart'!$C$2:$U$20,7,false)</f>
        <v>4</v>
      </c>
      <c r="AA2192" s="960">
        <f t="array" ref="AA2192">HLOOKUP($J2192,'Type Chart'!$C$2:$T$20,8,false)*HLOOKUP($K2192,'Type Chart'!$C$2:$U$20,8,false)</f>
        <v>0.25</v>
      </c>
      <c r="AB2192" s="960">
        <f t="array" ref="AB2192">HLOOKUP($J2192,'Type Chart'!$C$2:$T$20,9,false)*HLOOKUP($K2192,'Type Chart'!$C$2:$U$20,9,false)</f>
        <v>1</v>
      </c>
      <c r="AC2192" s="960">
        <f t="array" ref="AC2192">HLOOKUP($J2192,'Type Chart'!$C$2:$T$20,10,false)*HLOOKUP($K2192,'Type Chart'!$C$2:$U$20,10,false)</f>
        <v>0.5</v>
      </c>
      <c r="AD2192" s="960">
        <f t="array" ref="AD2192">HLOOKUP($J2192,'Type Chart'!$C$2:$T$20,11,false)*HLOOKUP($K2192,'Type Chart'!$C$2:$U$20,11,false)</f>
        <v>0.5</v>
      </c>
      <c r="AE2192" s="960">
        <f t="array" ref="AE2192">HLOOKUP($J2192,'Type Chart'!$C$2:$T$20,12,false)*HLOOKUP($K2192,'Type Chart'!$C$2:$U$20,12,false)</f>
        <v>2</v>
      </c>
      <c r="AF2192" s="960">
        <f t="array" ref="AF2192">HLOOKUP($J2192,'Type Chart'!$C$2:$T$20,13,false)*HLOOKUP($K2192,'Type Chart'!$C$2:$U$20,13,false)</f>
        <v>0.25</v>
      </c>
      <c r="AG2192" s="960">
        <f t="array" ref="AG2192">HLOOKUP($J2192,'Type Chart'!$C$2:$T$20,14,false)*HLOOKUP($K2192,'Type Chart'!$C$2:$U$20,14,false)</f>
        <v>2</v>
      </c>
      <c r="AH2192" s="960">
        <f t="array" ref="AH2192">HLOOKUP($J2192,'Type Chart'!$C$2:$T$20,15,false)*HLOOKUP($K2192,'Type Chart'!$C$2:$U$20,15,false)</f>
        <v>1</v>
      </c>
      <c r="AI2192" s="960">
        <f t="array" ref="AI2192">HLOOKUP($J2192,'Type Chart'!$C$2:$T$20,16,false)*HLOOKUP($K2192,'Type Chart'!$C$2:$U$20,16,false)</f>
        <v>1</v>
      </c>
      <c r="AJ2192" s="960">
        <f t="array" ref="AJ2192">HLOOKUP($J2192,'Type Chart'!$C$2:$T$20,17,false)*HLOOKUP($K2192,'Type Chart'!$C$2:$U$20,17,false)</f>
        <v>1</v>
      </c>
      <c r="AK2192" s="960">
        <f t="array" ref="AK2192">HLOOKUP($J2192,'Type Chart'!$C$2:$T$20,18,false)*HLOOKUP($K2192,'Type Chart'!$C$2:$U$20,18,false)</f>
        <v>1</v>
      </c>
      <c r="AL2192" s="960">
        <f t="array" ref="AL2192">HLOOKUP($J2192,'Type Chart'!$C$2:$T$20,19,false)*HLOOKUP($K2192,'Type Chart'!$C$2:$U$20,19,false)</f>
        <v>0.5</v>
      </c>
      <c r="AM2192" s="964" t="s">
        <v>3566</v>
      </c>
      <c r="AN2192" s="965"/>
      <c r="AO2192" s="966"/>
      <c r="AP2192" s="936"/>
      <c r="AQ2192" s="1245"/>
      <c r="AR2192" s="1245"/>
      <c r="AS2192" s="936"/>
    </row>
    <row r="2193" ht="15.75" customHeight="1">
      <c r="A2193" s="1099"/>
      <c r="B2193" s="948" t="s">
        <v>3567</v>
      </c>
      <c r="C2193" s="1197" t="s">
        <v>3568</v>
      </c>
      <c r="D2193" s="1197" t="s">
        <v>3569</v>
      </c>
      <c r="E2193" s="1147" t="s">
        <v>3568</v>
      </c>
      <c r="F2193" s="940"/>
      <c r="G2193" s="953"/>
      <c r="H2193" s="969"/>
      <c r="I2193" s="998" t="s">
        <v>5291</v>
      </c>
      <c r="J2193" s="1196" t="s">
        <v>203</v>
      </c>
      <c r="K2193" s="1001" t="s">
        <v>128</v>
      </c>
      <c r="L2193" s="959">
        <v>75.0</v>
      </c>
      <c r="M2193" s="960">
        <v>70.0</v>
      </c>
      <c r="N2193" s="960">
        <v>70.0</v>
      </c>
      <c r="O2193" s="960">
        <v>98.0</v>
      </c>
      <c r="P2193" s="960">
        <v>70.0</v>
      </c>
      <c r="Q2193" s="960">
        <v>93.0</v>
      </c>
      <c r="R2193" s="960">
        <v>222.0</v>
      </c>
      <c r="S2193" s="960">
        <v>285.0</v>
      </c>
      <c r="T2193" s="960">
        <v>313.0</v>
      </c>
      <c r="U2193" s="960">
        <f t="array" ref="U2193">HLOOKUP($J2193,'Type Chart'!$C$2:$T$20,2,false)*HLOOKUP($K2193,'Type Chart'!$C$2:$U$20,2,false)</f>
        <v>1</v>
      </c>
      <c r="V2193" s="960">
        <f t="array" ref="V2193">HLOOKUP($J2193,'Type Chart'!$C$2:$T$20,3,false)*HLOOKUP($K2193,'Type Chart'!$C$2:$U$20,3,false)</f>
        <v>0.5</v>
      </c>
      <c r="W2193" s="960">
        <f t="array" ref="W2193">HLOOKUP($J2193,'Type Chart'!$C$2:$T$20,4,false)*HLOOKUP($K2193,'Type Chart'!$C$2:$U$20,4,false)</f>
        <v>0.5</v>
      </c>
      <c r="X2193" s="960">
        <f t="array" ref="X2193">HLOOKUP($J2193,'Type Chart'!$C$2:$T$20,5,false)*HLOOKUP($K2193,'Type Chart'!$C$2:$U$20,5,false)</f>
        <v>1</v>
      </c>
      <c r="Y2193" s="960">
        <f t="array" ref="Y2193">HLOOKUP($J2193,'Type Chart'!$C$2:$T$20,6,false)*HLOOKUP($K2193,'Type Chart'!$C$2:$U$20,6,false)</f>
        <v>0</v>
      </c>
      <c r="Z2193" s="960">
        <f t="array" ref="Z2193">HLOOKUP($J2193,'Type Chart'!$C$2:$T$20,7,false)*HLOOKUP($K2193,'Type Chart'!$C$2:$U$20,7,false)</f>
        <v>2</v>
      </c>
      <c r="AA2193" s="960">
        <f t="array" ref="AA2193">HLOOKUP($J2193,'Type Chart'!$C$2:$T$20,8,false)*HLOOKUP($K2193,'Type Chart'!$C$2:$U$20,8,false)</f>
        <v>0.5</v>
      </c>
      <c r="AB2193" s="960">
        <f t="array" ref="AB2193">HLOOKUP($J2193,'Type Chart'!$C$2:$T$20,9,false)*HLOOKUP($K2193,'Type Chart'!$C$2:$U$20,9,false)</f>
        <v>1</v>
      </c>
      <c r="AC2193" s="960">
        <f t="array" ref="AC2193">HLOOKUP($J2193,'Type Chart'!$C$2:$T$20,10,false)*HLOOKUP($K2193,'Type Chart'!$C$2:$U$20,10,false)</f>
        <v>0.5</v>
      </c>
      <c r="AD2193" s="960">
        <f t="array" ref="AD2193">HLOOKUP($J2193,'Type Chart'!$C$2:$T$20,11,false)*HLOOKUP($K2193,'Type Chart'!$C$2:$U$20,11,false)</f>
        <v>1</v>
      </c>
      <c r="AE2193" s="960">
        <f t="array" ref="AE2193">HLOOKUP($J2193,'Type Chart'!$C$2:$T$20,12,false)*HLOOKUP($K2193,'Type Chart'!$C$2:$U$20,12,false)</f>
        <v>1</v>
      </c>
      <c r="AF2193" s="960">
        <f t="array" ref="AF2193">HLOOKUP($J2193,'Type Chart'!$C$2:$T$20,13,false)*HLOOKUP($K2193,'Type Chart'!$C$2:$U$20,13,false)</f>
        <v>0.5</v>
      </c>
      <c r="AG2193" s="960">
        <f t="array" ref="AG2193">HLOOKUP($J2193,'Type Chart'!$C$2:$T$20,14,false)*HLOOKUP($K2193,'Type Chart'!$C$2:$U$20,14,false)</f>
        <v>1</v>
      </c>
      <c r="AH2193" s="960">
        <f t="array" ref="AH2193">HLOOKUP($J2193,'Type Chart'!$C$2:$T$20,15,false)*HLOOKUP($K2193,'Type Chart'!$C$2:$U$20,15,false)</f>
        <v>1</v>
      </c>
      <c r="AI2193" s="960">
        <f t="array" ref="AI2193">HLOOKUP($J2193,'Type Chart'!$C$2:$T$20,16,false)*HLOOKUP($K2193,'Type Chart'!$C$2:$U$20,16,false)</f>
        <v>2</v>
      </c>
      <c r="AJ2193" s="960">
        <f t="array" ref="AJ2193">HLOOKUP($J2193,'Type Chart'!$C$2:$T$20,17,false)*HLOOKUP($K2193,'Type Chart'!$C$2:$U$20,17,false)</f>
        <v>1</v>
      </c>
      <c r="AK2193" s="960">
        <f t="array" ref="AK2193">HLOOKUP($J2193,'Type Chart'!$C$2:$T$20,18,false)*HLOOKUP($K2193,'Type Chart'!$C$2:$U$20,18,false)</f>
        <v>1</v>
      </c>
      <c r="AL2193" s="960">
        <f t="array" ref="AL2193">HLOOKUP($J2193,'Type Chart'!$C$2:$T$20,19,false)*HLOOKUP($K2193,'Type Chart'!$C$2:$U$20,19,false)</f>
        <v>1</v>
      </c>
      <c r="AM2193" s="964" t="s">
        <v>3566</v>
      </c>
      <c r="AN2193" s="965"/>
      <c r="AO2193" s="966"/>
      <c r="AP2193" s="936"/>
      <c r="AQ2193" s="1245"/>
      <c r="AR2193" s="1245"/>
      <c r="AS2193" s="936"/>
    </row>
    <row r="2194" ht="15.75" customHeight="1">
      <c r="A2194" s="1099"/>
      <c r="B2194" s="948" t="s">
        <v>3571</v>
      </c>
      <c r="C2194" s="1197" t="s">
        <v>3572</v>
      </c>
      <c r="D2194" s="1197" t="s">
        <v>3572</v>
      </c>
      <c r="E2194" s="1147" t="s">
        <v>3572</v>
      </c>
      <c r="F2194" s="940"/>
      <c r="G2194" s="953"/>
      <c r="H2194" s="969"/>
      <c r="I2194" s="998" t="s">
        <v>5292</v>
      </c>
      <c r="J2194" s="1203" t="s">
        <v>344</v>
      </c>
      <c r="K2194" s="1001" t="s">
        <v>128</v>
      </c>
      <c r="L2194" s="959">
        <v>75.0</v>
      </c>
      <c r="M2194" s="960">
        <v>70.0</v>
      </c>
      <c r="N2194" s="960">
        <v>70.0</v>
      </c>
      <c r="O2194" s="960">
        <v>98.0</v>
      </c>
      <c r="P2194" s="960">
        <v>70.0</v>
      </c>
      <c r="Q2194" s="960">
        <v>93.0</v>
      </c>
      <c r="R2194" s="960">
        <v>222.0</v>
      </c>
      <c r="S2194" s="960">
        <v>285.0</v>
      </c>
      <c r="T2194" s="960">
        <v>313.0</v>
      </c>
      <c r="U2194" s="960">
        <f t="array" ref="U2194">HLOOKUP($J2194,'Type Chart'!$C$2:$T$20,2,false)*HLOOKUP($K2194,'Type Chart'!$C$2:$U$20,2,false)</f>
        <v>1</v>
      </c>
      <c r="V2194" s="960">
        <f t="array" ref="V2194">HLOOKUP($J2194,'Type Chart'!$C$2:$T$20,3,false)*HLOOKUP($K2194,'Type Chart'!$C$2:$U$20,3,false)</f>
        <v>0.25</v>
      </c>
      <c r="W2194" s="960">
        <f t="array" ref="W2194">HLOOKUP($J2194,'Type Chart'!$C$2:$T$20,4,false)*HLOOKUP($K2194,'Type Chart'!$C$2:$U$20,4,false)</f>
        <v>1</v>
      </c>
      <c r="X2194" s="960">
        <f t="array" ref="X2194">HLOOKUP($J2194,'Type Chart'!$C$2:$T$20,5,false)*HLOOKUP($K2194,'Type Chart'!$C$2:$U$20,5,false)</f>
        <v>1</v>
      </c>
      <c r="Y2194" s="960">
        <f t="array" ref="Y2194">HLOOKUP($J2194,'Type Chart'!$C$2:$T$20,6,false)*HLOOKUP($K2194,'Type Chart'!$C$2:$U$20,6,false)</f>
        <v>0</v>
      </c>
      <c r="Z2194" s="960">
        <f t="array" ref="Z2194">HLOOKUP($J2194,'Type Chart'!$C$2:$T$20,7,false)*HLOOKUP($K2194,'Type Chart'!$C$2:$U$20,7,false)</f>
        <v>2</v>
      </c>
      <c r="AA2194" s="960">
        <f t="array" ref="AA2194">HLOOKUP($J2194,'Type Chart'!$C$2:$T$20,8,false)*HLOOKUP($K2194,'Type Chart'!$C$2:$U$20,8,false)</f>
        <v>1</v>
      </c>
      <c r="AB2194" s="960">
        <f t="array" ref="AB2194">HLOOKUP($J2194,'Type Chart'!$C$2:$T$20,9,false)*HLOOKUP($K2194,'Type Chart'!$C$2:$U$20,9,false)</f>
        <v>2</v>
      </c>
      <c r="AC2194" s="960">
        <f t="array" ref="AC2194">HLOOKUP($J2194,'Type Chart'!$C$2:$T$20,10,false)*HLOOKUP($K2194,'Type Chart'!$C$2:$U$20,10,false)</f>
        <v>1</v>
      </c>
      <c r="AD2194" s="960">
        <f t="array" ref="AD2194">HLOOKUP($J2194,'Type Chart'!$C$2:$T$20,11,false)*HLOOKUP($K2194,'Type Chart'!$C$2:$U$20,11,false)</f>
        <v>1</v>
      </c>
      <c r="AE2194" s="960">
        <f t="array" ref="AE2194">HLOOKUP($J2194,'Type Chart'!$C$2:$T$20,12,false)*HLOOKUP($K2194,'Type Chart'!$C$2:$U$20,12,false)</f>
        <v>1</v>
      </c>
      <c r="AF2194" s="960">
        <f t="array" ref="AF2194">HLOOKUP($J2194,'Type Chart'!$C$2:$T$20,13,false)*HLOOKUP($K2194,'Type Chart'!$C$2:$U$20,13,false)</f>
        <v>0.5</v>
      </c>
      <c r="AG2194" s="960">
        <f t="array" ref="AG2194">HLOOKUP($J2194,'Type Chart'!$C$2:$T$20,14,false)*HLOOKUP($K2194,'Type Chart'!$C$2:$U$20,14,false)</f>
        <v>2</v>
      </c>
      <c r="AH2194" s="960">
        <f t="array" ref="AH2194">HLOOKUP($J2194,'Type Chart'!$C$2:$T$20,15,false)*HLOOKUP($K2194,'Type Chart'!$C$2:$U$20,15,false)</f>
        <v>0.5</v>
      </c>
      <c r="AI2194" s="960">
        <f t="array" ref="AI2194">HLOOKUP($J2194,'Type Chart'!$C$2:$T$20,16,false)*HLOOKUP($K2194,'Type Chart'!$C$2:$U$20,16,false)</f>
        <v>2</v>
      </c>
      <c r="AJ2194" s="960">
        <f t="array" ref="AJ2194">HLOOKUP($J2194,'Type Chart'!$C$2:$T$20,17,false)*HLOOKUP($K2194,'Type Chart'!$C$2:$U$20,17,false)</f>
        <v>1</v>
      </c>
      <c r="AK2194" s="960">
        <f t="array" ref="AK2194">HLOOKUP($J2194,'Type Chart'!$C$2:$T$20,18,false)*HLOOKUP($K2194,'Type Chart'!$C$2:$U$20,18,false)</f>
        <v>2</v>
      </c>
      <c r="AL2194" s="960">
        <f t="array" ref="AL2194">HLOOKUP($J2194,'Type Chart'!$C$2:$T$20,19,false)*HLOOKUP($K2194,'Type Chart'!$C$2:$U$20,19,false)</f>
        <v>1</v>
      </c>
      <c r="AM2194" s="964" t="s">
        <v>3566</v>
      </c>
      <c r="AN2194" s="965"/>
      <c r="AO2194" s="966"/>
      <c r="AP2194" s="936"/>
      <c r="AQ2194" s="1245"/>
      <c r="AR2194" s="1245"/>
      <c r="AS2194" s="936"/>
    </row>
    <row r="2195" ht="15.75" customHeight="1">
      <c r="A2195" s="1099"/>
      <c r="B2195" s="948" t="s">
        <v>3574</v>
      </c>
      <c r="C2195" s="1197" t="s">
        <v>3575</v>
      </c>
      <c r="D2195" s="1197" t="s">
        <v>3575</v>
      </c>
      <c r="E2195" s="1147" t="s">
        <v>3575</v>
      </c>
      <c r="F2195" s="940"/>
      <c r="G2195" s="953"/>
      <c r="H2195" s="969"/>
      <c r="I2195" s="998" t="s">
        <v>5293</v>
      </c>
      <c r="J2195" s="1220" t="s">
        <v>215</v>
      </c>
      <c r="K2195" s="1001" t="s">
        <v>128</v>
      </c>
      <c r="L2195" s="959">
        <v>75.0</v>
      </c>
      <c r="M2195" s="960">
        <v>70.0</v>
      </c>
      <c r="N2195" s="960">
        <v>70.0</v>
      </c>
      <c r="O2195" s="960">
        <v>98.0</v>
      </c>
      <c r="P2195" s="960">
        <v>70.0</v>
      </c>
      <c r="Q2195" s="960">
        <v>93.0</v>
      </c>
      <c r="R2195" s="960">
        <v>222.0</v>
      </c>
      <c r="S2195" s="960">
        <v>285.0</v>
      </c>
      <c r="T2195" s="960">
        <v>313.0</v>
      </c>
      <c r="U2195" s="960">
        <f t="array" ref="U2195">HLOOKUP($J2195,'Type Chart'!$C$2:$T$20,2,false)*HLOOKUP($K2195,'Type Chart'!$C$2:$U$20,2,false)</f>
        <v>0</v>
      </c>
      <c r="V2195" s="960">
        <f t="array" ref="V2195">HLOOKUP($J2195,'Type Chart'!$C$2:$T$20,3,false)*HLOOKUP($K2195,'Type Chart'!$C$2:$U$20,3,false)</f>
        <v>0</v>
      </c>
      <c r="W2195" s="960">
        <f t="array" ref="W2195">HLOOKUP($J2195,'Type Chart'!$C$2:$T$20,4,false)*HLOOKUP($K2195,'Type Chart'!$C$2:$U$20,4,false)</f>
        <v>1</v>
      </c>
      <c r="X2195" s="960">
        <f t="array" ref="X2195">HLOOKUP($J2195,'Type Chart'!$C$2:$T$20,5,false)*HLOOKUP($K2195,'Type Chart'!$C$2:$U$20,5,false)</f>
        <v>0.5</v>
      </c>
      <c r="Y2195" s="960">
        <f t="array" ref="Y2195">HLOOKUP($J2195,'Type Chart'!$C$2:$T$20,6,false)*HLOOKUP($K2195,'Type Chart'!$C$2:$U$20,6,false)</f>
        <v>0</v>
      </c>
      <c r="Z2195" s="960">
        <f t="array" ref="Z2195">HLOOKUP($J2195,'Type Chart'!$C$2:$T$20,7,false)*HLOOKUP($K2195,'Type Chart'!$C$2:$U$20,7,false)</f>
        <v>2</v>
      </c>
      <c r="AA2195" s="960">
        <f t="array" ref="AA2195">HLOOKUP($J2195,'Type Chart'!$C$2:$T$20,8,false)*HLOOKUP($K2195,'Type Chart'!$C$2:$U$20,8,false)</f>
        <v>0.25</v>
      </c>
      <c r="AB2195" s="960">
        <f t="array" ref="AB2195">HLOOKUP($J2195,'Type Chart'!$C$2:$T$20,9,false)*HLOOKUP($K2195,'Type Chart'!$C$2:$U$20,9,false)</f>
        <v>2</v>
      </c>
      <c r="AC2195" s="960">
        <f t="array" ref="AC2195">HLOOKUP($J2195,'Type Chart'!$C$2:$T$20,10,false)*HLOOKUP($K2195,'Type Chart'!$C$2:$U$20,10,false)</f>
        <v>1</v>
      </c>
      <c r="AD2195" s="960">
        <f t="array" ref="AD2195">HLOOKUP($J2195,'Type Chart'!$C$2:$T$20,11,false)*HLOOKUP($K2195,'Type Chart'!$C$2:$U$20,11,false)</f>
        <v>1</v>
      </c>
      <c r="AE2195" s="960">
        <f t="array" ref="AE2195">HLOOKUP($J2195,'Type Chart'!$C$2:$T$20,12,false)*HLOOKUP($K2195,'Type Chart'!$C$2:$U$20,12,false)</f>
        <v>1</v>
      </c>
      <c r="AF2195" s="960">
        <f t="array" ref="AF2195">HLOOKUP($J2195,'Type Chart'!$C$2:$T$20,13,false)*HLOOKUP($K2195,'Type Chart'!$C$2:$U$20,13,false)</f>
        <v>0.5</v>
      </c>
      <c r="AG2195" s="960">
        <f t="array" ref="AG2195">HLOOKUP($J2195,'Type Chart'!$C$2:$T$20,14,false)*HLOOKUP($K2195,'Type Chart'!$C$2:$U$20,14,false)</f>
        <v>2</v>
      </c>
      <c r="AH2195" s="960">
        <f t="array" ref="AH2195">HLOOKUP($J2195,'Type Chart'!$C$2:$T$20,15,false)*HLOOKUP($K2195,'Type Chart'!$C$2:$U$20,15,false)</f>
        <v>1</v>
      </c>
      <c r="AI2195" s="960">
        <f t="array" ref="AI2195">HLOOKUP($J2195,'Type Chart'!$C$2:$T$20,16,false)*HLOOKUP($K2195,'Type Chart'!$C$2:$U$20,16,false)</f>
        <v>2</v>
      </c>
      <c r="AJ2195" s="960">
        <f t="array" ref="AJ2195">HLOOKUP($J2195,'Type Chart'!$C$2:$T$20,17,false)*HLOOKUP($K2195,'Type Chart'!$C$2:$U$20,17,false)</f>
        <v>1</v>
      </c>
      <c r="AK2195" s="960">
        <f t="array" ref="AK2195">HLOOKUP($J2195,'Type Chart'!$C$2:$T$20,18,false)*HLOOKUP($K2195,'Type Chart'!$C$2:$U$20,18,false)</f>
        <v>2</v>
      </c>
      <c r="AL2195" s="960">
        <f t="array" ref="AL2195">HLOOKUP($J2195,'Type Chart'!$C$2:$T$20,19,false)*HLOOKUP($K2195,'Type Chart'!$C$2:$U$20,19,false)</f>
        <v>1</v>
      </c>
      <c r="AM2195" s="964" t="s">
        <v>3566</v>
      </c>
      <c r="AN2195" s="965"/>
      <c r="AO2195" s="966"/>
      <c r="AP2195" s="936"/>
      <c r="AQ2195" s="1245"/>
      <c r="AR2195" s="1245"/>
      <c r="AS2195" s="936"/>
    </row>
    <row r="2196" ht="15.75" customHeight="1">
      <c r="A2196" s="1099"/>
      <c r="B2196" s="948" t="s">
        <v>3577</v>
      </c>
      <c r="C2196" s="1197" t="s">
        <v>3578</v>
      </c>
      <c r="D2196" s="1197" t="s">
        <v>3578</v>
      </c>
      <c r="E2196" s="1147" t="s">
        <v>3578</v>
      </c>
      <c r="F2196" s="940"/>
      <c r="G2196" s="953"/>
      <c r="H2196" s="969"/>
      <c r="I2196" s="998" t="s">
        <v>5294</v>
      </c>
      <c r="J2196" s="1180" t="s">
        <v>343</v>
      </c>
      <c r="K2196" s="1207" t="s">
        <v>127</v>
      </c>
      <c r="L2196" s="959">
        <v>40.0</v>
      </c>
      <c r="M2196" s="960">
        <v>45.0</v>
      </c>
      <c r="N2196" s="960">
        <v>40.0</v>
      </c>
      <c r="O2196" s="960">
        <v>55.0</v>
      </c>
      <c r="P2196" s="960">
        <v>40.0</v>
      </c>
      <c r="Q2196" s="960">
        <v>84.0</v>
      </c>
      <c r="R2196" s="960">
        <v>204.0</v>
      </c>
      <c r="S2196" s="960">
        <v>267.0</v>
      </c>
      <c r="T2196" s="960">
        <v>293.0</v>
      </c>
      <c r="U2196" s="960">
        <f t="array" ref="U2196">HLOOKUP($J2196,'Type Chart'!$C$2:$T$20,2,false)*HLOOKUP($K2196,'Type Chart'!$C$2:$U$20,2,false)</f>
        <v>1</v>
      </c>
      <c r="V2196" s="960">
        <f t="array" ref="V2196">HLOOKUP($J2196,'Type Chart'!$C$2:$T$20,3,false)*HLOOKUP($K2196,'Type Chart'!$C$2:$U$20,3,false)</f>
        <v>0.25</v>
      </c>
      <c r="W2196" s="960">
        <f t="array" ref="W2196">HLOOKUP($J2196,'Type Chart'!$C$2:$T$20,4,false)*HLOOKUP($K2196,'Type Chart'!$C$2:$U$20,4,false)</f>
        <v>2</v>
      </c>
      <c r="X2196" s="960">
        <f t="array" ref="X2196">HLOOKUP($J2196,'Type Chart'!$C$2:$T$20,5,false)*HLOOKUP($K2196,'Type Chart'!$C$2:$U$20,5,false)</f>
        <v>2</v>
      </c>
      <c r="Y2196" s="960">
        <f t="array" ref="Y2196">HLOOKUP($J2196,'Type Chart'!$C$2:$T$20,6,false)*HLOOKUP($K2196,'Type Chart'!$C$2:$U$20,6,false)</f>
        <v>0.5</v>
      </c>
      <c r="Z2196" s="960">
        <f t="array" ref="Z2196">HLOOKUP($J2196,'Type Chart'!$C$2:$T$20,7,false)*HLOOKUP($K2196,'Type Chart'!$C$2:$U$20,7,false)</f>
        <v>2</v>
      </c>
      <c r="AA2196" s="960">
        <f t="array" ref="AA2196">HLOOKUP($J2196,'Type Chart'!$C$2:$T$20,8,false)*HLOOKUP($K2196,'Type Chart'!$C$2:$U$20,8,false)</f>
        <v>0.5</v>
      </c>
      <c r="AB2196" s="960">
        <f t="array" ref="AB2196">HLOOKUP($J2196,'Type Chart'!$C$2:$T$20,9,false)*HLOOKUP($K2196,'Type Chart'!$C$2:$U$20,9,false)</f>
        <v>1</v>
      </c>
      <c r="AC2196" s="960">
        <f t="array" ref="AC2196">HLOOKUP($J2196,'Type Chart'!$C$2:$T$20,10,false)*HLOOKUP($K2196,'Type Chart'!$C$2:$U$20,10,false)</f>
        <v>2</v>
      </c>
      <c r="AD2196" s="960">
        <f t="array" ref="AD2196">HLOOKUP($J2196,'Type Chart'!$C$2:$T$20,11,false)*HLOOKUP($K2196,'Type Chart'!$C$2:$U$20,11,false)</f>
        <v>2</v>
      </c>
      <c r="AE2196" s="960">
        <f t="array" ref="AE2196">HLOOKUP($J2196,'Type Chart'!$C$2:$T$20,12,false)*HLOOKUP($K2196,'Type Chart'!$C$2:$U$20,12,false)</f>
        <v>1</v>
      </c>
      <c r="AF2196" s="960">
        <f t="array" ref="AF2196">HLOOKUP($J2196,'Type Chart'!$C$2:$T$20,13,false)*HLOOKUP($K2196,'Type Chart'!$C$2:$U$20,13,false)</f>
        <v>0.5</v>
      </c>
      <c r="AG2196" s="960">
        <f t="array" ref="AG2196">HLOOKUP($J2196,'Type Chart'!$C$2:$T$20,14,false)*HLOOKUP($K2196,'Type Chart'!$C$2:$U$20,14,false)</f>
        <v>1</v>
      </c>
      <c r="AH2196" s="960">
        <f t="array" ref="AH2196">HLOOKUP($J2196,'Type Chart'!$C$2:$T$20,15,false)*HLOOKUP($K2196,'Type Chart'!$C$2:$U$20,15,false)</f>
        <v>1</v>
      </c>
      <c r="AI2196" s="960">
        <f t="array" ref="AI2196">HLOOKUP($J2196,'Type Chart'!$C$2:$T$20,16,false)*HLOOKUP($K2196,'Type Chart'!$C$2:$U$20,16,false)</f>
        <v>1</v>
      </c>
      <c r="AJ2196" s="960">
        <f t="array" ref="AJ2196">HLOOKUP($J2196,'Type Chart'!$C$2:$T$20,17,false)*HLOOKUP($K2196,'Type Chart'!$C$2:$U$20,17,false)</f>
        <v>0</v>
      </c>
      <c r="AK2196" s="960">
        <f t="array" ref="AK2196">HLOOKUP($J2196,'Type Chart'!$C$2:$T$20,18,false)*HLOOKUP($K2196,'Type Chart'!$C$2:$U$20,18,false)</f>
        <v>0.5</v>
      </c>
      <c r="AL2196" s="960">
        <f t="array" ref="AL2196">HLOOKUP($J2196,'Type Chart'!$C$2:$T$20,19,false)*HLOOKUP($K2196,'Type Chart'!$C$2:$U$20,19,false)</f>
        <v>1</v>
      </c>
      <c r="AM2196" s="1145" t="s">
        <v>1874</v>
      </c>
      <c r="AN2196" s="1202" t="s">
        <v>987</v>
      </c>
      <c r="AO2196" s="1146" t="s">
        <v>3380</v>
      </c>
      <c r="AP2196" s="936"/>
      <c r="AQ2196" s="1245"/>
      <c r="AR2196" s="1245"/>
      <c r="AS2196" s="936"/>
    </row>
    <row r="2197" ht="15.75" customHeight="1">
      <c r="A2197" s="1099"/>
      <c r="B2197" s="948" t="s">
        <v>3580</v>
      </c>
      <c r="C2197" s="1197" t="s">
        <v>3581</v>
      </c>
      <c r="D2197" s="1197" t="s">
        <v>3581</v>
      </c>
      <c r="E2197" s="1147" t="s">
        <v>3581</v>
      </c>
      <c r="F2197" s="940"/>
      <c r="G2197" s="953"/>
      <c r="H2197" s="969"/>
      <c r="I2197" s="998" t="s">
        <v>135</v>
      </c>
      <c r="J2197" s="1180" t="s">
        <v>343</v>
      </c>
      <c r="K2197" s="1207" t="s">
        <v>127</v>
      </c>
      <c r="L2197" s="959">
        <v>60.0</v>
      </c>
      <c r="M2197" s="960">
        <v>55.0</v>
      </c>
      <c r="N2197" s="960">
        <v>60.0</v>
      </c>
      <c r="O2197" s="960">
        <v>95.0</v>
      </c>
      <c r="P2197" s="960">
        <v>70.0</v>
      </c>
      <c r="Q2197" s="960">
        <v>124.0</v>
      </c>
      <c r="R2197" s="960">
        <v>284.0</v>
      </c>
      <c r="S2197" s="960">
        <v>347.0</v>
      </c>
      <c r="T2197" s="960">
        <v>381.0</v>
      </c>
      <c r="U2197" s="960">
        <f t="array" ref="U2197">HLOOKUP($J2197,'Type Chart'!$C$2:$T$20,2,false)*HLOOKUP($K2197,'Type Chart'!$C$2:$U$20,2,false)</f>
        <v>1</v>
      </c>
      <c r="V2197" s="960">
        <f t="array" ref="V2197">HLOOKUP($J2197,'Type Chart'!$C$2:$T$20,3,false)*HLOOKUP($K2197,'Type Chart'!$C$2:$U$20,3,false)</f>
        <v>0.25</v>
      </c>
      <c r="W2197" s="960">
        <f t="array" ref="W2197">HLOOKUP($J2197,'Type Chart'!$C$2:$T$20,4,false)*HLOOKUP($K2197,'Type Chart'!$C$2:$U$20,4,false)</f>
        <v>2</v>
      </c>
      <c r="X2197" s="960">
        <f t="array" ref="X2197">HLOOKUP($J2197,'Type Chart'!$C$2:$T$20,5,false)*HLOOKUP($K2197,'Type Chart'!$C$2:$U$20,5,false)</f>
        <v>2</v>
      </c>
      <c r="Y2197" s="960">
        <f t="array" ref="Y2197">HLOOKUP($J2197,'Type Chart'!$C$2:$T$20,6,false)*HLOOKUP($K2197,'Type Chart'!$C$2:$U$20,6,false)</f>
        <v>0.5</v>
      </c>
      <c r="Z2197" s="960">
        <f t="array" ref="Z2197">HLOOKUP($J2197,'Type Chart'!$C$2:$T$20,7,false)*HLOOKUP($K2197,'Type Chart'!$C$2:$U$20,7,false)</f>
        <v>2</v>
      </c>
      <c r="AA2197" s="960">
        <f t="array" ref="AA2197">HLOOKUP($J2197,'Type Chart'!$C$2:$T$20,8,false)*HLOOKUP($K2197,'Type Chart'!$C$2:$U$20,8,false)</f>
        <v>0.5</v>
      </c>
      <c r="AB2197" s="960">
        <f t="array" ref="AB2197">HLOOKUP($J2197,'Type Chart'!$C$2:$T$20,9,false)*HLOOKUP($K2197,'Type Chart'!$C$2:$U$20,9,false)</f>
        <v>1</v>
      </c>
      <c r="AC2197" s="960">
        <f t="array" ref="AC2197">HLOOKUP($J2197,'Type Chart'!$C$2:$T$20,10,false)*HLOOKUP($K2197,'Type Chart'!$C$2:$U$20,10,false)</f>
        <v>2</v>
      </c>
      <c r="AD2197" s="960">
        <f t="array" ref="AD2197">HLOOKUP($J2197,'Type Chart'!$C$2:$T$20,11,false)*HLOOKUP($K2197,'Type Chart'!$C$2:$U$20,11,false)</f>
        <v>2</v>
      </c>
      <c r="AE2197" s="960">
        <f t="array" ref="AE2197">HLOOKUP($J2197,'Type Chart'!$C$2:$T$20,12,false)*HLOOKUP($K2197,'Type Chart'!$C$2:$U$20,12,false)</f>
        <v>1</v>
      </c>
      <c r="AF2197" s="960">
        <f t="array" ref="AF2197">HLOOKUP($J2197,'Type Chart'!$C$2:$T$20,13,false)*HLOOKUP($K2197,'Type Chart'!$C$2:$U$20,13,false)</f>
        <v>0.5</v>
      </c>
      <c r="AG2197" s="960">
        <f t="array" ref="AG2197">HLOOKUP($J2197,'Type Chart'!$C$2:$T$20,14,false)*HLOOKUP($K2197,'Type Chart'!$C$2:$U$20,14,false)</f>
        <v>1</v>
      </c>
      <c r="AH2197" s="960">
        <f t="array" ref="AH2197">HLOOKUP($J2197,'Type Chart'!$C$2:$T$20,15,false)*HLOOKUP($K2197,'Type Chart'!$C$2:$U$20,15,false)</f>
        <v>1</v>
      </c>
      <c r="AI2197" s="960">
        <f t="array" ref="AI2197">HLOOKUP($J2197,'Type Chart'!$C$2:$T$20,16,false)*HLOOKUP($K2197,'Type Chart'!$C$2:$U$20,16,false)</f>
        <v>1</v>
      </c>
      <c r="AJ2197" s="960">
        <f t="array" ref="AJ2197">HLOOKUP($J2197,'Type Chart'!$C$2:$T$20,17,false)*HLOOKUP($K2197,'Type Chart'!$C$2:$U$20,17,false)</f>
        <v>0</v>
      </c>
      <c r="AK2197" s="960">
        <f t="array" ref="AK2197">HLOOKUP($J2197,'Type Chart'!$C$2:$T$20,18,false)*HLOOKUP($K2197,'Type Chart'!$C$2:$U$20,18,false)</f>
        <v>0.5</v>
      </c>
      <c r="AL2197" s="960">
        <f t="array" ref="AL2197">HLOOKUP($J2197,'Type Chart'!$C$2:$T$20,19,false)*HLOOKUP($K2197,'Type Chart'!$C$2:$U$20,19,false)</f>
        <v>1</v>
      </c>
      <c r="AM2197" s="964" t="s">
        <v>1874</v>
      </c>
      <c r="AN2197" s="965" t="s">
        <v>987</v>
      </c>
      <c r="AO2197" s="966" t="s">
        <v>3380</v>
      </c>
      <c r="AP2197" s="936"/>
      <c r="AQ2197" s="1245"/>
      <c r="AR2197" s="1245"/>
      <c r="AS2197" s="936"/>
    </row>
    <row r="2198" ht="15.75" customHeight="1">
      <c r="A2198" s="1099"/>
      <c r="B2198" s="948" t="s">
        <v>3582</v>
      </c>
      <c r="C2198" s="1197" t="s">
        <v>3583</v>
      </c>
      <c r="D2198" s="1197" t="s">
        <v>3583</v>
      </c>
      <c r="E2198" s="1147" t="s">
        <v>3583</v>
      </c>
      <c r="F2198" s="940"/>
      <c r="G2198" s="953"/>
      <c r="H2198" s="969"/>
      <c r="I2198" s="998" t="s">
        <v>5295</v>
      </c>
      <c r="J2198" s="1214" t="s">
        <v>342</v>
      </c>
      <c r="K2198" s="984" t="s">
        <v>216</v>
      </c>
      <c r="L2198" s="959">
        <v>45.0</v>
      </c>
      <c r="M2198" s="960">
        <v>65.0</v>
      </c>
      <c r="N2198" s="960">
        <v>40.0</v>
      </c>
      <c r="O2198" s="960">
        <v>30.0</v>
      </c>
      <c r="P2198" s="960">
        <v>40.0</v>
      </c>
      <c r="Q2198" s="960">
        <v>60.0</v>
      </c>
      <c r="R2198" s="960">
        <v>156.0</v>
      </c>
      <c r="S2198" s="960">
        <v>219.0</v>
      </c>
      <c r="T2198" s="960">
        <v>240.0</v>
      </c>
      <c r="U2198" s="960">
        <f t="array" ref="U2198">HLOOKUP($J2198,'Type Chart'!$C$2:$T$20,2,false)*HLOOKUP($K2198,'Type Chart'!$C$2:$U$20,2,false)</f>
        <v>0.5</v>
      </c>
      <c r="V2198" s="960">
        <f t="array" ref="V2198">HLOOKUP($J2198,'Type Chart'!$C$2:$T$20,3,false)*HLOOKUP($K2198,'Type Chart'!$C$2:$U$20,3,false)</f>
        <v>2</v>
      </c>
      <c r="W2198" s="960">
        <f t="array" ref="W2198">HLOOKUP($J2198,'Type Chart'!$C$2:$T$20,4,false)*HLOOKUP($K2198,'Type Chart'!$C$2:$U$20,4,false)</f>
        <v>0.5</v>
      </c>
      <c r="X2198" s="960">
        <f t="array" ref="X2198">HLOOKUP($J2198,'Type Chart'!$C$2:$T$20,5,false)*HLOOKUP($K2198,'Type Chart'!$C$2:$U$20,5,false)</f>
        <v>0.5</v>
      </c>
      <c r="Y2198" s="960">
        <f t="array" ref="Y2198">HLOOKUP($J2198,'Type Chart'!$C$2:$T$20,6,false)*HLOOKUP($K2198,'Type Chart'!$C$2:$U$20,6,false)</f>
        <v>2</v>
      </c>
      <c r="Z2198" s="960">
        <f t="array" ref="Z2198">HLOOKUP($J2198,'Type Chart'!$C$2:$T$20,7,false)*HLOOKUP($K2198,'Type Chart'!$C$2:$U$20,7,false)</f>
        <v>1</v>
      </c>
      <c r="AA2198" s="960">
        <f t="array" ref="AA2198">HLOOKUP($J2198,'Type Chart'!$C$2:$T$20,8,false)*HLOOKUP($K2198,'Type Chart'!$C$2:$U$20,8,false)</f>
        <v>1</v>
      </c>
      <c r="AB2198" s="960">
        <f t="array" ref="AB2198">HLOOKUP($J2198,'Type Chart'!$C$2:$T$20,9,false)*HLOOKUP($K2198,'Type Chart'!$C$2:$U$20,9,false)</f>
        <v>1</v>
      </c>
      <c r="AC2198" s="960">
        <f t="array" ref="AC2198">HLOOKUP($J2198,'Type Chart'!$C$2:$T$20,10,false)*HLOOKUP($K2198,'Type Chart'!$C$2:$U$20,10,false)</f>
        <v>2</v>
      </c>
      <c r="AD2198" s="960">
        <f t="array" ref="AD2198">HLOOKUP($J2198,'Type Chart'!$C$2:$T$20,11,false)*HLOOKUP($K2198,'Type Chart'!$C$2:$U$20,11,false)</f>
        <v>0.5</v>
      </c>
      <c r="AE2198" s="960">
        <f t="array" ref="AE2198">HLOOKUP($J2198,'Type Chart'!$C$2:$T$20,12,false)*HLOOKUP($K2198,'Type Chart'!$C$2:$U$20,12,false)</f>
        <v>2</v>
      </c>
      <c r="AF2198" s="960">
        <f t="array" ref="AF2198">HLOOKUP($J2198,'Type Chart'!$C$2:$T$20,13,false)*HLOOKUP($K2198,'Type Chart'!$C$2:$U$20,13,false)</f>
        <v>2</v>
      </c>
      <c r="AG2198" s="960">
        <f t="array" ref="AG2198">HLOOKUP($J2198,'Type Chart'!$C$2:$T$20,14,false)*HLOOKUP($K2198,'Type Chart'!$C$2:$U$20,14,false)</f>
        <v>1</v>
      </c>
      <c r="AH2198" s="960">
        <f t="array" ref="AH2198">HLOOKUP($J2198,'Type Chart'!$C$2:$T$20,15,false)*HLOOKUP($K2198,'Type Chart'!$C$2:$U$20,15,false)</f>
        <v>1</v>
      </c>
      <c r="AI2198" s="960">
        <f t="array" ref="AI2198">HLOOKUP($J2198,'Type Chart'!$C$2:$T$20,16,false)*HLOOKUP($K2198,'Type Chart'!$C$2:$U$20,16,false)</f>
        <v>1</v>
      </c>
      <c r="AJ2198" s="960">
        <f t="array" ref="AJ2198">HLOOKUP($J2198,'Type Chart'!$C$2:$T$20,17,false)*HLOOKUP($K2198,'Type Chart'!$C$2:$U$20,17,false)</f>
        <v>1</v>
      </c>
      <c r="AK2198" s="960">
        <f t="array" ref="AK2198">HLOOKUP($J2198,'Type Chart'!$C$2:$T$20,18,false)*HLOOKUP($K2198,'Type Chart'!$C$2:$U$20,18,false)</f>
        <v>1</v>
      </c>
      <c r="AL2198" s="960">
        <f t="array" ref="AL2198">HLOOKUP($J2198,'Type Chart'!$C$2:$T$20,19,false)*HLOOKUP($K2198,'Type Chart'!$C$2:$U$20,19,false)</f>
        <v>1</v>
      </c>
      <c r="AM2198" s="964" t="s">
        <v>1022</v>
      </c>
      <c r="AN2198" s="965" t="s">
        <v>1265</v>
      </c>
      <c r="AO2198" s="966" t="s">
        <v>1306</v>
      </c>
      <c r="AP2198" s="936"/>
      <c r="AQ2198" s="1245"/>
      <c r="AR2198" s="1245"/>
      <c r="AS2198" s="936"/>
    </row>
    <row r="2199" ht="15.75" customHeight="1">
      <c r="A2199" s="1099"/>
      <c r="B2199" s="948" t="s">
        <v>3585</v>
      </c>
      <c r="C2199" s="1197" t="s">
        <v>3586</v>
      </c>
      <c r="D2199" s="1197" t="s">
        <v>3586</v>
      </c>
      <c r="E2199" s="1147" t="s">
        <v>3586</v>
      </c>
      <c r="F2199" s="940"/>
      <c r="G2199" s="953"/>
      <c r="H2199" s="969"/>
      <c r="I2199" s="998" t="s">
        <v>5296</v>
      </c>
      <c r="J2199" s="1214" t="s">
        <v>342</v>
      </c>
      <c r="K2199" s="984" t="s">
        <v>216</v>
      </c>
      <c r="L2199" s="959">
        <v>75.0</v>
      </c>
      <c r="M2199" s="960">
        <v>115.0</v>
      </c>
      <c r="N2199" s="960">
        <v>65.0</v>
      </c>
      <c r="O2199" s="960">
        <v>55.0</v>
      </c>
      <c r="P2199" s="960">
        <v>65.0</v>
      </c>
      <c r="Q2199" s="960">
        <v>112.0</v>
      </c>
      <c r="R2199" s="960">
        <v>260.0</v>
      </c>
      <c r="S2199" s="960">
        <v>323.0</v>
      </c>
      <c r="T2199" s="960">
        <v>355.0</v>
      </c>
      <c r="U2199" s="960">
        <f t="array" ref="U2199">HLOOKUP($J2199,'Type Chart'!$C$2:$T$20,2,false)*HLOOKUP($K2199,'Type Chart'!$C$2:$U$20,2,false)</f>
        <v>0.5</v>
      </c>
      <c r="V2199" s="960">
        <f t="array" ref="V2199">HLOOKUP($J2199,'Type Chart'!$C$2:$T$20,3,false)*HLOOKUP($K2199,'Type Chart'!$C$2:$U$20,3,false)</f>
        <v>2</v>
      </c>
      <c r="W2199" s="960">
        <f t="array" ref="W2199">HLOOKUP($J2199,'Type Chart'!$C$2:$T$20,4,false)*HLOOKUP($K2199,'Type Chart'!$C$2:$U$20,4,false)</f>
        <v>0.5</v>
      </c>
      <c r="X2199" s="960">
        <f t="array" ref="X2199">HLOOKUP($J2199,'Type Chart'!$C$2:$T$20,5,false)*HLOOKUP($K2199,'Type Chart'!$C$2:$U$20,5,false)</f>
        <v>0.5</v>
      </c>
      <c r="Y2199" s="960">
        <f t="array" ref="Y2199">HLOOKUP($J2199,'Type Chart'!$C$2:$T$20,6,false)*HLOOKUP($K2199,'Type Chart'!$C$2:$U$20,6,false)</f>
        <v>2</v>
      </c>
      <c r="Z2199" s="960">
        <f t="array" ref="Z2199">HLOOKUP($J2199,'Type Chart'!$C$2:$T$20,7,false)*HLOOKUP($K2199,'Type Chart'!$C$2:$U$20,7,false)</f>
        <v>1</v>
      </c>
      <c r="AA2199" s="960">
        <f t="array" ref="AA2199">HLOOKUP($J2199,'Type Chart'!$C$2:$T$20,8,false)*HLOOKUP($K2199,'Type Chart'!$C$2:$U$20,8,false)</f>
        <v>1</v>
      </c>
      <c r="AB2199" s="960">
        <f t="array" ref="AB2199">HLOOKUP($J2199,'Type Chart'!$C$2:$T$20,9,false)*HLOOKUP($K2199,'Type Chart'!$C$2:$U$20,9,false)</f>
        <v>1</v>
      </c>
      <c r="AC2199" s="960">
        <f t="array" ref="AC2199">HLOOKUP($J2199,'Type Chart'!$C$2:$T$20,10,false)*HLOOKUP($K2199,'Type Chart'!$C$2:$U$20,10,false)</f>
        <v>2</v>
      </c>
      <c r="AD2199" s="960">
        <f t="array" ref="AD2199">HLOOKUP($J2199,'Type Chart'!$C$2:$T$20,11,false)*HLOOKUP($K2199,'Type Chart'!$C$2:$U$20,11,false)</f>
        <v>0.5</v>
      </c>
      <c r="AE2199" s="960">
        <f t="array" ref="AE2199">HLOOKUP($J2199,'Type Chart'!$C$2:$T$20,12,false)*HLOOKUP($K2199,'Type Chart'!$C$2:$U$20,12,false)</f>
        <v>2</v>
      </c>
      <c r="AF2199" s="960">
        <f t="array" ref="AF2199">HLOOKUP($J2199,'Type Chart'!$C$2:$T$20,13,false)*HLOOKUP($K2199,'Type Chart'!$C$2:$U$20,13,false)</f>
        <v>2</v>
      </c>
      <c r="AG2199" s="960">
        <f t="array" ref="AG2199">HLOOKUP($J2199,'Type Chart'!$C$2:$T$20,14,false)*HLOOKUP($K2199,'Type Chart'!$C$2:$U$20,14,false)</f>
        <v>1</v>
      </c>
      <c r="AH2199" s="960">
        <f t="array" ref="AH2199">HLOOKUP($J2199,'Type Chart'!$C$2:$T$20,15,false)*HLOOKUP($K2199,'Type Chart'!$C$2:$U$20,15,false)</f>
        <v>1</v>
      </c>
      <c r="AI2199" s="960">
        <f t="array" ref="AI2199">HLOOKUP($J2199,'Type Chart'!$C$2:$T$20,16,false)*HLOOKUP($K2199,'Type Chart'!$C$2:$U$20,16,false)</f>
        <v>1</v>
      </c>
      <c r="AJ2199" s="960">
        <f t="array" ref="AJ2199">HLOOKUP($J2199,'Type Chart'!$C$2:$T$20,17,false)*HLOOKUP($K2199,'Type Chart'!$C$2:$U$20,17,false)</f>
        <v>1</v>
      </c>
      <c r="AK2199" s="960">
        <f t="array" ref="AK2199">HLOOKUP($J2199,'Type Chart'!$C$2:$T$20,18,false)*HLOOKUP($K2199,'Type Chart'!$C$2:$U$20,18,false)</f>
        <v>1</v>
      </c>
      <c r="AL2199" s="960">
        <f t="array" ref="AL2199">HLOOKUP($J2199,'Type Chart'!$C$2:$T$20,19,false)*HLOOKUP($K2199,'Type Chart'!$C$2:$U$20,19,false)</f>
        <v>1</v>
      </c>
      <c r="AM2199" s="964" t="s">
        <v>1022</v>
      </c>
      <c r="AN2199" s="965" t="s">
        <v>1130</v>
      </c>
      <c r="AO2199" s="966" t="s">
        <v>1306</v>
      </c>
      <c r="AP2199" s="936"/>
      <c r="AQ2199" s="1245"/>
      <c r="AR2199" s="1245"/>
      <c r="AS2199" s="936"/>
    </row>
    <row r="2200" ht="15.75" customHeight="1">
      <c r="A2200" s="1099"/>
      <c r="B2200" s="948" t="s">
        <v>3587</v>
      </c>
      <c r="C2200" s="1197" t="s">
        <v>3588</v>
      </c>
      <c r="D2200" s="1197" t="s">
        <v>3588</v>
      </c>
      <c r="E2200" s="1147" t="s">
        <v>3588</v>
      </c>
      <c r="F2200" s="940"/>
      <c r="G2200" s="953"/>
      <c r="H2200" s="969"/>
      <c r="I2200" s="998" t="s">
        <v>5297</v>
      </c>
      <c r="J2200" s="1222" t="s">
        <v>342</v>
      </c>
      <c r="K2200" s="1199" t="s">
        <v>216</v>
      </c>
      <c r="L2200" s="1200">
        <v>85.0</v>
      </c>
      <c r="M2200" s="1201">
        <v>115.0</v>
      </c>
      <c r="N2200" s="1201">
        <v>75.0</v>
      </c>
      <c r="O2200" s="1201">
        <v>55.0</v>
      </c>
      <c r="P2200" s="1201">
        <v>75.0</v>
      </c>
      <c r="Q2200" s="1201">
        <v>82.0</v>
      </c>
      <c r="R2200" s="960">
        <v>200.0</v>
      </c>
      <c r="S2200" s="960">
        <v>263.0</v>
      </c>
      <c r="T2200" s="960">
        <v>289.0</v>
      </c>
      <c r="U2200" s="960">
        <f t="array" ref="U2200">HLOOKUP($J2200,'Type Chart'!$C$2:$T$20,2,false)*HLOOKUP($K2200,'Type Chart'!$C$2:$U$20,2,false)</f>
        <v>0.5</v>
      </c>
      <c r="V2200" s="960">
        <f t="array" ref="V2200">HLOOKUP($J2200,'Type Chart'!$C$2:$T$20,3,false)*HLOOKUP($K2200,'Type Chart'!$C$2:$U$20,3,false)</f>
        <v>2</v>
      </c>
      <c r="W2200" s="960">
        <f t="array" ref="W2200">HLOOKUP($J2200,'Type Chart'!$C$2:$T$20,4,false)*HLOOKUP($K2200,'Type Chart'!$C$2:$U$20,4,false)</f>
        <v>0.5</v>
      </c>
      <c r="X2200" s="960">
        <f t="array" ref="X2200">HLOOKUP($J2200,'Type Chart'!$C$2:$T$20,5,false)*HLOOKUP($K2200,'Type Chart'!$C$2:$U$20,5,false)</f>
        <v>0.5</v>
      </c>
      <c r="Y2200" s="960">
        <f t="array" ref="Y2200">HLOOKUP($J2200,'Type Chart'!$C$2:$T$20,6,false)*HLOOKUP($K2200,'Type Chart'!$C$2:$U$20,6,false)</f>
        <v>2</v>
      </c>
      <c r="Z2200" s="960">
        <f t="array" ref="Z2200">HLOOKUP($J2200,'Type Chart'!$C$2:$T$20,7,false)*HLOOKUP($K2200,'Type Chart'!$C$2:$U$20,7,false)</f>
        <v>1</v>
      </c>
      <c r="AA2200" s="960">
        <f t="array" ref="AA2200">HLOOKUP($J2200,'Type Chart'!$C$2:$T$20,8,false)*HLOOKUP($K2200,'Type Chart'!$C$2:$U$20,8,false)</f>
        <v>1</v>
      </c>
      <c r="AB2200" s="960">
        <f t="array" ref="AB2200">HLOOKUP($J2200,'Type Chart'!$C$2:$T$20,9,false)*HLOOKUP($K2200,'Type Chart'!$C$2:$U$20,9,false)</f>
        <v>1</v>
      </c>
      <c r="AC2200" s="960">
        <f t="array" ref="AC2200">HLOOKUP($J2200,'Type Chart'!$C$2:$T$20,10,false)*HLOOKUP($K2200,'Type Chart'!$C$2:$U$20,10,false)</f>
        <v>2</v>
      </c>
      <c r="AD2200" s="960">
        <f t="array" ref="AD2200">HLOOKUP($J2200,'Type Chart'!$C$2:$T$20,11,false)*HLOOKUP($K2200,'Type Chart'!$C$2:$U$20,11,false)</f>
        <v>0.5</v>
      </c>
      <c r="AE2200" s="960">
        <f t="array" ref="AE2200">HLOOKUP($J2200,'Type Chart'!$C$2:$T$20,12,false)*HLOOKUP($K2200,'Type Chart'!$C$2:$U$20,12,false)</f>
        <v>2</v>
      </c>
      <c r="AF2200" s="960">
        <f t="array" ref="AF2200">HLOOKUP($J2200,'Type Chart'!$C$2:$T$20,13,false)*HLOOKUP($K2200,'Type Chart'!$C$2:$U$20,13,false)</f>
        <v>2</v>
      </c>
      <c r="AG2200" s="960">
        <f t="array" ref="AG2200">HLOOKUP($J2200,'Type Chart'!$C$2:$T$20,14,false)*HLOOKUP($K2200,'Type Chart'!$C$2:$U$20,14,false)</f>
        <v>1</v>
      </c>
      <c r="AH2200" s="960">
        <f t="array" ref="AH2200">HLOOKUP($J2200,'Type Chart'!$C$2:$T$20,15,false)*HLOOKUP($K2200,'Type Chart'!$C$2:$U$20,15,false)</f>
        <v>1</v>
      </c>
      <c r="AI2200" s="960">
        <f t="array" ref="AI2200">HLOOKUP($J2200,'Type Chart'!$C$2:$T$20,16,false)*HLOOKUP($K2200,'Type Chart'!$C$2:$U$20,16,false)</f>
        <v>1</v>
      </c>
      <c r="AJ2200" s="960">
        <f t="array" ref="AJ2200">HLOOKUP($J2200,'Type Chart'!$C$2:$T$20,17,false)*HLOOKUP($K2200,'Type Chart'!$C$2:$U$20,17,false)</f>
        <v>1</v>
      </c>
      <c r="AK2200" s="960">
        <f t="array" ref="AK2200">HLOOKUP($J2200,'Type Chart'!$C$2:$T$20,18,false)*HLOOKUP($K2200,'Type Chart'!$C$2:$U$20,18,false)</f>
        <v>1</v>
      </c>
      <c r="AL2200" s="960">
        <f t="array" ref="AL2200">HLOOKUP($J2200,'Type Chart'!$C$2:$T$20,19,false)*HLOOKUP($K2200,'Type Chart'!$C$2:$U$20,19,false)</f>
        <v>1</v>
      </c>
      <c r="AM2200" s="1145" t="s">
        <v>1022</v>
      </c>
      <c r="AN2200" s="965" t="s">
        <v>1265</v>
      </c>
      <c r="AO2200" s="966" t="s">
        <v>1034</v>
      </c>
      <c r="AP2200" s="936"/>
      <c r="AQ2200" s="1245"/>
      <c r="AR2200" s="1245"/>
      <c r="AS2200" s="936"/>
    </row>
    <row r="2201" ht="15.75" customHeight="1">
      <c r="A2201" s="1099"/>
      <c r="B2201" s="948" t="s">
        <v>3589</v>
      </c>
      <c r="C2201" s="1197" t="s">
        <v>3590</v>
      </c>
      <c r="D2201" s="1197" t="s">
        <v>3590</v>
      </c>
      <c r="E2201" s="1147" t="s">
        <v>3590</v>
      </c>
      <c r="F2201" s="940"/>
      <c r="G2201" s="953"/>
      <c r="H2201" s="969"/>
      <c r="I2201" s="998" t="s">
        <v>5298</v>
      </c>
      <c r="J2201" s="1214" t="s">
        <v>342</v>
      </c>
      <c r="K2201" s="984" t="s">
        <v>216</v>
      </c>
      <c r="L2201" s="959">
        <v>75.0</v>
      </c>
      <c r="M2201" s="960">
        <v>117.0</v>
      </c>
      <c r="N2201" s="960">
        <v>65.0</v>
      </c>
      <c r="O2201" s="960">
        <v>55.0</v>
      </c>
      <c r="P2201" s="960">
        <v>65.0</v>
      </c>
      <c r="Q2201" s="960">
        <v>110.0</v>
      </c>
      <c r="R2201" s="960">
        <v>256.0</v>
      </c>
      <c r="S2201" s="960">
        <v>319.0</v>
      </c>
      <c r="T2201" s="960">
        <v>350.0</v>
      </c>
      <c r="U2201" s="960">
        <f t="array" ref="U2201">HLOOKUP($J2201,'Type Chart'!$C$2:$T$20,2,false)*HLOOKUP($K2201,'Type Chart'!$C$2:$U$20,2,false)</f>
        <v>0.5</v>
      </c>
      <c r="V2201" s="960">
        <f t="array" ref="V2201">HLOOKUP($J2201,'Type Chart'!$C$2:$T$20,3,false)*HLOOKUP($K2201,'Type Chart'!$C$2:$U$20,3,false)</f>
        <v>2</v>
      </c>
      <c r="W2201" s="960">
        <f t="array" ref="W2201">HLOOKUP($J2201,'Type Chart'!$C$2:$T$20,4,false)*HLOOKUP($K2201,'Type Chart'!$C$2:$U$20,4,false)</f>
        <v>0.5</v>
      </c>
      <c r="X2201" s="960">
        <f t="array" ref="X2201">HLOOKUP($J2201,'Type Chart'!$C$2:$T$20,5,false)*HLOOKUP($K2201,'Type Chart'!$C$2:$U$20,5,false)</f>
        <v>0.5</v>
      </c>
      <c r="Y2201" s="960">
        <f t="array" ref="Y2201">HLOOKUP($J2201,'Type Chart'!$C$2:$T$20,6,false)*HLOOKUP($K2201,'Type Chart'!$C$2:$U$20,6,false)</f>
        <v>2</v>
      </c>
      <c r="Z2201" s="960">
        <f t="array" ref="Z2201">HLOOKUP($J2201,'Type Chart'!$C$2:$T$20,7,false)*HLOOKUP($K2201,'Type Chart'!$C$2:$U$20,7,false)</f>
        <v>1</v>
      </c>
      <c r="AA2201" s="960">
        <f t="array" ref="AA2201">HLOOKUP($J2201,'Type Chart'!$C$2:$T$20,8,false)*HLOOKUP($K2201,'Type Chart'!$C$2:$U$20,8,false)</f>
        <v>1</v>
      </c>
      <c r="AB2201" s="960">
        <f t="array" ref="AB2201">HLOOKUP($J2201,'Type Chart'!$C$2:$T$20,9,false)*HLOOKUP($K2201,'Type Chart'!$C$2:$U$20,9,false)</f>
        <v>1</v>
      </c>
      <c r="AC2201" s="960">
        <f t="array" ref="AC2201">HLOOKUP($J2201,'Type Chart'!$C$2:$T$20,10,false)*HLOOKUP($K2201,'Type Chart'!$C$2:$U$20,10,false)</f>
        <v>2</v>
      </c>
      <c r="AD2201" s="960">
        <f t="array" ref="AD2201">HLOOKUP($J2201,'Type Chart'!$C$2:$T$20,11,false)*HLOOKUP($K2201,'Type Chart'!$C$2:$U$20,11,false)</f>
        <v>0.5</v>
      </c>
      <c r="AE2201" s="960">
        <f t="array" ref="AE2201">HLOOKUP($J2201,'Type Chart'!$C$2:$T$20,12,false)*HLOOKUP($K2201,'Type Chart'!$C$2:$U$20,12,false)</f>
        <v>2</v>
      </c>
      <c r="AF2201" s="960">
        <f t="array" ref="AF2201">HLOOKUP($J2201,'Type Chart'!$C$2:$T$20,13,false)*HLOOKUP($K2201,'Type Chart'!$C$2:$U$20,13,false)</f>
        <v>2</v>
      </c>
      <c r="AG2201" s="960">
        <f t="array" ref="AG2201">HLOOKUP($J2201,'Type Chart'!$C$2:$T$20,14,false)*HLOOKUP($K2201,'Type Chart'!$C$2:$U$20,14,false)</f>
        <v>1</v>
      </c>
      <c r="AH2201" s="960">
        <f t="array" ref="AH2201">HLOOKUP($J2201,'Type Chart'!$C$2:$T$20,15,false)*HLOOKUP($K2201,'Type Chart'!$C$2:$U$20,15,false)</f>
        <v>1</v>
      </c>
      <c r="AI2201" s="960">
        <f t="array" ref="AI2201">HLOOKUP($J2201,'Type Chart'!$C$2:$T$20,16,false)*HLOOKUP($K2201,'Type Chart'!$C$2:$U$20,16,false)</f>
        <v>1</v>
      </c>
      <c r="AJ2201" s="960">
        <f t="array" ref="AJ2201">HLOOKUP($J2201,'Type Chart'!$C$2:$T$20,17,false)*HLOOKUP($K2201,'Type Chart'!$C$2:$U$20,17,false)</f>
        <v>1</v>
      </c>
      <c r="AK2201" s="960">
        <f t="array" ref="AK2201">HLOOKUP($J2201,'Type Chart'!$C$2:$T$20,18,false)*HLOOKUP($K2201,'Type Chart'!$C$2:$U$20,18,false)</f>
        <v>1</v>
      </c>
      <c r="AL2201" s="960">
        <f t="array" ref="AL2201">HLOOKUP($J2201,'Type Chart'!$C$2:$T$20,19,false)*HLOOKUP($K2201,'Type Chart'!$C$2:$U$20,19,false)</f>
        <v>1</v>
      </c>
      <c r="AM2201" s="964" t="s">
        <v>932</v>
      </c>
      <c r="AN2201" s="965"/>
      <c r="AO2201" s="966"/>
      <c r="AP2201" s="936"/>
      <c r="AQ2201" s="1245"/>
      <c r="AR2201" s="1245"/>
      <c r="AS2201" s="936"/>
    </row>
    <row r="2202" ht="15.75" customHeight="1">
      <c r="A2202" s="1099"/>
      <c r="B2202" s="948" t="s">
        <v>3591</v>
      </c>
      <c r="C2202" s="1197" t="s">
        <v>3592</v>
      </c>
      <c r="D2202" s="1197" t="s">
        <v>3592</v>
      </c>
      <c r="E2202" s="1147" t="s">
        <v>3592</v>
      </c>
      <c r="F2202" s="940"/>
      <c r="G2202" s="953"/>
      <c r="H2202" s="969"/>
      <c r="I2202" s="998" t="s">
        <v>5299</v>
      </c>
      <c r="J2202" s="1056" t="s">
        <v>81</v>
      </c>
      <c r="K2202" s="984" t="s">
        <v>216</v>
      </c>
      <c r="L2202" s="959">
        <v>45.0</v>
      </c>
      <c r="M2202" s="960">
        <v>20.0</v>
      </c>
      <c r="N2202" s="960">
        <v>20.0</v>
      </c>
      <c r="O2202" s="960">
        <v>25.0</v>
      </c>
      <c r="P2202" s="960">
        <v>25.0</v>
      </c>
      <c r="Q2202" s="960">
        <v>40.0</v>
      </c>
      <c r="R2202" s="960">
        <v>116.0</v>
      </c>
      <c r="S2202" s="960">
        <v>179.0</v>
      </c>
      <c r="T2202" s="960">
        <v>196.0</v>
      </c>
      <c r="U2202" s="960">
        <f t="array" ref="U2202">HLOOKUP($J2202,'Type Chart'!$C$2:$T$20,2,false)*HLOOKUP($K2202,'Type Chart'!$C$2:$U$20,2,false)</f>
        <v>1</v>
      </c>
      <c r="V2202" s="960">
        <f t="array" ref="V2202">HLOOKUP($J2202,'Type Chart'!$C$2:$T$20,3,false)*HLOOKUP($K2202,'Type Chart'!$C$2:$U$20,3,false)</f>
        <v>1</v>
      </c>
      <c r="W2202" s="960">
        <f t="array" ref="W2202">HLOOKUP($J2202,'Type Chart'!$C$2:$T$20,4,false)*HLOOKUP($K2202,'Type Chart'!$C$2:$U$20,4,false)</f>
        <v>1</v>
      </c>
      <c r="X2202" s="960">
        <f t="array" ref="X2202">HLOOKUP($J2202,'Type Chart'!$C$2:$T$20,5,false)*HLOOKUP($K2202,'Type Chart'!$C$2:$U$20,5,false)</f>
        <v>1</v>
      </c>
      <c r="Y2202" s="960">
        <f t="array" ref="Y2202">HLOOKUP($J2202,'Type Chart'!$C$2:$T$20,6,false)*HLOOKUP($K2202,'Type Chart'!$C$2:$U$20,6,false)</f>
        <v>1</v>
      </c>
      <c r="Z2202" s="960">
        <f t="array" ref="Z2202">HLOOKUP($J2202,'Type Chart'!$C$2:$T$20,7,false)*HLOOKUP($K2202,'Type Chart'!$C$2:$U$20,7,false)</f>
        <v>1</v>
      </c>
      <c r="AA2202" s="960">
        <f t="array" ref="AA2202">HLOOKUP($J2202,'Type Chart'!$C$2:$T$20,8,false)*HLOOKUP($K2202,'Type Chart'!$C$2:$U$20,8,false)</f>
        <v>1</v>
      </c>
      <c r="AB2202" s="960">
        <f t="array" ref="AB2202">HLOOKUP($J2202,'Type Chart'!$C$2:$T$20,9,false)*HLOOKUP($K2202,'Type Chart'!$C$2:$U$20,9,false)</f>
        <v>1</v>
      </c>
      <c r="AC2202" s="960">
        <f t="array" ref="AC2202">HLOOKUP($J2202,'Type Chart'!$C$2:$T$20,10,false)*HLOOKUP($K2202,'Type Chart'!$C$2:$U$20,10,false)</f>
        <v>0.5</v>
      </c>
      <c r="AD2202" s="960">
        <f t="array" ref="AD2202">HLOOKUP($J2202,'Type Chart'!$C$2:$T$20,11,false)*HLOOKUP($K2202,'Type Chart'!$C$2:$U$20,11,false)</f>
        <v>0.5</v>
      </c>
      <c r="AE2202" s="960">
        <f t="array" ref="AE2202">HLOOKUP($J2202,'Type Chart'!$C$2:$T$20,12,false)*HLOOKUP($K2202,'Type Chart'!$C$2:$U$20,12,false)</f>
        <v>0.5</v>
      </c>
      <c r="AF2202" s="960">
        <f t="array" ref="AF2202">HLOOKUP($J2202,'Type Chart'!$C$2:$T$20,13,false)*HLOOKUP($K2202,'Type Chart'!$C$2:$U$20,13,false)</f>
        <v>2</v>
      </c>
      <c r="AG2202" s="960">
        <f t="array" ref="AG2202">HLOOKUP($J2202,'Type Chart'!$C$2:$T$20,14,false)*HLOOKUP($K2202,'Type Chart'!$C$2:$U$20,14,false)</f>
        <v>2</v>
      </c>
      <c r="AH2202" s="960">
        <f t="array" ref="AH2202">HLOOKUP($J2202,'Type Chart'!$C$2:$T$20,15,false)*HLOOKUP($K2202,'Type Chart'!$C$2:$U$20,15,false)</f>
        <v>1</v>
      </c>
      <c r="AI2202" s="960">
        <f t="array" ref="AI2202">HLOOKUP($J2202,'Type Chart'!$C$2:$T$20,16,false)*HLOOKUP($K2202,'Type Chart'!$C$2:$U$20,16,false)</f>
        <v>0.5</v>
      </c>
      <c r="AJ2202" s="960">
        <f t="array" ref="AJ2202">HLOOKUP($J2202,'Type Chart'!$C$2:$T$20,17,false)*HLOOKUP($K2202,'Type Chart'!$C$2:$U$20,17,false)</f>
        <v>1</v>
      </c>
      <c r="AK2202" s="960">
        <f t="array" ref="AK2202">HLOOKUP($J2202,'Type Chart'!$C$2:$T$20,18,false)*HLOOKUP($K2202,'Type Chart'!$C$2:$U$20,18,false)</f>
        <v>1</v>
      </c>
      <c r="AL2202" s="960">
        <f t="array" ref="AL2202">HLOOKUP($J2202,'Type Chart'!$C$2:$T$20,19,false)*HLOOKUP($K2202,'Type Chart'!$C$2:$U$20,19,false)</f>
        <v>1</v>
      </c>
      <c r="AM2202" s="964" t="s">
        <v>3593</v>
      </c>
      <c r="AN2202" s="965"/>
      <c r="AO2202" s="966"/>
      <c r="AP2202" s="936"/>
      <c r="AQ2202" s="1245"/>
      <c r="AR2202" s="1245"/>
      <c r="AS2202" s="936"/>
    </row>
    <row r="2203" ht="15.75" customHeight="1">
      <c r="A2203" s="1099"/>
      <c r="B2203" s="948" t="s">
        <v>3594</v>
      </c>
      <c r="C2203" s="1197" t="s">
        <v>3595</v>
      </c>
      <c r="D2203" s="1197" t="s">
        <v>3595</v>
      </c>
      <c r="E2203" s="1147" t="s">
        <v>3595</v>
      </c>
      <c r="F2203" s="940"/>
      <c r="G2203" s="953"/>
      <c r="H2203" s="969"/>
      <c r="I2203" s="998" t="s">
        <v>5300</v>
      </c>
      <c r="J2203" s="1056" t="s">
        <v>81</v>
      </c>
      <c r="K2203" s="984" t="s">
        <v>216</v>
      </c>
      <c r="L2203" s="959">
        <v>45.0</v>
      </c>
      <c r="M2203" s="960">
        <v>140.0</v>
      </c>
      <c r="N2203" s="960">
        <v>130.0</v>
      </c>
      <c r="O2203" s="960">
        <v>140.0</v>
      </c>
      <c r="P2203" s="960">
        <v>135.0</v>
      </c>
      <c r="Q2203" s="960">
        <v>30.0</v>
      </c>
      <c r="R2203" s="960">
        <v>96.0</v>
      </c>
      <c r="S2203" s="960">
        <v>159.0</v>
      </c>
      <c r="T2203" s="960">
        <v>174.0</v>
      </c>
      <c r="U2203" s="960">
        <f t="array" ref="U2203">HLOOKUP($J2203,'Type Chart'!$C$2:$T$20,2,false)*HLOOKUP($K2203,'Type Chart'!$C$2:$U$20,2,false)</f>
        <v>1</v>
      </c>
      <c r="V2203" s="960">
        <f t="array" ref="V2203">HLOOKUP($J2203,'Type Chart'!$C$2:$T$20,3,false)*HLOOKUP($K2203,'Type Chart'!$C$2:$U$20,3,false)</f>
        <v>1</v>
      </c>
      <c r="W2203" s="960">
        <f t="array" ref="W2203">HLOOKUP($J2203,'Type Chart'!$C$2:$T$20,4,false)*HLOOKUP($K2203,'Type Chart'!$C$2:$U$20,4,false)</f>
        <v>1</v>
      </c>
      <c r="X2203" s="960">
        <f t="array" ref="X2203">HLOOKUP($J2203,'Type Chart'!$C$2:$T$20,5,false)*HLOOKUP($K2203,'Type Chart'!$C$2:$U$20,5,false)</f>
        <v>1</v>
      </c>
      <c r="Y2203" s="960">
        <f t="array" ref="Y2203">HLOOKUP($J2203,'Type Chart'!$C$2:$T$20,6,false)*HLOOKUP($K2203,'Type Chart'!$C$2:$U$20,6,false)</f>
        <v>1</v>
      </c>
      <c r="Z2203" s="960">
        <f t="array" ref="Z2203">HLOOKUP($J2203,'Type Chart'!$C$2:$T$20,7,false)*HLOOKUP($K2203,'Type Chart'!$C$2:$U$20,7,false)</f>
        <v>1</v>
      </c>
      <c r="AA2203" s="960">
        <f t="array" ref="AA2203">HLOOKUP($J2203,'Type Chart'!$C$2:$T$20,8,false)*HLOOKUP($K2203,'Type Chart'!$C$2:$U$20,8,false)</f>
        <v>1</v>
      </c>
      <c r="AB2203" s="960">
        <f t="array" ref="AB2203">HLOOKUP($J2203,'Type Chart'!$C$2:$T$20,9,false)*HLOOKUP($K2203,'Type Chart'!$C$2:$U$20,9,false)</f>
        <v>1</v>
      </c>
      <c r="AC2203" s="960">
        <f t="array" ref="AC2203">HLOOKUP($J2203,'Type Chart'!$C$2:$T$20,10,false)*HLOOKUP($K2203,'Type Chart'!$C$2:$U$20,10,false)</f>
        <v>0.5</v>
      </c>
      <c r="AD2203" s="960">
        <f t="array" ref="AD2203">HLOOKUP($J2203,'Type Chart'!$C$2:$T$20,11,false)*HLOOKUP($K2203,'Type Chart'!$C$2:$U$20,11,false)</f>
        <v>0.5</v>
      </c>
      <c r="AE2203" s="960">
        <f t="array" ref="AE2203">HLOOKUP($J2203,'Type Chart'!$C$2:$T$20,12,false)*HLOOKUP($K2203,'Type Chart'!$C$2:$U$20,12,false)</f>
        <v>0.5</v>
      </c>
      <c r="AF2203" s="960">
        <f t="array" ref="AF2203">HLOOKUP($J2203,'Type Chart'!$C$2:$T$20,13,false)*HLOOKUP($K2203,'Type Chart'!$C$2:$U$20,13,false)</f>
        <v>2</v>
      </c>
      <c r="AG2203" s="960">
        <f t="array" ref="AG2203">HLOOKUP($J2203,'Type Chart'!$C$2:$T$20,14,false)*HLOOKUP($K2203,'Type Chart'!$C$2:$U$20,14,false)</f>
        <v>2</v>
      </c>
      <c r="AH2203" s="960">
        <f t="array" ref="AH2203">HLOOKUP($J2203,'Type Chart'!$C$2:$T$20,15,false)*HLOOKUP($K2203,'Type Chart'!$C$2:$U$20,15,false)</f>
        <v>1</v>
      </c>
      <c r="AI2203" s="960">
        <f t="array" ref="AI2203">HLOOKUP($J2203,'Type Chart'!$C$2:$T$20,16,false)*HLOOKUP($K2203,'Type Chart'!$C$2:$U$20,16,false)</f>
        <v>0.5</v>
      </c>
      <c r="AJ2203" s="960">
        <f t="array" ref="AJ2203">HLOOKUP($J2203,'Type Chart'!$C$2:$T$20,17,false)*HLOOKUP($K2203,'Type Chart'!$C$2:$U$20,17,false)</f>
        <v>1</v>
      </c>
      <c r="AK2203" s="960">
        <f t="array" ref="AK2203">HLOOKUP($J2203,'Type Chart'!$C$2:$T$20,18,false)*HLOOKUP($K2203,'Type Chart'!$C$2:$U$20,18,false)</f>
        <v>1</v>
      </c>
      <c r="AL2203" s="960">
        <f t="array" ref="AL2203">HLOOKUP($J2203,'Type Chart'!$C$2:$T$20,19,false)*HLOOKUP($K2203,'Type Chart'!$C$2:$U$20,19,false)</f>
        <v>1</v>
      </c>
      <c r="AM2203" s="964" t="s">
        <v>3593</v>
      </c>
      <c r="AN2203" s="965"/>
      <c r="AO2203" s="966"/>
      <c r="AP2203" s="936"/>
      <c r="AQ2203" s="1245"/>
      <c r="AR2203" s="1245"/>
      <c r="AS2203" s="936"/>
    </row>
    <row r="2204" ht="15.75" customHeight="1">
      <c r="A2204" s="1099"/>
      <c r="B2204" s="948" t="s">
        <v>3597</v>
      </c>
      <c r="C2204" s="1197" t="s">
        <v>3598</v>
      </c>
      <c r="D2204" s="1197" t="s">
        <v>3598</v>
      </c>
      <c r="E2204" s="1147" t="s">
        <v>3598</v>
      </c>
      <c r="F2204" s="940"/>
      <c r="G2204" s="953"/>
      <c r="H2204" s="969"/>
      <c r="I2204" s="998" t="s">
        <v>5301</v>
      </c>
      <c r="J2204" s="958" t="s">
        <v>178</v>
      </c>
      <c r="K2204" s="1056" t="s">
        <v>81</v>
      </c>
      <c r="L2204" s="959">
        <v>50.0</v>
      </c>
      <c r="M2204" s="960">
        <v>53.0</v>
      </c>
      <c r="N2204" s="960">
        <v>62.0</v>
      </c>
      <c r="O2204" s="960">
        <v>43.0</v>
      </c>
      <c r="P2204" s="960">
        <v>52.0</v>
      </c>
      <c r="Q2204" s="960">
        <v>45.0</v>
      </c>
      <c r="R2204" s="960">
        <v>126.0</v>
      </c>
      <c r="S2204" s="960">
        <v>189.0</v>
      </c>
      <c r="T2204" s="960">
        <v>207.0</v>
      </c>
      <c r="U2204" s="960">
        <f t="array" ref="U2204">HLOOKUP($J2204,'Type Chart'!$C$2:$T$20,2,false)*HLOOKUP($K2204,'Type Chart'!$C$2:$U$20,2,false)</f>
        <v>1</v>
      </c>
      <c r="V2204" s="960">
        <f t="array" ref="V2204">HLOOKUP($J2204,'Type Chart'!$C$2:$T$20,3,false)*HLOOKUP($K2204,'Type Chart'!$C$2:$U$20,3,false)</f>
        <v>0.5</v>
      </c>
      <c r="W2204" s="960">
        <f t="array" ref="W2204">HLOOKUP($J2204,'Type Chart'!$C$2:$T$20,4,false)*HLOOKUP($K2204,'Type Chart'!$C$2:$U$20,4,false)</f>
        <v>1</v>
      </c>
      <c r="X2204" s="960">
        <f t="array" ref="X2204">HLOOKUP($J2204,'Type Chart'!$C$2:$T$20,5,false)*HLOOKUP($K2204,'Type Chart'!$C$2:$U$20,5,false)</f>
        <v>0.5</v>
      </c>
      <c r="Y2204" s="960">
        <f t="array" ref="Y2204">HLOOKUP($J2204,'Type Chart'!$C$2:$T$20,6,false)*HLOOKUP($K2204,'Type Chart'!$C$2:$U$20,6,false)</f>
        <v>2</v>
      </c>
      <c r="Z2204" s="960">
        <f t="array" ref="Z2204">HLOOKUP($J2204,'Type Chart'!$C$2:$T$20,7,false)*HLOOKUP($K2204,'Type Chart'!$C$2:$U$20,7,false)</f>
        <v>1</v>
      </c>
      <c r="AA2204" s="960">
        <f t="array" ref="AA2204">HLOOKUP($J2204,'Type Chart'!$C$2:$T$20,8,false)*HLOOKUP($K2204,'Type Chart'!$C$2:$U$20,8,false)</f>
        <v>0.5</v>
      </c>
      <c r="AB2204" s="960">
        <f t="array" ref="AB2204">HLOOKUP($J2204,'Type Chart'!$C$2:$T$20,9,false)*HLOOKUP($K2204,'Type Chart'!$C$2:$U$20,9,false)</f>
        <v>1</v>
      </c>
      <c r="AC2204" s="960">
        <f t="array" ref="AC2204">HLOOKUP($J2204,'Type Chart'!$C$2:$T$20,10,false)*HLOOKUP($K2204,'Type Chart'!$C$2:$U$20,10,false)</f>
        <v>0.5</v>
      </c>
      <c r="AD2204" s="960">
        <f t="array" ref="AD2204">HLOOKUP($J2204,'Type Chart'!$C$2:$T$20,11,false)*HLOOKUP($K2204,'Type Chart'!$C$2:$U$20,11,false)</f>
        <v>0.5</v>
      </c>
      <c r="AE2204" s="960">
        <f t="array" ref="AE2204">HLOOKUP($J2204,'Type Chart'!$C$2:$T$20,12,false)*HLOOKUP($K2204,'Type Chart'!$C$2:$U$20,12,false)</f>
        <v>0.5</v>
      </c>
      <c r="AF2204" s="960">
        <f t="array" ref="AF2204">HLOOKUP($J2204,'Type Chart'!$C$2:$T$20,13,false)*HLOOKUP($K2204,'Type Chart'!$C$2:$U$20,13,false)</f>
        <v>1</v>
      </c>
      <c r="AG2204" s="960">
        <f t="array" ref="AG2204">HLOOKUP($J2204,'Type Chart'!$C$2:$T$20,14,false)*HLOOKUP($K2204,'Type Chart'!$C$2:$U$20,14,false)</f>
        <v>2</v>
      </c>
      <c r="AH2204" s="960">
        <f t="array" ref="AH2204">HLOOKUP($J2204,'Type Chart'!$C$2:$T$20,15,false)*HLOOKUP($K2204,'Type Chart'!$C$2:$U$20,15,false)</f>
        <v>2</v>
      </c>
      <c r="AI2204" s="960">
        <f t="array" ref="AI2204">HLOOKUP($J2204,'Type Chart'!$C$2:$T$20,16,false)*HLOOKUP($K2204,'Type Chart'!$C$2:$U$20,16,false)</f>
        <v>0.5</v>
      </c>
      <c r="AJ2204" s="960">
        <f t="array" ref="AJ2204">HLOOKUP($J2204,'Type Chart'!$C$2:$T$20,17,false)*HLOOKUP($K2204,'Type Chart'!$C$2:$U$20,17,false)</f>
        <v>1</v>
      </c>
      <c r="AK2204" s="960">
        <f t="array" ref="AK2204">HLOOKUP($J2204,'Type Chart'!$C$2:$T$20,18,false)*HLOOKUP($K2204,'Type Chart'!$C$2:$U$20,18,false)</f>
        <v>1</v>
      </c>
      <c r="AL2204" s="960">
        <f t="array" ref="AL2204">HLOOKUP($J2204,'Type Chart'!$C$2:$T$20,19,false)*HLOOKUP($K2204,'Type Chart'!$C$2:$U$20,19,false)</f>
        <v>0.5</v>
      </c>
      <c r="AM2204" s="964" t="s">
        <v>3599</v>
      </c>
      <c r="AN2204" s="965" t="s">
        <v>1250</v>
      </c>
      <c r="AO2204" s="966" t="s">
        <v>1371</v>
      </c>
      <c r="AP2204" s="936"/>
      <c r="AQ2204" s="1245"/>
      <c r="AR2204" s="1245"/>
      <c r="AS2204" s="936"/>
    </row>
    <row r="2205" ht="15.75" customHeight="1">
      <c r="A2205" s="1099"/>
      <c r="B2205" s="948" t="s">
        <v>3600</v>
      </c>
      <c r="C2205" s="1197" t="s">
        <v>3601</v>
      </c>
      <c r="D2205" s="1197" t="s">
        <v>3601</v>
      </c>
      <c r="E2205" s="1147" t="s">
        <v>3601</v>
      </c>
      <c r="F2205" s="940"/>
      <c r="G2205" s="953"/>
      <c r="H2205" s="969"/>
      <c r="I2205" s="998" t="s">
        <v>5302</v>
      </c>
      <c r="J2205" s="958" t="s">
        <v>178</v>
      </c>
      <c r="K2205" s="1056" t="s">
        <v>81</v>
      </c>
      <c r="L2205" s="959">
        <v>50.0</v>
      </c>
      <c r="M2205" s="960">
        <v>63.0</v>
      </c>
      <c r="N2205" s="960">
        <v>152.0</v>
      </c>
      <c r="O2205" s="960">
        <v>53.0</v>
      </c>
      <c r="P2205" s="960">
        <v>142.0</v>
      </c>
      <c r="Q2205" s="960">
        <v>35.0</v>
      </c>
      <c r="R2205" s="960">
        <v>106.0</v>
      </c>
      <c r="S2205" s="960">
        <v>169.0</v>
      </c>
      <c r="T2205" s="960">
        <v>185.0</v>
      </c>
      <c r="U2205" s="960">
        <f t="array" ref="U2205">HLOOKUP($J2205,'Type Chart'!$C$2:$T$20,2,false)*HLOOKUP($K2205,'Type Chart'!$C$2:$U$20,2,false)</f>
        <v>1</v>
      </c>
      <c r="V2205" s="960">
        <f t="array" ref="V2205">HLOOKUP($J2205,'Type Chart'!$C$2:$T$20,3,false)*HLOOKUP($K2205,'Type Chart'!$C$2:$U$20,3,false)</f>
        <v>0.5</v>
      </c>
      <c r="W2205" s="960">
        <f t="array" ref="W2205">HLOOKUP($J2205,'Type Chart'!$C$2:$T$20,4,false)*HLOOKUP($K2205,'Type Chart'!$C$2:$U$20,4,false)</f>
        <v>1</v>
      </c>
      <c r="X2205" s="960">
        <f t="array" ref="X2205">HLOOKUP($J2205,'Type Chart'!$C$2:$T$20,5,false)*HLOOKUP($K2205,'Type Chart'!$C$2:$U$20,5,false)</f>
        <v>0.5</v>
      </c>
      <c r="Y2205" s="960">
        <f t="array" ref="Y2205">HLOOKUP($J2205,'Type Chart'!$C$2:$T$20,6,false)*HLOOKUP($K2205,'Type Chart'!$C$2:$U$20,6,false)</f>
        <v>2</v>
      </c>
      <c r="Z2205" s="960">
        <f t="array" ref="Z2205">HLOOKUP($J2205,'Type Chart'!$C$2:$T$20,7,false)*HLOOKUP($K2205,'Type Chart'!$C$2:$U$20,7,false)</f>
        <v>1</v>
      </c>
      <c r="AA2205" s="960">
        <f t="array" ref="AA2205">HLOOKUP($J2205,'Type Chart'!$C$2:$T$20,8,false)*HLOOKUP($K2205,'Type Chart'!$C$2:$U$20,8,false)</f>
        <v>0.5</v>
      </c>
      <c r="AB2205" s="960">
        <f t="array" ref="AB2205">HLOOKUP($J2205,'Type Chart'!$C$2:$T$20,9,false)*HLOOKUP($K2205,'Type Chart'!$C$2:$U$20,9,false)</f>
        <v>1</v>
      </c>
      <c r="AC2205" s="960">
        <f t="array" ref="AC2205">HLOOKUP($J2205,'Type Chart'!$C$2:$T$20,10,false)*HLOOKUP($K2205,'Type Chart'!$C$2:$U$20,10,false)</f>
        <v>0.5</v>
      </c>
      <c r="AD2205" s="960">
        <f t="array" ref="AD2205">HLOOKUP($J2205,'Type Chart'!$C$2:$T$20,11,false)*HLOOKUP($K2205,'Type Chart'!$C$2:$U$20,11,false)</f>
        <v>0.5</v>
      </c>
      <c r="AE2205" s="960">
        <f t="array" ref="AE2205">HLOOKUP($J2205,'Type Chart'!$C$2:$T$20,12,false)*HLOOKUP($K2205,'Type Chart'!$C$2:$U$20,12,false)</f>
        <v>0.5</v>
      </c>
      <c r="AF2205" s="960">
        <f t="array" ref="AF2205">HLOOKUP($J2205,'Type Chart'!$C$2:$T$20,13,false)*HLOOKUP($K2205,'Type Chart'!$C$2:$U$20,13,false)</f>
        <v>1</v>
      </c>
      <c r="AG2205" s="960">
        <f t="array" ref="AG2205">HLOOKUP($J2205,'Type Chart'!$C$2:$T$20,14,false)*HLOOKUP($K2205,'Type Chart'!$C$2:$U$20,14,false)</f>
        <v>2</v>
      </c>
      <c r="AH2205" s="960">
        <f t="array" ref="AH2205">HLOOKUP($J2205,'Type Chart'!$C$2:$T$20,15,false)*HLOOKUP($K2205,'Type Chart'!$C$2:$U$20,15,false)</f>
        <v>2</v>
      </c>
      <c r="AI2205" s="960">
        <f t="array" ref="AI2205">HLOOKUP($J2205,'Type Chart'!$C$2:$T$20,16,false)*HLOOKUP($K2205,'Type Chart'!$C$2:$U$20,16,false)</f>
        <v>0.5</v>
      </c>
      <c r="AJ2205" s="960">
        <f t="array" ref="AJ2205">HLOOKUP($J2205,'Type Chart'!$C$2:$T$20,17,false)*HLOOKUP($K2205,'Type Chart'!$C$2:$U$20,17,false)</f>
        <v>1</v>
      </c>
      <c r="AK2205" s="960">
        <f t="array" ref="AK2205">HLOOKUP($J2205,'Type Chart'!$C$2:$T$20,18,false)*HLOOKUP($K2205,'Type Chart'!$C$2:$U$20,18,false)</f>
        <v>1</v>
      </c>
      <c r="AL2205" s="960">
        <f t="array" ref="AL2205">HLOOKUP($J2205,'Type Chart'!$C$2:$T$20,19,false)*HLOOKUP($K2205,'Type Chart'!$C$2:$U$20,19,false)</f>
        <v>0.5</v>
      </c>
      <c r="AM2205" s="964" t="s">
        <v>3599</v>
      </c>
      <c r="AN2205" s="965" t="s">
        <v>1250</v>
      </c>
      <c r="AO2205" s="966" t="s">
        <v>1371</v>
      </c>
      <c r="AP2205" s="936"/>
      <c r="AQ2205" s="1245"/>
      <c r="AR2205" s="1245"/>
      <c r="AS2205" s="936"/>
    </row>
    <row r="2206" ht="15.75" customHeight="1">
      <c r="A2206" s="1099"/>
      <c r="B2206" s="948" t="s">
        <v>3602</v>
      </c>
      <c r="C2206" s="1197" t="s">
        <v>3603</v>
      </c>
      <c r="D2206" s="1197" t="s">
        <v>3603</v>
      </c>
      <c r="E2206" s="1147" t="s">
        <v>3603</v>
      </c>
      <c r="F2206" s="940"/>
      <c r="G2206" s="953"/>
      <c r="H2206" s="969"/>
      <c r="I2206" s="998" t="s">
        <v>5303</v>
      </c>
      <c r="J2206" s="1204" t="s">
        <v>80</v>
      </c>
      <c r="K2206" s="984" t="s">
        <v>216</v>
      </c>
      <c r="L2206" s="959">
        <v>70.0</v>
      </c>
      <c r="M2206" s="960">
        <v>100.0</v>
      </c>
      <c r="N2206" s="960">
        <v>70.0</v>
      </c>
      <c r="O2206" s="960">
        <v>45.0</v>
      </c>
      <c r="P2206" s="960">
        <v>55.0</v>
      </c>
      <c r="Q2206" s="960">
        <v>45.0</v>
      </c>
      <c r="R2206" s="960">
        <v>126.0</v>
      </c>
      <c r="S2206" s="960">
        <v>189.0</v>
      </c>
      <c r="T2206" s="960">
        <v>207.0</v>
      </c>
      <c r="U2206" s="960">
        <f t="array" ref="U2206">HLOOKUP($J2206,'Type Chart'!$C$2:$T$20,2,false)*HLOOKUP($K2206,'Type Chart'!$C$2:$U$20,2,false)</f>
        <v>1</v>
      </c>
      <c r="V2206" s="960">
        <f t="array" ref="V2206">HLOOKUP($J2206,'Type Chart'!$C$2:$T$20,3,false)*HLOOKUP($K2206,'Type Chart'!$C$2:$U$20,3,false)</f>
        <v>1</v>
      </c>
      <c r="W2206" s="960">
        <f t="array" ref="W2206">HLOOKUP($J2206,'Type Chart'!$C$2:$T$20,4,false)*HLOOKUP($K2206,'Type Chart'!$C$2:$U$20,4,false)</f>
        <v>1</v>
      </c>
      <c r="X2206" s="960">
        <f t="array" ref="X2206">HLOOKUP($J2206,'Type Chart'!$C$2:$T$20,5,false)*HLOOKUP($K2206,'Type Chart'!$C$2:$U$20,5,false)</f>
        <v>0.5</v>
      </c>
      <c r="Y2206" s="960">
        <f t="array" ref="Y2206">HLOOKUP($J2206,'Type Chart'!$C$2:$T$20,6,false)*HLOOKUP($K2206,'Type Chart'!$C$2:$U$20,6,false)</f>
        <v>1</v>
      </c>
      <c r="Z2206" s="960">
        <f t="array" ref="Z2206">HLOOKUP($J2206,'Type Chart'!$C$2:$T$20,7,false)*HLOOKUP($K2206,'Type Chart'!$C$2:$U$20,7,false)</f>
        <v>0.5</v>
      </c>
      <c r="AA2206" s="960">
        <f t="array" ref="AA2206">HLOOKUP($J2206,'Type Chart'!$C$2:$T$20,8,false)*HLOOKUP($K2206,'Type Chart'!$C$2:$U$20,8,false)</f>
        <v>1</v>
      </c>
      <c r="AB2206" s="960">
        <f t="array" ref="AB2206">HLOOKUP($J2206,'Type Chart'!$C$2:$T$20,9,false)*HLOOKUP($K2206,'Type Chart'!$C$2:$U$20,9,false)</f>
        <v>1</v>
      </c>
      <c r="AC2206" s="960">
        <f t="array" ref="AC2206">HLOOKUP($J2206,'Type Chart'!$C$2:$T$20,10,false)*HLOOKUP($K2206,'Type Chart'!$C$2:$U$20,10,false)</f>
        <v>1</v>
      </c>
      <c r="AD2206" s="960">
        <f t="array" ref="AD2206">HLOOKUP($J2206,'Type Chart'!$C$2:$T$20,11,false)*HLOOKUP($K2206,'Type Chart'!$C$2:$U$20,11,false)</f>
        <v>1</v>
      </c>
      <c r="AE2206" s="960">
        <f t="array" ref="AE2206">HLOOKUP($J2206,'Type Chart'!$C$2:$T$20,12,false)*HLOOKUP($K2206,'Type Chart'!$C$2:$U$20,12,false)</f>
        <v>2</v>
      </c>
      <c r="AF2206" s="960">
        <f t="array" ref="AF2206">HLOOKUP($J2206,'Type Chart'!$C$2:$T$20,13,false)*HLOOKUP($K2206,'Type Chart'!$C$2:$U$20,13,false)</f>
        <v>2</v>
      </c>
      <c r="AG2206" s="960">
        <f t="array" ref="AG2206">HLOOKUP($J2206,'Type Chart'!$C$2:$T$20,14,false)*HLOOKUP($K2206,'Type Chart'!$C$2:$U$20,14,false)</f>
        <v>0</v>
      </c>
      <c r="AH2206" s="960">
        <f t="array" ref="AH2206">HLOOKUP($J2206,'Type Chart'!$C$2:$T$20,15,false)*HLOOKUP($K2206,'Type Chart'!$C$2:$U$20,15,false)</f>
        <v>1</v>
      </c>
      <c r="AI2206" s="960">
        <f t="array" ref="AI2206">HLOOKUP($J2206,'Type Chart'!$C$2:$T$20,16,false)*HLOOKUP($K2206,'Type Chart'!$C$2:$U$20,16,false)</f>
        <v>2</v>
      </c>
      <c r="AJ2206" s="960">
        <f t="array" ref="AJ2206">HLOOKUP($J2206,'Type Chart'!$C$2:$T$20,17,false)*HLOOKUP($K2206,'Type Chart'!$C$2:$U$20,17,false)</f>
        <v>1</v>
      </c>
      <c r="AK2206" s="960">
        <f t="array" ref="AK2206">HLOOKUP($J2206,'Type Chart'!$C$2:$T$20,18,false)*HLOOKUP($K2206,'Type Chart'!$C$2:$U$20,18,false)</f>
        <v>1</v>
      </c>
      <c r="AL2206" s="960">
        <f t="array" ref="AL2206">HLOOKUP($J2206,'Type Chart'!$C$2:$T$20,19,false)*HLOOKUP($K2206,'Type Chart'!$C$2:$U$20,19,false)</f>
        <v>1</v>
      </c>
      <c r="AM2206" s="964" t="s">
        <v>1370</v>
      </c>
      <c r="AN2206" s="965" t="s">
        <v>3604</v>
      </c>
      <c r="AO2206" s="966" t="s">
        <v>1192</v>
      </c>
      <c r="AP2206" s="936"/>
      <c r="AQ2206" s="1245"/>
      <c r="AR2206" s="1245"/>
      <c r="AS2206" s="936"/>
    </row>
    <row r="2207" ht="15.75" customHeight="1">
      <c r="A2207" s="1099"/>
      <c r="B2207" s="948" t="s">
        <v>3605</v>
      </c>
      <c r="C2207" s="1197" t="s">
        <v>3606</v>
      </c>
      <c r="D2207" s="1197" t="s">
        <v>3606</v>
      </c>
      <c r="E2207" s="1147" t="s">
        <v>3606</v>
      </c>
      <c r="F2207" s="940"/>
      <c r="G2207" s="953"/>
      <c r="H2207" s="969"/>
      <c r="I2207" s="998" t="s">
        <v>5304</v>
      </c>
      <c r="J2207" s="1204" t="s">
        <v>80</v>
      </c>
      <c r="K2207" s="984" t="s">
        <v>216</v>
      </c>
      <c r="L2207" s="959">
        <v>100.0</v>
      </c>
      <c r="M2207" s="960">
        <v>125.0</v>
      </c>
      <c r="N2207" s="960">
        <v>100.0</v>
      </c>
      <c r="O2207" s="960">
        <v>55.0</v>
      </c>
      <c r="P2207" s="960">
        <v>85.0</v>
      </c>
      <c r="Q2207" s="960">
        <v>35.0</v>
      </c>
      <c r="R2207" s="960">
        <v>106.0</v>
      </c>
      <c r="S2207" s="960">
        <v>169.0</v>
      </c>
      <c r="T2207" s="960">
        <v>185.0</v>
      </c>
      <c r="U2207" s="960">
        <f t="array" ref="U2207">HLOOKUP($J2207,'Type Chart'!$C$2:$T$20,2,false)*HLOOKUP($K2207,'Type Chart'!$C$2:$U$20,2,false)</f>
        <v>1</v>
      </c>
      <c r="V2207" s="960">
        <f t="array" ref="V2207">HLOOKUP($J2207,'Type Chart'!$C$2:$T$20,3,false)*HLOOKUP($K2207,'Type Chart'!$C$2:$U$20,3,false)</f>
        <v>1</v>
      </c>
      <c r="W2207" s="960">
        <f t="array" ref="W2207">HLOOKUP($J2207,'Type Chart'!$C$2:$T$20,4,false)*HLOOKUP($K2207,'Type Chart'!$C$2:$U$20,4,false)</f>
        <v>1</v>
      </c>
      <c r="X2207" s="960">
        <f t="array" ref="X2207">HLOOKUP($J2207,'Type Chart'!$C$2:$T$20,5,false)*HLOOKUP($K2207,'Type Chart'!$C$2:$U$20,5,false)</f>
        <v>0.5</v>
      </c>
      <c r="Y2207" s="960">
        <f t="array" ref="Y2207">HLOOKUP($J2207,'Type Chart'!$C$2:$T$20,6,false)*HLOOKUP($K2207,'Type Chart'!$C$2:$U$20,6,false)</f>
        <v>1</v>
      </c>
      <c r="Z2207" s="960">
        <f t="array" ref="Z2207">HLOOKUP($J2207,'Type Chart'!$C$2:$T$20,7,false)*HLOOKUP($K2207,'Type Chart'!$C$2:$U$20,7,false)</f>
        <v>0.5</v>
      </c>
      <c r="AA2207" s="960">
        <f t="array" ref="AA2207">HLOOKUP($J2207,'Type Chart'!$C$2:$T$20,8,false)*HLOOKUP($K2207,'Type Chart'!$C$2:$U$20,8,false)</f>
        <v>1</v>
      </c>
      <c r="AB2207" s="960">
        <f t="array" ref="AB2207">HLOOKUP($J2207,'Type Chart'!$C$2:$T$20,9,false)*HLOOKUP($K2207,'Type Chart'!$C$2:$U$20,9,false)</f>
        <v>1</v>
      </c>
      <c r="AC2207" s="960">
        <f t="array" ref="AC2207">HLOOKUP($J2207,'Type Chart'!$C$2:$T$20,10,false)*HLOOKUP($K2207,'Type Chart'!$C$2:$U$20,10,false)</f>
        <v>1</v>
      </c>
      <c r="AD2207" s="960">
        <f t="array" ref="AD2207">HLOOKUP($J2207,'Type Chart'!$C$2:$T$20,11,false)*HLOOKUP($K2207,'Type Chart'!$C$2:$U$20,11,false)</f>
        <v>1</v>
      </c>
      <c r="AE2207" s="960">
        <f t="array" ref="AE2207">HLOOKUP($J2207,'Type Chart'!$C$2:$T$20,12,false)*HLOOKUP($K2207,'Type Chart'!$C$2:$U$20,12,false)</f>
        <v>2</v>
      </c>
      <c r="AF2207" s="960">
        <f t="array" ref="AF2207">HLOOKUP($J2207,'Type Chart'!$C$2:$T$20,13,false)*HLOOKUP($K2207,'Type Chart'!$C$2:$U$20,13,false)</f>
        <v>2</v>
      </c>
      <c r="AG2207" s="960">
        <f t="array" ref="AG2207">HLOOKUP($J2207,'Type Chart'!$C$2:$T$20,14,false)*HLOOKUP($K2207,'Type Chart'!$C$2:$U$20,14,false)</f>
        <v>0</v>
      </c>
      <c r="AH2207" s="960">
        <f t="array" ref="AH2207">HLOOKUP($J2207,'Type Chart'!$C$2:$T$20,15,false)*HLOOKUP($K2207,'Type Chart'!$C$2:$U$20,15,false)</f>
        <v>1</v>
      </c>
      <c r="AI2207" s="960">
        <f t="array" ref="AI2207">HLOOKUP($J2207,'Type Chart'!$C$2:$T$20,16,false)*HLOOKUP($K2207,'Type Chart'!$C$2:$U$20,16,false)</f>
        <v>2</v>
      </c>
      <c r="AJ2207" s="960">
        <f t="array" ref="AJ2207">HLOOKUP($J2207,'Type Chart'!$C$2:$T$20,17,false)*HLOOKUP($K2207,'Type Chart'!$C$2:$U$20,17,false)</f>
        <v>1</v>
      </c>
      <c r="AK2207" s="960">
        <f t="array" ref="AK2207">HLOOKUP($J2207,'Type Chart'!$C$2:$T$20,18,false)*HLOOKUP($K2207,'Type Chart'!$C$2:$U$20,18,false)</f>
        <v>1</v>
      </c>
      <c r="AL2207" s="960">
        <f t="array" ref="AL2207">HLOOKUP($J2207,'Type Chart'!$C$2:$T$20,19,false)*HLOOKUP($K2207,'Type Chart'!$C$2:$U$20,19,false)</f>
        <v>1</v>
      </c>
      <c r="AM2207" s="964" t="s">
        <v>1370</v>
      </c>
      <c r="AN2207" s="965" t="s">
        <v>3604</v>
      </c>
      <c r="AO2207" s="966" t="s">
        <v>1192</v>
      </c>
      <c r="AP2207" s="936"/>
      <c r="AQ2207" s="1245"/>
      <c r="AR2207" s="1245"/>
      <c r="AS2207" s="936"/>
    </row>
    <row r="2208" ht="15.75" customHeight="1">
      <c r="A2208" s="1099"/>
      <c r="B2208" s="948" t="s">
        <v>3607</v>
      </c>
      <c r="C2208" s="1197" t="s">
        <v>3608</v>
      </c>
      <c r="D2208" s="1197" t="s">
        <v>3608</v>
      </c>
      <c r="E2208" s="1147" t="s">
        <v>3608</v>
      </c>
      <c r="F2208" s="940"/>
      <c r="G2208" s="953"/>
      <c r="H2208" s="969"/>
      <c r="I2208" s="998" t="s">
        <v>5305</v>
      </c>
      <c r="J2208" s="1056" t="s">
        <v>81</v>
      </c>
      <c r="K2208" s="1180" t="s">
        <v>343</v>
      </c>
      <c r="L2208" s="959">
        <v>38.0</v>
      </c>
      <c r="M2208" s="960">
        <v>40.0</v>
      </c>
      <c r="N2208" s="960">
        <v>52.0</v>
      </c>
      <c r="O2208" s="960">
        <v>40.0</v>
      </c>
      <c r="P2208" s="960">
        <v>72.0</v>
      </c>
      <c r="Q2208" s="960">
        <v>27.0</v>
      </c>
      <c r="R2208" s="960">
        <v>90.0</v>
      </c>
      <c r="S2208" s="960">
        <v>153.0</v>
      </c>
      <c r="T2208" s="960">
        <v>168.0</v>
      </c>
      <c r="U2208" s="960">
        <f t="array" ref="U2208">HLOOKUP($J2208,'Type Chart'!$C$2:$T$20,2,false)*HLOOKUP($K2208,'Type Chart'!$C$2:$U$20,2,false)</f>
        <v>1</v>
      </c>
      <c r="V2208" s="960">
        <f t="array" ref="V2208">HLOOKUP($J2208,'Type Chart'!$C$2:$T$20,3,false)*HLOOKUP($K2208,'Type Chart'!$C$2:$U$20,3,false)</f>
        <v>0.5</v>
      </c>
      <c r="W2208" s="960">
        <f t="array" ref="W2208">HLOOKUP($J2208,'Type Chart'!$C$2:$T$20,4,false)*HLOOKUP($K2208,'Type Chart'!$C$2:$U$20,4,false)</f>
        <v>2</v>
      </c>
      <c r="X2208" s="960">
        <f t="array" ref="X2208">HLOOKUP($J2208,'Type Chart'!$C$2:$T$20,5,false)*HLOOKUP($K2208,'Type Chart'!$C$2:$U$20,5,false)</f>
        <v>1</v>
      </c>
      <c r="Y2208" s="960">
        <f t="array" ref="Y2208">HLOOKUP($J2208,'Type Chart'!$C$2:$T$20,6,false)*HLOOKUP($K2208,'Type Chart'!$C$2:$U$20,6,false)</f>
        <v>0.5</v>
      </c>
      <c r="Z2208" s="960">
        <f t="array" ref="Z2208">HLOOKUP($J2208,'Type Chart'!$C$2:$T$20,7,false)*HLOOKUP($K2208,'Type Chart'!$C$2:$U$20,7,false)</f>
        <v>2</v>
      </c>
      <c r="AA2208" s="960">
        <f t="array" ref="AA2208">HLOOKUP($J2208,'Type Chart'!$C$2:$T$20,8,false)*HLOOKUP($K2208,'Type Chart'!$C$2:$U$20,8,false)</f>
        <v>1</v>
      </c>
      <c r="AB2208" s="960">
        <f t="array" ref="AB2208">HLOOKUP($J2208,'Type Chart'!$C$2:$T$20,9,false)*HLOOKUP($K2208,'Type Chart'!$C$2:$U$20,9,false)</f>
        <v>1</v>
      </c>
      <c r="AC2208" s="960">
        <f t="array" ref="AC2208">HLOOKUP($J2208,'Type Chart'!$C$2:$T$20,10,false)*HLOOKUP($K2208,'Type Chart'!$C$2:$U$20,10,false)</f>
        <v>0.5</v>
      </c>
      <c r="AD2208" s="960">
        <f t="array" ref="AD2208">HLOOKUP($J2208,'Type Chart'!$C$2:$T$20,11,false)*HLOOKUP($K2208,'Type Chart'!$C$2:$U$20,11,false)</f>
        <v>1</v>
      </c>
      <c r="AE2208" s="960">
        <f t="array" ref="AE2208">HLOOKUP($J2208,'Type Chart'!$C$2:$T$20,12,false)*HLOOKUP($K2208,'Type Chart'!$C$2:$U$20,12,false)</f>
        <v>0.5</v>
      </c>
      <c r="AF2208" s="960">
        <f t="array" ref="AF2208">HLOOKUP($J2208,'Type Chart'!$C$2:$T$20,13,false)*HLOOKUP($K2208,'Type Chart'!$C$2:$U$20,13,false)</f>
        <v>1</v>
      </c>
      <c r="AG2208" s="960">
        <f t="array" ref="AG2208">HLOOKUP($J2208,'Type Chart'!$C$2:$T$20,14,false)*HLOOKUP($K2208,'Type Chart'!$C$2:$U$20,14,false)</f>
        <v>2</v>
      </c>
      <c r="AH2208" s="960">
        <f t="array" ref="AH2208">HLOOKUP($J2208,'Type Chart'!$C$2:$T$20,15,false)*HLOOKUP($K2208,'Type Chart'!$C$2:$U$20,15,false)</f>
        <v>1</v>
      </c>
      <c r="AI2208" s="960">
        <f t="array" ref="AI2208">HLOOKUP($J2208,'Type Chart'!$C$2:$T$20,16,false)*HLOOKUP($K2208,'Type Chart'!$C$2:$U$20,16,false)</f>
        <v>0.5</v>
      </c>
      <c r="AJ2208" s="960">
        <f t="array" ref="AJ2208">HLOOKUP($J2208,'Type Chart'!$C$2:$T$20,17,false)*HLOOKUP($K2208,'Type Chart'!$C$2:$U$20,17,false)</f>
        <v>1</v>
      </c>
      <c r="AK2208" s="960">
        <f t="array" ref="AK2208">HLOOKUP($J2208,'Type Chart'!$C$2:$T$20,18,false)*HLOOKUP($K2208,'Type Chart'!$C$2:$U$20,18,false)</f>
        <v>1</v>
      </c>
      <c r="AL2208" s="960">
        <f t="array" ref="AL2208">HLOOKUP($J2208,'Type Chart'!$C$2:$T$20,19,false)*HLOOKUP($K2208,'Type Chart'!$C$2:$U$20,19,false)</f>
        <v>1</v>
      </c>
      <c r="AM2208" s="1145" t="s">
        <v>3610</v>
      </c>
      <c r="AN2208" s="965"/>
      <c r="AO2208" s="1146" t="s">
        <v>1283</v>
      </c>
      <c r="AP2208" s="936"/>
      <c r="AQ2208" s="1245"/>
      <c r="AR2208" s="1245"/>
      <c r="AS2208" s="936"/>
    </row>
    <row r="2209" ht="15.75" customHeight="1">
      <c r="A2209" s="1099"/>
      <c r="B2209" s="948" t="s">
        <v>3611</v>
      </c>
      <c r="C2209" s="1197" t="s">
        <v>3612</v>
      </c>
      <c r="D2209" s="1197" t="s">
        <v>3612</v>
      </c>
      <c r="E2209" s="1147" t="s">
        <v>3612</v>
      </c>
      <c r="F2209" s="940"/>
      <c r="G2209" s="953"/>
      <c r="H2209" s="969"/>
      <c r="I2209" s="998" t="s">
        <v>5306</v>
      </c>
      <c r="J2209" s="1211" t="s">
        <v>81</v>
      </c>
      <c r="K2209" s="1225" t="s">
        <v>343</v>
      </c>
      <c r="L2209" s="1200">
        <v>68.0</v>
      </c>
      <c r="M2209" s="1201">
        <v>70.0</v>
      </c>
      <c r="N2209" s="1201">
        <v>92.0</v>
      </c>
      <c r="O2209" s="1201">
        <v>50.0</v>
      </c>
      <c r="P2209" s="1201">
        <v>132.0</v>
      </c>
      <c r="Q2209" s="1201">
        <v>42.0</v>
      </c>
      <c r="R2209" s="960">
        <v>120.0</v>
      </c>
      <c r="S2209" s="960">
        <v>183.0</v>
      </c>
      <c r="T2209" s="960">
        <v>201.0</v>
      </c>
      <c r="U2209" s="960">
        <f t="array" ref="U2209">HLOOKUP($J2209,'Type Chart'!$C$2:$T$20,2,false)*HLOOKUP($K2209,'Type Chart'!$C$2:$U$20,2,false)</f>
        <v>1</v>
      </c>
      <c r="V2209" s="960">
        <f t="array" ref="V2209">HLOOKUP($J2209,'Type Chart'!$C$2:$T$20,3,false)*HLOOKUP($K2209,'Type Chart'!$C$2:$U$20,3,false)</f>
        <v>0.5</v>
      </c>
      <c r="W2209" s="960">
        <f t="array" ref="W2209">HLOOKUP($J2209,'Type Chart'!$C$2:$T$20,4,false)*HLOOKUP($K2209,'Type Chart'!$C$2:$U$20,4,false)</f>
        <v>2</v>
      </c>
      <c r="X2209" s="960">
        <f t="array" ref="X2209">HLOOKUP($J2209,'Type Chart'!$C$2:$T$20,5,false)*HLOOKUP($K2209,'Type Chart'!$C$2:$U$20,5,false)</f>
        <v>1</v>
      </c>
      <c r="Y2209" s="960">
        <f t="array" ref="Y2209">HLOOKUP($J2209,'Type Chart'!$C$2:$T$20,6,false)*HLOOKUP($K2209,'Type Chart'!$C$2:$U$20,6,false)</f>
        <v>0.5</v>
      </c>
      <c r="Z2209" s="960">
        <f t="array" ref="Z2209">HLOOKUP($J2209,'Type Chart'!$C$2:$T$20,7,false)*HLOOKUP($K2209,'Type Chart'!$C$2:$U$20,7,false)</f>
        <v>2</v>
      </c>
      <c r="AA2209" s="960">
        <f t="array" ref="AA2209">HLOOKUP($J2209,'Type Chart'!$C$2:$T$20,8,false)*HLOOKUP($K2209,'Type Chart'!$C$2:$U$20,8,false)</f>
        <v>1</v>
      </c>
      <c r="AB2209" s="960">
        <f t="array" ref="AB2209">HLOOKUP($J2209,'Type Chart'!$C$2:$T$20,9,false)*HLOOKUP($K2209,'Type Chart'!$C$2:$U$20,9,false)</f>
        <v>1</v>
      </c>
      <c r="AC2209" s="960">
        <f t="array" ref="AC2209">HLOOKUP($J2209,'Type Chart'!$C$2:$T$20,10,false)*HLOOKUP($K2209,'Type Chart'!$C$2:$U$20,10,false)</f>
        <v>0.5</v>
      </c>
      <c r="AD2209" s="960">
        <f t="array" ref="AD2209">HLOOKUP($J2209,'Type Chart'!$C$2:$T$20,11,false)*HLOOKUP($K2209,'Type Chart'!$C$2:$U$20,11,false)</f>
        <v>1</v>
      </c>
      <c r="AE2209" s="960">
        <f t="array" ref="AE2209">HLOOKUP($J2209,'Type Chart'!$C$2:$T$20,12,false)*HLOOKUP($K2209,'Type Chart'!$C$2:$U$20,12,false)</f>
        <v>0.5</v>
      </c>
      <c r="AF2209" s="960">
        <f t="array" ref="AF2209">HLOOKUP($J2209,'Type Chart'!$C$2:$T$20,13,false)*HLOOKUP($K2209,'Type Chart'!$C$2:$U$20,13,false)</f>
        <v>1</v>
      </c>
      <c r="AG2209" s="960">
        <f t="array" ref="AG2209">HLOOKUP($J2209,'Type Chart'!$C$2:$T$20,14,false)*HLOOKUP($K2209,'Type Chart'!$C$2:$U$20,14,false)</f>
        <v>2</v>
      </c>
      <c r="AH2209" s="960">
        <f t="array" ref="AH2209">HLOOKUP($J2209,'Type Chart'!$C$2:$T$20,15,false)*HLOOKUP($K2209,'Type Chart'!$C$2:$U$20,15,false)</f>
        <v>1</v>
      </c>
      <c r="AI2209" s="960">
        <f t="array" ref="AI2209">HLOOKUP($J2209,'Type Chart'!$C$2:$T$20,16,false)*HLOOKUP($K2209,'Type Chart'!$C$2:$U$20,16,false)</f>
        <v>0.5</v>
      </c>
      <c r="AJ2209" s="960">
        <f t="array" ref="AJ2209">HLOOKUP($J2209,'Type Chart'!$C$2:$T$20,17,false)*HLOOKUP($K2209,'Type Chart'!$C$2:$U$20,17,false)</f>
        <v>1</v>
      </c>
      <c r="AK2209" s="960">
        <f t="array" ref="AK2209">HLOOKUP($J2209,'Type Chart'!$C$2:$T$20,18,false)*HLOOKUP($K2209,'Type Chart'!$C$2:$U$20,18,false)</f>
        <v>1</v>
      </c>
      <c r="AL2209" s="960">
        <f t="array" ref="AL2209">HLOOKUP($J2209,'Type Chart'!$C$2:$T$20,19,false)*HLOOKUP($K2209,'Type Chart'!$C$2:$U$20,19,false)</f>
        <v>1</v>
      </c>
      <c r="AM2209" s="1145" t="s">
        <v>3610</v>
      </c>
      <c r="AN2209" s="1202"/>
      <c r="AO2209" s="1146" t="s">
        <v>1283</v>
      </c>
      <c r="AP2209" s="936"/>
      <c r="AQ2209" s="1245"/>
      <c r="AR2209" s="1245"/>
      <c r="AS2209" s="936"/>
    </row>
    <row r="2210" ht="15.75" customHeight="1">
      <c r="A2210" s="1099"/>
      <c r="B2210" s="948" t="s">
        <v>3613</v>
      </c>
      <c r="C2210" s="1197" t="s">
        <v>3614</v>
      </c>
      <c r="D2210" s="1197" t="s">
        <v>3614</v>
      </c>
      <c r="E2210" s="1147" t="s">
        <v>3614</v>
      </c>
      <c r="F2210" s="940"/>
      <c r="G2210" s="953"/>
      <c r="H2210" s="969"/>
      <c r="I2210" s="998" t="s">
        <v>5307</v>
      </c>
      <c r="J2210" s="957" t="s">
        <v>209</v>
      </c>
      <c r="K2210" s="984" t="s">
        <v>216</v>
      </c>
      <c r="L2210" s="959">
        <v>40.0</v>
      </c>
      <c r="M2210" s="960">
        <v>55.0</v>
      </c>
      <c r="N2210" s="960">
        <v>35.0</v>
      </c>
      <c r="O2210" s="960">
        <v>50.0</v>
      </c>
      <c r="P2210" s="960">
        <v>35.0</v>
      </c>
      <c r="Q2210" s="960">
        <v>35.0</v>
      </c>
      <c r="R2210" s="960">
        <v>106.0</v>
      </c>
      <c r="S2210" s="960">
        <v>169.0</v>
      </c>
      <c r="T2210" s="960">
        <v>185.0</v>
      </c>
      <c r="U2210" s="960">
        <f t="array" ref="U2210">HLOOKUP($J2210,'Type Chart'!$C$2:$T$20,2,false)*HLOOKUP($K2210,'Type Chart'!$C$2:$U$20,2,false)</f>
        <v>1</v>
      </c>
      <c r="V2210" s="960">
        <f t="array" ref="V2210">HLOOKUP($J2210,'Type Chart'!$C$2:$T$20,3,false)*HLOOKUP($K2210,'Type Chart'!$C$2:$U$20,3,false)</f>
        <v>1</v>
      </c>
      <c r="W2210" s="960">
        <f t="array" ref="W2210">HLOOKUP($J2210,'Type Chart'!$C$2:$T$20,4,false)*HLOOKUP($K2210,'Type Chart'!$C$2:$U$20,4,false)</f>
        <v>2</v>
      </c>
      <c r="X2210" s="960">
        <f t="array" ref="X2210">HLOOKUP($J2210,'Type Chart'!$C$2:$T$20,5,false)*HLOOKUP($K2210,'Type Chart'!$C$2:$U$20,5,false)</f>
        <v>2</v>
      </c>
      <c r="Y2210" s="960">
        <f t="array" ref="Y2210">HLOOKUP($J2210,'Type Chart'!$C$2:$T$20,6,false)*HLOOKUP($K2210,'Type Chart'!$C$2:$U$20,6,false)</f>
        <v>0.5</v>
      </c>
      <c r="Z2210" s="960">
        <f t="array" ref="Z2210">HLOOKUP($J2210,'Type Chart'!$C$2:$T$20,7,false)*HLOOKUP($K2210,'Type Chart'!$C$2:$U$20,7,false)</f>
        <v>1</v>
      </c>
      <c r="AA2210" s="960">
        <f t="array" ref="AA2210">HLOOKUP($J2210,'Type Chart'!$C$2:$T$20,8,false)*HLOOKUP($K2210,'Type Chart'!$C$2:$U$20,8,false)</f>
        <v>2</v>
      </c>
      <c r="AB2210" s="960">
        <f t="array" ref="AB2210">HLOOKUP($J2210,'Type Chart'!$C$2:$T$20,9,false)*HLOOKUP($K2210,'Type Chart'!$C$2:$U$20,9,false)</f>
        <v>1</v>
      </c>
      <c r="AC2210" s="960">
        <f t="array" ref="AC2210">HLOOKUP($J2210,'Type Chart'!$C$2:$T$20,10,false)*HLOOKUP($K2210,'Type Chart'!$C$2:$U$20,10,false)</f>
        <v>1</v>
      </c>
      <c r="AD2210" s="960">
        <f t="array" ref="AD2210">HLOOKUP($J2210,'Type Chart'!$C$2:$T$20,11,false)*HLOOKUP($K2210,'Type Chart'!$C$2:$U$20,11,false)</f>
        <v>2</v>
      </c>
      <c r="AE2210" s="960">
        <f t="array" ref="AE2210">HLOOKUP($J2210,'Type Chart'!$C$2:$T$20,12,false)*HLOOKUP($K2210,'Type Chart'!$C$2:$U$20,12,false)</f>
        <v>0.5</v>
      </c>
      <c r="AF2210" s="960">
        <f t="array" ref="AF2210">HLOOKUP($J2210,'Type Chart'!$C$2:$T$20,13,false)*HLOOKUP($K2210,'Type Chart'!$C$2:$U$20,13,false)</f>
        <v>0.5</v>
      </c>
      <c r="AG2210" s="960">
        <f t="array" ref="AG2210">HLOOKUP($J2210,'Type Chart'!$C$2:$T$20,14,false)*HLOOKUP($K2210,'Type Chart'!$C$2:$U$20,14,false)</f>
        <v>0.5</v>
      </c>
      <c r="AH2210" s="960">
        <f t="array" ref="AH2210">HLOOKUP($J2210,'Type Chart'!$C$2:$T$20,15,false)*HLOOKUP($K2210,'Type Chart'!$C$2:$U$20,15,false)</f>
        <v>1</v>
      </c>
      <c r="AI2210" s="960">
        <f t="array" ref="AI2210">HLOOKUP($J2210,'Type Chart'!$C$2:$T$20,16,false)*HLOOKUP($K2210,'Type Chart'!$C$2:$U$20,16,false)</f>
        <v>2</v>
      </c>
      <c r="AJ2210" s="960">
        <f t="array" ref="AJ2210">HLOOKUP($J2210,'Type Chart'!$C$2:$T$20,17,false)*HLOOKUP($K2210,'Type Chart'!$C$2:$U$20,17,false)</f>
        <v>1</v>
      </c>
      <c r="AK2210" s="960">
        <f t="array" ref="AK2210">HLOOKUP($J2210,'Type Chart'!$C$2:$T$20,18,false)*HLOOKUP($K2210,'Type Chart'!$C$2:$U$20,18,false)</f>
        <v>1</v>
      </c>
      <c r="AL2210" s="960">
        <f t="array" ref="AL2210">HLOOKUP($J2210,'Type Chart'!$C$2:$T$20,19,false)*HLOOKUP($K2210,'Type Chart'!$C$2:$U$20,19,false)</f>
        <v>1</v>
      </c>
      <c r="AM2210" s="964" t="s">
        <v>1526</v>
      </c>
      <c r="AN2210" s="965"/>
      <c r="AO2210" s="966" t="s">
        <v>1861</v>
      </c>
      <c r="AP2210" s="936"/>
      <c r="AQ2210" s="1245"/>
      <c r="AR2210" s="1245"/>
      <c r="AS2210" s="936"/>
    </row>
    <row r="2211" ht="15.75" customHeight="1">
      <c r="A2211" s="1099"/>
      <c r="B2211" s="948" t="s">
        <v>3616</v>
      </c>
      <c r="C2211" s="1197" t="s">
        <v>3617</v>
      </c>
      <c r="D2211" s="1197" t="s">
        <v>3617</v>
      </c>
      <c r="E2211" s="1147" t="s">
        <v>3617</v>
      </c>
      <c r="F2211" s="940"/>
      <c r="G2211" s="953"/>
      <c r="H2211" s="969"/>
      <c r="I2211" s="998" t="s">
        <v>5308</v>
      </c>
      <c r="J2211" s="957" t="s">
        <v>209</v>
      </c>
      <c r="K2211" s="984" t="s">
        <v>216</v>
      </c>
      <c r="L2211" s="959">
        <v>70.0</v>
      </c>
      <c r="M2211" s="960">
        <v>105.0</v>
      </c>
      <c r="N2211" s="960">
        <v>90.0</v>
      </c>
      <c r="O2211" s="960">
        <v>80.0</v>
      </c>
      <c r="P2211" s="960">
        <v>90.0</v>
      </c>
      <c r="Q2211" s="960">
        <v>45.0</v>
      </c>
      <c r="R2211" s="960">
        <v>126.0</v>
      </c>
      <c r="S2211" s="960">
        <v>189.0</v>
      </c>
      <c r="T2211" s="960">
        <v>207.0</v>
      </c>
      <c r="U2211" s="960">
        <f t="array" ref="U2211">HLOOKUP($J2211,'Type Chart'!$C$2:$T$20,2,false)*HLOOKUP($K2211,'Type Chart'!$C$2:$U$20,2,false)</f>
        <v>1</v>
      </c>
      <c r="V2211" s="960">
        <f t="array" ref="V2211">HLOOKUP($J2211,'Type Chart'!$C$2:$T$20,3,false)*HLOOKUP($K2211,'Type Chart'!$C$2:$U$20,3,false)</f>
        <v>1</v>
      </c>
      <c r="W2211" s="960">
        <f t="array" ref="W2211">HLOOKUP($J2211,'Type Chart'!$C$2:$T$20,4,false)*HLOOKUP($K2211,'Type Chart'!$C$2:$U$20,4,false)</f>
        <v>2</v>
      </c>
      <c r="X2211" s="960">
        <f t="array" ref="X2211">HLOOKUP($J2211,'Type Chart'!$C$2:$T$20,5,false)*HLOOKUP($K2211,'Type Chart'!$C$2:$U$20,5,false)</f>
        <v>2</v>
      </c>
      <c r="Y2211" s="960">
        <f t="array" ref="Y2211">HLOOKUP($J2211,'Type Chart'!$C$2:$T$20,6,false)*HLOOKUP($K2211,'Type Chart'!$C$2:$U$20,6,false)</f>
        <v>0.5</v>
      </c>
      <c r="Z2211" s="960">
        <f t="array" ref="Z2211">HLOOKUP($J2211,'Type Chart'!$C$2:$T$20,7,false)*HLOOKUP($K2211,'Type Chart'!$C$2:$U$20,7,false)</f>
        <v>1</v>
      </c>
      <c r="AA2211" s="960">
        <f t="array" ref="AA2211">HLOOKUP($J2211,'Type Chart'!$C$2:$T$20,8,false)*HLOOKUP($K2211,'Type Chart'!$C$2:$U$20,8,false)</f>
        <v>2</v>
      </c>
      <c r="AB2211" s="960">
        <f t="array" ref="AB2211">HLOOKUP($J2211,'Type Chart'!$C$2:$T$20,9,false)*HLOOKUP($K2211,'Type Chart'!$C$2:$U$20,9,false)</f>
        <v>1</v>
      </c>
      <c r="AC2211" s="960">
        <f t="array" ref="AC2211">HLOOKUP($J2211,'Type Chart'!$C$2:$T$20,10,false)*HLOOKUP($K2211,'Type Chart'!$C$2:$U$20,10,false)</f>
        <v>1</v>
      </c>
      <c r="AD2211" s="960">
        <f t="array" ref="AD2211">HLOOKUP($J2211,'Type Chart'!$C$2:$T$20,11,false)*HLOOKUP($K2211,'Type Chart'!$C$2:$U$20,11,false)</f>
        <v>2</v>
      </c>
      <c r="AE2211" s="960">
        <f t="array" ref="AE2211">HLOOKUP($J2211,'Type Chart'!$C$2:$T$20,12,false)*HLOOKUP($K2211,'Type Chart'!$C$2:$U$20,12,false)</f>
        <v>0.5</v>
      </c>
      <c r="AF2211" s="960">
        <f t="array" ref="AF2211">HLOOKUP($J2211,'Type Chart'!$C$2:$T$20,13,false)*HLOOKUP($K2211,'Type Chart'!$C$2:$U$20,13,false)</f>
        <v>0.5</v>
      </c>
      <c r="AG2211" s="960">
        <f t="array" ref="AG2211">HLOOKUP($J2211,'Type Chart'!$C$2:$T$20,14,false)*HLOOKUP($K2211,'Type Chart'!$C$2:$U$20,14,false)</f>
        <v>0.5</v>
      </c>
      <c r="AH2211" s="960">
        <f t="array" ref="AH2211">HLOOKUP($J2211,'Type Chart'!$C$2:$T$20,15,false)*HLOOKUP($K2211,'Type Chart'!$C$2:$U$20,15,false)</f>
        <v>1</v>
      </c>
      <c r="AI2211" s="960">
        <f t="array" ref="AI2211">HLOOKUP($J2211,'Type Chart'!$C$2:$T$20,16,false)*HLOOKUP($K2211,'Type Chart'!$C$2:$U$20,16,false)</f>
        <v>2</v>
      </c>
      <c r="AJ2211" s="960">
        <f t="array" ref="AJ2211">HLOOKUP($J2211,'Type Chart'!$C$2:$T$20,17,false)*HLOOKUP($K2211,'Type Chart'!$C$2:$U$20,17,false)</f>
        <v>1</v>
      </c>
      <c r="AK2211" s="960">
        <f t="array" ref="AK2211">HLOOKUP($J2211,'Type Chart'!$C$2:$T$20,18,false)*HLOOKUP($K2211,'Type Chart'!$C$2:$U$20,18,false)</f>
        <v>1</v>
      </c>
      <c r="AL2211" s="960">
        <f t="array" ref="AL2211">HLOOKUP($J2211,'Type Chart'!$C$2:$T$20,19,false)*HLOOKUP($K2211,'Type Chart'!$C$2:$U$20,19,false)</f>
        <v>1</v>
      </c>
      <c r="AM2211" s="964" t="s">
        <v>1526</v>
      </c>
      <c r="AN2211" s="965"/>
      <c r="AO2211" s="966" t="s">
        <v>1861</v>
      </c>
      <c r="AP2211" s="936"/>
      <c r="AQ2211" s="1245"/>
      <c r="AR2211" s="1245"/>
      <c r="AS2211" s="936"/>
    </row>
    <row r="2212" ht="15.75" customHeight="1">
      <c r="A2212" s="1099"/>
      <c r="B2212" s="948" t="s">
        <v>3618</v>
      </c>
      <c r="C2212" s="1197" t="s">
        <v>3619</v>
      </c>
      <c r="D2212" s="1197" t="s">
        <v>3619</v>
      </c>
      <c r="E2212" s="1147" t="s">
        <v>3619</v>
      </c>
      <c r="F2212" s="940"/>
      <c r="G2212" s="953"/>
      <c r="H2212" s="969"/>
      <c r="I2212" s="998" t="s">
        <v>5309</v>
      </c>
      <c r="J2212" s="1228" t="s">
        <v>209</v>
      </c>
      <c r="K2212" s="1234" t="s">
        <v>127</v>
      </c>
      <c r="L2212" s="1200">
        <v>40.0</v>
      </c>
      <c r="M2212" s="1201">
        <v>35.0</v>
      </c>
      <c r="N2212" s="1201">
        <v>55.0</v>
      </c>
      <c r="O2212" s="1201">
        <v>65.0</v>
      </c>
      <c r="P2212" s="1201">
        <v>75.0</v>
      </c>
      <c r="Q2212" s="1201">
        <v>15.0</v>
      </c>
      <c r="R2212" s="960">
        <v>66.0</v>
      </c>
      <c r="S2212" s="960">
        <v>129.0</v>
      </c>
      <c r="T2212" s="960">
        <v>141.0</v>
      </c>
      <c r="U2212" s="960">
        <f t="array" ref="U2212">HLOOKUP($J2212,'Type Chart'!$C$2:$T$20,2,false)*HLOOKUP($K2212,'Type Chart'!$C$2:$U$20,2,false)</f>
        <v>1</v>
      </c>
      <c r="V2212" s="960">
        <f t="array" ref="V2212">HLOOKUP($J2212,'Type Chart'!$C$2:$T$20,3,false)*HLOOKUP($K2212,'Type Chart'!$C$2:$U$20,3,false)</f>
        <v>0.5</v>
      </c>
      <c r="W2212" s="960">
        <f t="array" ref="W2212">HLOOKUP($J2212,'Type Chart'!$C$2:$T$20,4,false)*HLOOKUP($K2212,'Type Chart'!$C$2:$U$20,4,false)</f>
        <v>2</v>
      </c>
      <c r="X2212" s="960">
        <f t="array" ref="X2212">HLOOKUP($J2212,'Type Chart'!$C$2:$T$20,5,false)*HLOOKUP($K2212,'Type Chart'!$C$2:$U$20,5,false)</f>
        <v>4</v>
      </c>
      <c r="Y2212" s="960">
        <f t="array" ref="Y2212">HLOOKUP($J2212,'Type Chart'!$C$2:$T$20,6,false)*HLOOKUP($K2212,'Type Chart'!$C$2:$U$20,6,false)</f>
        <v>0.5</v>
      </c>
      <c r="Z2212" s="960">
        <f t="array" ref="Z2212">HLOOKUP($J2212,'Type Chart'!$C$2:$T$20,7,false)*HLOOKUP($K2212,'Type Chart'!$C$2:$U$20,7,false)</f>
        <v>1</v>
      </c>
      <c r="AA2212" s="960">
        <f t="array" ref="AA2212">HLOOKUP($J2212,'Type Chart'!$C$2:$T$20,8,false)*HLOOKUP($K2212,'Type Chart'!$C$2:$U$20,8,false)</f>
        <v>1</v>
      </c>
      <c r="AB2212" s="960">
        <f t="array" ref="AB2212">HLOOKUP($J2212,'Type Chart'!$C$2:$T$20,9,false)*HLOOKUP($K2212,'Type Chart'!$C$2:$U$20,9,false)</f>
        <v>1</v>
      </c>
      <c r="AC2212" s="960">
        <f t="array" ref="AC2212">HLOOKUP($J2212,'Type Chart'!$C$2:$T$20,10,false)*HLOOKUP($K2212,'Type Chart'!$C$2:$U$20,10,false)</f>
        <v>2</v>
      </c>
      <c r="AD2212" s="960">
        <f t="array" ref="AD2212">HLOOKUP($J2212,'Type Chart'!$C$2:$T$20,11,false)*HLOOKUP($K2212,'Type Chart'!$C$2:$U$20,11,false)</f>
        <v>2</v>
      </c>
      <c r="AE2212" s="960">
        <f t="array" ref="AE2212">HLOOKUP($J2212,'Type Chart'!$C$2:$T$20,12,false)*HLOOKUP($K2212,'Type Chart'!$C$2:$U$20,12,false)</f>
        <v>0.5</v>
      </c>
      <c r="AF2212" s="960">
        <f t="array" ref="AF2212">HLOOKUP($J2212,'Type Chart'!$C$2:$T$20,13,false)*HLOOKUP($K2212,'Type Chart'!$C$2:$U$20,13,false)</f>
        <v>0.5</v>
      </c>
      <c r="AG2212" s="960">
        <f t="array" ref="AG2212">HLOOKUP($J2212,'Type Chart'!$C$2:$T$20,14,false)*HLOOKUP($K2212,'Type Chart'!$C$2:$U$20,14,false)</f>
        <v>0.5</v>
      </c>
      <c r="AH2212" s="960">
        <f t="array" ref="AH2212">HLOOKUP($J2212,'Type Chart'!$C$2:$T$20,15,false)*HLOOKUP($K2212,'Type Chart'!$C$2:$U$20,15,false)</f>
        <v>1</v>
      </c>
      <c r="AI2212" s="960">
        <f t="array" ref="AI2212">HLOOKUP($J2212,'Type Chart'!$C$2:$T$20,16,false)*HLOOKUP($K2212,'Type Chart'!$C$2:$U$20,16,false)</f>
        <v>2</v>
      </c>
      <c r="AJ2212" s="960">
        <f t="array" ref="AJ2212">HLOOKUP($J2212,'Type Chart'!$C$2:$T$20,17,false)*HLOOKUP($K2212,'Type Chart'!$C$2:$U$20,17,false)</f>
        <v>0</v>
      </c>
      <c r="AK2212" s="960">
        <f t="array" ref="AK2212">HLOOKUP($J2212,'Type Chart'!$C$2:$T$20,18,false)*HLOOKUP($K2212,'Type Chart'!$C$2:$U$20,18,false)</f>
        <v>0.5</v>
      </c>
      <c r="AL2212" s="960">
        <f t="array" ref="AL2212">HLOOKUP($J2212,'Type Chart'!$C$2:$T$20,19,false)*HLOOKUP($K2212,'Type Chart'!$C$2:$U$20,19,false)</f>
        <v>1</v>
      </c>
      <c r="AM2212" s="1145" t="s">
        <v>1549</v>
      </c>
      <c r="AN2212" s="965" t="s">
        <v>1206</v>
      </c>
      <c r="AO2212" s="966" t="s">
        <v>960</v>
      </c>
      <c r="AP2212" s="936"/>
      <c r="AQ2212" s="1245"/>
      <c r="AR2212" s="1245"/>
      <c r="AS2212" s="936"/>
    </row>
    <row r="2213" ht="15.75" customHeight="1">
      <c r="A2213" s="1099"/>
      <c r="B2213" s="948" t="s">
        <v>3621</v>
      </c>
      <c r="C2213" s="1197" t="s">
        <v>3622</v>
      </c>
      <c r="D2213" s="1197" t="s">
        <v>3622</v>
      </c>
      <c r="E2213" s="1147" t="s">
        <v>3622</v>
      </c>
      <c r="F2213" s="940"/>
      <c r="G2213" s="953"/>
      <c r="H2213" s="969"/>
      <c r="I2213" s="998" t="s">
        <v>5310</v>
      </c>
      <c r="J2213" s="957" t="s">
        <v>209</v>
      </c>
      <c r="K2213" s="1207" t="s">
        <v>127</v>
      </c>
      <c r="L2213" s="959">
        <v>60.0</v>
      </c>
      <c r="M2213" s="960">
        <v>45.0</v>
      </c>
      <c r="N2213" s="960">
        <v>80.0</v>
      </c>
      <c r="O2213" s="960">
        <v>90.0</v>
      </c>
      <c r="P2213" s="960">
        <v>100.0</v>
      </c>
      <c r="Q2213" s="960">
        <v>30.0</v>
      </c>
      <c r="R2213" s="960">
        <v>96.0</v>
      </c>
      <c r="S2213" s="960">
        <v>159.0</v>
      </c>
      <c r="T2213" s="960">
        <v>174.0</v>
      </c>
      <c r="U2213" s="960">
        <f t="array" ref="U2213">HLOOKUP($J2213,'Type Chart'!$C$2:$T$20,2,false)*HLOOKUP($K2213,'Type Chart'!$C$2:$U$20,2,false)</f>
        <v>1</v>
      </c>
      <c r="V2213" s="960">
        <f t="array" ref="V2213">HLOOKUP($J2213,'Type Chart'!$C$2:$T$20,3,false)*HLOOKUP($K2213,'Type Chart'!$C$2:$U$20,3,false)</f>
        <v>0.5</v>
      </c>
      <c r="W2213" s="960">
        <f t="array" ref="W2213">HLOOKUP($J2213,'Type Chart'!$C$2:$T$20,4,false)*HLOOKUP($K2213,'Type Chart'!$C$2:$U$20,4,false)</f>
        <v>2</v>
      </c>
      <c r="X2213" s="960">
        <f t="array" ref="X2213">HLOOKUP($J2213,'Type Chart'!$C$2:$T$20,5,false)*HLOOKUP($K2213,'Type Chart'!$C$2:$U$20,5,false)</f>
        <v>4</v>
      </c>
      <c r="Y2213" s="960">
        <f t="array" ref="Y2213">HLOOKUP($J2213,'Type Chart'!$C$2:$T$20,6,false)*HLOOKUP($K2213,'Type Chart'!$C$2:$U$20,6,false)</f>
        <v>0.5</v>
      </c>
      <c r="Z2213" s="960">
        <f t="array" ref="Z2213">HLOOKUP($J2213,'Type Chart'!$C$2:$T$20,7,false)*HLOOKUP($K2213,'Type Chart'!$C$2:$U$20,7,false)</f>
        <v>1</v>
      </c>
      <c r="AA2213" s="960">
        <f t="array" ref="AA2213">HLOOKUP($J2213,'Type Chart'!$C$2:$T$20,8,false)*HLOOKUP($K2213,'Type Chart'!$C$2:$U$20,8,false)</f>
        <v>1</v>
      </c>
      <c r="AB2213" s="960">
        <f t="array" ref="AB2213">HLOOKUP($J2213,'Type Chart'!$C$2:$T$20,9,false)*HLOOKUP($K2213,'Type Chart'!$C$2:$U$20,9,false)</f>
        <v>1</v>
      </c>
      <c r="AC2213" s="960">
        <f t="array" ref="AC2213">HLOOKUP($J2213,'Type Chart'!$C$2:$T$20,10,false)*HLOOKUP($K2213,'Type Chart'!$C$2:$U$20,10,false)</f>
        <v>2</v>
      </c>
      <c r="AD2213" s="960">
        <f t="array" ref="AD2213">HLOOKUP($J2213,'Type Chart'!$C$2:$T$20,11,false)*HLOOKUP($K2213,'Type Chart'!$C$2:$U$20,11,false)</f>
        <v>2</v>
      </c>
      <c r="AE2213" s="960">
        <f t="array" ref="AE2213">HLOOKUP($J2213,'Type Chart'!$C$2:$T$20,12,false)*HLOOKUP($K2213,'Type Chart'!$C$2:$U$20,12,false)</f>
        <v>0.5</v>
      </c>
      <c r="AF2213" s="960">
        <f t="array" ref="AF2213">HLOOKUP($J2213,'Type Chart'!$C$2:$T$20,13,false)*HLOOKUP($K2213,'Type Chart'!$C$2:$U$20,13,false)</f>
        <v>0.5</v>
      </c>
      <c r="AG2213" s="960">
        <f t="array" ref="AG2213">HLOOKUP($J2213,'Type Chart'!$C$2:$T$20,14,false)*HLOOKUP($K2213,'Type Chart'!$C$2:$U$20,14,false)</f>
        <v>0.5</v>
      </c>
      <c r="AH2213" s="960">
        <f t="array" ref="AH2213">HLOOKUP($J2213,'Type Chart'!$C$2:$T$20,15,false)*HLOOKUP($K2213,'Type Chart'!$C$2:$U$20,15,false)</f>
        <v>1</v>
      </c>
      <c r="AI2213" s="960">
        <f t="array" ref="AI2213">HLOOKUP($J2213,'Type Chart'!$C$2:$T$20,16,false)*HLOOKUP($K2213,'Type Chart'!$C$2:$U$20,16,false)</f>
        <v>2</v>
      </c>
      <c r="AJ2213" s="960">
        <f t="array" ref="AJ2213">HLOOKUP($J2213,'Type Chart'!$C$2:$T$20,17,false)*HLOOKUP($K2213,'Type Chart'!$C$2:$U$20,17,false)</f>
        <v>0</v>
      </c>
      <c r="AK2213" s="960">
        <f t="array" ref="AK2213">HLOOKUP($J2213,'Type Chart'!$C$2:$T$20,18,false)*HLOOKUP($K2213,'Type Chart'!$C$2:$U$20,18,false)</f>
        <v>0.5</v>
      </c>
      <c r="AL2213" s="960">
        <f t="array" ref="AL2213">HLOOKUP($J2213,'Type Chart'!$C$2:$T$20,19,false)*HLOOKUP($K2213,'Type Chart'!$C$2:$U$20,19,false)</f>
        <v>1</v>
      </c>
      <c r="AM2213" s="964" t="s">
        <v>1549</v>
      </c>
      <c r="AN2213" s="965" t="s">
        <v>1206</v>
      </c>
      <c r="AO2213" s="966" t="s">
        <v>960</v>
      </c>
      <c r="AP2213" s="936"/>
      <c r="AQ2213" s="1245"/>
      <c r="AR2213" s="1245"/>
      <c r="AS2213" s="936"/>
    </row>
    <row r="2214" ht="15.75" customHeight="1">
      <c r="A2214" s="1099"/>
      <c r="B2214" s="948" t="s">
        <v>3624</v>
      </c>
      <c r="C2214" s="1197" t="s">
        <v>3625</v>
      </c>
      <c r="D2214" s="1197" t="s">
        <v>3625</v>
      </c>
      <c r="E2214" s="1147" t="s">
        <v>3625</v>
      </c>
      <c r="F2214" s="940"/>
      <c r="G2214" s="953"/>
      <c r="H2214" s="969"/>
      <c r="I2214" s="998" t="s">
        <v>5311</v>
      </c>
      <c r="J2214" s="958" t="s">
        <v>178</v>
      </c>
      <c r="K2214" s="982" t="s">
        <v>150</v>
      </c>
      <c r="L2214" s="959">
        <v>48.0</v>
      </c>
      <c r="M2214" s="960">
        <v>44.0</v>
      </c>
      <c r="N2214" s="960">
        <v>40.0</v>
      </c>
      <c r="O2214" s="960">
        <v>71.0</v>
      </c>
      <c r="P2214" s="960">
        <v>40.0</v>
      </c>
      <c r="Q2214" s="960">
        <v>77.0</v>
      </c>
      <c r="R2214" s="960">
        <v>190.0</v>
      </c>
      <c r="S2214" s="960">
        <v>253.0</v>
      </c>
      <c r="T2214" s="960">
        <v>278.0</v>
      </c>
      <c r="U2214" s="960">
        <f t="array" ref="U2214">HLOOKUP($J2214,'Type Chart'!$C$2:$T$20,2,false)*HLOOKUP($K2214,'Type Chart'!$C$2:$U$20,2,false)</f>
        <v>1</v>
      </c>
      <c r="V2214" s="960">
        <f t="array" ref="V2214">HLOOKUP($J2214,'Type Chart'!$C$2:$T$20,3,false)*HLOOKUP($K2214,'Type Chart'!$C$2:$U$20,3,false)</f>
        <v>0.5</v>
      </c>
      <c r="W2214" s="960">
        <f t="array" ref="W2214">HLOOKUP($J2214,'Type Chart'!$C$2:$T$20,4,false)*HLOOKUP($K2214,'Type Chart'!$C$2:$U$20,4,false)</f>
        <v>1</v>
      </c>
      <c r="X2214" s="960">
        <f t="array" ref="X2214">HLOOKUP($J2214,'Type Chart'!$C$2:$T$20,5,false)*HLOOKUP($K2214,'Type Chart'!$C$2:$U$20,5,false)</f>
        <v>0.5</v>
      </c>
      <c r="Y2214" s="960">
        <f t="array" ref="Y2214">HLOOKUP($J2214,'Type Chart'!$C$2:$T$20,6,false)*HLOOKUP($K2214,'Type Chart'!$C$2:$U$20,6,false)</f>
        <v>4</v>
      </c>
      <c r="Z2214" s="960">
        <f t="array" ref="Z2214">HLOOKUP($J2214,'Type Chart'!$C$2:$T$20,7,false)*HLOOKUP($K2214,'Type Chart'!$C$2:$U$20,7,false)</f>
        <v>2</v>
      </c>
      <c r="AA2214" s="960">
        <f t="array" ref="AA2214">HLOOKUP($J2214,'Type Chart'!$C$2:$T$20,8,false)*HLOOKUP($K2214,'Type Chart'!$C$2:$U$20,8,false)</f>
        <v>0.25</v>
      </c>
      <c r="AB2214" s="960">
        <f t="array" ref="AB2214">HLOOKUP($J2214,'Type Chart'!$C$2:$T$20,9,false)*HLOOKUP($K2214,'Type Chart'!$C$2:$U$20,9,false)</f>
        <v>1</v>
      </c>
      <c r="AC2214" s="960">
        <f t="array" ref="AC2214">HLOOKUP($J2214,'Type Chart'!$C$2:$T$20,10,false)*HLOOKUP($K2214,'Type Chart'!$C$2:$U$20,10,false)</f>
        <v>0.5</v>
      </c>
      <c r="AD2214" s="960">
        <f t="array" ref="AD2214">HLOOKUP($J2214,'Type Chart'!$C$2:$T$20,11,false)*HLOOKUP($K2214,'Type Chart'!$C$2:$U$20,11,false)</f>
        <v>0.5</v>
      </c>
      <c r="AE2214" s="960">
        <f t="array" ref="AE2214">HLOOKUP($J2214,'Type Chart'!$C$2:$T$20,12,false)*HLOOKUP($K2214,'Type Chart'!$C$2:$U$20,12,false)</f>
        <v>2</v>
      </c>
      <c r="AF2214" s="960">
        <f t="array" ref="AF2214">HLOOKUP($J2214,'Type Chart'!$C$2:$T$20,13,false)*HLOOKUP($K2214,'Type Chart'!$C$2:$U$20,13,false)</f>
        <v>0.25</v>
      </c>
      <c r="AG2214" s="960">
        <f t="array" ref="AG2214">HLOOKUP($J2214,'Type Chart'!$C$2:$T$20,14,false)*HLOOKUP($K2214,'Type Chart'!$C$2:$U$20,14,false)</f>
        <v>1</v>
      </c>
      <c r="AH2214" s="960">
        <f t="array" ref="AH2214">HLOOKUP($J2214,'Type Chart'!$C$2:$T$20,15,false)*HLOOKUP($K2214,'Type Chart'!$C$2:$U$20,15,false)</f>
        <v>2</v>
      </c>
      <c r="AI2214" s="960">
        <f t="array" ref="AI2214">HLOOKUP($J2214,'Type Chart'!$C$2:$T$20,16,false)*HLOOKUP($K2214,'Type Chart'!$C$2:$U$20,16,false)</f>
        <v>0.5</v>
      </c>
      <c r="AJ2214" s="960">
        <f t="array" ref="AJ2214">HLOOKUP($J2214,'Type Chart'!$C$2:$T$20,17,false)*HLOOKUP($K2214,'Type Chart'!$C$2:$U$20,17,false)</f>
        <v>1</v>
      </c>
      <c r="AK2214" s="960">
        <f t="array" ref="AK2214">HLOOKUP($J2214,'Type Chart'!$C$2:$T$20,18,false)*HLOOKUP($K2214,'Type Chart'!$C$2:$U$20,18,false)</f>
        <v>1</v>
      </c>
      <c r="AL2214" s="960">
        <f t="array" ref="AL2214">HLOOKUP($J2214,'Type Chart'!$C$2:$T$20,19,false)*HLOOKUP($K2214,'Type Chart'!$C$2:$U$20,19,false)</f>
        <v>0.25</v>
      </c>
      <c r="AM2214" s="964" t="s">
        <v>3627</v>
      </c>
      <c r="AN2214" s="965"/>
      <c r="AO2214" s="966" t="s">
        <v>1369</v>
      </c>
      <c r="AP2214" s="936"/>
      <c r="AQ2214" s="1245"/>
      <c r="AR2214" s="1245"/>
      <c r="AS2214" s="936"/>
    </row>
    <row r="2215" ht="15.75" customHeight="1">
      <c r="A2215" s="1099"/>
      <c r="B2215" s="948" t="s">
        <v>3628</v>
      </c>
      <c r="C2215" s="1197" t="s">
        <v>3629</v>
      </c>
      <c r="D2215" s="1197" t="s">
        <v>3629</v>
      </c>
      <c r="E2215" s="1147" t="s">
        <v>3629</v>
      </c>
      <c r="F2215" s="940"/>
      <c r="G2215" s="953"/>
      <c r="H2215" s="969"/>
      <c r="I2215" s="998" t="s">
        <v>5312</v>
      </c>
      <c r="J2215" s="958" t="s">
        <v>178</v>
      </c>
      <c r="K2215" s="982" t="s">
        <v>150</v>
      </c>
      <c r="L2215" s="959">
        <v>68.0</v>
      </c>
      <c r="M2215" s="960">
        <v>64.0</v>
      </c>
      <c r="N2215" s="960">
        <v>60.0</v>
      </c>
      <c r="O2215" s="960">
        <v>111.0</v>
      </c>
      <c r="P2215" s="960">
        <v>60.0</v>
      </c>
      <c r="Q2215" s="960">
        <v>117.0</v>
      </c>
      <c r="R2215" s="960">
        <v>270.0</v>
      </c>
      <c r="S2215" s="960">
        <v>333.0</v>
      </c>
      <c r="T2215" s="960">
        <v>366.0</v>
      </c>
      <c r="U2215" s="960">
        <f t="array" ref="U2215">HLOOKUP($J2215,'Type Chart'!$C$2:$T$20,2,false)*HLOOKUP($K2215,'Type Chart'!$C$2:$U$20,2,false)</f>
        <v>1</v>
      </c>
      <c r="V2215" s="960">
        <f t="array" ref="V2215">HLOOKUP($J2215,'Type Chart'!$C$2:$T$20,3,false)*HLOOKUP($K2215,'Type Chart'!$C$2:$U$20,3,false)</f>
        <v>0.5</v>
      </c>
      <c r="W2215" s="960">
        <f t="array" ref="W2215">HLOOKUP($J2215,'Type Chart'!$C$2:$T$20,4,false)*HLOOKUP($K2215,'Type Chart'!$C$2:$U$20,4,false)</f>
        <v>1</v>
      </c>
      <c r="X2215" s="960">
        <f t="array" ref="X2215">HLOOKUP($J2215,'Type Chart'!$C$2:$T$20,5,false)*HLOOKUP($K2215,'Type Chart'!$C$2:$U$20,5,false)</f>
        <v>0.5</v>
      </c>
      <c r="Y2215" s="960">
        <f t="array" ref="Y2215">HLOOKUP($J2215,'Type Chart'!$C$2:$T$20,6,false)*HLOOKUP($K2215,'Type Chart'!$C$2:$U$20,6,false)</f>
        <v>4</v>
      </c>
      <c r="Z2215" s="960">
        <f t="array" ref="Z2215">HLOOKUP($J2215,'Type Chart'!$C$2:$T$20,7,false)*HLOOKUP($K2215,'Type Chart'!$C$2:$U$20,7,false)</f>
        <v>2</v>
      </c>
      <c r="AA2215" s="960">
        <f t="array" ref="AA2215">HLOOKUP($J2215,'Type Chart'!$C$2:$T$20,8,false)*HLOOKUP($K2215,'Type Chart'!$C$2:$U$20,8,false)</f>
        <v>0.25</v>
      </c>
      <c r="AB2215" s="960">
        <f t="array" ref="AB2215">HLOOKUP($J2215,'Type Chart'!$C$2:$T$20,9,false)*HLOOKUP($K2215,'Type Chart'!$C$2:$U$20,9,false)</f>
        <v>1</v>
      </c>
      <c r="AC2215" s="960">
        <f t="array" ref="AC2215">HLOOKUP($J2215,'Type Chart'!$C$2:$T$20,10,false)*HLOOKUP($K2215,'Type Chart'!$C$2:$U$20,10,false)</f>
        <v>0.5</v>
      </c>
      <c r="AD2215" s="960">
        <f t="array" ref="AD2215">HLOOKUP($J2215,'Type Chart'!$C$2:$T$20,11,false)*HLOOKUP($K2215,'Type Chart'!$C$2:$U$20,11,false)</f>
        <v>0.5</v>
      </c>
      <c r="AE2215" s="960">
        <f t="array" ref="AE2215">HLOOKUP($J2215,'Type Chart'!$C$2:$T$20,12,false)*HLOOKUP($K2215,'Type Chart'!$C$2:$U$20,12,false)</f>
        <v>2</v>
      </c>
      <c r="AF2215" s="960">
        <f t="array" ref="AF2215">HLOOKUP($J2215,'Type Chart'!$C$2:$T$20,13,false)*HLOOKUP($K2215,'Type Chart'!$C$2:$U$20,13,false)</f>
        <v>0.25</v>
      </c>
      <c r="AG2215" s="960">
        <f t="array" ref="AG2215">HLOOKUP($J2215,'Type Chart'!$C$2:$T$20,14,false)*HLOOKUP($K2215,'Type Chart'!$C$2:$U$20,14,false)</f>
        <v>1</v>
      </c>
      <c r="AH2215" s="960">
        <f t="array" ref="AH2215">HLOOKUP($J2215,'Type Chart'!$C$2:$T$20,15,false)*HLOOKUP($K2215,'Type Chart'!$C$2:$U$20,15,false)</f>
        <v>2</v>
      </c>
      <c r="AI2215" s="960">
        <f t="array" ref="AI2215">HLOOKUP($J2215,'Type Chart'!$C$2:$T$20,16,false)*HLOOKUP($K2215,'Type Chart'!$C$2:$U$20,16,false)</f>
        <v>0.5</v>
      </c>
      <c r="AJ2215" s="960">
        <f t="array" ref="AJ2215">HLOOKUP($J2215,'Type Chart'!$C$2:$T$20,17,false)*HLOOKUP($K2215,'Type Chart'!$C$2:$U$20,17,false)</f>
        <v>1</v>
      </c>
      <c r="AK2215" s="960">
        <f t="array" ref="AK2215">HLOOKUP($J2215,'Type Chart'!$C$2:$T$20,18,false)*HLOOKUP($K2215,'Type Chart'!$C$2:$U$20,18,false)</f>
        <v>1</v>
      </c>
      <c r="AL2215" s="960">
        <f t="array" ref="AL2215">HLOOKUP($J2215,'Type Chart'!$C$2:$T$20,19,false)*HLOOKUP($K2215,'Type Chart'!$C$2:$U$20,19,false)</f>
        <v>0.25</v>
      </c>
      <c r="AM2215" s="964" t="s">
        <v>3627</v>
      </c>
      <c r="AN2215" s="965"/>
      <c r="AO2215" s="966" t="s">
        <v>1369</v>
      </c>
      <c r="AP2215" s="936"/>
      <c r="AQ2215" s="1245"/>
      <c r="AR2215" s="1245"/>
      <c r="AS2215" s="936"/>
    </row>
    <row r="2216" ht="15.75" customHeight="1">
      <c r="A2216" s="1099"/>
      <c r="B2216" s="948" t="s">
        <v>3630</v>
      </c>
      <c r="C2216" s="1197" t="s">
        <v>3631</v>
      </c>
      <c r="D2216" s="1197" t="s">
        <v>3631</v>
      </c>
      <c r="E2216" s="1147" t="s">
        <v>3631</v>
      </c>
      <c r="F2216" s="940"/>
      <c r="G2216" s="953"/>
      <c r="H2216" s="969"/>
      <c r="I2216" s="998" t="s">
        <v>5313</v>
      </c>
      <c r="J2216" s="1194" t="s">
        <v>136</v>
      </c>
      <c r="K2216" s="1213" t="s">
        <v>341</v>
      </c>
      <c r="L2216" s="959">
        <v>70.0</v>
      </c>
      <c r="M2216" s="960">
        <v>75.0</v>
      </c>
      <c r="N2216" s="960">
        <v>50.0</v>
      </c>
      <c r="O2216" s="960">
        <v>45.0</v>
      </c>
      <c r="P2216" s="960">
        <v>50.0</v>
      </c>
      <c r="Q2216" s="960">
        <v>50.0</v>
      </c>
      <c r="R2216" s="960">
        <v>136.0</v>
      </c>
      <c r="S2216" s="960">
        <v>199.0</v>
      </c>
      <c r="T2216" s="960">
        <v>218.0</v>
      </c>
      <c r="U2216" s="960">
        <f t="array" ref="U2216">HLOOKUP($J2216,'Type Chart'!$C$2:$T$20,2,false)*HLOOKUP($K2216,'Type Chart'!$C$2:$U$20,2,false)</f>
        <v>1</v>
      </c>
      <c r="V2216" s="960">
        <f t="array" ref="V2216">HLOOKUP($J2216,'Type Chart'!$C$2:$T$20,3,false)*HLOOKUP($K2216,'Type Chart'!$C$2:$U$20,3,false)</f>
        <v>2</v>
      </c>
      <c r="W2216" s="960">
        <f t="array" ref="W2216">HLOOKUP($J2216,'Type Chart'!$C$2:$T$20,4,false)*HLOOKUP($K2216,'Type Chart'!$C$2:$U$20,4,false)</f>
        <v>2</v>
      </c>
      <c r="X2216" s="960">
        <f t="array" ref="X2216">HLOOKUP($J2216,'Type Chart'!$C$2:$T$20,5,false)*HLOOKUP($K2216,'Type Chart'!$C$2:$U$20,5,false)</f>
        <v>1</v>
      </c>
      <c r="Y2216" s="960">
        <f t="array" ref="Y2216">HLOOKUP($J2216,'Type Chart'!$C$2:$T$20,6,false)*HLOOKUP($K2216,'Type Chart'!$C$2:$U$20,6,false)</f>
        <v>1</v>
      </c>
      <c r="Z2216" s="960">
        <f t="array" ref="Z2216">HLOOKUP($J2216,'Type Chart'!$C$2:$T$20,7,false)*HLOOKUP($K2216,'Type Chart'!$C$2:$U$20,7,false)</f>
        <v>0.5</v>
      </c>
      <c r="AA2216" s="960">
        <f t="array" ref="AA2216">HLOOKUP($J2216,'Type Chart'!$C$2:$T$20,8,false)*HLOOKUP($K2216,'Type Chart'!$C$2:$U$20,8,false)</f>
        <v>0.5</v>
      </c>
      <c r="AB2216" s="960">
        <f t="array" ref="AB2216">HLOOKUP($J2216,'Type Chart'!$C$2:$T$20,9,false)*HLOOKUP($K2216,'Type Chart'!$C$2:$U$20,9,false)</f>
        <v>0</v>
      </c>
      <c r="AC2216" s="960">
        <f t="array" ref="AC2216">HLOOKUP($J2216,'Type Chart'!$C$2:$T$20,10,false)*HLOOKUP($K2216,'Type Chart'!$C$2:$U$20,10,false)</f>
        <v>1</v>
      </c>
      <c r="AD2216" s="960">
        <f t="array" ref="AD2216">HLOOKUP($J2216,'Type Chart'!$C$2:$T$20,11,false)*HLOOKUP($K2216,'Type Chart'!$C$2:$U$20,11,false)</f>
        <v>1</v>
      </c>
      <c r="AE2216" s="960">
        <f t="array" ref="AE2216">HLOOKUP($J2216,'Type Chart'!$C$2:$T$20,12,false)*HLOOKUP($K2216,'Type Chart'!$C$2:$U$20,12,false)</f>
        <v>1</v>
      </c>
      <c r="AF2216" s="960">
        <f t="array" ref="AF2216">HLOOKUP($J2216,'Type Chart'!$C$2:$T$20,13,false)*HLOOKUP($K2216,'Type Chart'!$C$2:$U$20,13,false)</f>
        <v>1</v>
      </c>
      <c r="AG2216" s="960">
        <f t="array" ref="AG2216">HLOOKUP($J2216,'Type Chart'!$C$2:$T$20,14,false)*HLOOKUP($K2216,'Type Chart'!$C$2:$U$20,14,false)</f>
        <v>1</v>
      </c>
      <c r="AH2216" s="960">
        <f t="array" ref="AH2216">HLOOKUP($J2216,'Type Chart'!$C$2:$T$20,15,false)*HLOOKUP($K2216,'Type Chart'!$C$2:$U$20,15,false)</f>
        <v>2</v>
      </c>
      <c r="AI2216" s="960">
        <f t="array" ref="AI2216">HLOOKUP($J2216,'Type Chart'!$C$2:$T$20,16,false)*HLOOKUP($K2216,'Type Chart'!$C$2:$U$20,16,false)</f>
        <v>1</v>
      </c>
      <c r="AJ2216" s="960">
        <f t="array" ref="AJ2216">HLOOKUP($J2216,'Type Chart'!$C$2:$T$20,17,false)*HLOOKUP($K2216,'Type Chart'!$C$2:$U$20,17,false)</f>
        <v>1</v>
      </c>
      <c r="AK2216" s="960">
        <f t="array" ref="AK2216">HLOOKUP($J2216,'Type Chart'!$C$2:$T$20,18,false)*HLOOKUP($K2216,'Type Chart'!$C$2:$U$20,18,false)</f>
        <v>0.5</v>
      </c>
      <c r="AL2216" s="960">
        <f t="array" ref="AL2216">HLOOKUP($J2216,'Type Chart'!$C$2:$T$20,19,false)*HLOOKUP($K2216,'Type Chart'!$C$2:$U$20,19,false)</f>
        <v>2</v>
      </c>
      <c r="AM2216" s="964" t="s">
        <v>3633</v>
      </c>
      <c r="AN2216" s="965" t="s">
        <v>2552</v>
      </c>
      <c r="AO2216" s="966" t="s">
        <v>1165</v>
      </c>
      <c r="AP2216" s="936"/>
      <c r="AQ2216" s="1245"/>
      <c r="AR2216" s="1245"/>
      <c r="AS2216" s="936"/>
    </row>
    <row r="2217" ht="15.75" customHeight="1">
      <c r="A2217" s="1099"/>
      <c r="B2217" s="948" t="s">
        <v>3634</v>
      </c>
      <c r="C2217" s="1197" t="s">
        <v>3635</v>
      </c>
      <c r="D2217" s="1197" t="s">
        <v>3635</v>
      </c>
      <c r="E2217" s="1147" t="s">
        <v>3635</v>
      </c>
      <c r="F2217" s="940"/>
      <c r="G2217" s="953"/>
      <c r="H2217" s="969"/>
      <c r="I2217" s="998" t="s">
        <v>5314</v>
      </c>
      <c r="J2217" s="1194" t="s">
        <v>136</v>
      </c>
      <c r="K2217" s="1213" t="s">
        <v>341</v>
      </c>
      <c r="L2217" s="959">
        <v>120.0</v>
      </c>
      <c r="M2217" s="960">
        <v>125.0</v>
      </c>
      <c r="N2217" s="960">
        <v>80.0</v>
      </c>
      <c r="O2217" s="960">
        <v>55.0</v>
      </c>
      <c r="P2217" s="960">
        <v>60.0</v>
      </c>
      <c r="Q2217" s="960">
        <v>60.0</v>
      </c>
      <c r="R2217" s="960">
        <v>156.0</v>
      </c>
      <c r="S2217" s="960">
        <v>219.0</v>
      </c>
      <c r="T2217" s="960">
        <v>240.0</v>
      </c>
      <c r="U2217" s="960">
        <f t="array" ref="U2217">HLOOKUP($J2217,'Type Chart'!$C$2:$T$20,2,false)*HLOOKUP($K2217,'Type Chart'!$C$2:$U$20,2,false)</f>
        <v>1</v>
      </c>
      <c r="V2217" s="960">
        <f t="array" ref="V2217">HLOOKUP($J2217,'Type Chart'!$C$2:$T$20,3,false)*HLOOKUP($K2217,'Type Chart'!$C$2:$U$20,3,false)</f>
        <v>2</v>
      </c>
      <c r="W2217" s="960">
        <f t="array" ref="W2217">HLOOKUP($J2217,'Type Chart'!$C$2:$T$20,4,false)*HLOOKUP($K2217,'Type Chart'!$C$2:$U$20,4,false)</f>
        <v>2</v>
      </c>
      <c r="X2217" s="960">
        <f t="array" ref="X2217">HLOOKUP($J2217,'Type Chart'!$C$2:$T$20,5,false)*HLOOKUP($K2217,'Type Chart'!$C$2:$U$20,5,false)</f>
        <v>1</v>
      </c>
      <c r="Y2217" s="960">
        <f t="array" ref="Y2217">HLOOKUP($J2217,'Type Chart'!$C$2:$T$20,6,false)*HLOOKUP($K2217,'Type Chart'!$C$2:$U$20,6,false)</f>
        <v>1</v>
      </c>
      <c r="Z2217" s="960">
        <f t="array" ref="Z2217">HLOOKUP($J2217,'Type Chart'!$C$2:$T$20,7,false)*HLOOKUP($K2217,'Type Chart'!$C$2:$U$20,7,false)</f>
        <v>0.5</v>
      </c>
      <c r="AA2217" s="960">
        <f t="array" ref="AA2217">HLOOKUP($J2217,'Type Chart'!$C$2:$T$20,8,false)*HLOOKUP($K2217,'Type Chart'!$C$2:$U$20,8,false)</f>
        <v>0.5</v>
      </c>
      <c r="AB2217" s="960">
        <f t="array" ref="AB2217">HLOOKUP($J2217,'Type Chart'!$C$2:$T$20,9,false)*HLOOKUP($K2217,'Type Chart'!$C$2:$U$20,9,false)</f>
        <v>0</v>
      </c>
      <c r="AC2217" s="960">
        <f t="array" ref="AC2217">HLOOKUP($J2217,'Type Chart'!$C$2:$T$20,10,false)*HLOOKUP($K2217,'Type Chart'!$C$2:$U$20,10,false)</f>
        <v>1</v>
      </c>
      <c r="AD2217" s="960">
        <f t="array" ref="AD2217">HLOOKUP($J2217,'Type Chart'!$C$2:$T$20,11,false)*HLOOKUP($K2217,'Type Chart'!$C$2:$U$20,11,false)</f>
        <v>1</v>
      </c>
      <c r="AE2217" s="960">
        <f t="array" ref="AE2217">HLOOKUP($J2217,'Type Chart'!$C$2:$T$20,12,false)*HLOOKUP($K2217,'Type Chart'!$C$2:$U$20,12,false)</f>
        <v>1</v>
      </c>
      <c r="AF2217" s="960">
        <f t="array" ref="AF2217">HLOOKUP($J2217,'Type Chart'!$C$2:$T$20,13,false)*HLOOKUP($K2217,'Type Chart'!$C$2:$U$20,13,false)</f>
        <v>1</v>
      </c>
      <c r="AG2217" s="960">
        <f t="array" ref="AG2217">HLOOKUP($J2217,'Type Chart'!$C$2:$T$20,14,false)*HLOOKUP($K2217,'Type Chart'!$C$2:$U$20,14,false)</f>
        <v>1</v>
      </c>
      <c r="AH2217" s="960">
        <f t="array" ref="AH2217">HLOOKUP($J2217,'Type Chart'!$C$2:$T$20,15,false)*HLOOKUP($K2217,'Type Chart'!$C$2:$U$20,15,false)</f>
        <v>2</v>
      </c>
      <c r="AI2217" s="960">
        <f t="array" ref="AI2217">HLOOKUP($J2217,'Type Chart'!$C$2:$T$20,16,false)*HLOOKUP($K2217,'Type Chart'!$C$2:$U$20,16,false)</f>
        <v>1</v>
      </c>
      <c r="AJ2217" s="960">
        <f t="array" ref="AJ2217">HLOOKUP($J2217,'Type Chart'!$C$2:$T$20,17,false)*HLOOKUP($K2217,'Type Chart'!$C$2:$U$20,17,false)</f>
        <v>1</v>
      </c>
      <c r="AK2217" s="960">
        <f t="array" ref="AK2217">HLOOKUP($J2217,'Type Chart'!$C$2:$T$20,18,false)*HLOOKUP($K2217,'Type Chart'!$C$2:$U$20,18,false)</f>
        <v>0.5</v>
      </c>
      <c r="AL2217" s="960">
        <f t="array" ref="AL2217">HLOOKUP($J2217,'Type Chart'!$C$2:$T$20,19,false)*HLOOKUP($K2217,'Type Chart'!$C$2:$U$20,19,false)</f>
        <v>2</v>
      </c>
      <c r="AM2217" s="964" t="s">
        <v>3633</v>
      </c>
      <c r="AN2217" s="965" t="s">
        <v>2552</v>
      </c>
      <c r="AO2217" s="966" t="s">
        <v>1062</v>
      </c>
      <c r="AP2217" s="936"/>
      <c r="AQ2217" s="1245"/>
      <c r="AR2217" s="1245"/>
      <c r="AS2217" s="936"/>
    </row>
    <row r="2218" ht="15.75" customHeight="1">
      <c r="A2218" s="1099"/>
      <c r="B2218" s="948" t="s">
        <v>3637</v>
      </c>
      <c r="C2218" s="1197" t="s">
        <v>3638</v>
      </c>
      <c r="D2218" s="1197" t="s">
        <v>3638</v>
      </c>
      <c r="E2218" s="1147" t="s">
        <v>3638</v>
      </c>
      <c r="F2218" s="940"/>
      <c r="G2218" s="953"/>
      <c r="H2218" s="969"/>
      <c r="I2218" s="998" t="s">
        <v>5315</v>
      </c>
      <c r="J2218" s="957" t="s">
        <v>209</v>
      </c>
      <c r="K2218" s="984" t="s">
        <v>216</v>
      </c>
      <c r="L2218" s="959">
        <v>42.0</v>
      </c>
      <c r="M2218" s="960">
        <v>30.0</v>
      </c>
      <c r="N2218" s="960">
        <v>38.0</v>
      </c>
      <c r="O2218" s="960">
        <v>30.0</v>
      </c>
      <c r="P2218" s="960">
        <v>38.0</v>
      </c>
      <c r="Q2218" s="960">
        <v>32.0</v>
      </c>
      <c r="R2218" s="960">
        <v>100.0</v>
      </c>
      <c r="S2218" s="960">
        <v>163.0</v>
      </c>
      <c r="T2218" s="960">
        <v>179.0</v>
      </c>
      <c r="U2218" s="960">
        <f t="array" ref="U2218">HLOOKUP($J2218,'Type Chart'!$C$2:$T$20,2,false)*HLOOKUP($K2218,'Type Chart'!$C$2:$U$20,2,false)</f>
        <v>1</v>
      </c>
      <c r="V2218" s="960">
        <f t="array" ref="V2218">HLOOKUP($J2218,'Type Chart'!$C$2:$T$20,3,false)*HLOOKUP($K2218,'Type Chart'!$C$2:$U$20,3,false)</f>
        <v>1</v>
      </c>
      <c r="W2218" s="960">
        <f t="array" ref="W2218">HLOOKUP($J2218,'Type Chart'!$C$2:$T$20,4,false)*HLOOKUP($K2218,'Type Chart'!$C$2:$U$20,4,false)</f>
        <v>2</v>
      </c>
      <c r="X2218" s="960">
        <f t="array" ref="X2218">HLOOKUP($J2218,'Type Chart'!$C$2:$T$20,5,false)*HLOOKUP($K2218,'Type Chart'!$C$2:$U$20,5,false)</f>
        <v>2</v>
      </c>
      <c r="Y2218" s="960">
        <f t="array" ref="Y2218">HLOOKUP($J2218,'Type Chart'!$C$2:$T$20,6,false)*HLOOKUP($K2218,'Type Chart'!$C$2:$U$20,6,false)</f>
        <v>0.5</v>
      </c>
      <c r="Z2218" s="960">
        <f t="array" ref="Z2218">HLOOKUP($J2218,'Type Chart'!$C$2:$T$20,7,false)*HLOOKUP($K2218,'Type Chart'!$C$2:$U$20,7,false)</f>
        <v>1</v>
      </c>
      <c r="AA2218" s="960">
        <f t="array" ref="AA2218">HLOOKUP($J2218,'Type Chart'!$C$2:$T$20,8,false)*HLOOKUP($K2218,'Type Chart'!$C$2:$U$20,8,false)</f>
        <v>2</v>
      </c>
      <c r="AB2218" s="960">
        <f t="array" ref="AB2218">HLOOKUP($J2218,'Type Chart'!$C$2:$T$20,9,false)*HLOOKUP($K2218,'Type Chart'!$C$2:$U$20,9,false)</f>
        <v>1</v>
      </c>
      <c r="AC2218" s="960">
        <f t="array" ref="AC2218">HLOOKUP($J2218,'Type Chart'!$C$2:$T$20,10,false)*HLOOKUP($K2218,'Type Chart'!$C$2:$U$20,10,false)</f>
        <v>1</v>
      </c>
      <c r="AD2218" s="960">
        <f t="array" ref="AD2218">HLOOKUP($J2218,'Type Chart'!$C$2:$T$20,11,false)*HLOOKUP($K2218,'Type Chart'!$C$2:$U$20,11,false)</f>
        <v>2</v>
      </c>
      <c r="AE2218" s="960">
        <f t="array" ref="AE2218">HLOOKUP($J2218,'Type Chart'!$C$2:$T$20,12,false)*HLOOKUP($K2218,'Type Chart'!$C$2:$U$20,12,false)</f>
        <v>0.5</v>
      </c>
      <c r="AF2218" s="960">
        <f t="array" ref="AF2218">HLOOKUP($J2218,'Type Chart'!$C$2:$T$20,13,false)*HLOOKUP($K2218,'Type Chart'!$C$2:$U$20,13,false)</f>
        <v>0.5</v>
      </c>
      <c r="AG2218" s="960">
        <f t="array" ref="AG2218">HLOOKUP($J2218,'Type Chart'!$C$2:$T$20,14,false)*HLOOKUP($K2218,'Type Chart'!$C$2:$U$20,14,false)</f>
        <v>0.5</v>
      </c>
      <c r="AH2218" s="960">
        <f t="array" ref="AH2218">HLOOKUP($J2218,'Type Chart'!$C$2:$T$20,15,false)*HLOOKUP($K2218,'Type Chart'!$C$2:$U$20,15,false)</f>
        <v>1</v>
      </c>
      <c r="AI2218" s="960">
        <f t="array" ref="AI2218">HLOOKUP($J2218,'Type Chart'!$C$2:$T$20,16,false)*HLOOKUP($K2218,'Type Chart'!$C$2:$U$20,16,false)</f>
        <v>2</v>
      </c>
      <c r="AJ2218" s="960">
        <f t="array" ref="AJ2218">HLOOKUP($J2218,'Type Chart'!$C$2:$T$20,17,false)*HLOOKUP($K2218,'Type Chart'!$C$2:$U$20,17,false)</f>
        <v>1</v>
      </c>
      <c r="AK2218" s="960">
        <f t="array" ref="AK2218">HLOOKUP($J2218,'Type Chart'!$C$2:$T$20,18,false)*HLOOKUP($K2218,'Type Chart'!$C$2:$U$20,18,false)</f>
        <v>1</v>
      </c>
      <c r="AL2218" s="960">
        <f t="array" ref="AL2218">HLOOKUP($J2218,'Type Chart'!$C$2:$T$20,19,false)*HLOOKUP($K2218,'Type Chart'!$C$2:$U$20,19,false)</f>
        <v>1</v>
      </c>
      <c r="AM2218" s="964" t="s">
        <v>1526</v>
      </c>
      <c r="AN2218" s="965" t="s">
        <v>1369</v>
      </c>
      <c r="AO2218" s="966" t="s">
        <v>3380</v>
      </c>
      <c r="AP2218" s="936"/>
      <c r="AQ2218" s="1245"/>
      <c r="AR2218" s="1245"/>
      <c r="AS2218" s="936"/>
    </row>
    <row r="2219" ht="15.75" customHeight="1">
      <c r="A2219" s="1099"/>
      <c r="B2219" s="948" t="s">
        <v>3640</v>
      </c>
      <c r="C2219" s="1197" t="s">
        <v>3641</v>
      </c>
      <c r="D2219" s="1197" t="s">
        <v>3641</v>
      </c>
      <c r="E2219" s="1147" t="s">
        <v>3641</v>
      </c>
      <c r="F2219" s="940"/>
      <c r="G2219" s="953"/>
      <c r="H2219" s="969"/>
      <c r="I2219" s="998" t="s">
        <v>5316</v>
      </c>
      <c r="J2219" s="957" t="s">
        <v>209</v>
      </c>
      <c r="K2219" s="984" t="s">
        <v>216</v>
      </c>
      <c r="L2219" s="959">
        <v>52.0</v>
      </c>
      <c r="M2219" s="960">
        <v>40.0</v>
      </c>
      <c r="N2219" s="960">
        <v>48.0</v>
      </c>
      <c r="O2219" s="960">
        <v>40.0</v>
      </c>
      <c r="P2219" s="960">
        <v>48.0</v>
      </c>
      <c r="Q2219" s="960">
        <v>62.0</v>
      </c>
      <c r="R2219" s="960">
        <v>160.0</v>
      </c>
      <c r="S2219" s="960">
        <v>223.0</v>
      </c>
      <c r="T2219" s="960">
        <v>245.0</v>
      </c>
      <c r="U2219" s="960">
        <f t="array" ref="U2219">HLOOKUP($J2219,'Type Chart'!$C$2:$T$20,2,false)*HLOOKUP($K2219,'Type Chart'!$C$2:$U$20,2,false)</f>
        <v>1</v>
      </c>
      <c r="V2219" s="960">
        <f t="array" ref="V2219">HLOOKUP($J2219,'Type Chart'!$C$2:$T$20,3,false)*HLOOKUP($K2219,'Type Chart'!$C$2:$U$20,3,false)</f>
        <v>1</v>
      </c>
      <c r="W2219" s="960">
        <f t="array" ref="W2219">HLOOKUP($J2219,'Type Chart'!$C$2:$T$20,4,false)*HLOOKUP($K2219,'Type Chart'!$C$2:$U$20,4,false)</f>
        <v>2</v>
      </c>
      <c r="X2219" s="960">
        <f t="array" ref="X2219">HLOOKUP($J2219,'Type Chart'!$C$2:$T$20,5,false)*HLOOKUP($K2219,'Type Chart'!$C$2:$U$20,5,false)</f>
        <v>2</v>
      </c>
      <c r="Y2219" s="960">
        <f t="array" ref="Y2219">HLOOKUP($J2219,'Type Chart'!$C$2:$T$20,6,false)*HLOOKUP($K2219,'Type Chart'!$C$2:$U$20,6,false)</f>
        <v>0.5</v>
      </c>
      <c r="Z2219" s="960">
        <f t="array" ref="Z2219">HLOOKUP($J2219,'Type Chart'!$C$2:$T$20,7,false)*HLOOKUP($K2219,'Type Chart'!$C$2:$U$20,7,false)</f>
        <v>1</v>
      </c>
      <c r="AA2219" s="960">
        <f t="array" ref="AA2219">HLOOKUP($J2219,'Type Chart'!$C$2:$T$20,8,false)*HLOOKUP($K2219,'Type Chart'!$C$2:$U$20,8,false)</f>
        <v>2</v>
      </c>
      <c r="AB2219" s="960">
        <f t="array" ref="AB2219">HLOOKUP($J2219,'Type Chart'!$C$2:$T$20,9,false)*HLOOKUP($K2219,'Type Chart'!$C$2:$U$20,9,false)</f>
        <v>1</v>
      </c>
      <c r="AC2219" s="960">
        <f t="array" ref="AC2219">HLOOKUP($J2219,'Type Chart'!$C$2:$T$20,10,false)*HLOOKUP($K2219,'Type Chart'!$C$2:$U$20,10,false)</f>
        <v>1</v>
      </c>
      <c r="AD2219" s="960">
        <f t="array" ref="AD2219">HLOOKUP($J2219,'Type Chart'!$C$2:$T$20,11,false)*HLOOKUP($K2219,'Type Chart'!$C$2:$U$20,11,false)</f>
        <v>2</v>
      </c>
      <c r="AE2219" s="960">
        <f t="array" ref="AE2219">HLOOKUP($J2219,'Type Chart'!$C$2:$T$20,12,false)*HLOOKUP($K2219,'Type Chart'!$C$2:$U$20,12,false)</f>
        <v>0.5</v>
      </c>
      <c r="AF2219" s="960">
        <f t="array" ref="AF2219">HLOOKUP($J2219,'Type Chart'!$C$2:$T$20,13,false)*HLOOKUP($K2219,'Type Chart'!$C$2:$U$20,13,false)</f>
        <v>0.5</v>
      </c>
      <c r="AG2219" s="960">
        <f t="array" ref="AG2219">HLOOKUP($J2219,'Type Chart'!$C$2:$T$20,14,false)*HLOOKUP($K2219,'Type Chart'!$C$2:$U$20,14,false)</f>
        <v>0.5</v>
      </c>
      <c r="AH2219" s="960">
        <f t="array" ref="AH2219">HLOOKUP($J2219,'Type Chart'!$C$2:$T$20,15,false)*HLOOKUP($K2219,'Type Chart'!$C$2:$U$20,15,false)</f>
        <v>1</v>
      </c>
      <c r="AI2219" s="960">
        <f t="array" ref="AI2219">HLOOKUP($J2219,'Type Chart'!$C$2:$T$20,16,false)*HLOOKUP($K2219,'Type Chart'!$C$2:$U$20,16,false)</f>
        <v>2</v>
      </c>
      <c r="AJ2219" s="960">
        <f t="array" ref="AJ2219">HLOOKUP($J2219,'Type Chart'!$C$2:$T$20,17,false)*HLOOKUP($K2219,'Type Chart'!$C$2:$U$20,17,false)</f>
        <v>1</v>
      </c>
      <c r="AK2219" s="960">
        <f t="array" ref="AK2219">HLOOKUP($J2219,'Type Chart'!$C$2:$T$20,18,false)*HLOOKUP($K2219,'Type Chart'!$C$2:$U$20,18,false)</f>
        <v>1</v>
      </c>
      <c r="AL2219" s="960">
        <f t="array" ref="AL2219">HLOOKUP($J2219,'Type Chart'!$C$2:$T$20,19,false)*HLOOKUP($K2219,'Type Chart'!$C$2:$U$20,19,false)</f>
        <v>1</v>
      </c>
      <c r="AM2219" s="964" t="s">
        <v>1526</v>
      </c>
      <c r="AN2219" s="965" t="s">
        <v>1369</v>
      </c>
      <c r="AO2219" s="966" t="s">
        <v>3380</v>
      </c>
      <c r="AP2219" s="936"/>
      <c r="AQ2219" s="1245"/>
      <c r="AR2219" s="1245"/>
      <c r="AS2219" s="936"/>
    </row>
    <row r="2220" ht="15.75" customHeight="1">
      <c r="A2220" s="1099"/>
      <c r="B2220" s="948" t="s">
        <v>3643</v>
      </c>
      <c r="C2220" s="1197" t="s">
        <v>3644</v>
      </c>
      <c r="D2220" s="1197" t="s">
        <v>3644</v>
      </c>
      <c r="E2220" s="1147" t="s">
        <v>3644</v>
      </c>
      <c r="F2220" s="940"/>
      <c r="G2220" s="953"/>
      <c r="H2220" s="969"/>
      <c r="I2220" s="998" t="s">
        <v>5317</v>
      </c>
      <c r="J2220" s="957" t="s">
        <v>209</v>
      </c>
      <c r="K2220" s="984" t="s">
        <v>216</v>
      </c>
      <c r="L2220" s="959">
        <v>72.0</v>
      </c>
      <c r="M2220" s="960">
        <v>120.0</v>
      </c>
      <c r="N2220" s="960">
        <v>98.0</v>
      </c>
      <c r="O2220" s="960">
        <v>50.0</v>
      </c>
      <c r="P2220" s="960">
        <v>98.0</v>
      </c>
      <c r="Q2220" s="960">
        <v>72.0</v>
      </c>
      <c r="R2220" s="960">
        <v>180.0</v>
      </c>
      <c r="S2220" s="960">
        <v>243.0</v>
      </c>
      <c r="T2220" s="960">
        <v>267.0</v>
      </c>
      <c r="U2220" s="960">
        <f t="array" ref="U2220">HLOOKUP($J2220,'Type Chart'!$C$2:$T$20,2,false)*HLOOKUP($K2220,'Type Chart'!$C$2:$U$20,2,false)</f>
        <v>1</v>
      </c>
      <c r="V2220" s="960">
        <f t="array" ref="V2220">HLOOKUP($J2220,'Type Chart'!$C$2:$T$20,3,false)*HLOOKUP($K2220,'Type Chart'!$C$2:$U$20,3,false)</f>
        <v>1</v>
      </c>
      <c r="W2220" s="960">
        <f t="array" ref="W2220">HLOOKUP($J2220,'Type Chart'!$C$2:$T$20,4,false)*HLOOKUP($K2220,'Type Chart'!$C$2:$U$20,4,false)</f>
        <v>2</v>
      </c>
      <c r="X2220" s="960">
        <f t="array" ref="X2220">HLOOKUP($J2220,'Type Chart'!$C$2:$T$20,5,false)*HLOOKUP($K2220,'Type Chart'!$C$2:$U$20,5,false)</f>
        <v>2</v>
      </c>
      <c r="Y2220" s="960">
        <f t="array" ref="Y2220">HLOOKUP($J2220,'Type Chart'!$C$2:$T$20,6,false)*HLOOKUP($K2220,'Type Chart'!$C$2:$U$20,6,false)</f>
        <v>0.5</v>
      </c>
      <c r="Z2220" s="960">
        <f t="array" ref="Z2220">HLOOKUP($J2220,'Type Chart'!$C$2:$T$20,7,false)*HLOOKUP($K2220,'Type Chart'!$C$2:$U$20,7,false)</f>
        <v>1</v>
      </c>
      <c r="AA2220" s="960">
        <f t="array" ref="AA2220">HLOOKUP($J2220,'Type Chart'!$C$2:$T$20,8,false)*HLOOKUP($K2220,'Type Chart'!$C$2:$U$20,8,false)</f>
        <v>2</v>
      </c>
      <c r="AB2220" s="960">
        <f t="array" ref="AB2220">HLOOKUP($J2220,'Type Chart'!$C$2:$T$20,9,false)*HLOOKUP($K2220,'Type Chart'!$C$2:$U$20,9,false)</f>
        <v>1</v>
      </c>
      <c r="AC2220" s="960">
        <f t="array" ref="AC2220">HLOOKUP($J2220,'Type Chart'!$C$2:$T$20,10,false)*HLOOKUP($K2220,'Type Chart'!$C$2:$U$20,10,false)</f>
        <v>1</v>
      </c>
      <c r="AD2220" s="960">
        <f t="array" ref="AD2220">HLOOKUP($J2220,'Type Chart'!$C$2:$T$20,11,false)*HLOOKUP($K2220,'Type Chart'!$C$2:$U$20,11,false)</f>
        <v>2</v>
      </c>
      <c r="AE2220" s="960">
        <f t="array" ref="AE2220">HLOOKUP($J2220,'Type Chart'!$C$2:$T$20,12,false)*HLOOKUP($K2220,'Type Chart'!$C$2:$U$20,12,false)</f>
        <v>0.5</v>
      </c>
      <c r="AF2220" s="960">
        <f t="array" ref="AF2220">HLOOKUP($J2220,'Type Chart'!$C$2:$T$20,13,false)*HLOOKUP($K2220,'Type Chart'!$C$2:$U$20,13,false)</f>
        <v>0.5</v>
      </c>
      <c r="AG2220" s="960">
        <f t="array" ref="AG2220">HLOOKUP($J2220,'Type Chart'!$C$2:$T$20,14,false)*HLOOKUP($K2220,'Type Chart'!$C$2:$U$20,14,false)</f>
        <v>0.5</v>
      </c>
      <c r="AH2220" s="960">
        <f t="array" ref="AH2220">HLOOKUP($J2220,'Type Chart'!$C$2:$T$20,15,false)*HLOOKUP($K2220,'Type Chart'!$C$2:$U$20,15,false)</f>
        <v>1</v>
      </c>
      <c r="AI2220" s="960">
        <f t="array" ref="AI2220">HLOOKUP($J2220,'Type Chart'!$C$2:$T$20,16,false)*HLOOKUP($K2220,'Type Chart'!$C$2:$U$20,16,false)</f>
        <v>2</v>
      </c>
      <c r="AJ2220" s="960">
        <f t="array" ref="AJ2220">HLOOKUP($J2220,'Type Chart'!$C$2:$T$20,17,false)*HLOOKUP($K2220,'Type Chart'!$C$2:$U$20,17,false)</f>
        <v>1</v>
      </c>
      <c r="AK2220" s="960">
        <f t="array" ref="AK2220">HLOOKUP($J2220,'Type Chart'!$C$2:$T$20,18,false)*HLOOKUP($K2220,'Type Chart'!$C$2:$U$20,18,false)</f>
        <v>1</v>
      </c>
      <c r="AL2220" s="960">
        <f t="array" ref="AL2220">HLOOKUP($J2220,'Type Chart'!$C$2:$T$20,19,false)*HLOOKUP($K2220,'Type Chart'!$C$2:$U$20,19,false)</f>
        <v>1</v>
      </c>
      <c r="AM2220" s="964" t="s">
        <v>1526</v>
      </c>
      <c r="AN2220" s="965" t="s">
        <v>3645</v>
      </c>
      <c r="AO2220" s="966" t="s">
        <v>3380</v>
      </c>
      <c r="AP2220" s="936"/>
      <c r="AQ2220" s="1245"/>
      <c r="AR2220" s="1245"/>
      <c r="AS2220" s="936"/>
    </row>
    <row r="2221" ht="15.75" customHeight="1">
      <c r="A2221" s="1099"/>
      <c r="B2221" s="948" t="s">
        <v>3646</v>
      </c>
      <c r="C2221" s="1197" t="s">
        <v>3647</v>
      </c>
      <c r="D2221" s="1197" t="s">
        <v>3647</v>
      </c>
      <c r="E2221" s="1147" t="s">
        <v>3647</v>
      </c>
      <c r="F2221" s="940"/>
      <c r="G2221" s="953"/>
      <c r="H2221" s="969"/>
      <c r="I2221" s="998" t="s">
        <v>5318</v>
      </c>
      <c r="J2221" s="1207" t="s">
        <v>127</v>
      </c>
      <c r="K2221" s="984" t="s">
        <v>216</v>
      </c>
      <c r="L2221" s="959">
        <v>51.0</v>
      </c>
      <c r="M2221" s="960">
        <v>52.0</v>
      </c>
      <c r="N2221" s="960">
        <v>90.0</v>
      </c>
      <c r="O2221" s="960">
        <v>82.0</v>
      </c>
      <c r="P2221" s="960">
        <v>110.0</v>
      </c>
      <c r="Q2221" s="960">
        <v>100.0</v>
      </c>
      <c r="R2221" s="960">
        <v>236.0</v>
      </c>
      <c r="S2221" s="960">
        <v>299.0</v>
      </c>
      <c r="T2221" s="960">
        <v>328.0</v>
      </c>
      <c r="U2221" s="960">
        <f t="array" ref="U2221">HLOOKUP($J2221,'Type Chart'!$C$2:$T$20,2,false)*HLOOKUP($K2221,'Type Chart'!$C$2:$U$20,2,false)</f>
        <v>1</v>
      </c>
      <c r="V2221" s="960">
        <f t="array" ref="V2221">HLOOKUP($J2221,'Type Chart'!$C$2:$T$20,3,false)*HLOOKUP($K2221,'Type Chart'!$C$2:$U$20,3,false)</f>
        <v>0.5</v>
      </c>
      <c r="W2221" s="960">
        <f t="array" ref="W2221">HLOOKUP($J2221,'Type Chart'!$C$2:$T$20,4,false)*HLOOKUP($K2221,'Type Chart'!$C$2:$U$20,4,false)</f>
        <v>1</v>
      </c>
      <c r="X2221" s="960">
        <f t="array" ref="X2221">HLOOKUP($J2221,'Type Chart'!$C$2:$T$20,5,false)*HLOOKUP($K2221,'Type Chart'!$C$2:$U$20,5,false)</f>
        <v>2</v>
      </c>
      <c r="Y2221" s="960">
        <f t="array" ref="Y2221">HLOOKUP($J2221,'Type Chart'!$C$2:$T$20,6,false)*HLOOKUP($K2221,'Type Chart'!$C$2:$U$20,6,false)</f>
        <v>1</v>
      </c>
      <c r="Z2221" s="960">
        <f t="array" ref="Z2221">HLOOKUP($J2221,'Type Chart'!$C$2:$T$20,7,false)*HLOOKUP($K2221,'Type Chart'!$C$2:$U$20,7,false)</f>
        <v>1</v>
      </c>
      <c r="AA2221" s="960">
        <f t="array" ref="AA2221">HLOOKUP($J2221,'Type Chart'!$C$2:$T$20,8,false)*HLOOKUP($K2221,'Type Chart'!$C$2:$U$20,8,false)</f>
        <v>0.5</v>
      </c>
      <c r="AB2221" s="960">
        <f t="array" ref="AB2221">HLOOKUP($J2221,'Type Chart'!$C$2:$T$20,9,false)*HLOOKUP($K2221,'Type Chart'!$C$2:$U$20,9,false)</f>
        <v>1</v>
      </c>
      <c r="AC2221" s="960">
        <f t="array" ref="AC2221">HLOOKUP($J2221,'Type Chart'!$C$2:$T$20,10,false)*HLOOKUP($K2221,'Type Chart'!$C$2:$U$20,10,false)</f>
        <v>2</v>
      </c>
      <c r="AD2221" s="960">
        <f t="array" ref="AD2221">HLOOKUP($J2221,'Type Chart'!$C$2:$T$20,11,false)*HLOOKUP($K2221,'Type Chart'!$C$2:$U$20,11,false)</f>
        <v>1</v>
      </c>
      <c r="AE2221" s="960">
        <f t="array" ref="AE2221">HLOOKUP($J2221,'Type Chart'!$C$2:$T$20,12,false)*HLOOKUP($K2221,'Type Chart'!$C$2:$U$20,12,false)</f>
        <v>1</v>
      </c>
      <c r="AF2221" s="960">
        <f t="array" ref="AF2221">HLOOKUP($J2221,'Type Chart'!$C$2:$T$20,13,false)*HLOOKUP($K2221,'Type Chart'!$C$2:$U$20,13,false)</f>
        <v>1</v>
      </c>
      <c r="AG2221" s="960">
        <f t="array" ref="AG2221">HLOOKUP($J2221,'Type Chart'!$C$2:$T$20,14,false)*HLOOKUP($K2221,'Type Chart'!$C$2:$U$20,14,false)</f>
        <v>1</v>
      </c>
      <c r="AH2221" s="960">
        <f t="array" ref="AH2221">HLOOKUP($J2221,'Type Chart'!$C$2:$T$20,15,false)*HLOOKUP($K2221,'Type Chart'!$C$2:$U$20,15,false)</f>
        <v>1</v>
      </c>
      <c r="AI2221" s="960">
        <f t="array" ref="AI2221">HLOOKUP($J2221,'Type Chart'!$C$2:$T$20,16,false)*HLOOKUP($K2221,'Type Chart'!$C$2:$U$20,16,false)</f>
        <v>1</v>
      </c>
      <c r="AJ2221" s="960">
        <f t="array" ref="AJ2221">HLOOKUP($J2221,'Type Chart'!$C$2:$T$20,17,false)*HLOOKUP($K2221,'Type Chart'!$C$2:$U$20,17,false)</f>
        <v>0</v>
      </c>
      <c r="AK2221" s="960">
        <f t="array" ref="AK2221">HLOOKUP($J2221,'Type Chart'!$C$2:$T$20,18,false)*HLOOKUP($K2221,'Type Chart'!$C$2:$U$20,18,false)</f>
        <v>0.5</v>
      </c>
      <c r="AL2221" s="960">
        <f t="array" ref="AL2221">HLOOKUP($J2221,'Type Chart'!$C$2:$T$20,19,false)*HLOOKUP($K2221,'Type Chart'!$C$2:$U$20,19,false)</f>
        <v>1</v>
      </c>
      <c r="AM2221" s="964" t="s">
        <v>3321</v>
      </c>
      <c r="AN2221" s="965" t="s">
        <v>3648</v>
      </c>
      <c r="AO2221" s="966" t="s">
        <v>1520</v>
      </c>
      <c r="AP2221" s="936"/>
      <c r="AQ2221" s="1245"/>
      <c r="AR2221" s="1245"/>
      <c r="AS2221" s="936"/>
    </row>
    <row r="2222" ht="15.75" customHeight="1">
      <c r="A2222" s="1099"/>
      <c r="B2222" s="948" t="s">
        <v>3649</v>
      </c>
      <c r="C2222" s="1197" t="s">
        <v>3650</v>
      </c>
      <c r="D2222" s="1197" t="s">
        <v>3650</v>
      </c>
      <c r="E2222" s="1147" t="s">
        <v>3650</v>
      </c>
      <c r="F2222" s="940"/>
      <c r="G2222" s="953"/>
      <c r="H2222" s="969"/>
      <c r="I2222" s="998" t="s">
        <v>5319</v>
      </c>
      <c r="J2222" s="1194" t="s">
        <v>136</v>
      </c>
      <c r="K2222" s="1203" t="s">
        <v>344</v>
      </c>
      <c r="L2222" s="959">
        <v>90.0</v>
      </c>
      <c r="M2222" s="960">
        <v>60.0</v>
      </c>
      <c r="N2222" s="960">
        <v>80.0</v>
      </c>
      <c r="O2222" s="960">
        <v>90.0</v>
      </c>
      <c r="P2222" s="960">
        <v>110.0</v>
      </c>
      <c r="Q2222" s="960">
        <v>60.0</v>
      </c>
      <c r="R2222" s="960">
        <v>156.0</v>
      </c>
      <c r="S2222" s="960">
        <v>219.0</v>
      </c>
      <c r="T2222" s="960">
        <v>240.0</v>
      </c>
      <c r="U2222" s="960">
        <f t="array" ref="U2222">HLOOKUP($J2222,'Type Chart'!$C$2:$T$20,2,false)*HLOOKUP($K2222,'Type Chart'!$C$2:$U$20,2,false)</f>
        <v>1</v>
      </c>
      <c r="V2222" s="960">
        <f t="array" ref="V2222">HLOOKUP($J2222,'Type Chart'!$C$2:$T$20,3,false)*HLOOKUP($K2222,'Type Chart'!$C$2:$U$20,3,false)</f>
        <v>1</v>
      </c>
      <c r="W2222" s="960">
        <f t="array" ref="W2222">HLOOKUP($J2222,'Type Chart'!$C$2:$T$20,4,false)*HLOOKUP($K2222,'Type Chart'!$C$2:$U$20,4,false)</f>
        <v>1</v>
      </c>
      <c r="X2222" s="960">
        <f t="array" ref="X2222">HLOOKUP($J2222,'Type Chart'!$C$2:$T$20,5,false)*HLOOKUP($K2222,'Type Chart'!$C$2:$U$20,5,false)</f>
        <v>1</v>
      </c>
      <c r="Y2222" s="960">
        <f t="array" ref="Y2222">HLOOKUP($J2222,'Type Chart'!$C$2:$T$20,6,false)*HLOOKUP($K2222,'Type Chart'!$C$2:$U$20,6,false)</f>
        <v>1</v>
      </c>
      <c r="Z2222" s="960">
        <f t="array" ref="Z2222">HLOOKUP($J2222,'Type Chart'!$C$2:$T$20,7,false)*HLOOKUP($K2222,'Type Chart'!$C$2:$U$20,7,false)</f>
        <v>1</v>
      </c>
      <c r="AA2222" s="960">
        <f t="array" ref="AA2222">HLOOKUP($J2222,'Type Chart'!$C$2:$T$20,8,false)*HLOOKUP($K2222,'Type Chart'!$C$2:$U$20,8,false)</f>
        <v>2</v>
      </c>
      <c r="AB2222" s="960">
        <f t="array" ref="AB2222">HLOOKUP($J2222,'Type Chart'!$C$2:$T$20,9,false)*HLOOKUP($K2222,'Type Chart'!$C$2:$U$20,9,false)</f>
        <v>0</v>
      </c>
      <c r="AC2222" s="960">
        <f t="array" ref="AC2222">HLOOKUP($J2222,'Type Chart'!$C$2:$T$20,10,false)*HLOOKUP($K2222,'Type Chart'!$C$2:$U$20,10,false)</f>
        <v>1</v>
      </c>
      <c r="AD2222" s="960">
        <f t="array" ref="AD2222">HLOOKUP($J2222,'Type Chart'!$C$2:$T$20,11,false)*HLOOKUP($K2222,'Type Chart'!$C$2:$U$20,11,false)</f>
        <v>1</v>
      </c>
      <c r="AE2222" s="960">
        <f t="array" ref="AE2222">HLOOKUP($J2222,'Type Chart'!$C$2:$T$20,12,false)*HLOOKUP($K2222,'Type Chart'!$C$2:$U$20,12,false)</f>
        <v>1</v>
      </c>
      <c r="AF2222" s="960">
        <f t="array" ref="AF2222">HLOOKUP($J2222,'Type Chart'!$C$2:$T$20,13,false)*HLOOKUP($K2222,'Type Chart'!$C$2:$U$20,13,false)</f>
        <v>1</v>
      </c>
      <c r="AG2222" s="960">
        <f t="array" ref="AG2222">HLOOKUP($J2222,'Type Chart'!$C$2:$T$20,14,false)*HLOOKUP($K2222,'Type Chart'!$C$2:$U$20,14,false)</f>
        <v>1</v>
      </c>
      <c r="AH2222" s="960">
        <f t="array" ref="AH2222">HLOOKUP($J2222,'Type Chart'!$C$2:$T$20,15,false)*HLOOKUP($K2222,'Type Chart'!$C$2:$U$20,15,false)</f>
        <v>0.5</v>
      </c>
      <c r="AI2222" s="960">
        <f t="array" ref="AI2222">HLOOKUP($J2222,'Type Chart'!$C$2:$T$20,16,false)*HLOOKUP($K2222,'Type Chart'!$C$2:$U$20,16,false)</f>
        <v>1</v>
      </c>
      <c r="AJ2222" s="960">
        <f t="array" ref="AJ2222">HLOOKUP($J2222,'Type Chart'!$C$2:$T$20,17,false)*HLOOKUP($K2222,'Type Chart'!$C$2:$U$20,17,false)</f>
        <v>1</v>
      </c>
      <c r="AK2222" s="960">
        <f t="array" ref="AK2222">HLOOKUP($J2222,'Type Chart'!$C$2:$T$20,18,false)*HLOOKUP($K2222,'Type Chart'!$C$2:$U$20,18,false)</f>
        <v>2</v>
      </c>
      <c r="AL2222" s="960">
        <f t="array" ref="AL2222">HLOOKUP($J2222,'Type Chart'!$C$2:$T$20,19,false)*HLOOKUP($K2222,'Type Chart'!$C$2:$U$20,19,false)</f>
        <v>1</v>
      </c>
      <c r="AM2222" s="964" t="s">
        <v>1192</v>
      </c>
      <c r="AN2222" s="965" t="s">
        <v>1828</v>
      </c>
      <c r="AO2222" s="966" t="s">
        <v>3322</v>
      </c>
      <c r="AP2222" s="936"/>
      <c r="AQ2222" s="1245"/>
      <c r="AR2222" s="1245"/>
      <c r="AS2222" s="936"/>
    </row>
    <row r="2223" ht="15.75" customHeight="1">
      <c r="A2223" s="1099"/>
      <c r="B2223" s="948" t="s">
        <v>3651</v>
      </c>
      <c r="C2223" s="1197" t="s">
        <v>3652</v>
      </c>
      <c r="D2223" s="1197" t="s">
        <v>3652</v>
      </c>
      <c r="E2223" s="1147" t="s">
        <v>3652</v>
      </c>
      <c r="F2223" s="940"/>
      <c r="G2223" s="953"/>
      <c r="H2223" s="969"/>
      <c r="I2223" s="998" t="s">
        <v>5320</v>
      </c>
      <c r="J2223" s="1213" t="s">
        <v>341</v>
      </c>
      <c r="K2223" s="984" t="s">
        <v>216</v>
      </c>
      <c r="L2223" s="959">
        <v>100.0</v>
      </c>
      <c r="M2223" s="960">
        <v>120.0</v>
      </c>
      <c r="N2223" s="960">
        <v>90.0</v>
      </c>
      <c r="O2223" s="960">
        <v>40.0</v>
      </c>
      <c r="P2223" s="960">
        <v>60.0</v>
      </c>
      <c r="Q2223" s="960">
        <v>80.0</v>
      </c>
      <c r="R2223" s="960">
        <v>196.0</v>
      </c>
      <c r="S2223" s="960">
        <v>259.0</v>
      </c>
      <c r="T2223" s="960">
        <v>284.0</v>
      </c>
      <c r="U2223" s="960">
        <f t="array" ref="U2223">HLOOKUP($J2223,'Type Chart'!$C$2:$T$20,2,false)*HLOOKUP($K2223,'Type Chart'!$C$2:$U$20,2,false)</f>
        <v>1</v>
      </c>
      <c r="V2223" s="960">
        <f t="array" ref="V2223">HLOOKUP($J2223,'Type Chart'!$C$2:$T$20,3,false)*HLOOKUP($K2223,'Type Chart'!$C$2:$U$20,3,false)</f>
        <v>1</v>
      </c>
      <c r="W2223" s="960">
        <f t="array" ref="W2223">HLOOKUP($J2223,'Type Chart'!$C$2:$T$20,4,false)*HLOOKUP($K2223,'Type Chart'!$C$2:$U$20,4,false)</f>
        <v>2</v>
      </c>
      <c r="X2223" s="960">
        <f t="array" ref="X2223">HLOOKUP($J2223,'Type Chart'!$C$2:$T$20,5,false)*HLOOKUP($K2223,'Type Chart'!$C$2:$U$20,5,false)</f>
        <v>1</v>
      </c>
      <c r="Y2223" s="960">
        <f t="array" ref="Y2223">HLOOKUP($J2223,'Type Chart'!$C$2:$T$20,6,false)*HLOOKUP($K2223,'Type Chart'!$C$2:$U$20,6,false)</f>
        <v>1</v>
      </c>
      <c r="Z2223" s="960">
        <f t="array" ref="Z2223">HLOOKUP($J2223,'Type Chart'!$C$2:$T$20,7,false)*HLOOKUP($K2223,'Type Chart'!$C$2:$U$20,7,false)</f>
        <v>0.5</v>
      </c>
      <c r="AA2223" s="960">
        <f t="array" ref="AA2223">HLOOKUP($J2223,'Type Chart'!$C$2:$T$20,8,false)*HLOOKUP($K2223,'Type Chart'!$C$2:$U$20,8,false)</f>
        <v>0.5</v>
      </c>
      <c r="AB2223" s="960">
        <f t="array" ref="AB2223">HLOOKUP($J2223,'Type Chart'!$C$2:$T$20,9,false)*HLOOKUP($K2223,'Type Chart'!$C$2:$U$20,9,false)</f>
        <v>1</v>
      </c>
      <c r="AC2223" s="960">
        <f t="array" ref="AC2223">HLOOKUP($J2223,'Type Chart'!$C$2:$T$20,10,false)*HLOOKUP($K2223,'Type Chart'!$C$2:$U$20,10,false)</f>
        <v>1</v>
      </c>
      <c r="AD2223" s="960">
        <f t="array" ref="AD2223">HLOOKUP($J2223,'Type Chart'!$C$2:$T$20,11,false)*HLOOKUP($K2223,'Type Chart'!$C$2:$U$20,11,false)</f>
        <v>1</v>
      </c>
      <c r="AE2223" s="960">
        <f t="array" ref="AE2223">HLOOKUP($J2223,'Type Chart'!$C$2:$T$20,12,false)*HLOOKUP($K2223,'Type Chart'!$C$2:$U$20,12,false)</f>
        <v>1</v>
      </c>
      <c r="AF2223" s="960">
        <f t="array" ref="AF2223">HLOOKUP($J2223,'Type Chart'!$C$2:$T$20,13,false)*HLOOKUP($K2223,'Type Chart'!$C$2:$U$20,13,false)</f>
        <v>1</v>
      </c>
      <c r="AG2223" s="960">
        <f t="array" ref="AG2223">HLOOKUP($J2223,'Type Chart'!$C$2:$T$20,14,false)*HLOOKUP($K2223,'Type Chart'!$C$2:$U$20,14,false)</f>
        <v>1</v>
      </c>
      <c r="AH2223" s="960">
        <f t="array" ref="AH2223">HLOOKUP($J2223,'Type Chart'!$C$2:$T$20,15,false)*HLOOKUP($K2223,'Type Chart'!$C$2:$U$20,15,false)</f>
        <v>2</v>
      </c>
      <c r="AI2223" s="960">
        <f t="array" ref="AI2223">HLOOKUP($J2223,'Type Chart'!$C$2:$T$20,16,false)*HLOOKUP($K2223,'Type Chart'!$C$2:$U$20,16,false)</f>
        <v>1</v>
      </c>
      <c r="AJ2223" s="960">
        <f t="array" ref="AJ2223">HLOOKUP($J2223,'Type Chart'!$C$2:$T$20,17,false)*HLOOKUP($K2223,'Type Chart'!$C$2:$U$20,17,false)</f>
        <v>1</v>
      </c>
      <c r="AK2223" s="960">
        <f t="array" ref="AK2223">HLOOKUP($J2223,'Type Chart'!$C$2:$T$20,18,false)*HLOOKUP($K2223,'Type Chart'!$C$2:$U$20,18,false)</f>
        <v>0.5</v>
      </c>
      <c r="AL2223" s="960">
        <f t="array" ref="AL2223">HLOOKUP($J2223,'Type Chart'!$C$2:$T$20,19,false)*HLOOKUP($K2223,'Type Chart'!$C$2:$U$20,19,false)</f>
        <v>2</v>
      </c>
      <c r="AM2223" s="964" t="s">
        <v>3653</v>
      </c>
      <c r="AN2223" s="965"/>
      <c r="AO2223" s="966" t="s">
        <v>1267</v>
      </c>
      <c r="AP2223" s="936"/>
      <c r="AQ2223" s="1245"/>
      <c r="AR2223" s="1245"/>
      <c r="AS2223" s="936"/>
    </row>
    <row r="2224" ht="15.75" customHeight="1">
      <c r="A2224" s="1099"/>
      <c r="B2224" s="948" t="s">
        <v>3654</v>
      </c>
      <c r="C2224" s="1197" t="s">
        <v>3655</v>
      </c>
      <c r="D2224" s="1197" t="s">
        <v>3655</v>
      </c>
      <c r="E2224" s="1147" t="s">
        <v>3655</v>
      </c>
      <c r="F2224" s="940"/>
      <c r="G2224" s="953"/>
      <c r="H2224" s="969"/>
      <c r="I2224" s="998" t="s">
        <v>5321</v>
      </c>
      <c r="J2224" s="1180" t="s">
        <v>343</v>
      </c>
      <c r="K2224" s="1056" t="s">
        <v>81</v>
      </c>
      <c r="L2224" s="959">
        <v>25.0</v>
      </c>
      <c r="M2224" s="960">
        <v>35.0</v>
      </c>
      <c r="N2224" s="960">
        <v>40.0</v>
      </c>
      <c r="O2224" s="960">
        <v>20.0</v>
      </c>
      <c r="P2224" s="960">
        <v>30.0</v>
      </c>
      <c r="Q2224" s="960">
        <v>80.0</v>
      </c>
      <c r="R2224" s="960">
        <v>196.0</v>
      </c>
      <c r="S2224" s="960">
        <v>259.0</v>
      </c>
      <c r="T2224" s="960">
        <v>284.0</v>
      </c>
      <c r="U2224" s="960">
        <f t="array" ref="U2224">HLOOKUP($J2224,'Type Chart'!$C$2:$T$20,2,false)*HLOOKUP($K2224,'Type Chart'!$C$2:$U$20,2,false)</f>
        <v>1</v>
      </c>
      <c r="V2224" s="960">
        <f t="array" ref="V2224">HLOOKUP($J2224,'Type Chart'!$C$2:$T$20,3,false)*HLOOKUP($K2224,'Type Chart'!$C$2:$U$20,3,false)</f>
        <v>0.5</v>
      </c>
      <c r="W2224" s="960">
        <f t="array" ref="W2224">HLOOKUP($J2224,'Type Chart'!$C$2:$T$20,4,false)*HLOOKUP($K2224,'Type Chart'!$C$2:$U$20,4,false)</f>
        <v>2</v>
      </c>
      <c r="X2224" s="960">
        <f t="array" ref="X2224">HLOOKUP($J2224,'Type Chart'!$C$2:$T$20,5,false)*HLOOKUP($K2224,'Type Chart'!$C$2:$U$20,5,false)</f>
        <v>1</v>
      </c>
      <c r="Y2224" s="960">
        <f t="array" ref="Y2224">HLOOKUP($J2224,'Type Chart'!$C$2:$T$20,6,false)*HLOOKUP($K2224,'Type Chart'!$C$2:$U$20,6,false)</f>
        <v>0.5</v>
      </c>
      <c r="Z2224" s="960">
        <f t="array" ref="Z2224">HLOOKUP($J2224,'Type Chart'!$C$2:$T$20,7,false)*HLOOKUP($K2224,'Type Chart'!$C$2:$U$20,7,false)</f>
        <v>2</v>
      </c>
      <c r="AA2224" s="960">
        <f t="array" ref="AA2224">HLOOKUP($J2224,'Type Chart'!$C$2:$T$20,8,false)*HLOOKUP($K2224,'Type Chart'!$C$2:$U$20,8,false)</f>
        <v>1</v>
      </c>
      <c r="AB2224" s="960">
        <f t="array" ref="AB2224">HLOOKUP($J2224,'Type Chart'!$C$2:$T$20,9,false)*HLOOKUP($K2224,'Type Chart'!$C$2:$U$20,9,false)</f>
        <v>1</v>
      </c>
      <c r="AC2224" s="960">
        <f t="array" ref="AC2224">HLOOKUP($J2224,'Type Chart'!$C$2:$T$20,10,false)*HLOOKUP($K2224,'Type Chart'!$C$2:$U$20,10,false)</f>
        <v>0.5</v>
      </c>
      <c r="AD2224" s="960">
        <f t="array" ref="AD2224">HLOOKUP($J2224,'Type Chart'!$C$2:$T$20,11,false)*HLOOKUP($K2224,'Type Chart'!$C$2:$U$20,11,false)</f>
        <v>1</v>
      </c>
      <c r="AE2224" s="960">
        <f t="array" ref="AE2224">HLOOKUP($J2224,'Type Chart'!$C$2:$T$20,12,false)*HLOOKUP($K2224,'Type Chart'!$C$2:$U$20,12,false)</f>
        <v>0.5</v>
      </c>
      <c r="AF2224" s="960">
        <f t="array" ref="AF2224">HLOOKUP($J2224,'Type Chart'!$C$2:$T$20,13,false)*HLOOKUP($K2224,'Type Chart'!$C$2:$U$20,13,false)</f>
        <v>1</v>
      </c>
      <c r="AG2224" s="960">
        <f t="array" ref="AG2224">HLOOKUP($J2224,'Type Chart'!$C$2:$T$20,14,false)*HLOOKUP($K2224,'Type Chart'!$C$2:$U$20,14,false)</f>
        <v>2</v>
      </c>
      <c r="AH2224" s="960">
        <f t="array" ref="AH2224">HLOOKUP($J2224,'Type Chart'!$C$2:$T$20,15,false)*HLOOKUP($K2224,'Type Chart'!$C$2:$U$20,15,false)</f>
        <v>1</v>
      </c>
      <c r="AI2224" s="960">
        <f t="array" ref="AI2224">HLOOKUP($J2224,'Type Chart'!$C$2:$T$20,16,false)*HLOOKUP($K2224,'Type Chart'!$C$2:$U$20,16,false)</f>
        <v>0.5</v>
      </c>
      <c r="AJ2224" s="960">
        <f t="array" ref="AJ2224">HLOOKUP($J2224,'Type Chart'!$C$2:$T$20,17,false)*HLOOKUP($K2224,'Type Chart'!$C$2:$U$20,17,false)</f>
        <v>1</v>
      </c>
      <c r="AK2224" s="960">
        <f t="array" ref="AK2224">HLOOKUP($J2224,'Type Chart'!$C$2:$T$20,18,false)*HLOOKUP($K2224,'Type Chart'!$C$2:$U$20,18,false)</f>
        <v>1</v>
      </c>
      <c r="AL2224" s="960">
        <f t="array" ref="AL2224">HLOOKUP($J2224,'Type Chart'!$C$2:$T$20,19,false)*HLOOKUP($K2224,'Type Chart'!$C$2:$U$20,19,false)</f>
        <v>1</v>
      </c>
      <c r="AM2224" s="964" t="s">
        <v>3657</v>
      </c>
      <c r="AN2224" s="965"/>
      <c r="AO2224" s="966"/>
      <c r="AP2224" s="936"/>
      <c r="AQ2224" s="1245"/>
      <c r="AR2224" s="1245"/>
      <c r="AS2224" s="936"/>
    </row>
    <row r="2225" ht="15.75" customHeight="1">
      <c r="A2225" s="1099"/>
      <c r="B2225" s="948" t="s">
        <v>3658</v>
      </c>
      <c r="C2225" s="1197" t="s">
        <v>3659</v>
      </c>
      <c r="D2225" s="1197" t="s">
        <v>3659</v>
      </c>
      <c r="E2225" s="1147" t="s">
        <v>3659</v>
      </c>
      <c r="F2225" s="940"/>
      <c r="G2225" s="953"/>
      <c r="H2225" s="969"/>
      <c r="I2225" s="998" t="s">
        <v>5322</v>
      </c>
      <c r="J2225" s="1180" t="s">
        <v>343</v>
      </c>
      <c r="K2225" s="1056" t="s">
        <v>81</v>
      </c>
      <c r="L2225" s="959">
        <v>75.0</v>
      </c>
      <c r="M2225" s="960">
        <v>125.0</v>
      </c>
      <c r="N2225" s="960">
        <v>140.0</v>
      </c>
      <c r="O2225" s="960">
        <v>60.0</v>
      </c>
      <c r="P2225" s="960">
        <v>90.0</v>
      </c>
      <c r="Q2225" s="960">
        <v>40.0</v>
      </c>
      <c r="R2225" s="960">
        <v>116.0</v>
      </c>
      <c r="S2225" s="960">
        <v>179.0</v>
      </c>
      <c r="T2225" s="960">
        <v>196.0</v>
      </c>
      <c r="U2225" s="960">
        <f t="array" ref="U2225">HLOOKUP($J2225,'Type Chart'!$C$2:$T$20,2,false)*HLOOKUP($K2225,'Type Chart'!$C$2:$U$20,2,false)</f>
        <v>1</v>
      </c>
      <c r="V2225" s="960">
        <f t="array" ref="V2225">HLOOKUP($J2225,'Type Chart'!$C$2:$T$20,3,false)*HLOOKUP($K2225,'Type Chart'!$C$2:$U$20,3,false)</f>
        <v>0.5</v>
      </c>
      <c r="W2225" s="960">
        <f t="array" ref="W2225">HLOOKUP($J2225,'Type Chart'!$C$2:$T$20,4,false)*HLOOKUP($K2225,'Type Chart'!$C$2:$U$20,4,false)</f>
        <v>2</v>
      </c>
      <c r="X2225" s="960">
        <f t="array" ref="X2225">HLOOKUP($J2225,'Type Chart'!$C$2:$T$20,5,false)*HLOOKUP($K2225,'Type Chart'!$C$2:$U$20,5,false)</f>
        <v>1</v>
      </c>
      <c r="Y2225" s="960">
        <f t="array" ref="Y2225">HLOOKUP($J2225,'Type Chart'!$C$2:$T$20,6,false)*HLOOKUP($K2225,'Type Chart'!$C$2:$U$20,6,false)</f>
        <v>0.5</v>
      </c>
      <c r="Z2225" s="960">
        <f t="array" ref="Z2225">HLOOKUP($J2225,'Type Chart'!$C$2:$T$20,7,false)*HLOOKUP($K2225,'Type Chart'!$C$2:$U$20,7,false)</f>
        <v>2</v>
      </c>
      <c r="AA2225" s="960">
        <f t="array" ref="AA2225">HLOOKUP($J2225,'Type Chart'!$C$2:$T$20,8,false)*HLOOKUP($K2225,'Type Chart'!$C$2:$U$20,8,false)</f>
        <v>1</v>
      </c>
      <c r="AB2225" s="960">
        <f t="array" ref="AB2225">HLOOKUP($J2225,'Type Chart'!$C$2:$T$20,9,false)*HLOOKUP($K2225,'Type Chart'!$C$2:$U$20,9,false)</f>
        <v>1</v>
      </c>
      <c r="AC2225" s="960">
        <f t="array" ref="AC2225">HLOOKUP($J2225,'Type Chart'!$C$2:$T$20,10,false)*HLOOKUP($K2225,'Type Chart'!$C$2:$U$20,10,false)</f>
        <v>0.5</v>
      </c>
      <c r="AD2225" s="960">
        <f t="array" ref="AD2225">HLOOKUP($J2225,'Type Chart'!$C$2:$T$20,11,false)*HLOOKUP($K2225,'Type Chart'!$C$2:$U$20,11,false)</f>
        <v>1</v>
      </c>
      <c r="AE2225" s="960">
        <f t="array" ref="AE2225">HLOOKUP($J2225,'Type Chart'!$C$2:$T$20,12,false)*HLOOKUP($K2225,'Type Chart'!$C$2:$U$20,12,false)</f>
        <v>0.5</v>
      </c>
      <c r="AF2225" s="960">
        <f t="array" ref="AF2225">HLOOKUP($J2225,'Type Chart'!$C$2:$T$20,13,false)*HLOOKUP($K2225,'Type Chart'!$C$2:$U$20,13,false)</f>
        <v>1</v>
      </c>
      <c r="AG2225" s="960">
        <f t="array" ref="AG2225">HLOOKUP($J2225,'Type Chart'!$C$2:$T$20,14,false)*HLOOKUP($K2225,'Type Chart'!$C$2:$U$20,14,false)</f>
        <v>2</v>
      </c>
      <c r="AH2225" s="960">
        <f t="array" ref="AH2225">HLOOKUP($J2225,'Type Chart'!$C$2:$T$20,15,false)*HLOOKUP($K2225,'Type Chart'!$C$2:$U$20,15,false)</f>
        <v>1</v>
      </c>
      <c r="AI2225" s="960">
        <f t="array" ref="AI2225">HLOOKUP($J2225,'Type Chart'!$C$2:$T$20,16,false)*HLOOKUP($K2225,'Type Chart'!$C$2:$U$20,16,false)</f>
        <v>0.5</v>
      </c>
      <c r="AJ2225" s="960">
        <f t="array" ref="AJ2225">HLOOKUP($J2225,'Type Chart'!$C$2:$T$20,17,false)*HLOOKUP($K2225,'Type Chart'!$C$2:$U$20,17,false)</f>
        <v>1</v>
      </c>
      <c r="AK2225" s="960">
        <f t="array" ref="AK2225">HLOOKUP($J2225,'Type Chart'!$C$2:$T$20,18,false)*HLOOKUP($K2225,'Type Chart'!$C$2:$U$20,18,false)</f>
        <v>1</v>
      </c>
      <c r="AL2225" s="960">
        <f t="array" ref="AL2225">HLOOKUP($J2225,'Type Chart'!$C$2:$T$20,19,false)*HLOOKUP($K2225,'Type Chart'!$C$2:$U$20,19,false)</f>
        <v>1</v>
      </c>
      <c r="AM2225" s="964" t="s">
        <v>3661</v>
      </c>
      <c r="AN2225" s="965"/>
      <c r="AO2225" s="966"/>
      <c r="AP2225" s="936"/>
      <c r="AQ2225" s="1245"/>
      <c r="AR2225" s="1245"/>
      <c r="AS2225" s="936"/>
    </row>
    <row r="2226" ht="15.75" customHeight="1">
      <c r="A2226" s="1099"/>
      <c r="B2226" s="948" t="s">
        <v>3662</v>
      </c>
      <c r="C2226" s="1197" t="s">
        <v>3663</v>
      </c>
      <c r="D2226" s="1197" t="s">
        <v>3663</v>
      </c>
      <c r="E2226" s="1147" t="s">
        <v>3663</v>
      </c>
      <c r="F2226" s="940"/>
      <c r="G2226" s="953"/>
      <c r="H2226" s="969"/>
      <c r="I2226" s="998" t="s">
        <v>5323</v>
      </c>
      <c r="J2226" s="1220" t="s">
        <v>215</v>
      </c>
      <c r="K2226" s="1204" t="s">
        <v>80</v>
      </c>
      <c r="L2226" s="959">
        <v>55.0</v>
      </c>
      <c r="M2226" s="960">
        <v>55.0</v>
      </c>
      <c r="N2226" s="960">
        <v>80.0</v>
      </c>
      <c r="O2226" s="960">
        <v>70.0</v>
      </c>
      <c r="P2226" s="960">
        <v>45.0</v>
      </c>
      <c r="Q2226" s="960">
        <v>15.0</v>
      </c>
      <c r="R2226" s="960">
        <v>66.0</v>
      </c>
      <c r="S2226" s="960">
        <v>129.0</v>
      </c>
      <c r="T2226" s="960">
        <v>141.0</v>
      </c>
      <c r="U2226" s="960">
        <f t="array" ref="U2226">HLOOKUP($J2226,'Type Chart'!$C$2:$T$20,2,false)*HLOOKUP($K2226,'Type Chart'!$C$2:$U$20,2,false)</f>
        <v>0</v>
      </c>
      <c r="V2226" s="960">
        <f t="array" ref="V2226">HLOOKUP($J2226,'Type Chart'!$C$2:$T$20,3,false)*HLOOKUP($K2226,'Type Chart'!$C$2:$U$20,3,false)</f>
        <v>0</v>
      </c>
      <c r="W2226" s="960">
        <f t="array" ref="W2226">HLOOKUP($J2226,'Type Chart'!$C$2:$T$20,4,false)*HLOOKUP($K2226,'Type Chart'!$C$2:$U$20,4,false)</f>
        <v>1</v>
      </c>
      <c r="X2226" s="960">
        <f t="array" ref="X2226">HLOOKUP($J2226,'Type Chart'!$C$2:$T$20,5,false)*HLOOKUP($K2226,'Type Chart'!$C$2:$U$20,5,false)</f>
        <v>0.25</v>
      </c>
      <c r="Y2226" s="960">
        <f t="array" ref="Y2226">HLOOKUP($J2226,'Type Chart'!$C$2:$T$20,6,false)*HLOOKUP($K2226,'Type Chart'!$C$2:$U$20,6,false)</f>
        <v>1</v>
      </c>
      <c r="Z2226" s="960">
        <f t="array" ref="Z2226">HLOOKUP($J2226,'Type Chart'!$C$2:$T$20,7,false)*HLOOKUP($K2226,'Type Chart'!$C$2:$U$20,7,false)</f>
        <v>0.5</v>
      </c>
      <c r="AA2226" s="960">
        <f t="array" ref="AA2226">HLOOKUP($J2226,'Type Chart'!$C$2:$T$20,8,false)*HLOOKUP($K2226,'Type Chart'!$C$2:$U$20,8,false)</f>
        <v>0.5</v>
      </c>
      <c r="AB2226" s="960">
        <f t="array" ref="AB2226">HLOOKUP($J2226,'Type Chart'!$C$2:$T$20,9,false)*HLOOKUP($K2226,'Type Chart'!$C$2:$U$20,9,false)</f>
        <v>2</v>
      </c>
      <c r="AC2226" s="960">
        <f t="array" ref="AC2226">HLOOKUP($J2226,'Type Chart'!$C$2:$T$20,10,false)*HLOOKUP($K2226,'Type Chart'!$C$2:$U$20,10,false)</f>
        <v>1</v>
      </c>
      <c r="AD2226" s="960">
        <f t="array" ref="AD2226">HLOOKUP($J2226,'Type Chart'!$C$2:$T$20,11,false)*HLOOKUP($K2226,'Type Chart'!$C$2:$U$20,11,false)</f>
        <v>1</v>
      </c>
      <c r="AE2226" s="960">
        <f t="array" ref="AE2226">HLOOKUP($J2226,'Type Chart'!$C$2:$T$20,12,false)*HLOOKUP($K2226,'Type Chart'!$C$2:$U$20,12,false)</f>
        <v>2</v>
      </c>
      <c r="AF2226" s="960">
        <f t="array" ref="AF2226">HLOOKUP($J2226,'Type Chart'!$C$2:$T$20,13,false)*HLOOKUP($K2226,'Type Chart'!$C$2:$U$20,13,false)</f>
        <v>2</v>
      </c>
      <c r="AG2226" s="960">
        <f t="array" ref="AG2226">HLOOKUP($J2226,'Type Chart'!$C$2:$T$20,14,false)*HLOOKUP($K2226,'Type Chart'!$C$2:$U$20,14,false)</f>
        <v>0</v>
      </c>
      <c r="AH2226" s="960">
        <f t="array" ref="AH2226">HLOOKUP($J2226,'Type Chart'!$C$2:$T$20,15,false)*HLOOKUP($K2226,'Type Chart'!$C$2:$U$20,15,false)</f>
        <v>1</v>
      </c>
      <c r="AI2226" s="960">
        <f t="array" ref="AI2226">HLOOKUP($J2226,'Type Chart'!$C$2:$T$20,16,false)*HLOOKUP($K2226,'Type Chart'!$C$2:$U$20,16,false)</f>
        <v>2</v>
      </c>
      <c r="AJ2226" s="960">
        <f t="array" ref="AJ2226">HLOOKUP($J2226,'Type Chart'!$C$2:$T$20,17,false)*HLOOKUP($K2226,'Type Chart'!$C$2:$U$20,17,false)</f>
        <v>1</v>
      </c>
      <c r="AK2226" s="960">
        <f t="array" ref="AK2226">HLOOKUP($J2226,'Type Chart'!$C$2:$T$20,18,false)*HLOOKUP($K2226,'Type Chart'!$C$2:$U$20,18,false)</f>
        <v>2</v>
      </c>
      <c r="AL2226" s="960">
        <f t="array" ref="AL2226">HLOOKUP($J2226,'Type Chart'!$C$2:$T$20,19,false)*HLOOKUP($K2226,'Type Chart'!$C$2:$U$20,19,false)</f>
        <v>1</v>
      </c>
      <c r="AM2226" s="964" t="s">
        <v>3665</v>
      </c>
      <c r="AN2226" s="965"/>
      <c r="AO2226" s="966" t="s">
        <v>1129</v>
      </c>
      <c r="AP2226" s="936"/>
      <c r="AQ2226" s="1245"/>
      <c r="AR2226" s="1245"/>
      <c r="AS2226" s="936"/>
    </row>
    <row r="2227" ht="15.75" customHeight="1">
      <c r="A2227" s="1099"/>
      <c r="B2227" s="948" t="s">
        <v>3666</v>
      </c>
      <c r="C2227" s="1197" t="s">
        <v>3667</v>
      </c>
      <c r="D2227" s="1197" t="s">
        <v>3667</v>
      </c>
      <c r="E2227" s="1147" t="s">
        <v>3667</v>
      </c>
      <c r="F2227" s="940"/>
      <c r="G2227" s="953"/>
      <c r="H2227" s="969"/>
      <c r="I2227" s="998" t="s">
        <v>5324</v>
      </c>
      <c r="J2227" s="1220" t="s">
        <v>215</v>
      </c>
      <c r="K2227" s="1204" t="s">
        <v>80</v>
      </c>
      <c r="L2227" s="959">
        <v>85.0</v>
      </c>
      <c r="M2227" s="960">
        <v>75.0</v>
      </c>
      <c r="N2227" s="960">
        <v>110.0</v>
      </c>
      <c r="O2227" s="960">
        <v>100.0</v>
      </c>
      <c r="P2227" s="960">
        <v>75.0</v>
      </c>
      <c r="Q2227" s="960">
        <v>35.0</v>
      </c>
      <c r="R2227" s="960">
        <v>106.0</v>
      </c>
      <c r="S2227" s="960">
        <v>169.0</v>
      </c>
      <c r="T2227" s="960">
        <v>185.0</v>
      </c>
      <c r="U2227" s="960">
        <f t="array" ref="U2227">HLOOKUP($J2227,'Type Chart'!$C$2:$T$20,2,false)*HLOOKUP($K2227,'Type Chart'!$C$2:$U$20,2,false)</f>
        <v>0</v>
      </c>
      <c r="V2227" s="960">
        <f t="array" ref="V2227">HLOOKUP($J2227,'Type Chart'!$C$2:$T$20,3,false)*HLOOKUP($K2227,'Type Chart'!$C$2:$U$20,3,false)</f>
        <v>0</v>
      </c>
      <c r="W2227" s="960">
        <f t="array" ref="W2227">HLOOKUP($J2227,'Type Chart'!$C$2:$T$20,4,false)*HLOOKUP($K2227,'Type Chart'!$C$2:$U$20,4,false)</f>
        <v>1</v>
      </c>
      <c r="X2227" s="960">
        <f t="array" ref="X2227">HLOOKUP($J2227,'Type Chart'!$C$2:$T$20,5,false)*HLOOKUP($K2227,'Type Chart'!$C$2:$U$20,5,false)</f>
        <v>0.25</v>
      </c>
      <c r="Y2227" s="960">
        <f t="array" ref="Y2227">HLOOKUP($J2227,'Type Chart'!$C$2:$T$20,6,false)*HLOOKUP($K2227,'Type Chart'!$C$2:$U$20,6,false)</f>
        <v>1</v>
      </c>
      <c r="Z2227" s="960">
        <f t="array" ref="Z2227">HLOOKUP($J2227,'Type Chart'!$C$2:$T$20,7,false)*HLOOKUP($K2227,'Type Chart'!$C$2:$U$20,7,false)</f>
        <v>0.5</v>
      </c>
      <c r="AA2227" s="960">
        <f t="array" ref="AA2227">HLOOKUP($J2227,'Type Chart'!$C$2:$T$20,8,false)*HLOOKUP($K2227,'Type Chart'!$C$2:$U$20,8,false)</f>
        <v>0.5</v>
      </c>
      <c r="AB2227" s="960">
        <f t="array" ref="AB2227">HLOOKUP($J2227,'Type Chart'!$C$2:$T$20,9,false)*HLOOKUP($K2227,'Type Chart'!$C$2:$U$20,9,false)</f>
        <v>2</v>
      </c>
      <c r="AC2227" s="960">
        <f t="array" ref="AC2227">HLOOKUP($J2227,'Type Chart'!$C$2:$T$20,10,false)*HLOOKUP($K2227,'Type Chart'!$C$2:$U$20,10,false)</f>
        <v>1</v>
      </c>
      <c r="AD2227" s="960">
        <f t="array" ref="AD2227">HLOOKUP($J2227,'Type Chart'!$C$2:$T$20,11,false)*HLOOKUP($K2227,'Type Chart'!$C$2:$U$20,11,false)</f>
        <v>1</v>
      </c>
      <c r="AE2227" s="960">
        <f t="array" ref="AE2227">HLOOKUP($J2227,'Type Chart'!$C$2:$T$20,12,false)*HLOOKUP($K2227,'Type Chart'!$C$2:$U$20,12,false)</f>
        <v>2</v>
      </c>
      <c r="AF2227" s="960">
        <f t="array" ref="AF2227">HLOOKUP($J2227,'Type Chart'!$C$2:$T$20,13,false)*HLOOKUP($K2227,'Type Chart'!$C$2:$U$20,13,false)</f>
        <v>2</v>
      </c>
      <c r="AG2227" s="960">
        <f t="array" ref="AG2227">HLOOKUP($J2227,'Type Chart'!$C$2:$T$20,14,false)*HLOOKUP($K2227,'Type Chart'!$C$2:$U$20,14,false)</f>
        <v>0</v>
      </c>
      <c r="AH2227" s="960">
        <f t="array" ref="AH2227">HLOOKUP($J2227,'Type Chart'!$C$2:$T$20,15,false)*HLOOKUP($K2227,'Type Chart'!$C$2:$U$20,15,false)</f>
        <v>1</v>
      </c>
      <c r="AI2227" s="960">
        <f t="array" ref="AI2227">HLOOKUP($J2227,'Type Chart'!$C$2:$T$20,16,false)*HLOOKUP($K2227,'Type Chart'!$C$2:$U$20,16,false)</f>
        <v>2</v>
      </c>
      <c r="AJ2227" s="960">
        <f t="array" ref="AJ2227">HLOOKUP($J2227,'Type Chart'!$C$2:$T$20,17,false)*HLOOKUP($K2227,'Type Chart'!$C$2:$U$20,17,false)</f>
        <v>1</v>
      </c>
      <c r="AK2227" s="960">
        <f t="array" ref="AK2227">HLOOKUP($J2227,'Type Chart'!$C$2:$T$20,18,false)*HLOOKUP($K2227,'Type Chart'!$C$2:$U$20,18,false)</f>
        <v>2</v>
      </c>
      <c r="AL2227" s="960">
        <f t="array" ref="AL2227">HLOOKUP($J2227,'Type Chart'!$C$2:$T$20,19,false)*HLOOKUP($K2227,'Type Chart'!$C$2:$U$20,19,false)</f>
        <v>1</v>
      </c>
      <c r="AM2227" s="964" t="s">
        <v>3665</v>
      </c>
      <c r="AN2227" s="965"/>
      <c r="AO2227" s="966" t="s">
        <v>1129</v>
      </c>
      <c r="AP2227" s="936"/>
      <c r="AQ2227" s="1245"/>
      <c r="AR2227" s="1245"/>
      <c r="AS2227" s="936"/>
    </row>
    <row r="2228" ht="15.75" customHeight="1">
      <c r="A2228" s="1099"/>
      <c r="B2228" s="948" t="s">
        <v>3668</v>
      </c>
      <c r="C2228" s="1197" t="s">
        <v>3669</v>
      </c>
      <c r="D2228" s="1197" t="s">
        <v>3669</v>
      </c>
      <c r="E2228" s="1147" t="s">
        <v>3669</v>
      </c>
      <c r="F2228" s="940"/>
      <c r="G2228" s="953"/>
      <c r="H2228" s="969"/>
      <c r="I2228" s="998" t="s">
        <v>5325</v>
      </c>
      <c r="J2228" s="1056" t="s">
        <v>81</v>
      </c>
      <c r="K2228" s="984" t="s">
        <v>216</v>
      </c>
      <c r="L2228" s="959">
        <v>55.0</v>
      </c>
      <c r="M2228" s="960">
        <v>60.0</v>
      </c>
      <c r="N2228" s="960">
        <v>130.0</v>
      </c>
      <c r="O2228" s="960">
        <v>30.0</v>
      </c>
      <c r="P2228" s="960">
        <v>130.0</v>
      </c>
      <c r="Q2228" s="960">
        <v>5.0</v>
      </c>
      <c r="R2228" s="960">
        <v>46.0</v>
      </c>
      <c r="S2228" s="960">
        <v>109.0</v>
      </c>
      <c r="T2228" s="960">
        <v>119.0</v>
      </c>
      <c r="U2228" s="960">
        <f t="array" ref="U2228">HLOOKUP($J2228,'Type Chart'!$C$2:$T$20,2,false)*HLOOKUP($K2228,'Type Chart'!$C$2:$U$20,2,false)</f>
        <v>1</v>
      </c>
      <c r="V2228" s="960">
        <f t="array" ref="V2228">HLOOKUP($J2228,'Type Chart'!$C$2:$T$20,3,false)*HLOOKUP($K2228,'Type Chart'!$C$2:$U$20,3,false)</f>
        <v>1</v>
      </c>
      <c r="W2228" s="960">
        <f t="array" ref="W2228">HLOOKUP($J2228,'Type Chart'!$C$2:$T$20,4,false)*HLOOKUP($K2228,'Type Chart'!$C$2:$U$20,4,false)</f>
        <v>1</v>
      </c>
      <c r="X2228" s="960">
        <f t="array" ref="X2228">HLOOKUP($J2228,'Type Chart'!$C$2:$T$20,5,false)*HLOOKUP($K2228,'Type Chart'!$C$2:$U$20,5,false)</f>
        <v>1</v>
      </c>
      <c r="Y2228" s="960">
        <f t="array" ref="Y2228">HLOOKUP($J2228,'Type Chart'!$C$2:$T$20,6,false)*HLOOKUP($K2228,'Type Chart'!$C$2:$U$20,6,false)</f>
        <v>1</v>
      </c>
      <c r="Z2228" s="960">
        <f t="array" ref="Z2228">HLOOKUP($J2228,'Type Chart'!$C$2:$T$20,7,false)*HLOOKUP($K2228,'Type Chart'!$C$2:$U$20,7,false)</f>
        <v>1</v>
      </c>
      <c r="AA2228" s="960">
        <f t="array" ref="AA2228">HLOOKUP($J2228,'Type Chart'!$C$2:$T$20,8,false)*HLOOKUP($K2228,'Type Chart'!$C$2:$U$20,8,false)</f>
        <v>1</v>
      </c>
      <c r="AB2228" s="960">
        <f t="array" ref="AB2228">HLOOKUP($J2228,'Type Chart'!$C$2:$T$20,9,false)*HLOOKUP($K2228,'Type Chart'!$C$2:$U$20,9,false)</f>
        <v>1</v>
      </c>
      <c r="AC2228" s="960">
        <f t="array" ref="AC2228">HLOOKUP($J2228,'Type Chart'!$C$2:$T$20,10,false)*HLOOKUP($K2228,'Type Chart'!$C$2:$U$20,10,false)</f>
        <v>0.5</v>
      </c>
      <c r="AD2228" s="960">
        <f t="array" ref="AD2228">HLOOKUP($J2228,'Type Chart'!$C$2:$T$20,11,false)*HLOOKUP($K2228,'Type Chart'!$C$2:$U$20,11,false)</f>
        <v>0.5</v>
      </c>
      <c r="AE2228" s="960">
        <f t="array" ref="AE2228">HLOOKUP($J2228,'Type Chart'!$C$2:$T$20,12,false)*HLOOKUP($K2228,'Type Chart'!$C$2:$U$20,12,false)</f>
        <v>0.5</v>
      </c>
      <c r="AF2228" s="960">
        <f t="array" ref="AF2228">HLOOKUP($J2228,'Type Chart'!$C$2:$T$20,13,false)*HLOOKUP($K2228,'Type Chart'!$C$2:$U$20,13,false)</f>
        <v>2</v>
      </c>
      <c r="AG2228" s="960">
        <f t="array" ref="AG2228">HLOOKUP($J2228,'Type Chart'!$C$2:$T$20,14,false)*HLOOKUP($K2228,'Type Chart'!$C$2:$U$20,14,false)</f>
        <v>2</v>
      </c>
      <c r="AH2228" s="960">
        <f t="array" ref="AH2228">HLOOKUP($J2228,'Type Chart'!$C$2:$T$20,15,false)*HLOOKUP($K2228,'Type Chart'!$C$2:$U$20,15,false)</f>
        <v>1</v>
      </c>
      <c r="AI2228" s="960">
        <f t="array" ref="AI2228">HLOOKUP($J2228,'Type Chart'!$C$2:$T$20,16,false)*HLOOKUP($K2228,'Type Chart'!$C$2:$U$20,16,false)</f>
        <v>0.5</v>
      </c>
      <c r="AJ2228" s="960">
        <f t="array" ref="AJ2228">HLOOKUP($J2228,'Type Chart'!$C$2:$T$20,17,false)*HLOOKUP($K2228,'Type Chart'!$C$2:$U$20,17,false)</f>
        <v>1</v>
      </c>
      <c r="AK2228" s="960">
        <f t="array" ref="AK2228">HLOOKUP($J2228,'Type Chart'!$C$2:$T$20,18,false)*HLOOKUP($K2228,'Type Chart'!$C$2:$U$20,18,false)</f>
        <v>1</v>
      </c>
      <c r="AL2228" s="960">
        <f t="array" ref="AL2228">HLOOKUP($J2228,'Type Chart'!$C$2:$T$20,19,false)*HLOOKUP($K2228,'Type Chart'!$C$2:$U$20,19,false)</f>
        <v>1</v>
      </c>
      <c r="AM2228" s="964" t="s">
        <v>3671</v>
      </c>
      <c r="AN2228" s="965"/>
      <c r="AO2228" s="966" t="s">
        <v>1169</v>
      </c>
      <c r="AP2228" s="936"/>
      <c r="AQ2228" s="1245"/>
      <c r="AR2228" s="1245"/>
      <c r="AS2228" s="936"/>
    </row>
    <row r="2229" ht="15.75" customHeight="1">
      <c r="A2229" s="1099"/>
      <c r="B2229" s="948" t="s">
        <v>3672</v>
      </c>
      <c r="C2229" s="1197" t="s">
        <v>3673</v>
      </c>
      <c r="D2229" s="1197" t="s">
        <v>3674</v>
      </c>
      <c r="E2229" s="1147" t="s">
        <v>3673</v>
      </c>
      <c r="F2229" s="940"/>
      <c r="G2229" s="953"/>
      <c r="H2229" s="969"/>
      <c r="I2229" s="998" t="s">
        <v>5326</v>
      </c>
      <c r="J2229" s="1194" t="s">
        <v>136</v>
      </c>
      <c r="K2229" s="984" t="s">
        <v>216</v>
      </c>
      <c r="L2229" s="959">
        <v>95.0</v>
      </c>
      <c r="M2229" s="960">
        <v>95.0</v>
      </c>
      <c r="N2229" s="960">
        <v>95.0</v>
      </c>
      <c r="O2229" s="960">
        <v>95.0</v>
      </c>
      <c r="P2229" s="960">
        <v>95.0</v>
      </c>
      <c r="Q2229" s="960">
        <v>59.0</v>
      </c>
      <c r="R2229" s="960">
        <v>154.0</v>
      </c>
      <c r="S2229" s="960">
        <v>217.0</v>
      </c>
      <c r="T2229" s="960">
        <v>238.0</v>
      </c>
      <c r="U2229" s="960">
        <f t="array" ref="U2229">HLOOKUP($J2229,'Type Chart'!$C$2:$T$20,2,false)*HLOOKUP($K2229,'Type Chart'!$C$2:$U$20,2,false)</f>
        <v>1</v>
      </c>
      <c r="V2229" s="960">
        <f t="array" ref="V2229">HLOOKUP($J2229,'Type Chart'!$C$2:$T$20,3,false)*HLOOKUP($K2229,'Type Chart'!$C$2:$U$20,3,false)</f>
        <v>2</v>
      </c>
      <c r="W2229" s="960">
        <f t="array" ref="W2229">HLOOKUP($J2229,'Type Chart'!$C$2:$T$20,4,false)*HLOOKUP($K2229,'Type Chart'!$C$2:$U$20,4,false)</f>
        <v>1</v>
      </c>
      <c r="X2229" s="960">
        <f t="array" ref="X2229">HLOOKUP($J2229,'Type Chart'!$C$2:$T$20,5,false)*HLOOKUP($K2229,'Type Chart'!$C$2:$U$20,5,false)</f>
        <v>1</v>
      </c>
      <c r="Y2229" s="960">
        <f t="array" ref="Y2229">HLOOKUP($J2229,'Type Chart'!$C$2:$T$20,6,false)*HLOOKUP($K2229,'Type Chart'!$C$2:$U$20,6,false)</f>
        <v>1</v>
      </c>
      <c r="Z2229" s="960">
        <f t="array" ref="Z2229">HLOOKUP($J2229,'Type Chart'!$C$2:$T$20,7,false)*HLOOKUP($K2229,'Type Chart'!$C$2:$U$20,7,false)</f>
        <v>1</v>
      </c>
      <c r="AA2229" s="960">
        <f t="array" ref="AA2229">HLOOKUP($J2229,'Type Chart'!$C$2:$T$20,8,false)*HLOOKUP($K2229,'Type Chart'!$C$2:$U$20,8,false)</f>
        <v>1</v>
      </c>
      <c r="AB2229" s="960">
        <f t="array" ref="AB2229">HLOOKUP($J2229,'Type Chart'!$C$2:$T$20,9,false)*HLOOKUP($K2229,'Type Chart'!$C$2:$U$20,9,false)</f>
        <v>0</v>
      </c>
      <c r="AC2229" s="960">
        <f t="array" ref="AC2229">HLOOKUP($J2229,'Type Chart'!$C$2:$T$20,10,false)*HLOOKUP($K2229,'Type Chart'!$C$2:$U$20,10,false)</f>
        <v>1</v>
      </c>
      <c r="AD2229" s="960">
        <f t="array" ref="AD2229">HLOOKUP($J2229,'Type Chart'!$C$2:$T$20,11,false)*HLOOKUP($K2229,'Type Chart'!$C$2:$U$20,11,false)</f>
        <v>1</v>
      </c>
      <c r="AE2229" s="960">
        <f t="array" ref="AE2229">HLOOKUP($J2229,'Type Chart'!$C$2:$T$20,12,false)*HLOOKUP($K2229,'Type Chart'!$C$2:$U$20,12,false)</f>
        <v>1</v>
      </c>
      <c r="AF2229" s="960">
        <f t="array" ref="AF2229">HLOOKUP($J2229,'Type Chart'!$C$2:$T$20,13,false)*HLOOKUP($K2229,'Type Chart'!$C$2:$U$20,13,false)</f>
        <v>1</v>
      </c>
      <c r="AG2229" s="960">
        <f t="array" ref="AG2229">HLOOKUP($J2229,'Type Chart'!$C$2:$T$20,14,false)*HLOOKUP($K2229,'Type Chart'!$C$2:$U$20,14,false)</f>
        <v>1</v>
      </c>
      <c r="AH2229" s="960">
        <f t="array" ref="AH2229">HLOOKUP($J2229,'Type Chart'!$C$2:$T$20,15,false)*HLOOKUP($K2229,'Type Chart'!$C$2:$U$20,15,false)</f>
        <v>1</v>
      </c>
      <c r="AI2229" s="960">
        <f t="array" ref="AI2229">HLOOKUP($J2229,'Type Chart'!$C$2:$T$20,16,false)*HLOOKUP($K2229,'Type Chart'!$C$2:$U$20,16,false)</f>
        <v>1</v>
      </c>
      <c r="AJ2229" s="960">
        <f t="array" ref="AJ2229">HLOOKUP($J2229,'Type Chart'!$C$2:$T$20,17,false)*HLOOKUP($K2229,'Type Chart'!$C$2:$U$20,17,false)</f>
        <v>1</v>
      </c>
      <c r="AK2229" s="960">
        <f t="array" ref="AK2229">HLOOKUP($J2229,'Type Chart'!$C$2:$T$20,18,false)*HLOOKUP($K2229,'Type Chart'!$C$2:$U$20,18,false)</f>
        <v>1</v>
      </c>
      <c r="AL2229" s="960">
        <f t="array" ref="AL2229">HLOOKUP($J2229,'Type Chart'!$C$2:$T$20,19,false)*HLOOKUP($K2229,'Type Chart'!$C$2:$U$20,19,false)</f>
        <v>1</v>
      </c>
      <c r="AM2229" s="964" t="s">
        <v>1487</v>
      </c>
      <c r="AN2229" s="965"/>
      <c r="AO2229" s="966"/>
      <c r="AP2229" s="936"/>
      <c r="AQ2229" s="1245"/>
      <c r="AR2229" s="1245"/>
      <c r="AS2229" s="936"/>
    </row>
    <row r="2230" ht="15.75" customHeight="1">
      <c r="A2230" s="1099"/>
      <c r="B2230" s="948" t="s">
        <v>3676</v>
      </c>
      <c r="C2230" s="1197" t="s">
        <v>3677</v>
      </c>
      <c r="D2230" s="1197" t="s">
        <v>3677</v>
      </c>
      <c r="E2230" s="1147" t="s">
        <v>3677</v>
      </c>
      <c r="F2230" s="940"/>
      <c r="G2230" s="953"/>
      <c r="H2230" s="969"/>
      <c r="I2230" s="998" t="s">
        <v>5327</v>
      </c>
      <c r="J2230" s="1194" t="s">
        <v>136</v>
      </c>
      <c r="K2230" s="984" t="s">
        <v>216</v>
      </c>
      <c r="L2230" s="959">
        <v>95.0</v>
      </c>
      <c r="M2230" s="960">
        <v>95.0</v>
      </c>
      <c r="N2230" s="960">
        <v>95.0</v>
      </c>
      <c r="O2230" s="960">
        <v>95.0</v>
      </c>
      <c r="P2230" s="960">
        <v>95.0</v>
      </c>
      <c r="Q2230" s="960">
        <v>95.0</v>
      </c>
      <c r="R2230" s="960">
        <v>226.0</v>
      </c>
      <c r="S2230" s="960">
        <v>289.0</v>
      </c>
      <c r="T2230" s="960">
        <v>317.0</v>
      </c>
      <c r="U2230" s="960">
        <f t="array" ref="U2230">HLOOKUP($J2230,'Type Chart'!$C$2:$T$20,2,false)*HLOOKUP($K2230,'Type Chart'!$C$2:$U$20,2,false)</f>
        <v>1</v>
      </c>
      <c r="V2230" s="960">
        <f t="array" ref="V2230">HLOOKUP($J2230,'Type Chart'!$C$2:$T$20,3,false)*HLOOKUP($K2230,'Type Chart'!$C$2:$U$20,3,false)</f>
        <v>2</v>
      </c>
      <c r="W2230" s="960">
        <f t="array" ref="W2230">HLOOKUP($J2230,'Type Chart'!$C$2:$T$20,4,false)*HLOOKUP($K2230,'Type Chart'!$C$2:$U$20,4,false)</f>
        <v>1</v>
      </c>
      <c r="X2230" s="960">
        <f t="array" ref="X2230">HLOOKUP($J2230,'Type Chart'!$C$2:$T$20,5,false)*HLOOKUP($K2230,'Type Chart'!$C$2:$U$20,5,false)</f>
        <v>1</v>
      </c>
      <c r="Y2230" s="960">
        <f t="array" ref="Y2230">HLOOKUP($J2230,'Type Chart'!$C$2:$T$20,6,false)*HLOOKUP($K2230,'Type Chart'!$C$2:$U$20,6,false)</f>
        <v>1</v>
      </c>
      <c r="Z2230" s="960">
        <f t="array" ref="Z2230">HLOOKUP($J2230,'Type Chart'!$C$2:$T$20,7,false)*HLOOKUP($K2230,'Type Chart'!$C$2:$U$20,7,false)</f>
        <v>1</v>
      </c>
      <c r="AA2230" s="960">
        <f t="array" ref="AA2230">HLOOKUP($J2230,'Type Chart'!$C$2:$T$20,8,false)*HLOOKUP($K2230,'Type Chart'!$C$2:$U$20,8,false)</f>
        <v>1</v>
      </c>
      <c r="AB2230" s="960">
        <f t="array" ref="AB2230">HLOOKUP($J2230,'Type Chart'!$C$2:$T$20,9,false)*HLOOKUP($K2230,'Type Chart'!$C$2:$U$20,9,false)</f>
        <v>0</v>
      </c>
      <c r="AC2230" s="960">
        <f t="array" ref="AC2230">HLOOKUP($J2230,'Type Chart'!$C$2:$T$20,10,false)*HLOOKUP($K2230,'Type Chart'!$C$2:$U$20,10,false)</f>
        <v>1</v>
      </c>
      <c r="AD2230" s="960">
        <f t="array" ref="AD2230">HLOOKUP($J2230,'Type Chart'!$C$2:$T$20,11,false)*HLOOKUP($K2230,'Type Chart'!$C$2:$U$20,11,false)</f>
        <v>1</v>
      </c>
      <c r="AE2230" s="960">
        <f t="array" ref="AE2230">HLOOKUP($J2230,'Type Chart'!$C$2:$T$20,12,false)*HLOOKUP($K2230,'Type Chart'!$C$2:$U$20,12,false)</f>
        <v>1</v>
      </c>
      <c r="AF2230" s="960">
        <f t="array" ref="AF2230">HLOOKUP($J2230,'Type Chart'!$C$2:$T$20,13,false)*HLOOKUP($K2230,'Type Chart'!$C$2:$U$20,13,false)</f>
        <v>1</v>
      </c>
      <c r="AG2230" s="960">
        <f t="array" ref="AG2230">HLOOKUP($J2230,'Type Chart'!$C$2:$T$20,14,false)*HLOOKUP($K2230,'Type Chart'!$C$2:$U$20,14,false)</f>
        <v>1</v>
      </c>
      <c r="AH2230" s="960">
        <f t="array" ref="AH2230">HLOOKUP($J2230,'Type Chart'!$C$2:$T$20,15,false)*HLOOKUP($K2230,'Type Chart'!$C$2:$U$20,15,false)</f>
        <v>1</v>
      </c>
      <c r="AI2230" s="960">
        <f t="array" ref="AI2230">HLOOKUP($J2230,'Type Chart'!$C$2:$T$20,16,false)*HLOOKUP($K2230,'Type Chart'!$C$2:$U$20,16,false)</f>
        <v>1</v>
      </c>
      <c r="AJ2230" s="960">
        <f t="array" ref="AJ2230">HLOOKUP($J2230,'Type Chart'!$C$2:$T$20,17,false)*HLOOKUP($K2230,'Type Chart'!$C$2:$U$20,17,false)</f>
        <v>1</v>
      </c>
      <c r="AK2230" s="960">
        <f t="array" ref="AK2230">HLOOKUP($J2230,'Type Chart'!$C$2:$T$20,18,false)*HLOOKUP($K2230,'Type Chart'!$C$2:$U$20,18,false)</f>
        <v>1</v>
      </c>
      <c r="AL2230" s="960">
        <f t="array" ref="AL2230">HLOOKUP($J2230,'Type Chart'!$C$2:$T$20,19,false)*HLOOKUP($K2230,'Type Chart'!$C$2:$U$20,19,false)</f>
        <v>1</v>
      </c>
      <c r="AM2230" s="964" t="s">
        <v>3679</v>
      </c>
      <c r="AN2230" s="965"/>
      <c r="AO2230" s="966"/>
      <c r="AP2230" s="936"/>
      <c r="AQ2230" s="1245"/>
      <c r="AR2230" s="1245"/>
      <c r="AS2230" s="936"/>
    </row>
    <row r="2231" ht="15.75" customHeight="1">
      <c r="A2231" s="1099"/>
      <c r="B2231" s="948" t="s">
        <v>3676</v>
      </c>
      <c r="C2231" s="1197" t="s">
        <v>3680</v>
      </c>
      <c r="D2231" s="1197" t="s">
        <v>3680</v>
      </c>
      <c r="E2231" s="1147" t="s">
        <v>3680</v>
      </c>
      <c r="F2231" s="940"/>
      <c r="G2231" s="953"/>
      <c r="H2231" s="969"/>
      <c r="I2231" s="998" t="s">
        <v>5328</v>
      </c>
      <c r="J2231" s="1180" t="s">
        <v>343</v>
      </c>
      <c r="K2231" s="984" t="s">
        <v>216</v>
      </c>
      <c r="L2231" s="959">
        <v>95.0</v>
      </c>
      <c r="M2231" s="960">
        <v>95.0</v>
      </c>
      <c r="N2231" s="960">
        <v>95.0</v>
      </c>
      <c r="O2231" s="960">
        <v>95.0</v>
      </c>
      <c r="P2231" s="960">
        <v>95.0</v>
      </c>
      <c r="Q2231" s="960">
        <v>95.0</v>
      </c>
      <c r="R2231" s="960">
        <v>226.0</v>
      </c>
      <c r="S2231" s="960">
        <v>289.0</v>
      </c>
      <c r="T2231" s="960">
        <v>317.0</v>
      </c>
      <c r="U2231" s="960">
        <f t="array" ref="U2231">HLOOKUP($J2231,'Type Chart'!$C$2:$T$20,2,false)*HLOOKUP($K2231,'Type Chart'!$C$2:$U$20,2,false)</f>
        <v>1</v>
      </c>
      <c r="V2231" s="960">
        <f t="array" ref="V2231">HLOOKUP($J2231,'Type Chart'!$C$2:$T$20,3,false)*HLOOKUP($K2231,'Type Chart'!$C$2:$U$20,3,false)</f>
        <v>0.5</v>
      </c>
      <c r="W2231" s="960">
        <f t="array" ref="W2231">HLOOKUP($J2231,'Type Chart'!$C$2:$T$20,4,false)*HLOOKUP($K2231,'Type Chart'!$C$2:$U$20,4,false)</f>
        <v>2</v>
      </c>
      <c r="X2231" s="960">
        <f t="array" ref="X2231">HLOOKUP($J2231,'Type Chart'!$C$2:$T$20,5,false)*HLOOKUP($K2231,'Type Chart'!$C$2:$U$20,5,false)</f>
        <v>1</v>
      </c>
      <c r="Y2231" s="960">
        <f t="array" ref="Y2231">HLOOKUP($J2231,'Type Chart'!$C$2:$T$20,6,false)*HLOOKUP($K2231,'Type Chart'!$C$2:$U$20,6,false)</f>
        <v>0.5</v>
      </c>
      <c r="Z2231" s="960">
        <f t="array" ref="Z2231">HLOOKUP($J2231,'Type Chart'!$C$2:$T$20,7,false)*HLOOKUP($K2231,'Type Chart'!$C$2:$U$20,7,false)</f>
        <v>2</v>
      </c>
      <c r="AA2231" s="960">
        <f t="array" ref="AA2231">HLOOKUP($J2231,'Type Chart'!$C$2:$T$20,8,false)*HLOOKUP($K2231,'Type Chart'!$C$2:$U$20,8,false)</f>
        <v>1</v>
      </c>
      <c r="AB2231" s="960">
        <f t="array" ref="AB2231">HLOOKUP($J2231,'Type Chart'!$C$2:$T$20,9,false)*HLOOKUP($K2231,'Type Chart'!$C$2:$U$20,9,false)</f>
        <v>1</v>
      </c>
      <c r="AC2231" s="960">
        <f t="array" ref="AC2231">HLOOKUP($J2231,'Type Chart'!$C$2:$T$20,10,false)*HLOOKUP($K2231,'Type Chart'!$C$2:$U$20,10,false)</f>
        <v>1</v>
      </c>
      <c r="AD2231" s="960">
        <f t="array" ref="AD2231">HLOOKUP($J2231,'Type Chart'!$C$2:$T$20,11,false)*HLOOKUP($K2231,'Type Chart'!$C$2:$U$20,11,false)</f>
        <v>2</v>
      </c>
      <c r="AE2231" s="960">
        <f t="array" ref="AE2231">HLOOKUP($J2231,'Type Chart'!$C$2:$T$20,12,false)*HLOOKUP($K2231,'Type Chart'!$C$2:$U$20,12,false)</f>
        <v>1</v>
      </c>
      <c r="AF2231" s="960">
        <f t="array" ref="AF2231">HLOOKUP($J2231,'Type Chart'!$C$2:$T$20,13,false)*HLOOKUP($K2231,'Type Chart'!$C$2:$U$20,13,false)</f>
        <v>0.5</v>
      </c>
      <c r="AG2231" s="960">
        <f t="array" ref="AG2231">HLOOKUP($J2231,'Type Chart'!$C$2:$T$20,14,false)*HLOOKUP($K2231,'Type Chart'!$C$2:$U$20,14,false)</f>
        <v>1</v>
      </c>
      <c r="AH2231" s="960">
        <f t="array" ref="AH2231">HLOOKUP($J2231,'Type Chart'!$C$2:$T$20,15,false)*HLOOKUP($K2231,'Type Chart'!$C$2:$U$20,15,false)</f>
        <v>1</v>
      </c>
      <c r="AI2231" s="960">
        <f t="array" ref="AI2231">HLOOKUP($J2231,'Type Chart'!$C$2:$T$20,16,false)*HLOOKUP($K2231,'Type Chart'!$C$2:$U$20,16,false)</f>
        <v>1</v>
      </c>
      <c r="AJ2231" s="960">
        <f t="array" ref="AJ2231">HLOOKUP($J2231,'Type Chart'!$C$2:$T$20,17,false)*HLOOKUP($K2231,'Type Chart'!$C$2:$U$20,17,false)</f>
        <v>1</v>
      </c>
      <c r="AK2231" s="960">
        <f t="array" ref="AK2231">HLOOKUP($J2231,'Type Chart'!$C$2:$T$20,18,false)*HLOOKUP($K2231,'Type Chart'!$C$2:$U$20,18,false)</f>
        <v>1</v>
      </c>
      <c r="AL2231" s="960">
        <f t="array" ref="AL2231">HLOOKUP($J2231,'Type Chart'!$C$2:$T$20,19,false)*HLOOKUP($K2231,'Type Chart'!$C$2:$U$20,19,false)</f>
        <v>1</v>
      </c>
      <c r="AM2231" s="964" t="s">
        <v>3679</v>
      </c>
      <c r="AN2231" s="965"/>
      <c r="AO2231" s="966"/>
      <c r="AP2231" s="936"/>
      <c r="AQ2231" s="1245"/>
      <c r="AR2231" s="1245"/>
      <c r="AS2231" s="936"/>
    </row>
    <row r="2232" ht="15.75" customHeight="1">
      <c r="A2232" s="1099"/>
      <c r="B2232" s="948" t="s">
        <v>3676</v>
      </c>
      <c r="C2232" s="1197" t="s">
        <v>3682</v>
      </c>
      <c r="D2232" s="1197" t="s">
        <v>3682</v>
      </c>
      <c r="E2232" s="1147" t="s">
        <v>3682</v>
      </c>
      <c r="F2232" s="940"/>
      <c r="G2232" s="953"/>
      <c r="H2232" s="969"/>
      <c r="I2232" s="998" t="s">
        <v>5329</v>
      </c>
      <c r="J2232" s="1195" t="s">
        <v>193</v>
      </c>
      <c r="K2232" s="984" t="s">
        <v>216</v>
      </c>
      <c r="L2232" s="959">
        <v>95.0</v>
      </c>
      <c r="M2232" s="960">
        <v>95.0</v>
      </c>
      <c r="N2232" s="960">
        <v>95.0</v>
      </c>
      <c r="O2232" s="960">
        <v>95.0</v>
      </c>
      <c r="P2232" s="960">
        <v>95.0</v>
      </c>
      <c r="Q2232" s="960">
        <v>95.0</v>
      </c>
      <c r="R2232" s="960">
        <v>226.0</v>
      </c>
      <c r="S2232" s="960">
        <v>289.0</v>
      </c>
      <c r="T2232" s="960">
        <v>317.0</v>
      </c>
      <c r="U2232" s="960">
        <f t="array" ref="U2232">HLOOKUP($J2232,'Type Chart'!$C$2:$T$20,2,false)*HLOOKUP($K2232,'Type Chart'!$C$2:$U$20,2,false)</f>
        <v>1</v>
      </c>
      <c r="V2232" s="960">
        <f t="array" ref="V2232">HLOOKUP($J2232,'Type Chart'!$C$2:$T$20,3,false)*HLOOKUP($K2232,'Type Chart'!$C$2:$U$20,3,false)</f>
        <v>2</v>
      </c>
      <c r="W2232" s="960">
        <f t="array" ref="W2232">HLOOKUP($J2232,'Type Chart'!$C$2:$T$20,4,false)*HLOOKUP($K2232,'Type Chart'!$C$2:$U$20,4,false)</f>
        <v>1</v>
      </c>
      <c r="X2232" s="960">
        <f t="array" ref="X2232">HLOOKUP($J2232,'Type Chart'!$C$2:$T$20,5,false)*HLOOKUP($K2232,'Type Chart'!$C$2:$U$20,5,false)</f>
        <v>1</v>
      </c>
      <c r="Y2232" s="960">
        <f t="array" ref="Y2232">HLOOKUP($J2232,'Type Chart'!$C$2:$T$20,6,false)*HLOOKUP($K2232,'Type Chart'!$C$2:$U$20,6,false)</f>
        <v>1</v>
      </c>
      <c r="Z2232" s="960">
        <f t="array" ref="Z2232">HLOOKUP($J2232,'Type Chart'!$C$2:$T$20,7,false)*HLOOKUP($K2232,'Type Chart'!$C$2:$U$20,7,false)</f>
        <v>1</v>
      </c>
      <c r="AA2232" s="960">
        <f t="array" ref="AA2232">HLOOKUP($J2232,'Type Chart'!$C$2:$T$20,8,false)*HLOOKUP($K2232,'Type Chart'!$C$2:$U$20,8,false)</f>
        <v>2</v>
      </c>
      <c r="AB2232" s="960">
        <f t="array" ref="AB2232">HLOOKUP($J2232,'Type Chart'!$C$2:$T$20,9,false)*HLOOKUP($K2232,'Type Chart'!$C$2:$U$20,9,false)</f>
        <v>0.5</v>
      </c>
      <c r="AC2232" s="960">
        <f t="array" ref="AC2232">HLOOKUP($J2232,'Type Chart'!$C$2:$T$20,10,false)*HLOOKUP($K2232,'Type Chart'!$C$2:$U$20,10,false)</f>
        <v>1</v>
      </c>
      <c r="AD2232" s="960">
        <f t="array" ref="AD2232">HLOOKUP($J2232,'Type Chart'!$C$2:$T$20,11,false)*HLOOKUP($K2232,'Type Chart'!$C$2:$U$20,11,false)</f>
        <v>1</v>
      </c>
      <c r="AE2232" s="960">
        <f t="array" ref="AE2232">HLOOKUP($J2232,'Type Chart'!$C$2:$T$20,12,false)*HLOOKUP($K2232,'Type Chart'!$C$2:$U$20,12,false)</f>
        <v>1</v>
      </c>
      <c r="AF2232" s="960">
        <f t="array" ref="AF2232">HLOOKUP($J2232,'Type Chart'!$C$2:$T$20,13,false)*HLOOKUP($K2232,'Type Chart'!$C$2:$U$20,13,false)</f>
        <v>1</v>
      </c>
      <c r="AG2232" s="960">
        <f t="array" ref="AG2232">HLOOKUP($J2232,'Type Chart'!$C$2:$T$20,14,false)*HLOOKUP($K2232,'Type Chart'!$C$2:$U$20,14,false)</f>
        <v>1</v>
      </c>
      <c r="AH2232" s="960">
        <f t="array" ref="AH2232">HLOOKUP($J2232,'Type Chart'!$C$2:$T$20,15,false)*HLOOKUP($K2232,'Type Chart'!$C$2:$U$20,15,false)</f>
        <v>0</v>
      </c>
      <c r="AI2232" s="960">
        <f t="array" ref="AI2232">HLOOKUP($J2232,'Type Chart'!$C$2:$T$20,16,false)*HLOOKUP($K2232,'Type Chart'!$C$2:$U$20,16,false)</f>
        <v>1</v>
      </c>
      <c r="AJ2232" s="960">
        <f t="array" ref="AJ2232">HLOOKUP($J2232,'Type Chart'!$C$2:$T$20,17,false)*HLOOKUP($K2232,'Type Chart'!$C$2:$U$20,17,false)</f>
        <v>1</v>
      </c>
      <c r="AK2232" s="960">
        <f t="array" ref="AK2232">HLOOKUP($J2232,'Type Chart'!$C$2:$T$20,18,false)*HLOOKUP($K2232,'Type Chart'!$C$2:$U$20,18,false)</f>
        <v>0.5</v>
      </c>
      <c r="AL2232" s="960">
        <f t="array" ref="AL2232">HLOOKUP($J2232,'Type Chart'!$C$2:$T$20,19,false)*HLOOKUP($K2232,'Type Chart'!$C$2:$U$20,19,false)</f>
        <v>2</v>
      </c>
      <c r="AM2232" s="964" t="s">
        <v>3679</v>
      </c>
      <c r="AN2232" s="965"/>
      <c r="AO2232" s="966"/>
      <c r="AP2232" s="936"/>
      <c r="AQ2232" s="1245"/>
      <c r="AR2232" s="1245"/>
      <c r="AS2232" s="936"/>
    </row>
    <row r="2233" ht="15.75" customHeight="1">
      <c r="A2233" s="1099"/>
      <c r="B2233" s="948" t="s">
        <v>3676</v>
      </c>
      <c r="C2233" s="1197" t="s">
        <v>3684</v>
      </c>
      <c r="D2233" s="1197" t="s">
        <v>3684</v>
      </c>
      <c r="E2233" s="1147" t="s">
        <v>3684</v>
      </c>
      <c r="F2233" s="940"/>
      <c r="G2233" s="953"/>
      <c r="H2233" s="969"/>
      <c r="I2233" s="998" t="s">
        <v>5330</v>
      </c>
      <c r="J2233" s="1006" t="s">
        <v>346</v>
      </c>
      <c r="K2233" s="984" t="s">
        <v>216</v>
      </c>
      <c r="L2233" s="959">
        <v>95.0</v>
      </c>
      <c r="M2233" s="960">
        <v>95.0</v>
      </c>
      <c r="N2233" s="960">
        <v>95.0</v>
      </c>
      <c r="O2233" s="960">
        <v>95.0</v>
      </c>
      <c r="P2233" s="960">
        <v>95.0</v>
      </c>
      <c r="Q2233" s="960">
        <v>95.0</v>
      </c>
      <c r="R2233" s="960">
        <v>226.0</v>
      </c>
      <c r="S2233" s="960">
        <v>289.0</v>
      </c>
      <c r="T2233" s="960">
        <v>317.0</v>
      </c>
      <c r="U2233" s="960">
        <f t="array" ref="U2233">HLOOKUP($J2233,'Type Chart'!$C$2:$T$20,2,false)*HLOOKUP($K2233,'Type Chart'!$C$2:$U$20,2,false)</f>
        <v>1</v>
      </c>
      <c r="V2233" s="960">
        <f t="array" ref="V2233">HLOOKUP($J2233,'Type Chart'!$C$2:$T$20,3,false)*HLOOKUP($K2233,'Type Chart'!$C$2:$U$20,3,false)</f>
        <v>1</v>
      </c>
      <c r="W2233" s="960">
        <f t="array" ref="W2233">HLOOKUP($J2233,'Type Chart'!$C$2:$T$20,4,false)*HLOOKUP($K2233,'Type Chart'!$C$2:$U$20,4,false)</f>
        <v>1</v>
      </c>
      <c r="X2233" s="960">
        <f t="array" ref="X2233">HLOOKUP($J2233,'Type Chart'!$C$2:$T$20,5,false)*HLOOKUP($K2233,'Type Chart'!$C$2:$U$20,5,false)</f>
        <v>1</v>
      </c>
      <c r="Y2233" s="960">
        <f t="array" ref="Y2233">HLOOKUP($J2233,'Type Chart'!$C$2:$T$20,6,false)*HLOOKUP($K2233,'Type Chart'!$C$2:$U$20,6,false)</f>
        <v>1</v>
      </c>
      <c r="Z2233" s="960">
        <f t="array" ref="Z2233">HLOOKUP($J2233,'Type Chart'!$C$2:$T$20,7,false)*HLOOKUP($K2233,'Type Chart'!$C$2:$U$20,7,false)</f>
        <v>1</v>
      </c>
      <c r="AA2233" s="960">
        <f t="array" ref="AA2233">HLOOKUP($J2233,'Type Chart'!$C$2:$T$20,8,false)*HLOOKUP($K2233,'Type Chart'!$C$2:$U$20,8,false)</f>
        <v>1</v>
      </c>
      <c r="AB2233" s="960">
        <f t="array" ref="AB2233">HLOOKUP($J2233,'Type Chart'!$C$2:$T$20,9,false)*HLOOKUP($K2233,'Type Chart'!$C$2:$U$20,9,false)</f>
        <v>1</v>
      </c>
      <c r="AC2233" s="960">
        <f t="array" ref="AC2233">HLOOKUP($J2233,'Type Chart'!$C$2:$T$20,10,false)*HLOOKUP($K2233,'Type Chart'!$C$2:$U$20,10,false)</f>
        <v>1</v>
      </c>
      <c r="AD2233" s="960">
        <f t="array" ref="AD2233">HLOOKUP($J2233,'Type Chart'!$C$2:$T$20,11,false)*HLOOKUP($K2233,'Type Chart'!$C$2:$U$20,11,false)</f>
        <v>0.5</v>
      </c>
      <c r="AE2233" s="960">
        <f t="array" ref="AE2233">HLOOKUP($J2233,'Type Chart'!$C$2:$T$20,12,false)*HLOOKUP($K2233,'Type Chart'!$C$2:$U$20,12,false)</f>
        <v>0.5</v>
      </c>
      <c r="AF2233" s="960">
        <f t="array" ref="AF2233">HLOOKUP($J2233,'Type Chart'!$C$2:$T$20,13,false)*HLOOKUP($K2233,'Type Chart'!$C$2:$U$20,13,false)</f>
        <v>0.5</v>
      </c>
      <c r="AG2233" s="960">
        <f t="array" ref="AG2233">HLOOKUP($J2233,'Type Chart'!$C$2:$T$20,14,false)*HLOOKUP($K2233,'Type Chart'!$C$2:$U$20,14,false)</f>
        <v>0.5</v>
      </c>
      <c r="AH2233" s="960">
        <f t="array" ref="AH2233">HLOOKUP($J2233,'Type Chart'!$C$2:$T$20,15,false)*HLOOKUP($K2233,'Type Chart'!$C$2:$U$20,15,false)</f>
        <v>1</v>
      </c>
      <c r="AI2233" s="960">
        <f t="array" ref="AI2233">HLOOKUP($J2233,'Type Chart'!$C$2:$T$20,16,false)*HLOOKUP($K2233,'Type Chart'!$C$2:$U$20,16,false)</f>
        <v>2</v>
      </c>
      <c r="AJ2233" s="960">
        <f t="array" ref="AJ2233">HLOOKUP($J2233,'Type Chart'!$C$2:$T$20,17,false)*HLOOKUP($K2233,'Type Chart'!$C$2:$U$20,17,false)</f>
        <v>2</v>
      </c>
      <c r="AK2233" s="960">
        <f t="array" ref="AK2233">HLOOKUP($J2233,'Type Chart'!$C$2:$T$20,18,false)*HLOOKUP($K2233,'Type Chart'!$C$2:$U$20,18,false)</f>
        <v>1</v>
      </c>
      <c r="AL2233" s="960">
        <f t="array" ref="AL2233">HLOOKUP($J2233,'Type Chart'!$C$2:$T$20,19,false)*HLOOKUP($K2233,'Type Chart'!$C$2:$U$20,19,false)</f>
        <v>2</v>
      </c>
      <c r="AM2233" s="964" t="s">
        <v>3679</v>
      </c>
      <c r="AN2233" s="965"/>
      <c r="AO2233" s="966"/>
      <c r="AP2233" s="936"/>
      <c r="AQ2233" s="1245"/>
      <c r="AR2233" s="1245"/>
      <c r="AS2233" s="936"/>
    </row>
    <row r="2234" ht="15.75" customHeight="1">
      <c r="A2234" s="1099"/>
      <c r="B2234" s="948" t="s">
        <v>3676</v>
      </c>
      <c r="C2234" s="1197" t="s">
        <v>3686</v>
      </c>
      <c r="D2234" s="1197" t="s">
        <v>3686</v>
      </c>
      <c r="E2234" s="1147" t="s">
        <v>3686</v>
      </c>
      <c r="F2234" s="940"/>
      <c r="G2234" s="953"/>
      <c r="H2234" s="969"/>
      <c r="I2234" s="998" t="s">
        <v>5331</v>
      </c>
      <c r="J2234" s="1196" t="s">
        <v>203</v>
      </c>
      <c r="K2234" s="984" t="s">
        <v>216</v>
      </c>
      <c r="L2234" s="959">
        <v>95.0</v>
      </c>
      <c r="M2234" s="960">
        <v>95.0</v>
      </c>
      <c r="N2234" s="960">
        <v>95.0</v>
      </c>
      <c r="O2234" s="960">
        <v>95.0</v>
      </c>
      <c r="P2234" s="960">
        <v>95.0</v>
      </c>
      <c r="Q2234" s="960">
        <v>95.0</v>
      </c>
      <c r="R2234" s="960">
        <v>226.0</v>
      </c>
      <c r="S2234" s="960">
        <v>289.0</v>
      </c>
      <c r="T2234" s="960">
        <v>317.0</v>
      </c>
      <c r="U2234" s="960">
        <f t="array" ref="U2234">HLOOKUP($J2234,'Type Chart'!$C$2:$T$20,2,false)*HLOOKUP($K2234,'Type Chart'!$C$2:$U$20,2,false)</f>
        <v>1</v>
      </c>
      <c r="V2234" s="960">
        <f t="array" ref="V2234">HLOOKUP($J2234,'Type Chart'!$C$2:$T$20,3,false)*HLOOKUP($K2234,'Type Chart'!$C$2:$U$20,3,false)</f>
        <v>1</v>
      </c>
      <c r="W2234" s="960">
        <f t="array" ref="W2234">HLOOKUP($J2234,'Type Chart'!$C$2:$T$20,4,false)*HLOOKUP($K2234,'Type Chart'!$C$2:$U$20,4,false)</f>
        <v>0.5</v>
      </c>
      <c r="X2234" s="960">
        <f t="array" ref="X2234">HLOOKUP($J2234,'Type Chart'!$C$2:$T$20,5,false)*HLOOKUP($K2234,'Type Chart'!$C$2:$U$20,5,false)</f>
        <v>1</v>
      </c>
      <c r="Y2234" s="960">
        <f t="array" ref="Y2234">HLOOKUP($J2234,'Type Chart'!$C$2:$T$20,6,false)*HLOOKUP($K2234,'Type Chart'!$C$2:$U$20,6,false)</f>
        <v>2</v>
      </c>
      <c r="Z2234" s="960">
        <f t="array" ref="Z2234">HLOOKUP($J2234,'Type Chart'!$C$2:$T$20,7,false)*HLOOKUP($K2234,'Type Chart'!$C$2:$U$20,7,false)</f>
        <v>1</v>
      </c>
      <c r="AA2234" s="960">
        <f t="array" ref="AA2234">HLOOKUP($J2234,'Type Chart'!$C$2:$T$20,8,false)*HLOOKUP($K2234,'Type Chart'!$C$2:$U$20,8,false)</f>
        <v>1</v>
      </c>
      <c r="AB2234" s="960">
        <f t="array" ref="AB2234">HLOOKUP($J2234,'Type Chart'!$C$2:$T$20,9,false)*HLOOKUP($K2234,'Type Chart'!$C$2:$U$20,9,false)</f>
        <v>1</v>
      </c>
      <c r="AC2234" s="960">
        <f t="array" ref="AC2234">HLOOKUP($J2234,'Type Chart'!$C$2:$T$20,10,false)*HLOOKUP($K2234,'Type Chart'!$C$2:$U$20,10,false)</f>
        <v>0.5</v>
      </c>
      <c r="AD2234" s="960">
        <f t="array" ref="AD2234">HLOOKUP($J2234,'Type Chart'!$C$2:$T$20,11,false)*HLOOKUP($K2234,'Type Chart'!$C$2:$U$20,11,false)</f>
        <v>1</v>
      </c>
      <c r="AE2234" s="960">
        <f t="array" ref="AE2234">HLOOKUP($J2234,'Type Chart'!$C$2:$T$20,12,false)*HLOOKUP($K2234,'Type Chart'!$C$2:$U$20,12,false)</f>
        <v>1</v>
      </c>
      <c r="AF2234" s="960">
        <f t="array" ref="AF2234">HLOOKUP($J2234,'Type Chart'!$C$2:$T$20,13,false)*HLOOKUP($K2234,'Type Chart'!$C$2:$U$20,13,false)</f>
        <v>1</v>
      </c>
      <c r="AG2234" s="960">
        <f t="array" ref="AG2234">HLOOKUP($J2234,'Type Chart'!$C$2:$T$20,14,false)*HLOOKUP($K2234,'Type Chart'!$C$2:$U$20,14,false)</f>
        <v>0.5</v>
      </c>
      <c r="AH2234" s="960">
        <f t="array" ref="AH2234">HLOOKUP($J2234,'Type Chart'!$C$2:$T$20,15,false)*HLOOKUP($K2234,'Type Chart'!$C$2:$U$20,15,false)</f>
        <v>1</v>
      </c>
      <c r="AI2234" s="960">
        <f t="array" ref="AI2234">HLOOKUP($J2234,'Type Chart'!$C$2:$T$20,16,false)*HLOOKUP($K2234,'Type Chart'!$C$2:$U$20,16,false)</f>
        <v>1</v>
      </c>
      <c r="AJ2234" s="960">
        <f t="array" ref="AJ2234">HLOOKUP($J2234,'Type Chart'!$C$2:$T$20,17,false)*HLOOKUP($K2234,'Type Chart'!$C$2:$U$20,17,false)</f>
        <v>1</v>
      </c>
      <c r="AK2234" s="960">
        <f t="array" ref="AK2234">HLOOKUP($J2234,'Type Chart'!$C$2:$T$20,18,false)*HLOOKUP($K2234,'Type Chart'!$C$2:$U$20,18,false)</f>
        <v>1</v>
      </c>
      <c r="AL2234" s="960">
        <f t="array" ref="AL2234">HLOOKUP($J2234,'Type Chart'!$C$2:$T$20,19,false)*HLOOKUP($K2234,'Type Chart'!$C$2:$U$20,19,false)</f>
        <v>1</v>
      </c>
      <c r="AM2234" s="964" t="s">
        <v>3679</v>
      </c>
      <c r="AN2234" s="965"/>
      <c r="AO2234" s="966"/>
      <c r="AP2234" s="936"/>
      <c r="AQ2234" s="1245"/>
      <c r="AR2234" s="1245"/>
      <c r="AS2234" s="936"/>
    </row>
    <row r="2235" ht="15.75" customHeight="1">
      <c r="A2235" s="1099"/>
      <c r="B2235" s="948" t="s">
        <v>3676</v>
      </c>
      <c r="C2235" s="1197" t="s">
        <v>3688</v>
      </c>
      <c r="D2235" s="1197" t="s">
        <v>3688</v>
      </c>
      <c r="E2235" s="1147" t="s">
        <v>3688</v>
      </c>
      <c r="F2235" s="940"/>
      <c r="G2235" s="953"/>
      <c r="H2235" s="969"/>
      <c r="I2235" s="998" t="s">
        <v>5332</v>
      </c>
      <c r="J2235" s="1207" t="s">
        <v>127</v>
      </c>
      <c r="K2235" s="984" t="s">
        <v>216</v>
      </c>
      <c r="L2235" s="959">
        <v>95.0</v>
      </c>
      <c r="M2235" s="960">
        <v>95.0</v>
      </c>
      <c r="N2235" s="960">
        <v>95.0</v>
      </c>
      <c r="O2235" s="960">
        <v>95.0</v>
      </c>
      <c r="P2235" s="960">
        <v>95.0</v>
      </c>
      <c r="Q2235" s="960">
        <v>95.0</v>
      </c>
      <c r="R2235" s="960">
        <v>226.0</v>
      </c>
      <c r="S2235" s="960">
        <v>289.0</v>
      </c>
      <c r="T2235" s="960">
        <v>317.0</v>
      </c>
      <c r="U2235" s="960">
        <f t="array" ref="U2235">HLOOKUP($J2235,'Type Chart'!$C$2:$T$20,2,false)*HLOOKUP($K2235,'Type Chart'!$C$2:$U$20,2,false)</f>
        <v>1</v>
      </c>
      <c r="V2235" s="960">
        <f t="array" ref="V2235">HLOOKUP($J2235,'Type Chart'!$C$2:$T$20,3,false)*HLOOKUP($K2235,'Type Chart'!$C$2:$U$20,3,false)</f>
        <v>0.5</v>
      </c>
      <c r="W2235" s="960">
        <f t="array" ref="W2235">HLOOKUP($J2235,'Type Chart'!$C$2:$T$20,4,false)*HLOOKUP($K2235,'Type Chart'!$C$2:$U$20,4,false)</f>
        <v>1</v>
      </c>
      <c r="X2235" s="960">
        <f t="array" ref="X2235">HLOOKUP($J2235,'Type Chart'!$C$2:$T$20,5,false)*HLOOKUP($K2235,'Type Chart'!$C$2:$U$20,5,false)</f>
        <v>2</v>
      </c>
      <c r="Y2235" s="960">
        <f t="array" ref="Y2235">HLOOKUP($J2235,'Type Chart'!$C$2:$T$20,6,false)*HLOOKUP($K2235,'Type Chart'!$C$2:$U$20,6,false)</f>
        <v>1</v>
      </c>
      <c r="Z2235" s="960">
        <f t="array" ref="Z2235">HLOOKUP($J2235,'Type Chart'!$C$2:$T$20,7,false)*HLOOKUP($K2235,'Type Chart'!$C$2:$U$20,7,false)</f>
        <v>1</v>
      </c>
      <c r="AA2235" s="960">
        <f t="array" ref="AA2235">HLOOKUP($J2235,'Type Chart'!$C$2:$T$20,8,false)*HLOOKUP($K2235,'Type Chart'!$C$2:$U$20,8,false)</f>
        <v>0.5</v>
      </c>
      <c r="AB2235" s="960">
        <f t="array" ref="AB2235">HLOOKUP($J2235,'Type Chart'!$C$2:$T$20,9,false)*HLOOKUP($K2235,'Type Chart'!$C$2:$U$20,9,false)</f>
        <v>1</v>
      </c>
      <c r="AC2235" s="960">
        <f t="array" ref="AC2235">HLOOKUP($J2235,'Type Chart'!$C$2:$T$20,10,false)*HLOOKUP($K2235,'Type Chart'!$C$2:$U$20,10,false)</f>
        <v>2</v>
      </c>
      <c r="AD2235" s="960">
        <f t="array" ref="AD2235">HLOOKUP($J2235,'Type Chart'!$C$2:$T$20,11,false)*HLOOKUP($K2235,'Type Chart'!$C$2:$U$20,11,false)</f>
        <v>1</v>
      </c>
      <c r="AE2235" s="960">
        <f t="array" ref="AE2235">HLOOKUP($J2235,'Type Chart'!$C$2:$T$20,12,false)*HLOOKUP($K2235,'Type Chart'!$C$2:$U$20,12,false)</f>
        <v>1</v>
      </c>
      <c r="AF2235" s="960">
        <f t="array" ref="AF2235">HLOOKUP($J2235,'Type Chart'!$C$2:$T$20,13,false)*HLOOKUP($K2235,'Type Chart'!$C$2:$U$20,13,false)</f>
        <v>1</v>
      </c>
      <c r="AG2235" s="960">
        <f t="array" ref="AG2235">HLOOKUP($J2235,'Type Chart'!$C$2:$T$20,14,false)*HLOOKUP($K2235,'Type Chart'!$C$2:$U$20,14,false)</f>
        <v>1</v>
      </c>
      <c r="AH2235" s="960">
        <f t="array" ref="AH2235">HLOOKUP($J2235,'Type Chart'!$C$2:$T$20,15,false)*HLOOKUP($K2235,'Type Chart'!$C$2:$U$20,15,false)</f>
        <v>1</v>
      </c>
      <c r="AI2235" s="960">
        <f t="array" ref="AI2235">HLOOKUP($J2235,'Type Chart'!$C$2:$T$20,16,false)*HLOOKUP($K2235,'Type Chart'!$C$2:$U$20,16,false)</f>
        <v>1</v>
      </c>
      <c r="AJ2235" s="960">
        <f t="array" ref="AJ2235">HLOOKUP($J2235,'Type Chart'!$C$2:$T$20,17,false)*HLOOKUP($K2235,'Type Chart'!$C$2:$U$20,17,false)</f>
        <v>0</v>
      </c>
      <c r="AK2235" s="960">
        <f t="array" ref="AK2235">HLOOKUP($J2235,'Type Chart'!$C$2:$T$20,18,false)*HLOOKUP($K2235,'Type Chart'!$C$2:$U$20,18,false)</f>
        <v>0.5</v>
      </c>
      <c r="AL2235" s="960">
        <f t="array" ref="AL2235">HLOOKUP($J2235,'Type Chart'!$C$2:$T$20,19,false)*HLOOKUP($K2235,'Type Chart'!$C$2:$U$20,19,false)</f>
        <v>1</v>
      </c>
      <c r="AM2235" s="964" t="s">
        <v>3679</v>
      </c>
      <c r="AN2235" s="965"/>
      <c r="AO2235" s="966"/>
      <c r="AP2235" s="936"/>
      <c r="AQ2235" s="1245"/>
      <c r="AR2235" s="1245"/>
      <c r="AS2235" s="936"/>
    </row>
    <row r="2236" ht="15.75" customHeight="1">
      <c r="A2236" s="1099"/>
      <c r="B2236" s="948" t="s">
        <v>3676</v>
      </c>
      <c r="C2236" s="1197" t="s">
        <v>3690</v>
      </c>
      <c r="D2236" s="1197" t="s">
        <v>3690</v>
      </c>
      <c r="E2236" s="1147" t="s">
        <v>3690</v>
      </c>
      <c r="F2236" s="940"/>
      <c r="G2236" s="953"/>
      <c r="H2236" s="969"/>
      <c r="I2236" s="998" t="s">
        <v>5333</v>
      </c>
      <c r="J2236" s="1213" t="s">
        <v>341</v>
      </c>
      <c r="K2236" s="984" t="s">
        <v>216</v>
      </c>
      <c r="L2236" s="959">
        <v>95.0</v>
      </c>
      <c r="M2236" s="960">
        <v>95.0</v>
      </c>
      <c r="N2236" s="960">
        <v>95.0</v>
      </c>
      <c r="O2236" s="960">
        <v>95.0</v>
      </c>
      <c r="P2236" s="960">
        <v>95.0</v>
      </c>
      <c r="Q2236" s="960">
        <v>95.0</v>
      </c>
      <c r="R2236" s="960">
        <v>226.0</v>
      </c>
      <c r="S2236" s="960">
        <v>289.0</v>
      </c>
      <c r="T2236" s="960">
        <v>317.0</v>
      </c>
      <c r="U2236" s="960">
        <f t="array" ref="U2236">HLOOKUP($J2236,'Type Chart'!$C$2:$T$20,2,false)*HLOOKUP($K2236,'Type Chart'!$C$2:$U$20,2,false)</f>
        <v>1</v>
      </c>
      <c r="V2236" s="960">
        <f t="array" ref="V2236">HLOOKUP($J2236,'Type Chart'!$C$2:$T$20,3,false)*HLOOKUP($K2236,'Type Chart'!$C$2:$U$20,3,false)</f>
        <v>1</v>
      </c>
      <c r="W2236" s="960">
        <f t="array" ref="W2236">HLOOKUP($J2236,'Type Chart'!$C$2:$T$20,4,false)*HLOOKUP($K2236,'Type Chart'!$C$2:$U$20,4,false)</f>
        <v>2</v>
      </c>
      <c r="X2236" s="960">
        <f t="array" ref="X2236">HLOOKUP($J2236,'Type Chart'!$C$2:$T$20,5,false)*HLOOKUP($K2236,'Type Chart'!$C$2:$U$20,5,false)</f>
        <v>1</v>
      </c>
      <c r="Y2236" s="960">
        <f t="array" ref="Y2236">HLOOKUP($J2236,'Type Chart'!$C$2:$T$20,6,false)*HLOOKUP($K2236,'Type Chart'!$C$2:$U$20,6,false)</f>
        <v>1</v>
      </c>
      <c r="Z2236" s="960">
        <f t="array" ref="Z2236">HLOOKUP($J2236,'Type Chart'!$C$2:$T$20,7,false)*HLOOKUP($K2236,'Type Chart'!$C$2:$U$20,7,false)</f>
        <v>0.5</v>
      </c>
      <c r="AA2236" s="960">
        <f t="array" ref="AA2236">HLOOKUP($J2236,'Type Chart'!$C$2:$T$20,8,false)*HLOOKUP($K2236,'Type Chart'!$C$2:$U$20,8,false)</f>
        <v>0.5</v>
      </c>
      <c r="AB2236" s="960">
        <f t="array" ref="AB2236">HLOOKUP($J2236,'Type Chart'!$C$2:$T$20,9,false)*HLOOKUP($K2236,'Type Chart'!$C$2:$U$20,9,false)</f>
        <v>1</v>
      </c>
      <c r="AC2236" s="960">
        <f t="array" ref="AC2236">HLOOKUP($J2236,'Type Chart'!$C$2:$T$20,10,false)*HLOOKUP($K2236,'Type Chart'!$C$2:$U$20,10,false)</f>
        <v>1</v>
      </c>
      <c r="AD2236" s="960">
        <f t="array" ref="AD2236">HLOOKUP($J2236,'Type Chart'!$C$2:$T$20,11,false)*HLOOKUP($K2236,'Type Chart'!$C$2:$U$20,11,false)</f>
        <v>1</v>
      </c>
      <c r="AE2236" s="960">
        <f t="array" ref="AE2236">HLOOKUP($J2236,'Type Chart'!$C$2:$T$20,12,false)*HLOOKUP($K2236,'Type Chart'!$C$2:$U$20,12,false)</f>
        <v>1</v>
      </c>
      <c r="AF2236" s="960">
        <f t="array" ref="AF2236">HLOOKUP($J2236,'Type Chart'!$C$2:$T$20,13,false)*HLOOKUP($K2236,'Type Chart'!$C$2:$U$20,13,false)</f>
        <v>1</v>
      </c>
      <c r="AG2236" s="960">
        <f t="array" ref="AG2236">HLOOKUP($J2236,'Type Chart'!$C$2:$T$20,14,false)*HLOOKUP($K2236,'Type Chart'!$C$2:$U$20,14,false)</f>
        <v>1</v>
      </c>
      <c r="AH2236" s="960">
        <f t="array" ref="AH2236">HLOOKUP($J2236,'Type Chart'!$C$2:$T$20,15,false)*HLOOKUP($K2236,'Type Chart'!$C$2:$U$20,15,false)</f>
        <v>2</v>
      </c>
      <c r="AI2236" s="960">
        <f t="array" ref="AI2236">HLOOKUP($J2236,'Type Chart'!$C$2:$T$20,16,false)*HLOOKUP($K2236,'Type Chart'!$C$2:$U$20,16,false)</f>
        <v>1</v>
      </c>
      <c r="AJ2236" s="960">
        <f t="array" ref="AJ2236">HLOOKUP($J2236,'Type Chart'!$C$2:$T$20,17,false)*HLOOKUP($K2236,'Type Chart'!$C$2:$U$20,17,false)</f>
        <v>1</v>
      </c>
      <c r="AK2236" s="960">
        <f t="array" ref="AK2236">HLOOKUP($J2236,'Type Chart'!$C$2:$T$20,18,false)*HLOOKUP($K2236,'Type Chart'!$C$2:$U$20,18,false)</f>
        <v>0.5</v>
      </c>
      <c r="AL2236" s="960">
        <f t="array" ref="AL2236">HLOOKUP($J2236,'Type Chart'!$C$2:$T$20,19,false)*HLOOKUP($K2236,'Type Chart'!$C$2:$U$20,19,false)</f>
        <v>2</v>
      </c>
      <c r="AM2236" s="964" t="s">
        <v>3679</v>
      </c>
      <c r="AN2236" s="965"/>
      <c r="AO2236" s="966"/>
      <c r="AP2236" s="936"/>
      <c r="AQ2236" s="1245"/>
      <c r="AR2236" s="1245"/>
      <c r="AS2236" s="936"/>
    </row>
    <row r="2237" ht="15.75" customHeight="1">
      <c r="A2237" s="1099"/>
      <c r="B2237" s="948" t="s">
        <v>3676</v>
      </c>
      <c r="C2237" s="1197" t="s">
        <v>3692</v>
      </c>
      <c r="D2237" s="1197" t="s">
        <v>3692</v>
      </c>
      <c r="E2237" s="1147" t="s">
        <v>3692</v>
      </c>
      <c r="F2237" s="940"/>
      <c r="G2237" s="953"/>
      <c r="H2237" s="969"/>
      <c r="I2237" s="998" t="s">
        <v>5334</v>
      </c>
      <c r="J2237" s="1208" t="s">
        <v>150</v>
      </c>
      <c r="K2237" s="1199" t="s">
        <v>216</v>
      </c>
      <c r="L2237" s="1200">
        <v>95.0</v>
      </c>
      <c r="M2237" s="1201">
        <v>95.0</v>
      </c>
      <c r="N2237" s="1201">
        <v>95.0</v>
      </c>
      <c r="O2237" s="1201">
        <v>95.0</v>
      </c>
      <c r="P2237" s="1201">
        <v>95.0</v>
      </c>
      <c r="Q2237" s="1201">
        <v>95.0</v>
      </c>
      <c r="R2237" s="960">
        <v>226.0</v>
      </c>
      <c r="S2237" s="960">
        <v>289.0</v>
      </c>
      <c r="T2237" s="960">
        <v>317.0</v>
      </c>
      <c r="U2237" s="960">
        <f t="array" ref="U2237">HLOOKUP($J2237,'Type Chart'!$C$2:$T$20,2,false)*HLOOKUP($K2237,'Type Chart'!$C$2:$U$20,2,false)</f>
        <v>1</v>
      </c>
      <c r="V2237" s="960">
        <f t="array" ref="V2237">HLOOKUP($J2237,'Type Chart'!$C$2:$T$20,3,false)*HLOOKUP($K2237,'Type Chart'!$C$2:$U$20,3,false)</f>
        <v>1</v>
      </c>
      <c r="W2237" s="960">
        <f t="array" ref="W2237">HLOOKUP($J2237,'Type Chart'!$C$2:$T$20,4,false)*HLOOKUP($K2237,'Type Chart'!$C$2:$U$20,4,false)</f>
        <v>1</v>
      </c>
      <c r="X2237" s="960">
        <f t="array" ref="X2237">HLOOKUP($J2237,'Type Chart'!$C$2:$T$20,5,false)*HLOOKUP($K2237,'Type Chart'!$C$2:$U$20,5,false)</f>
        <v>1</v>
      </c>
      <c r="Y2237" s="960">
        <f t="array" ref="Y2237">HLOOKUP($J2237,'Type Chart'!$C$2:$T$20,6,false)*HLOOKUP($K2237,'Type Chart'!$C$2:$U$20,6,false)</f>
        <v>2</v>
      </c>
      <c r="Z2237" s="960">
        <f t="array" ref="Z2237">HLOOKUP($J2237,'Type Chart'!$C$2:$T$20,7,false)*HLOOKUP($K2237,'Type Chart'!$C$2:$U$20,7,false)</f>
        <v>2</v>
      </c>
      <c r="AA2237" s="960">
        <f t="array" ref="AA2237">HLOOKUP($J2237,'Type Chart'!$C$2:$T$20,8,false)*HLOOKUP($K2237,'Type Chart'!$C$2:$U$20,8,false)</f>
        <v>0.5</v>
      </c>
      <c r="AB2237" s="960">
        <f t="array" ref="AB2237">HLOOKUP($J2237,'Type Chart'!$C$2:$T$20,9,false)*HLOOKUP($K2237,'Type Chart'!$C$2:$U$20,9,false)</f>
        <v>1</v>
      </c>
      <c r="AC2237" s="960">
        <f t="array" ref="AC2237">HLOOKUP($J2237,'Type Chart'!$C$2:$T$20,10,false)*HLOOKUP($K2237,'Type Chart'!$C$2:$U$20,10,false)</f>
        <v>0.5</v>
      </c>
      <c r="AD2237" s="960">
        <f t="array" ref="AD2237">HLOOKUP($J2237,'Type Chart'!$C$2:$T$20,11,false)*HLOOKUP($K2237,'Type Chart'!$C$2:$U$20,11,false)</f>
        <v>0.5</v>
      </c>
      <c r="AE2237" s="960">
        <f t="array" ref="AE2237">HLOOKUP($J2237,'Type Chart'!$C$2:$T$20,12,false)*HLOOKUP($K2237,'Type Chart'!$C$2:$U$20,12,false)</f>
        <v>2</v>
      </c>
      <c r="AF2237" s="960">
        <f t="array" ref="AF2237">HLOOKUP($J2237,'Type Chart'!$C$2:$T$20,13,false)*HLOOKUP($K2237,'Type Chart'!$C$2:$U$20,13,false)</f>
        <v>0.5</v>
      </c>
      <c r="AG2237" s="960">
        <f t="array" ref="AG2237">HLOOKUP($J2237,'Type Chart'!$C$2:$T$20,14,false)*HLOOKUP($K2237,'Type Chart'!$C$2:$U$20,14,false)</f>
        <v>1</v>
      </c>
      <c r="AH2237" s="960">
        <f t="array" ref="AH2237">HLOOKUP($J2237,'Type Chart'!$C$2:$T$20,15,false)*HLOOKUP($K2237,'Type Chart'!$C$2:$U$20,15,false)</f>
        <v>1</v>
      </c>
      <c r="AI2237" s="960">
        <f t="array" ref="AI2237">HLOOKUP($J2237,'Type Chart'!$C$2:$T$20,16,false)*HLOOKUP($K2237,'Type Chart'!$C$2:$U$20,16,false)</f>
        <v>0.5</v>
      </c>
      <c r="AJ2237" s="960">
        <f t="array" ref="AJ2237">HLOOKUP($J2237,'Type Chart'!$C$2:$T$20,17,false)*HLOOKUP($K2237,'Type Chart'!$C$2:$U$20,17,false)</f>
        <v>1</v>
      </c>
      <c r="AK2237" s="960">
        <f t="array" ref="AK2237">HLOOKUP($J2237,'Type Chart'!$C$2:$T$20,18,false)*HLOOKUP($K2237,'Type Chart'!$C$2:$U$20,18,false)</f>
        <v>1</v>
      </c>
      <c r="AL2237" s="960">
        <f t="array" ref="AL2237">HLOOKUP($J2237,'Type Chart'!$C$2:$T$20,19,false)*HLOOKUP($K2237,'Type Chart'!$C$2:$U$20,19,false)</f>
        <v>0.5</v>
      </c>
      <c r="AM2237" s="1145" t="s">
        <v>3679</v>
      </c>
      <c r="AN2237" s="1202"/>
      <c r="AO2237" s="1146"/>
      <c r="AP2237" s="936"/>
      <c r="AQ2237" s="1245"/>
      <c r="AR2237" s="1245"/>
      <c r="AS2237" s="936"/>
    </row>
    <row r="2238" ht="15.75" customHeight="1">
      <c r="A2238" s="1099"/>
      <c r="B2238" s="948" t="s">
        <v>3676</v>
      </c>
      <c r="C2238" s="1197" t="s">
        <v>3694</v>
      </c>
      <c r="D2238" s="1197" t="s">
        <v>3694</v>
      </c>
      <c r="E2238" s="1147" t="s">
        <v>3694</v>
      </c>
      <c r="F2238" s="940"/>
      <c r="G2238" s="953"/>
      <c r="H2238" s="969"/>
      <c r="I2238" s="998" t="s">
        <v>5335</v>
      </c>
      <c r="J2238" s="1001" t="s">
        <v>128</v>
      </c>
      <c r="K2238" s="984" t="s">
        <v>216</v>
      </c>
      <c r="L2238" s="959">
        <v>95.0</v>
      </c>
      <c r="M2238" s="960">
        <v>95.0</v>
      </c>
      <c r="N2238" s="960">
        <v>95.0</v>
      </c>
      <c r="O2238" s="960">
        <v>95.0</v>
      </c>
      <c r="P2238" s="960">
        <v>95.0</v>
      </c>
      <c r="Q2238" s="960">
        <v>95.0</v>
      </c>
      <c r="R2238" s="960">
        <v>226.0</v>
      </c>
      <c r="S2238" s="960">
        <v>289.0</v>
      </c>
      <c r="T2238" s="960">
        <v>317.0</v>
      </c>
      <c r="U2238" s="960">
        <f t="array" ref="U2238">HLOOKUP($J2238,'Type Chart'!$C$2:$T$20,2,false)*HLOOKUP($K2238,'Type Chart'!$C$2:$U$20,2,false)</f>
        <v>1</v>
      </c>
      <c r="V2238" s="960">
        <f t="array" ref="V2238">HLOOKUP($J2238,'Type Chart'!$C$2:$T$20,3,false)*HLOOKUP($K2238,'Type Chart'!$C$2:$U$20,3,false)</f>
        <v>0.5</v>
      </c>
      <c r="W2238" s="960">
        <f t="array" ref="W2238">HLOOKUP($J2238,'Type Chart'!$C$2:$T$20,4,false)*HLOOKUP($K2238,'Type Chart'!$C$2:$U$20,4,false)</f>
        <v>1</v>
      </c>
      <c r="X2238" s="960">
        <f t="array" ref="X2238">HLOOKUP($J2238,'Type Chart'!$C$2:$T$20,5,false)*HLOOKUP($K2238,'Type Chart'!$C$2:$U$20,5,false)</f>
        <v>1</v>
      </c>
      <c r="Y2238" s="960">
        <f t="array" ref="Y2238">HLOOKUP($J2238,'Type Chart'!$C$2:$T$20,6,false)*HLOOKUP($K2238,'Type Chart'!$C$2:$U$20,6,false)</f>
        <v>0</v>
      </c>
      <c r="Z2238" s="960">
        <f t="array" ref="Z2238">HLOOKUP($J2238,'Type Chart'!$C$2:$T$20,7,false)*HLOOKUP($K2238,'Type Chart'!$C$2:$U$20,7,false)</f>
        <v>2</v>
      </c>
      <c r="AA2238" s="960">
        <f t="array" ref="AA2238">HLOOKUP($J2238,'Type Chart'!$C$2:$T$20,8,false)*HLOOKUP($K2238,'Type Chart'!$C$2:$U$20,8,false)</f>
        <v>0.5</v>
      </c>
      <c r="AB2238" s="960">
        <f t="array" ref="AB2238">HLOOKUP($J2238,'Type Chart'!$C$2:$T$20,9,false)*HLOOKUP($K2238,'Type Chart'!$C$2:$U$20,9,false)</f>
        <v>1</v>
      </c>
      <c r="AC2238" s="960">
        <f t="array" ref="AC2238">HLOOKUP($J2238,'Type Chart'!$C$2:$T$20,10,false)*HLOOKUP($K2238,'Type Chart'!$C$2:$U$20,10,false)</f>
        <v>1</v>
      </c>
      <c r="AD2238" s="960">
        <f t="array" ref="AD2238">HLOOKUP($J2238,'Type Chart'!$C$2:$T$20,11,false)*HLOOKUP($K2238,'Type Chart'!$C$2:$U$20,11,false)</f>
        <v>1</v>
      </c>
      <c r="AE2238" s="960">
        <f t="array" ref="AE2238">HLOOKUP($J2238,'Type Chart'!$C$2:$T$20,12,false)*HLOOKUP($K2238,'Type Chart'!$C$2:$U$20,12,false)</f>
        <v>1</v>
      </c>
      <c r="AF2238" s="960">
        <f t="array" ref="AF2238">HLOOKUP($J2238,'Type Chart'!$C$2:$T$20,13,false)*HLOOKUP($K2238,'Type Chart'!$C$2:$U$20,13,false)</f>
        <v>0.5</v>
      </c>
      <c r="AG2238" s="960">
        <f t="array" ref="AG2238">HLOOKUP($J2238,'Type Chart'!$C$2:$T$20,14,false)*HLOOKUP($K2238,'Type Chart'!$C$2:$U$20,14,false)</f>
        <v>2</v>
      </c>
      <c r="AH2238" s="960">
        <f t="array" ref="AH2238">HLOOKUP($J2238,'Type Chart'!$C$2:$T$20,15,false)*HLOOKUP($K2238,'Type Chart'!$C$2:$U$20,15,false)</f>
        <v>1</v>
      </c>
      <c r="AI2238" s="960">
        <f t="array" ref="AI2238">HLOOKUP($J2238,'Type Chart'!$C$2:$T$20,16,false)*HLOOKUP($K2238,'Type Chart'!$C$2:$U$20,16,false)</f>
        <v>2</v>
      </c>
      <c r="AJ2238" s="960">
        <f t="array" ref="AJ2238">HLOOKUP($J2238,'Type Chart'!$C$2:$T$20,17,false)*HLOOKUP($K2238,'Type Chart'!$C$2:$U$20,17,false)</f>
        <v>1</v>
      </c>
      <c r="AK2238" s="960">
        <f t="array" ref="AK2238">HLOOKUP($J2238,'Type Chart'!$C$2:$T$20,18,false)*HLOOKUP($K2238,'Type Chart'!$C$2:$U$20,18,false)</f>
        <v>1</v>
      </c>
      <c r="AL2238" s="960">
        <f t="array" ref="AL2238">HLOOKUP($J2238,'Type Chart'!$C$2:$T$20,19,false)*HLOOKUP($K2238,'Type Chart'!$C$2:$U$20,19,false)</f>
        <v>1</v>
      </c>
      <c r="AM2238" s="964" t="s">
        <v>3679</v>
      </c>
      <c r="AN2238" s="965"/>
      <c r="AO2238" s="966"/>
      <c r="AP2238" s="936"/>
      <c r="AQ2238" s="1245"/>
      <c r="AR2238" s="1245"/>
      <c r="AS2238" s="936"/>
    </row>
    <row r="2239" ht="15.75" customHeight="1">
      <c r="A2239" s="1099"/>
      <c r="B2239" s="948" t="s">
        <v>3676</v>
      </c>
      <c r="C2239" s="1197" t="s">
        <v>3696</v>
      </c>
      <c r="D2239" s="1197" t="s">
        <v>3696</v>
      </c>
      <c r="E2239" s="1147" t="s">
        <v>3696</v>
      </c>
      <c r="F2239" s="940"/>
      <c r="G2239" s="953"/>
      <c r="H2239" s="969"/>
      <c r="I2239" s="998" t="s">
        <v>5336</v>
      </c>
      <c r="J2239" s="1220" t="s">
        <v>215</v>
      </c>
      <c r="K2239" s="984" t="s">
        <v>216</v>
      </c>
      <c r="L2239" s="959">
        <v>95.0</v>
      </c>
      <c r="M2239" s="960">
        <v>95.0</v>
      </c>
      <c r="N2239" s="960">
        <v>95.0</v>
      </c>
      <c r="O2239" s="960">
        <v>95.0</v>
      </c>
      <c r="P2239" s="960">
        <v>95.0</v>
      </c>
      <c r="Q2239" s="960">
        <v>95.0</v>
      </c>
      <c r="R2239" s="960">
        <v>226.0</v>
      </c>
      <c r="S2239" s="960">
        <v>289.0</v>
      </c>
      <c r="T2239" s="960">
        <v>317.0</v>
      </c>
      <c r="U2239" s="960">
        <f t="array" ref="U2239">HLOOKUP($J2239,'Type Chart'!$C$2:$T$20,2,false)*HLOOKUP($K2239,'Type Chart'!$C$2:$U$20,2,false)</f>
        <v>0</v>
      </c>
      <c r="V2239" s="960">
        <f t="array" ref="V2239">HLOOKUP($J2239,'Type Chart'!$C$2:$T$20,3,false)*HLOOKUP($K2239,'Type Chart'!$C$2:$U$20,3,false)</f>
        <v>0</v>
      </c>
      <c r="W2239" s="960">
        <f t="array" ref="W2239">HLOOKUP($J2239,'Type Chart'!$C$2:$T$20,4,false)*HLOOKUP($K2239,'Type Chart'!$C$2:$U$20,4,false)</f>
        <v>1</v>
      </c>
      <c r="X2239" s="960">
        <f t="array" ref="X2239">HLOOKUP($J2239,'Type Chart'!$C$2:$T$20,5,false)*HLOOKUP($K2239,'Type Chart'!$C$2:$U$20,5,false)</f>
        <v>0.5</v>
      </c>
      <c r="Y2239" s="960">
        <f t="array" ref="Y2239">HLOOKUP($J2239,'Type Chart'!$C$2:$T$20,6,false)*HLOOKUP($K2239,'Type Chart'!$C$2:$U$20,6,false)</f>
        <v>1</v>
      </c>
      <c r="Z2239" s="960">
        <f t="array" ref="Z2239">HLOOKUP($J2239,'Type Chart'!$C$2:$T$20,7,false)*HLOOKUP($K2239,'Type Chart'!$C$2:$U$20,7,false)</f>
        <v>1</v>
      </c>
      <c r="AA2239" s="960">
        <f t="array" ref="AA2239">HLOOKUP($J2239,'Type Chart'!$C$2:$T$20,8,false)*HLOOKUP($K2239,'Type Chart'!$C$2:$U$20,8,false)</f>
        <v>0.5</v>
      </c>
      <c r="AB2239" s="960">
        <f t="array" ref="AB2239">HLOOKUP($J2239,'Type Chart'!$C$2:$T$20,9,false)*HLOOKUP($K2239,'Type Chart'!$C$2:$U$20,9,false)</f>
        <v>2</v>
      </c>
      <c r="AC2239" s="960">
        <f t="array" ref="AC2239">HLOOKUP($J2239,'Type Chart'!$C$2:$T$20,10,false)*HLOOKUP($K2239,'Type Chart'!$C$2:$U$20,10,false)</f>
        <v>1</v>
      </c>
      <c r="AD2239" s="960">
        <f t="array" ref="AD2239">HLOOKUP($J2239,'Type Chart'!$C$2:$T$20,11,false)*HLOOKUP($K2239,'Type Chart'!$C$2:$U$20,11,false)</f>
        <v>1</v>
      </c>
      <c r="AE2239" s="960">
        <f t="array" ref="AE2239">HLOOKUP($J2239,'Type Chart'!$C$2:$T$20,12,false)*HLOOKUP($K2239,'Type Chart'!$C$2:$U$20,12,false)</f>
        <v>1</v>
      </c>
      <c r="AF2239" s="960">
        <f t="array" ref="AF2239">HLOOKUP($J2239,'Type Chart'!$C$2:$T$20,13,false)*HLOOKUP($K2239,'Type Chart'!$C$2:$U$20,13,false)</f>
        <v>1</v>
      </c>
      <c r="AG2239" s="960">
        <f t="array" ref="AG2239">HLOOKUP($J2239,'Type Chart'!$C$2:$T$20,14,false)*HLOOKUP($K2239,'Type Chart'!$C$2:$U$20,14,false)</f>
        <v>1</v>
      </c>
      <c r="AH2239" s="960">
        <f t="array" ref="AH2239">HLOOKUP($J2239,'Type Chart'!$C$2:$T$20,15,false)*HLOOKUP($K2239,'Type Chart'!$C$2:$U$20,15,false)</f>
        <v>1</v>
      </c>
      <c r="AI2239" s="960">
        <f t="array" ref="AI2239">HLOOKUP($J2239,'Type Chart'!$C$2:$T$20,16,false)*HLOOKUP($K2239,'Type Chart'!$C$2:$U$20,16,false)</f>
        <v>1</v>
      </c>
      <c r="AJ2239" s="960">
        <f t="array" ref="AJ2239">HLOOKUP($J2239,'Type Chart'!$C$2:$T$20,17,false)*HLOOKUP($K2239,'Type Chart'!$C$2:$U$20,17,false)</f>
        <v>1</v>
      </c>
      <c r="AK2239" s="960">
        <f t="array" ref="AK2239">HLOOKUP($J2239,'Type Chart'!$C$2:$T$20,18,false)*HLOOKUP($K2239,'Type Chart'!$C$2:$U$20,18,false)</f>
        <v>2</v>
      </c>
      <c r="AL2239" s="960">
        <f t="array" ref="AL2239">HLOOKUP($J2239,'Type Chart'!$C$2:$T$20,19,false)*HLOOKUP($K2239,'Type Chart'!$C$2:$U$20,19,false)</f>
        <v>1</v>
      </c>
      <c r="AM2239" s="964" t="s">
        <v>3679</v>
      </c>
      <c r="AN2239" s="965"/>
      <c r="AO2239" s="966"/>
      <c r="AP2239" s="936"/>
      <c r="AQ2239" s="1245"/>
      <c r="AR2239" s="1245"/>
      <c r="AS2239" s="936"/>
    </row>
    <row r="2240" ht="15.75" customHeight="1">
      <c r="A2240" s="1099"/>
      <c r="B2240" s="948" t="s">
        <v>3676</v>
      </c>
      <c r="C2240" s="1197" t="s">
        <v>3698</v>
      </c>
      <c r="D2240" s="1197" t="s">
        <v>3698</v>
      </c>
      <c r="E2240" s="1147" t="s">
        <v>3698</v>
      </c>
      <c r="F2240" s="940"/>
      <c r="G2240" s="953"/>
      <c r="H2240" s="969"/>
      <c r="I2240" s="998" t="s">
        <v>5337</v>
      </c>
      <c r="J2240" s="957" t="s">
        <v>209</v>
      </c>
      <c r="K2240" s="984" t="s">
        <v>216</v>
      </c>
      <c r="L2240" s="959">
        <v>95.0</v>
      </c>
      <c r="M2240" s="960">
        <v>95.0</v>
      </c>
      <c r="N2240" s="960">
        <v>95.0</v>
      </c>
      <c r="O2240" s="960">
        <v>95.0</v>
      </c>
      <c r="P2240" s="960">
        <v>95.0</v>
      </c>
      <c r="Q2240" s="960">
        <v>95.0</v>
      </c>
      <c r="R2240" s="960">
        <v>226.0</v>
      </c>
      <c r="S2240" s="960">
        <v>289.0</v>
      </c>
      <c r="T2240" s="960">
        <v>317.0</v>
      </c>
      <c r="U2240" s="960">
        <f t="array" ref="U2240">HLOOKUP($J2240,'Type Chart'!$C$2:$T$20,2,false)*HLOOKUP($K2240,'Type Chart'!$C$2:$U$20,2,false)</f>
        <v>1</v>
      </c>
      <c r="V2240" s="960">
        <f t="array" ref="V2240">HLOOKUP($J2240,'Type Chart'!$C$2:$T$20,3,false)*HLOOKUP($K2240,'Type Chart'!$C$2:$U$20,3,false)</f>
        <v>1</v>
      </c>
      <c r="W2240" s="960">
        <f t="array" ref="W2240">HLOOKUP($J2240,'Type Chart'!$C$2:$T$20,4,false)*HLOOKUP($K2240,'Type Chart'!$C$2:$U$20,4,false)</f>
        <v>2</v>
      </c>
      <c r="X2240" s="960">
        <f t="array" ref="X2240">HLOOKUP($J2240,'Type Chart'!$C$2:$T$20,5,false)*HLOOKUP($K2240,'Type Chart'!$C$2:$U$20,5,false)</f>
        <v>2</v>
      </c>
      <c r="Y2240" s="960">
        <f t="array" ref="Y2240">HLOOKUP($J2240,'Type Chart'!$C$2:$T$20,6,false)*HLOOKUP($K2240,'Type Chart'!$C$2:$U$20,6,false)</f>
        <v>0.5</v>
      </c>
      <c r="Z2240" s="960">
        <f t="array" ref="Z2240">HLOOKUP($J2240,'Type Chart'!$C$2:$T$20,7,false)*HLOOKUP($K2240,'Type Chart'!$C$2:$U$20,7,false)</f>
        <v>1</v>
      </c>
      <c r="AA2240" s="960">
        <f t="array" ref="AA2240">HLOOKUP($J2240,'Type Chart'!$C$2:$T$20,8,false)*HLOOKUP($K2240,'Type Chart'!$C$2:$U$20,8,false)</f>
        <v>2</v>
      </c>
      <c r="AB2240" s="960">
        <f t="array" ref="AB2240">HLOOKUP($J2240,'Type Chart'!$C$2:$T$20,9,false)*HLOOKUP($K2240,'Type Chart'!$C$2:$U$20,9,false)</f>
        <v>1</v>
      </c>
      <c r="AC2240" s="960">
        <f t="array" ref="AC2240">HLOOKUP($J2240,'Type Chart'!$C$2:$T$20,10,false)*HLOOKUP($K2240,'Type Chart'!$C$2:$U$20,10,false)</f>
        <v>1</v>
      </c>
      <c r="AD2240" s="960">
        <f t="array" ref="AD2240">HLOOKUP($J2240,'Type Chart'!$C$2:$T$20,11,false)*HLOOKUP($K2240,'Type Chart'!$C$2:$U$20,11,false)</f>
        <v>2</v>
      </c>
      <c r="AE2240" s="960">
        <f t="array" ref="AE2240">HLOOKUP($J2240,'Type Chart'!$C$2:$T$20,12,false)*HLOOKUP($K2240,'Type Chart'!$C$2:$U$20,12,false)</f>
        <v>0.5</v>
      </c>
      <c r="AF2240" s="960">
        <f t="array" ref="AF2240">HLOOKUP($J2240,'Type Chart'!$C$2:$T$20,13,false)*HLOOKUP($K2240,'Type Chart'!$C$2:$U$20,13,false)</f>
        <v>0.5</v>
      </c>
      <c r="AG2240" s="960">
        <f t="array" ref="AG2240">HLOOKUP($J2240,'Type Chart'!$C$2:$T$20,14,false)*HLOOKUP($K2240,'Type Chart'!$C$2:$U$20,14,false)</f>
        <v>0.5</v>
      </c>
      <c r="AH2240" s="960">
        <f t="array" ref="AH2240">HLOOKUP($J2240,'Type Chart'!$C$2:$T$20,15,false)*HLOOKUP($K2240,'Type Chart'!$C$2:$U$20,15,false)</f>
        <v>1</v>
      </c>
      <c r="AI2240" s="960">
        <f t="array" ref="AI2240">HLOOKUP($J2240,'Type Chart'!$C$2:$T$20,16,false)*HLOOKUP($K2240,'Type Chart'!$C$2:$U$20,16,false)</f>
        <v>2</v>
      </c>
      <c r="AJ2240" s="960">
        <f t="array" ref="AJ2240">HLOOKUP($J2240,'Type Chart'!$C$2:$T$20,17,false)*HLOOKUP($K2240,'Type Chart'!$C$2:$U$20,17,false)</f>
        <v>1</v>
      </c>
      <c r="AK2240" s="960">
        <f t="array" ref="AK2240">HLOOKUP($J2240,'Type Chart'!$C$2:$T$20,18,false)*HLOOKUP($K2240,'Type Chart'!$C$2:$U$20,18,false)</f>
        <v>1</v>
      </c>
      <c r="AL2240" s="960">
        <f t="array" ref="AL2240">HLOOKUP($J2240,'Type Chart'!$C$2:$T$20,19,false)*HLOOKUP($K2240,'Type Chart'!$C$2:$U$20,19,false)</f>
        <v>1</v>
      </c>
      <c r="AM2240" s="964" t="s">
        <v>3679</v>
      </c>
      <c r="AN2240" s="965"/>
      <c r="AO2240" s="966"/>
      <c r="AP2240" s="936"/>
      <c r="AQ2240" s="1245"/>
      <c r="AR2240" s="1245"/>
      <c r="AS2240" s="936"/>
    </row>
    <row r="2241" ht="15.75" customHeight="1">
      <c r="A2241" s="1099"/>
      <c r="B2241" s="948" t="s">
        <v>3676</v>
      </c>
      <c r="C2241" s="1197" t="s">
        <v>3700</v>
      </c>
      <c r="D2241" s="1197" t="s">
        <v>3700</v>
      </c>
      <c r="E2241" s="1147" t="s">
        <v>3700</v>
      </c>
      <c r="F2241" s="940"/>
      <c r="G2241" s="953"/>
      <c r="H2241" s="969"/>
      <c r="I2241" s="998" t="s">
        <v>5338</v>
      </c>
      <c r="J2241" s="1204" t="s">
        <v>80</v>
      </c>
      <c r="K2241" s="984" t="s">
        <v>216</v>
      </c>
      <c r="L2241" s="959">
        <v>95.0</v>
      </c>
      <c r="M2241" s="960">
        <v>95.0</v>
      </c>
      <c r="N2241" s="960">
        <v>95.0</v>
      </c>
      <c r="O2241" s="960">
        <v>95.0</v>
      </c>
      <c r="P2241" s="960">
        <v>95.0</v>
      </c>
      <c r="Q2241" s="960">
        <v>95.0</v>
      </c>
      <c r="R2241" s="960">
        <v>226.0</v>
      </c>
      <c r="S2241" s="960">
        <v>289.0</v>
      </c>
      <c r="T2241" s="960">
        <v>317.0</v>
      </c>
      <c r="U2241" s="960">
        <f t="array" ref="U2241">HLOOKUP($J2241,'Type Chart'!$C$2:$T$20,2,false)*HLOOKUP($K2241,'Type Chart'!$C$2:$U$20,2,false)</f>
        <v>1</v>
      </c>
      <c r="V2241" s="960">
        <f t="array" ref="V2241">HLOOKUP($J2241,'Type Chart'!$C$2:$T$20,3,false)*HLOOKUP($K2241,'Type Chart'!$C$2:$U$20,3,false)</f>
        <v>1</v>
      </c>
      <c r="W2241" s="960">
        <f t="array" ref="W2241">HLOOKUP($J2241,'Type Chart'!$C$2:$T$20,4,false)*HLOOKUP($K2241,'Type Chart'!$C$2:$U$20,4,false)</f>
        <v>1</v>
      </c>
      <c r="X2241" s="960">
        <f t="array" ref="X2241">HLOOKUP($J2241,'Type Chart'!$C$2:$T$20,5,false)*HLOOKUP($K2241,'Type Chart'!$C$2:$U$20,5,false)</f>
        <v>0.5</v>
      </c>
      <c r="Y2241" s="960">
        <f t="array" ref="Y2241">HLOOKUP($J2241,'Type Chart'!$C$2:$T$20,6,false)*HLOOKUP($K2241,'Type Chart'!$C$2:$U$20,6,false)</f>
        <v>1</v>
      </c>
      <c r="Z2241" s="960">
        <f t="array" ref="Z2241">HLOOKUP($J2241,'Type Chart'!$C$2:$T$20,7,false)*HLOOKUP($K2241,'Type Chart'!$C$2:$U$20,7,false)</f>
        <v>0.5</v>
      </c>
      <c r="AA2241" s="960">
        <f t="array" ref="AA2241">HLOOKUP($J2241,'Type Chart'!$C$2:$T$20,8,false)*HLOOKUP($K2241,'Type Chart'!$C$2:$U$20,8,false)</f>
        <v>1</v>
      </c>
      <c r="AB2241" s="960">
        <f t="array" ref="AB2241">HLOOKUP($J2241,'Type Chart'!$C$2:$T$20,9,false)*HLOOKUP($K2241,'Type Chart'!$C$2:$U$20,9,false)</f>
        <v>1</v>
      </c>
      <c r="AC2241" s="960">
        <f t="array" ref="AC2241">HLOOKUP($J2241,'Type Chart'!$C$2:$T$20,10,false)*HLOOKUP($K2241,'Type Chart'!$C$2:$U$20,10,false)</f>
        <v>1</v>
      </c>
      <c r="AD2241" s="960">
        <f t="array" ref="AD2241">HLOOKUP($J2241,'Type Chart'!$C$2:$T$20,11,false)*HLOOKUP($K2241,'Type Chart'!$C$2:$U$20,11,false)</f>
        <v>1</v>
      </c>
      <c r="AE2241" s="960">
        <f t="array" ref="AE2241">HLOOKUP($J2241,'Type Chart'!$C$2:$T$20,12,false)*HLOOKUP($K2241,'Type Chart'!$C$2:$U$20,12,false)</f>
        <v>2</v>
      </c>
      <c r="AF2241" s="960">
        <f t="array" ref="AF2241">HLOOKUP($J2241,'Type Chart'!$C$2:$T$20,13,false)*HLOOKUP($K2241,'Type Chart'!$C$2:$U$20,13,false)</f>
        <v>2</v>
      </c>
      <c r="AG2241" s="960">
        <f t="array" ref="AG2241">HLOOKUP($J2241,'Type Chart'!$C$2:$T$20,14,false)*HLOOKUP($K2241,'Type Chart'!$C$2:$U$20,14,false)</f>
        <v>0</v>
      </c>
      <c r="AH2241" s="960">
        <f t="array" ref="AH2241">HLOOKUP($J2241,'Type Chart'!$C$2:$T$20,15,false)*HLOOKUP($K2241,'Type Chart'!$C$2:$U$20,15,false)</f>
        <v>1</v>
      </c>
      <c r="AI2241" s="960">
        <f t="array" ref="AI2241">HLOOKUP($J2241,'Type Chart'!$C$2:$T$20,16,false)*HLOOKUP($K2241,'Type Chart'!$C$2:$U$20,16,false)</f>
        <v>2</v>
      </c>
      <c r="AJ2241" s="960">
        <f t="array" ref="AJ2241">HLOOKUP($J2241,'Type Chart'!$C$2:$T$20,17,false)*HLOOKUP($K2241,'Type Chart'!$C$2:$U$20,17,false)</f>
        <v>1</v>
      </c>
      <c r="AK2241" s="960">
        <f t="array" ref="AK2241">HLOOKUP($J2241,'Type Chart'!$C$2:$T$20,18,false)*HLOOKUP($K2241,'Type Chart'!$C$2:$U$20,18,false)</f>
        <v>1</v>
      </c>
      <c r="AL2241" s="960">
        <f t="array" ref="AL2241">HLOOKUP($J2241,'Type Chart'!$C$2:$T$20,19,false)*HLOOKUP($K2241,'Type Chart'!$C$2:$U$20,19,false)</f>
        <v>1</v>
      </c>
      <c r="AM2241" s="964" t="s">
        <v>3679</v>
      </c>
      <c r="AN2241" s="965"/>
      <c r="AO2241" s="966"/>
      <c r="AP2241" s="936"/>
      <c r="AQ2241" s="1245"/>
      <c r="AR2241" s="1245"/>
      <c r="AS2241" s="936"/>
    </row>
    <row r="2242" ht="15.75" customHeight="1">
      <c r="A2242" s="1099"/>
      <c r="B2242" s="948" t="s">
        <v>3676</v>
      </c>
      <c r="C2242" s="1197" t="s">
        <v>3702</v>
      </c>
      <c r="D2242" s="1197" t="s">
        <v>3702</v>
      </c>
      <c r="E2242" s="1147" t="s">
        <v>3702</v>
      </c>
      <c r="F2242" s="940"/>
      <c r="G2242" s="953"/>
      <c r="H2242" s="969"/>
      <c r="I2242" s="998" t="s">
        <v>5339</v>
      </c>
      <c r="J2242" s="1205" t="s">
        <v>345</v>
      </c>
      <c r="K2242" s="984" t="s">
        <v>216</v>
      </c>
      <c r="L2242" s="959">
        <v>95.0</v>
      </c>
      <c r="M2242" s="960">
        <v>95.0</v>
      </c>
      <c r="N2242" s="960">
        <v>95.0</v>
      </c>
      <c r="O2242" s="960">
        <v>95.0</v>
      </c>
      <c r="P2242" s="960">
        <v>95.0</v>
      </c>
      <c r="Q2242" s="960">
        <v>95.0</v>
      </c>
      <c r="R2242" s="960">
        <v>226.0</v>
      </c>
      <c r="S2242" s="960">
        <v>289.0</v>
      </c>
      <c r="T2242" s="960">
        <v>317.0</v>
      </c>
      <c r="U2242" s="960">
        <f t="array" ref="U2242">HLOOKUP($J2242,'Type Chart'!$C$2:$T$20,2,false)*HLOOKUP($K2242,'Type Chart'!$C$2:$U$20,2,false)</f>
        <v>1</v>
      </c>
      <c r="V2242" s="960">
        <f t="array" ref="V2242">HLOOKUP($J2242,'Type Chart'!$C$2:$T$20,3,false)*HLOOKUP($K2242,'Type Chart'!$C$2:$U$20,3,false)</f>
        <v>2</v>
      </c>
      <c r="W2242" s="960">
        <f t="array" ref="W2242">HLOOKUP($J2242,'Type Chart'!$C$2:$T$20,4,false)*HLOOKUP($K2242,'Type Chart'!$C$2:$U$20,4,false)</f>
        <v>1</v>
      </c>
      <c r="X2242" s="960">
        <f t="array" ref="X2242">HLOOKUP($J2242,'Type Chart'!$C$2:$T$20,5,false)*HLOOKUP($K2242,'Type Chart'!$C$2:$U$20,5,false)</f>
        <v>1</v>
      </c>
      <c r="Y2242" s="960">
        <f t="array" ref="Y2242">HLOOKUP($J2242,'Type Chart'!$C$2:$T$20,6,false)*HLOOKUP($K2242,'Type Chart'!$C$2:$U$20,6,false)</f>
        <v>1</v>
      </c>
      <c r="Z2242" s="960">
        <f t="array" ref="Z2242">HLOOKUP($J2242,'Type Chart'!$C$2:$T$20,7,false)*HLOOKUP($K2242,'Type Chart'!$C$2:$U$20,7,false)</f>
        <v>2</v>
      </c>
      <c r="AA2242" s="960">
        <f t="array" ref="AA2242">HLOOKUP($J2242,'Type Chart'!$C$2:$T$20,8,false)*HLOOKUP($K2242,'Type Chart'!$C$2:$U$20,8,false)</f>
        <v>1</v>
      </c>
      <c r="AB2242" s="960">
        <f t="array" ref="AB2242">HLOOKUP($J2242,'Type Chart'!$C$2:$T$20,9,false)*HLOOKUP($K2242,'Type Chart'!$C$2:$U$20,9,false)</f>
        <v>1</v>
      </c>
      <c r="AC2242" s="960">
        <f t="array" ref="AC2242">HLOOKUP($J2242,'Type Chart'!$C$2:$T$20,10,false)*HLOOKUP($K2242,'Type Chart'!$C$2:$U$20,10,false)</f>
        <v>2</v>
      </c>
      <c r="AD2242" s="960">
        <f t="array" ref="AD2242">HLOOKUP($J2242,'Type Chart'!$C$2:$T$20,11,false)*HLOOKUP($K2242,'Type Chart'!$C$2:$U$20,11,false)</f>
        <v>2</v>
      </c>
      <c r="AE2242" s="960">
        <f t="array" ref="AE2242">HLOOKUP($J2242,'Type Chart'!$C$2:$T$20,12,false)*HLOOKUP($K2242,'Type Chart'!$C$2:$U$20,12,false)</f>
        <v>1</v>
      </c>
      <c r="AF2242" s="960">
        <f t="array" ref="AF2242">HLOOKUP($J2242,'Type Chart'!$C$2:$T$20,13,false)*HLOOKUP($K2242,'Type Chart'!$C$2:$U$20,13,false)</f>
        <v>1</v>
      </c>
      <c r="AG2242" s="960">
        <f t="array" ref="AG2242">HLOOKUP($J2242,'Type Chart'!$C$2:$T$20,14,false)*HLOOKUP($K2242,'Type Chart'!$C$2:$U$20,14,false)</f>
        <v>1</v>
      </c>
      <c r="AH2242" s="960">
        <f t="array" ref="AH2242">HLOOKUP($J2242,'Type Chart'!$C$2:$T$20,15,false)*HLOOKUP($K2242,'Type Chart'!$C$2:$U$20,15,false)</f>
        <v>1</v>
      </c>
      <c r="AI2242" s="960">
        <f t="array" ref="AI2242">HLOOKUP($J2242,'Type Chart'!$C$2:$T$20,16,false)*HLOOKUP($K2242,'Type Chart'!$C$2:$U$20,16,false)</f>
        <v>0.5</v>
      </c>
      <c r="AJ2242" s="960">
        <f t="array" ref="AJ2242">HLOOKUP($J2242,'Type Chart'!$C$2:$T$20,17,false)*HLOOKUP($K2242,'Type Chart'!$C$2:$U$20,17,false)</f>
        <v>1</v>
      </c>
      <c r="AK2242" s="960">
        <f t="array" ref="AK2242">HLOOKUP($J2242,'Type Chart'!$C$2:$T$20,18,false)*HLOOKUP($K2242,'Type Chart'!$C$2:$U$20,18,false)</f>
        <v>1</v>
      </c>
      <c r="AL2242" s="960">
        <f t="array" ref="AL2242">HLOOKUP($J2242,'Type Chart'!$C$2:$T$20,19,false)*HLOOKUP($K2242,'Type Chart'!$C$2:$U$20,19,false)</f>
        <v>1</v>
      </c>
      <c r="AM2242" s="964" t="s">
        <v>3679</v>
      </c>
      <c r="AN2242" s="965"/>
      <c r="AO2242" s="966"/>
      <c r="AP2242" s="936"/>
      <c r="AQ2242" s="1245"/>
      <c r="AR2242" s="1245"/>
      <c r="AS2242" s="936"/>
    </row>
    <row r="2243" ht="15.75" customHeight="1">
      <c r="A2243" s="1099"/>
      <c r="B2243" s="948" t="s">
        <v>3676</v>
      </c>
      <c r="C2243" s="1197" t="s">
        <v>3704</v>
      </c>
      <c r="D2243" s="1197" t="s">
        <v>3704</v>
      </c>
      <c r="E2243" s="1147" t="s">
        <v>3704</v>
      </c>
      <c r="F2243" s="940"/>
      <c r="G2243" s="953"/>
      <c r="H2243" s="969"/>
      <c r="I2243" s="998" t="s">
        <v>5340</v>
      </c>
      <c r="J2243" s="958" t="s">
        <v>178</v>
      </c>
      <c r="K2243" s="984" t="s">
        <v>216</v>
      </c>
      <c r="L2243" s="959">
        <v>95.0</v>
      </c>
      <c r="M2243" s="960">
        <v>95.0</v>
      </c>
      <c r="N2243" s="960">
        <v>95.0</v>
      </c>
      <c r="O2243" s="960">
        <v>95.0</v>
      </c>
      <c r="P2243" s="960">
        <v>95.0</v>
      </c>
      <c r="Q2243" s="960">
        <v>95.0</v>
      </c>
      <c r="R2243" s="960">
        <v>226.0</v>
      </c>
      <c r="S2243" s="960">
        <v>289.0</v>
      </c>
      <c r="T2243" s="960">
        <v>317.0</v>
      </c>
      <c r="U2243" s="960">
        <f t="array" ref="U2243">HLOOKUP($J2243,'Type Chart'!$C$2:$T$20,2,false)*HLOOKUP($K2243,'Type Chart'!$C$2:$U$20,2,false)</f>
        <v>1</v>
      </c>
      <c r="V2243" s="960">
        <f t="array" ref="V2243">HLOOKUP($J2243,'Type Chart'!$C$2:$T$20,3,false)*HLOOKUP($K2243,'Type Chart'!$C$2:$U$20,3,false)</f>
        <v>0.5</v>
      </c>
      <c r="W2243" s="960">
        <f t="array" ref="W2243">HLOOKUP($J2243,'Type Chart'!$C$2:$T$20,4,false)*HLOOKUP($K2243,'Type Chart'!$C$2:$U$20,4,false)</f>
        <v>1</v>
      </c>
      <c r="X2243" s="960">
        <f t="array" ref="X2243">HLOOKUP($J2243,'Type Chart'!$C$2:$T$20,5,false)*HLOOKUP($K2243,'Type Chart'!$C$2:$U$20,5,false)</f>
        <v>0.5</v>
      </c>
      <c r="Y2243" s="960">
        <f t="array" ref="Y2243">HLOOKUP($J2243,'Type Chart'!$C$2:$T$20,6,false)*HLOOKUP($K2243,'Type Chart'!$C$2:$U$20,6,false)</f>
        <v>2</v>
      </c>
      <c r="Z2243" s="960">
        <f t="array" ref="Z2243">HLOOKUP($J2243,'Type Chart'!$C$2:$T$20,7,false)*HLOOKUP($K2243,'Type Chart'!$C$2:$U$20,7,false)</f>
        <v>1</v>
      </c>
      <c r="AA2243" s="960">
        <f t="array" ref="AA2243">HLOOKUP($J2243,'Type Chart'!$C$2:$T$20,8,false)*HLOOKUP($K2243,'Type Chart'!$C$2:$U$20,8,false)</f>
        <v>0.5</v>
      </c>
      <c r="AB2243" s="960">
        <f t="array" ref="AB2243">HLOOKUP($J2243,'Type Chart'!$C$2:$T$20,9,false)*HLOOKUP($K2243,'Type Chart'!$C$2:$U$20,9,false)</f>
        <v>1</v>
      </c>
      <c r="AC2243" s="960">
        <f t="array" ref="AC2243">HLOOKUP($J2243,'Type Chart'!$C$2:$T$20,10,false)*HLOOKUP($K2243,'Type Chart'!$C$2:$U$20,10,false)</f>
        <v>1</v>
      </c>
      <c r="AD2243" s="960">
        <f t="array" ref="AD2243">HLOOKUP($J2243,'Type Chart'!$C$2:$T$20,11,false)*HLOOKUP($K2243,'Type Chart'!$C$2:$U$20,11,false)</f>
        <v>1</v>
      </c>
      <c r="AE2243" s="960">
        <f t="array" ref="AE2243">HLOOKUP($J2243,'Type Chart'!$C$2:$T$20,12,false)*HLOOKUP($K2243,'Type Chart'!$C$2:$U$20,12,false)</f>
        <v>1</v>
      </c>
      <c r="AF2243" s="960">
        <f t="array" ref="AF2243">HLOOKUP($J2243,'Type Chart'!$C$2:$T$20,13,false)*HLOOKUP($K2243,'Type Chart'!$C$2:$U$20,13,false)</f>
        <v>0.5</v>
      </c>
      <c r="AG2243" s="960">
        <f t="array" ref="AG2243">HLOOKUP($J2243,'Type Chart'!$C$2:$T$20,14,false)*HLOOKUP($K2243,'Type Chart'!$C$2:$U$20,14,false)</f>
        <v>1</v>
      </c>
      <c r="AH2243" s="960">
        <f t="array" ref="AH2243">HLOOKUP($J2243,'Type Chart'!$C$2:$T$20,15,false)*HLOOKUP($K2243,'Type Chart'!$C$2:$U$20,15,false)</f>
        <v>2</v>
      </c>
      <c r="AI2243" s="960">
        <f t="array" ref="AI2243">HLOOKUP($J2243,'Type Chart'!$C$2:$T$20,16,false)*HLOOKUP($K2243,'Type Chart'!$C$2:$U$20,16,false)</f>
        <v>1</v>
      </c>
      <c r="AJ2243" s="960">
        <f t="array" ref="AJ2243">HLOOKUP($J2243,'Type Chart'!$C$2:$T$20,17,false)*HLOOKUP($K2243,'Type Chart'!$C$2:$U$20,17,false)</f>
        <v>1</v>
      </c>
      <c r="AK2243" s="960">
        <f t="array" ref="AK2243">HLOOKUP($J2243,'Type Chart'!$C$2:$T$20,18,false)*HLOOKUP($K2243,'Type Chart'!$C$2:$U$20,18,false)</f>
        <v>1</v>
      </c>
      <c r="AL2243" s="960">
        <f t="array" ref="AL2243">HLOOKUP($J2243,'Type Chart'!$C$2:$T$20,19,false)*HLOOKUP($K2243,'Type Chart'!$C$2:$U$20,19,false)</f>
        <v>0.5</v>
      </c>
      <c r="AM2243" s="1145" t="s">
        <v>3679</v>
      </c>
      <c r="AN2243" s="1202"/>
      <c r="AO2243" s="1146"/>
      <c r="AP2243" s="936"/>
      <c r="AQ2243" s="1245"/>
      <c r="AR2243" s="1245"/>
      <c r="AS2243" s="936"/>
    </row>
    <row r="2244" ht="15.75" customHeight="1">
      <c r="A2244" s="1099"/>
      <c r="B2244" s="948" t="s">
        <v>3676</v>
      </c>
      <c r="C2244" s="1197" t="s">
        <v>3706</v>
      </c>
      <c r="D2244" s="1197" t="s">
        <v>3706</v>
      </c>
      <c r="E2244" s="1147" t="s">
        <v>3706</v>
      </c>
      <c r="F2244" s="940"/>
      <c r="G2244" s="953"/>
      <c r="H2244" s="969"/>
      <c r="I2244" s="998" t="s">
        <v>5341</v>
      </c>
      <c r="J2244" s="1203" t="s">
        <v>344</v>
      </c>
      <c r="K2244" s="984" t="s">
        <v>216</v>
      </c>
      <c r="L2244" s="959">
        <v>95.0</v>
      </c>
      <c r="M2244" s="960">
        <v>95.0</v>
      </c>
      <c r="N2244" s="960">
        <v>95.0</v>
      </c>
      <c r="O2244" s="960">
        <v>95.0</v>
      </c>
      <c r="P2244" s="960">
        <v>95.0</v>
      </c>
      <c r="Q2244" s="960">
        <v>95.0</v>
      </c>
      <c r="R2244" s="960">
        <v>226.0</v>
      </c>
      <c r="S2244" s="960">
        <v>289.0</v>
      </c>
      <c r="T2244" s="960">
        <v>317.0</v>
      </c>
      <c r="U2244" s="960">
        <f t="array" ref="U2244">HLOOKUP($J2244,'Type Chart'!$C$2:$T$20,2,false)*HLOOKUP($K2244,'Type Chart'!$C$2:$U$20,2,false)</f>
        <v>1</v>
      </c>
      <c r="V2244" s="960">
        <f t="array" ref="V2244">HLOOKUP($J2244,'Type Chart'!$C$2:$T$20,3,false)*HLOOKUP($K2244,'Type Chart'!$C$2:$U$20,3,false)</f>
        <v>0.5</v>
      </c>
      <c r="W2244" s="960">
        <f t="array" ref="W2244">HLOOKUP($J2244,'Type Chart'!$C$2:$T$20,4,false)*HLOOKUP($K2244,'Type Chart'!$C$2:$U$20,4,false)</f>
        <v>1</v>
      </c>
      <c r="X2244" s="960">
        <f t="array" ref="X2244">HLOOKUP($J2244,'Type Chart'!$C$2:$T$20,5,false)*HLOOKUP($K2244,'Type Chart'!$C$2:$U$20,5,false)</f>
        <v>1</v>
      </c>
      <c r="Y2244" s="960">
        <f t="array" ref="Y2244">HLOOKUP($J2244,'Type Chart'!$C$2:$T$20,6,false)*HLOOKUP($K2244,'Type Chart'!$C$2:$U$20,6,false)</f>
        <v>1</v>
      </c>
      <c r="Z2244" s="960">
        <f t="array" ref="Z2244">HLOOKUP($J2244,'Type Chart'!$C$2:$T$20,7,false)*HLOOKUP($K2244,'Type Chart'!$C$2:$U$20,7,false)</f>
        <v>1</v>
      </c>
      <c r="AA2244" s="960">
        <f t="array" ref="AA2244">HLOOKUP($J2244,'Type Chart'!$C$2:$T$20,8,false)*HLOOKUP($K2244,'Type Chart'!$C$2:$U$20,8,false)</f>
        <v>2</v>
      </c>
      <c r="AB2244" s="960">
        <f t="array" ref="AB2244">HLOOKUP($J2244,'Type Chart'!$C$2:$T$20,9,false)*HLOOKUP($K2244,'Type Chart'!$C$2:$U$20,9,false)</f>
        <v>2</v>
      </c>
      <c r="AC2244" s="960">
        <f t="array" ref="AC2244">HLOOKUP($J2244,'Type Chart'!$C$2:$T$20,10,false)*HLOOKUP($K2244,'Type Chart'!$C$2:$U$20,10,false)</f>
        <v>1</v>
      </c>
      <c r="AD2244" s="960">
        <f t="array" ref="AD2244">HLOOKUP($J2244,'Type Chart'!$C$2:$T$20,11,false)*HLOOKUP($K2244,'Type Chart'!$C$2:$U$20,11,false)</f>
        <v>1</v>
      </c>
      <c r="AE2244" s="960">
        <f t="array" ref="AE2244">HLOOKUP($J2244,'Type Chart'!$C$2:$T$20,12,false)*HLOOKUP($K2244,'Type Chart'!$C$2:$U$20,12,false)</f>
        <v>1</v>
      </c>
      <c r="AF2244" s="960">
        <f t="array" ref="AF2244">HLOOKUP($J2244,'Type Chart'!$C$2:$T$20,13,false)*HLOOKUP($K2244,'Type Chart'!$C$2:$U$20,13,false)</f>
        <v>1</v>
      </c>
      <c r="AG2244" s="960">
        <f t="array" ref="AG2244">HLOOKUP($J2244,'Type Chart'!$C$2:$T$20,14,false)*HLOOKUP($K2244,'Type Chart'!$C$2:$U$20,14,false)</f>
        <v>1</v>
      </c>
      <c r="AH2244" s="960">
        <f t="array" ref="AH2244">HLOOKUP($J2244,'Type Chart'!$C$2:$T$20,15,false)*HLOOKUP($K2244,'Type Chart'!$C$2:$U$20,15,false)</f>
        <v>0.5</v>
      </c>
      <c r="AI2244" s="960">
        <f t="array" ref="AI2244">HLOOKUP($J2244,'Type Chart'!$C$2:$T$20,16,false)*HLOOKUP($K2244,'Type Chart'!$C$2:$U$20,16,false)</f>
        <v>1</v>
      </c>
      <c r="AJ2244" s="960">
        <f t="array" ref="AJ2244">HLOOKUP($J2244,'Type Chart'!$C$2:$T$20,17,false)*HLOOKUP($K2244,'Type Chart'!$C$2:$U$20,17,false)</f>
        <v>1</v>
      </c>
      <c r="AK2244" s="960">
        <f t="array" ref="AK2244">HLOOKUP($J2244,'Type Chart'!$C$2:$T$20,18,false)*HLOOKUP($K2244,'Type Chart'!$C$2:$U$20,18,false)</f>
        <v>2</v>
      </c>
      <c r="AL2244" s="960">
        <f t="array" ref="AL2244">HLOOKUP($J2244,'Type Chart'!$C$2:$T$20,19,false)*HLOOKUP($K2244,'Type Chart'!$C$2:$U$20,19,false)</f>
        <v>1</v>
      </c>
      <c r="AM2244" s="1145" t="s">
        <v>3679</v>
      </c>
      <c r="AN2244" s="965"/>
      <c r="AO2244" s="966"/>
      <c r="AP2244" s="936"/>
      <c r="AQ2244" s="1245"/>
      <c r="AR2244" s="1245"/>
      <c r="AS2244" s="936"/>
    </row>
    <row r="2245" ht="15.75" customHeight="1">
      <c r="A2245" s="1099"/>
      <c r="B2245" s="948" t="s">
        <v>3676</v>
      </c>
      <c r="C2245" s="1197" t="s">
        <v>3708</v>
      </c>
      <c r="D2245" s="1197" t="s">
        <v>3708</v>
      </c>
      <c r="E2245" s="1147" t="s">
        <v>3708</v>
      </c>
      <c r="F2245" s="940"/>
      <c r="G2245" s="953"/>
      <c r="H2245" s="969"/>
      <c r="I2245" s="998" t="s">
        <v>5342</v>
      </c>
      <c r="J2245" s="1214" t="s">
        <v>342</v>
      </c>
      <c r="K2245" s="984" t="s">
        <v>216</v>
      </c>
      <c r="L2245" s="959">
        <v>95.0</v>
      </c>
      <c r="M2245" s="960">
        <v>95.0</v>
      </c>
      <c r="N2245" s="960">
        <v>95.0</v>
      </c>
      <c r="O2245" s="960">
        <v>95.0</v>
      </c>
      <c r="P2245" s="960">
        <v>95.0</v>
      </c>
      <c r="Q2245" s="960">
        <v>95.0</v>
      </c>
      <c r="R2245" s="960">
        <v>226.0</v>
      </c>
      <c r="S2245" s="960">
        <v>289.0</v>
      </c>
      <c r="T2245" s="960">
        <v>317.0</v>
      </c>
      <c r="U2245" s="960">
        <f t="array" ref="U2245">HLOOKUP($J2245,'Type Chart'!$C$2:$T$20,2,false)*HLOOKUP($K2245,'Type Chart'!$C$2:$U$20,2,false)</f>
        <v>0.5</v>
      </c>
      <c r="V2245" s="960">
        <f t="array" ref="V2245">HLOOKUP($J2245,'Type Chart'!$C$2:$T$20,3,false)*HLOOKUP($K2245,'Type Chart'!$C$2:$U$20,3,false)</f>
        <v>2</v>
      </c>
      <c r="W2245" s="960">
        <f t="array" ref="W2245">HLOOKUP($J2245,'Type Chart'!$C$2:$T$20,4,false)*HLOOKUP($K2245,'Type Chart'!$C$2:$U$20,4,false)</f>
        <v>0.5</v>
      </c>
      <c r="X2245" s="960">
        <f t="array" ref="X2245">HLOOKUP($J2245,'Type Chart'!$C$2:$T$20,5,false)*HLOOKUP($K2245,'Type Chart'!$C$2:$U$20,5,false)</f>
        <v>0.5</v>
      </c>
      <c r="Y2245" s="960">
        <f t="array" ref="Y2245">HLOOKUP($J2245,'Type Chart'!$C$2:$T$20,6,false)*HLOOKUP($K2245,'Type Chart'!$C$2:$U$20,6,false)</f>
        <v>2</v>
      </c>
      <c r="Z2245" s="960">
        <f t="array" ref="Z2245">HLOOKUP($J2245,'Type Chart'!$C$2:$T$20,7,false)*HLOOKUP($K2245,'Type Chart'!$C$2:$U$20,7,false)</f>
        <v>1</v>
      </c>
      <c r="AA2245" s="960">
        <f t="array" ref="AA2245">HLOOKUP($J2245,'Type Chart'!$C$2:$T$20,8,false)*HLOOKUP($K2245,'Type Chart'!$C$2:$U$20,8,false)</f>
        <v>1</v>
      </c>
      <c r="AB2245" s="960">
        <f t="array" ref="AB2245">HLOOKUP($J2245,'Type Chart'!$C$2:$T$20,9,false)*HLOOKUP($K2245,'Type Chart'!$C$2:$U$20,9,false)</f>
        <v>1</v>
      </c>
      <c r="AC2245" s="960">
        <f t="array" ref="AC2245">HLOOKUP($J2245,'Type Chart'!$C$2:$T$20,10,false)*HLOOKUP($K2245,'Type Chart'!$C$2:$U$20,10,false)</f>
        <v>2</v>
      </c>
      <c r="AD2245" s="960">
        <f t="array" ref="AD2245">HLOOKUP($J2245,'Type Chart'!$C$2:$T$20,11,false)*HLOOKUP($K2245,'Type Chart'!$C$2:$U$20,11,false)</f>
        <v>0.5</v>
      </c>
      <c r="AE2245" s="960">
        <f t="array" ref="AE2245">HLOOKUP($J2245,'Type Chart'!$C$2:$T$20,12,false)*HLOOKUP($K2245,'Type Chart'!$C$2:$U$20,12,false)</f>
        <v>2</v>
      </c>
      <c r="AF2245" s="960">
        <f t="array" ref="AF2245">HLOOKUP($J2245,'Type Chart'!$C$2:$T$20,13,false)*HLOOKUP($K2245,'Type Chart'!$C$2:$U$20,13,false)</f>
        <v>2</v>
      </c>
      <c r="AG2245" s="960">
        <f t="array" ref="AG2245">HLOOKUP($J2245,'Type Chart'!$C$2:$T$20,14,false)*HLOOKUP($K2245,'Type Chart'!$C$2:$U$20,14,false)</f>
        <v>1</v>
      </c>
      <c r="AH2245" s="960">
        <f t="array" ref="AH2245">HLOOKUP($J2245,'Type Chart'!$C$2:$T$20,15,false)*HLOOKUP($K2245,'Type Chart'!$C$2:$U$20,15,false)</f>
        <v>1</v>
      </c>
      <c r="AI2245" s="960">
        <f t="array" ref="AI2245">HLOOKUP($J2245,'Type Chart'!$C$2:$T$20,16,false)*HLOOKUP($K2245,'Type Chart'!$C$2:$U$20,16,false)</f>
        <v>1</v>
      </c>
      <c r="AJ2245" s="960">
        <f t="array" ref="AJ2245">HLOOKUP($J2245,'Type Chart'!$C$2:$T$20,17,false)*HLOOKUP($K2245,'Type Chart'!$C$2:$U$20,17,false)</f>
        <v>1</v>
      </c>
      <c r="AK2245" s="960">
        <f t="array" ref="AK2245">HLOOKUP($J2245,'Type Chart'!$C$2:$T$20,18,false)*HLOOKUP($K2245,'Type Chart'!$C$2:$U$20,18,false)</f>
        <v>1</v>
      </c>
      <c r="AL2245" s="960">
        <f t="array" ref="AL2245">HLOOKUP($J2245,'Type Chart'!$C$2:$T$20,19,false)*HLOOKUP($K2245,'Type Chart'!$C$2:$U$20,19,false)</f>
        <v>1</v>
      </c>
      <c r="AM2245" s="1145" t="s">
        <v>3679</v>
      </c>
      <c r="AN2245" s="965"/>
      <c r="AO2245" s="966"/>
      <c r="AP2245" s="936"/>
      <c r="AQ2245" s="1245"/>
      <c r="AR2245" s="1245"/>
      <c r="AS2245" s="936"/>
    </row>
    <row r="2246" ht="15.75" customHeight="1">
      <c r="A2246" s="1099"/>
      <c r="B2246" s="948" t="s">
        <v>3676</v>
      </c>
      <c r="C2246" s="1197" t="s">
        <v>3710</v>
      </c>
      <c r="D2246" s="1197" t="s">
        <v>3710</v>
      </c>
      <c r="E2246" s="1147" t="s">
        <v>3710</v>
      </c>
      <c r="F2246" s="940"/>
      <c r="G2246" s="953"/>
      <c r="H2246" s="969"/>
      <c r="I2246" s="998" t="s">
        <v>5343</v>
      </c>
      <c r="J2246" s="1206" t="s">
        <v>82</v>
      </c>
      <c r="K2246" s="984" t="s">
        <v>216</v>
      </c>
      <c r="L2246" s="959">
        <v>95.0</v>
      </c>
      <c r="M2246" s="960">
        <v>95.0</v>
      </c>
      <c r="N2246" s="960">
        <v>95.0</v>
      </c>
      <c r="O2246" s="960">
        <v>95.0</v>
      </c>
      <c r="P2246" s="960">
        <v>95.0</v>
      </c>
      <c r="Q2246" s="960">
        <v>95.0</v>
      </c>
      <c r="R2246" s="960">
        <v>226.0</v>
      </c>
      <c r="S2246" s="960">
        <v>289.0</v>
      </c>
      <c r="T2246" s="960">
        <v>317.0</v>
      </c>
      <c r="U2246" s="960">
        <f t="array" ref="U2246">HLOOKUP($J2246,'Type Chart'!$C$2:$T$20,2,false)*HLOOKUP($K2246,'Type Chart'!$C$2:$U$20,2,false)</f>
        <v>0.5</v>
      </c>
      <c r="V2246" s="960">
        <f t="array" ref="V2246">HLOOKUP($J2246,'Type Chart'!$C$2:$T$20,3,false)*HLOOKUP($K2246,'Type Chart'!$C$2:$U$20,3,false)</f>
        <v>2</v>
      </c>
      <c r="W2246" s="960">
        <f t="array" ref="W2246">HLOOKUP($J2246,'Type Chart'!$C$2:$T$20,4,false)*HLOOKUP($K2246,'Type Chart'!$C$2:$U$20,4,false)</f>
        <v>0.5</v>
      </c>
      <c r="X2246" s="960">
        <f t="array" ref="X2246">HLOOKUP($J2246,'Type Chart'!$C$2:$T$20,5,false)*HLOOKUP($K2246,'Type Chart'!$C$2:$U$20,5,false)</f>
        <v>0</v>
      </c>
      <c r="Y2246" s="960">
        <f t="array" ref="Y2246">HLOOKUP($J2246,'Type Chart'!$C$2:$T$20,6,false)*HLOOKUP($K2246,'Type Chart'!$C$2:$U$20,6,false)</f>
        <v>2</v>
      </c>
      <c r="Z2246" s="960">
        <f t="array" ref="Z2246">HLOOKUP($J2246,'Type Chart'!$C$2:$T$20,7,false)*HLOOKUP($K2246,'Type Chart'!$C$2:$U$20,7,false)</f>
        <v>0.5</v>
      </c>
      <c r="AA2246" s="960">
        <f t="array" ref="AA2246">HLOOKUP($J2246,'Type Chart'!$C$2:$T$20,8,false)*HLOOKUP($K2246,'Type Chart'!$C$2:$U$20,8,false)</f>
        <v>0.5</v>
      </c>
      <c r="AB2246" s="960">
        <f t="array" ref="AB2246">HLOOKUP($J2246,'Type Chart'!$C$2:$T$20,9,false)*HLOOKUP($K2246,'Type Chart'!$C$2:$U$20,9,false)</f>
        <v>1</v>
      </c>
      <c r="AC2246" s="960">
        <f t="array" ref="AC2246">HLOOKUP($J2246,'Type Chart'!$C$2:$T$20,10,false)*HLOOKUP($K2246,'Type Chart'!$C$2:$U$20,10,false)</f>
        <v>0.5</v>
      </c>
      <c r="AD2246" s="960">
        <f t="array" ref="AD2246">HLOOKUP($J2246,'Type Chart'!$C$2:$T$20,11,false)*HLOOKUP($K2246,'Type Chart'!$C$2:$U$20,11,false)</f>
        <v>2</v>
      </c>
      <c r="AE2246" s="960">
        <f t="array" ref="AE2246">HLOOKUP($J2246,'Type Chart'!$C$2:$T$20,12,false)*HLOOKUP($K2246,'Type Chart'!$C$2:$U$20,12,false)</f>
        <v>1</v>
      </c>
      <c r="AF2246" s="960">
        <f t="array" ref="AF2246">HLOOKUP($J2246,'Type Chart'!$C$2:$T$20,13,false)*HLOOKUP($K2246,'Type Chart'!$C$2:$U$20,13,false)</f>
        <v>0.5</v>
      </c>
      <c r="AG2246" s="960">
        <f t="array" ref="AG2246">HLOOKUP($J2246,'Type Chart'!$C$2:$T$20,14,false)*HLOOKUP($K2246,'Type Chart'!$C$2:$U$20,14,false)</f>
        <v>1</v>
      </c>
      <c r="AH2246" s="960">
        <f t="array" ref="AH2246">HLOOKUP($J2246,'Type Chart'!$C$2:$T$20,15,false)*HLOOKUP($K2246,'Type Chart'!$C$2:$U$20,15,false)</f>
        <v>0.5</v>
      </c>
      <c r="AI2246" s="960">
        <f t="array" ref="AI2246">HLOOKUP($J2246,'Type Chart'!$C$2:$T$20,16,false)*HLOOKUP($K2246,'Type Chart'!$C$2:$U$20,16,false)</f>
        <v>0.5</v>
      </c>
      <c r="AJ2246" s="960">
        <f t="array" ref="AJ2246">HLOOKUP($J2246,'Type Chart'!$C$2:$T$20,17,false)*HLOOKUP($K2246,'Type Chart'!$C$2:$U$20,17,false)</f>
        <v>0.5</v>
      </c>
      <c r="AK2246" s="960">
        <f t="array" ref="AK2246">HLOOKUP($J2246,'Type Chart'!$C$2:$T$20,18,false)*HLOOKUP($K2246,'Type Chart'!$C$2:$U$20,18,false)</f>
        <v>1</v>
      </c>
      <c r="AL2246" s="960">
        <f t="array" ref="AL2246">HLOOKUP($J2246,'Type Chart'!$C$2:$T$20,19,false)*HLOOKUP($K2246,'Type Chart'!$C$2:$U$20,19,false)</f>
        <v>0.5</v>
      </c>
      <c r="AM2246" s="1145" t="s">
        <v>3679</v>
      </c>
      <c r="AN2246" s="965"/>
      <c r="AO2246" s="966"/>
      <c r="AP2246" s="936"/>
      <c r="AQ2246" s="1245"/>
      <c r="AR2246" s="1245"/>
      <c r="AS2246" s="936"/>
    </row>
    <row r="2247" ht="15.75" customHeight="1">
      <c r="A2247" s="1099"/>
      <c r="B2247" s="948" t="s">
        <v>3676</v>
      </c>
      <c r="C2247" s="1197" t="s">
        <v>3712</v>
      </c>
      <c r="D2247" s="1197" t="s">
        <v>3712</v>
      </c>
      <c r="E2247" s="1147" t="s">
        <v>3712</v>
      </c>
      <c r="F2247" s="940"/>
      <c r="G2247" s="953"/>
      <c r="H2247" s="969"/>
      <c r="I2247" s="998" t="s">
        <v>5344</v>
      </c>
      <c r="J2247" s="1056" t="s">
        <v>81</v>
      </c>
      <c r="K2247" s="984" t="s">
        <v>216</v>
      </c>
      <c r="L2247" s="959">
        <v>95.0</v>
      </c>
      <c r="M2247" s="960">
        <v>95.0</v>
      </c>
      <c r="N2247" s="960">
        <v>95.0</v>
      </c>
      <c r="O2247" s="960">
        <v>95.0</v>
      </c>
      <c r="P2247" s="960">
        <v>95.0</v>
      </c>
      <c r="Q2247" s="960">
        <v>95.0</v>
      </c>
      <c r="R2247" s="960">
        <v>226.0</v>
      </c>
      <c r="S2247" s="960">
        <v>289.0</v>
      </c>
      <c r="T2247" s="960">
        <v>317.0</v>
      </c>
      <c r="U2247" s="960">
        <f t="array" ref="U2247">HLOOKUP($J2247,'Type Chart'!$C$2:$T$20,2,false)*HLOOKUP($K2247,'Type Chart'!$C$2:$U$20,2,false)</f>
        <v>1</v>
      </c>
      <c r="V2247" s="960">
        <f t="array" ref="V2247">HLOOKUP($J2247,'Type Chart'!$C$2:$T$20,3,false)*HLOOKUP($K2247,'Type Chart'!$C$2:$U$20,3,false)</f>
        <v>1</v>
      </c>
      <c r="W2247" s="960">
        <f t="array" ref="W2247">HLOOKUP($J2247,'Type Chart'!$C$2:$T$20,4,false)*HLOOKUP($K2247,'Type Chart'!$C$2:$U$20,4,false)</f>
        <v>1</v>
      </c>
      <c r="X2247" s="960">
        <f t="array" ref="X2247">HLOOKUP($J2247,'Type Chart'!$C$2:$T$20,5,false)*HLOOKUP($K2247,'Type Chart'!$C$2:$U$20,5,false)</f>
        <v>1</v>
      </c>
      <c r="Y2247" s="960">
        <f t="array" ref="Y2247">HLOOKUP($J2247,'Type Chart'!$C$2:$T$20,6,false)*HLOOKUP($K2247,'Type Chart'!$C$2:$U$20,6,false)</f>
        <v>1</v>
      </c>
      <c r="Z2247" s="960">
        <f t="array" ref="Z2247">HLOOKUP($J2247,'Type Chart'!$C$2:$T$20,7,false)*HLOOKUP($K2247,'Type Chart'!$C$2:$U$20,7,false)</f>
        <v>1</v>
      </c>
      <c r="AA2247" s="960">
        <f t="array" ref="AA2247">HLOOKUP($J2247,'Type Chart'!$C$2:$T$20,8,false)*HLOOKUP($K2247,'Type Chart'!$C$2:$U$20,8,false)</f>
        <v>1</v>
      </c>
      <c r="AB2247" s="960">
        <f t="array" ref="AB2247">HLOOKUP($J2247,'Type Chart'!$C$2:$T$20,9,false)*HLOOKUP($K2247,'Type Chart'!$C$2:$U$20,9,false)</f>
        <v>1</v>
      </c>
      <c r="AC2247" s="960">
        <f t="array" ref="AC2247">HLOOKUP($J2247,'Type Chart'!$C$2:$T$20,10,false)*HLOOKUP($K2247,'Type Chart'!$C$2:$U$20,10,false)</f>
        <v>0.5</v>
      </c>
      <c r="AD2247" s="960">
        <f t="array" ref="AD2247">HLOOKUP($J2247,'Type Chart'!$C$2:$T$20,11,false)*HLOOKUP($K2247,'Type Chart'!$C$2:$U$20,11,false)</f>
        <v>0.5</v>
      </c>
      <c r="AE2247" s="960">
        <f t="array" ref="AE2247">HLOOKUP($J2247,'Type Chart'!$C$2:$T$20,12,false)*HLOOKUP($K2247,'Type Chart'!$C$2:$U$20,12,false)</f>
        <v>0.5</v>
      </c>
      <c r="AF2247" s="960">
        <f t="array" ref="AF2247">HLOOKUP($J2247,'Type Chart'!$C$2:$T$20,13,false)*HLOOKUP($K2247,'Type Chart'!$C$2:$U$20,13,false)</f>
        <v>2</v>
      </c>
      <c r="AG2247" s="960">
        <f t="array" ref="AG2247">HLOOKUP($J2247,'Type Chart'!$C$2:$T$20,14,false)*HLOOKUP($K2247,'Type Chart'!$C$2:$U$20,14,false)</f>
        <v>2</v>
      </c>
      <c r="AH2247" s="960">
        <f t="array" ref="AH2247">HLOOKUP($J2247,'Type Chart'!$C$2:$T$20,15,false)*HLOOKUP($K2247,'Type Chart'!$C$2:$U$20,15,false)</f>
        <v>1</v>
      </c>
      <c r="AI2247" s="960">
        <f t="array" ref="AI2247">HLOOKUP($J2247,'Type Chart'!$C$2:$T$20,16,false)*HLOOKUP($K2247,'Type Chart'!$C$2:$U$20,16,false)</f>
        <v>0.5</v>
      </c>
      <c r="AJ2247" s="960">
        <f t="array" ref="AJ2247">HLOOKUP($J2247,'Type Chart'!$C$2:$T$20,17,false)*HLOOKUP($K2247,'Type Chart'!$C$2:$U$20,17,false)</f>
        <v>1</v>
      </c>
      <c r="AK2247" s="960">
        <f t="array" ref="AK2247">HLOOKUP($J2247,'Type Chart'!$C$2:$T$20,18,false)*HLOOKUP($K2247,'Type Chart'!$C$2:$U$20,18,false)</f>
        <v>1</v>
      </c>
      <c r="AL2247" s="960">
        <f t="array" ref="AL2247">HLOOKUP($J2247,'Type Chart'!$C$2:$T$20,19,false)*HLOOKUP($K2247,'Type Chart'!$C$2:$U$20,19,false)</f>
        <v>1</v>
      </c>
      <c r="AM2247" s="1145" t="s">
        <v>3679</v>
      </c>
      <c r="AN2247" s="965"/>
      <c r="AO2247" s="966"/>
      <c r="AP2247" s="936"/>
      <c r="AQ2247" s="1245"/>
      <c r="AR2247" s="1245"/>
      <c r="AS2247" s="936"/>
    </row>
    <row r="2248" ht="15.75" customHeight="1">
      <c r="A2248" s="1099"/>
      <c r="B2248" s="948" t="s">
        <v>3714</v>
      </c>
      <c r="C2248" s="1197" t="s">
        <v>3715</v>
      </c>
      <c r="D2248" s="1197" t="s">
        <v>3715</v>
      </c>
      <c r="E2248" s="1147" t="s">
        <v>3716</v>
      </c>
      <c r="F2248" s="940"/>
      <c r="G2248" s="953"/>
      <c r="H2248" s="969"/>
      <c r="I2248" s="998" t="s">
        <v>5345</v>
      </c>
      <c r="J2248" s="1214" t="s">
        <v>342</v>
      </c>
      <c r="K2248" s="1001" t="s">
        <v>128</v>
      </c>
      <c r="L2248" s="959">
        <v>60.0</v>
      </c>
      <c r="M2248" s="960">
        <v>100.0</v>
      </c>
      <c r="N2248" s="960">
        <v>60.0</v>
      </c>
      <c r="O2248" s="960">
        <v>100.0</v>
      </c>
      <c r="P2248" s="960">
        <v>60.0</v>
      </c>
      <c r="Q2248" s="960">
        <v>120.0</v>
      </c>
      <c r="R2248" s="960">
        <v>276.0</v>
      </c>
      <c r="S2248" s="960">
        <v>339.0</v>
      </c>
      <c r="T2248" s="960">
        <v>372.0</v>
      </c>
      <c r="U2248" s="960">
        <f t="array" ref="U2248">HLOOKUP($J2248,'Type Chart'!$C$2:$T$20,2,false)*HLOOKUP($K2248,'Type Chart'!$C$2:$U$20,2,false)</f>
        <v>0.5</v>
      </c>
      <c r="V2248" s="960">
        <f t="array" ref="V2248">HLOOKUP($J2248,'Type Chart'!$C$2:$T$20,3,false)*HLOOKUP($K2248,'Type Chart'!$C$2:$U$20,3,false)</f>
        <v>1</v>
      </c>
      <c r="W2248" s="960">
        <f t="array" ref="W2248">HLOOKUP($J2248,'Type Chart'!$C$2:$T$20,4,false)*HLOOKUP($K2248,'Type Chart'!$C$2:$U$20,4,false)</f>
        <v>0.5</v>
      </c>
      <c r="X2248" s="960">
        <f t="array" ref="X2248">HLOOKUP($J2248,'Type Chart'!$C$2:$T$20,5,false)*HLOOKUP($K2248,'Type Chart'!$C$2:$U$20,5,false)</f>
        <v>0.5</v>
      </c>
      <c r="Y2248" s="960">
        <f t="array" ref="Y2248">HLOOKUP($J2248,'Type Chart'!$C$2:$T$20,6,false)*HLOOKUP($K2248,'Type Chart'!$C$2:$U$20,6,false)</f>
        <v>0</v>
      </c>
      <c r="Z2248" s="960">
        <f t="array" ref="Z2248">HLOOKUP($J2248,'Type Chart'!$C$2:$T$20,7,false)*HLOOKUP($K2248,'Type Chart'!$C$2:$U$20,7,false)</f>
        <v>2</v>
      </c>
      <c r="AA2248" s="960">
        <f t="array" ref="AA2248">HLOOKUP($J2248,'Type Chart'!$C$2:$T$20,8,false)*HLOOKUP($K2248,'Type Chart'!$C$2:$U$20,8,false)</f>
        <v>0.5</v>
      </c>
      <c r="AB2248" s="960">
        <f t="array" ref="AB2248">HLOOKUP($J2248,'Type Chart'!$C$2:$T$20,9,false)*HLOOKUP($K2248,'Type Chart'!$C$2:$U$20,9,false)</f>
        <v>1</v>
      </c>
      <c r="AC2248" s="960">
        <f t="array" ref="AC2248">HLOOKUP($J2248,'Type Chart'!$C$2:$T$20,10,false)*HLOOKUP($K2248,'Type Chart'!$C$2:$U$20,10,false)</f>
        <v>2</v>
      </c>
      <c r="AD2248" s="960">
        <f t="array" ref="AD2248">HLOOKUP($J2248,'Type Chart'!$C$2:$T$20,11,false)*HLOOKUP($K2248,'Type Chart'!$C$2:$U$20,11,false)</f>
        <v>0.5</v>
      </c>
      <c r="AE2248" s="960">
        <f t="array" ref="AE2248">HLOOKUP($J2248,'Type Chart'!$C$2:$T$20,12,false)*HLOOKUP($K2248,'Type Chart'!$C$2:$U$20,12,false)</f>
        <v>2</v>
      </c>
      <c r="AF2248" s="960">
        <f t="array" ref="AF2248">HLOOKUP($J2248,'Type Chart'!$C$2:$T$20,13,false)*HLOOKUP($K2248,'Type Chart'!$C$2:$U$20,13,false)</f>
        <v>1</v>
      </c>
      <c r="AG2248" s="960">
        <f t="array" ref="AG2248">HLOOKUP($J2248,'Type Chart'!$C$2:$T$20,14,false)*HLOOKUP($K2248,'Type Chart'!$C$2:$U$20,14,false)</f>
        <v>2</v>
      </c>
      <c r="AH2248" s="960">
        <f t="array" ref="AH2248">HLOOKUP($J2248,'Type Chart'!$C$2:$T$20,15,false)*HLOOKUP($K2248,'Type Chart'!$C$2:$U$20,15,false)</f>
        <v>1</v>
      </c>
      <c r="AI2248" s="960">
        <f t="array" ref="AI2248">HLOOKUP($J2248,'Type Chart'!$C$2:$T$20,16,false)*HLOOKUP($K2248,'Type Chart'!$C$2:$U$20,16,false)</f>
        <v>2</v>
      </c>
      <c r="AJ2248" s="960">
        <f t="array" ref="AJ2248">HLOOKUP($J2248,'Type Chart'!$C$2:$T$20,17,false)*HLOOKUP($K2248,'Type Chart'!$C$2:$U$20,17,false)</f>
        <v>1</v>
      </c>
      <c r="AK2248" s="960">
        <f t="array" ref="AK2248">HLOOKUP($J2248,'Type Chart'!$C$2:$T$20,18,false)*HLOOKUP($K2248,'Type Chart'!$C$2:$U$20,18,false)</f>
        <v>1</v>
      </c>
      <c r="AL2248" s="960">
        <f t="array" ref="AL2248">HLOOKUP($J2248,'Type Chart'!$C$2:$T$20,19,false)*HLOOKUP($K2248,'Type Chart'!$C$2:$U$20,19,false)</f>
        <v>1</v>
      </c>
      <c r="AM2248" s="1145" t="s">
        <v>3717</v>
      </c>
      <c r="AN2248" s="965"/>
      <c r="AO2248" s="966"/>
      <c r="AP2248" s="936"/>
      <c r="AQ2248" s="1245"/>
      <c r="AR2248" s="1245"/>
      <c r="AS2248" s="936"/>
    </row>
    <row r="2249" ht="15.75" customHeight="1">
      <c r="A2249" s="1099"/>
      <c r="B2249" s="948" t="s">
        <v>3718</v>
      </c>
      <c r="C2249" s="1197" t="s">
        <v>3719</v>
      </c>
      <c r="D2249" s="1197" t="s">
        <v>3720</v>
      </c>
      <c r="E2249" s="1147" t="s">
        <v>3719</v>
      </c>
      <c r="F2249" s="940"/>
      <c r="G2249" s="953"/>
      <c r="H2249" s="969"/>
      <c r="I2249" s="998" t="s">
        <v>5346</v>
      </c>
      <c r="J2249" s="1214" t="s">
        <v>342</v>
      </c>
      <c r="K2249" s="1001" t="s">
        <v>128</v>
      </c>
      <c r="L2249" s="959">
        <v>60.0</v>
      </c>
      <c r="M2249" s="960">
        <v>60.0</v>
      </c>
      <c r="N2249" s="960">
        <v>100.0</v>
      </c>
      <c r="O2249" s="960">
        <v>60.0</v>
      </c>
      <c r="P2249" s="960">
        <v>100.0</v>
      </c>
      <c r="Q2249" s="960">
        <v>60.0</v>
      </c>
      <c r="R2249" s="960">
        <v>156.0</v>
      </c>
      <c r="S2249" s="960">
        <v>219.0</v>
      </c>
      <c r="T2249" s="960">
        <v>240.0</v>
      </c>
      <c r="U2249" s="960">
        <f t="array" ref="U2249">HLOOKUP($J2249,'Type Chart'!$C$2:$T$20,2,false)*HLOOKUP($K2249,'Type Chart'!$C$2:$U$20,2,false)</f>
        <v>0.5</v>
      </c>
      <c r="V2249" s="960">
        <f t="array" ref="V2249">HLOOKUP($J2249,'Type Chart'!$C$2:$T$20,3,false)*HLOOKUP($K2249,'Type Chart'!$C$2:$U$20,3,false)</f>
        <v>1</v>
      </c>
      <c r="W2249" s="960">
        <f t="array" ref="W2249">HLOOKUP($J2249,'Type Chart'!$C$2:$T$20,4,false)*HLOOKUP($K2249,'Type Chart'!$C$2:$U$20,4,false)</f>
        <v>0.5</v>
      </c>
      <c r="X2249" s="960">
        <f t="array" ref="X2249">HLOOKUP($J2249,'Type Chart'!$C$2:$T$20,5,false)*HLOOKUP($K2249,'Type Chart'!$C$2:$U$20,5,false)</f>
        <v>0.5</v>
      </c>
      <c r="Y2249" s="960">
        <f t="array" ref="Y2249">HLOOKUP($J2249,'Type Chart'!$C$2:$T$20,6,false)*HLOOKUP($K2249,'Type Chart'!$C$2:$U$20,6,false)</f>
        <v>0</v>
      </c>
      <c r="Z2249" s="960">
        <f t="array" ref="Z2249">HLOOKUP($J2249,'Type Chart'!$C$2:$T$20,7,false)*HLOOKUP($K2249,'Type Chart'!$C$2:$U$20,7,false)</f>
        <v>2</v>
      </c>
      <c r="AA2249" s="960">
        <f t="array" ref="AA2249">HLOOKUP($J2249,'Type Chart'!$C$2:$T$20,8,false)*HLOOKUP($K2249,'Type Chart'!$C$2:$U$20,8,false)</f>
        <v>0.5</v>
      </c>
      <c r="AB2249" s="960">
        <f t="array" ref="AB2249">HLOOKUP($J2249,'Type Chart'!$C$2:$T$20,9,false)*HLOOKUP($K2249,'Type Chart'!$C$2:$U$20,9,false)</f>
        <v>1</v>
      </c>
      <c r="AC2249" s="960">
        <f t="array" ref="AC2249">HLOOKUP($J2249,'Type Chart'!$C$2:$T$20,10,false)*HLOOKUP($K2249,'Type Chart'!$C$2:$U$20,10,false)</f>
        <v>2</v>
      </c>
      <c r="AD2249" s="960">
        <f t="array" ref="AD2249">HLOOKUP($J2249,'Type Chart'!$C$2:$T$20,11,false)*HLOOKUP($K2249,'Type Chart'!$C$2:$U$20,11,false)</f>
        <v>0.5</v>
      </c>
      <c r="AE2249" s="960">
        <f t="array" ref="AE2249">HLOOKUP($J2249,'Type Chart'!$C$2:$T$20,12,false)*HLOOKUP($K2249,'Type Chart'!$C$2:$U$20,12,false)</f>
        <v>2</v>
      </c>
      <c r="AF2249" s="960">
        <f t="array" ref="AF2249">HLOOKUP($J2249,'Type Chart'!$C$2:$T$20,13,false)*HLOOKUP($K2249,'Type Chart'!$C$2:$U$20,13,false)</f>
        <v>1</v>
      </c>
      <c r="AG2249" s="960">
        <f t="array" ref="AG2249">HLOOKUP($J2249,'Type Chart'!$C$2:$T$20,14,false)*HLOOKUP($K2249,'Type Chart'!$C$2:$U$20,14,false)</f>
        <v>2</v>
      </c>
      <c r="AH2249" s="960">
        <f t="array" ref="AH2249">HLOOKUP($J2249,'Type Chart'!$C$2:$T$20,15,false)*HLOOKUP($K2249,'Type Chart'!$C$2:$U$20,15,false)</f>
        <v>1</v>
      </c>
      <c r="AI2249" s="960">
        <f t="array" ref="AI2249">HLOOKUP($J2249,'Type Chart'!$C$2:$T$20,16,false)*HLOOKUP($K2249,'Type Chart'!$C$2:$U$20,16,false)</f>
        <v>2</v>
      </c>
      <c r="AJ2249" s="960">
        <f t="array" ref="AJ2249">HLOOKUP($J2249,'Type Chart'!$C$2:$T$20,17,false)*HLOOKUP($K2249,'Type Chart'!$C$2:$U$20,17,false)</f>
        <v>1</v>
      </c>
      <c r="AK2249" s="960">
        <f t="array" ref="AK2249">HLOOKUP($J2249,'Type Chart'!$C$2:$T$20,18,false)*HLOOKUP($K2249,'Type Chart'!$C$2:$U$20,18,false)</f>
        <v>1</v>
      </c>
      <c r="AL2249" s="960">
        <f t="array" ref="AL2249">HLOOKUP($J2249,'Type Chart'!$C$2:$T$20,19,false)*HLOOKUP($K2249,'Type Chart'!$C$2:$U$20,19,false)</f>
        <v>1</v>
      </c>
      <c r="AM2249" s="1145" t="s">
        <v>3717</v>
      </c>
      <c r="AN2249" s="965"/>
      <c r="AO2249" s="966"/>
      <c r="AP2249" s="936"/>
      <c r="AQ2249" s="1245"/>
      <c r="AR2249" s="1245"/>
      <c r="AS2249" s="936"/>
    </row>
    <row r="2250" ht="15.75" customHeight="1">
      <c r="A2250" s="1099"/>
      <c r="B2250" s="948" t="s">
        <v>3722</v>
      </c>
      <c r="C2250" s="1197" t="s">
        <v>3723</v>
      </c>
      <c r="D2250" s="1197" t="s">
        <v>3723</v>
      </c>
      <c r="E2250" s="1147" t="s">
        <v>3723</v>
      </c>
      <c r="F2250" s="940"/>
      <c r="G2250" s="953"/>
      <c r="H2250" s="969"/>
      <c r="I2250" s="998" t="s">
        <v>5347</v>
      </c>
      <c r="J2250" s="1194" t="s">
        <v>136</v>
      </c>
      <c r="K2250" s="984" t="s">
        <v>216</v>
      </c>
      <c r="L2250" s="959">
        <v>65.0</v>
      </c>
      <c r="M2250" s="960">
        <v>115.0</v>
      </c>
      <c r="N2250" s="960">
        <v>65.0</v>
      </c>
      <c r="O2250" s="960">
        <v>75.0</v>
      </c>
      <c r="P2250" s="960">
        <v>95.0</v>
      </c>
      <c r="Q2250" s="960">
        <v>65.0</v>
      </c>
      <c r="R2250" s="960">
        <v>166.0</v>
      </c>
      <c r="S2250" s="960">
        <v>229.0</v>
      </c>
      <c r="T2250" s="960">
        <v>251.0</v>
      </c>
      <c r="U2250" s="960">
        <f t="array" ref="U2250">HLOOKUP($J2250,'Type Chart'!$C$2:$T$20,2,false)*HLOOKUP($K2250,'Type Chart'!$C$2:$U$20,2,false)</f>
        <v>1</v>
      </c>
      <c r="V2250" s="960">
        <f t="array" ref="V2250">HLOOKUP($J2250,'Type Chart'!$C$2:$T$20,3,false)*HLOOKUP($K2250,'Type Chart'!$C$2:$U$20,3,false)</f>
        <v>2</v>
      </c>
      <c r="W2250" s="960">
        <f t="array" ref="W2250">HLOOKUP($J2250,'Type Chart'!$C$2:$T$20,4,false)*HLOOKUP($K2250,'Type Chart'!$C$2:$U$20,4,false)</f>
        <v>1</v>
      </c>
      <c r="X2250" s="960">
        <f t="array" ref="X2250">HLOOKUP($J2250,'Type Chart'!$C$2:$T$20,5,false)*HLOOKUP($K2250,'Type Chart'!$C$2:$U$20,5,false)</f>
        <v>1</v>
      </c>
      <c r="Y2250" s="960">
        <f t="array" ref="Y2250">HLOOKUP($J2250,'Type Chart'!$C$2:$T$20,6,false)*HLOOKUP($K2250,'Type Chart'!$C$2:$U$20,6,false)</f>
        <v>1</v>
      </c>
      <c r="Z2250" s="960">
        <f t="array" ref="Z2250">HLOOKUP($J2250,'Type Chart'!$C$2:$T$20,7,false)*HLOOKUP($K2250,'Type Chart'!$C$2:$U$20,7,false)</f>
        <v>1</v>
      </c>
      <c r="AA2250" s="960">
        <f t="array" ref="AA2250">HLOOKUP($J2250,'Type Chart'!$C$2:$T$20,8,false)*HLOOKUP($K2250,'Type Chart'!$C$2:$U$20,8,false)</f>
        <v>1</v>
      </c>
      <c r="AB2250" s="960">
        <f t="array" ref="AB2250">HLOOKUP($J2250,'Type Chart'!$C$2:$T$20,9,false)*HLOOKUP($K2250,'Type Chart'!$C$2:$U$20,9,false)</f>
        <v>0</v>
      </c>
      <c r="AC2250" s="960">
        <f t="array" ref="AC2250">HLOOKUP($J2250,'Type Chart'!$C$2:$T$20,10,false)*HLOOKUP($K2250,'Type Chart'!$C$2:$U$20,10,false)</f>
        <v>1</v>
      </c>
      <c r="AD2250" s="960">
        <f t="array" ref="AD2250">HLOOKUP($J2250,'Type Chart'!$C$2:$T$20,11,false)*HLOOKUP($K2250,'Type Chart'!$C$2:$U$20,11,false)</f>
        <v>1</v>
      </c>
      <c r="AE2250" s="960">
        <f t="array" ref="AE2250">HLOOKUP($J2250,'Type Chart'!$C$2:$T$20,12,false)*HLOOKUP($K2250,'Type Chart'!$C$2:$U$20,12,false)</f>
        <v>1</v>
      </c>
      <c r="AF2250" s="960">
        <f t="array" ref="AF2250">HLOOKUP($J2250,'Type Chart'!$C$2:$T$20,13,false)*HLOOKUP($K2250,'Type Chart'!$C$2:$U$20,13,false)</f>
        <v>1</v>
      </c>
      <c r="AG2250" s="960">
        <f t="array" ref="AG2250">HLOOKUP($J2250,'Type Chart'!$C$2:$T$20,14,false)*HLOOKUP($K2250,'Type Chart'!$C$2:$U$20,14,false)</f>
        <v>1</v>
      </c>
      <c r="AH2250" s="960">
        <f t="array" ref="AH2250">HLOOKUP($J2250,'Type Chart'!$C$2:$T$20,15,false)*HLOOKUP($K2250,'Type Chart'!$C$2:$U$20,15,false)</f>
        <v>1</v>
      </c>
      <c r="AI2250" s="960">
        <f t="array" ref="AI2250">HLOOKUP($J2250,'Type Chart'!$C$2:$T$20,16,false)*HLOOKUP($K2250,'Type Chart'!$C$2:$U$20,16,false)</f>
        <v>1</v>
      </c>
      <c r="AJ2250" s="960">
        <f t="array" ref="AJ2250">HLOOKUP($J2250,'Type Chart'!$C$2:$T$20,17,false)*HLOOKUP($K2250,'Type Chart'!$C$2:$U$20,17,false)</f>
        <v>1</v>
      </c>
      <c r="AK2250" s="960">
        <f t="array" ref="AK2250">HLOOKUP($J2250,'Type Chart'!$C$2:$T$20,18,false)*HLOOKUP($K2250,'Type Chart'!$C$2:$U$20,18,false)</f>
        <v>1</v>
      </c>
      <c r="AL2250" s="960">
        <f t="array" ref="AL2250">HLOOKUP($J2250,'Type Chart'!$C$2:$T$20,19,false)*HLOOKUP($K2250,'Type Chart'!$C$2:$U$20,19,false)</f>
        <v>1</v>
      </c>
      <c r="AM2250" s="1145" t="s">
        <v>3724</v>
      </c>
      <c r="AN2250" s="965"/>
      <c r="AO2250" s="966"/>
      <c r="AP2250" s="936"/>
      <c r="AQ2250" s="1245"/>
      <c r="AR2250" s="1245"/>
      <c r="AS2250" s="936"/>
    </row>
    <row r="2251" ht="15.75" customHeight="1">
      <c r="A2251" s="1099"/>
      <c r="B2251" s="948" t="s">
        <v>3725</v>
      </c>
      <c r="C2251" s="1197" t="s">
        <v>3726</v>
      </c>
      <c r="D2251" s="1197" t="s">
        <v>3726</v>
      </c>
      <c r="E2251" s="1147" t="s">
        <v>3726</v>
      </c>
      <c r="F2251" s="940"/>
      <c r="G2251" s="953"/>
      <c r="H2251" s="969"/>
      <c r="I2251" s="998" t="s">
        <v>5348</v>
      </c>
      <c r="J2251" s="982" t="s">
        <v>150</v>
      </c>
      <c r="K2251" s="1006" t="s">
        <v>346</v>
      </c>
      <c r="L2251" s="959">
        <v>60.0</v>
      </c>
      <c r="M2251" s="960">
        <v>78.0</v>
      </c>
      <c r="N2251" s="960">
        <v>135.0</v>
      </c>
      <c r="O2251" s="960">
        <v>91.0</v>
      </c>
      <c r="P2251" s="960">
        <v>85.0</v>
      </c>
      <c r="Q2251" s="960">
        <v>36.0</v>
      </c>
      <c r="R2251" s="960">
        <v>108.0</v>
      </c>
      <c r="S2251" s="960">
        <v>171.0</v>
      </c>
      <c r="T2251" s="960">
        <v>188.0</v>
      </c>
      <c r="U2251" s="960">
        <f t="array" ref="U2251">HLOOKUP($J2251,'Type Chart'!$C$2:$T$20,2,false)*HLOOKUP($K2251,'Type Chart'!$C$2:$U$20,2,false)</f>
        <v>1</v>
      </c>
      <c r="V2251" s="960">
        <f t="array" ref="V2251">HLOOKUP($J2251,'Type Chart'!$C$2:$T$20,3,false)*HLOOKUP($K2251,'Type Chart'!$C$2:$U$20,3,false)</f>
        <v>1</v>
      </c>
      <c r="W2251" s="960">
        <f t="array" ref="W2251">HLOOKUP($J2251,'Type Chart'!$C$2:$T$20,4,false)*HLOOKUP($K2251,'Type Chart'!$C$2:$U$20,4,false)</f>
        <v>1</v>
      </c>
      <c r="X2251" s="960">
        <f t="array" ref="X2251">HLOOKUP($J2251,'Type Chart'!$C$2:$T$20,5,false)*HLOOKUP($K2251,'Type Chart'!$C$2:$U$20,5,false)</f>
        <v>1</v>
      </c>
      <c r="Y2251" s="960">
        <f t="array" ref="Y2251">HLOOKUP($J2251,'Type Chart'!$C$2:$T$20,6,false)*HLOOKUP($K2251,'Type Chart'!$C$2:$U$20,6,false)</f>
        <v>2</v>
      </c>
      <c r="Z2251" s="960">
        <f t="array" ref="Z2251">HLOOKUP($J2251,'Type Chart'!$C$2:$T$20,7,false)*HLOOKUP($K2251,'Type Chart'!$C$2:$U$20,7,false)</f>
        <v>2</v>
      </c>
      <c r="AA2251" s="960">
        <f t="array" ref="AA2251">HLOOKUP($J2251,'Type Chart'!$C$2:$T$20,8,false)*HLOOKUP($K2251,'Type Chart'!$C$2:$U$20,8,false)</f>
        <v>0.5</v>
      </c>
      <c r="AB2251" s="960">
        <f t="array" ref="AB2251">HLOOKUP($J2251,'Type Chart'!$C$2:$T$20,9,false)*HLOOKUP($K2251,'Type Chart'!$C$2:$U$20,9,false)</f>
        <v>1</v>
      </c>
      <c r="AC2251" s="960">
        <f t="array" ref="AC2251">HLOOKUP($J2251,'Type Chart'!$C$2:$T$20,10,false)*HLOOKUP($K2251,'Type Chart'!$C$2:$U$20,10,false)</f>
        <v>0.5</v>
      </c>
      <c r="AD2251" s="960">
        <f t="array" ref="AD2251">HLOOKUP($J2251,'Type Chart'!$C$2:$T$20,11,false)*HLOOKUP($K2251,'Type Chart'!$C$2:$U$20,11,false)</f>
        <v>0.25</v>
      </c>
      <c r="AE2251" s="960">
        <f t="array" ref="AE2251">HLOOKUP($J2251,'Type Chart'!$C$2:$T$20,12,false)*HLOOKUP($K2251,'Type Chart'!$C$2:$U$20,12,false)</f>
        <v>1</v>
      </c>
      <c r="AF2251" s="960">
        <f t="array" ref="AF2251">HLOOKUP($J2251,'Type Chart'!$C$2:$T$20,13,false)*HLOOKUP($K2251,'Type Chart'!$C$2:$U$20,13,false)</f>
        <v>0.25</v>
      </c>
      <c r="AG2251" s="960">
        <f t="array" ref="AG2251">HLOOKUP($J2251,'Type Chart'!$C$2:$T$20,14,false)*HLOOKUP($K2251,'Type Chart'!$C$2:$U$20,14,false)</f>
        <v>0.5</v>
      </c>
      <c r="AH2251" s="960">
        <f t="array" ref="AH2251">HLOOKUP($J2251,'Type Chart'!$C$2:$T$20,15,false)*HLOOKUP($K2251,'Type Chart'!$C$2:$U$20,15,false)</f>
        <v>1</v>
      </c>
      <c r="AI2251" s="960">
        <f t="array" ref="AI2251">HLOOKUP($J2251,'Type Chart'!$C$2:$T$20,16,false)*HLOOKUP($K2251,'Type Chart'!$C$2:$U$20,16,false)</f>
        <v>1</v>
      </c>
      <c r="AJ2251" s="960">
        <f t="array" ref="AJ2251">HLOOKUP($J2251,'Type Chart'!$C$2:$T$20,17,false)*HLOOKUP($K2251,'Type Chart'!$C$2:$U$20,17,false)</f>
        <v>2</v>
      </c>
      <c r="AK2251" s="960">
        <f t="array" ref="AK2251">HLOOKUP($J2251,'Type Chart'!$C$2:$T$20,18,false)*HLOOKUP($K2251,'Type Chart'!$C$2:$U$20,18,false)</f>
        <v>1</v>
      </c>
      <c r="AL2251" s="960">
        <f t="array" ref="AL2251">HLOOKUP($J2251,'Type Chart'!$C$2:$T$20,19,false)*HLOOKUP($K2251,'Type Chart'!$C$2:$U$20,19,false)</f>
        <v>1</v>
      </c>
      <c r="AM2251" s="1145" t="s">
        <v>1385</v>
      </c>
      <c r="AN2251" s="965"/>
      <c r="AO2251" s="966"/>
      <c r="AP2251" s="936"/>
      <c r="AQ2251" s="1245"/>
      <c r="AR2251" s="1245"/>
      <c r="AS2251" s="936"/>
    </row>
    <row r="2252" ht="15.75" customHeight="1">
      <c r="A2252" s="1099"/>
      <c r="B2252" s="948" t="s">
        <v>3728</v>
      </c>
      <c r="C2252" s="1197" t="s">
        <v>3729</v>
      </c>
      <c r="D2252" s="1197" t="s">
        <v>3729</v>
      </c>
      <c r="E2252" s="1147" t="s">
        <v>3729</v>
      </c>
      <c r="F2252" s="940"/>
      <c r="G2252" s="953"/>
      <c r="H2252" s="969"/>
      <c r="I2252" s="998" t="s">
        <v>5349</v>
      </c>
      <c r="J2252" s="1196" t="s">
        <v>203</v>
      </c>
      <c r="K2252" s="1206" t="s">
        <v>82</v>
      </c>
      <c r="L2252" s="959">
        <v>65.0</v>
      </c>
      <c r="M2252" s="960">
        <v>98.0</v>
      </c>
      <c r="N2252" s="960">
        <v>63.0</v>
      </c>
      <c r="O2252" s="960">
        <v>40.0</v>
      </c>
      <c r="P2252" s="960">
        <v>73.0</v>
      </c>
      <c r="Q2252" s="960">
        <v>96.0</v>
      </c>
      <c r="R2252" s="960">
        <v>228.0</v>
      </c>
      <c r="S2252" s="960">
        <v>291.0</v>
      </c>
      <c r="T2252" s="960">
        <v>320.0</v>
      </c>
      <c r="U2252" s="960">
        <f t="array" ref="U2252">HLOOKUP($J2252,'Type Chart'!$C$2:$T$20,2,false)*HLOOKUP($K2252,'Type Chart'!$C$2:$U$20,2,false)</f>
        <v>0.5</v>
      </c>
      <c r="V2252" s="960">
        <f t="array" ref="V2252">HLOOKUP($J2252,'Type Chart'!$C$2:$T$20,3,false)*HLOOKUP($K2252,'Type Chart'!$C$2:$U$20,3,false)</f>
        <v>2</v>
      </c>
      <c r="W2252" s="960">
        <f t="array" ref="W2252">HLOOKUP($J2252,'Type Chart'!$C$2:$T$20,4,false)*HLOOKUP($K2252,'Type Chart'!$C$2:$U$20,4,false)</f>
        <v>0.25</v>
      </c>
      <c r="X2252" s="960">
        <f t="array" ref="X2252">HLOOKUP($J2252,'Type Chart'!$C$2:$T$20,5,false)*HLOOKUP($K2252,'Type Chart'!$C$2:$U$20,5,false)</f>
        <v>0</v>
      </c>
      <c r="Y2252" s="960">
        <f t="array" ref="Y2252">HLOOKUP($J2252,'Type Chart'!$C$2:$T$20,6,false)*HLOOKUP($K2252,'Type Chart'!$C$2:$U$20,6,false)</f>
        <v>4</v>
      </c>
      <c r="Z2252" s="960">
        <f t="array" ref="Z2252">HLOOKUP($J2252,'Type Chart'!$C$2:$T$20,7,false)*HLOOKUP($K2252,'Type Chart'!$C$2:$U$20,7,false)</f>
        <v>0.5</v>
      </c>
      <c r="AA2252" s="960">
        <f t="array" ref="AA2252">HLOOKUP($J2252,'Type Chart'!$C$2:$T$20,8,false)*HLOOKUP($K2252,'Type Chart'!$C$2:$U$20,8,false)</f>
        <v>0.5</v>
      </c>
      <c r="AB2252" s="960">
        <f t="array" ref="AB2252">HLOOKUP($J2252,'Type Chart'!$C$2:$T$20,9,false)*HLOOKUP($K2252,'Type Chart'!$C$2:$U$20,9,false)</f>
        <v>1</v>
      </c>
      <c r="AC2252" s="960">
        <f t="array" ref="AC2252">HLOOKUP($J2252,'Type Chart'!$C$2:$T$20,10,false)*HLOOKUP($K2252,'Type Chart'!$C$2:$U$20,10,false)</f>
        <v>0.25</v>
      </c>
      <c r="AD2252" s="960">
        <f t="array" ref="AD2252">HLOOKUP($J2252,'Type Chart'!$C$2:$T$20,11,false)*HLOOKUP($K2252,'Type Chart'!$C$2:$U$20,11,false)</f>
        <v>2</v>
      </c>
      <c r="AE2252" s="960">
        <f t="array" ref="AE2252">HLOOKUP($J2252,'Type Chart'!$C$2:$T$20,12,false)*HLOOKUP($K2252,'Type Chart'!$C$2:$U$20,12,false)</f>
        <v>1</v>
      </c>
      <c r="AF2252" s="960">
        <f t="array" ref="AF2252">HLOOKUP($J2252,'Type Chart'!$C$2:$T$20,13,false)*HLOOKUP($K2252,'Type Chart'!$C$2:$U$20,13,false)</f>
        <v>0.5</v>
      </c>
      <c r="AG2252" s="960">
        <f t="array" ref="AG2252">HLOOKUP($J2252,'Type Chart'!$C$2:$T$20,14,false)*HLOOKUP($K2252,'Type Chart'!$C$2:$U$20,14,false)</f>
        <v>0.5</v>
      </c>
      <c r="AH2252" s="960">
        <f t="array" ref="AH2252">HLOOKUP($J2252,'Type Chart'!$C$2:$T$20,15,false)*HLOOKUP($K2252,'Type Chart'!$C$2:$U$20,15,false)</f>
        <v>0.5</v>
      </c>
      <c r="AI2252" s="960">
        <f t="array" ref="AI2252">HLOOKUP($J2252,'Type Chart'!$C$2:$T$20,16,false)*HLOOKUP($K2252,'Type Chart'!$C$2:$U$20,16,false)</f>
        <v>0.5</v>
      </c>
      <c r="AJ2252" s="960">
        <f t="array" ref="AJ2252">HLOOKUP($J2252,'Type Chart'!$C$2:$T$20,17,false)*HLOOKUP($K2252,'Type Chart'!$C$2:$U$20,17,false)</f>
        <v>0.5</v>
      </c>
      <c r="AK2252" s="960">
        <f t="array" ref="AK2252">HLOOKUP($J2252,'Type Chart'!$C$2:$T$20,18,false)*HLOOKUP($K2252,'Type Chart'!$C$2:$U$20,18,false)</f>
        <v>1</v>
      </c>
      <c r="AL2252" s="960">
        <f t="array" ref="AL2252">HLOOKUP($J2252,'Type Chart'!$C$2:$T$20,19,false)*HLOOKUP($K2252,'Type Chart'!$C$2:$U$20,19,false)</f>
        <v>0.5</v>
      </c>
      <c r="AM2252" s="1145" t="s">
        <v>3100</v>
      </c>
      <c r="AN2252" s="965" t="s">
        <v>1068</v>
      </c>
      <c r="AO2252" s="966" t="s">
        <v>1331</v>
      </c>
      <c r="AP2252" s="936"/>
      <c r="AQ2252" s="1245"/>
      <c r="AR2252" s="1245"/>
      <c r="AS2252" s="936"/>
    </row>
    <row r="2253" ht="15.75" customHeight="1">
      <c r="A2253" s="1099"/>
      <c r="B2253" s="948" t="s">
        <v>3731</v>
      </c>
      <c r="C2253" s="1197" t="s">
        <v>3732</v>
      </c>
      <c r="D2253" s="1197" t="s">
        <v>3732</v>
      </c>
      <c r="E2253" s="1147" t="s">
        <v>3732</v>
      </c>
      <c r="F2253" s="940"/>
      <c r="G2253" s="953"/>
      <c r="H2253" s="969"/>
      <c r="I2253" s="998" t="s">
        <v>5350</v>
      </c>
      <c r="J2253" s="1220" t="s">
        <v>215</v>
      </c>
      <c r="K2253" s="1207" t="s">
        <v>127</v>
      </c>
      <c r="L2253" s="959">
        <v>55.0</v>
      </c>
      <c r="M2253" s="960">
        <v>90.0</v>
      </c>
      <c r="N2253" s="960">
        <v>80.0</v>
      </c>
      <c r="O2253" s="960">
        <v>50.0</v>
      </c>
      <c r="P2253" s="960">
        <v>105.0</v>
      </c>
      <c r="Q2253" s="960">
        <v>96.0</v>
      </c>
      <c r="R2253" s="960">
        <v>228.0</v>
      </c>
      <c r="S2253" s="960">
        <v>291.0</v>
      </c>
      <c r="T2253" s="960">
        <v>320.0</v>
      </c>
      <c r="U2253" s="960">
        <f t="array" ref="U2253">HLOOKUP($J2253,'Type Chart'!$C$2:$T$20,2,false)*HLOOKUP($K2253,'Type Chart'!$C$2:$U$20,2,false)</f>
        <v>0</v>
      </c>
      <c r="V2253" s="960">
        <f t="array" ref="V2253">HLOOKUP($J2253,'Type Chart'!$C$2:$T$20,3,false)*HLOOKUP($K2253,'Type Chart'!$C$2:$U$20,3,false)</f>
        <v>0</v>
      </c>
      <c r="W2253" s="960">
        <f t="array" ref="W2253">HLOOKUP($J2253,'Type Chart'!$C$2:$T$20,4,false)*HLOOKUP($K2253,'Type Chart'!$C$2:$U$20,4,false)</f>
        <v>1</v>
      </c>
      <c r="X2253" s="960">
        <f t="array" ref="X2253">HLOOKUP($J2253,'Type Chart'!$C$2:$T$20,5,false)*HLOOKUP($K2253,'Type Chart'!$C$2:$U$20,5,false)</f>
        <v>1</v>
      </c>
      <c r="Y2253" s="960">
        <f t="array" ref="Y2253">HLOOKUP($J2253,'Type Chart'!$C$2:$T$20,6,false)*HLOOKUP($K2253,'Type Chart'!$C$2:$U$20,6,false)</f>
        <v>1</v>
      </c>
      <c r="Z2253" s="960">
        <f t="array" ref="Z2253">HLOOKUP($J2253,'Type Chart'!$C$2:$T$20,7,false)*HLOOKUP($K2253,'Type Chart'!$C$2:$U$20,7,false)</f>
        <v>1</v>
      </c>
      <c r="AA2253" s="960">
        <f t="array" ref="AA2253">HLOOKUP($J2253,'Type Chart'!$C$2:$T$20,8,false)*HLOOKUP($K2253,'Type Chart'!$C$2:$U$20,8,false)</f>
        <v>0.25</v>
      </c>
      <c r="AB2253" s="960">
        <f t="array" ref="AB2253">HLOOKUP($J2253,'Type Chart'!$C$2:$T$20,9,false)*HLOOKUP($K2253,'Type Chart'!$C$2:$U$20,9,false)</f>
        <v>2</v>
      </c>
      <c r="AC2253" s="960">
        <f t="array" ref="AC2253">HLOOKUP($J2253,'Type Chart'!$C$2:$T$20,10,false)*HLOOKUP($K2253,'Type Chart'!$C$2:$U$20,10,false)</f>
        <v>2</v>
      </c>
      <c r="AD2253" s="960">
        <f t="array" ref="AD2253">HLOOKUP($J2253,'Type Chart'!$C$2:$T$20,11,false)*HLOOKUP($K2253,'Type Chart'!$C$2:$U$20,11,false)</f>
        <v>1</v>
      </c>
      <c r="AE2253" s="960">
        <f t="array" ref="AE2253">HLOOKUP($J2253,'Type Chart'!$C$2:$T$20,12,false)*HLOOKUP($K2253,'Type Chart'!$C$2:$U$20,12,false)</f>
        <v>1</v>
      </c>
      <c r="AF2253" s="960">
        <f t="array" ref="AF2253">HLOOKUP($J2253,'Type Chart'!$C$2:$T$20,13,false)*HLOOKUP($K2253,'Type Chart'!$C$2:$U$20,13,false)</f>
        <v>1</v>
      </c>
      <c r="AG2253" s="960">
        <f t="array" ref="AG2253">HLOOKUP($J2253,'Type Chart'!$C$2:$T$20,14,false)*HLOOKUP($K2253,'Type Chart'!$C$2:$U$20,14,false)</f>
        <v>1</v>
      </c>
      <c r="AH2253" s="960">
        <f t="array" ref="AH2253">HLOOKUP($J2253,'Type Chart'!$C$2:$T$20,15,false)*HLOOKUP($K2253,'Type Chart'!$C$2:$U$20,15,false)</f>
        <v>1</v>
      </c>
      <c r="AI2253" s="960">
        <f t="array" ref="AI2253">HLOOKUP($J2253,'Type Chart'!$C$2:$T$20,16,false)*HLOOKUP($K2253,'Type Chart'!$C$2:$U$20,16,false)</f>
        <v>1</v>
      </c>
      <c r="AJ2253" s="960">
        <f t="array" ref="AJ2253">HLOOKUP($J2253,'Type Chart'!$C$2:$T$20,17,false)*HLOOKUP($K2253,'Type Chart'!$C$2:$U$20,17,false)</f>
        <v>0</v>
      </c>
      <c r="AK2253" s="960">
        <f t="array" ref="AK2253">HLOOKUP($J2253,'Type Chart'!$C$2:$T$20,18,false)*HLOOKUP($K2253,'Type Chart'!$C$2:$U$20,18,false)</f>
        <v>1</v>
      </c>
      <c r="AL2253" s="960">
        <f t="array" ref="AL2253">HLOOKUP($J2253,'Type Chart'!$C$2:$T$20,19,false)*HLOOKUP($K2253,'Type Chart'!$C$2:$U$20,19,false)</f>
        <v>1</v>
      </c>
      <c r="AM2253" s="1145" t="s">
        <v>3733</v>
      </c>
      <c r="AN2253" s="965"/>
      <c r="AO2253" s="966"/>
      <c r="AP2253" s="936"/>
      <c r="AQ2253" s="1245"/>
      <c r="AR2253" s="1245"/>
      <c r="AS2253" s="936"/>
    </row>
    <row r="2254" ht="15.75" customHeight="1">
      <c r="A2254" s="1099"/>
      <c r="B2254" s="948" t="s">
        <v>3734</v>
      </c>
      <c r="C2254" s="1197" t="s">
        <v>3735</v>
      </c>
      <c r="D2254" s="1197" t="s">
        <v>3735</v>
      </c>
      <c r="E2254" s="1147" t="s">
        <v>3735</v>
      </c>
      <c r="F2254" s="940"/>
      <c r="G2254" s="953"/>
      <c r="H2254" s="969"/>
      <c r="I2254" s="998" t="s">
        <v>5351</v>
      </c>
      <c r="J2254" s="1056" t="s">
        <v>81</v>
      </c>
      <c r="K2254" s="1203" t="s">
        <v>344</v>
      </c>
      <c r="L2254" s="959">
        <v>68.0</v>
      </c>
      <c r="M2254" s="960">
        <v>105.0</v>
      </c>
      <c r="N2254" s="960">
        <v>70.0</v>
      </c>
      <c r="O2254" s="960">
        <v>70.0</v>
      </c>
      <c r="P2254" s="960">
        <v>70.0</v>
      </c>
      <c r="Q2254" s="960">
        <v>92.0</v>
      </c>
      <c r="R2254" s="960">
        <v>220.0</v>
      </c>
      <c r="S2254" s="960">
        <v>283.0</v>
      </c>
      <c r="T2254" s="960">
        <v>311.0</v>
      </c>
      <c r="U2254" s="960">
        <f t="array" ref="U2254">HLOOKUP($J2254,'Type Chart'!$C$2:$T$20,2,false)*HLOOKUP($K2254,'Type Chart'!$C$2:$U$20,2,false)</f>
        <v>1</v>
      </c>
      <c r="V2254" s="960">
        <f t="array" ref="V2254">HLOOKUP($J2254,'Type Chart'!$C$2:$T$20,3,false)*HLOOKUP($K2254,'Type Chart'!$C$2:$U$20,3,false)</f>
        <v>0.5</v>
      </c>
      <c r="W2254" s="960">
        <f t="array" ref="W2254">HLOOKUP($J2254,'Type Chart'!$C$2:$T$20,4,false)*HLOOKUP($K2254,'Type Chart'!$C$2:$U$20,4,false)</f>
        <v>1</v>
      </c>
      <c r="X2254" s="960">
        <f t="array" ref="X2254">HLOOKUP($J2254,'Type Chart'!$C$2:$T$20,5,false)*HLOOKUP($K2254,'Type Chart'!$C$2:$U$20,5,false)</f>
        <v>1</v>
      </c>
      <c r="Y2254" s="960">
        <f t="array" ref="Y2254">HLOOKUP($J2254,'Type Chart'!$C$2:$T$20,6,false)*HLOOKUP($K2254,'Type Chart'!$C$2:$U$20,6,false)</f>
        <v>1</v>
      </c>
      <c r="Z2254" s="960">
        <f t="array" ref="Z2254">HLOOKUP($J2254,'Type Chart'!$C$2:$T$20,7,false)*HLOOKUP($K2254,'Type Chart'!$C$2:$U$20,7,false)</f>
        <v>1</v>
      </c>
      <c r="AA2254" s="960">
        <f t="array" ref="AA2254">HLOOKUP($J2254,'Type Chart'!$C$2:$T$20,8,false)*HLOOKUP($K2254,'Type Chart'!$C$2:$U$20,8,false)</f>
        <v>2</v>
      </c>
      <c r="AB2254" s="960">
        <f t="array" ref="AB2254">HLOOKUP($J2254,'Type Chart'!$C$2:$T$20,9,false)*HLOOKUP($K2254,'Type Chart'!$C$2:$U$20,9,false)</f>
        <v>2</v>
      </c>
      <c r="AC2254" s="960">
        <f t="array" ref="AC2254">HLOOKUP($J2254,'Type Chart'!$C$2:$T$20,10,false)*HLOOKUP($K2254,'Type Chart'!$C$2:$U$20,10,false)</f>
        <v>0.5</v>
      </c>
      <c r="AD2254" s="960">
        <f t="array" ref="AD2254">HLOOKUP($J2254,'Type Chart'!$C$2:$T$20,11,false)*HLOOKUP($K2254,'Type Chart'!$C$2:$U$20,11,false)</f>
        <v>0.5</v>
      </c>
      <c r="AE2254" s="960">
        <f t="array" ref="AE2254">HLOOKUP($J2254,'Type Chart'!$C$2:$T$20,12,false)*HLOOKUP($K2254,'Type Chart'!$C$2:$U$20,12,false)</f>
        <v>0.5</v>
      </c>
      <c r="AF2254" s="960">
        <f t="array" ref="AF2254">HLOOKUP($J2254,'Type Chart'!$C$2:$T$20,13,false)*HLOOKUP($K2254,'Type Chart'!$C$2:$U$20,13,false)</f>
        <v>2</v>
      </c>
      <c r="AG2254" s="960">
        <f t="array" ref="AG2254">HLOOKUP($J2254,'Type Chart'!$C$2:$T$20,14,false)*HLOOKUP($K2254,'Type Chart'!$C$2:$U$20,14,false)</f>
        <v>2</v>
      </c>
      <c r="AH2254" s="960">
        <f t="array" ref="AH2254">HLOOKUP($J2254,'Type Chart'!$C$2:$T$20,15,false)*HLOOKUP($K2254,'Type Chart'!$C$2:$U$20,15,false)</f>
        <v>0.5</v>
      </c>
      <c r="AI2254" s="960">
        <f t="array" ref="AI2254">HLOOKUP($J2254,'Type Chart'!$C$2:$T$20,16,false)*HLOOKUP($K2254,'Type Chart'!$C$2:$U$20,16,false)</f>
        <v>0.5</v>
      </c>
      <c r="AJ2254" s="960">
        <f t="array" ref="AJ2254">HLOOKUP($J2254,'Type Chart'!$C$2:$T$20,17,false)*HLOOKUP($K2254,'Type Chart'!$C$2:$U$20,17,false)</f>
        <v>1</v>
      </c>
      <c r="AK2254" s="960">
        <f t="array" ref="AK2254">HLOOKUP($J2254,'Type Chart'!$C$2:$T$20,18,false)*HLOOKUP($K2254,'Type Chart'!$C$2:$U$20,18,false)</f>
        <v>2</v>
      </c>
      <c r="AL2254" s="960">
        <f t="array" ref="AL2254">HLOOKUP($J2254,'Type Chart'!$C$2:$T$20,19,false)*HLOOKUP($K2254,'Type Chart'!$C$2:$U$20,19,false)</f>
        <v>1</v>
      </c>
      <c r="AM2254" s="1145" t="s">
        <v>3736</v>
      </c>
      <c r="AN2254" s="965" t="s">
        <v>2205</v>
      </c>
      <c r="AO2254" s="966" t="s">
        <v>1220</v>
      </c>
      <c r="AP2254" s="936"/>
      <c r="AQ2254" s="1245"/>
      <c r="AR2254" s="1245"/>
      <c r="AS2254" s="936"/>
    </row>
    <row r="2255" ht="15.75" customHeight="1">
      <c r="A2255" s="1099"/>
      <c r="B2255" s="948" t="s">
        <v>3737</v>
      </c>
      <c r="C2255" s="1197" t="s">
        <v>3738</v>
      </c>
      <c r="D2255" s="1197" t="s">
        <v>3738</v>
      </c>
      <c r="E2255" s="1147" t="s">
        <v>3738</v>
      </c>
      <c r="F2255" s="940"/>
      <c r="G2255" s="953"/>
      <c r="H2255" s="969"/>
      <c r="I2255" s="998" t="s">
        <v>5352</v>
      </c>
      <c r="J2255" s="1194" t="s">
        <v>136</v>
      </c>
      <c r="K2255" s="1006" t="s">
        <v>346</v>
      </c>
      <c r="L2255" s="959">
        <v>78.0</v>
      </c>
      <c r="M2255" s="960">
        <v>60.0</v>
      </c>
      <c r="N2255" s="960">
        <v>85.0</v>
      </c>
      <c r="O2255" s="960">
        <v>135.0</v>
      </c>
      <c r="P2255" s="960">
        <v>91.0</v>
      </c>
      <c r="Q2255" s="960">
        <v>36.0</v>
      </c>
      <c r="R2255" s="960">
        <v>108.0</v>
      </c>
      <c r="S2255" s="960">
        <v>171.0</v>
      </c>
      <c r="T2255" s="960">
        <v>188.0</v>
      </c>
      <c r="U2255" s="960">
        <f t="array" ref="U2255">HLOOKUP($J2255,'Type Chart'!$C$2:$T$20,2,false)*HLOOKUP($K2255,'Type Chart'!$C$2:$U$20,2,false)</f>
        <v>1</v>
      </c>
      <c r="V2255" s="960">
        <f t="array" ref="V2255">HLOOKUP($J2255,'Type Chart'!$C$2:$T$20,3,false)*HLOOKUP($K2255,'Type Chart'!$C$2:$U$20,3,false)</f>
        <v>2</v>
      </c>
      <c r="W2255" s="960">
        <f t="array" ref="W2255">HLOOKUP($J2255,'Type Chart'!$C$2:$T$20,4,false)*HLOOKUP($K2255,'Type Chart'!$C$2:$U$20,4,false)</f>
        <v>1</v>
      </c>
      <c r="X2255" s="960">
        <f t="array" ref="X2255">HLOOKUP($J2255,'Type Chart'!$C$2:$T$20,5,false)*HLOOKUP($K2255,'Type Chart'!$C$2:$U$20,5,false)</f>
        <v>1</v>
      </c>
      <c r="Y2255" s="960">
        <f t="array" ref="Y2255">HLOOKUP($J2255,'Type Chart'!$C$2:$T$20,6,false)*HLOOKUP($K2255,'Type Chart'!$C$2:$U$20,6,false)</f>
        <v>1</v>
      </c>
      <c r="Z2255" s="960">
        <f t="array" ref="Z2255">HLOOKUP($J2255,'Type Chart'!$C$2:$T$20,7,false)*HLOOKUP($K2255,'Type Chart'!$C$2:$U$20,7,false)</f>
        <v>1</v>
      </c>
      <c r="AA2255" s="960">
        <f t="array" ref="AA2255">HLOOKUP($J2255,'Type Chart'!$C$2:$T$20,8,false)*HLOOKUP($K2255,'Type Chart'!$C$2:$U$20,8,false)</f>
        <v>1</v>
      </c>
      <c r="AB2255" s="960">
        <f t="array" ref="AB2255">HLOOKUP($J2255,'Type Chart'!$C$2:$T$20,9,false)*HLOOKUP($K2255,'Type Chart'!$C$2:$U$20,9,false)</f>
        <v>0</v>
      </c>
      <c r="AC2255" s="960">
        <f t="array" ref="AC2255">HLOOKUP($J2255,'Type Chart'!$C$2:$T$20,10,false)*HLOOKUP($K2255,'Type Chart'!$C$2:$U$20,10,false)</f>
        <v>1</v>
      </c>
      <c r="AD2255" s="960">
        <f t="array" ref="AD2255">HLOOKUP($J2255,'Type Chart'!$C$2:$T$20,11,false)*HLOOKUP($K2255,'Type Chart'!$C$2:$U$20,11,false)</f>
        <v>0.5</v>
      </c>
      <c r="AE2255" s="960">
        <f t="array" ref="AE2255">HLOOKUP($J2255,'Type Chart'!$C$2:$T$20,12,false)*HLOOKUP($K2255,'Type Chart'!$C$2:$U$20,12,false)</f>
        <v>0.5</v>
      </c>
      <c r="AF2255" s="960">
        <f t="array" ref="AF2255">HLOOKUP($J2255,'Type Chart'!$C$2:$T$20,13,false)*HLOOKUP($K2255,'Type Chart'!$C$2:$U$20,13,false)</f>
        <v>0.5</v>
      </c>
      <c r="AG2255" s="960">
        <f t="array" ref="AG2255">HLOOKUP($J2255,'Type Chart'!$C$2:$T$20,14,false)*HLOOKUP($K2255,'Type Chart'!$C$2:$U$20,14,false)</f>
        <v>0.5</v>
      </c>
      <c r="AH2255" s="960">
        <f t="array" ref="AH2255">HLOOKUP($J2255,'Type Chart'!$C$2:$T$20,15,false)*HLOOKUP($K2255,'Type Chart'!$C$2:$U$20,15,false)</f>
        <v>1</v>
      </c>
      <c r="AI2255" s="960">
        <f t="array" ref="AI2255">HLOOKUP($J2255,'Type Chart'!$C$2:$T$20,16,false)*HLOOKUP($K2255,'Type Chart'!$C$2:$U$20,16,false)</f>
        <v>2</v>
      </c>
      <c r="AJ2255" s="960">
        <f t="array" ref="AJ2255">HLOOKUP($J2255,'Type Chart'!$C$2:$T$20,17,false)*HLOOKUP($K2255,'Type Chart'!$C$2:$U$20,17,false)</f>
        <v>2</v>
      </c>
      <c r="AK2255" s="960">
        <f t="array" ref="AK2255">HLOOKUP($J2255,'Type Chart'!$C$2:$T$20,18,false)*HLOOKUP($K2255,'Type Chart'!$C$2:$U$20,18,false)</f>
        <v>1</v>
      </c>
      <c r="AL2255" s="960">
        <f t="array" ref="AL2255">HLOOKUP($J2255,'Type Chart'!$C$2:$T$20,19,false)*HLOOKUP($K2255,'Type Chart'!$C$2:$U$20,19,false)</f>
        <v>2</v>
      </c>
      <c r="AM2255" s="1145" t="s">
        <v>1657</v>
      </c>
      <c r="AN2255" s="965" t="s">
        <v>1772</v>
      </c>
      <c r="AO2255" s="966" t="s">
        <v>1258</v>
      </c>
      <c r="AP2255" s="936"/>
      <c r="AQ2255" s="1245"/>
      <c r="AR2255" s="1245"/>
      <c r="AS2255" s="936"/>
    </row>
    <row r="2256" ht="15.75" customHeight="1">
      <c r="A2256" s="1099"/>
      <c r="B2256" s="948" t="s">
        <v>3740</v>
      </c>
      <c r="C2256" s="1197" t="s">
        <v>3741</v>
      </c>
      <c r="D2256" s="1197" t="s">
        <v>3741</v>
      </c>
      <c r="E2256" s="1147" t="s">
        <v>3741</v>
      </c>
      <c r="F2256" s="940"/>
      <c r="G2256" s="953"/>
      <c r="H2256" s="969"/>
      <c r="I2256" s="998" t="s">
        <v>5353</v>
      </c>
      <c r="J2256" s="1220" t="s">
        <v>215</v>
      </c>
      <c r="K2256" s="957" t="s">
        <v>209</v>
      </c>
      <c r="L2256" s="959">
        <v>70.0</v>
      </c>
      <c r="M2256" s="960">
        <v>131.0</v>
      </c>
      <c r="N2256" s="960">
        <v>100.0</v>
      </c>
      <c r="O2256" s="960">
        <v>86.0</v>
      </c>
      <c r="P2256" s="960">
        <v>90.0</v>
      </c>
      <c r="Q2256" s="960">
        <v>40.0</v>
      </c>
      <c r="R2256" s="960">
        <v>116.0</v>
      </c>
      <c r="S2256" s="960">
        <v>179.0</v>
      </c>
      <c r="T2256" s="960">
        <v>196.0</v>
      </c>
      <c r="U2256" s="960">
        <f t="array" ref="U2256">HLOOKUP($J2256,'Type Chart'!$C$2:$T$20,2,false)*HLOOKUP($K2256,'Type Chart'!$C$2:$U$20,2,false)</f>
        <v>0</v>
      </c>
      <c r="V2256" s="960">
        <f t="array" ref="V2256">HLOOKUP($J2256,'Type Chart'!$C$2:$T$20,3,false)*HLOOKUP($K2256,'Type Chart'!$C$2:$U$20,3,false)</f>
        <v>0</v>
      </c>
      <c r="W2256" s="960">
        <f t="array" ref="W2256">HLOOKUP($J2256,'Type Chart'!$C$2:$T$20,4,false)*HLOOKUP($K2256,'Type Chart'!$C$2:$U$20,4,false)</f>
        <v>2</v>
      </c>
      <c r="X2256" s="960">
        <f t="array" ref="X2256">HLOOKUP($J2256,'Type Chart'!$C$2:$T$20,5,false)*HLOOKUP($K2256,'Type Chart'!$C$2:$U$20,5,false)</f>
        <v>1</v>
      </c>
      <c r="Y2256" s="960">
        <f t="array" ref="Y2256">HLOOKUP($J2256,'Type Chart'!$C$2:$T$20,6,false)*HLOOKUP($K2256,'Type Chart'!$C$2:$U$20,6,false)</f>
        <v>0.5</v>
      </c>
      <c r="Z2256" s="960">
        <f t="array" ref="Z2256">HLOOKUP($J2256,'Type Chart'!$C$2:$T$20,7,false)*HLOOKUP($K2256,'Type Chart'!$C$2:$U$20,7,false)</f>
        <v>1</v>
      </c>
      <c r="AA2256" s="960">
        <f t="array" ref="AA2256">HLOOKUP($J2256,'Type Chart'!$C$2:$T$20,8,false)*HLOOKUP($K2256,'Type Chart'!$C$2:$U$20,8,false)</f>
        <v>1</v>
      </c>
      <c r="AB2256" s="960">
        <f t="array" ref="AB2256">HLOOKUP($J2256,'Type Chart'!$C$2:$T$20,9,false)*HLOOKUP($K2256,'Type Chart'!$C$2:$U$20,9,false)</f>
        <v>2</v>
      </c>
      <c r="AC2256" s="960">
        <f t="array" ref="AC2256">HLOOKUP($J2256,'Type Chart'!$C$2:$T$20,10,false)*HLOOKUP($K2256,'Type Chart'!$C$2:$U$20,10,false)</f>
        <v>1</v>
      </c>
      <c r="AD2256" s="960">
        <f t="array" ref="AD2256">HLOOKUP($J2256,'Type Chart'!$C$2:$T$20,11,false)*HLOOKUP($K2256,'Type Chart'!$C$2:$U$20,11,false)</f>
        <v>2</v>
      </c>
      <c r="AE2256" s="960">
        <f t="array" ref="AE2256">HLOOKUP($J2256,'Type Chart'!$C$2:$T$20,12,false)*HLOOKUP($K2256,'Type Chart'!$C$2:$U$20,12,false)</f>
        <v>0.5</v>
      </c>
      <c r="AF2256" s="960">
        <f t="array" ref="AF2256">HLOOKUP($J2256,'Type Chart'!$C$2:$T$20,13,false)*HLOOKUP($K2256,'Type Chart'!$C$2:$U$20,13,false)</f>
        <v>0.5</v>
      </c>
      <c r="AG2256" s="960">
        <f t="array" ref="AG2256">HLOOKUP($J2256,'Type Chart'!$C$2:$T$20,14,false)*HLOOKUP($K2256,'Type Chart'!$C$2:$U$20,14,false)</f>
        <v>0.5</v>
      </c>
      <c r="AH2256" s="960">
        <f t="array" ref="AH2256">HLOOKUP($J2256,'Type Chart'!$C$2:$T$20,15,false)*HLOOKUP($K2256,'Type Chart'!$C$2:$U$20,15,false)</f>
        <v>1</v>
      </c>
      <c r="AI2256" s="960">
        <f t="array" ref="AI2256">HLOOKUP($J2256,'Type Chart'!$C$2:$T$20,16,false)*HLOOKUP($K2256,'Type Chart'!$C$2:$U$20,16,false)</f>
        <v>2</v>
      </c>
      <c r="AJ2256" s="960">
        <f t="array" ref="AJ2256">HLOOKUP($J2256,'Type Chart'!$C$2:$T$20,17,false)*HLOOKUP($K2256,'Type Chart'!$C$2:$U$20,17,false)</f>
        <v>1</v>
      </c>
      <c r="AK2256" s="960">
        <f t="array" ref="AK2256">HLOOKUP($J2256,'Type Chart'!$C$2:$T$20,18,false)*HLOOKUP($K2256,'Type Chart'!$C$2:$U$20,18,false)</f>
        <v>2</v>
      </c>
      <c r="AL2256" s="960">
        <f t="array" ref="AL2256">HLOOKUP($J2256,'Type Chart'!$C$2:$T$20,19,false)*HLOOKUP($K2256,'Type Chart'!$C$2:$U$20,19,false)</f>
        <v>1</v>
      </c>
      <c r="AM2256" s="1145" t="s">
        <v>3743</v>
      </c>
      <c r="AN2256" s="965"/>
      <c r="AO2256" s="966"/>
      <c r="AP2256" s="936"/>
      <c r="AQ2256" s="1245"/>
      <c r="AR2256" s="1245"/>
      <c r="AS2256" s="936"/>
    </row>
    <row r="2257" ht="15.75" customHeight="1">
      <c r="A2257" s="1099"/>
      <c r="B2257" s="948" t="s">
        <v>3744</v>
      </c>
      <c r="C2257" s="1197" t="s">
        <v>3745</v>
      </c>
      <c r="D2257" s="1197" t="s">
        <v>3746</v>
      </c>
      <c r="E2257" s="1147" t="s">
        <v>3745</v>
      </c>
      <c r="F2257" s="940"/>
      <c r="G2257" s="953"/>
      <c r="H2257" s="969"/>
      <c r="I2257" s="998" t="s">
        <v>5354</v>
      </c>
      <c r="J2257" s="1006" t="s">
        <v>346</v>
      </c>
      <c r="K2257" s="984" t="s">
        <v>216</v>
      </c>
      <c r="L2257" s="959">
        <v>45.0</v>
      </c>
      <c r="M2257" s="960">
        <v>55.0</v>
      </c>
      <c r="N2257" s="960">
        <v>65.0</v>
      </c>
      <c r="O2257" s="960">
        <v>45.0</v>
      </c>
      <c r="P2257" s="960">
        <v>45.0</v>
      </c>
      <c r="Q2257" s="960">
        <v>45.0</v>
      </c>
      <c r="R2257" s="960">
        <v>126.0</v>
      </c>
      <c r="S2257" s="960">
        <v>189.0</v>
      </c>
      <c r="T2257" s="960">
        <v>207.0</v>
      </c>
      <c r="U2257" s="960">
        <f t="array" ref="U2257">HLOOKUP($J2257,'Type Chart'!$C$2:$T$20,2,false)*HLOOKUP($K2257,'Type Chart'!$C$2:$U$20,2,false)</f>
        <v>1</v>
      </c>
      <c r="V2257" s="960">
        <f t="array" ref="V2257">HLOOKUP($J2257,'Type Chart'!$C$2:$T$20,3,false)*HLOOKUP($K2257,'Type Chart'!$C$2:$U$20,3,false)</f>
        <v>1</v>
      </c>
      <c r="W2257" s="960">
        <f t="array" ref="W2257">HLOOKUP($J2257,'Type Chart'!$C$2:$T$20,4,false)*HLOOKUP($K2257,'Type Chart'!$C$2:$U$20,4,false)</f>
        <v>1</v>
      </c>
      <c r="X2257" s="960">
        <f t="array" ref="X2257">HLOOKUP($J2257,'Type Chart'!$C$2:$T$20,5,false)*HLOOKUP($K2257,'Type Chart'!$C$2:$U$20,5,false)</f>
        <v>1</v>
      </c>
      <c r="Y2257" s="960">
        <f t="array" ref="Y2257">HLOOKUP($J2257,'Type Chart'!$C$2:$T$20,6,false)*HLOOKUP($K2257,'Type Chart'!$C$2:$U$20,6,false)</f>
        <v>1</v>
      </c>
      <c r="Z2257" s="960">
        <f t="array" ref="Z2257">HLOOKUP($J2257,'Type Chart'!$C$2:$T$20,7,false)*HLOOKUP($K2257,'Type Chart'!$C$2:$U$20,7,false)</f>
        <v>1</v>
      </c>
      <c r="AA2257" s="960">
        <f t="array" ref="AA2257">HLOOKUP($J2257,'Type Chart'!$C$2:$T$20,8,false)*HLOOKUP($K2257,'Type Chart'!$C$2:$U$20,8,false)</f>
        <v>1</v>
      </c>
      <c r="AB2257" s="960">
        <f t="array" ref="AB2257">HLOOKUP($J2257,'Type Chart'!$C$2:$T$20,9,false)*HLOOKUP($K2257,'Type Chart'!$C$2:$U$20,9,false)</f>
        <v>1</v>
      </c>
      <c r="AC2257" s="960">
        <f t="array" ref="AC2257">HLOOKUP($J2257,'Type Chart'!$C$2:$T$20,10,false)*HLOOKUP($K2257,'Type Chart'!$C$2:$U$20,10,false)</f>
        <v>1</v>
      </c>
      <c r="AD2257" s="960">
        <f t="array" ref="AD2257">HLOOKUP($J2257,'Type Chart'!$C$2:$T$20,11,false)*HLOOKUP($K2257,'Type Chart'!$C$2:$U$20,11,false)</f>
        <v>0.5</v>
      </c>
      <c r="AE2257" s="960">
        <f t="array" ref="AE2257">HLOOKUP($J2257,'Type Chart'!$C$2:$T$20,12,false)*HLOOKUP($K2257,'Type Chart'!$C$2:$U$20,12,false)</f>
        <v>0.5</v>
      </c>
      <c r="AF2257" s="960">
        <f t="array" ref="AF2257">HLOOKUP($J2257,'Type Chart'!$C$2:$T$20,13,false)*HLOOKUP($K2257,'Type Chart'!$C$2:$U$20,13,false)</f>
        <v>0.5</v>
      </c>
      <c r="AG2257" s="960">
        <f t="array" ref="AG2257">HLOOKUP($J2257,'Type Chart'!$C$2:$T$20,14,false)*HLOOKUP($K2257,'Type Chart'!$C$2:$U$20,14,false)</f>
        <v>0.5</v>
      </c>
      <c r="AH2257" s="960">
        <f t="array" ref="AH2257">HLOOKUP($J2257,'Type Chart'!$C$2:$T$20,15,false)*HLOOKUP($K2257,'Type Chart'!$C$2:$U$20,15,false)</f>
        <v>1</v>
      </c>
      <c r="AI2257" s="960">
        <f t="array" ref="AI2257">HLOOKUP($J2257,'Type Chart'!$C$2:$T$20,16,false)*HLOOKUP($K2257,'Type Chart'!$C$2:$U$20,16,false)</f>
        <v>2</v>
      </c>
      <c r="AJ2257" s="960">
        <f t="array" ref="AJ2257">HLOOKUP($J2257,'Type Chart'!$C$2:$T$20,17,false)*HLOOKUP($K2257,'Type Chart'!$C$2:$U$20,17,false)</f>
        <v>2</v>
      </c>
      <c r="AK2257" s="960">
        <f t="array" ref="AK2257">HLOOKUP($J2257,'Type Chart'!$C$2:$T$20,18,false)*HLOOKUP($K2257,'Type Chart'!$C$2:$U$20,18,false)</f>
        <v>1</v>
      </c>
      <c r="AL2257" s="960">
        <f t="array" ref="AL2257">HLOOKUP($J2257,'Type Chart'!$C$2:$T$20,19,false)*HLOOKUP($K2257,'Type Chart'!$C$2:$U$20,19,false)</f>
        <v>2</v>
      </c>
      <c r="AM2257" s="1145" t="s">
        <v>3259</v>
      </c>
      <c r="AN2257" s="965" t="s">
        <v>1468</v>
      </c>
      <c r="AO2257" s="966" t="s">
        <v>1431</v>
      </c>
      <c r="AP2257" s="936"/>
      <c r="AQ2257" s="1245"/>
      <c r="AR2257" s="1245"/>
      <c r="AS2257" s="936"/>
    </row>
    <row r="2258" ht="15.75" customHeight="1">
      <c r="A2258" s="1099"/>
      <c r="B2258" s="948" t="s">
        <v>3748</v>
      </c>
      <c r="C2258" s="1197" t="s">
        <v>3749</v>
      </c>
      <c r="D2258" s="1197" t="s">
        <v>3750</v>
      </c>
      <c r="E2258" s="1147" t="s">
        <v>3749</v>
      </c>
      <c r="F2258" s="940"/>
      <c r="G2258" s="953"/>
      <c r="H2258" s="969"/>
      <c r="I2258" s="998" t="s">
        <v>5355</v>
      </c>
      <c r="J2258" s="1006" t="s">
        <v>346</v>
      </c>
      <c r="K2258" s="1213" t="s">
        <v>341</v>
      </c>
      <c r="L2258" s="959">
        <v>55.0</v>
      </c>
      <c r="M2258" s="960">
        <v>75.0</v>
      </c>
      <c r="N2258" s="960">
        <v>90.0</v>
      </c>
      <c r="O2258" s="960">
        <v>65.0</v>
      </c>
      <c r="P2258" s="960">
        <v>70.0</v>
      </c>
      <c r="Q2258" s="960">
        <v>65.0</v>
      </c>
      <c r="R2258" s="960">
        <v>166.0</v>
      </c>
      <c r="S2258" s="960">
        <v>229.0</v>
      </c>
      <c r="T2258" s="960">
        <v>251.0</v>
      </c>
      <c r="U2258" s="960">
        <f t="array" ref="U2258">HLOOKUP($J2258,'Type Chart'!$C$2:$T$20,2,false)*HLOOKUP($K2258,'Type Chart'!$C$2:$U$20,2,false)</f>
        <v>1</v>
      </c>
      <c r="V2258" s="960">
        <f t="array" ref="V2258">HLOOKUP($J2258,'Type Chart'!$C$2:$T$20,3,false)*HLOOKUP($K2258,'Type Chart'!$C$2:$U$20,3,false)</f>
        <v>1</v>
      </c>
      <c r="W2258" s="960">
        <f t="array" ref="W2258">HLOOKUP($J2258,'Type Chart'!$C$2:$T$20,4,false)*HLOOKUP($K2258,'Type Chart'!$C$2:$U$20,4,false)</f>
        <v>2</v>
      </c>
      <c r="X2258" s="960">
        <f t="array" ref="X2258">HLOOKUP($J2258,'Type Chart'!$C$2:$T$20,5,false)*HLOOKUP($K2258,'Type Chart'!$C$2:$U$20,5,false)</f>
        <v>1</v>
      </c>
      <c r="Y2258" s="960">
        <f t="array" ref="Y2258">HLOOKUP($J2258,'Type Chart'!$C$2:$T$20,6,false)*HLOOKUP($K2258,'Type Chart'!$C$2:$U$20,6,false)</f>
        <v>1</v>
      </c>
      <c r="Z2258" s="960">
        <f t="array" ref="Z2258">HLOOKUP($J2258,'Type Chart'!$C$2:$T$20,7,false)*HLOOKUP($K2258,'Type Chart'!$C$2:$U$20,7,false)</f>
        <v>0.5</v>
      </c>
      <c r="AA2258" s="960">
        <f t="array" ref="AA2258">HLOOKUP($J2258,'Type Chart'!$C$2:$T$20,8,false)*HLOOKUP($K2258,'Type Chart'!$C$2:$U$20,8,false)</f>
        <v>0.5</v>
      </c>
      <c r="AB2258" s="960">
        <f t="array" ref="AB2258">HLOOKUP($J2258,'Type Chart'!$C$2:$T$20,9,false)*HLOOKUP($K2258,'Type Chart'!$C$2:$U$20,9,false)</f>
        <v>1</v>
      </c>
      <c r="AC2258" s="960">
        <f t="array" ref="AC2258">HLOOKUP($J2258,'Type Chart'!$C$2:$T$20,10,false)*HLOOKUP($K2258,'Type Chart'!$C$2:$U$20,10,false)</f>
        <v>1</v>
      </c>
      <c r="AD2258" s="960">
        <f t="array" ref="AD2258">HLOOKUP($J2258,'Type Chart'!$C$2:$T$20,11,false)*HLOOKUP($K2258,'Type Chart'!$C$2:$U$20,11,false)</f>
        <v>0.5</v>
      </c>
      <c r="AE2258" s="960">
        <f t="array" ref="AE2258">HLOOKUP($J2258,'Type Chart'!$C$2:$T$20,12,false)*HLOOKUP($K2258,'Type Chart'!$C$2:$U$20,12,false)</f>
        <v>0.5</v>
      </c>
      <c r="AF2258" s="960">
        <f t="array" ref="AF2258">HLOOKUP($J2258,'Type Chart'!$C$2:$T$20,13,false)*HLOOKUP($K2258,'Type Chart'!$C$2:$U$20,13,false)</f>
        <v>0.5</v>
      </c>
      <c r="AG2258" s="960">
        <f t="array" ref="AG2258">HLOOKUP($J2258,'Type Chart'!$C$2:$T$20,14,false)*HLOOKUP($K2258,'Type Chart'!$C$2:$U$20,14,false)</f>
        <v>0.5</v>
      </c>
      <c r="AH2258" s="960">
        <f t="array" ref="AH2258">HLOOKUP($J2258,'Type Chart'!$C$2:$T$20,15,false)*HLOOKUP($K2258,'Type Chart'!$C$2:$U$20,15,false)</f>
        <v>2</v>
      </c>
      <c r="AI2258" s="960">
        <f t="array" ref="AI2258">HLOOKUP($J2258,'Type Chart'!$C$2:$T$20,16,false)*HLOOKUP($K2258,'Type Chart'!$C$2:$U$20,16,false)</f>
        <v>2</v>
      </c>
      <c r="AJ2258" s="960">
        <f t="array" ref="AJ2258">HLOOKUP($J2258,'Type Chart'!$C$2:$T$20,17,false)*HLOOKUP($K2258,'Type Chart'!$C$2:$U$20,17,false)</f>
        <v>2</v>
      </c>
      <c r="AK2258" s="960">
        <f t="array" ref="AK2258">HLOOKUP($J2258,'Type Chart'!$C$2:$T$20,18,false)*HLOOKUP($K2258,'Type Chart'!$C$2:$U$20,18,false)</f>
        <v>0.5</v>
      </c>
      <c r="AL2258" s="960">
        <f t="array" ref="AL2258">HLOOKUP($J2258,'Type Chart'!$C$2:$T$20,19,false)*HLOOKUP($K2258,'Type Chart'!$C$2:$U$20,19,false)</f>
        <v>4</v>
      </c>
      <c r="AM2258" s="1145" t="s">
        <v>3259</v>
      </c>
      <c r="AN2258" s="965" t="s">
        <v>1468</v>
      </c>
      <c r="AO2258" s="966" t="s">
        <v>1431</v>
      </c>
      <c r="AP2258" s="936"/>
      <c r="AQ2258" s="1245"/>
      <c r="AR2258" s="1245"/>
      <c r="AS2258" s="936"/>
    </row>
    <row r="2259" ht="15.75" customHeight="1">
      <c r="A2259" s="1099"/>
      <c r="B2259" s="948" t="s">
        <v>3751</v>
      </c>
      <c r="C2259" s="1197" t="s">
        <v>3752</v>
      </c>
      <c r="D2259" s="1197" t="s">
        <v>3753</v>
      </c>
      <c r="E2259" s="1147" t="s">
        <v>3752</v>
      </c>
      <c r="F2259" s="940"/>
      <c r="G2259" s="953"/>
      <c r="H2259" s="969"/>
      <c r="I2259" s="998" t="s">
        <v>5356</v>
      </c>
      <c r="J2259" s="1006" t="s">
        <v>346</v>
      </c>
      <c r="K2259" s="1213" t="s">
        <v>341</v>
      </c>
      <c r="L2259" s="959">
        <v>75.0</v>
      </c>
      <c r="M2259" s="960">
        <v>110.0</v>
      </c>
      <c r="N2259" s="960">
        <v>125.0</v>
      </c>
      <c r="O2259" s="960">
        <v>100.0</v>
      </c>
      <c r="P2259" s="960">
        <v>105.0</v>
      </c>
      <c r="Q2259" s="960">
        <v>85.0</v>
      </c>
      <c r="R2259" s="960">
        <v>206.0</v>
      </c>
      <c r="S2259" s="960">
        <v>269.0</v>
      </c>
      <c r="T2259" s="960">
        <v>295.0</v>
      </c>
      <c r="U2259" s="960">
        <f t="array" ref="U2259">HLOOKUP($J2259,'Type Chart'!$C$2:$T$20,2,false)*HLOOKUP($K2259,'Type Chart'!$C$2:$U$20,2,false)</f>
        <v>1</v>
      </c>
      <c r="V2259" s="960">
        <f t="array" ref="V2259">HLOOKUP($J2259,'Type Chart'!$C$2:$T$20,3,false)*HLOOKUP($K2259,'Type Chart'!$C$2:$U$20,3,false)</f>
        <v>1</v>
      </c>
      <c r="W2259" s="960">
        <f t="array" ref="W2259">HLOOKUP($J2259,'Type Chart'!$C$2:$T$20,4,false)*HLOOKUP($K2259,'Type Chart'!$C$2:$U$20,4,false)</f>
        <v>2</v>
      </c>
      <c r="X2259" s="960">
        <f t="array" ref="X2259">HLOOKUP($J2259,'Type Chart'!$C$2:$T$20,5,false)*HLOOKUP($K2259,'Type Chart'!$C$2:$U$20,5,false)</f>
        <v>1</v>
      </c>
      <c r="Y2259" s="960">
        <f t="array" ref="Y2259">HLOOKUP($J2259,'Type Chart'!$C$2:$T$20,6,false)*HLOOKUP($K2259,'Type Chart'!$C$2:$U$20,6,false)</f>
        <v>1</v>
      </c>
      <c r="Z2259" s="960">
        <f t="array" ref="Z2259">HLOOKUP($J2259,'Type Chart'!$C$2:$T$20,7,false)*HLOOKUP($K2259,'Type Chart'!$C$2:$U$20,7,false)</f>
        <v>0.5</v>
      </c>
      <c r="AA2259" s="960">
        <f t="array" ref="AA2259">HLOOKUP($J2259,'Type Chart'!$C$2:$T$20,8,false)*HLOOKUP($K2259,'Type Chart'!$C$2:$U$20,8,false)</f>
        <v>0.5</v>
      </c>
      <c r="AB2259" s="960">
        <f t="array" ref="AB2259">HLOOKUP($J2259,'Type Chart'!$C$2:$T$20,9,false)*HLOOKUP($K2259,'Type Chart'!$C$2:$U$20,9,false)</f>
        <v>1</v>
      </c>
      <c r="AC2259" s="960">
        <f t="array" ref="AC2259">HLOOKUP($J2259,'Type Chart'!$C$2:$T$20,10,false)*HLOOKUP($K2259,'Type Chart'!$C$2:$U$20,10,false)</f>
        <v>1</v>
      </c>
      <c r="AD2259" s="960">
        <f t="array" ref="AD2259">HLOOKUP($J2259,'Type Chart'!$C$2:$T$20,11,false)*HLOOKUP($K2259,'Type Chart'!$C$2:$U$20,11,false)</f>
        <v>0.5</v>
      </c>
      <c r="AE2259" s="960">
        <f t="array" ref="AE2259">HLOOKUP($J2259,'Type Chart'!$C$2:$T$20,12,false)*HLOOKUP($K2259,'Type Chart'!$C$2:$U$20,12,false)</f>
        <v>0.5</v>
      </c>
      <c r="AF2259" s="960">
        <f t="array" ref="AF2259">HLOOKUP($J2259,'Type Chart'!$C$2:$T$20,13,false)*HLOOKUP($K2259,'Type Chart'!$C$2:$U$20,13,false)</f>
        <v>0.5</v>
      </c>
      <c r="AG2259" s="960">
        <f t="array" ref="AG2259">HLOOKUP($J2259,'Type Chart'!$C$2:$T$20,14,false)*HLOOKUP($K2259,'Type Chart'!$C$2:$U$20,14,false)</f>
        <v>0.5</v>
      </c>
      <c r="AH2259" s="960">
        <f t="array" ref="AH2259">HLOOKUP($J2259,'Type Chart'!$C$2:$T$20,15,false)*HLOOKUP($K2259,'Type Chart'!$C$2:$U$20,15,false)</f>
        <v>2</v>
      </c>
      <c r="AI2259" s="960">
        <f t="array" ref="AI2259">HLOOKUP($J2259,'Type Chart'!$C$2:$T$20,16,false)*HLOOKUP($K2259,'Type Chart'!$C$2:$U$20,16,false)</f>
        <v>2</v>
      </c>
      <c r="AJ2259" s="960">
        <f t="array" ref="AJ2259">HLOOKUP($J2259,'Type Chart'!$C$2:$T$20,17,false)*HLOOKUP($K2259,'Type Chart'!$C$2:$U$20,17,false)</f>
        <v>2</v>
      </c>
      <c r="AK2259" s="960">
        <f t="array" ref="AK2259">HLOOKUP($J2259,'Type Chart'!$C$2:$T$20,18,false)*HLOOKUP($K2259,'Type Chart'!$C$2:$U$20,18,false)</f>
        <v>0.5</v>
      </c>
      <c r="AL2259" s="960">
        <f t="array" ref="AL2259">HLOOKUP($J2259,'Type Chart'!$C$2:$T$20,19,false)*HLOOKUP($K2259,'Type Chart'!$C$2:$U$20,19,false)</f>
        <v>4</v>
      </c>
      <c r="AM2259" s="1145" t="s">
        <v>3259</v>
      </c>
      <c r="AN2259" s="965" t="s">
        <v>1468</v>
      </c>
      <c r="AO2259" s="966" t="s">
        <v>1431</v>
      </c>
      <c r="AP2259" s="936"/>
      <c r="AQ2259" s="1245"/>
      <c r="AR2259" s="1245"/>
      <c r="AS2259" s="936"/>
    </row>
    <row r="2260" ht="15.75" customHeight="1">
      <c r="A2260" s="1099"/>
      <c r="B2260" s="948" t="s">
        <v>3754</v>
      </c>
      <c r="C2260" s="1197" t="s">
        <v>3755</v>
      </c>
      <c r="D2260" s="1197" t="s">
        <v>3756</v>
      </c>
      <c r="E2260" s="1147" t="s">
        <v>3755</v>
      </c>
      <c r="F2260" s="940"/>
      <c r="G2260" s="953"/>
      <c r="H2260" s="969"/>
      <c r="I2260" s="998" t="s">
        <v>5357</v>
      </c>
      <c r="J2260" s="1196" t="s">
        <v>203</v>
      </c>
      <c r="K2260" s="1207" t="s">
        <v>127</v>
      </c>
      <c r="L2260" s="959">
        <v>70.0</v>
      </c>
      <c r="M2260" s="960">
        <v>115.0</v>
      </c>
      <c r="N2260" s="960">
        <v>85.0</v>
      </c>
      <c r="O2260" s="960">
        <v>95.0</v>
      </c>
      <c r="P2260" s="960">
        <v>75.0</v>
      </c>
      <c r="Q2260" s="960">
        <v>130.0</v>
      </c>
      <c r="R2260" s="960">
        <v>296.0</v>
      </c>
      <c r="S2260" s="960">
        <v>359.0</v>
      </c>
      <c r="T2260" s="960">
        <v>394.0</v>
      </c>
      <c r="U2260" s="960">
        <f t="array" ref="U2260">HLOOKUP($J2260,'Type Chart'!$C$2:$T$20,2,false)*HLOOKUP($K2260,'Type Chart'!$C$2:$U$20,2,false)</f>
        <v>1</v>
      </c>
      <c r="V2260" s="960">
        <f t="array" ref="V2260">HLOOKUP($J2260,'Type Chart'!$C$2:$T$20,3,false)*HLOOKUP($K2260,'Type Chart'!$C$2:$U$20,3,false)</f>
        <v>0.5</v>
      </c>
      <c r="W2260" s="960">
        <f t="array" ref="W2260">HLOOKUP($J2260,'Type Chart'!$C$2:$T$20,4,false)*HLOOKUP($K2260,'Type Chart'!$C$2:$U$20,4,false)</f>
        <v>0.5</v>
      </c>
      <c r="X2260" s="960">
        <f t="array" ref="X2260">HLOOKUP($J2260,'Type Chart'!$C$2:$T$20,5,false)*HLOOKUP($K2260,'Type Chart'!$C$2:$U$20,5,false)</f>
        <v>2</v>
      </c>
      <c r="Y2260" s="960">
        <f t="array" ref="Y2260">HLOOKUP($J2260,'Type Chart'!$C$2:$T$20,6,false)*HLOOKUP($K2260,'Type Chart'!$C$2:$U$20,6,false)</f>
        <v>2</v>
      </c>
      <c r="Z2260" s="960">
        <f t="array" ref="Z2260">HLOOKUP($J2260,'Type Chart'!$C$2:$T$20,7,false)*HLOOKUP($K2260,'Type Chart'!$C$2:$U$20,7,false)</f>
        <v>1</v>
      </c>
      <c r="AA2260" s="960">
        <f t="array" ref="AA2260">HLOOKUP($J2260,'Type Chart'!$C$2:$T$20,8,false)*HLOOKUP($K2260,'Type Chart'!$C$2:$U$20,8,false)</f>
        <v>0.5</v>
      </c>
      <c r="AB2260" s="960">
        <f t="array" ref="AB2260">HLOOKUP($J2260,'Type Chart'!$C$2:$T$20,9,false)*HLOOKUP($K2260,'Type Chart'!$C$2:$U$20,9,false)</f>
        <v>1</v>
      </c>
      <c r="AC2260" s="960">
        <f t="array" ref="AC2260">HLOOKUP($J2260,'Type Chart'!$C$2:$T$20,10,false)*HLOOKUP($K2260,'Type Chart'!$C$2:$U$20,10,false)</f>
        <v>1</v>
      </c>
      <c r="AD2260" s="960">
        <f t="array" ref="AD2260">HLOOKUP($J2260,'Type Chart'!$C$2:$T$20,11,false)*HLOOKUP($K2260,'Type Chart'!$C$2:$U$20,11,false)</f>
        <v>1</v>
      </c>
      <c r="AE2260" s="960">
        <f t="array" ref="AE2260">HLOOKUP($J2260,'Type Chart'!$C$2:$T$20,12,false)*HLOOKUP($K2260,'Type Chart'!$C$2:$U$20,12,false)</f>
        <v>1</v>
      </c>
      <c r="AF2260" s="960">
        <f t="array" ref="AF2260">HLOOKUP($J2260,'Type Chart'!$C$2:$T$20,13,false)*HLOOKUP($K2260,'Type Chart'!$C$2:$U$20,13,false)</f>
        <v>1</v>
      </c>
      <c r="AG2260" s="960">
        <f t="array" ref="AG2260">HLOOKUP($J2260,'Type Chart'!$C$2:$T$20,14,false)*HLOOKUP($K2260,'Type Chart'!$C$2:$U$20,14,false)</f>
        <v>0.5</v>
      </c>
      <c r="AH2260" s="960">
        <f t="array" ref="AH2260">HLOOKUP($J2260,'Type Chart'!$C$2:$T$20,15,false)*HLOOKUP($K2260,'Type Chart'!$C$2:$U$20,15,false)</f>
        <v>1</v>
      </c>
      <c r="AI2260" s="960">
        <f t="array" ref="AI2260">HLOOKUP($J2260,'Type Chart'!$C$2:$T$20,16,false)*HLOOKUP($K2260,'Type Chart'!$C$2:$U$20,16,false)</f>
        <v>1</v>
      </c>
      <c r="AJ2260" s="960">
        <f t="array" ref="AJ2260">HLOOKUP($J2260,'Type Chart'!$C$2:$T$20,17,false)*HLOOKUP($K2260,'Type Chart'!$C$2:$U$20,17,false)</f>
        <v>0</v>
      </c>
      <c r="AK2260" s="960">
        <f t="array" ref="AK2260">HLOOKUP($J2260,'Type Chart'!$C$2:$T$20,18,false)*HLOOKUP($K2260,'Type Chart'!$C$2:$U$20,18,false)</f>
        <v>0.5</v>
      </c>
      <c r="AL2260" s="960">
        <f t="array" ref="AL2260">HLOOKUP($J2260,'Type Chart'!$C$2:$T$20,19,false)*HLOOKUP($K2260,'Type Chart'!$C$2:$U$20,19,false)</f>
        <v>1</v>
      </c>
      <c r="AM2260" s="1145" t="s">
        <v>3758</v>
      </c>
      <c r="AN2260" s="965"/>
      <c r="AO2260" s="966" t="s">
        <v>1828</v>
      </c>
      <c r="AP2260" s="936"/>
      <c r="AQ2260" s="1245"/>
      <c r="AR2260" s="1245"/>
      <c r="AS2260" s="936"/>
    </row>
    <row r="2261" ht="15.75" customHeight="1">
      <c r="A2261" s="1099"/>
      <c r="B2261" s="948" t="s">
        <v>3759</v>
      </c>
      <c r="C2261" s="1197" t="s">
        <v>3760</v>
      </c>
      <c r="D2261" s="1197" t="s">
        <v>3761</v>
      </c>
      <c r="E2261" s="1147" t="s">
        <v>3760</v>
      </c>
      <c r="F2261" s="940"/>
      <c r="G2261" s="953"/>
      <c r="H2261" s="969"/>
      <c r="I2261" s="998" t="s">
        <v>5358</v>
      </c>
      <c r="J2261" s="1203" t="s">
        <v>344</v>
      </c>
      <c r="K2261" s="1207" t="s">
        <v>127</v>
      </c>
      <c r="L2261" s="959">
        <v>70.0</v>
      </c>
      <c r="M2261" s="960">
        <v>85.0</v>
      </c>
      <c r="N2261" s="960">
        <v>75.0</v>
      </c>
      <c r="O2261" s="960">
        <v>130.0</v>
      </c>
      <c r="P2261" s="960">
        <v>115.0</v>
      </c>
      <c r="Q2261" s="960">
        <v>95.0</v>
      </c>
      <c r="R2261" s="960">
        <v>226.0</v>
      </c>
      <c r="S2261" s="960">
        <v>289.0</v>
      </c>
      <c r="T2261" s="960">
        <v>317.0</v>
      </c>
      <c r="U2261" s="960">
        <f t="array" ref="U2261">HLOOKUP($J2261,'Type Chart'!$C$2:$T$20,2,false)*HLOOKUP($K2261,'Type Chart'!$C$2:$U$20,2,false)</f>
        <v>1</v>
      </c>
      <c r="V2261" s="960">
        <f t="array" ref="V2261">HLOOKUP($J2261,'Type Chart'!$C$2:$T$20,3,false)*HLOOKUP($K2261,'Type Chart'!$C$2:$U$20,3,false)</f>
        <v>0.25</v>
      </c>
      <c r="W2261" s="960">
        <f t="array" ref="W2261">HLOOKUP($J2261,'Type Chart'!$C$2:$T$20,4,false)*HLOOKUP($K2261,'Type Chart'!$C$2:$U$20,4,false)</f>
        <v>1</v>
      </c>
      <c r="X2261" s="960">
        <f t="array" ref="X2261">HLOOKUP($J2261,'Type Chart'!$C$2:$T$20,5,false)*HLOOKUP($K2261,'Type Chart'!$C$2:$U$20,5,false)</f>
        <v>2</v>
      </c>
      <c r="Y2261" s="960">
        <f t="array" ref="Y2261">HLOOKUP($J2261,'Type Chart'!$C$2:$T$20,6,false)*HLOOKUP($K2261,'Type Chart'!$C$2:$U$20,6,false)</f>
        <v>1</v>
      </c>
      <c r="Z2261" s="960">
        <f t="array" ref="Z2261">HLOOKUP($J2261,'Type Chart'!$C$2:$T$20,7,false)*HLOOKUP($K2261,'Type Chart'!$C$2:$U$20,7,false)</f>
        <v>1</v>
      </c>
      <c r="AA2261" s="960">
        <f t="array" ref="AA2261">HLOOKUP($J2261,'Type Chart'!$C$2:$T$20,8,false)*HLOOKUP($K2261,'Type Chart'!$C$2:$U$20,8,false)</f>
        <v>1</v>
      </c>
      <c r="AB2261" s="960">
        <f t="array" ref="AB2261">HLOOKUP($J2261,'Type Chart'!$C$2:$T$20,9,false)*HLOOKUP($K2261,'Type Chart'!$C$2:$U$20,9,false)</f>
        <v>2</v>
      </c>
      <c r="AC2261" s="960">
        <f t="array" ref="AC2261">HLOOKUP($J2261,'Type Chart'!$C$2:$T$20,10,false)*HLOOKUP($K2261,'Type Chart'!$C$2:$U$20,10,false)</f>
        <v>2</v>
      </c>
      <c r="AD2261" s="960">
        <f t="array" ref="AD2261">HLOOKUP($J2261,'Type Chart'!$C$2:$T$20,11,false)*HLOOKUP($K2261,'Type Chart'!$C$2:$U$20,11,false)</f>
        <v>1</v>
      </c>
      <c r="AE2261" s="960">
        <f t="array" ref="AE2261">HLOOKUP($J2261,'Type Chart'!$C$2:$T$20,12,false)*HLOOKUP($K2261,'Type Chart'!$C$2:$U$20,12,false)</f>
        <v>1</v>
      </c>
      <c r="AF2261" s="960">
        <f t="array" ref="AF2261">HLOOKUP($J2261,'Type Chart'!$C$2:$T$20,13,false)*HLOOKUP($K2261,'Type Chart'!$C$2:$U$20,13,false)</f>
        <v>1</v>
      </c>
      <c r="AG2261" s="960">
        <f t="array" ref="AG2261">HLOOKUP($J2261,'Type Chart'!$C$2:$T$20,14,false)*HLOOKUP($K2261,'Type Chart'!$C$2:$U$20,14,false)</f>
        <v>1</v>
      </c>
      <c r="AH2261" s="960">
        <f t="array" ref="AH2261">HLOOKUP($J2261,'Type Chart'!$C$2:$T$20,15,false)*HLOOKUP($K2261,'Type Chart'!$C$2:$U$20,15,false)</f>
        <v>0.5</v>
      </c>
      <c r="AI2261" s="960">
        <f t="array" ref="AI2261">HLOOKUP($J2261,'Type Chart'!$C$2:$T$20,16,false)*HLOOKUP($K2261,'Type Chart'!$C$2:$U$20,16,false)</f>
        <v>1</v>
      </c>
      <c r="AJ2261" s="960">
        <f t="array" ref="AJ2261">HLOOKUP($J2261,'Type Chart'!$C$2:$T$20,17,false)*HLOOKUP($K2261,'Type Chart'!$C$2:$U$20,17,false)</f>
        <v>0</v>
      </c>
      <c r="AK2261" s="960">
        <f t="array" ref="AK2261">HLOOKUP($J2261,'Type Chart'!$C$2:$T$20,18,false)*HLOOKUP($K2261,'Type Chart'!$C$2:$U$20,18,false)</f>
        <v>1</v>
      </c>
      <c r="AL2261" s="960">
        <f t="array" ref="AL2261">HLOOKUP($J2261,'Type Chart'!$C$2:$T$20,19,false)*HLOOKUP($K2261,'Type Chart'!$C$2:$U$20,19,false)</f>
        <v>1</v>
      </c>
      <c r="AM2261" s="1145" t="s">
        <v>3763</v>
      </c>
      <c r="AN2261" s="965"/>
      <c r="AO2261" s="966" t="s">
        <v>1828</v>
      </c>
      <c r="AP2261" s="936"/>
      <c r="AQ2261" s="1245"/>
      <c r="AR2261" s="1245"/>
      <c r="AS2261" s="936"/>
    </row>
    <row r="2262" ht="15.75" customHeight="1">
      <c r="A2262" s="1099"/>
      <c r="B2262" s="948" t="s">
        <v>3764</v>
      </c>
      <c r="C2262" s="1197" t="s">
        <v>3765</v>
      </c>
      <c r="D2262" s="1197" t="s">
        <v>3766</v>
      </c>
      <c r="E2262" s="1147" t="s">
        <v>3765</v>
      </c>
      <c r="F2262" s="940"/>
      <c r="G2262" s="953"/>
      <c r="H2262" s="969"/>
      <c r="I2262" s="998" t="s">
        <v>5359</v>
      </c>
      <c r="J2262" s="957" t="s">
        <v>209</v>
      </c>
      <c r="K2262" s="1207" t="s">
        <v>127</v>
      </c>
      <c r="L2262" s="959">
        <v>70.0</v>
      </c>
      <c r="M2262" s="960">
        <v>130.0</v>
      </c>
      <c r="N2262" s="960">
        <v>115.0</v>
      </c>
      <c r="O2262" s="960">
        <v>85.0</v>
      </c>
      <c r="P2262" s="960">
        <v>95.0</v>
      </c>
      <c r="Q2262" s="960">
        <v>75.0</v>
      </c>
      <c r="R2262" s="960">
        <v>186.0</v>
      </c>
      <c r="S2262" s="960">
        <v>249.0</v>
      </c>
      <c r="T2262" s="960">
        <v>273.0</v>
      </c>
      <c r="U2262" s="960">
        <f t="array" ref="U2262">HLOOKUP($J2262,'Type Chart'!$C$2:$T$20,2,false)*HLOOKUP($K2262,'Type Chart'!$C$2:$U$20,2,false)</f>
        <v>1</v>
      </c>
      <c r="V2262" s="960">
        <f t="array" ref="V2262">HLOOKUP($J2262,'Type Chart'!$C$2:$T$20,3,false)*HLOOKUP($K2262,'Type Chart'!$C$2:$U$20,3,false)</f>
        <v>0.5</v>
      </c>
      <c r="W2262" s="960">
        <f t="array" ref="W2262">HLOOKUP($J2262,'Type Chart'!$C$2:$T$20,4,false)*HLOOKUP($K2262,'Type Chart'!$C$2:$U$20,4,false)</f>
        <v>2</v>
      </c>
      <c r="X2262" s="960">
        <f t="array" ref="X2262">HLOOKUP($J2262,'Type Chart'!$C$2:$T$20,5,false)*HLOOKUP($K2262,'Type Chart'!$C$2:$U$20,5,false)</f>
        <v>4</v>
      </c>
      <c r="Y2262" s="960">
        <f t="array" ref="Y2262">HLOOKUP($J2262,'Type Chart'!$C$2:$T$20,6,false)*HLOOKUP($K2262,'Type Chart'!$C$2:$U$20,6,false)</f>
        <v>0.5</v>
      </c>
      <c r="Z2262" s="960">
        <f t="array" ref="Z2262">HLOOKUP($J2262,'Type Chart'!$C$2:$T$20,7,false)*HLOOKUP($K2262,'Type Chart'!$C$2:$U$20,7,false)</f>
        <v>1</v>
      </c>
      <c r="AA2262" s="960">
        <f t="array" ref="AA2262">HLOOKUP($J2262,'Type Chart'!$C$2:$T$20,8,false)*HLOOKUP($K2262,'Type Chart'!$C$2:$U$20,8,false)</f>
        <v>1</v>
      </c>
      <c r="AB2262" s="960">
        <f t="array" ref="AB2262">HLOOKUP($J2262,'Type Chart'!$C$2:$T$20,9,false)*HLOOKUP($K2262,'Type Chart'!$C$2:$U$20,9,false)</f>
        <v>1</v>
      </c>
      <c r="AC2262" s="960">
        <f t="array" ref="AC2262">HLOOKUP($J2262,'Type Chart'!$C$2:$T$20,10,false)*HLOOKUP($K2262,'Type Chart'!$C$2:$U$20,10,false)</f>
        <v>2</v>
      </c>
      <c r="AD2262" s="960">
        <f t="array" ref="AD2262">HLOOKUP($J2262,'Type Chart'!$C$2:$T$20,11,false)*HLOOKUP($K2262,'Type Chart'!$C$2:$U$20,11,false)</f>
        <v>2</v>
      </c>
      <c r="AE2262" s="960">
        <f t="array" ref="AE2262">HLOOKUP($J2262,'Type Chart'!$C$2:$T$20,12,false)*HLOOKUP($K2262,'Type Chart'!$C$2:$U$20,12,false)</f>
        <v>0.5</v>
      </c>
      <c r="AF2262" s="960">
        <f t="array" ref="AF2262">HLOOKUP($J2262,'Type Chart'!$C$2:$T$20,13,false)*HLOOKUP($K2262,'Type Chart'!$C$2:$U$20,13,false)</f>
        <v>0.5</v>
      </c>
      <c r="AG2262" s="960">
        <f t="array" ref="AG2262">HLOOKUP($J2262,'Type Chart'!$C$2:$T$20,14,false)*HLOOKUP($K2262,'Type Chart'!$C$2:$U$20,14,false)</f>
        <v>0.5</v>
      </c>
      <c r="AH2262" s="960">
        <f t="array" ref="AH2262">HLOOKUP($J2262,'Type Chart'!$C$2:$T$20,15,false)*HLOOKUP($K2262,'Type Chart'!$C$2:$U$20,15,false)</f>
        <v>1</v>
      </c>
      <c r="AI2262" s="960">
        <f t="array" ref="AI2262">HLOOKUP($J2262,'Type Chart'!$C$2:$T$20,16,false)*HLOOKUP($K2262,'Type Chart'!$C$2:$U$20,16,false)</f>
        <v>2</v>
      </c>
      <c r="AJ2262" s="960">
        <f t="array" ref="AJ2262">HLOOKUP($J2262,'Type Chart'!$C$2:$T$20,17,false)*HLOOKUP($K2262,'Type Chart'!$C$2:$U$20,17,false)</f>
        <v>0</v>
      </c>
      <c r="AK2262" s="960">
        <f t="array" ref="AK2262">HLOOKUP($J2262,'Type Chart'!$C$2:$T$20,18,false)*HLOOKUP($K2262,'Type Chart'!$C$2:$U$20,18,false)</f>
        <v>0.5</v>
      </c>
      <c r="AL2262" s="960">
        <f t="array" ref="AL2262">HLOOKUP($J2262,'Type Chart'!$C$2:$T$20,19,false)*HLOOKUP($K2262,'Type Chart'!$C$2:$U$20,19,false)</f>
        <v>1</v>
      </c>
      <c r="AM2262" s="964" t="s">
        <v>3768</v>
      </c>
      <c r="AN2262" s="965"/>
      <c r="AO2262" s="966" t="s">
        <v>1828</v>
      </c>
      <c r="AP2262" s="936"/>
      <c r="AQ2262" s="1245"/>
      <c r="AR2262" s="1245"/>
      <c r="AS2262" s="936"/>
    </row>
    <row r="2263" ht="15.75" customHeight="1">
      <c r="A2263" s="1099"/>
      <c r="B2263" s="948" t="s">
        <v>3769</v>
      </c>
      <c r="C2263" s="1197" t="s">
        <v>3770</v>
      </c>
      <c r="D2263" s="1197" t="s">
        <v>3771</v>
      </c>
      <c r="E2263" s="1147" t="s">
        <v>3770</v>
      </c>
      <c r="F2263" s="940"/>
      <c r="G2263" s="953"/>
      <c r="H2263" s="969"/>
      <c r="I2263" s="998" t="s">
        <v>5360</v>
      </c>
      <c r="J2263" s="1056" t="s">
        <v>81</v>
      </c>
      <c r="K2263" s="1207" t="s">
        <v>127</v>
      </c>
      <c r="L2263" s="959">
        <v>70.0</v>
      </c>
      <c r="M2263" s="960">
        <v>75.0</v>
      </c>
      <c r="N2263" s="960">
        <v>115.0</v>
      </c>
      <c r="O2263" s="960">
        <v>95.0</v>
      </c>
      <c r="P2263" s="960">
        <v>130.0</v>
      </c>
      <c r="Q2263" s="960">
        <v>85.0</v>
      </c>
      <c r="R2263" s="960">
        <v>206.0</v>
      </c>
      <c r="S2263" s="960">
        <v>269.0</v>
      </c>
      <c r="T2263" s="960">
        <v>295.0</v>
      </c>
      <c r="U2263" s="960">
        <f t="array" ref="U2263">HLOOKUP($J2263,'Type Chart'!$C$2:$T$20,2,false)*HLOOKUP($K2263,'Type Chart'!$C$2:$U$20,2,false)</f>
        <v>1</v>
      </c>
      <c r="V2263" s="960">
        <f t="array" ref="V2263">HLOOKUP($J2263,'Type Chart'!$C$2:$T$20,3,false)*HLOOKUP($K2263,'Type Chart'!$C$2:$U$20,3,false)</f>
        <v>0.5</v>
      </c>
      <c r="W2263" s="960">
        <f t="array" ref="W2263">HLOOKUP($J2263,'Type Chart'!$C$2:$T$20,4,false)*HLOOKUP($K2263,'Type Chart'!$C$2:$U$20,4,false)</f>
        <v>1</v>
      </c>
      <c r="X2263" s="960">
        <f t="array" ref="X2263">HLOOKUP($J2263,'Type Chart'!$C$2:$T$20,5,false)*HLOOKUP($K2263,'Type Chart'!$C$2:$U$20,5,false)</f>
        <v>2</v>
      </c>
      <c r="Y2263" s="960">
        <f t="array" ref="Y2263">HLOOKUP($J2263,'Type Chart'!$C$2:$T$20,6,false)*HLOOKUP($K2263,'Type Chart'!$C$2:$U$20,6,false)</f>
        <v>1</v>
      </c>
      <c r="Z2263" s="960">
        <f t="array" ref="Z2263">HLOOKUP($J2263,'Type Chart'!$C$2:$T$20,7,false)*HLOOKUP($K2263,'Type Chart'!$C$2:$U$20,7,false)</f>
        <v>1</v>
      </c>
      <c r="AA2263" s="960">
        <f t="array" ref="AA2263">HLOOKUP($J2263,'Type Chart'!$C$2:$T$20,8,false)*HLOOKUP($K2263,'Type Chart'!$C$2:$U$20,8,false)</f>
        <v>0.5</v>
      </c>
      <c r="AB2263" s="960">
        <f t="array" ref="AB2263">HLOOKUP($J2263,'Type Chart'!$C$2:$T$20,9,false)*HLOOKUP($K2263,'Type Chart'!$C$2:$U$20,9,false)</f>
        <v>1</v>
      </c>
      <c r="AC2263" s="960">
        <f t="array" ref="AC2263">HLOOKUP($J2263,'Type Chart'!$C$2:$T$20,10,false)*HLOOKUP($K2263,'Type Chart'!$C$2:$U$20,10,false)</f>
        <v>1</v>
      </c>
      <c r="AD2263" s="960">
        <f t="array" ref="AD2263">HLOOKUP($J2263,'Type Chart'!$C$2:$T$20,11,false)*HLOOKUP($K2263,'Type Chart'!$C$2:$U$20,11,false)</f>
        <v>0.5</v>
      </c>
      <c r="AE2263" s="960">
        <f t="array" ref="AE2263">HLOOKUP($J2263,'Type Chart'!$C$2:$T$20,12,false)*HLOOKUP($K2263,'Type Chart'!$C$2:$U$20,12,false)</f>
        <v>0.5</v>
      </c>
      <c r="AF2263" s="960">
        <f t="array" ref="AF2263">HLOOKUP($J2263,'Type Chart'!$C$2:$T$20,13,false)*HLOOKUP($K2263,'Type Chart'!$C$2:$U$20,13,false)</f>
        <v>2</v>
      </c>
      <c r="AG2263" s="960">
        <f t="array" ref="AG2263">HLOOKUP($J2263,'Type Chart'!$C$2:$T$20,14,false)*HLOOKUP($K2263,'Type Chart'!$C$2:$U$20,14,false)</f>
        <v>2</v>
      </c>
      <c r="AH2263" s="960">
        <f t="array" ref="AH2263">HLOOKUP($J2263,'Type Chart'!$C$2:$T$20,15,false)*HLOOKUP($K2263,'Type Chart'!$C$2:$U$20,15,false)</f>
        <v>1</v>
      </c>
      <c r="AI2263" s="960">
        <f t="array" ref="AI2263">HLOOKUP($J2263,'Type Chart'!$C$2:$T$20,16,false)*HLOOKUP($K2263,'Type Chart'!$C$2:$U$20,16,false)</f>
        <v>0.5</v>
      </c>
      <c r="AJ2263" s="960">
        <f t="array" ref="AJ2263">HLOOKUP($J2263,'Type Chart'!$C$2:$T$20,17,false)*HLOOKUP($K2263,'Type Chart'!$C$2:$U$20,17,false)</f>
        <v>0</v>
      </c>
      <c r="AK2263" s="960">
        <f t="array" ref="AK2263">HLOOKUP($J2263,'Type Chart'!$C$2:$T$20,18,false)*HLOOKUP($K2263,'Type Chart'!$C$2:$U$20,18,false)</f>
        <v>0.5</v>
      </c>
      <c r="AL2263" s="960">
        <f t="array" ref="AL2263">HLOOKUP($J2263,'Type Chart'!$C$2:$T$20,19,false)*HLOOKUP($K2263,'Type Chart'!$C$2:$U$20,19,false)</f>
        <v>1</v>
      </c>
      <c r="AM2263" s="964" t="s">
        <v>1513</v>
      </c>
      <c r="AN2263" s="965"/>
      <c r="AO2263" s="966" t="s">
        <v>1828</v>
      </c>
      <c r="AP2263" s="936"/>
      <c r="AQ2263" s="1245"/>
      <c r="AR2263" s="1245"/>
      <c r="AS2263" s="936"/>
    </row>
    <row r="2264" ht="15.75" customHeight="1">
      <c r="A2264" s="1099"/>
      <c r="B2264" s="948" t="s">
        <v>3773</v>
      </c>
      <c r="C2264" s="1197" t="s">
        <v>3774</v>
      </c>
      <c r="D2264" s="1197" t="s">
        <v>3774</v>
      </c>
      <c r="E2264" s="1147" t="s">
        <v>3774</v>
      </c>
      <c r="F2264" s="940"/>
      <c r="G2264" s="953"/>
      <c r="H2264" s="969"/>
      <c r="I2264" s="998" t="s">
        <v>5361</v>
      </c>
      <c r="J2264" s="1203" t="s">
        <v>344</v>
      </c>
      <c r="K2264" s="984" t="s">
        <v>216</v>
      </c>
      <c r="L2264" s="959">
        <v>43.0</v>
      </c>
      <c r="M2264" s="960">
        <v>29.0</v>
      </c>
      <c r="N2264" s="960">
        <v>31.0</v>
      </c>
      <c r="O2264" s="960">
        <v>29.0</v>
      </c>
      <c r="P2264" s="960">
        <v>31.0</v>
      </c>
      <c r="Q2264" s="960">
        <v>37.0</v>
      </c>
      <c r="R2264" s="960">
        <v>110.0</v>
      </c>
      <c r="S2264" s="960">
        <v>173.0</v>
      </c>
      <c r="T2264" s="960">
        <v>190.0</v>
      </c>
      <c r="U2264" s="960">
        <f t="array" ref="U2264">HLOOKUP($J2264,'Type Chart'!$C$2:$T$20,2,false)*HLOOKUP($K2264,'Type Chart'!$C$2:$U$20,2,false)</f>
        <v>1</v>
      </c>
      <c r="V2264" s="960">
        <f t="array" ref="V2264">HLOOKUP($J2264,'Type Chart'!$C$2:$T$20,3,false)*HLOOKUP($K2264,'Type Chart'!$C$2:$U$20,3,false)</f>
        <v>0.5</v>
      </c>
      <c r="W2264" s="960">
        <f t="array" ref="W2264">HLOOKUP($J2264,'Type Chart'!$C$2:$T$20,4,false)*HLOOKUP($K2264,'Type Chart'!$C$2:$U$20,4,false)</f>
        <v>1</v>
      </c>
      <c r="X2264" s="960">
        <f t="array" ref="X2264">HLOOKUP($J2264,'Type Chart'!$C$2:$T$20,5,false)*HLOOKUP($K2264,'Type Chart'!$C$2:$U$20,5,false)</f>
        <v>1</v>
      </c>
      <c r="Y2264" s="960">
        <f t="array" ref="Y2264">HLOOKUP($J2264,'Type Chart'!$C$2:$T$20,6,false)*HLOOKUP($K2264,'Type Chart'!$C$2:$U$20,6,false)</f>
        <v>1</v>
      </c>
      <c r="Z2264" s="960">
        <f t="array" ref="Z2264">HLOOKUP($J2264,'Type Chart'!$C$2:$T$20,7,false)*HLOOKUP($K2264,'Type Chart'!$C$2:$U$20,7,false)</f>
        <v>1</v>
      </c>
      <c r="AA2264" s="960">
        <f t="array" ref="AA2264">HLOOKUP($J2264,'Type Chart'!$C$2:$T$20,8,false)*HLOOKUP($K2264,'Type Chart'!$C$2:$U$20,8,false)</f>
        <v>2</v>
      </c>
      <c r="AB2264" s="960">
        <f t="array" ref="AB2264">HLOOKUP($J2264,'Type Chart'!$C$2:$T$20,9,false)*HLOOKUP($K2264,'Type Chart'!$C$2:$U$20,9,false)</f>
        <v>2</v>
      </c>
      <c r="AC2264" s="960">
        <f t="array" ref="AC2264">HLOOKUP($J2264,'Type Chart'!$C$2:$T$20,10,false)*HLOOKUP($K2264,'Type Chart'!$C$2:$U$20,10,false)</f>
        <v>1</v>
      </c>
      <c r="AD2264" s="960">
        <f t="array" ref="AD2264">HLOOKUP($J2264,'Type Chart'!$C$2:$T$20,11,false)*HLOOKUP($K2264,'Type Chart'!$C$2:$U$20,11,false)</f>
        <v>1</v>
      </c>
      <c r="AE2264" s="960">
        <f t="array" ref="AE2264">HLOOKUP($J2264,'Type Chart'!$C$2:$T$20,12,false)*HLOOKUP($K2264,'Type Chart'!$C$2:$U$20,12,false)</f>
        <v>1</v>
      </c>
      <c r="AF2264" s="960">
        <f t="array" ref="AF2264">HLOOKUP($J2264,'Type Chart'!$C$2:$T$20,13,false)*HLOOKUP($K2264,'Type Chart'!$C$2:$U$20,13,false)</f>
        <v>1</v>
      </c>
      <c r="AG2264" s="960">
        <f t="array" ref="AG2264">HLOOKUP($J2264,'Type Chart'!$C$2:$T$20,14,false)*HLOOKUP($K2264,'Type Chart'!$C$2:$U$20,14,false)</f>
        <v>1</v>
      </c>
      <c r="AH2264" s="960">
        <f t="array" ref="AH2264">HLOOKUP($J2264,'Type Chart'!$C$2:$T$20,15,false)*HLOOKUP($K2264,'Type Chart'!$C$2:$U$20,15,false)</f>
        <v>0.5</v>
      </c>
      <c r="AI2264" s="960">
        <f t="array" ref="AI2264">HLOOKUP($J2264,'Type Chart'!$C$2:$T$20,16,false)*HLOOKUP($K2264,'Type Chart'!$C$2:$U$20,16,false)</f>
        <v>1</v>
      </c>
      <c r="AJ2264" s="960">
        <f t="array" ref="AJ2264">HLOOKUP($J2264,'Type Chart'!$C$2:$T$20,17,false)*HLOOKUP($K2264,'Type Chart'!$C$2:$U$20,17,false)</f>
        <v>1</v>
      </c>
      <c r="AK2264" s="960">
        <f t="array" ref="AK2264">HLOOKUP($J2264,'Type Chart'!$C$2:$T$20,18,false)*HLOOKUP($K2264,'Type Chart'!$C$2:$U$20,18,false)</f>
        <v>2</v>
      </c>
      <c r="AL2264" s="960">
        <f t="array" ref="AL2264">HLOOKUP($J2264,'Type Chart'!$C$2:$T$20,19,false)*HLOOKUP($K2264,'Type Chart'!$C$2:$U$20,19,false)</f>
        <v>1</v>
      </c>
      <c r="AM2264" s="964" t="s">
        <v>1169</v>
      </c>
      <c r="AN2264" s="965"/>
      <c r="AO2264" s="966"/>
      <c r="AP2264" s="936"/>
      <c r="AQ2264" s="1245"/>
      <c r="AR2264" s="1245"/>
      <c r="AS2264" s="936"/>
    </row>
    <row r="2265" ht="15.75" customHeight="1">
      <c r="A2265" s="1099"/>
      <c r="B2265" s="948" t="s">
        <v>3776</v>
      </c>
      <c r="C2265" s="1197" t="s">
        <v>3777</v>
      </c>
      <c r="D2265" s="1197" t="s">
        <v>3777</v>
      </c>
      <c r="E2265" s="1147" t="s">
        <v>3777</v>
      </c>
      <c r="F2265" s="940"/>
      <c r="G2265" s="953"/>
      <c r="H2265" s="969"/>
      <c r="I2265" s="998" t="s">
        <v>5362</v>
      </c>
      <c r="J2265" s="1203" t="s">
        <v>344</v>
      </c>
      <c r="K2265" s="984" t="s">
        <v>216</v>
      </c>
      <c r="L2265" s="959">
        <v>43.0</v>
      </c>
      <c r="M2265" s="960">
        <v>29.0</v>
      </c>
      <c r="N2265" s="960">
        <v>131.0</v>
      </c>
      <c r="O2265" s="960">
        <v>29.0</v>
      </c>
      <c r="P2265" s="960">
        <v>131.0</v>
      </c>
      <c r="Q2265" s="960">
        <v>37.0</v>
      </c>
      <c r="R2265" s="960">
        <v>110.0</v>
      </c>
      <c r="S2265" s="960">
        <v>173.0</v>
      </c>
      <c r="T2265" s="960">
        <v>190.0</v>
      </c>
      <c r="U2265" s="960">
        <f t="array" ref="U2265">HLOOKUP($J2265,'Type Chart'!$C$2:$T$20,2,false)*HLOOKUP($K2265,'Type Chart'!$C$2:$U$20,2,false)</f>
        <v>1</v>
      </c>
      <c r="V2265" s="960">
        <f t="array" ref="V2265">HLOOKUP($J2265,'Type Chart'!$C$2:$T$20,3,false)*HLOOKUP($K2265,'Type Chart'!$C$2:$U$20,3,false)</f>
        <v>0.5</v>
      </c>
      <c r="W2265" s="960">
        <f t="array" ref="W2265">HLOOKUP($J2265,'Type Chart'!$C$2:$T$20,4,false)*HLOOKUP($K2265,'Type Chart'!$C$2:$U$20,4,false)</f>
        <v>1</v>
      </c>
      <c r="X2265" s="960">
        <f t="array" ref="X2265">HLOOKUP($J2265,'Type Chart'!$C$2:$T$20,5,false)*HLOOKUP($K2265,'Type Chart'!$C$2:$U$20,5,false)</f>
        <v>1</v>
      </c>
      <c r="Y2265" s="960">
        <f t="array" ref="Y2265">HLOOKUP($J2265,'Type Chart'!$C$2:$T$20,6,false)*HLOOKUP($K2265,'Type Chart'!$C$2:$U$20,6,false)</f>
        <v>1</v>
      </c>
      <c r="Z2265" s="960">
        <f t="array" ref="Z2265">HLOOKUP($J2265,'Type Chart'!$C$2:$T$20,7,false)*HLOOKUP($K2265,'Type Chart'!$C$2:$U$20,7,false)</f>
        <v>1</v>
      </c>
      <c r="AA2265" s="960">
        <f t="array" ref="AA2265">HLOOKUP($J2265,'Type Chart'!$C$2:$T$20,8,false)*HLOOKUP($K2265,'Type Chart'!$C$2:$U$20,8,false)</f>
        <v>2</v>
      </c>
      <c r="AB2265" s="960">
        <f t="array" ref="AB2265">HLOOKUP($J2265,'Type Chart'!$C$2:$T$20,9,false)*HLOOKUP($K2265,'Type Chart'!$C$2:$U$20,9,false)</f>
        <v>2</v>
      </c>
      <c r="AC2265" s="960">
        <f t="array" ref="AC2265">HLOOKUP($J2265,'Type Chart'!$C$2:$T$20,10,false)*HLOOKUP($K2265,'Type Chart'!$C$2:$U$20,10,false)</f>
        <v>1</v>
      </c>
      <c r="AD2265" s="960">
        <f t="array" ref="AD2265">HLOOKUP($J2265,'Type Chart'!$C$2:$T$20,11,false)*HLOOKUP($K2265,'Type Chart'!$C$2:$U$20,11,false)</f>
        <v>1</v>
      </c>
      <c r="AE2265" s="960">
        <f t="array" ref="AE2265">HLOOKUP($J2265,'Type Chart'!$C$2:$T$20,12,false)*HLOOKUP($K2265,'Type Chart'!$C$2:$U$20,12,false)</f>
        <v>1</v>
      </c>
      <c r="AF2265" s="960">
        <f t="array" ref="AF2265">HLOOKUP($J2265,'Type Chart'!$C$2:$T$20,13,false)*HLOOKUP($K2265,'Type Chart'!$C$2:$U$20,13,false)</f>
        <v>1</v>
      </c>
      <c r="AG2265" s="960">
        <f t="array" ref="AG2265">HLOOKUP($J2265,'Type Chart'!$C$2:$T$20,14,false)*HLOOKUP($K2265,'Type Chart'!$C$2:$U$20,14,false)</f>
        <v>1</v>
      </c>
      <c r="AH2265" s="960">
        <f t="array" ref="AH2265">HLOOKUP($J2265,'Type Chart'!$C$2:$T$20,15,false)*HLOOKUP($K2265,'Type Chart'!$C$2:$U$20,15,false)</f>
        <v>0.5</v>
      </c>
      <c r="AI2265" s="960">
        <f t="array" ref="AI2265">HLOOKUP($J2265,'Type Chart'!$C$2:$T$20,16,false)*HLOOKUP($K2265,'Type Chart'!$C$2:$U$20,16,false)</f>
        <v>1</v>
      </c>
      <c r="AJ2265" s="960">
        <f t="array" ref="AJ2265">HLOOKUP($J2265,'Type Chart'!$C$2:$T$20,17,false)*HLOOKUP($K2265,'Type Chart'!$C$2:$U$20,17,false)</f>
        <v>1</v>
      </c>
      <c r="AK2265" s="960">
        <f t="array" ref="AK2265">HLOOKUP($J2265,'Type Chart'!$C$2:$T$20,18,false)*HLOOKUP($K2265,'Type Chart'!$C$2:$U$20,18,false)</f>
        <v>2</v>
      </c>
      <c r="AL2265" s="960">
        <f t="array" ref="AL2265">HLOOKUP($J2265,'Type Chart'!$C$2:$T$20,19,false)*HLOOKUP($K2265,'Type Chart'!$C$2:$U$20,19,false)</f>
        <v>1</v>
      </c>
      <c r="AM2265" s="1145" t="s">
        <v>1331</v>
      </c>
      <c r="AN2265" s="965"/>
      <c r="AO2265" s="1146"/>
      <c r="AP2265" s="936"/>
      <c r="AQ2265" s="1245"/>
      <c r="AR2265" s="1245"/>
      <c r="AS2265" s="936"/>
    </row>
    <row r="2266" ht="15.75" customHeight="1">
      <c r="A2266" s="1099"/>
      <c r="B2266" s="948" t="s">
        <v>3778</v>
      </c>
      <c r="C2266" s="1197" t="s">
        <v>3779</v>
      </c>
      <c r="D2266" s="1197" t="s">
        <v>3779</v>
      </c>
      <c r="E2266" s="1147" t="s">
        <v>3779</v>
      </c>
      <c r="F2266" s="940"/>
      <c r="G2266" s="953"/>
      <c r="H2266" s="969"/>
      <c r="I2266" s="998" t="s">
        <v>5363</v>
      </c>
      <c r="J2266" s="1203" t="s">
        <v>344</v>
      </c>
      <c r="K2266" s="1206" t="s">
        <v>82</v>
      </c>
      <c r="L2266" s="959">
        <v>137.0</v>
      </c>
      <c r="M2266" s="960">
        <v>137.0</v>
      </c>
      <c r="N2266" s="960">
        <v>107.0</v>
      </c>
      <c r="O2266" s="960">
        <v>113.0</v>
      </c>
      <c r="P2266" s="960">
        <v>89.0</v>
      </c>
      <c r="Q2266" s="960">
        <v>97.0</v>
      </c>
      <c r="R2266" s="960">
        <v>230.0</v>
      </c>
      <c r="S2266" s="960">
        <v>293.0</v>
      </c>
      <c r="T2266" s="960">
        <v>322.0</v>
      </c>
      <c r="U2266" s="960">
        <f t="array" ref="U2266">HLOOKUP($J2266,'Type Chart'!$C$2:$T$20,2,false)*HLOOKUP($K2266,'Type Chart'!$C$2:$U$20,2,false)</f>
        <v>0.5</v>
      </c>
      <c r="V2266" s="960">
        <f t="array" ref="V2266">HLOOKUP($J2266,'Type Chart'!$C$2:$T$20,3,false)*HLOOKUP($K2266,'Type Chart'!$C$2:$U$20,3,false)</f>
        <v>1</v>
      </c>
      <c r="W2266" s="960">
        <f t="array" ref="W2266">HLOOKUP($J2266,'Type Chart'!$C$2:$T$20,4,false)*HLOOKUP($K2266,'Type Chart'!$C$2:$U$20,4,false)</f>
        <v>0.5</v>
      </c>
      <c r="X2266" s="960">
        <f t="array" ref="X2266">HLOOKUP($J2266,'Type Chart'!$C$2:$T$20,5,false)*HLOOKUP($K2266,'Type Chart'!$C$2:$U$20,5,false)</f>
        <v>0</v>
      </c>
      <c r="Y2266" s="960">
        <f t="array" ref="Y2266">HLOOKUP($J2266,'Type Chart'!$C$2:$T$20,6,false)*HLOOKUP($K2266,'Type Chart'!$C$2:$U$20,6,false)</f>
        <v>2</v>
      </c>
      <c r="Z2266" s="960">
        <f t="array" ref="Z2266">HLOOKUP($J2266,'Type Chart'!$C$2:$T$20,7,false)*HLOOKUP($K2266,'Type Chart'!$C$2:$U$20,7,false)</f>
        <v>0.5</v>
      </c>
      <c r="AA2266" s="960">
        <f t="array" ref="AA2266">HLOOKUP($J2266,'Type Chart'!$C$2:$T$20,8,false)*HLOOKUP($K2266,'Type Chart'!$C$2:$U$20,8,false)</f>
        <v>1</v>
      </c>
      <c r="AB2266" s="960">
        <f t="array" ref="AB2266">HLOOKUP($J2266,'Type Chart'!$C$2:$T$20,9,false)*HLOOKUP($K2266,'Type Chart'!$C$2:$U$20,9,false)</f>
        <v>2</v>
      </c>
      <c r="AC2266" s="960">
        <f t="array" ref="AC2266">HLOOKUP($J2266,'Type Chart'!$C$2:$T$20,10,false)*HLOOKUP($K2266,'Type Chart'!$C$2:$U$20,10,false)</f>
        <v>0.5</v>
      </c>
      <c r="AD2266" s="960">
        <f t="array" ref="AD2266">HLOOKUP($J2266,'Type Chart'!$C$2:$T$20,11,false)*HLOOKUP($K2266,'Type Chart'!$C$2:$U$20,11,false)</f>
        <v>2</v>
      </c>
      <c r="AE2266" s="960">
        <f t="array" ref="AE2266">HLOOKUP($J2266,'Type Chart'!$C$2:$T$20,12,false)*HLOOKUP($K2266,'Type Chart'!$C$2:$U$20,12,false)</f>
        <v>1</v>
      </c>
      <c r="AF2266" s="960">
        <f t="array" ref="AF2266">HLOOKUP($J2266,'Type Chart'!$C$2:$T$20,13,false)*HLOOKUP($K2266,'Type Chart'!$C$2:$U$20,13,false)</f>
        <v>0.5</v>
      </c>
      <c r="AG2266" s="960">
        <f t="array" ref="AG2266">HLOOKUP($J2266,'Type Chart'!$C$2:$T$20,14,false)*HLOOKUP($K2266,'Type Chart'!$C$2:$U$20,14,false)</f>
        <v>1</v>
      </c>
      <c r="AH2266" s="960">
        <f t="array" ref="AH2266">HLOOKUP($J2266,'Type Chart'!$C$2:$T$20,15,false)*HLOOKUP($K2266,'Type Chart'!$C$2:$U$20,15,false)</f>
        <v>0.25</v>
      </c>
      <c r="AI2266" s="960">
        <f t="array" ref="AI2266">HLOOKUP($J2266,'Type Chart'!$C$2:$T$20,16,false)*HLOOKUP($K2266,'Type Chart'!$C$2:$U$20,16,false)</f>
        <v>0.5</v>
      </c>
      <c r="AJ2266" s="960">
        <f t="array" ref="AJ2266">HLOOKUP($J2266,'Type Chart'!$C$2:$T$20,17,false)*HLOOKUP($K2266,'Type Chart'!$C$2:$U$20,17,false)</f>
        <v>0.5</v>
      </c>
      <c r="AK2266" s="960">
        <f t="array" ref="AK2266">HLOOKUP($J2266,'Type Chart'!$C$2:$T$20,18,false)*HLOOKUP($K2266,'Type Chart'!$C$2:$U$20,18,false)</f>
        <v>2</v>
      </c>
      <c r="AL2266" s="960">
        <f t="array" ref="AL2266">HLOOKUP($J2266,'Type Chart'!$C$2:$T$20,19,false)*HLOOKUP($K2266,'Type Chart'!$C$2:$U$20,19,false)</f>
        <v>0.5</v>
      </c>
      <c r="AM2266" s="1145" t="s">
        <v>3780</v>
      </c>
      <c r="AN2266" s="965"/>
      <c r="AO2266" s="1146"/>
      <c r="AP2266" s="936"/>
      <c r="AQ2266" s="1245"/>
      <c r="AR2266" s="1245"/>
      <c r="AS2266" s="936"/>
    </row>
    <row r="2267" ht="15.75" customHeight="1">
      <c r="A2267" s="1099"/>
      <c r="B2267" s="948" t="s">
        <v>3781</v>
      </c>
      <c r="C2267" s="1197" t="s">
        <v>3782</v>
      </c>
      <c r="D2267" s="1197" t="s">
        <v>3782</v>
      </c>
      <c r="E2267" s="1147" t="s">
        <v>3782</v>
      </c>
      <c r="F2267" s="940"/>
      <c r="G2267" s="953"/>
      <c r="H2267" s="969"/>
      <c r="I2267" s="998" t="s">
        <v>5364</v>
      </c>
      <c r="J2267" s="1203" t="s">
        <v>344</v>
      </c>
      <c r="K2267" s="1220" t="s">
        <v>215</v>
      </c>
      <c r="L2267" s="959">
        <v>137.0</v>
      </c>
      <c r="M2267" s="960">
        <v>113.0</v>
      </c>
      <c r="N2267" s="960">
        <v>89.0</v>
      </c>
      <c r="O2267" s="960">
        <v>137.0</v>
      </c>
      <c r="P2267" s="960">
        <v>107.0</v>
      </c>
      <c r="Q2267" s="960">
        <v>97.0</v>
      </c>
      <c r="R2267" s="960">
        <v>230.0</v>
      </c>
      <c r="S2267" s="960">
        <v>293.0</v>
      </c>
      <c r="T2267" s="960">
        <v>322.0</v>
      </c>
      <c r="U2267" s="960">
        <f t="array" ref="U2267">HLOOKUP($J2267,'Type Chart'!$C$2:$T$20,2,false)*HLOOKUP($K2267,'Type Chart'!$C$2:$U$20,2,false)</f>
        <v>0</v>
      </c>
      <c r="V2267" s="960">
        <f t="array" ref="V2267">HLOOKUP($J2267,'Type Chart'!$C$2:$T$20,3,false)*HLOOKUP($K2267,'Type Chart'!$C$2:$U$20,3,false)</f>
        <v>0</v>
      </c>
      <c r="W2267" s="960">
        <f t="array" ref="W2267">HLOOKUP($J2267,'Type Chart'!$C$2:$T$20,4,false)*HLOOKUP($K2267,'Type Chart'!$C$2:$U$20,4,false)</f>
        <v>1</v>
      </c>
      <c r="X2267" s="960">
        <f t="array" ref="X2267">HLOOKUP($J2267,'Type Chart'!$C$2:$T$20,5,false)*HLOOKUP($K2267,'Type Chart'!$C$2:$U$20,5,false)</f>
        <v>0.5</v>
      </c>
      <c r="Y2267" s="960">
        <f t="array" ref="Y2267">HLOOKUP($J2267,'Type Chart'!$C$2:$T$20,6,false)*HLOOKUP($K2267,'Type Chart'!$C$2:$U$20,6,false)</f>
        <v>1</v>
      </c>
      <c r="Z2267" s="960">
        <f t="array" ref="Z2267">HLOOKUP($J2267,'Type Chart'!$C$2:$T$20,7,false)*HLOOKUP($K2267,'Type Chart'!$C$2:$U$20,7,false)</f>
        <v>1</v>
      </c>
      <c r="AA2267" s="960">
        <f t="array" ref="AA2267">HLOOKUP($J2267,'Type Chart'!$C$2:$T$20,8,false)*HLOOKUP($K2267,'Type Chart'!$C$2:$U$20,8,false)</f>
        <v>1</v>
      </c>
      <c r="AB2267" s="960">
        <f t="array" ref="AB2267">HLOOKUP($J2267,'Type Chart'!$C$2:$T$20,9,false)*HLOOKUP($K2267,'Type Chart'!$C$2:$U$20,9,false)</f>
        <v>4</v>
      </c>
      <c r="AC2267" s="960">
        <f t="array" ref="AC2267">HLOOKUP($J2267,'Type Chart'!$C$2:$T$20,10,false)*HLOOKUP($K2267,'Type Chart'!$C$2:$U$20,10,false)</f>
        <v>1</v>
      </c>
      <c r="AD2267" s="960">
        <f t="array" ref="AD2267">HLOOKUP($J2267,'Type Chart'!$C$2:$T$20,11,false)*HLOOKUP($K2267,'Type Chart'!$C$2:$U$20,11,false)</f>
        <v>1</v>
      </c>
      <c r="AE2267" s="960">
        <f t="array" ref="AE2267">HLOOKUP($J2267,'Type Chart'!$C$2:$T$20,12,false)*HLOOKUP($K2267,'Type Chart'!$C$2:$U$20,12,false)</f>
        <v>1</v>
      </c>
      <c r="AF2267" s="960">
        <f t="array" ref="AF2267">HLOOKUP($J2267,'Type Chart'!$C$2:$T$20,13,false)*HLOOKUP($K2267,'Type Chart'!$C$2:$U$20,13,false)</f>
        <v>1</v>
      </c>
      <c r="AG2267" s="960">
        <f t="array" ref="AG2267">HLOOKUP($J2267,'Type Chart'!$C$2:$T$20,14,false)*HLOOKUP($K2267,'Type Chart'!$C$2:$U$20,14,false)</f>
        <v>1</v>
      </c>
      <c r="AH2267" s="960">
        <f t="array" ref="AH2267">HLOOKUP($J2267,'Type Chart'!$C$2:$T$20,15,false)*HLOOKUP($K2267,'Type Chart'!$C$2:$U$20,15,false)</f>
        <v>0.5</v>
      </c>
      <c r="AI2267" s="960">
        <f t="array" ref="AI2267">HLOOKUP($J2267,'Type Chart'!$C$2:$T$20,16,false)*HLOOKUP($K2267,'Type Chart'!$C$2:$U$20,16,false)</f>
        <v>1</v>
      </c>
      <c r="AJ2267" s="960">
        <f t="array" ref="AJ2267">HLOOKUP($J2267,'Type Chart'!$C$2:$T$20,17,false)*HLOOKUP($K2267,'Type Chart'!$C$2:$U$20,17,false)</f>
        <v>1</v>
      </c>
      <c r="AK2267" s="960">
        <f t="array" ref="AK2267">HLOOKUP($J2267,'Type Chart'!$C$2:$T$20,18,false)*HLOOKUP($K2267,'Type Chart'!$C$2:$U$20,18,false)</f>
        <v>4</v>
      </c>
      <c r="AL2267" s="960">
        <f t="array" ref="AL2267">HLOOKUP($J2267,'Type Chart'!$C$2:$T$20,19,false)*HLOOKUP($K2267,'Type Chart'!$C$2:$U$20,19,false)</f>
        <v>1</v>
      </c>
      <c r="AM2267" s="1145" t="s">
        <v>3783</v>
      </c>
      <c r="AN2267" s="1202"/>
      <c r="AO2267" s="1146"/>
      <c r="AP2267" s="936"/>
      <c r="AQ2267" s="1245"/>
      <c r="AR2267" s="1245"/>
      <c r="AS2267" s="936"/>
    </row>
    <row r="2268" ht="15.75" customHeight="1">
      <c r="A2268" s="1099"/>
      <c r="B2268" s="948" t="s">
        <v>3784</v>
      </c>
      <c r="C2268" s="1197" t="s">
        <v>3785</v>
      </c>
      <c r="D2268" s="1197" t="s">
        <v>3785</v>
      </c>
      <c r="E2268" s="1147" t="s">
        <v>3785</v>
      </c>
      <c r="F2268" s="940"/>
      <c r="G2268" s="953"/>
      <c r="H2268" s="969"/>
      <c r="I2268" s="998" t="s">
        <v>5365</v>
      </c>
      <c r="J2268" s="1214" t="s">
        <v>342</v>
      </c>
      <c r="K2268" s="958" t="s">
        <v>178</v>
      </c>
      <c r="L2268" s="959">
        <v>109.0</v>
      </c>
      <c r="M2268" s="960">
        <v>53.0</v>
      </c>
      <c r="N2268" s="960">
        <v>47.0</v>
      </c>
      <c r="O2268" s="960">
        <v>127.0</v>
      </c>
      <c r="P2268" s="960">
        <v>131.0</v>
      </c>
      <c r="Q2268" s="960">
        <v>103.0</v>
      </c>
      <c r="R2268" s="960">
        <v>242.0</v>
      </c>
      <c r="S2268" s="960">
        <v>305.0</v>
      </c>
      <c r="T2268" s="960">
        <v>335.0</v>
      </c>
      <c r="U2268" s="960">
        <f t="array" ref="U2268">HLOOKUP($J2268,'Type Chart'!$C$2:$T$20,2,false)*HLOOKUP($K2268,'Type Chart'!$C$2:$U$20,2,false)</f>
        <v>0.5</v>
      </c>
      <c r="V2268" s="960">
        <f t="array" ref="V2268">HLOOKUP($J2268,'Type Chart'!$C$2:$T$20,3,false)*HLOOKUP($K2268,'Type Chart'!$C$2:$U$20,3,false)</f>
        <v>1</v>
      </c>
      <c r="W2268" s="960">
        <f t="array" ref="W2268">HLOOKUP($J2268,'Type Chart'!$C$2:$T$20,4,false)*HLOOKUP($K2268,'Type Chart'!$C$2:$U$20,4,false)</f>
        <v>0.5</v>
      </c>
      <c r="X2268" s="960">
        <f t="array" ref="X2268">HLOOKUP($J2268,'Type Chart'!$C$2:$T$20,5,false)*HLOOKUP($K2268,'Type Chart'!$C$2:$U$20,5,false)</f>
        <v>0.25</v>
      </c>
      <c r="Y2268" s="960">
        <f t="array" ref="Y2268">HLOOKUP($J2268,'Type Chart'!$C$2:$T$20,6,false)*HLOOKUP($K2268,'Type Chart'!$C$2:$U$20,6,false)</f>
        <v>4</v>
      </c>
      <c r="Z2268" s="960">
        <f t="array" ref="Z2268">HLOOKUP($J2268,'Type Chart'!$C$2:$T$20,7,false)*HLOOKUP($K2268,'Type Chart'!$C$2:$U$20,7,false)</f>
        <v>1</v>
      </c>
      <c r="AA2268" s="960">
        <f t="array" ref="AA2268">HLOOKUP($J2268,'Type Chart'!$C$2:$T$20,8,false)*HLOOKUP($K2268,'Type Chart'!$C$2:$U$20,8,false)</f>
        <v>0.5</v>
      </c>
      <c r="AB2268" s="960">
        <f t="array" ref="AB2268">HLOOKUP($J2268,'Type Chart'!$C$2:$T$20,9,false)*HLOOKUP($K2268,'Type Chart'!$C$2:$U$20,9,false)</f>
        <v>1</v>
      </c>
      <c r="AC2268" s="960">
        <f t="array" ref="AC2268">HLOOKUP($J2268,'Type Chart'!$C$2:$T$20,10,false)*HLOOKUP($K2268,'Type Chart'!$C$2:$U$20,10,false)</f>
        <v>2</v>
      </c>
      <c r="AD2268" s="960">
        <f t="array" ref="AD2268">HLOOKUP($J2268,'Type Chart'!$C$2:$T$20,11,false)*HLOOKUP($K2268,'Type Chart'!$C$2:$U$20,11,false)</f>
        <v>0.5</v>
      </c>
      <c r="AE2268" s="960">
        <f t="array" ref="AE2268">HLOOKUP($J2268,'Type Chart'!$C$2:$T$20,12,false)*HLOOKUP($K2268,'Type Chart'!$C$2:$U$20,12,false)</f>
        <v>2</v>
      </c>
      <c r="AF2268" s="960">
        <f t="array" ref="AF2268">HLOOKUP($J2268,'Type Chart'!$C$2:$T$20,13,false)*HLOOKUP($K2268,'Type Chart'!$C$2:$U$20,13,false)</f>
        <v>1</v>
      </c>
      <c r="AG2268" s="960">
        <f t="array" ref="AG2268">HLOOKUP($J2268,'Type Chart'!$C$2:$T$20,14,false)*HLOOKUP($K2268,'Type Chart'!$C$2:$U$20,14,false)</f>
        <v>1</v>
      </c>
      <c r="AH2268" s="960">
        <f t="array" ref="AH2268">HLOOKUP($J2268,'Type Chart'!$C$2:$T$20,15,false)*HLOOKUP($K2268,'Type Chart'!$C$2:$U$20,15,false)</f>
        <v>2</v>
      </c>
      <c r="AI2268" s="960">
        <f t="array" ref="AI2268">HLOOKUP($J2268,'Type Chart'!$C$2:$T$20,16,false)*HLOOKUP($K2268,'Type Chart'!$C$2:$U$20,16,false)</f>
        <v>1</v>
      </c>
      <c r="AJ2268" s="960">
        <f t="array" ref="AJ2268">HLOOKUP($J2268,'Type Chart'!$C$2:$T$20,17,false)*HLOOKUP($K2268,'Type Chart'!$C$2:$U$20,17,false)</f>
        <v>1</v>
      </c>
      <c r="AK2268" s="960">
        <f t="array" ref="AK2268">HLOOKUP($J2268,'Type Chart'!$C$2:$T$20,18,false)*HLOOKUP($K2268,'Type Chart'!$C$2:$U$20,18,false)</f>
        <v>1</v>
      </c>
      <c r="AL2268" s="960">
        <f t="array" ref="AL2268">HLOOKUP($J2268,'Type Chart'!$C$2:$T$20,19,false)*HLOOKUP($K2268,'Type Chart'!$C$2:$U$20,19,false)</f>
        <v>0.5</v>
      </c>
      <c r="AM2268" s="964" t="s">
        <v>3787</v>
      </c>
      <c r="AN2268" s="965"/>
      <c r="AO2268" s="966"/>
      <c r="AP2268" s="936"/>
      <c r="AQ2268" s="1245"/>
      <c r="AR2268" s="1245"/>
      <c r="AS2268" s="936"/>
    </row>
    <row r="2269" ht="15.75" customHeight="1">
      <c r="A2269" s="1099"/>
      <c r="B2269" s="948" t="s">
        <v>3788</v>
      </c>
      <c r="C2269" s="1197" t="s">
        <v>3789</v>
      </c>
      <c r="D2269" s="1197" t="s">
        <v>3789</v>
      </c>
      <c r="E2269" s="1147" t="s">
        <v>3789</v>
      </c>
      <c r="F2269" s="940"/>
      <c r="G2269" s="953"/>
      <c r="H2269" s="969"/>
      <c r="I2269" s="998" t="s">
        <v>5366</v>
      </c>
      <c r="J2269" s="1225" t="s">
        <v>343</v>
      </c>
      <c r="K2269" s="1212" t="s">
        <v>341</v>
      </c>
      <c r="L2269" s="1200">
        <v>107.0</v>
      </c>
      <c r="M2269" s="1201">
        <v>139.0</v>
      </c>
      <c r="N2269" s="1201">
        <v>139.0</v>
      </c>
      <c r="O2269" s="1201">
        <v>53.0</v>
      </c>
      <c r="P2269" s="1201">
        <v>53.0</v>
      </c>
      <c r="Q2269" s="1201">
        <v>79.0</v>
      </c>
      <c r="R2269" s="960">
        <v>194.0</v>
      </c>
      <c r="S2269" s="960">
        <v>257.0</v>
      </c>
      <c r="T2269" s="960">
        <v>282.0</v>
      </c>
      <c r="U2269" s="960">
        <f t="array" ref="U2269">HLOOKUP($J2269,'Type Chart'!$C$2:$T$20,2,false)*HLOOKUP($K2269,'Type Chart'!$C$2:$U$20,2,false)</f>
        <v>1</v>
      </c>
      <c r="V2269" s="960">
        <f t="array" ref="V2269">HLOOKUP($J2269,'Type Chart'!$C$2:$T$20,3,false)*HLOOKUP($K2269,'Type Chart'!$C$2:$U$20,3,false)</f>
        <v>0.5</v>
      </c>
      <c r="W2269" s="960">
        <f t="array" ref="W2269">HLOOKUP($J2269,'Type Chart'!$C$2:$T$20,4,false)*HLOOKUP($K2269,'Type Chart'!$C$2:$U$20,4,false)</f>
        <v>4</v>
      </c>
      <c r="X2269" s="960">
        <f t="array" ref="X2269">HLOOKUP($J2269,'Type Chart'!$C$2:$T$20,5,false)*HLOOKUP($K2269,'Type Chart'!$C$2:$U$20,5,false)</f>
        <v>1</v>
      </c>
      <c r="Y2269" s="960">
        <f t="array" ref="Y2269">HLOOKUP($J2269,'Type Chart'!$C$2:$T$20,6,false)*HLOOKUP($K2269,'Type Chart'!$C$2:$U$20,6,false)</f>
        <v>0.5</v>
      </c>
      <c r="Z2269" s="960">
        <f t="array" ref="Z2269">HLOOKUP($J2269,'Type Chart'!$C$2:$T$20,7,false)*HLOOKUP($K2269,'Type Chart'!$C$2:$U$20,7,false)</f>
        <v>1</v>
      </c>
      <c r="AA2269" s="960">
        <f t="array" ref="AA2269">HLOOKUP($J2269,'Type Chart'!$C$2:$T$20,8,false)*HLOOKUP($K2269,'Type Chart'!$C$2:$U$20,8,false)</f>
        <v>0.5</v>
      </c>
      <c r="AB2269" s="960">
        <f t="array" ref="AB2269">HLOOKUP($J2269,'Type Chart'!$C$2:$T$20,9,false)*HLOOKUP($K2269,'Type Chart'!$C$2:$U$20,9,false)</f>
        <v>1</v>
      </c>
      <c r="AC2269" s="960">
        <f t="array" ref="AC2269">HLOOKUP($J2269,'Type Chart'!$C$2:$T$20,10,false)*HLOOKUP($K2269,'Type Chart'!$C$2:$U$20,10,false)</f>
        <v>1</v>
      </c>
      <c r="AD2269" s="960">
        <f t="array" ref="AD2269">HLOOKUP($J2269,'Type Chart'!$C$2:$T$20,11,false)*HLOOKUP($K2269,'Type Chart'!$C$2:$U$20,11,false)</f>
        <v>2</v>
      </c>
      <c r="AE2269" s="960">
        <f t="array" ref="AE2269">HLOOKUP($J2269,'Type Chart'!$C$2:$T$20,12,false)*HLOOKUP($K2269,'Type Chart'!$C$2:$U$20,12,false)</f>
        <v>1</v>
      </c>
      <c r="AF2269" s="960">
        <f t="array" ref="AF2269">HLOOKUP($J2269,'Type Chart'!$C$2:$T$20,13,false)*HLOOKUP($K2269,'Type Chart'!$C$2:$U$20,13,false)</f>
        <v>0.5</v>
      </c>
      <c r="AG2269" s="960">
        <f t="array" ref="AG2269">HLOOKUP($J2269,'Type Chart'!$C$2:$T$20,14,false)*HLOOKUP($K2269,'Type Chart'!$C$2:$U$20,14,false)</f>
        <v>1</v>
      </c>
      <c r="AH2269" s="960">
        <f t="array" ref="AH2269">HLOOKUP($J2269,'Type Chart'!$C$2:$T$20,15,false)*HLOOKUP($K2269,'Type Chart'!$C$2:$U$20,15,false)</f>
        <v>2</v>
      </c>
      <c r="AI2269" s="960">
        <f t="array" ref="AI2269">HLOOKUP($J2269,'Type Chart'!$C$2:$T$20,16,false)*HLOOKUP($K2269,'Type Chart'!$C$2:$U$20,16,false)</f>
        <v>1</v>
      </c>
      <c r="AJ2269" s="960">
        <f t="array" ref="AJ2269">HLOOKUP($J2269,'Type Chart'!$C$2:$T$20,17,false)*HLOOKUP($K2269,'Type Chart'!$C$2:$U$20,17,false)</f>
        <v>1</v>
      </c>
      <c r="AK2269" s="960">
        <f t="array" ref="AK2269">HLOOKUP($J2269,'Type Chart'!$C$2:$T$20,18,false)*HLOOKUP($K2269,'Type Chart'!$C$2:$U$20,18,false)</f>
        <v>0.5</v>
      </c>
      <c r="AL2269" s="960">
        <f t="array" ref="AL2269">HLOOKUP($J2269,'Type Chart'!$C$2:$T$20,19,false)*HLOOKUP($K2269,'Type Chart'!$C$2:$U$20,19,false)</f>
        <v>2</v>
      </c>
      <c r="AM2269" s="1145" t="s">
        <v>3787</v>
      </c>
      <c r="AN2269" s="965"/>
      <c r="AO2269" s="1146"/>
      <c r="AP2269" s="936"/>
      <c r="AQ2269" s="1245"/>
      <c r="AR2269" s="1245"/>
      <c r="AS2269" s="936"/>
    </row>
    <row r="2270" ht="15.75" customHeight="1">
      <c r="A2270" s="1099"/>
      <c r="B2270" s="948" t="s">
        <v>3791</v>
      </c>
      <c r="C2270" s="1197" t="s">
        <v>3792</v>
      </c>
      <c r="D2270" s="1197" t="s">
        <v>3792</v>
      </c>
      <c r="E2270" s="1147" t="s">
        <v>3792</v>
      </c>
      <c r="F2270" s="940"/>
      <c r="G2270" s="953"/>
      <c r="H2270" s="969"/>
      <c r="I2270" s="998" t="s">
        <v>5367</v>
      </c>
      <c r="J2270" s="1180" t="s">
        <v>343</v>
      </c>
      <c r="K2270" s="1213" t="s">
        <v>341</v>
      </c>
      <c r="L2270" s="959">
        <v>71.0</v>
      </c>
      <c r="M2270" s="960">
        <v>137.0</v>
      </c>
      <c r="N2270" s="960">
        <v>37.0</v>
      </c>
      <c r="O2270" s="960">
        <v>137.0</v>
      </c>
      <c r="P2270" s="960">
        <v>37.0</v>
      </c>
      <c r="Q2270" s="960">
        <v>151.0</v>
      </c>
      <c r="R2270" s="960">
        <v>338.0</v>
      </c>
      <c r="S2270" s="960">
        <v>401.0</v>
      </c>
      <c r="T2270" s="960">
        <v>441.0</v>
      </c>
      <c r="U2270" s="960">
        <f t="array" ref="U2270">HLOOKUP($J2270,'Type Chart'!$C$2:$T$20,2,false)*HLOOKUP($K2270,'Type Chart'!$C$2:$U$20,2,false)</f>
        <v>1</v>
      </c>
      <c r="V2270" s="960">
        <f t="array" ref="V2270">HLOOKUP($J2270,'Type Chart'!$C$2:$T$20,3,false)*HLOOKUP($K2270,'Type Chart'!$C$2:$U$20,3,false)</f>
        <v>0.5</v>
      </c>
      <c r="W2270" s="960">
        <f t="array" ref="W2270">HLOOKUP($J2270,'Type Chart'!$C$2:$T$20,4,false)*HLOOKUP($K2270,'Type Chart'!$C$2:$U$20,4,false)</f>
        <v>4</v>
      </c>
      <c r="X2270" s="960">
        <f t="array" ref="X2270">HLOOKUP($J2270,'Type Chart'!$C$2:$T$20,5,false)*HLOOKUP($K2270,'Type Chart'!$C$2:$U$20,5,false)</f>
        <v>1</v>
      </c>
      <c r="Y2270" s="960">
        <f t="array" ref="Y2270">HLOOKUP($J2270,'Type Chart'!$C$2:$T$20,6,false)*HLOOKUP($K2270,'Type Chart'!$C$2:$U$20,6,false)</f>
        <v>0.5</v>
      </c>
      <c r="Z2270" s="960">
        <f t="array" ref="Z2270">HLOOKUP($J2270,'Type Chart'!$C$2:$T$20,7,false)*HLOOKUP($K2270,'Type Chart'!$C$2:$U$20,7,false)</f>
        <v>1</v>
      </c>
      <c r="AA2270" s="960">
        <f t="array" ref="AA2270">HLOOKUP($J2270,'Type Chart'!$C$2:$T$20,8,false)*HLOOKUP($K2270,'Type Chart'!$C$2:$U$20,8,false)</f>
        <v>0.5</v>
      </c>
      <c r="AB2270" s="960">
        <f t="array" ref="AB2270">HLOOKUP($J2270,'Type Chart'!$C$2:$T$20,9,false)*HLOOKUP($K2270,'Type Chart'!$C$2:$U$20,9,false)</f>
        <v>1</v>
      </c>
      <c r="AC2270" s="960">
        <f t="array" ref="AC2270">HLOOKUP($J2270,'Type Chart'!$C$2:$T$20,10,false)*HLOOKUP($K2270,'Type Chart'!$C$2:$U$20,10,false)</f>
        <v>1</v>
      </c>
      <c r="AD2270" s="960">
        <f t="array" ref="AD2270">HLOOKUP($J2270,'Type Chart'!$C$2:$T$20,11,false)*HLOOKUP($K2270,'Type Chart'!$C$2:$U$20,11,false)</f>
        <v>2</v>
      </c>
      <c r="AE2270" s="960">
        <f t="array" ref="AE2270">HLOOKUP($J2270,'Type Chart'!$C$2:$T$20,12,false)*HLOOKUP($K2270,'Type Chart'!$C$2:$U$20,12,false)</f>
        <v>1</v>
      </c>
      <c r="AF2270" s="960">
        <f t="array" ref="AF2270">HLOOKUP($J2270,'Type Chart'!$C$2:$T$20,13,false)*HLOOKUP($K2270,'Type Chart'!$C$2:$U$20,13,false)</f>
        <v>0.5</v>
      </c>
      <c r="AG2270" s="960">
        <f t="array" ref="AG2270">HLOOKUP($J2270,'Type Chart'!$C$2:$T$20,14,false)*HLOOKUP($K2270,'Type Chart'!$C$2:$U$20,14,false)</f>
        <v>1</v>
      </c>
      <c r="AH2270" s="960">
        <f t="array" ref="AH2270">HLOOKUP($J2270,'Type Chart'!$C$2:$T$20,15,false)*HLOOKUP($K2270,'Type Chart'!$C$2:$U$20,15,false)</f>
        <v>2</v>
      </c>
      <c r="AI2270" s="960">
        <f t="array" ref="AI2270">HLOOKUP($J2270,'Type Chart'!$C$2:$T$20,16,false)*HLOOKUP($K2270,'Type Chart'!$C$2:$U$20,16,false)</f>
        <v>1</v>
      </c>
      <c r="AJ2270" s="960">
        <f t="array" ref="AJ2270">HLOOKUP($J2270,'Type Chart'!$C$2:$T$20,17,false)*HLOOKUP($K2270,'Type Chart'!$C$2:$U$20,17,false)</f>
        <v>1</v>
      </c>
      <c r="AK2270" s="960">
        <f t="array" ref="AK2270">HLOOKUP($J2270,'Type Chart'!$C$2:$T$20,18,false)*HLOOKUP($K2270,'Type Chart'!$C$2:$U$20,18,false)</f>
        <v>0.5</v>
      </c>
      <c r="AL2270" s="960">
        <f t="array" ref="AL2270">HLOOKUP($J2270,'Type Chart'!$C$2:$T$20,19,false)*HLOOKUP($K2270,'Type Chart'!$C$2:$U$20,19,false)</f>
        <v>2</v>
      </c>
      <c r="AM2270" s="964" t="s">
        <v>3787</v>
      </c>
      <c r="AN2270" s="965"/>
      <c r="AO2270" s="966"/>
      <c r="AP2270" s="936"/>
      <c r="AQ2270" s="1245"/>
      <c r="AR2270" s="1245"/>
      <c r="AS2270" s="936"/>
    </row>
    <row r="2271" ht="15.75" customHeight="1">
      <c r="A2271" s="1099"/>
      <c r="B2271" s="948" t="s">
        <v>3794</v>
      </c>
      <c r="C2271" s="1197" t="s">
        <v>3795</v>
      </c>
      <c r="D2271" s="1197" t="s">
        <v>3795</v>
      </c>
      <c r="E2271" s="1147" t="s">
        <v>3795</v>
      </c>
      <c r="F2271" s="940"/>
      <c r="G2271" s="953"/>
      <c r="H2271" s="969"/>
      <c r="I2271" s="998" t="s">
        <v>5368</v>
      </c>
      <c r="J2271" s="1196" t="s">
        <v>203</v>
      </c>
      <c r="K2271" s="984" t="s">
        <v>216</v>
      </c>
      <c r="L2271" s="959">
        <v>83.0</v>
      </c>
      <c r="M2271" s="960">
        <v>89.0</v>
      </c>
      <c r="N2271" s="960">
        <v>71.0</v>
      </c>
      <c r="O2271" s="960">
        <v>173.0</v>
      </c>
      <c r="P2271" s="960">
        <v>71.0</v>
      </c>
      <c r="Q2271" s="960">
        <v>83.0</v>
      </c>
      <c r="R2271" s="960">
        <v>202.0</v>
      </c>
      <c r="S2271" s="960">
        <v>265.0</v>
      </c>
      <c r="T2271" s="960">
        <v>291.0</v>
      </c>
      <c r="U2271" s="960">
        <f t="array" ref="U2271">HLOOKUP($J2271,'Type Chart'!$C$2:$T$20,2,false)*HLOOKUP($K2271,'Type Chart'!$C$2:$U$20,2,false)</f>
        <v>1</v>
      </c>
      <c r="V2271" s="960">
        <f t="array" ref="V2271">HLOOKUP($J2271,'Type Chart'!$C$2:$T$20,3,false)*HLOOKUP($K2271,'Type Chart'!$C$2:$U$20,3,false)</f>
        <v>1</v>
      </c>
      <c r="W2271" s="960">
        <f t="array" ref="W2271">HLOOKUP($J2271,'Type Chart'!$C$2:$T$20,4,false)*HLOOKUP($K2271,'Type Chart'!$C$2:$U$20,4,false)</f>
        <v>0.5</v>
      </c>
      <c r="X2271" s="960">
        <f t="array" ref="X2271">HLOOKUP($J2271,'Type Chart'!$C$2:$T$20,5,false)*HLOOKUP($K2271,'Type Chart'!$C$2:$U$20,5,false)</f>
        <v>1</v>
      </c>
      <c r="Y2271" s="960">
        <f t="array" ref="Y2271">HLOOKUP($J2271,'Type Chart'!$C$2:$T$20,6,false)*HLOOKUP($K2271,'Type Chart'!$C$2:$U$20,6,false)</f>
        <v>2</v>
      </c>
      <c r="Z2271" s="960">
        <f t="array" ref="Z2271">HLOOKUP($J2271,'Type Chart'!$C$2:$T$20,7,false)*HLOOKUP($K2271,'Type Chart'!$C$2:$U$20,7,false)</f>
        <v>1</v>
      </c>
      <c r="AA2271" s="960">
        <f t="array" ref="AA2271">HLOOKUP($J2271,'Type Chart'!$C$2:$T$20,8,false)*HLOOKUP($K2271,'Type Chart'!$C$2:$U$20,8,false)</f>
        <v>1</v>
      </c>
      <c r="AB2271" s="960">
        <f t="array" ref="AB2271">HLOOKUP($J2271,'Type Chart'!$C$2:$T$20,9,false)*HLOOKUP($K2271,'Type Chart'!$C$2:$U$20,9,false)</f>
        <v>1</v>
      </c>
      <c r="AC2271" s="960">
        <f t="array" ref="AC2271">HLOOKUP($J2271,'Type Chart'!$C$2:$T$20,10,false)*HLOOKUP($K2271,'Type Chart'!$C$2:$U$20,10,false)</f>
        <v>0.5</v>
      </c>
      <c r="AD2271" s="960">
        <f t="array" ref="AD2271">HLOOKUP($J2271,'Type Chart'!$C$2:$T$20,11,false)*HLOOKUP($K2271,'Type Chart'!$C$2:$U$20,11,false)</f>
        <v>1</v>
      </c>
      <c r="AE2271" s="960">
        <f t="array" ref="AE2271">HLOOKUP($J2271,'Type Chart'!$C$2:$T$20,12,false)*HLOOKUP($K2271,'Type Chart'!$C$2:$U$20,12,false)</f>
        <v>1</v>
      </c>
      <c r="AF2271" s="960">
        <f t="array" ref="AF2271">HLOOKUP($J2271,'Type Chart'!$C$2:$T$20,13,false)*HLOOKUP($K2271,'Type Chart'!$C$2:$U$20,13,false)</f>
        <v>1</v>
      </c>
      <c r="AG2271" s="960">
        <f t="array" ref="AG2271">HLOOKUP($J2271,'Type Chart'!$C$2:$T$20,14,false)*HLOOKUP($K2271,'Type Chart'!$C$2:$U$20,14,false)</f>
        <v>0.5</v>
      </c>
      <c r="AH2271" s="960">
        <f t="array" ref="AH2271">HLOOKUP($J2271,'Type Chart'!$C$2:$T$20,15,false)*HLOOKUP($K2271,'Type Chart'!$C$2:$U$20,15,false)</f>
        <v>1</v>
      </c>
      <c r="AI2271" s="960">
        <f t="array" ref="AI2271">HLOOKUP($J2271,'Type Chart'!$C$2:$T$20,16,false)*HLOOKUP($K2271,'Type Chart'!$C$2:$U$20,16,false)</f>
        <v>1</v>
      </c>
      <c r="AJ2271" s="960">
        <f t="array" ref="AJ2271">HLOOKUP($J2271,'Type Chart'!$C$2:$T$20,17,false)*HLOOKUP($K2271,'Type Chart'!$C$2:$U$20,17,false)</f>
        <v>1</v>
      </c>
      <c r="AK2271" s="960">
        <f t="array" ref="AK2271">HLOOKUP($J2271,'Type Chart'!$C$2:$T$20,18,false)*HLOOKUP($K2271,'Type Chart'!$C$2:$U$20,18,false)</f>
        <v>1</v>
      </c>
      <c r="AL2271" s="960">
        <f t="array" ref="AL2271">HLOOKUP($J2271,'Type Chart'!$C$2:$T$20,19,false)*HLOOKUP($K2271,'Type Chart'!$C$2:$U$20,19,false)</f>
        <v>1</v>
      </c>
      <c r="AM2271" s="964" t="s">
        <v>3787</v>
      </c>
      <c r="AN2271" s="965"/>
      <c r="AO2271" s="966"/>
      <c r="AP2271" s="936"/>
      <c r="AQ2271" s="1245"/>
      <c r="AR2271" s="1245"/>
      <c r="AS2271" s="936"/>
    </row>
    <row r="2272" ht="15.75" customHeight="1">
      <c r="A2272" s="1099"/>
      <c r="B2272" s="948" t="s">
        <v>3797</v>
      </c>
      <c r="C2272" s="1197" t="s">
        <v>3798</v>
      </c>
      <c r="D2272" s="1197" t="s">
        <v>3798</v>
      </c>
      <c r="E2272" s="1147" t="s">
        <v>3798</v>
      </c>
      <c r="F2272" s="940"/>
      <c r="G2272" s="953"/>
      <c r="H2272" s="969"/>
      <c r="I2272" s="998" t="s">
        <v>5369</v>
      </c>
      <c r="J2272" s="1206" t="s">
        <v>82</v>
      </c>
      <c r="K2272" s="1001" t="s">
        <v>128</v>
      </c>
      <c r="L2272" s="959">
        <v>97.0</v>
      </c>
      <c r="M2272" s="960">
        <v>101.0</v>
      </c>
      <c r="N2272" s="960">
        <v>103.0</v>
      </c>
      <c r="O2272" s="960">
        <v>107.0</v>
      </c>
      <c r="P2272" s="960">
        <v>101.0</v>
      </c>
      <c r="Q2272" s="960">
        <v>61.0</v>
      </c>
      <c r="R2272" s="960">
        <v>158.0</v>
      </c>
      <c r="S2272" s="960">
        <v>221.0</v>
      </c>
      <c r="T2272" s="960">
        <v>243.0</v>
      </c>
      <c r="U2272" s="960">
        <f t="array" ref="U2272">HLOOKUP($J2272,'Type Chart'!$C$2:$T$20,2,false)*HLOOKUP($K2272,'Type Chart'!$C$2:$U$20,2,false)</f>
        <v>0.5</v>
      </c>
      <c r="V2272" s="960">
        <f t="array" ref="V2272">HLOOKUP($J2272,'Type Chart'!$C$2:$T$20,3,false)*HLOOKUP($K2272,'Type Chart'!$C$2:$U$20,3,false)</f>
        <v>1</v>
      </c>
      <c r="W2272" s="960">
        <f t="array" ref="W2272">HLOOKUP($J2272,'Type Chart'!$C$2:$T$20,4,false)*HLOOKUP($K2272,'Type Chart'!$C$2:$U$20,4,false)</f>
        <v>0.5</v>
      </c>
      <c r="X2272" s="960">
        <f t="array" ref="X2272">HLOOKUP($J2272,'Type Chart'!$C$2:$T$20,5,false)*HLOOKUP($K2272,'Type Chart'!$C$2:$U$20,5,false)</f>
        <v>0</v>
      </c>
      <c r="Y2272" s="960">
        <f t="array" ref="Y2272">HLOOKUP($J2272,'Type Chart'!$C$2:$T$20,6,false)*HLOOKUP($K2272,'Type Chart'!$C$2:$U$20,6,false)</f>
        <v>0</v>
      </c>
      <c r="Z2272" s="960">
        <f t="array" ref="Z2272">HLOOKUP($J2272,'Type Chart'!$C$2:$T$20,7,false)*HLOOKUP($K2272,'Type Chart'!$C$2:$U$20,7,false)</f>
        <v>1</v>
      </c>
      <c r="AA2272" s="960">
        <f t="array" ref="AA2272">HLOOKUP($J2272,'Type Chart'!$C$2:$T$20,8,false)*HLOOKUP($K2272,'Type Chart'!$C$2:$U$20,8,false)</f>
        <v>0.25</v>
      </c>
      <c r="AB2272" s="960">
        <f t="array" ref="AB2272">HLOOKUP($J2272,'Type Chart'!$C$2:$T$20,9,false)*HLOOKUP($K2272,'Type Chart'!$C$2:$U$20,9,false)</f>
        <v>1</v>
      </c>
      <c r="AC2272" s="960">
        <f t="array" ref="AC2272">HLOOKUP($J2272,'Type Chart'!$C$2:$T$20,10,false)*HLOOKUP($K2272,'Type Chart'!$C$2:$U$20,10,false)</f>
        <v>0.5</v>
      </c>
      <c r="AD2272" s="960">
        <f t="array" ref="AD2272">HLOOKUP($J2272,'Type Chart'!$C$2:$T$20,11,false)*HLOOKUP($K2272,'Type Chart'!$C$2:$U$20,11,false)</f>
        <v>2</v>
      </c>
      <c r="AE2272" s="960">
        <f t="array" ref="AE2272">HLOOKUP($J2272,'Type Chart'!$C$2:$T$20,12,false)*HLOOKUP($K2272,'Type Chart'!$C$2:$U$20,12,false)</f>
        <v>1</v>
      </c>
      <c r="AF2272" s="960">
        <f t="array" ref="AF2272">HLOOKUP($J2272,'Type Chart'!$C$2:$T$20,13,false)*HLOOKUP($K2272,'Type Chart'!$C$2:$U$20,13,false)</f>
        <v>0.25</v>
      </c>
      <c r="AG2272" s="960">
        <f t="array" ref="AG2272">HLOOKUP($J2272,'Type Chart'!$C$2:$T$20,14,false)*HLOOKUP($K2272,'Type Chart'!$C$2:$U$20,14,false)</f>
        <v>2</v>
      </c>
      <c r="AH2272" s="960">
        <f t="array" ref="AH2272">HLOOKUP($J2272,'Type Chart'!$C$2:$T$20,15,false)*HLOOKUP($K2272,'Type Chart'!$C$2:$U$20,15,false)</f>
        <v>0.5</v>
      </c>
      <c r="AI2272" s="960">
        <f t="array" ref="AI2272">HLOOKUP($J2272,'Type Chart'!$C$2:$T$20,16,false)*HLOOKUP($K2272,'Type Chart'!$C$2:$U$20,16,false)</f>
        <v>1</v>
      </c>
      <c r="AJ2272" s="960">
        <f t="array" ref="AJ2272">HLOOKUP($J2272,'Type Chart'!$C$2:$T$20,17,false)*HLOOKUP($K2272,'Type Chart'!$C$2:$U$20,17,false)</f>
        <v>0.5</v>
      </c>
      <c r="AK2272" s="960">
        <f t="array" ref="AK2272">HLOOKUP($J2272,'Type Chart'!$C$2:$T$20,18,false)*HLOOKUP($K2272,'Type Chart'!$C$2:$U$20,18,false)</f>
        <v>1</v>
      </c>
      <c r="AL2272" s="960">
        <f t="array" ref="AL2272">HLOOKUP($J2272,'Type Chart'!$C$2:$T$20,19,false)*HLOOKUP($K2272,'Type Chart'!$C$2:$U$20,19,false)</f>
        <v>0.5</v>
      </c>
      <c r="AM2272" s="964" t="s">
        <v>3787</v>
      </c>
      <c r="AN2272" s="965"/>
      <c r="AO2272" s="966"/>
      <c r="AP2272" s="936"/>
      <c r="AQ2272" s="1245"/>
      <c r="AR2272" s="1245"/>
      <c r="AS2272" s="936"/>
    </row>
    <row r="2273" ht="15.75" customHeight="1">
      <c r="A2273" s="1099"/>
      <c r="B2273" s="948" t="s">
        <v>3800</v>
      </c>
      <c r="C2273" s="1197" t="s">
        <v>3801</v>
      </c>
      <c r="D2273" s="1197" t="s">
        <v>3801</v>
      </c>
      <c r="E2273" s="1147" t="s">
        <v>3801</v>
      </c>
      <c r="F2273" s="940"/>
      <c r="G2273" s="953"/>
      <c r="H2273" s="969"/>
      <c r="I2273" s="998" t="s">
        <v>5370</v>
      </c>
      <c r="J2273" s="957" t="s">
        <v>209</v>
      </c>
      <c r="K2273" s="1206" t="s">
        <v>82</v>
      </c>
      <c r="L2273" s="959">
        <v>59.0</v>
      </c>
      <c r="M2273" s="960">
        <v>181.0</v>
      </c>
      <c r="N2273" s="960">
        <v>131.0</v>
      </c>
      <c r="O2273" s="960">
        <v>59.0</v>
      </c>
      <c r="P2273" s="960">
        <v>31.0</v>
      </c>
      <c r="Q2273" s="960">
        <v>109.0</v>
      </c>
      <c r="R2273" s="960">
        <v>254.0</v>
      </c>
      <c r="S2273" s="960">
        <v>317.0</v>
      </c>
      <c r="T2273" s="960">
        <v>348.0</v>
      </c>
      <c r="U2273" s="960">
        <f t="array" ref="U2273">HLOOKUP($J2273,'Type Chart'!$C$2:$T$20,2,false)*HLOOKUP($K2273,'Type Chart'!$C$2:$U$20,2,false)</f>
        <v>0.5</v>
      </c>
      <c r="V2273" s="960">
        <f t="array" ref="V2273">HLOOKUP($J2273,'Type Chart'!$C$2:$T$20,3,false)*HLOOKUP($K2273,'Type Chart'!$C$2:$U$20,3,false)</f>
        <v>2</v>
      </c>
      <c r="W2273" s="960">
        <f t="array" ref="W2273">HLOOKUP($J2273,'Type Chart'!$C$2:$T$20,4,false)*HLOOKUP($K2273,'Type Chart'!$C$2:$U$20,4,false)</f>
        <v>1</v>
      </c>
      <c r="X2273" s="960">
        <f t="array" ref="X2273">HLOOKUP($J2273,'Type Chart'!$C$2:$T$20,5,false)*HLOOKUP($K2273,'Type Chart'!$C$2:$U$20,5,false)</f>
        <v>0</v>
      </c>
      <c r="Y2273" s="960">
        <f t="array" ref="Y2273">HLOOKUP($J2273,'Type Chart'!$C$2:$T$20,6,false)*HLOOKUP($K2273,'Type Chart'!$C$2:$U$20,6,false)</f>
        <v>1</v>
      </c>
      <c r="Z2273" s="960">
        <f t="array" ref="Z2273">HLOOKUP($J2273,'Type Chart'!$C$2:$T$20,7,false)*HLOOKUP($K2273,'Type Chart'!$C$2:$U$20,7,false)</f>
        <v>0.5</v>
      </c>
      <c r="AA2273" s="960">
        <f t="array" ref="AA2273">HLOOKUP($J2273,'Type Chart'!$C$2:$T$20,8,false)*HLOOKUP($K2273,'Type Chart'!$C$2:$U$20,8,false)</f>
        <v>1</v>
      </c>
      <c r="AB2273" s="960">
        <f t="array" ref="AB2273">HLOOKUP($J2273,'Type Chart'!$C$2:$T$20,9,false)*HLOOKUP($K2273,'Type Chart'!$C$2:$U$20,9,false)</f>
        <v>1</v>
      </c>
      <c r="AC2273" s="960">
        <f t="array" ref="AC2273">HLOOKUP($J2273,'Type Chart'!$C$2:$T$20,10,false)*HLOOKUP($K2273,'Type Chart'!$C$2:$U$20,10,false)</f>
        <v>0.5</v>
      </c>
      <c r="AD2273" s="960">
        <f t="array" ref="AD2273">HLOOKUP($J2273,'Type Chart'!$C$2:$T$20,11,false)*HLOOKUP($K2273,'Type Chart'!$C$2:$U$20,11,false)</f>
        <v>4</v>
      </c>
      <c r="AE2273" s="960">
        <f t="array" ref="AE2273">HLOOKUP($J2273,'Type Chart'!$C$2:$T$20,12,false)*HLOOKUP($K2273,'Type Chart'!$C$2:$U$20,12,false)</f>
        <v>0.5</v>
      </c>
      <c r="AF2273" s="960">
        <f t="array" ref="AF2273">HLOOKUP($J2273,'Type Chart'!$C$2:$T$20,13,false)*HLOOKUP($K2273,'Type Chart'!$C$2:$U$20,13,false)</f>
        <v>0.25</v>
      </c>
      <c r="AG2273" s="960">
        <f t="array" ref="AG2273">HLOOKUP($J2273,'Type Chart'!$C$2:$T$20,14,false)*HLOOKUP($K2273,'Type Chart'!$C$2:$U$20,14,false)</f>
        <v>0.5</v>
      </c>
      <c r="AH2273" s="960">
        <f t="array" ref="AH2273">HLOOKUP($J2273,'Type Chart'!$C$2:$T$20,15,false)*HLOOKUP($K2273,'Type Chart'!$C$2:$U$20,15,false)</f>
        <v>0.5</v>
      </c>
      <c r="AI2273" s="960">
        <f t="array" ref="AI2273">HLOOKUP($J2273,'Type Chart'!$C$2:$T$20,16,false)*HLOOKUP($K2273,'Type Chart'!$C$2:$U$20,16,false)</f>
        <v>1</v>
      </c>
      <c r="AJ2273" s="960">
        <f t="array" ref="AJ2273">HLOOKUP($J2273,'Type Chart'!$C$2:$T$20,17,false)*HLOOKUP($K2273,'Type Chart'!$C$2:$U$20,17,false)</f>
        <v>0.5</v>
      </c>
      <c r="AK2273" s="960">
        <f t="array" ref="AK2273">HLOOKUP($J2273,'Type Chart'!$C$2:$T$20,18,false)*HLOOKUP($K2273,'Type Chart'!$C$2:$U$20,18,false)</f>
        <v>1</v>
      </c>
      <c r="AL2273" s="960">
        <f t="array" ref="AL2273">HLOOKUP($J2273,'Type Chart'!$C$2:$T$20,19,false)*HLOOKUP($K2273,'Type Chart'!$C$2:$U$20,19,false)</f>
        <v>0.5</v>
      </c>
      <c r="AM2273" s="964" t="s">
        <v>3787</v>
      </c>
      <c r="AN2273" s="965"/>
      <c r="AO2273" s="966"/>
      <c r="AP2273" s="936"/>
      <c r="AQ2273" s="1245"/>
      <c r="AR2273" s="1245"/>
      <c r="AS2273" s="936"/>
    </row>
    <row r="2274" ht="15.75" customHeight="1">
      <c r="A2274" s="1099"/>
      <c r="B2274" s="948" t="s">
        <v>3803</v>
      </c>
      <c r="C2274" s="1197" t="s">
        <v>3804</v>
      </c>
      <c r="D2274" s="1197" t="s">
        <v>3804</v>
      </c>
      <c r="E2274" s="1147" t="s">
        <v>3804</v>
      </c>
      <c r="F2274" s="940"/>
      <c r="G2274" s="953"/>
      <c r="H2274" s="969"/>
      <c r="I2274" s="998" t="s">
        <v>5371</v>
      </c>
      <c r="J2274" s="1195" t="s">
        <v>193</v>
      </c>
      <c r="K2274" s="1006" t="s">
        <v>346</v>
      </c>
      <c r="L2274" s="959">
        <v>223.0</v>
      </c>
      <c r="M2274" s="960">
        <v>101.0</v>
      </c>
      <c r="N2274" s="960">
        <v>53.0</v>
      </c>
      <c r="O2274" s="960">
        <v>97.0</v>
      </c>
      <c r="P2274" s="960">
        <v>53.0</v>
      </c>
      <c r="Q2274" s="960">
        <v>43.0</v>
      </c>
      <c r="R2274" s="960">
        <v>122.0</v>
      </c>
      <c r="S2274" s="960">
        <v>185.0</v>
      </c>
      <c r="T2274" s="960">
        <v>203.0</v>
      </c>
      <c r="U2274" s="960">
        <f t="array" ref="U2274">HLOOKUP($J2274,'Type Chart'!$C$2:$T$20,2,false)*HLOOKUP($K2274,'Type Chart'!$C$2:$U$20,2,false)</f>
        <v>1</v>
      </c>
      <c r="V2274" s="960">
        <f t="array" ref="V2274">HLOOKUP($J2274,'Type Chart'!$C$2:$T$20,3,false)*HLOOKUP($K2274,'Type Chart'!$C$2:$U$20,3,false)</f>
        <v>2</v>
      </c>
      <c r="W2274" s="960">
        <f t="array" ref="W2274">HLOOKUP($J2274,'Type Chart'!$C$2:$T$20,4,false)*HLOOKUP($K2274,'Type Chart'!$C$2:$U$20,4,false)</f>
        <v>1</v>
      </c>
      <c r="X2274" s="960">
        <f t="array" ref="X2274">HLOOKUP($J2274,'Type Chart'!$C$2:$T$20,5,false)*HLOOKUP($K2274,'Type Chart'!$C$2:$U$20,5,false)</f>
        <v>1</v>
      </c>
      <c r="Y2274" s="960">
        <f t="array" ref="Y2274">HLOOKUP($J2274,'Type Chart'!$C$2:$T$20,6,false)*HLOOKUP($K2274,'Type Chart'!$C$2:$U$20,6,false)</f>
        <v>1</v>
      </c>
      <c r="Z2274" s="960">
        <f t="array" ref="Z2274">HLOOKUP($J2274,'Type Chart'!$C$2:$T$20,7,false)*HLOOKUP($K2274,'Type Chart'!$C$2:$U$20,7,false)</f>
        <v>1</v>
      </c>
      <c r="AA2274" s="960">
        <f t="array" ref="AA2274">HLOOKUP($J2274,'Type Chart'!$C$2:$T$20,8,false)*HLOOKUP($K2274,'Type Chart'!$C$2:$U$20,8,false)</f>
        <v>2</v>
      </c>
      <c r="AB2274" s="960">
        <f t="array" ref="AB2274">HLOOKUP($J2274,'Type Chart'!$C$2:$T$20,9,false)*HLOOKUP($K2274,'Type Chart'!$C$2:$U$20,9,false)</f>
        <v>0.5</v>
      </c>
      <c r="AC2274" s="960">
        <f t="array" ref="AC2274">HLOOKUP($J2274,'Type Chart'!$C$2:$T$20,10,false)*HLOOKUP($K2274,'Type Chart'!$C$2:$U$20,10,false)</f>
        <v>1</v>
      </c>
      <c r="AD2274" s="960">
        <f t="array" ref="AD2274">HLOOKUP($J2274,'Type Chart'!$C$2:$T$20,11,false)*HLOOKUP($K2274,'Type Chart'!$C$2:$U$20,11,false)</f>
        <v>0.5</v>
      </c>
      <c r="AE2274" s="960">
        <f t="array" ref="AE2274">HLOOKUP($J2274,'Type Chart'!$C$2:$T$20,12,false)*HLOOKUP($K2274,'Type Chart'!$C$2:$U$20,12,false)</f>
        <v>0.5</v>
      </c>
      <c r="AF2274" s="960">
        <f t="array" ref="AF2274">HLOOKUP($J2274,'Type Chart'!$C$2:$T$20,13,false)*HLOOKUP($K2274,'Type Chart'!$C$2:$U$20,13,false)</f>
        <v>0.5</v>
      </c>
      <c r="AG2274" s="960">
        <f t="array" ref="AG2274">HLOOKUP($J2274,'Type Chart'!$C$2:$T$20,14,false)*HLOOKUP($K2274,'Type Chart'!$C$2:$U$20,14,false)</f>
        <v>0.5</v>
      </c>
      <c r="AH2274" s="960">
        <f t="array" ref="AH2274">HLOOKUP($J2274,'Type Chart'!$C$2:$T$20,15,false)*HLOOKUP($K2274,'Type Chart'!$C$2:$U$20,15,false)</f>
        <v>0</v>
      </c>
      <c r="AI2274" s="960">
        <f t="array" ref="AI2274">HLOOKUP($J2274,'Type Chart'!$C$2:$T$20,16,false)*HLOOKUP($K2274,'Type Chart'!$C$2:$U$20,16,false)</f>
        <v>2</v>
      </c>
      <c r="AJ2274" s="960">
        <f t="array" ref="AJ2274">HLOOKUP($J2274,'Type Chart'!$C$2:$T$20,17,false)*HLOOKUP($K2274,'Type Chart'!$C$2:$U$20,17,false)</f>
        <v>2</v>
      </c>
      <c r="AK2274" s="960">
        <f t="array" ref="AK2274">HLOOKUP($J2274,'Type Chart'!$C$2:$T$20,18,false)*HLOOKUP($K2274,'Type Chart'!$C$2:$U$20,18,false)</f>
        <v>0.5</v>
      </c>
      <c r="AL2274" s="960">
        <f t="array" ref="AL2274">HLOOKUP($J2274,'Type Chart'!$C$2:$T$20,19,false)*HLOOKUP($K2274,'Type Chart'!$C$2:$U$20,19,false)</f>
        <v>4</v>
      </c>
      <c r="AM2274" s="964" t="s">
        <v>3787</v>
      </c>
      <c r="AN2274" s="965"/>
      <c r="AO2274" s="966"/>
      <c r="AP2274" s="936"/>
      <c r="AQ2274" s="1245"/>
      <c r="AR2274" s="1245"/>
      <c r="AS2274" s="936"/>
    </row>
    <row r="2275" ht="15.75" customHeight="1">
      <c r="A2275" s="1099"/>
      <c r="B2275" s="948" t="s">
        <v>3806</v>
      </c>
      <c r="C2275" s="1197" t="s">
        <v>3807</v>
      </c>
      <c r="D2275" s="1197" t="s">
        <v>3807</v>
      </c>
      <c r="E2275" s="1147" t="s">
        <v>3807</v>
      </c>
      <c r="F2275" s="940"/>
      <c r="G2275" s="953"/>
      <c r="H2275" s="969"/>
      <c r="I2275" s="998" t="s">
        <v>5372</v>
      </c>
      <c r="J2275" s="1203" t="s">
        <v>344</v>
      </c>
      <c r="K2275" s="984" t="s">
        <v>216</v>
      </c>
      <c r="L2275" s="959">
        <v>97.0</v>
      </c>
      <c r="M2275" s="960">
        <v>107.0</v>
      </c>
      <c r="N2275" s="960">
        <v>101.0</v>
      </c>
      <c r="O2275" s="960">
        <v>127.0</v>
      </c>
      <c r="P2275" s="960">
        <v>89.0</v>
      </c>
      <c r="Q2275" s="960">
        <v>79.0</v>
      </c>
      <c r="R2275" s="960">
        <v>194.0</v>
      </c>
      <c r="S2275" s="960">
        <v>257.0</v>
      </c>
      <c r="T2275" s="960">
        <v>282.0</v>
      </c>
      <c r="U2275" s="960">
        <f t="array" ref="U2275">HLOOKUP($J2275,'Type Chart'!$C$2:$T$20,2,false)*HLOOKUP($K2275,'Type Chart'!$C$2:$U$20,2,false)</f>
        <v>1</v>
      </c>
      <c r="V2275" s="960">
        <f t="array" ref="V2275">HLOOKUP($J2275,'Type Chart'!$C$2:$T$20,3,false)*HLOOKUP($K2275,'Type Chart'!$C$2:$U$20,3,false)</f>
        <v>0.5</v>
      </c>
      <c r="W2275" s="960">
        <f t="array" ref="W2275">HLOOKUP($J2275,'Type Chart'!$C$2:$T$20,4,false)*HLOOKUP($K2275,'Type Chart'!$C$2:$U$20,4,false)</f>
        <v>1</v>
      </c>
      <c r="X2275" s="960">
        <f t="array" ref="X2275">HLOOKUP($J2275,'Type Chart'!$C$2:$T$20,5,false)*HLOOKUP($K2275,'Type Chart'!$C$2:$U$20,5,false)</f>
        <v>1</v>
      </c>
      <c r="Y2275" s="960">
        <f t="array" ref="Y2275">HLOOKUP($J2275,'Type Chart'!$C$2:$T$20,6,false)*HLOOKUP($K2275,'Type Chart'!$C$2:$U$20,6,false)</f>
        <v>1</v>
      </c>
      <c r="Z2275" s="960">
        <f t="array" ref="Z2275">HLOOKUP($J2275,'Type Chart'!$C$2:$T$20,7,false)*HLOOKUP($K2275,'Type Chart'!$C$2:$U$20,7,false)</f>
        <v>1</v>
      </c>
      <c r="AA2275" s="960">
        <f t="array" ref="AA2275">HLOOKUP($J2275,'Type Chart'!$C$2:$T$20,8,false)*HLOOKUP($K2275,'Type Chart'!$C$2:$U$20,8,false)</f>
        <v>2</v>
      </c>
      <c r="AB2275" s="960">
        <f t="array" ref="AB2275">HLOOKUP($J2275,'Type Chart'!$C$2:$T$20,9,false)*HLOOKUP($K2275,'Type Chart'!$C$2:$U$20,9,false)</f>
        <v>2</v>
      </c>
      <c r="AC2275" s="960">
        <f t="array" ref="AC2275">HLOOKUP($J2275,'Type Chart'!$C$2:$T$20,10,false)*HLOOKUP($K2275,'Type Chart'!$C$2:$U$20,10,false)</f>
        <v>1</v>
      </c>
      <c r="AD2275" s="960">
        <f t="array" ref="AD2275">HLOOKUP($J2275,'Type Chart'!$C$2:$T$20,11,false)*HLOOKUP($K2275,'Type Chart'!$C$2:$U$20,11,false)</f>
        <v>1</v>
      </c>
      <c r="AE2275" s="960">
        <f t="array" ref="AE2275">HLOOKUP($J2275,'Type Chart'!$C$2:$T$20,12,false)*HLOOKUP($K2275,'Type Chart'!$C$2:$U$20,12,false)</f>
        <v>1</v>
      </c>
      <c r="AF2275" s="960">
        <f t="array" ref="AF2275">HLOOKUP($J2275,'Type Chart'!$C$2:$T$20,13,false)*HLOOKUP($K2275,'Type Chart'!$C$2:$U$20,13,false)</f>
        <v>1</v>
      </c>
      <c r="AG2275" s="960">
        <f t="array" ref="AG2275">HLOOKUP($J2275,'Type Chart'!$C$2:$T$20,14,false)*HLOOKUP($K2275,'Type Chart'!$C$2:$U$20,14,false)</f>
        <v>1</v>
      </c>
      <c r="AH2275" s="960">
        <f t="array" ref="AH2275">HLOOKUP($J2275,'Type Chart'!$C$2:$T$20,15,false)*HLOOKUP($K2275,'Type Chart'!$C$2:$U$20,15,false)</f>
        <v>0.5</v>
      </c>
      <c r="AI2275" s="960">
        <f t="array" ref="AI2275">HLOOKUP($J2275,'Type Chart'!$C$2:$T$20,16,false)*HLOOKUP($K2275,'Type Chart'!$C$2:$U$20,16,false)</f>
        <v>1</v>
      </c>
      <c r="AJ2275" s="960">
        <f t="array" ref="AJ2275">HLOOKUP($J2275,'Type Chart'!$C$2:$T$20,17,false)*HLOOKUP($K2275,'Type Chart'!$C$2:$U$20,17,false)</f>
        <v>1</v>
      </c>
      <c r="AK2275" s="960">
        <f t="array" ref="AK2275">HLOOKUP($J2275,'Type Chart'!$C$2:$T$20,18,false)*HLOOKUP($K2275,'Type Chart'!$C$2:$U$20,18,false)</f>
        <v>2</v>
      </c>
      <c r="AL2275" s="960">
        <f t="array" ref="AL2275">HLOOKUP($J2275,'Type Chart'!$C$2:$T$20,19,false)*HLOOKUP($K2275,'Type Chart'!$C$2:$U$20,19,false)</f>
        <v>1</v>
      </c>
      <c r="AM2275" s="964" t="s">
        <v>3808</v>
      </c>
      <c r="AN2275" s="965"/>
      <c r="AO2275" s="966"/>
      <c r="AP2275" s="936"/>
      <c r="AQ2275" s="1245"/>
      <c r="AR2275" s="1245"/>
      <c r="AS2275" s="936"/>
    </row>
    <row r="2276" ht="15.75" customHeight="1">
      <c r="A2276" s="1099"/>
      <c r="B2276" s="948" t="s">
        <v>3809</v>
      </c>
      <c r="C2276" s="1197" t="s">
        <v>3810</v>
      </c>
      <c r="D2276" s="1197" t="s">
        <v>3811</v>
      </c>
      <c r="E2276" s="1147" t="s">
        <v>3812</v>
      </c>
      <c r="F2276" s="940"/>
      <c r="G2276" s="953"/>
      <c r="H2276" s="969"/>
      <c r="I2276" s="998" t="s">
        <v>5373</v>
      </c>
      <c r="J2276" s="1203" t="s">
        <v>344</v>
      </c>
      <c r="K2276" s="1206" t="s">
        <v>82</v>
      </c>
      <c r="L2276" s="959">
        <v>97.0</v>
      </c>
      <c r="M2276" s="960">
        <v>157.0</v>
      </c>
      <c r="N2276" s="960">
        <v>127.0</v>
      </c>
      <c r="O2276" s="960">
        <v>113.0</v>
      </c>
      <c r="P2276" s="960">
        <v>109.0</v>
      </c>
      <c r="Q2276" s="960">
        <v>77.0</v>
      </c>
      <c r="R2276" s="960">
        <v>190.0</v>
      </c>
      <c r="S2276" s="960">
        <v>253.0</v>
      </c>
      <c r="T2276" s="960">
        <v>278.0</v>
      </c>
      <c r="U2276" s="960">
        <f t="array" ref="U2276">HLOOKUP($J2276,'Type Chart'!$C$2:$T$20,2,false)*HLOOKUP($K2276,'Type Chart'!$C$2:$U$20,2,false)</f>
        <v>0.5</v>
      </c>
      <c r="V2276" s="960">
        <f t="array" ref="V2276">HLOOKUP($J2276,'Type Chart'!$C$2:$T$20,3,false)*HLOOKUP($K2276,'Type Chart'!$C$2:$U$20,3,false)</f>
        <v>1</v>
      </c>
      <c r="W2276" s="960">
        <f t="array" ref="W2276">HLOOKUP($J2276,'Type Chart'!$C$2:$T$20,4,false)*HLOOKUP($K2276,'Type Chart'!$C$2:$U$20,4,false)</f>
        <v>0.5</v>
      </c>
      <c r="X2276" s="960">
        <f t="array" ref="X2276">HLOOKUP($J2276,'Type Chart'!$C$2:$T$20,5,false)*HLOOKUP($K2276,'Type Chart'!$C$2:$U$20,5,false)</f>
        <v>0</v>
      </c>
      <c r="Y2276" s="960">
        <f t="array" ref="Y2276">HLOOKUP($J2276,'Type Chart'!$C$2:$T$20,6,false)*HLOOKUP($K2276,'Type Chart'!$C$2:$U$20,6,false)</f>
        <v>2</v>
      </c>
      <c r="Z2276" s="960">
        <f t="array" ref="Z2276">HLOOKUP($J2276,'Type Chart'!$C$2:$T$20,7,false)*HLOOKUP($K2276,'Type Chart'!$C$2:$U$20,7,false)</f>
        <v>0.5</v>
      </c>
      <c r="AA2276" s="960">
        <f t="array" ref="AA2276">HLOOKUP($J2276,'Type Chart'!$C$2:$T$20,8,false)*HLOOKUP($K2276,'Type Chart'!$C$2:$U$20,8,false)</f>
        <v>1</v>
      </c>
      <c r="AB2276" s="960">
        <f t="array" ref="AB2276">HLOOKUP($J2276,'Type Chart'!$C$2:$T$20,9,false)*HLOOKUP($K2276,'Type Chart'!$C$2:$U$20,9,false)</f>
        <v>2</v>
      </c>
      <c r="AC2276" s="960">
        <f t="array" ref="AC2276">HLOOKUP($J2276,'Type Chart'!$C$2:$T$20,10,false)*HLOOKUP($K2276,'Type Chart'!$C$2:$U$20,10,false)</f>
        <v>0.5</v>
      </c>
      <c r="AD2276" s="960">
        <f t="array" ref="AD2276">HLOOKUP($J2276,'Type Chart'!$C$2:$T$20,11,false)*HLOOKUP($K2276,'Type Chart'!$C$2:$U$20,11,false)</f>
        <v>2</v>
      </c>
      <c r="AE2276" s="960">
        <f t="array" ref="AE2276">HLOOKUP($J2276,'Type Chart'!$C$2:$T$20,12,false)*HLOOKUP($K2276,'Type Chart'!$C$2:$U$20,12,false)</f>
        <v>1</v>
      </c>
      <c r="AF2276" s="960">
        <f t="array" ref="AF2276">HLOOKUP($J2276,'Type Chart'!$C$2:$T$20,13,false)*HLOOKUP($K2276,'Type Chart'!$C$2:$U$20,13,false)</f>
        <v>0.5</v>
      </c>
      <c r="AG2276" s="960">
        <f t="array" ref="AG2276">HLOOKUP($J2276,'Type Chart'!$C$2:$T$20,14,false)*HLOOKUP($K2276,'Type Chart'!$C$2:$U$20,14,false)</f>
        <v>1</v>
      </c>
      <c r="AH2276" s="960">
        <f t="array" ref="AH2276">HLOOKUP($J2276,'Type Chart'!$C$2:$T$20,15,false)*HLOOKUP($K2276,'Type Chart'!$C$2:$U$20,15,false)</f>
        <v>0.25</v>
      </c>
      <c r="AI2276" s="960">
        <f t="array" ref="AI2276">HLOOKUP($J2276,'Type Chart'!$C$2:$T$20,16,false)*HLOOKUP($K2276,'Type Chart'!$C$2:$U$20,16,false)</f>
        <v>0.5</v>
      </c>
      <c r="AJ2276" s="960">
        <f t="array" ref="AJ2276">HLOOKUP($J2276,'Type Chart'!$C$2:$T$20,17,false)*HLOOKUP($K2276,'Type Chart'!$C$2:$U$20,17,false)</f>
        <v>0.5</v>
      </c>
      <c r="AK2276" s="960">
        <f t="array" ref="AK2276">HLOOKUP($J2276,'Type Chart'!$C$2:$T$20,18,false)*HLOOKUP($K2276,'Type Chart'!$C$2:$U$20,18,false)</f>
        <v>2</v>
      </c>
      <c r="AL2276" s="960">
        <f t="array" ref="AL2276">HLOOKUP($J2276,'Type Chart'!$C$2:$T$20,19,false)*HLOOKUP($K2276,'Type Chart'!$C$2:$U$20,19,false)</f>
        <v>0.5</v>
      </c>
      <c r="AM2276" s="1145" t="s">
        <v>3808</v>
      </c>
      <c r="AN2276" s="965"/>
      <c r="AO2276" s="1146"/>
      <c r="AP2276" s="936"/>
      <c r="AQ2276" s="1245"/>
      <c r="AR2276" s="1245"/>
      <c r="AS2276" s="936"/>
    </row>
    <row r="2277" ht="15.75" customHeight="1">
      <c r="A2277" s="1099"/>
      <c r="B2277" s="948" t="s">
        <v>3813</v>
      </c>
      <c r="C2277" s="1197" t="s">
        <v>3814</v>
      </c>
      <c r="D2277" s="1197" t="s">
        <v>3815</v>
      </c>
      <c r="E2277" s="1147" t="s">
        <v>3816</v>
      </c>
      <c r="F2277" s="940"/>
      <c r="G2277" s="953"/>
      <c r="H2277" s="969"/>
      <c r="I2277" s="998" t="s">
        <v>5374</v>
      </c>
      <c r="J2277" s="1203" t="s">
        <v>344</v>
      </c>
      <c r="K2277" s="1220" t="s">
        <v>215</v>
      </c>
      <c r="L2277" s="959">
        <v>97.0</v>
      </c>
      <c r="M2277" s="960">
        <v>113.0</v>
      </c>
      <c r="N2277" s="960">
        <v>109.0</v>
      </c>
      <c r="O2277" s="960">
        <v>157.0</v>
      </c>
      <c r="P2277" s="960">
        <v>127.0</v>
      </c>
      <c r="Q2277" s="960">
        <v>77.0</v>
      </c>
      <c r="R2277" s="960">
        <v>190.0</v>
      </c>
      <c r="S2277" s="960">
        <v>253.0</v>
      </c>
      <c r="T2277" s="960">
        <v>278.0</v>
      </c>
      <c r="U2277" s="960">
        <f t="array" ref="U2277">HLOOKUP($J2277,'Type Chart'!$C$2:$T$20,2,false)*HLOOKUP($K2277,'Type Chart'!$C$2:$U$20,2,false)</f>
        <v>0</v>
      </c>
      <c r="V2277" s="960">
        <f t="array" ref="V2277">HLOOKUP($J2277,'Type Chart'!$C$2:$T$20,3,false)*HLOOKUP($K2277,'Type Chart'!$C$2:$U$20,3,false)</f>
        <v>0</v>
      </c>
      <c r="W2277" s="960">
        <f t="array" ref="W2277">HLOOKUP($J2277,'Type Chart'!$C$2:$T$20,4,false)*HLOOKUP($K2277,'Type Chart'!$C$2:$U$20,4,false)</f>
        <v>1</v>
      </c>
      <c r="X2277" s="960">
        <f t="array" ref="X2277">HLOOKUP($J2277,'Type Chart'!$C$2:$T$20,5,false)*HLOOKUP($K2277,'Type Chart'!$C$2:$U$20,5,false)</f>
        <v>0.5</v>
      </c>
      <c r="Y2277" s="960">
        <f t="array" ref="Y2277">HLOOKUP($J2277,'Type Chart'!$C$2:$T$20,6,false)*HLOOKUP($K2277,'Type Chart'!$C$2:$U$20,6,false)</f>
        <v>1</v>
      </c>
      <c r="Z2277" s="960">
        <f t="array" ref="Z2277">HLOOKUP($J2277,'Type Chart'!$C$2:$T$20,7,false)*HLOOKUP($K2277,'Type Chart'!$C$2:$U$20,7,false)</f>
        <v>1</v>
      </c>
      <c r="AA2277" s="960">
        <f t="array" ref="AA2277">HLOOKUP($J2277,'Type Chart'!$C$2:$T$20,8,false)*HLOOKUP($K2277,'Type Chart'!$C$2:$U$20,8,false)</f>
        <v>1</v>
      </c>
      <c r="AB2277" s="960">
        <f t="array" ref="AB2277">HLOOKUP($J2277,'Type Chart'!$C$2:$T$20,9,false)*HLOOKUP($K2277,'Type Chart'!$C$2:$U$20,9,false)</f>
        <v>4</v>
      </c>
      <c r="AC2277" s="960">
        <f t="array" ref="AC2277">HLOOKUP($J2277,'Type Chart'!$C$2:$T$20,10,false)*HLOOKUP($K2277,'Type Chart'!$C$2:$U$20,10,false)</f>
        <v>1</v>
      </c>
      <c r="AD2277" s="960">
        <f t="array" ref="AD2277">HLOOKUP($J2277,'Type Chart'!$C$2:$T$20,11,false)*HLOOKUP($K2277,'Type Chart'!$C$2:$U$20,11,false)</f>
        <v>1</v>
      </c>
      <c r="AE2277" s="960">
        <f t="array" ref="AE2277">HLOOKUP($J2277,'Type Chart'!$C$2:$T$20,12,false)*HLOOKUP($K2277,'Type Chart'!$C$2:$U$20,12,false)</f>
        <v>1</v>
      </c>
      <c r="AF2277" s="960">
        <f t="array" ref="AF2277">HLOOKUP($J2277,'Type Chart'!$C$2:$T$20,13,false)*HLOOKUP($K2277,'Type Chart'!$C$2:$U$20,13,false)</f>
        <v>1</v>
      </c>
      <c r="AG2277" s="960">
        <f t="array" ref="AG2277">HLOOKUP($J2277,'Type Chart'!$C$2:$T$20,14,false)*HLOOKUP($K2277,'Type Chart'!$C$2:$U$20,14,false)</f>
        <v>1</v>
      </c>
      <c r="AH2277" s="960">
        <f t="array" ref="AH2277">HLOOKUP($J2277,'Type Chart'!$C$2:$T$20,15,false)*HLOOKUP($K2277,'Type Chart'!$C$2:$U$20,15,false)</f>
        <v>0.5</v>
      </c>
      <c r="AI2277" s="960">
        <f t="array" ref="AI2277">HLOOKUP($J2277,'Type Chart'!$C$2:$T$20,16,false)*HLOOKUP($K2277,'Type Chart'!$C$2:$U$20,16,false)</f>
        <v>1</v>
      </c>
      <c r="AJ2277" s="960">
        <f t="array" ref="AJ2277">HLOOKUP($J2277,'Type Chart'!$C$2:$T$20,17,false)*HLOOKUP($K2277,'Type Chart'!$C$2:$U$20,17,false)</f>
        <v>1</v>
      </c>
      <c r="AK2277" s="960">
        <f t="array" ref="AK2277">HLOOKUP($J2277,'Type Chart'!$C$2:$T$20,18,false)*HLOOKUP($K2277,'Type Chart'!$C$2:$U$20,18,false)</f>
        <v>4</v>
      </c>
      <c r="AL2277" s="960">
        <f t="array" ref="AL2277">HLOOKUP($J2277,'Type Chart'!$C$2:$T$20,19,false)*HLOOKUP($K2277,'Type Chart'!$C$2:$U$20,19,false)</f>
        <v>1</v>
      </c>
      <c r="AM2277" s="964" t="s">
        <v>3808</v>
      </c>
      <c r="AN2277" s="965"/>
      <c r="AO2277" s="966"/>
      <c r="AP2277" s="936"/>
      <c r="AQ2277" s="1245"/>
      <c r="AR2277" s="1245"/>
      <c r="AS2277" s="936"/>
    </row>
    <row r="2278" ht="15.75" customHeight="1">
      <c r="A2278" s="1099"/>
      <c r="B2278" s="948" t="s">
        <v>3817</v>
      </c>
      <c r="C2278" s="1197" t="s">
        <v>3818</v>
      </c>
      <c r="D2278" s="1197" t="s">
        <v>3818</v>
      </c>
      <c r="E2278" s="1147" t="s">
        <v>3818</v>
      </c>
      <c r="F2278" s="940"/>
      <c r="G2278" s="953"/>
      <c r="H2278" s="969"/>
      <c r="I2278" s="998" t="s">
        <v>5375</v>
      </c>
      <c r="J2278" s="1203" t="s">
        <v>344</v>
      </c>
      <c r="K2278" s="1006" t="s">
        <v>346</v>
      </c>
      <c r="L2278" s="959">
        <v>97.0</v>
      </c>
      <c r="M2278" s="960">
        <v>167.0</v>
      </c>
      <c r="N2278" s="960">
        <v>97.0</v>
      </c>
      <c r="O2278" s="960">
        <v>167.0</v>
      </c>
      <c r="P2278" s="960">
        <v>97.0</v>
      </c>
      <c r="Q2278" s="960">
        <v>129.0</v>
      </c>
      <c r="R2278" s="960">
        <v>294.0</v>
      </c>
      <c r="S2278" s="960">
        <v>357.0</v>
      </c>
      <c r="T2278" s="960">
        <v>392.0</v>
      </c>
      <c r="U2278" s="960">
        <f t="array" ref="U2278">HLOOKUP($J2278,'Type Chart'!$C$2:$T$20,2,false)*HLOOKUP($K2278,'Type Chart'!$C$2:$U$20,2,false)</f>
        <v>1</v>
      </c>
      <c r="V2278" s="960">
        <f t="array" ref="V2278">HLOOKUP($J2278,'Type Chart'!$C$2:$T$20,3,false)*HLOOKUP($K2278,'Type Chart'!$C$2:$U$20,3,false)</f>
        <v>0.5</v>
      </c>
      <c r="W2278" s="960">
        <f t="array" ref="W2278">HLOOKUP($J2278,'Type Chart'!$C$2:$T$20,4,false)*HLOOKUP($K2278,'Type Chart'!$C$2:$U$20,4,false)</f>
        <v>1</v>
      </c>
      <c r="X2278" s="960">
        <f t="array" ref="X2278">HLOOKUP($J2278,'Type Chart'!$C$2:$T$20,5,false)*HLOOKUP($K2278,'Type Chart'!$C$2:$U$20,5,false)</f>
        <v>1</v>
      </c>
      <c r="Y2278" s="960">
        <f t="array" ref="Y2278">HLOOKUP($J2278,'Type Chart'!$C$2:$T$20,6,false)*HLOOKUP($K2278,'Type Chart'!$C$2:$U$20,6,false)</f>
        <v>1</v>
      </c>
      <c r="Z2278" s="960">
        <f t="array" ref="Z2278">HLOOKUP($J2278,'Type Chart'!$C$2:$T$20,7,false)*HLOOKUP($K2278,'Type Chart'!$C$2:$U$20,7,false)</f>
        <v>1</v>
      </c>
      <c r="AA2278" s="960">
        <f t="array" ref="AA2278">HLOOKUP($J2278,'Type Chart'!$C$2:$T$20,8,false)*HLOOKUP($K2278,'Type Chart'!$C$2:$U$20,8,false)</f>
        <v>2</v>
      </c>
      <c r="AB2278" s="960">
        <f t="array" ref="AB2278">HLOOKUP($J2278,'Type Chart'!$C$2:$T$20,9,false)*HLOOKUP($K2278,'Type Chart'!$C$2:$U$20,9,false)</f>
        <v>2</v>
      </c>
      <c r="AC2278" s="960">
        <f t="array" ref="AC2278">HLOOKUP($J2278,'Type Chart'!$C$2:$T$20,10,false)*HLOOKUP($K2278,'Type Chart'!$C$2:$U$20,10,false)</f>
        <v>1</v>
      </c>
      <c r="AD2278" s="960">
        <f t="array" ref="AD2278">HLOOKUP($J2278,'Type Chart'!$C$2:$T$20,11,false)*HLOOKUP($K2278,'Type Chart'!$C$2:$U$20,11,false)</f>
        <v>0.5</v>
      </c>
      <c r="AE2278" s="960">
        <f t="array" ref="AE2278">HLOOKUP($J2278,'Type Chart'!$C$2:$T$20,12,false)*HLOOKUP($K2278,'Type Chart'!$C$2:$U$20,12,false)</f>
        <v>0.5</v>
      </c>
      <c r="AF2278" s="960">
        <f t="array" ref="AF2278">HLOOKUP($J2278,'Type Chart'!$C$2:$T$20,13,false)*HLOOKUP($K2278,'Type Chart'!$C$2:$U$20,13,false)</f>
        <v>0.5</v>
      </c>
      <c r="AG2278" s="960">
        <f t="array" ref="AG2278">HLOOKUP($J2278,'Type Chart'!$C$2:$T$20,14,false)*HLOOKUP($K2278,'Type Chart'!$C$2:$U$20,14,false)</f>
        <v>0.5</v>
      </c>
      <c r="AH2278" s="960">
        <f t="array" ref="AH2278">HLOOKUP($J2278,'Type Chart'!$C$2:$T$20,15,false)*HLOOKUP($K2278,'Type Chart'!$C$2:$U$20,15,false)</f>
        <v>0.5</v>
      </c>
      <c r="AI2278" s="960">
        <f t="array" ref="AI2278">HLOOKUP($J2278,'Type Chart'!$C$2:$T$20,16,false)*HLOOKUP($K2278,'Type Chart'!$C$2:$U$20,16,false)</f>
        <v>2</v>
      </c>
      <c r="AJ2278" s="960">
        <f t="array" ref="AJ2278">HLOOKUP($J2278,'Type Chart'!$C$2:$T$20,17,false)*HLOOKUP($K2278,'Type Chart'!$C$2:$U$20,17,false)</f>
        <v>2</v>
      </c>
      <c r="AK2278" s="960">
        <f t="array" ref="AK2278">HLOOKUP($J2278,'Type Chart'!$C$2:$T$20,18,false)*HLOOKUP($K2278,'Type Chart'!$C$2:$U$20,18,false)</f>
        <v>2</v>
      </c>
      <c r="AL2278" s="960">
        <f t="array" ref="AL2278">HLOOKUP($J2278,'Type Chart'!$C$2:$T$20,19,false)*HLOOKUP($K2278,'Type Chart'!$C$2:$U$20,19,false)</f>
        <v>2</v>
      </c>
      <c r="AM2278" s="964" t="s">
        <v>3819</v>
      </c>
      <c r="AN2278" s="965"/>
      <c r="AO2278" s="966"/>
      <c r="AP2278" s="936"/>
      <c r="AQ2278" s="1245"/>
      <c r="AR2278" s="1245"/>
      <c r="AS2278" s="936"/>
    </row>
    <row r="2279" ht="15.75" customHeight="1">
      <c r="A2279" s="1099"/>
      <c r="B2279" s="948" t="s">
        <v>3820</v>
      </c>
      <c r="C2279" s="1197" t="s">
        <v>3821</v>
      </c>
      <c r="D2279" s="1197" t="s">
        <v>3821</v>
      </c>
      <c r="E2279" s="1147" t="s">
        <v>3821</v>
      </c>
      <c r="F2279" s="940"/>
      <c r="G2279" s="953"/>
      <c r="H2279" s="969"/>
      <c r="I2279" s="998" t="s">
        <v>5376</v>
      </c>
      <c r="J2279" s="1206" t="s">
        <v>82</v>
      </c>
      <c r="K2279" s="1207" t="s">
        <v>127</v>
      </c>
      <c r="L2279" s="959">
        <v>80.0</v>
      </c>
      <c r="M2279" s="960">
        <v>95.0</v>
      </c>
      <c r="N2279" s="960">
        <v>115.0</v>
      </c>
      <c r="O2279" s="960">
        <v>130.0</v>
      </c>
      <c r="P2279" s="960">
        <v>115.0</v>
      </c>
      <c r="Q2279" s="960">
        <v>65.0</v>
      </c>
      <c r="R2279" s="960">
        <v>166.0</v>
      </c>
      <c r="S2279" s="960">
        <v>229.0</v>
      </c>
      <c r="T2279" s="960">
        <v>251.0</v>
      </c>
      <c r="U2279" s="960">
        <f t="array" ref="U2279">HLOOKUP($J2279,'Type Chart'!$C$2:$T$20,2,false)*HLOOKUP($K2279,'Type Chart'!$C$2:$U$20,2,false)</f>
        <v>0.5</v>
      </c>
      <c r="V2279" s="960">
        <f t="array" ref="V2279">HLOOKUP($J2279,'Type Chart'!$C$2:$T$20,3,false)*HLOOKUP($K2279,'Type Chart'!$C$2:$U$20,3,false)</f>
        <v>1</v>
      </c>
      <c r="W2279" s="960">
        <f t="array" ref="W2279">HLOOKUP($J2279,'Type Chart'!$C$2:$T$20,4,false)*HLOOKUP($K2279,'Type Chart'!$C$2:$U$20,4,false)</f>
        <v>0.5</v>
      </c>
      <c r="X2279" s="960">
        <f t="array" ref="X2279">HLOOKUP($J2279,'Type Chart'!$C$2:$T$20,5,false)*HLOOKUP($K2279,'Type Chart'!$C$2:$U$20,5,false)</f>
        <v>0</v>
      </c>
      <c r="Y2279" s="960">
        <f t="array" ref="Y2279">HLOOKUP($J2279,'Type Chart'!$C$2:$T$20,6,false)*HLOOKUP($K2279,'Type Chart'!$C$2:$U$20,6,false)</f>
        <v>2</v>
      </c>
      <c r="Z2279" s="960">
        <f t="array" ref="Z2279">HLOOKUP($J2279,'Type Chart'!$C$2:$T$20,7,false)*HLOOKUP($K2279,'Type Chart'!$C$2:$U$20,7,false)</f>
        <v>0.5</v>
      </c>
      <c r="AA2279" s="960">
        <f t="array" ref="AA2279">HLOOKUP($J2279,'Type Chart'!$C$2:$T$20,8,false)*HLOOKUP($K2279,'Type Chart'!$C$2:$U$20,8,false)</f>
        <v>0.25</v>
      </c>
      <c r="AB2279" s="960">
        <f t="array" ref="AB2279">HLOOKUP($J2279,'Type Chart'!$C$2:$T$20,9,false)*HLOOKUP($K2279,'Type Chart'!$C$2:$U$20,9,false)</f>
        <v>1</v>
      </c>
      <c r="AC2279" s="960">
        <f t="array" ref="AC2279">HLOOKUP($J2279,'Type Chart'!$C$2:$T$20,10,false)*HLOOKUP($K2279,'Type Chart'!$C$2:$U$20,10,false)</f>
        <v>1</v>
      </c>
      <c r="AD2279" s="960">
        <f t="array" ref="AD2279">HLOOKUP($J2279,'Type Chart'!$C$2:$T$20,11,false)*HLOOKUP($K2279,'Type Chart'!$C$2:$U$20,11,false)</f>
        <v>2</v>
      </c>
      <c r="AE2279" s="960">
        <f t="array" ref="AE2279">HLOOKUP($J2279,'Type Chart'!$C$2:$T$20,12,false)*HLOOKUP($K2279,'Type Chart'!$C$2:$U$20,12,false)</f>
        <v>1</v>
      </c>
      <c r="AF2279" s="960">
        <f t="array" ref="AF2279">HLOOKUP($J2279,'Type Chart'!$C$2:$T$20,13,false)*HLOOKUP($K2279,'Type Chart'!$C$2:$U$20,13,false)</f>
        <v>0.5</v>
      </c>
      <c r="AG2279" s="960">
        <f t="array" ref="AG2279">HLOOKUP($J2279,'Type Chart'!$C$2:$T$20,14,false)*HLOOKUP($K2279,'Type Chart'!$C$2:$U$20,14,false)</f>
        <v>1</v>
      </c>
      <c r="AH2279" s="960">
        <f t="array" ref="AH2279">HLOOKUP($J2279,'Type Chart'!$C$2:$T$20,15,false)*HLOOKUP($K2279,'Type Chart'!$C$2:$U$20,15,false)</f>
        <v>0.5</v>
      </c>
      <c r="AI2279" s="960">
        <f t="array" ref="AI2279">HLOOKUP($J2279,'Type Chart'!$C$2:$T$20,16,false)*HLOOKUP($K2279,'Type Chart'!$C$2:$U$20,16,false)</f>
        <v>0.5</v>
      </c>
      <c r="AJ2279" s="960">
        <f t="array" ref="AJ2279">HLOOKUP($J2279,'Type Chart'!$C$2:$T$20,17,false)*HLOOKUP($K2279,'Type Chart'!$C$2:$U$20,17,false)</f>
        <v>0</v>
      </c>
      <c r="AK2279" s="960">
        <f t="array" ref="AK2279">HLOOKUP($J2279,'Type Chart'!$C$2:$T$20,18,false)*HLOOKUP($K2279,'Type Chart'!$C$2:$U$20,18,false)</f>
        <v>0.5</v>
      </c>
      <c r="AL2279" s="960">
        <f t="array" ref="AL2279">HLOOKUP($J2279,'Type Chart'!$C$2:$T$20,19,false)*HLOOKUP($K2279,'Type Chart'!$C$2:$U$20,19,false)</f>
        <v>0.5</v>
      </c>
      <c r="AM2279" s="964" t="s">
        <v>3822</v>
      </c>
      <c r="AN2279" s="965"/>
      <c r="AO2279" s="966"/>
      <c r="AP2279" s="936"/>
      <c r="AQ2279" s="1245"/>
      <c r="AR2279" s="1245"/>
      <c r="AS2279" s="936"/>
    </row>
    <row r="2280" ht="15.75" customHeight="1">
      <c r="A2280" s="1099"/>
      <c r="B2280" s="948" t="s">
        <v>3823</v>
      </c>
      <c r="C2280" s="1197" t="s">
        <v>3824</v>
      </c>
      <c r="D2280" s="1197" t="s">
        <v>3824</v>
      </c>
      <c r="E2280" s="1147" t="s">
        <v>3824</v>
      </c>
      <c r="F2280" s="940"/>
      <c r="G2280" s="953"/>
      <c r="H2280" s="969"/>
      <c r="I2280" s="998" t="s">
        <v>5377</v>
      </c>
      <c r="J2280" s="1233" t="s">
        <v>82</v>
      </c>
      <c r="K2280" s="1234" t="s">
        <v>127</v>
      </c>
      <c r="L2280" s="1200">
        <v>80.0</v>
      </c>
      <c r="M2280" s="1201">
        <v>95.0</v>
      </c>
      <c r="N2280" s="1201">
        <v>115.0</v>
      </c>
      <c r="O2280" s="1201">
        <v>130.0</v>
      </c>
      <c r="P2280" s="1201">
        <v>115.0</v>
      </c>
      <c r="Q2280" s="1201">
        <v>65.0</v>
      </c>
      <c r="R2280" s="960">
        <v>166.0</v>
      </c>
      <c r="S2280" s="960">
        <v>229.0</v>
      </c>
      <c r="T2280" s="960">
        <v>251.0</v>
      </c>
      <c r="U2280" s="960">
        <f t="array" ref="U2280">HLOOKUP($J2280,'Type Chart'!$C$2:$T$20,2,false)*HLOOKUP($K2280,'Type Chart'!$C$2:$U$20,2,false)</f>
        <v>0.5</v>
      </c>
      <c r="V2280" s="960">
        <f t="array" ref="V2280">HLOOKUP($J2280,'Type Chart'!$C$2:$T$20,3,false)*HLOOKUP($K2280,'Type Chart'!$C$2:$U$20,3,false)</f>
        <v>1</v>
      </c>
      <c r="W2280" s="960">
        <f t="array" ref="W2280">HLOOKUP($J2280,'Type Chart'!$C$2:$T$20,4,false)*HLOOKUP($K2280,'Type Chart'!$C$2:$U$20,4,false)</f>
        <v>0.5</v>
      </c>
      <c r="X2280" s="960">
        <f t="array" ref="X2280">HLOOKUP($J2280,'Type Chart'!$C$2:$T$20,5,false)*HLOOKUP($K2280,'Type Chart'!$C$2:$U$20,5,false)</f>
        <v>0</v>
      </c>
      <c r="Y2280" s="960">
        <f t="array" ref="Y2280">HLOOKUP($J2280,'Type Chart'!$C$2:$T$20,6,false)*HLOOKUP($K2280,'Type Chart'!$C$2:$U$20,6,false)</f>
        <v>2</v>
      </c>
      <c r="Z2280" s="960">
        <f t="array" ref="Z2280">HLOOKUP($J2280,'Type Chart'!$C$2:$T$20,7,false)*HLOOKUP($K2280,'Type Chart'!$C$2:$U$20,7,false)</f>
        <v>0.5</v>
      </c>
      <c r="AA2280" s="960">
        <f t="array" ref="AA2280">HLOOKUP($J2280,'Type Chart'!$C$2:$T$20,8,false)*HLOOKUP($K2280,'Type Chart'!$C$2:$U$20,8,false)</f>
        <v>0.25</v>
      </c>
      <c r="AB2280" s="960">
        <f t="array" ref="AB2280">HLOOKUP($J2280,'Type Chart'!$C$2:$T$20,9,false)*HLOOKUP($K2280,'Type Chart'!$C$2:$U$20,9,false)</f>
        <v>1</v>
      </c>
      <c r="AC2280" s="960">
        <f t="array" ref="AC2280">HLOOKUP($J2280,'Type Chart'!$C$2:$T$20,10,false)*HLOOKUP($K2280,'Type Chart'!$C$2:$U$20,10,false)</f>
        <v>1</v>
      </c>
      <c r="AD2280" s="960">
        <f t="array" ref="AD2280">HLOOKUP($J2280,'Type Chart'!$C$2:$T$20,11,false)*HLOOKUP($K2280,'Type Chart'!$C$2:$U$20,11,false)</f>
        <v>2</v>
      </c>
      <c r="AE2280" s="960">
        <f t="array" ref="AE2280">HLOOKUP($J2280,'Type Chart'!$C$2:$T$20,12,false)*HLOOKUP($K2280,'Type Chart'!$C$2:$U$20,12,false)</f>
        <v>1</v>
      </c>
      <c r="AF2280" s="960">
        <f t="array" ref="AF2280">HLOOKUP($J2280,'Type Chart'!$C$2:$T$20,13,false)*HLOOKUP($K2280,'Type Chart'!$C$2:$U$20,13,false)</f>
        <v>0.5</v>
      </c>
      <c r="AG2280" s="960">
        <f t="array" ref="AG2280">HLOOKUP($J2280,'Type Chart'!$C$2:$T$20,14,false)*HLOOKUP($K2280,'Type Chart'!$C$2:$U$20,14,false)</f>
        <v>1</v>
      </c>
      <c r="AH2280" s="960">
        <f t="array" ref="AH2280">HLOOKUP($J2280,'Type Chart'!$C$2:$T$20,15,false)*HLOOKUP($K2280,'Type Chart'!$C$2:$U$20,15,false)</f>
        <v>0.5</v>
      </c>
      <c r="AI2280" s="960">
        <f t="array" ref="AI2280">HLOOKUP($J2280,'Type Chart'!$C$2:$T$20,16,false)*HLOOKUP($K2280,'Type Chart'!$C$2:$U$20,16,false)</f>
        <v>0.5</v>
      </c>
      <c r="AJ2280" s="960">
        <f t="array" ref="AJ2280">HLOOKUP($J2280,'Type Chart'!$C$2:$T$20,17,false)*HLOOKUP($K2280,'Type Chart'!$C$2:$U$20,17,false)</f>
        <v>0</v>
      </c>
      <c r="AK2280" s="960">
        <f t="array" ref="AK2280">HLOOKUP($J2280,'Type Chart'!$C$2:$T$20,18,false)*HLOOKUP($K2280,'Type Chart'!$C$2:$U$20,18,false)</f>
        <v>0.5</v>
      </c>
      <c r="AL2280" s="960">
        <f t="array" ref="AL2280">HLOOKUP($J2280,'Type Chart'!$C$2:$T$20,19,false)*HLOOKUP($K2280,'Type Chart'!$C$2:$U$20,19,false)</f>
        <v>0.5</v>
      </c>
      <c r="AM2280" s="1145" t="s">
        <v>3822</v>
      </c>
      <c r="AN2280" s="965"/>
      <c r="AO2280" s="966"/>
      <c r="AP2280" s="936"/>
      <c r="AQ2280" s="1245"/>
      <c r="AR2280" s="1245"/>
      <c r="AS2280" s="936"/>
    </row>
    <row r="2281" ht="15.75" customHeight="1">
      <c r="A2281" s="1099"/>
      <c r="B2281" s="948" t="s">
        <v>3826</v>
      </c>
      <c r="C2281" s="1197" t="s">
        <v>3827</v>
      </c>
      <c r="D2281" s="1197" t="s">
        <v>3827</v>
      </c>
      <c r="E2281" s="1147" t="s">
        <v>3827</v>
      </c>
      <c r="F2281" s="940"/>
      <c r="G2281" s="953"/>
      <c r="H2281" s="969"/>
      <c r="I2281" s="998" t="s">
        <v>5378</v>
      </c>
      <c r="J2281" s="1213" t="s">
        <v>341</v>
      </c>
      <c r="K2281" s="1220" t="s">
        <v>215</v>
      </c>
      <c r="L2281" s="959">
        <v>90.0</v>
      </c>
      <c r="M2281" s="960">
        <v>125.0</v>
      </c>
      <c r="N2281" s="960">
        <v>80.0</v>
      </c>
      <c r="O2281" s="960">
        <v>90.0</v>
      </c>
      <c r="P2281" s="960">
        <v>90.0</v>
      </c>
      <c r="Q2281" s="960">
        <v>125.0</v>
      </c>
      <c r="R2281" s="960">
        <v>286.0</v>
      </c>
      <c r="S2281" s="960">
        <v>349.0</v>
      </c>
      <c r="T2281" s="960">
        <v>383.0</v>
      </c>
      <c r="U2281" s="960">
        <f t="array" ref="U2281">HLOOKUP($J2281,'Type Chart'!$C$2:$T$20,2,false)*HLOOKUP($K2281,'Type Chart'!$C$2:$U$20,2,false)</f>
        <v>0</v>
      </c>
      <c r="V2281" s="960">
        <f t="array" ref="V2281">HLOOKUP($J2281,'Type Chart'!$C$2:$T$20,3,false)*HLOOKUP($K2281,'Type Chart'!$C$2:$U$20,3,false)</f>
        <v>0</v>
      </c>
      <c r="W2281" s="960">
        <f t="array" ref="W2281">HLOOKUP($J2281,'Type Chart'!$C$2:$T$20,4,false)*HLOOKUP($K2281,'Type Chart'!$C$2:$U$20,4,false)</f>
        <v>2</v>
      </c>
      <c r="X2281" s="960">
        <f t="array" ref="X2281">HLOOKUP($J2281,'Type Chart'!$C$2:$T$20,5,false)*HLOOKUP($K2281,'Type Chart'!$C$2:$U$20,5,false)</f>
        <v>0.5</v>
      </c>
      <c r="Y2281" s="960">
        <f t="array" ref="Y2281">HLOOKUP($J2281,'Type Chart'!$C$2:$T$20,6,false)*HLOOKUP($K2281,'Type Chart'!$C$2:$U$20,6,false)</f>
        <v>1</v>
      </c>
      <c r="Z2281" s="960">
        <f t="array" ref="Z2281">HLOOKUP($J2281,'Type Chart'!$C$2:$T$20,7,false)*HLOOKUP($K2281,'Type Chart'!$C$2:$U$20,7,false)</f>
        <v>0.5</v>
      </c>
      <c r="AA2281" s="960">
        <f t="array" ref="AA2281">HLOOKUP($J2281,'Type Chart'!$C$2:$T$20,8,false)*HLOOKUP($K2281,'Type Chart'!$C$2:$U$20,8,false)</f>
        <v>0.25</v>
      </c>
      <c r="AB2281" s="960">
        <f t="array" ref="AB2281">HLOOKUP($J2281,'Type Chart'!$C$2:$T$20,9,false)*HLOOKUP($K2281,'Type Chart'!$C$2:$U$20,9,false)</f>
        <v>2</v>
      </c>
      <c r="AC2281" s="960">
        <f t="array" ref="AC2281">HLOOKUP($J2281,'Type Chart'!$C$2:$T$20,10,false)*HLOOKUP($K2281,'Type Chart'!$C$2:$U$20,10,false)</f>
        <v>1</v>
      </c>
      <c r="AD2281" s="960">
        <f t="array" ref="AD2281">HLOOKUP($J2281,'Type Chart'!$C$2:$T$20,11,false)*HLOOKUP($K2281,'Type Chart'!$C$2:$U$20,11,false)</f>
        <v>1</v>
      </c>
      <c r="AE2281" s="960">
        <f t="array" ref="AE2281">HLOOKUP($J2281,'Type Chart'!$C$2:$T$20,12,false)*HLOOKUP($K2281,'Type Chart'!$C$2:$U$20,12,false)</f>
        <v>1</v>
      </c>
      <c r="AF2281" s="960">
        <f t="array" ref="AF2281">HLOOKUP($J2281,'Type Chart'!$C$2:$T$20,13,false)*HLOOKUP($K2281,'Type Chart'!$C$2:$U$20,13,false)</f>
        <v>1</v>
      </c>
      <c r="AG2281" s="960">
        <f t="array" ref="AG2281">HLOOKUP($J2281,'Type Chart'!$C$2:$T$20,14,false)*HLOOKUP($K2281,'Type Chart'!$C$2:$U$20,14,false)</f>
        <v>1</v>
      </c>
      <c r="AH2281" s="960">
        <f t="array" ref="AH2281">HLOOKUP($J2281,'Type Chart'!$C$2:$T$20,15,false)*HLOOKUP($K2281,'Type Chart'!$C$2:$U$20,15,false)</f>
        <v>2</v>
      </c>
      <c r="AI2281" s="960">
        <f t="array" ref="AI2281">HLOOKUP($J2281,'Type Chart'!$C$2:$T$20,16,false)*HLOOKUP($K2281,'Type Chart'!$C$2:$U$20,16,false)</f>
        <v>1</v>
      </c>
      <c r="AJ2281" s="960">
        <f t="array" ref="AJ2281">HLOOKUP($J2281,'Type Chart'!$C$2:$T$20,17,false)*HLOOKUP($K2281,'Type Chart'!$C$2:$U$20,17,false)</f>
        <v>1</v>
      </c>
      <c r="AK2281" s="960">
        <f t="array" ref="AK2281">HLOOKUP($J2281,'Type Chart'!$C$2:$T$20,18,false)*HLOOKUP($K2281,'Type Chart'!$C$2:$U$20,18,false)</f>
        <v>1</v>
      </c>
      <c r="AL2281" s="960">
        <f t="array" ref="AL2281">HLOOKUP($J2281,'Type Chart'!$C$2:$T$20,19,false)*HLOOKUP($K2281,'Type Chart'!$C$2:$U$20,19,false)</f>
        <v>2</v>
      </c>
      <c r="AM2281" s="964" t="s">
        <v>1239</v>
      </c>
      <c r="AN2281" s="965"/>
      <c r="AO2281" s="966"/>
      <c r="AP2281" s="936"/>
      <c r="AQ2281" s="1245"/>
      <c r="AR2281" s="1245"/>
      <c r="AS2281" s="936"/>
    </row>
    <row r="2282" ht="15.75" customHeight="1">
      <c r="A2282" s="1099"/>
      <c r="B2282" s="948" t="s">
        <v>3829</v>
      </c>
      <c r="C2282" s="1197" t="s">
        <v>3830</v>
      </c>
      <c r="D2282" s="1197" t="s">
        <v>3830</v>
      </c>
      <c r="E2282" s="1147" t="s">
        <v>3830</v>
      </c>
      <c r="F2282" s="940"/>
      <c r="G2282" s="953"/>
      <c r="H2282" s="969"/>
      <c r="I2282" s="998" t="s">
        <v>5379</v>
      </c>
      <c r="J2282" s="958" t="s">
        <v>178</v>
      </c>
      <c r="K2282" s="984" t="s">
        <v>216</v>
      </c>
      <c r="L2282" s="959">
        <v>67.0</v>
      </c>
      <c r="M2282" s="960">
        <v>73.0</v>
      </c>
      <c r="N2282" s="960">
        <v>67.0</v>
      </c>
      <c r="O2282" s="960">
        <v>73.0</v>
      </c>
      <c r="P2282" s="960">
        <v>67.0</v>
      </c>
      <c r="Q2282" s="960">
        <v>73.0</v>
      </c>
      <c r="R2282" s="960">
        <v>182.0</v>
      </c>
      <c r="S2282" s="960">
        <v>245.0</v>
      </c>
      <c r="T2282" s="960">
        <v>269.0</v>
      </c>
      <c r="U2282" s="960">
        <f t="array" ref="U2282">HLOOKUP($J2282,'Type Chart'!$C$2:$T$20,2,false)*HLOOKUP($K2282,'Type Chart'!$C$2:$U$20,2,false)</f>
        <v>1</v>
      </c>
      <c r="V2282" s="960">
        <f t="array" ref="V2282">HLOOKUP($J2282,'Type Chart'!$C$2:$T$20,3,false)*HLOOKUP($K2282,'Type Chart'!$C$2:$U$20,3,false)</f>
        <v>0.5</v>
      </c>
      <c r="W2282" s="960">
        <f t="array" ref="W2282">HLOOKUP($J2282,'Type Chart'!$C$2:$T$20,4,false)*HLOOKUP($K2282,'Type Chart'!$C$2:$U$20,4,false)</f>
        <v>1</v>
      </c>
      <c r="X2282" s="960">
        <f t="array" ref="X2282">HLOOKUP($J2282,'Type Chart'!$C$2:$T$20,5,false)*HLOOKUP($K2282,'Type Chart'!$C$2:$U$20,5,false)</f>
        <v>0.5</v>
      </c>
      <c r="Y2282" s="960">
        <f t="array" ref="Y2282">HLOOKUP($J2282,'Type Chart'!$C$2:$T$20,6,false)*HLOOKUP($K2282,'Type Chart'!$C$2:$U$20,6,false)</f>
        <v>2</v>
      </c>
      <c r="Z2282" s="960">
        <f t="array" ref="Z2282">HLOOKUP($J2282,'Type Chart'!$C$2:$T$20,7,false)*HLOOKUP($K2282,'Type Chart'!$C$2:$U$20,7,false)</f>
        <v>1</v>
      </c>
      <c r="AA2282" s="960">
        <f t="array" ref="AA2282">HLOOKUP($J2282,'Type Chart'!$C$2:$T$20,8,false)*HLOOKUP($K2282,'Type Chart'!$C$2:$U$20,8,false)</f>
        <v>0.5</v>
      </c>
      <c r="AB2282" s="960">
        <f t="array" ref="AB2282">HLOOKUP($J2282,'Type Chart'!$C$2:$T$20,9,false)*HLOOKUP($K2282,'Type Chart'!$C$2:$U$20,9,false)</f>
        <v>1</v>
      </c>
      <c r="AC2282" s="960">
        <f t="array" ref="AC2282">HLOOKUP($J2282,'Type Chart'!$C$2:$T$20,10,false)*HLOOKUP($K2282,'Type Chart'!$C$2:$U$20,10,false)</f>
        <v>1</v>
      </c>
      <c r="AD2282" s="960">
        <f t="array" ref="AD2282">HLOOKUP($J2282,'Type Chart'!$C$2:$T$20,11,false)*HLOOKUP($K2282,'Type Chart'!$C$2:$U$20,11,false)</f>
        <v>1</v>
      </c>
      <c r="AE2282" s="960">
        <f t="array" ref="AE2282">HLOOKUP($J2282,'Type Chart'!$C$2:$T$20,12,false)*HLOOKUP($K2282,'Type Chart'!$C$2:$U$20,12,false)</f>
        <v>1</v>
      </c>
      <c r="AF2282" s="960">
        <f t="array" ref="AF2282">HLOOKUP($J2282,'Type Chart'!$C$2:$T$20,13,false)*HLOOKUP($K2282,'Type Chart'!$C$2:$U$20,13,false)</f>
        <v>0.5</v>
      </c>
      <c r="AG2282" s="960">
        <f t="array" ref="AG2282">HLOOKUP($J2282,'Type Chart'!$C$2:$T$20,14,false)*HLOOKUP($K2282,'Type Chart'!$C$2:$U$20,14,false)</f>
        <v>1</v>
      </c>
      <c r="AH2282" s="960">
        <f t="array" ref="AH2282">HLOOKUP($J2282,'Type Chart'!$C$2:$T$20,15,false)*HLOOKUP($K2282,'Type Chart'!$C$2:$U$20,15,false)</f>
        <v>2</v>
      </c>
      <c r="AI2282" s="960">
        <f t="array" ref="AI2282">HLOOKUP($J2282,'Type Chart'!$C$2:$T$20,16,false)*HLOOKUP($K2282,'Type Chart'!$C$2:$U$20,16,false)</f>
        <v>1</v>
      </c>
      <c r="AJ2282" s="960">
        <f t="array" ref="AJ2282">HLOOKUP($J2282,'Type Chart'!$C$2:$T$20,17,false)*HLOOKUP($K2282,'Type Chart'!$C$2:$U$20,17,false)</f>
        <v>1</v>
      </c>
      <c r="AK2282" s="960">
        <f t="array" ref="AK2282">HLOOKUP($J2282,'Type Chart'!$C$2:$T$20,18,false)*HLOOKUP($K2282,'Type Chart'!$C$2:$U$20,18,false)</f>
        <v>1</v>
      </c>
      <c r="AL2282" s="960">
        <f t="array" ref="AL2282">HLOOKUP($J2282,'Type Chart'!$C$2:$T$20,19,false)*HLOOKUP($K2282,'Type Chart'!$C$2:$U$20,19,false)</f>
        <v>0.5</v>
      </c>
      <c r="AM2282" s="964" t="s">
        <v>3787</v>
      </c>
      <c r="AN2282" s="965"/>
      <c r="AO2282" s="966"/>
      <c r="AP2282" s="936"/>
      <c r="AQ2282" s="1245"/>
      <c r="AR2282" s="1245"/>
      <c r="AS2282" s="936"/>
    </row>
    <row r="2283" ht="15.75" customHeight="1">
      <c r="A2283" s="1099"/>
      <c r="B2283" s="948" t="s">
        <v>3832</v>
      </c>
      <c r="C2283" s="1197" t="s">
        <v>3833</v>
      </c>
      <c r="D2283" s="1197" t="s">
        <v>3833</v>
      </c>
      <c r="E2283" s="1147" t="s">
        <v>3833</v>
      </c>
      <c r="F2283" s="940"/>
      <c r="G2283" s="953"/>
      <c r="H2283" s="969"/>
      <c r="I2283" s="998" t="s">
        <v>5380</v>
      </c>
      <c r="J2283" s="958" t="s">
        <v>178</v>
      </c>
      <c r="K2283" s="1006" t="s">
        <v>346</v>
      </c>
      <c r="L2283" s="959">
        <v>73.0</v>
      </c>
      <c r="M2283" s="960">
        <v>73.0</v>
      </c>
      <c r="N2283" s="960">
        <v>73.0</v>
      </c>
      <c r="O2283" s="960">
        <v>127.0</v>
      </c>
      <c r="P2283" s="960">
        <v>73.0</v>
      </c>
      <c r="Q2283" s="960">
        <v>121.0</v>
      </c>
      <c r="R2283" s="960">
        <v>278.0</v>
      </c>
      <c r="S2283" s="960">
        <v>341.0</v>
      </c>
      <c r="T2283" s="960">
        <v>375.0</v>
      </c>
      <c r="U2283" s="960">
        <f t="array" ref="U2283">HLOOKUP($J2283,'Type Chart'!$C$2:$T$20,2,false)*HLOOKUP($K2283,'Type Chart'!$C$2:$U$20,2,false)</f>
        <v>1</v>
      </c>
      <c r="V2283" s="960">
        <f t="array" ref="V2283">HLOOKUP($J2283,'Type Chart'!$C$2:$T$20,3,false)*HLOOKUP($K2283,'Type Chart'!$C$2:$U$20,3,false)</f>
        <v>0.5</v>
      </c>
      <c r="W2283" s="960">
        <f t="array" ref="W2283">HLOOKUP($J2283,'Type Chart'!$C$2:$T$20,4,false)*HLOOKUP($K2283,'Type Chart'!$C$2:$U$20,4,false)</f>
        <v>1</v>
      </c>
      <c r="X2283" s="960">
        <f t="array" ref="X2283">HLOOKUP($J2283,'Type Chart'!$C$2:$T$20,5,false)*HLOOKUP($K2283,'Type Chart'!$C$2:$U$20,5,false)</f>
        <v>0.5</v>
      </c>
      <c r="Y2283" s="960">
        <f t="array" ref="Y2283">HLOOKUP($J2283,'Type Chart'!$C$2:$T$20,6,false)*HLOOKUP($K2283,'Type Chart'!$C$2:$U$20,6,false)</f>
        <v>2</v>
      </c>
      <c r="Z2283" s="960">
        <f t="array" ref="Z2283">HLOOKUP($J2283,'Type Chart'!$C$2:$T$20,7,false)*HLOOKUP($K2283,'Type Chart'!$C$2:$U$20,7,false)</f>
        <v>1</v>
      </c>
      <c r="AA2283" s="960">
        <f t="array" ref="AA2283">HLOOKUP($J2283,'Type Chart'!$C$2:$T$20,8,false)*HLOOKUP($K2283,'Type Chart'!$C$2:$U$20,8,false)</f>
        <v>0.5</v>
      </c>
      <c r="AB2283" s="960">
        <f t="array" ref="AB2283">HLOOKUP($J2283,'Type Chart'!$C$2:$T$20,9,false)*HLOOKUP($K2283,'Type Chart'!$C$2:$U$20,9,false)</f>
        <v>1</v>
      </c>
      <c r="AC2283" s="960">
        <f t="array" ref="AC2283">HLOOKUP($J2283,'Type Chart'!$C$2:$T$20,10,false)*HLOOKUP($K2283,'Type Chart'!$C$2:$U$20,10,false)</f>
        <v>1</v>
      </c>
      <c r="AD2283" s="960">
        <f t="array" ref="AD2283">HLOOKUP($J2283,'Type Chart'!$C$2:$T$20,11,false)*HLOOKUP($K2283,'Type Chart'!$C$2:$U$20,11,false)</f>
        <v>0.5</v>
      </c>
      <c r="AE2283" s="960">
        <f t="array" ref="AE2283">HLOOKUP($J2283,'Type Chart'!$C$2:$T$20,12,false)*HLOOKUP($K2283,'Type Chart'!$C$2:$U$20,12,false)</f>
        <v>0.5</v>
      </c>
      <c r="AF2283" s="960">
        <f t="array" ref="AF2283">HLOOKUP($J2283,'Type Chart'!$C$2:$T$20,13,false)*HLOOKUP($K2283,'Type Chart'!$C$2:$U$20,13,false)</f>
        <v>0.25</v>
      </c>
      <c r="AG2283" s="960">
        <f t="array" ref="AG2283">HLOOKUP($J2283,'Type Chart'!$C$2:$T$20,14,false)*HLOOKUP($K2283,'Type Chart'!$C$2:$U$20,14,false)</f>
        <v>0.5</v>
      </c>
      <c r="AH2283" s="960">
        <f t="array" ref="AH2283">HLOOKUP($J2283,'Type Chart'!$C$2:$T$20,15,false)*HLOOKUP($K2283,'Type Chart'!$C$2:$U$20,15,false)</f>
        <v>2</v>
      </c>
      <c r="AI2283" s="960">
        <f t="array" ref="AI2283">HLOOKUP($J2283,'Type Chart'!$C$2:$T$20,16,false)*HLOOKUP($K2283,'Type Chart'!$C$2:$U$20,16,false)</f>
        <v>2</v>
      </c>
      <c r="AJ2283" s="960">
        <f t="array" ref="AJ2283">HLOOKUP($J2283,'Type Chart'!$C$2:$T$20,17,false)*HLOOKUP($K2283,'Type Chart'!$C$2:$U$20,17,false)</f>
        <v>2</v>
      </c>
      <c r="AK2283" s="960">
        <f t="array" ref="AK2283">HLOOKUP($J2283,'Type Chart'!$C$2:$T$20,18,false)*HLOOKUP($K2283,'Type Chart'!$C$2:$U$20,18,false)</f>
        <v>1</v>
      </c>
      <c r="AL2283" s="960">
        <f t="array" ref="AL2283">HLOOKUP($J2283,'Type Chart'!$C$2:$T$20,19,false)*HLOOKUP($K2283,'Type Chart'!$C$2:$U$20,19,false)</f>
        <v>1</v>
      </c>
      <c r="AM2283" s="964" t="s">
        <v>3787</v>
      </c>
      <c r="AN2283" s="965"/>
      <c r="AO2283" s="966"/>
      <c r="AP2283" s="936"/>
      <c r="AQ2283" s="1245"/>
      <c r="AR2283" s="1245"/>
      <c r="AS2283" s="936"/>
    </row>
    <row r="2284" ht="15.75" customHeight="1">
      <c r="A2284" s="1099"/>
      <c r="B2284" s="948" t="s">
        <v>3835</v>
      </c>
      <c r="C2284" s="1197" t="s">
        <v>3836</v>
      </c>
      <c r="D2284" s="1197" t="s">
        <v>3836</v>
      </c>
      <c r="E2284" s="1147" t="s">
        <v>3836</v>
      </c>
      <c r="F2284" s="940"/>
      <c r="G2284" s="953"/>
      <c r="H2284" s="969"/>
      <c r="I2284" s="998" t="s">
        <v>5381</v>
      </c>
      <c r="J2284" s="1214" t="s">
        <v>342</v>
      </c>
      <c r="K2284" s="1206" t="s">
        <v>82</v>
      </c>
      <c r="L2284" s="959">
        <v>61.0</v>
      </c>
      <c r="M2284" s="960">
        <v>131.0</v>
      </c>
      <c r="N2284" s="960">
        <v>211.0</v>
      </c>
      <c r="O2284" s="960">
        <v>53.0</v>
      </c>
      <c r="P2284" s="960">
        <v>101.0</v>
      </c>
      <c r="Q2284" s="960">
        <v>13.0</v>
      </c>
      <c r="R2284" s="960">
        <v>62.0</v>
      </c>
      <c r="S2284" s="960">
        <v>125.0</v>
      </c>
      <c r="T2284" s="960">
        <v>137.0</v>
      </c>
      <c r="U2284" s="960">
        <f t="array" ref="U2284">HLOOKUP($J2284,'Type Chart'!$C$2:$T$20,2,false)*HLOOKUP($K2284,'Type Chart'!$C$2:$U$20,2,false)</f>
        <v>0.25</v>
      </c>
      <c r="V2284" s="960">
        <f t="array" ref="V2284">HLOOKUP($J2284,'Type Chart'!$C$2:$T$20,3,false)*HLOOKUP($K2284,'Type Chart'!$C$2:$U$20,3,false)</f>
        <v>4</v>
      </c>
      <c r="W2284" s="960">
        <f t="array" ref="W2284">HLOOKUP($J2284,'Type Chart'!$C$2:$T$20,4,false)*HLOOKUP($K2284,'Type Chart'!$C$2:$U$20,4,false)</f>
        <v>0.25</v>
      </c>
      <c r="X2284" s="960">
        <f t="array" ref="X2284">HLOOKUP($J2284,'Type Chart'!$C$2:$T$20,5,false)*HLOOKUP($K2284,'Type Chart'!$C$2:$U$20,5,false)</f>
        <v>0</v>
      </c>
      <c r="Y2284" s="960">
        <f t="array" ref="Y2284">HLOOKUP($J2284,'Type Chart'!$C$2:$T$20,6,false)*HLOOKUP($K2284,'Type Chart'!$C$2:$U$20,6,false)</f>
        <v>4</v>
      </c>
      <c r="Z2284" s="960">
        <f t="array" ref="Z2284">HLOOKUP($J2284,'Type Chart'!$C$2:$T$20,7,false)*HLOOKUP($K2284,'Type Chart'!$C$2:$U$20,7,false)</f>
        <v>0.5</v>
      </c>
      <c r="AA2284" s="960">
        <f t="array" ref="AA2284">HLOOKUP($J2284,'Type Chart'!$C$2:$T$20,8,false)*HLOOKUP($K2284,'Type Chart'!$C$2:$U$20,8,false)</f>
        <v>0.5</v>
      </c>
      <c r="AB2284" s="960">
        <f t="array" ref="AB2284">HLOOKUP($J2284,'Type Chart'!$C$2:$T$20,9,false)*HLOOKUP($K2284,'Type Chart'!$C$2:$U$20,9,false)</f>
        <v>1</v>
      </c>
      <c r="AC2284" s="960">
        <f t="array" ref="AC2284">HLOOKUP($J2284,'Type Chart'!$C$2:$T$20,10,false)*HLOOKUP($K2284,'Type Chart'!$C$2:$U$20,10,false)</f>
        <v>1</v>
      </c>
      <c r="AD2284" s="960">
        <f t="array" ref="AD2284">HLOOKUP($J2284,'Type Chart'!$C$2:$T$20,11,false)*HLOOKUP($K2284,'Type Chart'!$C$2:$U$20,11,false)</f>
        <v>1</v>
      </c>
      <c r="AE2284" s="960">
        <f t="array" ref="AE2284">HLOOKUP($J2284,'Type Chart'!$C$2:$T$20,12,false)*HLOOKUP($K2284,'Type Chart'!$C$2:$U$20,12,false)</f>
        <v>2</v>
      </c>
      <c r="AF2284" s="960">
        <f t="array" ref="AF2284">HLOOKUP($J2284,'Type Chart'!$C$2:$T$20,13,false)*HLOOKUP($K2284,'Type Chart'!$C$2:$U$20,13,false)</f>
        <v>1</v>
      </c>
      <c r="AG2284" s="960">
        <f t="array" ref="AG2284">HLOOKUP($J2284,'Type Chart'!$C$2:$T$20,14,false)*HLOOKUP($K2284,'Type Chart'!$C$2:$U$20,14,false)</f>
        <v>1</v>
      </c>
      <c r="AH2284" s="960">
        <f t="array" ref="AH2284">HLOOKUP($J2284,'Type Chart'!$C$2:$T$20,15,false)*HLOOKUP($K2284,'Type Chart'!$C$2:$U$20,15,false)</f>
        <v>0.5</v>
      </c>
      <c r="AI2284" s="960">
        <f t="array" ref="AI2284">HLOOKUP($J2284,'Type Chart'!$C$2:$T$20,16,false)*HLOOKUP($K2284,'Type Chart'!$C$2:$U$20,16,false)</f>
        <v>0.5</v>
      </c>
      <c r="AJ2284" s="960">
        <f t="array" ref="AJ2284">HLOOKUP($J2284,'Type Chart'!$C$2:$T$20,17,false)*HLOOKUP($K2284,'Type Chart'!$C$2:$U$20,17,false)</f>
        <v>0.5</v>
      </c>
      <c r="AK2284" s="960">
        <f t="array" ref="AK2284">HLOOKUP($J2284,'Type Chart'!$C$2:$T$20,18,false)*HLOOKUP($K2284,'Type Chart'!$C$2:$U$20,18,false)</f>
        <v>1</v>
      </c>
      <c r="AL2284" s="960">
        <f t="array" ref="AL2284">HLOOKUP($J2284,'Type Chart'!$C$2:$T$20,19,false)*HLOOKUP($K2284,'Type Chart'!$C$2:$U$20,19,false)</f>
        <v>0.5</v>
      </c>
      <c r="AM2284" s="964" t="s">
        <v>3787</v>
      </c>
      <c r="AN2284" s="965"/>
      <c r="AO2284" s="966"/>
      <c r="AP2284" s="936"/>
      <c r="AQ2284" s="1245"/>
      <c r="AR2284" s="1245"/>
      <c r="AS2284" s="936"/>
    </row>
    <row r="2285" ht="15.75" customHeight="1">
      <c r="A2285" s="1099"/>
      <c r="B2285" s="948" t="s">
        <v>3838</v>
      </c>
      <c r="C2285" s="1197" t="s">
        <v>3839</v>
      </c>
      <c r="D2285" s="1197" t="s">
        <v>3839</v>
      </c>
      <c r="E2285" s="1147" t="s">
        <v>3839</v>
      </c>
      <c r="F2285" s="940"/>
      <c r="G2285" s="953"/>
      <c r="H2285" s="969"/>
      <c r="I2285" s="998" t="s">
        <v>5382</v>
      </c>
      <c r="J2285" s="982" t="s">
        <v>150</v>
      </c>
      <c r="K2285" s="1220" t="s">
        <v>215</v>
      </c>
      <c r="L2285" s="959">
        <v>53.0</v>
      </c>
      <c r="M2285" s="960">
        <v>127.0</v>
      </c>
      <c r="N2285" s="960">
        <v>53.0</v>
      </c>
      <c r="O2285" s="960">
        <v>151.0</v>
      </c>
      <c r="P2285" s="960">
        <v>79.0</v>
      </c>
      <c r="Q2285" s="960">
        <v>107.0</v>
      </c>
      <c r="R2285" s="960">
        <v>250.0</v>
      </c>
      <c r="S2285" s="960">
        <v>313.0</v>
      </c>
      <c r="T2285" s="960">
        <v>344.0</v>
      </c>
      <c r="U2285" s="960">
        <f t="array" ref="U2285">HLOOKUP($J2285,'Type Chart'!$C$2:$T$20,2,false)*HLOOKUP($K2285,'Type Chart'!$C$2:$U$20,2,false)</f>
        <v>0</v>
      </c>
      <c r="V2285" s="960">
        <f t="array" ref="V2285">HLOOKUP($J2285,'Type Chart'!$C$2:$T$20,3,false)*HLOOKUP($K2285,'Type Chart'!$C$2:$U$20,3,false)</f>
        <v>0</v>
      </c>
      <c r="W2285" s="960">
        <f t="array" ref="W2285">HLOOKUP($J2285,'Type Chart'!$C$2:$T$20,4,false)*HLOOKUP($K2285,'Type Chart'!$C$2:$U$20,4,false)</f>
        <v>1</v>
      </c>
      <c r="X2285" s="960">
        <f t="array" ref="X2285">HLOOKUP($J2285,'Type Chart'!$C$2:$T$20,5,false)*HLOOKUP($K2285,'Type Chart'!$C$2:$U$20,5,false)</f>
        <v>0.5</v>
      </c>
      <c r="Y2285" s="960">
        <f t="array" ref="Y2285">HLOOKUP($J2285,'Type Chart'!$C$2:$T$20,6,false)*HLOOKUP($K2285,'Type Chart'!$C$2:$U$20,6,false)</f>
        <v>2</v>
      </c>
      <c r="Z2285" s="960">
        <f t="array" ref="Z2285">HLOOKUP($J2285,'Type Chart'!$C$2:$T$20,7,false)*HLOOKUP($K2285,'Type Chart'!$C$2:$U$20,7,false)</f>
        <v>2</v>
      </c>
      <c r="AA2285" s="960">
        <f t="array" ref="AA2285">HLOOKUP($J2285,'Type Chart'!$C$2:$T$20,8,false)*HLOOKUP($K2285,'Type Chart'!$C$2:$U$20,8,false)</f>
        <v>0.25</v>
      </c>
      <c r="AB2285" s="960">
        <f t="array" ref="AB2285">HLOOKUP($J2285,'Type Chart'!$C$2:$T$20,9,false)*HLOOKUP($K2285,'Type Chart'!$C$2:$U$20,9,false)</f>
        <v>2</v>
      </c>
      <c r="AC2285" s="960">
        <f t="array" ref="AC2285">HLOOKUP($J2285,'Type Chart'!$C$2:$T$20,10,false)*HLOOKUP($K2285,'Type Chart'!$C$2:$U$20,10,false)</f>
        <v>0.5</v>
      </c>
      <c r="AD2285" s="960">
        <f t="array" ref="AD2285">HLOOKUP($J2285,'Type Chart'!$C$2:$T$20,11,false)*HLOOKUP($K2285,'Type Chart'!$C$2:$U$20,11,false)</f>
        <v>0.5</v>
      </c>
      <c r="AE2285" s="960">
        <f t="array" ref="AE2285">HLOOKUP($J2285,'Type Chart'!$C$2:$T$20,12,false)*HLOOKUP($K2285,'Type Chart'!$C$2:$U$20,12,false)</f>
        <v>2</v>
      </c>
      <c r="AF2285" s="960">
        <f t="array" ref="AF2285">HLOOKUP($J2285,'Type Chart'!$C$2:$T$20,13,false)*HLOOKUP($K2285,'Type Chart'!$C$2:$U$20,13,false)</f>
        <v>0.5</v>
      </c>
      <c r="AG2285" s="960">
        <f t="array" ref="AG2285">HLOOKUP($J2285,'Type Chart'!$C$2:$T$20,14,false)*HLOOKUP($K2285,'Type Chart'!$C$2:$U$20,14,false)</f>
        <v>1</v>
      </c>
      <c r="AH2285" s="960">
        <f t="array" ref="AH2285">HLOOKUP($J2285,'Type Chart'!$C$2:$T$20,15,false)*HLOOKUP($K2285,'Type Chart'!$C$2:$U$20,15,false)</f>
        <v>1</v>
      </c>
      <c r="AI2285" s="960">
        <f t="array" ref="AI2285">HLOOKUP($J2285,'Type Chart'!$C$2:$T$20,16,false)*HLOOKUP($K2285,'Type Chart'!$C$2:$U$20,16,false)</f>
        <v>0.5</v>
      </c>
      <c r="AJ2285" s="960">
        <f t="array" ref="AJ2285">HLOOKUP($J2285,'Type Chart'!$C$2:$T$20,17,false)*HLOOKUP($K2285,'Type Chart'!$C$2:$U$20,17,false)</f>
        <v>1</v>
      </c>
      <c r="AK2285" s="960">
        <f t="array" ref="AK2285">HLOOKUP($J2285,'Type Chart'!$C$2:$T$20,18,false)*HLOOKUP($K2285,'Type Chart'!$C$2:$U$20,18,false)</f>
        <v>2</v>
      </c>
      <c r="AL2285" s="960">
        <f t="array" ref="AL2285">HLOOKUP($J2285,'Type Chart'!$C$2:$T$20,19,false)*HLOOKUP($K2285,'Type Chart'!$C$2:$U$20,19,false)</f>
        <v>0.5</v>
      </c>
      <c r="AM2285" s="964" t="s">
        <v>3787</v>
      </c>
      <c r="AN2285" s="965"/>
      <c r="AO2285" s="966"/>
      <c r="AP2285" s="936"/>
      <c r="AQ2285" s="1245"/>
      <c r="AR2285" s="1245"/>
      <c r="AS2285" s="936"/>
    </row>
    <row r="2286" ht="15.75" customHeight="1">
      <c r="A2286" s="1099"/>
      <c r="B2286" s="948" t="s">
        <v>3841</v>
      </c>
      <c r="C2286" s="1197" t="s">
        <v>3842</v>
      </c>
      <c r="D2286" s="1197" t="s">
        <v>3842</v>
      </c>
      <c r="E2286" s="1147" t="s">
        <v>3842</v>
      </c>
      <c r="F2286" s="940"/>
      <c r="G2286" s="953"/>
      <c r="H2286" s="969"/>
      <c r="I2286" s="998" t="s">
        <v>5383</v>
      </c>
      <c r="J2286" s="1196" t="s">
        <v>203</v>
      </c>
      <c r="K2286" s="984" t="s">
        <v>216</v>
      </c>
      <c r="L2286" s="959">
        <v>88.0</v>
      </c>
      <c r="M2286" s="960">
        <v>112.0</v>
      </c>
      <c r="N2286" s="960">
        <v>75.0</v>
      </c>
      <c r="O2286" s="960">
        <v>102.0</v>
      </c>
      <c r="P2286" s="960">
        <v>80.0</v>
      </c>
      <c r="Q2286" s="960">
        <v>143.0</v>
      </c>
      <c r="R2286" s="960">
        <v>322.0</v>
      </c>
      <c r="S2286" s="960">
        <v>385.0</v>
      </c>
      <c r="T2286" s="960">
        <v>423.0</v>
      </c>
      <c r="U2286" s="960">
        <f t="array" ref="U2286">HLOOKUP($J2286,'Type Chart'!$C$2:$T$20,2,false)*HLOOKUP($K2286,'Type Chart'!$C$2:$U$20,2,false)</f>
        <v>1</v>
      </c>
      <c r="V2286" s="960">
        <f t="array" ref="V2286">HLOOKUP($J2286,'Type Chart'!$C$2:$T$20,3,false)*HLOOKUP($K2286,'Type Chart'!$C$2:$U$20,3,false)</f>
        <v>1</v>
      </c>
      <c r="W2286" s="960">
        <f t="array" ref="W2286">HLOOKUP($J2286,'Type Chart'!$C$2:$T$20,4,false)*HLOOKUP($K2286,'Type Chart'!$C$2:$U$20,4,false)</f>
        <v>0.5</v>
      </c>
      <c r="X2286" s="960">
        <f t="array" ref="X2286">HLOOKUP($J2286,'Type Chart'!$C$2:$T$20,5,false)*HLOOKUP($K2286,'Type Chart'!$C$2:$U$20,5,false)</f>
        <v>1</v>
      </c>
      <c r="Y2286" s="960">
        <f t="array" ref="Y2286">HLOOKUP($J2286,'Type Chart'!$C$2:$T$20,6,false)*HLOOKUP($K2286,'Type Chart'!$C$2:$U$20,6,false)</f>
        <v>2</v>
      </c>
      <c r="Z2286" s="960">
        <f t="array" ref="Z2286">HLOOKUP($J2286,'Type Chart'!$C$2:$T$20,7,false)*HLOOKUP($K2286,'Type Chart'!$C$2:$U$20,7,false)</f>
        <v>1</v>
      </c>
      <c r="AA2286" s="960">
        <f t="array" ref="AA2286">HLOOKUP($J2286,'Type Chart'!$C$2:$T$20,8,false)*HLOOKUP($K2286,'Type Chart'!$C$2:$U$20,8,false)</f>
        <v>1</v>
      </c>
      <c r="AB2286" s="960">
        <f t="array" ref="AB2286">HLOOKUP($J2286,'Type Chart'!$C$2:$T$20,9,false)*HLOOKUP($K2286,'Type Chart'!$C$2:$U$20,9,false)</f>
        <v>1</v>
      </c>
      <c r="AC2286" s="960">
        <f t="array" ref="AC2286">HLOOKUP($J2286,'Type Chart'!$C$2:$T$20,10,false)*HLOOKUP($K2286,'Type Chart'!$C$2:$U$20,10,false)</f>
        <v>0.5</v>
      </c>
      <c r="AD2286" s="960">
        <f t="array" ref="AD2286">HLOOKUP($J2286,'Type Chart'!$C$2:$T$20,11,false)*HLOOKUP($K2286,'Type Chart'!$C$2:$U$20,11,false)</f>
        <v>1</v>
      </c>
      <c r="AE2286" s="960">
        <f t="array" ref="AE2286">HLOOKUP($J2286,'Type Chart'!$C$2:$T$20,12,false)*HLOOKUP($K2286,'Type Chart'!$C$2:$U$20,12,false)</f>
        <v>1</v>
      </c>
      <c r="AF2286" s="960">
        <f t="array" ref="AF2286">HLOOKUP($J2286,'Type Chart'!$C$2:$T$20,13,false)*HLOOKUP($K2286,'Type Chart'!$C$2:$U$20,13,false)</f>
        <v>1</v>
      </c>
      <c r="AG2286" s="960">
        <f t="array" ref="AG2286">HLOOKUP($J2286,'Type Chart'!$C$2:$T$20,14,false)*HLOOKUP($K2286,'Type Chart'!$C$2:$U$20,14,false)</f>
        <v>0.5</v>
      </c>
      <c r="AH2286" s="960">
        <f t="array" ref="AH2286">HLOOKUP($J2286,'Type Chart'!$C$2:$T$20,15,false)*HLOOKUP($K2286,'Type Chart'!$C$2:$U$20,15,false)</f>
        <v>1</v>
      </c>
      <c r="AI2286" s="960">
        <f t="array" ref="AI2286">HLOOKUP($J2286,'Type Chart'!$C$2:$T$20,16,false)*HLOOKUP($K2286,'Type Chart'!$C$2:$U$20,16,false)</f>
        <v>1</v>
      </c>
      <c r="AJ2286" s="960">
        <f t="array" ref="AJ2286">HLOOKUP($J2286,'Type Chart'!$C$2:$T$20,17,false)*HLOOKUP($K2286,'Type Chart'!$C$2:$U$20,17,false)</f>
        <v>1</v>
      </c>
      <c r="AK2286" s="960">
        <f t="array" ref="AK2286">HLOOKUP($J2286,'Type Chart'!$C$2:$T$20,18,false)*HLOOKUP($K2286,'Type Chart'!$C$2:$U$20,18,false)</f>
        <v>1</v>
      </c>
      <c r="AL2286" s="960">
        <f t="array" ref="AL2286">HLOOKUP($J2286,'Type Chart'!$C$2:$T$20,19,false)*HLOOKUP($K2286,'Type Chart'!$C$2:$U$20,19,false)</f>
        <v>1</v>
      </c>
      <c r="AM2286" s="964" t="s">
        <v>1614</v>
      </c>
      <c r="AN2286" s="965"/>
      <c r="AO2286" s="966"/>
      <c r="AP2286" s="936"/>
      <c r="AQ2286" s="1245"/>
      <c r="AR2286" s="1245"/>
      <c r="AS2286" s="936"/>
    </row>
    <row r="2287" ht="15.75" customHeight="1">
      <c r="A2287" s="1099"/>
      <c r="B2287" s="948" t="s">
        <v>3844</v>
      </c>
      <c r="C2287" s="1197" t="s">
        <v>3845</v>
      </c>
      <c r="D2287" s="1197" t="s">
        <v>3845</v>
      </c>
      <c r="E2287" s="1147" t="s">
        <v>3845</v>
      </c>
      <c r="F2287" s="940"/>
      <c r="G2287" s="953"/>
      <c r="H2287" s="969"/>
      <c r="I2287" s="998" t="s">
        <v>5384</v>
      </c>
      <c r="J2287" s="1233" t="s">
        <v>82</v>
      </c>
      <c r="K2287" s="1199" t="s">
        <v>216</v>
      </c>
      <c r="L2287" s="1200">
        <v>46.0</v>
      </c>
      <c r="M2287" s="1201">
        <v>65.0</v>
      </c>
      <c r="N2287" s="1201">
        <v>65.0</v>
      </c>
      <c r="O2287" s="1201">
        <v>55.0</v>
      </c>
      <c r="P2287" s="1201">
        <v>35.0</v>
      </c>
      <c r="Q2287" s="1201">
        <v>34.0</v>
      </c>
      <c r="R2287" s="960">
        <v>104.0</v>
      </c>
      <c r="S2287" s="960">
        <v>167.0</v>
      </c>
      <c r="T2287" s="960">
        <v>183.0</v>
      </c>
      <c r="U2287" s="960">
        <f t="array" ref="U2287">HLOOKUP($J2287,'Type Chart'!$C$2:$T$20,2,false)*HLOOKUP($K2287,'Type Chart'!$C$2:$U$20,2,false)</f>
        <v>0.5</v>
      </c>
      <c r="V2287" s="960">
        <f t="array" ref="V2287">HLOOKUP($J2287,'Type Chart'!$C$2:$T$20,3,false)*HLOOKUP($K2287,'Type Chart'!$C$2:$U$20,3,false)</f>
        <v>2</v>
      </c>
      <c r="W2287" s="960">
        <f t="array" ref="W2287">HLOOKUP($J2287,'Type Chart'!$C$2:$T$20,4,false)*HLOOKUP($K2287,'Type Chart'!$C$2:$U$20,4,false)</f>
        <v>0.5</v>
      </c>
      <c r="X2287" s="960">
        <f t="array" ref="X2287">HLOOKUP($J2287,'Type Chart'!$C$2:$T$20,5,false)*HLOOKUP($K2287,'Type Chart'!$C$2:$U$20,5,false)</f>
        <v>0</v>
      </c>
      <c r="Y2287" s="960">
        <f t="array" ref="Y2287">HLOOKUP($J2287,'Type Chart'!$C$2:$T$20,6,false)*HLOOKUP($K2287,'Type Chart'!$C$2:$U$20,6,false)</f>
        <v>2</v>
      </c>
      <c r="Z2287" s="960">
        <f t="array" ref="Z2287">HLOOKUP($J2287,'Type Chart'!$C$2:$T$20,7,false)*HLOOKUP($K2287,'Type Chart'!$C$2:$U$20,7,false)</f>
        <v>0.5</v>
      </c>
      <c r="AA2287" s="960">
        <f t="array" ref="AA2287">HLOOKUP($J2287,'Type Chart'!$C$2:$T$20,8,false)*HLOOKUP($K2287,'Type Chart'!$C$2:$U$20,8,false)</f>
        <v>0.5</v>
      </c>
      <c r="AB2287" s="960">
        <f t="array" ref="AB2287">HLOOKUP($J2287,'Type Chart'!$C$2:$T$20,9,false)*HLOOKUP($K2287,'Type Chart'!$C$2:$U$20,9,false)</f>
        <v>1</v>
      </c>
      <c r="AC2287" s="960">
        <f t="array" ref="AC2287">HLOOKUP($J2287,'Type Chart'!$C$2:$T$20,10,false)*HLOOKUP($K2287,'Type Chart'!$C$2:$U$20,10,false)</f>
        <v>0.5</v>
      </c>
      <c r="AD2287" s="960">
        <f t="array" ref="AD2287">HLOOKUP($J2287,'Type Chart'!$C$2:$T$20,11,false)*HLOOKUP($K2287,'Type Chart'!$C$2:$U$20,11,false)</f>
        <v>2</v>
      </c>
      <c r="AE2287" s="960">
        <f t="array" ref="AE2287">HLOOKUP($J2287,'Type Chart'!$C$2:$T$20,12,false)*HLOOKUP($K2287,'Type Chart'!$C$2:$U$20,12,false)</f>
        <v>1</v>
      </c>
      <c r="AF2287" s="960">
        <f t="array" ref="AF2287">HLOOKUP($J2287,'Type Chart'!$C$2:$T$20,13,false)*HLOOKUP($K2287,'Type Chart'!$C$2:$U$20,13,false)</f>
        <v>0.5</v>
      </c>
      <c r="AG2287" s="960">
        <f t="array" ref="AG2287">HLOOKUP($J2287,'Type Chart'!$C$2:$T$20,14,false)*HLOOKUP($K2287,'Type Chart'!$C$2:$U$20,14,false)</f>
        <v>1</v>
      </c>
      <c r="AH2287" s="960">
        <f t="array" ref="AH2287">HLOOKUP($J2287,'Type Chart'!$C$2:$T$20,15,false)*HLOOKUP($K2287,'Type Chart'!$C$2:$U$20,15,false)</f>
        <v>0.5</v>
      </c>
      <c r="AI2287" s="960">
        <f t="array" ref="AI2287">HLOOKUP($J2287,'Type Chart'!$C$2:$T$20,16,false)*HLOOKUP($K2287,'Type Chart'!$C$2:$U$20,16,false)</f>
        <v>0.5</v>
      </c>
      <c r="AJ2287" s="960">
        <f t="array" ref="AJ2287">HLOOKUP($J2287,'Type Chart'!$C$2:$T$20,17,false)*HLOOKUP($K2287,'Type Chart'!$C$2:$U$20,17,false)</f>
        <v>0.5</v>
      </c>
      <c r="AK2287" s="960">
        <f t="array" ref="AK2287">HLOOKUP($J2287,'Type Chart'!$C$2:$T$20,18,false)*HLOOKUP($K2287,'Type Chart'!$C$2:$U$20,18,false)</f>
        <v>1</v>
      </c>
      <c r="AL2287" s="960">
        <f t="array" ref="AL2287">HLOOKUP($J2287,'Type Chart'!$C$2:$T$20,19,false)*HLOOKUP($K2287,'Type Chart'!$C$2:$U$20,19,false)</f>
        <v>0.5</v>
      </c>
      <c r="AM2287" s="1145" t="s">
        <v>1336</v>
      </c>
      <c r="AN2287" s="965"/>
      <c r="AO2287" s="1146"/>
      <c r="AP2287" s="936"/>
      <c r="AQ2287" s="1245"/>
      <c r="AR2287" s="1245"/>
      <c r="AS2287" s="936"/>
    </row>
    <row r="2288" ht="15.75" customHeight="1">
      <c r="A2288" s="1099"/>
      <c r="B2288" s="948" t="s">
        <v>3847</v>
      </c>
      <c r="C2288" s="1197" t="s">
        <v>3848</v>
      </c>
      <c r="D2288" s="1197" t="s">
        <v>3848</v>
      </c>
      <c r="E2288" s="1147" t="s">
        <v>3848</v>
      </c>
      <c r="F2288" s="940"/>
      <c r="G2288" s="953"/>
      <c r="H2288" s="969"/>
      <c r="I2288" s="998" t="s">
        <v>5385</v>
      </c>
      <c r="J2288" s="1206" t="s">
        <v>82</v>
      </c>
      <c r="K2288" s="984" t="s">
        <v>216</v>
      </c>
      <c r="L2288" s="959">
        <v>135.0</v>
      </c>
      <c r="M2288" s="960">
        <v>143.0</v>
      </c>
      <c r="N2288" s="960">
        <v>143.0</v>
      </c>
      <c r="O2288" s="960">
        <v>80.0</v>
      </c>
      <c r="P2288" s="960">
        <v>65.0</v>
      </c>
      <c r="Q2288" s="960">
        <v>34.0</v>
      </c>
      <c r="R2288" s="960">
        <v>104.0</v>
      </c>
      <c r="S2288" s="960">
        <v>167.0</v>
      </c>
      <c r="T2288" s="960">
        <v>183.0</v>
      </c>
      <c r="U2288" s="960">
        <f t="array" ref="U2288">HLOOKUP($J2288,'Type Chart'!$C$2:$T$20,2,false)*HLOOKUP($K2288,'Type Chart'!$C$2:$U$20,2,false)</f>
        <v>0.5</v>
      </c>
      <c r="V2288" s="960">
        <f t="array" ref="V2288">HLOOKUP($J2288,'Type Chart'!$C$2:$T$20,3,false)*HLOOKUP($K2288,'Type Chart'!$C$2:$U$20,3,false)</f>
        <v>2</v>
      </c>
      <c r="W2288" s="960">
        <f t="array" ref="W2288">HLOOKUP($J2288,'Type Chart'!$C$2:$T$20,4,false)*HLOOKUP($K2288,'Type Chart'!$C$2:$U$20,4,false)</f>
        <v>0.5</v>
      </c>
      <c r="X2288" s="960">
        <f t="array" ref="X2288">HLOOKUP($J2288,'Type Chart'!$C$2:$T$20,5,false)*HLOOKUP($K2288,'Type Chart'!$C$2:$U$20,5,false)</f>
        <v>0</v>
      </c>
      <c r="Y2288" s="960">
        <f t="array" ref="Y2288">HLOOKUP($J2288,'Type Chart'!$C$2:$T$20,6,false)*HLOOKUP($K2288,'Type Chart'!$C$2:$U$20,6,false)</f>
        <v>2</v>
      </c>
      <c r="Z2288" s="960">
        <f t="array" ref="Z2288">HLOOKUP($J2288,'Type Chart'!$C$2:$T$20,7,false)*HLOOKUP($K2288,'Type Chart'!$C$2:$U$20,7,false)</f>
        <v>0.5</v>
      </c>
      <c r="AA2288" s="960">
        <f t="array" ref="AA2288">HLOOKUP($J2288,'Type Chart'!$C$2:$T$20,8,false)*HLOOKUP($K2288,'Type Chart'!$C$2:$U$20,8,false)</f>
        <v>0.5</v>
      </c>
      <c r="AB2288" s="960">
        <f t="array" ref="AB2288">HLOOKUP($J2288,'Type Chart'!$C$2:$T$20,9,false)*HLOOKUP($K2288,'Type Chart'!$C$2:$U$20,9,false)</f>
        <v>1</v>
      </c>
      <c r="AC2288" s="960">
        <f t="array" ref="AC2288">HLOOKUP($J2288,'Type Chart'!$C$2:$T$20,10,false)*HLOOKUP($K2288,'Type Chart'!$C$2:$U$20,10,false)</f>
        <v>0.5</v>
      </c>
      <c r="AD2288" s="960">
        <f t="array" ref="AD2288">HLOOKUP($J2288,'Type Chart'!$C$2:$T$20,11,false)*HLOOKUP($K2288,'Type Chart'!$C$2:$U$20,11,false)</f>
        <v>2</v>
      </c>
      <c r="AE2288" s="960">
        <f t="array" ref="AE2288">HLOOKUP($J2288,'Type Chart'!$C$2:$T$20,12,false)*HLOOKUP($K2288,'Type Chart'!$C$2:$U$20,12,false)</f>
        <v>1</v>
      </c>
      <c r="AF2288" s="960">
        <f t="array" ref="AF2288">HLOOKUP($J2288,'Type Chart'!$C$2:$T$20,13,false)*HLOOKUP($K2288,'Type Chart'!$C$2:$U$20,13,false)</f>
        <v>0.5</v>
      </c>
      <c r="AG2288" s="960">
        <f t="array" ref="AG2288">HLOOKUP($J2288,'Type Chart'!$C$2:$T$20,14,false)*HLOOKUP($K2288,'Type Chart'!$C$2:$U$20,14,false)</f>
        <v>1</v>
      </c>
      <c r="AH2288" s="960">
        <f t="array" ref="AH2288">HLOOKUP($J2288,'Type Chart'!$C$2:$T$20,15,false)*HLOOKUP($K2288,'Type Chart'!$C$2:$U$20,15,false)</f>
        <v>0.5</v>
      </c>
      <c r="AI2288" s="960">
        <f t="array" ref="AI2288">HLOOKUP($J2288,'Type Chart'!$C$2:$T$20,16,false)*HLOOKUP($K2288,'Type Chart'!$C$2:$U$20,16,false)</f>
        <v>0.5</v>
      </c>
      <c r="AJ2288" s="960">
        <f t="array" ref="AJ2288">HLOOKUP($J2288,'Type Chart'!$C$2:$T$20,17,false)*HLOOKUP($K2288,'Type Chart'!$C$2:$U$20,17,false)</f>
        <v>0.5</v>
      </c>
      <c r="AK2288" s="960">
        <f t="array" ref="AK2288">HLOOKUP($J2288,'Type Chart'!$C$2:$T$20,18,false)*HLOOKUP($K2288,'Type Chart'!$C$2:$U$20,18,false)</f>
        <v>1</v>
      </c>
      <c r="AL2288" s="960">
        <f t="array" ref="AL2288">HLOOKUP($J2288,'Type Chart'!$C$2:$T$20,19,false)*HLOOKUP($K2288,'Type Chart'!$C$2:$U$20,19,false)</f>
        <v>0.5</v>
      </c>
      <c r="AM2288" s="964" t="s">
        <v>1501</v>
      </c>
      <c r="AN2288" s="965"/>
      <c r="AO2288" s="966"/>
      <c r="AP2288" s="936"/>
      <c r="AQ2288" s="1245"/>
      <c r="AR2288" s="1245"/>
      <c r="AS2288" s="936"/>
    </row>
    <row r="2289" ht="15.75" customHeight="1">
      <c r="A2289" s="1099"/>
      <c r="B2289" s="948" t="s">
        <v>3850</v>
      </c>
      <c r="C2289" s="1197" t="s">
        <v>3851</v>
      </c>
      <c r="D2289" s="1197" t="s">
        <v>3851</v>
      </c>
      <c r="E2289" s="1147" t="s">
        <v>3851</v>
      </c>
      <c r="F2289" s="940"/>
      <c r="G2289" s="953"/>
      <c r="H2289" s="969"/>
      <c r="I2289" s="998" t="s">
        <v>5386</v>
      </c>
      <c r="J2289" s="957" t="s">
        <v>209</v>
      </c>
      <c r="K2289" s="984" t="s">
        <v>216</v>
      </c>
      <c r="L2289" s="959">
        <v>50.0</v>
      </c>
      <c r="M2289" s="960">
        <v>65.0</v>
      </c>
      <c r="N2289" s="960">
        <v>50.0</v>
      </c>
      <c r="O2289" s="960">
        <v>40.0</v>
      </c>
      <c r="P2289" s="960">
        <v>40.0</v>
      </c>
      <c r="Q2289" s="960">
        <v>65.0</v>
      </c>
      <c r="R2289" s="960">
        <v>166.0</v>
      </c>
      <c r="S2289" s="960">
        <v>229.0</v>
      </c>
      <c r="T2289" s="960">
        <v>251.0</v>
      </c>
      <c r="U2289" s="960">
        <f t="array" ref="U2289">HLOOKUP($J2289,'Type Chart'!$C$2:$T$20,2,false)*HLOOKUP($K2289,'Type Chart'!$C$2:$U$20,2,false)</f>
        <v>1</v>
      </c>
      <c r="V2289" s="960">
        <f t="array" ref="V2289">HLOOKUP($J2289,'Type Chart'!$C$2:$T$20,3,false)*HLOOKUP($K2289,'Type Chart'!$C$2:$U$20,3,false)</f>
        <v>1</v>
      </c>
      <c r="W2289" s="960">
        <f t="array" ref="W2289">HLOOKUP($J2289,'Type Chart'!$C$2:$T$20,4,false)*HLOOKUP($K2289,'Type Chart'!$C$2:$U$20,4,false)</f>
        <v>2</v>
      </c>
      <c r="X2289" s="960">
        <f t="array" ref="X2289">HLOOKUP($J2289,'Type Chart'!$C$2:$T$20,5,false)*HLOOKUP($K2289,'Type Chart'!$C$2:$U$20,5,false)</f>
        <v>2</v>
      </c>
      <c r="Y2289" s="960">
        <f t="array" ref="Y2289">HLOOKUP($J2289,'Type Chart'!$C$2:$T$20,6,false)*HLOOKUP($K2289,'Type Chart'!$C$2:$U$20,6,false)</f>
        <v>0.5</v>
      </c>
      <c r="Z2289" s="960">
        <f t="array" ref="Z2289">HLOOKUP($J2289,'Type Chart'!$C$2:$T$20,7,false)*HLOOKUP($K2289,'Type Chart'!$C$2:$U$20,7,false)</f>
        <v>1</v>
      </c>
      <c r="AA2289" s="960">
        <f t="array" ref="AA2289">HLOOKUP($J2289,'Type Chart'!$C$2:$T$20,8,false)*HLOOKUP($K2289,'Type Chart'!$C$2:$U$20,8,false)</f>
        <v>2</v>
      </c>
      <c r="AB2289" s="960">
        <f t="array" ref="AB2289">HLOOKUP($J2289,'Type Chart'!$C$2:$T$20,9,false)*HLOOKUP($K2289,'Type Chart'!$C$2:$U$20,9,false)</f>
        <v>1</v>
      </c>
      <c r="AC2289" s="960">
        <f t="array" ref="AC2289">HLOOKUP($J2289,'Type Chart'!$C$2:$T$20,10,false)*HLOOKUP($K2289,'Type Chart'!$C$2:$U$20,10,false)</f>
        <v>1</v>
      </c>
      <c r="AD2289" s="960">
        <f t="array" ref="AD2289">HLOOKUP($J2289,'Type Chart'!$C$2:$T$20,11,false)*HLOOKUP($K2289,'Type Chart'!$C$2:$U$20,11,false)</f>
        <v>2</v>
      </c>
      <c r="AE2289" s="960">
        <f t="array" ref="AE2289">HLOOKUP($J2289,'Type Chart'!$C$2:$T$20,12,false)*HLOOKUP($K2289,'Type Chart'!$C$2:$U$20,12,false)</f>
        <v>0.5</v>
      </c>
      <c r="AF2289" s="960">
        <f t="array" ref="AF2289">HLOOKUP($J2289,'Type Chart'!$C$2:$T$20,13,false)*HLOOKUP($K2289,'Type Chart'!$C$2:$U$20,13,false)</f>
        <v>0.5</v>
      </c>
      <c r="AG2289" s="960">
        <f t="array" ref="AG2289">HLOOKUP($J2289,'Type Chart'!$C$2:$T$20,14,false)*HLOOKUP($K2289,'Type Chart'!$C$2:$U$20,14,false)</f>
        <v>0.5</v>
      </c>
      <c r="AH2289" s="960">
        <f t="array" ref="AH2289">HLOOKUP($J2289,'Type Chart'!$C$2:$T$20,15,false)*HLOOKUP($K2289,'Type Chart'!$C$2:$U$20,15,false)</f>
        <v>1</v>
      </c>
      <c r="AI2289" s="960">
        <f t="array" ref="AI2289">HLOOKUP($J2289,'Type Chart'!$C$2:$T$20,16,false)*HLOOKUP($K2289,'Type Chart'!$C$2:$U$20,16,false)</f>
        <v>2</v>
      </c>
      <c r="AJ2289" s="960">
        <f t="array" ref="AJ2289">HLOOKUP($J2289,'Type Chart'!$C$2:$T$20,17,false)*HLOOKUP($K2289,'Type Chart'!$C$2:$U$20,17,false)</f>
        <v>1</v>
      </c>
      <c r="AK2289" s="960">
        <f t="array" ref="AK2289">HLOOKUP($J2289,'Type Chart'!$C$2:$T$20,18,false)*HLOOKUP($K2289,'Type Chart'!$C$2:$U$20,18,false)</f>
        <v>1</v>
      </c>
      <c r="AL2289" s="960">
        <f t="array" ref="AL2289">HLOOKUP($J2289,'Type Chart'!$C$2:$T$20,19,false)*HLOOKUP($K2289,'Type Chart'!$C$2:$U$20,19,false)</f>
        <v>1</v>
      </c>
      <c r="AM2289" s="964" t="s">
        <v>522</v>
      </c>
      <c r="AN2289" s="965"/>
      <c r="AO2289" s="966" t="s">
        <v>3768</v>
      </c>
      <c r="AP2289" s="936"/>
      <c r="AQ2289" s="1245"/>
      <c r="AR2289" s="1245"/>
      <c r="AS2289" s="936"/>
    </row>
    <row r="2290" ht="15.75" customHeight="1">
      <c r="A2290" s="1099"/>
      <c r="B2290" s="948" t="s">
        <v>3853</v>
      </c>
      <c r="C2290" s="1197" t="s">
        <v>3854</v>
      </c>
      <c r="D2290" s="1197" t="s">
        <v>3854</v>
      </c>
      <c r="E2290" s="1147" t="s">
        <v>3854</v>
      </c>
      <c r="F2290" s="940"/>
      <c r="G2290" s="953"/>
      <c r="H2290" s="969"/>
      <c r="I2290" s="998" t="s">
        <v>5387</v>
      </c>
      <c r="J2290" s="1228" t="s">
        <v>209</v>
      </c>
      <c r="K2290" s="1199" t="s">
        <v>216</v>
      </c>
      <c r="L2290" s="1200">
        <v>70.0</v>
      </c>
      <c r="M2290" s="1201">
        <v>85.0</v>
      </c>
      <c r="N2290" s="1201">
        <v>70.0</v>
      </c>
      <c r="O2290" s="1201">
        <v>55.0</v>
      </c>
      <c r="P2290" s="1201">
        <v>60.0</v>
      </c>
      <c r="Q2290" s="1201">
        <v>80.0</v>
      </c>
      <c r="R2290" s="960">
        <v>196.0</v>
      </c>
      <c r="S2290" s="960">
        <v>259.0</v>
      </c>
      <c r="T2290" s="960">
        <v>284.0</v>
      </c>
      <c r="U2290" s="960">
        <f t="array" ref="U2290">HLOOKUP($J2290,'Type Chart'!$C$2:$T$20,2,false)*HLOOKUP($K2290,'Type Chart'!$C$2:$U$20,2,false)</f>
        <v>1</v>
      </c>
      <c r="V2290" s="960">
        <f t="array" ref="V2290">HLOOKUP($J2290,'Type Chart'!$C$2:$T$20,3,false)*HLOOKUP($K2290,'Type Chart'!$C$2:$U$20,3,false)</f>
        <v>1</v>
      </c>
      <c r="W2290" s="960">
        <f t="array" ref="W2290">HLOOKUP($J2290,'Type Chart'!$C$2:$T$20,4,false)*HLOOKUP($K2290,'Type Chart'!$C$2:$U$20,4,false)</f>
        <v>2</v>
      </c>
      <c r="X2290" s="960">
        <f t="array" ref="X2290">HLOOKUP($J2290,'Type Chart'!$C$2:$T$20,5,false)*HLOOKUP($K2290,'Type Chart'!$C$2:$U$20,5,false)</f>
        <v>2</v>
      </c>
      <c r="Y2290" s="960">
        <f t="array" ref="Y2290">HLOOKUP($J2290,'Type Chart'!$C$2:$T$20,6,false)*HLOOKUP($K2290,'Type Chart'!$C$2:$U$20,6,false)</f>
        <v>0.5</v>
      </c>
      <c r="Z2290" s="960">
        <f t="array" ref="Z2290">HLOOKUP($J2290,'Type Chart'!$C$2:$T$20,7,false)*HLOOKUP($K2290,'Type Chart'!$C$2:$U$20,7,false)</f>
        <v>1</v>
      </c>
      <c r="AA2290" s="960">
        <f t="array" ref="AA2290">HLOOKUP($J2290,'Type Chart'!$C$2:$T$20,8,false)*HLOOKUP($K2290,'Type Chart'!$C$2:$U$20,8,false)</f>
        <v>2</v>
      </c>
      <c r="AB2290" s="960">
        <f t="array" ref="AB2290">HLOOKUP($J2290,'Type Chart'!$C$2:$T$20,9,false)*HLOOKUP($K2290,'Type Chart'!$C$2:$U$20,9,false)</f>
        <v>1</v>
      </c>
      <c r="AC2290" s="960">
        <f t="array" ref="AC2290">HLOOKUP($J2290,'Type Chart'!$C$2:$T$20,10,false)*HLOOKUP($K2290,'Type Chart'!$C$2:$U$20,10,false)</f>
        <v>1</v>
      </c>
      <c r="AD2290" s="960">
        <f t="array" ref="AD2290">HLOOKUP($J2290,'Type Chart'!$C$2:$T$20,11,false)*HLOOKUP($K2290,'Type Chart'!$C$2:$U$20,11,false)</f>
        <v>2</v>
      </c>
      <c r="AE2290" s="960">
        <f t="array" ref="AE2290">HLOOKUP($J2290,'Type Chart'!$C$2:$T$20,12,false)*HLOOKUP($K2290,'Type Chart'!$C$2:$U$20,12,false)</f>
        <v>0.5</v>
      </c>
      <c r="AF2290" s="960">
        <f t="array" ref="AF2290">HLOOKUP($J2290,'Type Chart'!$C$2:$T$20,13,false)*HLOOKUP($K2290,'Type Chart'!$C$2:$U$20,13,false)</f>
        <v>0.5</v>
      </c>
      <c r="AG2290" s="960">
        <f t="array" ref="AG2290">HLOOKUP($J2290,'Type Chart'!$C$2:$T$20,14,false)*HLOOKUP($K2290,'Type Chart'!$C$2:$U$20,14,false)</f>
        <v>0.5</v>
      </c>
      <c r="AH2290" s="960">
        <f t="array" ref="AH2290">HLOOKUP($J2290,'Type Chart'!$C$2:$T$20,15,false)*HLOOKUP($K2290,'Type Chart'!$C$2:$U$20,15,false)</f>
        <v>1</v>
      </c>
      <c r="AI2290" s="960">
        <f t="array" ref="AI2290">HLOOKUP($J2290,'Type Chart'!$C$2:$T$20,16,false)*HLOOKUP($K2290,'Type Chart'!$C$2:$U$20,16,false)</f>
        <v>2</v>
      </c>
      <c r="AJ2290" s="960">
        <f t="array" ref="AJ2290">HLOOKUP($J2290,'Type Chart'!$C$2:$T$20,17,false)*HLOOKUP($K2290,'Type Chart'!$C$2:$U$20,17,false)</f>
        <v>1</v>
      </c>
      <c r="AK2290" s="960">
        <f t="array" ref="AK2290">HLOOKUP($J2290,'Type Chart'!$C$2:$T$20,18,false)*HLOOKUP($K2290,'Type Chart'!$C$2:$U$20,18,false)</f>
        <v>1</v>
      </c>
      <c r="AL2290" s="960">
        <f t="array" ref="AL2290">HLOOKUP($J2290,'Type Chart'!$C$2:$T$20,19,false)*HLOOKUP($K2290,'Type Chart'!$C$2:$U$20,19,false)</f>
        <v>1</v>
      </c>
      <c r="AM2290" s="1145" t="s">
        <v>522</v>
      </c>
      <c r="AN2290" s="1202"/>
      <c r="AO2290" s="1146" t="s">
        <v>3768</v>
      </c>
      <c r="AP2290" s="936"/>
      <c r="AQ2290" s="1245"/>
      <c r="AR2290" s="1245"/>
      <c r="AS2290" s="936"/>
    </row>
    <row r="2291" ht="15.75" customHeight="1">
      <c r="A2291" s="1099"/>
      <c r="B2291" s="948" t="s">
        <v>3855</v>
      </c>
      <c r="C2291" s="1197" t="s">
        <v>3856</v>
      </c>
      <c r="D2291" s="1197" t="s">
        <v>3856</v>
      </c>
      <c r="E2291" s="1147" t="s">
        <v>3856</v>
      </c>
      <c r="F2291" s="940"/>
      <c r="G2291" s="953"/>
      <c r="H2291" s="969"/>
      <c r="I2291" s="998" t="s">
        <v>5388</v>
      </c>
      <c r="J2291" s="957" t="s">
        <v>209</v>
      </c>
      <c r="K2291" s="984" t="s">
        <v>216</v>
      </c>
      <c r="L2291" s="959">
        <v>100.0</v>
      </c>
      <c r="M2291" s="960">
        <v>125.0</v>
      </c>
      <c r="N2291" s="960">
        <v>90.0</v>
      </c>
      <c r="O2291" s="960">
        <v>60.0</v>
      </c>
      <c r="P2291" s="960">
        <v>70.0</v>
      </c>
      <c r="Q2291" s="960">
        <v>85.0</v>
      </c>
      <c r="R2291" s="960">
        <v>206.0</v>
      </c>
      <c r="S2291" s="960">
        <v>269.0</v>
      </c>
      <c r="T2291" s="960">
        <v>295.0</v>
      </c>
      <c r="U2291" s="960">
        <f t="array" ref="U2291">HLOOKUP($J2291,'Type Chart'!$C$2:$T$20,2,false)*HLOOKUP($K2291,'Type Chart'!$C$2:$U$20,2,false)</f>
        <v>1</v>
      </c>
      <c r="V2291" s="960">
        <f t="array" ref="V2291">HLOOKUP($J2291,'Type Chart'!$C$2:$T$20,3,false)*HLOOKUP($K2291,'Type Chart'!$C$2:$U$20,3,false)</f>
        <v>1</v>
      </c>
      <c r="W2291" s="960">
        <f t="array" ref="W2291">HLOOKUP($J2291,'Type Chart'!$C$2:$T$20,4,false)*HLOOKUP($K2291,'Type Chart'!$C$2:$U$20,4,false)</f>
        <v>2</v>
      </c>
      <c r="X2291" s="960">
        <f t="array" ref="X2291">HLOOKUP($J2291,'Type Chart'!$C$2:$T$20,5,false)*HLOOKUP($K2291,'Type Chart'!$C$2:$U$20,5,false)</f>
        <v>2</v>
      </c>
      <c r="Y2291" s="960">
        <f t="array" ref="Y2291">HLOOKUP($J2291,'Type Chart'!$C$2:$T$20,6,false)*HLOOKUP($K2291,'Type Chart'!$C$2:$U$20,6,false)</f>
        <v>0.5</v>
      </c>
      <c r="Z2291" s="960">
        <f t="array" ref="Z2291">HLOOKUP($J2291,'Type Chart'!$C$2:$T$20,7,false)*HLOOKUP($K2291,'Type Chart'!$C$2:$U$20,7,false)</f>
        <v>1</v>
      </c>
      <c r="AA2291" s="960">
        <f t="array" ref="AA2291">HLOOKUP($J2291,'Type Chart'!$C$2:$T$20,8,false)*HLOOKUP($K2291,'Type Chart'!$C$2:$U$20,8,false)</f>
        <v>2</v>
      </c>
      <c r="AB2291" s="960">
        <f t="array" ref="AB2291">HLOOKUP($J2291,'Type Chart'!$C$2:$T$20,9,false)*HLOOKUP($K2291,'Type Chart'!$C$2:$U$20,9,false)</f>
        <v>1</v>
      </c>
      <c r="AC2291" s="960">
        <f t="array" ref="AC2291">HLOOKUP($J2291,'Type Chart'!$C$2:$T$20,10,false)*HLOOKUP($K2291,'Type Chart'!$C$2:$U$20,10,false)</f>
        <v>1</v>
      </c>
      <c r="AD2291" s="960">
        <f t="array" ref="AD2291">HLOOKUP($J2291,'Type Chart'!$C$2:$T$20,11,false)*HLOOKUP($K2291,'Type Chart'!$C$2:$U$20,11,false)</f>
        <v>2</v>
      </c>
      <c r="AE2291" s="960">
        <f t="array" ref="AE2291">HLOOKUP($J2291,'Type Chart'!$C$2:$T$20,12,false)*HLOOKUP($K2291,'Type Chart'!$C$2:$U$20,12,false)</f>
        <v>0.5</v>
      </c>
      <c r="AF2291" s="960">
        <f t="array" ref="AF2291">HLOOKUP($J2291,'Type Chart'!$C$2:$T$20,13,false)*HLOOKUP($K2291,'Type Chart'!$C$2:$U$20,13,false)</f>
        <v>0.5</v>
      </c>
      <c r="AG2291" s="960">
        <f t="array" ref="AG2291">HLOOKUP($J2291,'Type Chart'!$C$2:$T$20,14,false)*HLOOKUP($K2291,'Type Chart'!$C$2:$U$20,14,false)</f>
        <v>0.5</v>
      </c>
      <c r="AH2291" s="960">
        <f t="array" ref="AH2291">HLOOKUP($J2291,'Type Chart'!$C$2:$T$20,15,false)*HLOOKUP($K2291,'Type Chart'!$C$2:$U$20,15,false)</f>
        <v>1</v>
      </c>
      <c r="AI2291" s="960">
        <f t="array" ref="AI2291">HLOOKUP($J2291,'Type Chart'!$C$2:$T$20,16,false)*HLOOKUP($K2291,'Type Chart'!$C$2:$U$20,16,false)</f>
        <v>2</v>
      </c>
      <c r="AJ2291" s="960">
        <f t="array" ref="AJ2291">HLOOKUP($J2291,'Type Chart'!$C$2:$T$20,17,false)*HLOOKUP($K2291,'Type Chart'!$C$2:$U$20,17,false)</f>
        <v>1</v>
      </c>
      <c r="AK2291" s="960">
        <f t="array" ref="AK2291">HLOOKUP($J2291,'Type Chart'!$C$2:$T$20,18,false)*HLOOKUP($K2291,'Type Chart'!$C$2:$U$20,18,false)</f>
        <v>1</v>
      </c>
      <c r="AL2291" s="960">
        <f t="array" ref="AL2291">HLOOKUP($J2291,'Type Chart'!$C$2:$T$20,19,false)*HLOOKUP($K2291,'Type Chart'!$C$2:$U$20,19,false)</f>
        <v>1</v>
      </c>
      <c r="AM2291" s="964" t="s">
        <v>522</v>
      </c>
      <c r="AN2291" s="965"/>
      <c r="AO2291" s="966" t="s">
        <v>3768</v>
      </c>
      <c r="AP2291" s="936"/>
      <c r="AQ2291" s="1245"/>
      <c r="AR2291" s="1245"/>
      <c r="AS2291" s="936"/>
    </row>
    <row r="2292" ht="15.75" customHeight="1">
      <c r="A2292" s="1099"/>
      <c r="B2292" s="948" t="s">
        <v>3857</v>
      </c>
      <c r="C2292" s="1197" t="s">
        <v>3858</v>
      </c>
      <c r="D2292" s="1197" t="s">
        <v>3858</v>
      </c>
      <c r="E2292" s="1147" t="s">
        <v>3858</v>
      </c>
      <c r="F2292" s="940"/>
      <c r="G2292" s="953"/>
      <c r="H2292" s="969"/>
      <c r="I2292" s="998" t="s">
        <v>5389</v>
      </c>
      <c r="J2292" s="982" t="s">
        <v>150</v>
      </c>
      <c r="K2292" s="984" t="s">
        <v>216</v>
      </c>
      <c r="L2292" s="959">
        <v>50.0</v>
      </c>
      <c r="M2292" s="960">
        <v>71.0</v>
      </c>
      <c r="N2292" s="960">
        <v>40.0</v>
      </c>
      <c r="O2292" s="960">
        <v>40.0</v>
      </c>
      <c r="P2292" s="960">
        <v>40.0</v>
      </c>
      <c r="Q2292" s="960">
        <v>69.0</v>
      </c>
      <c r="R2292" s="960">
        <v>174.0</v>
      </c>
      <c r="S2292" s="960">
        <v>237.0</v>
      </c>
      <c r="T2292" s="960">
        <v>260.0</v>
      </c>
      <c r="U2292" s="960">
        <f t="array" ref="U2292">HLOOKUP($J2292,'Type Chart'!$C$2:$T$20,2,false)*HLOOKUP($K2292,'Type Chart'!$C$2:$U$20,2,false)</f>
        <v>1</v>
      </c>
      <c r="V2292" s="960">
        <f t="array" ref="V2292">HLOOKUP($J2292,'Type Chart'!$C$2:$T$20,3,false)*HLOOKUP($K2292,'Type Chart'!$C$2:$U$20,3,false)</f>
        <v>1</v>
      </c>
      <c r="W2292" s="960">
        <f t="array" ref="W2292">HLOOKUP($J2292,'Type Chart'!$C$2:$T$20,4,false)*HLOOKUP($K2292,'Type Chart'!$C$2:$U$20,4,false)</f>
        <v>1</v>
      </c>
      <c r="X2292" s="960">
        <f t="array" ref="X2292">HLOOKUP($J2292,'Type Chart'!$C$2:$T$20,5,false)*HLOOKUP($K2292,'Type Chart'!$C$2:$U$20,5,false)</f>
        <v>1</v>
      </c>
      <c r="Y2292" s="960">
        <f t="array" ref="Y2292">HLOOKUP($J2292,'Type Chart'!$C$2:$T$20,6,false)*HLOOKUP($K2292,'Type Chart'!$C$2:$U$20,6,false)</f>
        <v>2</v>
      </c>
      <c r="Z2292" s="960">
        <f t="array" ref="Z2292">HLOOKUP($J2292,'Type Chart'!$C$2:$T$20,7,false)*HLOOKUP($K2292,'Type Chart'!$C$2:$U$20,7,false)</f>
        <v>2</v>
      </c>
      <c r="AA2292" s="960">
        <f t="array" ref="AA2292">HLOOKUP($J2292,'Type Chart'!$C$2:$T$20,8,false)*HLOOKUP($K2292,'Type Chart'!$C$2:$U$20,8,false)</f>
        <v>0.5</v>
      </c>
      <c r="AB2292" s="960">
        <f t="array" ref="AB2292">HLOOKUP($J2292,'Type Chart'!$C$2:$T$20,9,false)*HLOOKUP($K2292,'Type Chart'!$C$2:$U$20,9,false)</f>
        <v>1</v>
      </c>
      <c r="AC2292" s="960">
        <f t="array" ref="AC2292">HLOOKUP($J2292,'Type Chart'!$C$2:$T$20,10,false)*HLOOKUP($K2292,'Type Chart'!$C$2:$U$20,10,false)</f>
        <v>0.5</v>
      </c>
      <c r="AD2292" s="960">
        <f t="array" ref="AD2292">HLOOKUP($J2292,'Type Chart'!$C$2:$T$20,11,false)*HLOOKUP($K2292,'Type Chart'!$C$2:$U$20,11,false)</f>
        <v>0.5</v>
      </c>
      <c r="AE2292" s="960">
        <f t="array" ref="AE2292">HLOOKUP($J2292,'Type Chart'!$C$2:$T$20,12,false)*HLOOKUP($K2292,'Type Chart'!$C$2:$U$20,12,false)</f>
        <v>2</v>
      </c>
      <c r="AF2292" s="960">
        <f t="array" ref="AF2292">HLOOKUP($J2292,'Type Chart'!$C$2:$T$20,13,false)*HLOOKUP($K2292,'Type Chart'!$C$2:$U$20,13,false)</f>
        <v>0.5</v>
      </c>
      <c r="AG2292" s="960">
        <f t="array" ref="AG2292">HLOOKUP($J2292,'Type Chart'!$C$2:$T$20,14,false)*HLOOKUP($K2292,'Type Chart'!$C$2:$U$20,14,false)</f>
        <v>1</v>
      </c>
      <c r="AH2292" s="960">
        <f t="array" ref="AH2292">HLOOKUP($J2292,'Type Chart'!$C$2:$T$20,15,false)*HLOOKUP($K2292,'Type Chart'!$C$2:$U$20,15,false)</f>
        <v>1</v>
      </c>
      <c r="AI2292" s="960">
        <f t="array" ref="AI2292">HLOOKUP($J2292,'Type Chart'!$C$2:$T$20,16,false)*HLOOKUP($K2292,'Type Chart'!$C$2:$U$20,16,false)</f>
        <v>0.5</v>
      </c>
      <c r="AJ2292" s="960">
        <f t="array" ref="AJ2292">HLOOKUP($J2292,'Type Chart'!$C$2:$T$20,17,false)*HLOOKUP($K2292,'Type Chart'!$C$2:$U$20,17,false)</f>
        <v>1</v>
      </c>
      <c r="AK2292" s="960">
        <f t="array" ref="AK2292">HLOOKUP($J2292,'Type Chart'!$C$2:$T$20,18,false)*HLOOKUP($K2292,'Type Chart'!$C$2:$U$20,18,false)</f>
        <v>1</v>
      </c>
      <c r="AL2292" s="960">
        <f t="array" ref="AL2292">HLOOKUP($J2292,'Type Chart'!$C$2:$T$20,19,false)*HLOOKUP($K2292,'Type Chart'!$C$2:$U$20,19,false)</f>
        <v>0.5</v>
      </c>
      <c r="AM2292" s="1145" t="s">
        <v>830</v>
      </c>
      <c r="AN2292" s="965"/>
      <c r="AO2292" s="1146" t="s">
        <v>3860</v>
      </c>
      <c r="AP2292" s="936"/>
      <c r="AQ2292" s="1245"/>
      <c r="AR2292" s="1245"/>
      <c r="AS2292" s="936"/>
    </row>
    <row r="2293" ht="15.75" customHeight="1">
      <c r="A2293" s="1099"/>
      <c r="B2293" s="948" t="s">
        <v>3861</v>
      </c>
      <c r="C2293" s="1197" t="s">
        <v>3862</v>
      </c>
      <c r="D2293" s="1197" t="s">
        <v>3862</v>
      </c>
      <c r="E2293" s="1147" t="s">
        <v>3862</v>
      </c>
      <c r="F2293" s="940"/>
      <c r="G2293" s="953"/>
      <c r="H2293" s="969"/>
      <c r="I2293" s="998" t="s">
        <v>5390</v>
      </c>
      <c r="J2293" s="982" t="s">
        <v>150</v>
      </c>
      <c r="K2293" s="984" t="s">
        <v>216</v>
      </c>
      <c r="L2293" s="959">
        <v>65.0</v>
      </c>
      <c r="M2293" s="960">
        <v>86.0</v>
      </c>
      <c r="N2293" s="960">
        <v>60.0</v>
      </c>
      <c r="O2293" s="960">
        <v>55.0</v>
      </c>
      <c r="P2293" s="960">
        <v>60.0</v>
      </c>
      <c r="Q2293" s="960">
        <v>94.0</v>
      </c>
      <c r="R2293" s="960">
        <v>224.0</v>
      </c>
      <c r="S2293" s="960">
        <v>287.0</v>
      </c>
      <c r="T2293" s="960">
        <v>315.0</v>
      </c>
      <c r="U2293" s="960">
        <f t="array" ref="U2293">HLOOKUP($J2293,'Type Chart'!$C$2:$T$20,2,false)*HLOOKUP($K2293,'Type Chart'!$C$2:$U$20,2,false)</f>
        <v>1</v>
      </c>
      <c r="V2293" s="960">
        <f t="array" ref="V2293">HLOOKUP($J2293,'Type Chart'!$C$2:$T$20,3,false)*HLOOKUP($K2293,'Type Chart'!$C$2:$U$20,3,false)</f>
        <v>1</v>
      </c>
      <c r="W2293" s="960">
        <f t="array" ref="W2293">HLOOKUP($J2293,'Type Chart'!$C$2:$T$20,4,false)*HLOOKUP($K2293,'Type Chart'!$C$2:$U$20,4,false)</f>
        <v>1</v>
      </c>
      <c r="X2293" s="960">
        <f t="array" ref="X2293">HLOOKUP($J2293,'Type Chart'!$C$2:$T$20,5,false)*HLOOKUP($K2293,'Type Chart'!$C$2:$U$20,5,false)</f>
        <v>1</v>
      </c>
      <c r="Y2293" s="960">
        <f t="array" ref="Y2293">HLOOKUP($J2293,'Type Chart'!$C$2:$T$20,6,false)*HLOOKUP($K2293,'Type Chart'!$C$2:$U$20,6,false)</f>
        <v>2</v>
      </c>
      <c r="Z2293" s="960">
        <f t="array" ref="Z2293">HLOOKUP($J2293,'Type Chart'!$C$2:$T$20,7,false)*HLOOKUP($K2293,'Type Chart'!$C$2:$U$20,7,false)</f>
        <v>2</v>
      </c>
      <c r="AA2293" s="960">
        <f t="array" ref="AA2293">HLOOKUP($J2293,'Type Chart'!$C$2:$T$20,8,false)*HLOOKUP($K2293,'Type Chart'!$C$2:$U$20,8,false)</f>
        <v>0.5</v>
      </c>
      <c r="AB2293" s="960">
        <f t="array" ref="AB2293">HLOOKUP($J2293,'Type Chart'!$C$2:$T$20,9,false)*HLOOKUP($K2293,'Type Chart'!$C$2:$U$20,9,false)</f>
        <v>1</v>
      </c>
      <c r="AC2293" s="960">
        <f t="array" ref="AC2293">HLOOKUP($J2293,'Type Chart'!$C$2:$T$20,10,false)*HLOOKUP($K2293,'Type Chart'!$C$2:$U$20,10,false)</f>
        <v>0.5</v>
      </c>
      <c r="AD2293" s="960">
        <f t="array" ref="AD2293">HLOOKUP($J2293,'Type Chart'!$C$2:$T$20,11,false)*HLOOKUP($K2293,'Type Chart'!$C$2:$U$20,11,false)</f>
        <v>0.5</v>
      </c>
      <c r="AE2293" s="960">
        <f t="array" ref="AE2293">HLOOKUP($J2293,'Type Chart'!$C$2:$T$20,12,false)*HLOOKUP($K2293,'Type Chart'!$C$2:$U$20,12,false)</f>
        <v>2</v>
      </c>
      <c r="AF2293" s="960">
        <f t="array" ref="AF2293">HLOOKUP($J2293,'Type Chart'!$C$2:$T$20,13,false)*HLOOKUP($K2293,'Type Chart'!$C$2:$U$20,13,false)</f>
        <v>0.5</v>
      </c>
      <c r="AG2293" s="960">
        <f t="array" ref="AG2293">HLOOKUP($J2293,'Type Chart'!$C$2:$T$20,14,false)*HLOOKUP($K2293,'Type Chart'!$C$2:$U$20,14,false)</f>
        <v>1</v>
      </c>
      <c r="AH2293" s="960">
        <f t="array" ref="AH2293">HLOOKUP($J2293,'Type Chart'!$C$2:$T$20,15,false)*HLOOKUP($K2293,'Type Chart'!$C$2:$U$20,15,false)</f>
        <v>1</v>
      </c>
      <c r="AI2293" s="960">
        <f t="array" ref="AI2293">HLOOKUP($J2293,'Type Chart'!$C$2:$T$20,16,false)*HLOOKUP($K2293,'Type Chart'!$C$2:$U$20,16,false)</f>
        <v>0.5</v>
      </c>
      <c r="AJ2293" s="960">
        <f t="array" ref="AJ2293">HLOOKUP($J2293,'Type Chart'!$C$2:$T$20,17,false)*HLOOKUP($K2293,'Type Chart'!$C$2:$U$20,17,false)</f>
        <v>1</v>
      </c>
      <c r="AK2293" s="960">
        <f t="array" ref="AK2293">HLOOKUP($J2293,'Type Chart'!$C$2:$T$20,18,false)*HLOOKUP($K2293,'Type Chart'!$C$2:$U$20,18,false)</f>
        <v>1</v>
      </c>
      <c r="AL2293" s="960">
        <f t="array" ref="AL2293">HLOOKUP($J2293,'Type Chart'!$C$2:$T$20,19,false)*HLOOKUP($K2293,'Type Chart'!$C$2:$U$20,19,false)</f>
        <v>0.5</v>
      </c>
      <c r="AM2293" s="964" t="s">
        <v>830</v>
      </c>
      <c r="AN2293" s="965"/>
      <c r="AO2293" s="966" t="s">
        <v>3860</v>
      </c>
      <c r="AP2293" s="936"/>
      <c r="AQ2293" s="1245"/>
      <c r="AR2293" s="1245"/>
      <c r="AS2293" s="936"/>
    </row>
    <row r="2294" ht="15.75" customHeight="1">
      <c r="A2294" s="1099"/>
      <c r="B2294" s="948" t="s">
        <v>3863</v>
      </c>
      <c r="C2294" s="1197" t="s">
        <v>117</v>
      </c>
      <c r="D2294" s="1197" t="s">
        <v>117</v>
      </c>
      <c r="E2294" s="1147" t="s">
        <v>117</v>
      </c>
      <c r="F2294" s="940"/>
      <c r="G2294" s="953"/>
      <c r="H2294" s="969"/>
      <c r="I2294" s="998" t="s">
        <v>5391</v>
      </c>
      <c r="J2294" s="982" t="s">
        <v>150</v>
      </c>
      <c r="K2294" s="984" t="s">
        <v>216</v>
      </c>
      <c r="L2294" s="959">
        <v>80.0</v>
      </c>
      <c r="M2294" s="960">
        <v>116.0</v>
      </c>
      <c r="N2294" s="960">
        <v>75.0</v>
      </c>
      <c r="O2294" s="960">
        <v>65.0</v>
      </c>
      <c r="P2294" s="960">
        <v>75.0</v>
      </c>
      <c r="Q2294" s="960">
        <v>119.0</v>
      </c>
      <c r="R2294" s="960">
        <v>274.0</v>
      </c>
      <c r="S2294" s="960">
        <v>337.0</v>
      </c>
      <c r="T2294" s="960">
        <v>370.0</v>
      </c>
      <c r="U2294" s="960">
        <f t="array" ref="U2294">HLOOKUP($J2294,'Type Chart'!$C$2:$T$20,2,false)*HLOOKUP($K2294,'Type Chart'!$C$2:$U$20,2,false)</f>
        <v>1</v>
      </c>
      <c r="V2294" s="960">
        <f t="array" ref="V2294">HLOOKUP($J2294,'Type Chart'!$C$2:$T$20,3,false)*HLOOKUP($K2294,'Type Chart'!$C$2:$U$20,3,false)</f>
        <v>1</v>
      </c>
      <c r="W2294" s="960">
        <f t="array" ref="W2294">HLOOKUP($J2294,'Type Chart'!$C$2:$T$20,4,false)*HLOOKUP($K2294,'Type Chart'!$C$2:$U$20,4,false)</f>
        <v>1</v>
      </c>
      <c r="X2294" s="960">
        <f t="array" ref="X2294">HLOOKUP($J2294,'Type Chart'!$C$2:$T$20,5,false)*HLOOKUP($K2294,'Type Chart'!$C$2:$U$20,5,false)</f>
        <v>1</v>
      </c>
      <c r="Y2294" s="960">
        <f t="array" ref="Y2294">HLOOKUP($J2294,'Type Chart'!$C$2:$T$20,6,false)*HLOOKUP($K2294,'Type Chart'!$C$2:$U$20,6,false)</f>
        <v>2</v>
      </c>
      <c r="Z2294" s="960">
        <f t="array" ref="Z2294">HLOOKUP($J2294,'Type Chart'!$C$2:$T$20,7,false)*HLOOKUP($K2294,'Type Chart'!$C$2:$U$20,7,false)</f>
        <v>2</v>
      </c>
      <c r="AA2294" s="960">
        <f t="array" ref="AA2294">HLOOKUP($J2294,'Type Chart'!$C$2:$T$20,8,false)*HLOOKUP($K2294,'Type Chart'!$C$2:$U$20,8,false)</f>
        <v>0.5</v>
      </c>
      <c r="AB2294" s="960">
        <f t="array" ref="AB2294">HLOOKUP($J2294,'Type Chart'!$C$2:$T$20,9,false)*HLOOKUP($K2294,'Type Chart'!$C$2:$U$20,9,false)</f>
        <v>1</v>
      </c>
      <c r="AC2294" s="960">
        <f t="array" ref="AC2294">HLOOKUP($J2294,'Type Chart'!$C$2:$T$20,10,false)*HLOOKUP($K2294,'Type Chart'!$C$2:$U$20,10,false)</f>
        <v>0.5</v>
      </c>
      <c r="AD2294" s="960">
        <f t="array" ref="AD2294">HLOOKUP($J2294,'Type Chart'!$C$2:$T$20,11,false)*HLOOKUP($K2294,'Type Chart'!$C$2:$U$20,11,false)</f>
        <v>0.5</v>
      </c>
      <c r="AE2294" s="960">
        <f t="array" ref="AE2294">HLOOKUP($J2294,'Type Chart'!$C$2:$T$20,12,false)*HLOOKUP($K2294,'Type Chart'!$C$2:$U$20,12,false)</f>
        <v>2</v>
      </c>
      <c r="AF2294" s="960">
        <f t="array" ref="AF2294">HLOOKUP($J2294,'Type Chart'!$C$2:$T$20,13,false)*HLOOKUP($K2294,'Type Chart'!$C$2:$U$20,13,false)</f>
        <v>0.5</v>
      </c>
      <c r="AG2294" s="960">
        <f t="array" ref="AG2294">HLOOKUP($J2294,'Type Chart'!$C$2:$T$20,14,false)*HLOOKUP($K2294,'Type Chart'!$C$2:$U$20,14,false)</f>
        <v>1</v>
      </c>
      <c r="AH2294" s="960">
        <f t="array" ref="AH2294">HLOOKUP($J2294,'Type Chart'!$C$2:$T$20,15,false)*HLOOKUP($K2294,'Type Chart'!$C$2:$U$20,15,false)</f>
        <v>1</v>
      </c>
      <c r="AI2294" s="960">
        <f t="array" ref="AI2294">HLOOKUP($J2294,'Type Chart'!$C$2:$T$20,16,false)*HLOOKUP($K2294,'Type Chart'!$C$2:$U$20,16,false)</f>
        <v>0.5</v>
      </c>
      <c r="AJ2294" s="960">
        <f t="array" ref="AJ2294">HLOOKUP($J2294,'Type Chart'!$C$2:$T$20,17,false)*HLOOKUP($K2294,'Type Chart'!$C$2:$U$20,17,false)</f>
        <v>1</v>
      </c>
      <c r="AK2294" s="960">
        <f t="array" ref="AK2294">HLOOKUP($J2294,'Type Chart'!$C$2:$T$20,18,false)*HLOOKUP($K2294,'Type Chart'!$C$2:$U$20,18,false)</f>
        <v>1</v>
      </c>
      <c r="AL2294" s="960">
        <f t="array" ref="AL2294">HLOOKUP($J2294,'Type Chart'!$C$2:$T$20,19,false)*HLOOKUP($K2294,'Type Chart'!$C$2:$U$20,19,false)</f>
        <v>0.5</v>
      </c>
      <c r="AM2294" s="964" t="s">
        <v>830</v>
      </c>
      <c r="AN2294" s="965"/>
      <c r="AO2294" s="966" t="s">
        <v>3860</v>
      </c>
      <c r="AP2294" s="936"/>
      <c r="AQ2294" s="1245"/>
      <c r="AR2294" s="1245"/>
      <c r="AS2294" s="936"/>
    </row>
    <row r="2295" ht="15.75" customHeight="1">
      <c r="A2295" s="1099"/>
      <c r="B2295" s="948" t="s">
        <v>3864</v>
      </c>
      <c r="C2295" s="1197" t="s">
        <v>3865</v>
      </c>
      <c r="D2295" s="1197" t="s">
        <v>3865</v>
      </c>
      <c r="E2295" s="1147" t="s">
        <v>3865</v>
      </c>
      <c r="F2295" s="940"/>
      <c r="G2295" s="953"/>
      <c r="H2295" s="969"/>
      <c r="I2295" s="998" t="s">
        <v>5392</v>
      </c>
      <c r="J2295" s="1056" t="s">
        <v>81</v>
      </c>
      <c r="K2295" s="984" t="s">
        <v>216</v>
      </c>
      <c r="L2295" s="959">
        <v>50.0</v>
      </c>
      <c r="M2295" s="960">
        <v>40.0</v>
      </c>
      <c r="N2295" s="960">
        <v>40.0</v>
      </c>
      <c r="O2295" s="960">
        <v>70.0</v>
      </c>
      <c r="P2295" s="960">
        <v>40.0</v>
      </c>
      <c r="Q2295" s="960">
        <v>70.0</v>
      </c>
      <c r="R2295" s="960">
        <v>176.0</v>
      </c>
      <c r="S2295" s="960">
        <v>239.0</v>
      </c>
      <c r="T2295" s="960">
        <v>262.0</v>
      </c>
      <c r="U2295" s="960">
        <f t="array" ref="U2295">HLOOKUP($J2295,'Type Chart'!$C$2:$T$20,2,false)*HLOOKUP($K2295,'Type Chart'!$C$2:$U$20,2,false)</f>
        <v>1</v>
      </c>
      <c r="V2295" s="960">
        <f t="array" ref="V2295">HLOOKUP($J2295,'Type Chart'!$C$2:$T$20,3,false)*HLOOKUP($K2295,'Type Chart'!$C$2:$U$20,3,false)</f>
        <v>1</v>
      </c>
      <c r="W2295" s="960">
        <f t="array" ref="W2295">HLOOKUP($J2295,'Type Chart'!$C$2:$T$20,4,false)*HLOOKUP($K2295,'Type Chart'!$C$2:$U$20,4,false)</f>
        <v>1</v>
      </c>
      <c r="X2295" s="960">
        <f t="array" ref="X2295">HLOOKUP($J2295,'Type Chart'!$C$2:$T$20,5,false)*HLOOKUP($K2295,'Type Chart'!$C$2:$U$20,5,false)</f>
        <v>1</v>
      </c>
      <c r="Y2295" s="960">
        <f t="array" ref="Y2295">HLOOKUP($J2295,'Type Chart'!$C$2:$T$20,6,false)*HLOOKUP($K2295,'Type Chart'!$C$2:$U$20,6,false)</f>
        <v>1</v>
      </c>
      <c r="Z2295" s="960">
        <f t="array" ref="Z2295">HLOOKUP($J2295,'Type Chart'!$C$2:$T$20,7,false)*HLOOKUP($K2295,'Type Chart'!$C$2:$U$20,7,false)</f>
        <v>1</v>
      </c>
      <c r="AA2295" s="960">
        <f t="array" ref="AA2295">HLOOKUP($J2295,'Type Chart'!$C$2:$T$20,8,false)*HLOOKUP($K2295,'Type Chart'!$C$2:$U$20,8,false)</f>
        <v>1</v>
      </c>
      <c r="AB2295" s="960">
        <f t="array" ref="AB2295">HLOOKUP($J2295,'Type Chart'!$C$2:$T$20,9,false)*HLOOKUP($K2295,'Type Chart'!$C$2:$U$20,9,false)</f>
        <v>1</v>
      </c>
      <c r="AC2295" s="960">
        <f t="array" ref="AC2295">HLOOKUP($J2295,'Type Chart'!$C$2:$T$20,10,false)*HLOOKUP($K2295,'Type Chart'!$C$2:$U$20,10,false)</f>
        <v>0.5</v>
      </c>
      <c r="AD2295" s="960">
        <f t="array" ref="AD2295">HLOOKUP($J2295,'Type Chart'!$C$2:$T$20,11,false)*HLOOKUP($K2295,'Type Chart'!$C$2:$U$20,11,false)</f>
        <v>0.5</v>
      </c>
      <c r="AE2295" s="960">
        <f t="array" ref="AE2295">HLOOKUP($J2295,'Type Chart'!$C$2:$T$20,12,false)*HLOOKUP($K2295,'Type Chart'!$C$2:$U$20,12,false)</f>
        <v>0.5</v>
      </c>
      <c r="AF2295" s="960">
        <f t="array" ref="AF2295">HLOOKUP($J2295,'Type Chart'!$C$2:$T$20,13,false)*HLOOKUP($K2295,'Type Chart'!$C$2:$U$20,13,false)</f>
        <v>2</v>
      </c>
      <c r="AG2295" s="960">
        <f t="array" ref="AG2295">HLOOKUP($J2295,'Type Chart'!$C$2:$T$20,14,false)*HLOOKUP($K2295,'Type Chart'!$C$2:$U$20,14,false)</f>
        <v>2</v>
      </c>
      <c r="AH2295" s="960">
        <f t="array" ref="AH2295">HLOOKUP($J2295,'Type Chart'!$C$2:$T$20,15,false)*HLOOKUP($K2295,'Type Chart'!$C$2:$U$20,15,false)</f>
        <v>1</v>
      </c>
      <c r="AI2295" s="960">
        <f t="array" ref="AI2295">HLOOKUP($J2295,'Type Chart'!$C$2:$T$20,16,false)*HLOOKUP($K2295,'Type Chart'!$C$2:$U$20,16,false)</f>
        <v>0.5</v>
      </c>
      <c r="AJ2295" s="960">
        <f t="array" ref="AJ2295">HLOOKUP($J2295,'Type Chart'!$C$2:$T$20,17,false)*HLOOKUP($K2295,'Type Chart'!$C$2:$U$20,17,false)</f>
        <v>1</v>
      </c>
      <c r="AK2295" s="960">
        <f t="array" ref="AK2295">HLOOKUP($J2295,'Type Chart'!$C$2:$T$20,18,false)*HLOOKUP($K2295,'Type Chart'!$C$2:$U$20,18,false)</f>
        <v>1</v>
      </c>
      <c r="AL2295" s="960">
        <f t="array" ref="AL2295">HLOOKUP($J2295,'Type Chart'!$C$2:$T$20,19,false)*HLOOKUP($K2295,'Type Chart'!$C$2:$U$20,19,false)</f>
        <v>1</v>
      </c>
      <c r="AM2295" s="964" t="s">
        <v>959</v>
      </c>
      <c r="AN2295" s="965"/>
      <c r="AO2295" s="966" t="s">
        <v>1014</v>
      </c>
      <c r="AP2295" s="936"/>
      <c r="AQ2295" s="1245"/>
      <c r="AR2295" s="1245"/>
      <c r="AS2295" s="936"/>
    </row>
    <row r="2296" ht="15.75" customHeight="1">
      <c r="A2296" s="1099"/>
      <c r="B2296" s="948" t="s">
        <v>3867</v>
      </c>
      <c r="C2296" s="1197" t="s">
        <v>3868</v>
      </c>
      <c r="D2296" s="1197" t="s">
        <v>3868</v>
      </c>
      <c r="E2296" s="1147" t="s">
        <v>3868</v>
      </c>
      <c r="F2296" s="940"/>
      <c r="G2296" s="953"/>
      <c r="H2296" s="969"/>
      <c r="I2296" s="998" t="s">
        <v>5393</v>
      </c>
      <c r="J2296" s="1056" t="s">
        <v>81</v>
      </c>
      <c r="K2296" s="984" t="s">
        <v>216</v>
      </c>
      <c r="L2296" s="959">
        <v>65.0</v>
      </c>
      <c r="M2296" s="960">
        <v>60.0</v>
      </c>
      <c r="N2296" s="960">
        <v>55.0</v>
      </c>
      <c r="O2296" s="960">
        <v>95.0</v>
      </c>
      <c r="P2296" s="960">
        <v>55.0</v>
      </c>
      <c r="Q2296" s="960">
        <v>90.0</v>
      </c>
      <c r="R2296" s="960">
        <v>216.0</v>
      </c>
      <c r="S2296" s="960">
        <v>279.0</v>
      </c>
      <c r="T2296" s="960">
        <v>306.0</v>
      </c>
      <c r="U2296" s="960">
        <f t="array" ref="U2296">HLOOKUP($J2296,'Type Chart'!$C$2:$T$20,2,false)*HLOOKUP($K2296,'Type Chart'!$C$2:$U$20,2,false)</f>
        <v>1</v>
      </c>
      <c r="V2296" s="960">
        <f t="array" ref="V2296">HLOOKUP($J2296,'Type Chart'!$C$2:$T$20,3,false)*HLOOKUP($K2296,'Type Chart'!$C$2:$U$20,3,false)</f>
        <v>1</v>
      </c>
      <c r="W2296" s="960">
        <f t="array" ref="W2296">HLOOKUP($J2296,'Type Chart'!$C$2:$T$20,4,false)*HLOOKUP($K2296,'Type Chart'!$C$2:$U$20,4,false)</f>
        <v>1</v>
      </c>
      <c r="X2296" s="960">
        <f t="array" ref="X2296">HLOOKUP($J2296,'Type Chart'!$C$2:$T$20,5,false)*HLOOKUP($K2296,'Type Chart'!$C$2:$U$20,5,false)</f>
        <v>1</v>
      </c>
      <c r="Y2296" s="960">
        <f t="array" ref="Y2296">HLOOKUP($J2296,'Type Chart'!$C$2:$T$20,6,false)*HLOOKUP($K2296,'Type Chart'!$C$2:$U$20,6,false)</f>
        <v>1</v>
      </c>
      <c r="Z2296" s="960">
        <f t="array" ref="Z2296">HLOOKUP($J2296,'Type Chart'!$C$2:$T$20,7,false)*HLOOKUP($K2296,'Type Chart'!$C$2:$U$20,7,false)</f>
        <v>1</v>
      </c>
      <c r="AA2296" s="960">
        <f t="array" ref="AA2296">HLOOKUP($J2296,'Type Chart'!$C$2:$T$20,8,false)*HLOOKUP($K2296,'Type Chart'!$C$2:$U$20,8,false)</f>
        <v>1</v>
      </c>
      <c r="AB2296" s="960">
        <f t="array" ref="AB2296">HLOOKUP($J2296,'Type Chart'!$C$2:$T$20,9,false)*HLOOKUP($K2296,'Type Chart'!$C$2:$U$20,9,false)</f>
        <v>1</v>
      </c>
      <c r="AC2296" s="960">
        <f t="array" ref="AC2296">HLOOKUP($J2296,'Type Chart'!$C$2:$T$20,10,false)*HLOOKUP($K2296,'Type Chart'!$C$2:$U$20,10,false)</f>
        <v>0.5</v>
      </c>
      <c r="AD2296" s="960">
        <f t="array" ref="AD2296">HLOOKUP($J2296,'Type Chart'!$C$2:$T$20,11,false)*HLOOKUP($K2296,'Type Chart'!$C$2:$U$20,11,false)</f>
        <v>0.5</v>
      </c>
      <c r="AE2296" s="960">
        <f t="array" ref="AE2296">HLOOKUP($J2296,'Type Chart'!$C$2:$T$20,12,false)*HLOOKUP($K2296,'Type Chart'!$C$2:$U$20,12,false)</f>
        <v>0.5</v>
      </c>
      <c r="AF2296" s="960">
        <f t="array" ref="AF2296">HLOOKUP($J2296,'Type Chart'!$C$2:$T$20,13,false)*HLOOKUP($K2296,'Type Chart'!$C$2:$U$20,13,false)</f>
        <v>2</v>
      </c>
      <c r="AG2296" s="960">
        <f t="array" ref="AG2296">HLOOKUP($J2296,'Type Chart'!$C$2:$T$20,14,false)*HLOOKUP($K2296,'Type Chart'!$C$2:$U$20,14,false)</f>
        <v>2</v>
      </c>
      <c r="AH2296" s="960">
        <f t="array" ref="AH2296">HLOOKUP($J2296,'Type Chart'!$C$2:$T$20,15,false)*HLOOKUP($K2296,'Type Chart'!$C$2:$U$20,15,false)</f>
        <v>1</v>
      </c>
      <c r="AI2296" s="960">
        <f t="array" ref="AI2296">HLOOKUP($J2296,'Type Chart'!$C$2:$T$20,16,false)*HLOOKUP($K2296,'Type Chart'!$C$2:$U$20,16,false)</f>
        <v>0.5</v>
      </c>
      <c r="AJ2296" s="960">
        <f t="array" ref="AJ2296">HLOOKUP($J2296,'Type Chart'!$C$2:$T$20,17,false)*HLOOKUP($K2296,'Type Chart'!$C$2:$U$20,17,false)</f>
        <v>1</v>
      </c>
      <c r="AK2296" s="960">
        <f t="array" ref="AK2296">HLOOKUP($J2296,'Type Chart'!$C$2:$T$20,18,false)*HLOOKUP($K2296,'Type Chart'!$C$2:$U$20,18,false)</f>
        <v>1</v>
      </c>
      <c r="AL2296" s="960">
        <f t="array" ref="AL2296">HLOOKUP($J2296,'Type Chart'!$C$2:$T$20,19,false)*HLOOKUP($K2296,'Type Chart'!$C$2:$U$20,19,false)</f>
        <v>1</v>
      </c>
      <c r="AM2296" s="964" t="s">
        <v>959</v>
      </c>
      <c r="AN2296" s="965"/>
      <c r="AO2296" s="966" t="s">
        <v>1014</v>
      </c>
      <c r="AP2296" s="936"/>
      <c r="AQ2296" s="1245"/>
      <c r="AR2296" s="1245"/>
      <c r="AS2296" s="936"/>
    </row>
    <row r="2297" ht="15.75" customHeight="1">
      <c r="A2297" s="1099"/>
      <c r="B2297" s="948" t="s">
        <v>3870</v>
      </c>
      <c r="C2297" s="1197" t="s">
        <v>3871</v>
      </c>
      <c r="D2297" s="1197" t="s">
        <v>3871</v>
      </c>
      <c r="E2297" s="1147" t="s">
        <v>3871</v>
      </c>
      <c r="F2297" s="940"/>
      <c r="G2297" s="953"/>
      <c r="H2297" s="969"/>
      <c r="I2297" s="998" t="s">
        <v>5394</v>
      </c>
      <c r="J2297" s="1056" t="s">
        <v>81</v>
      </c>
      <c r="K2297" s="984" t="s">
        <v>216</v>
      </c>
      <c r="L2297" s="959">
        <v>70.0</v>
      </c>
      <c r="M2297" s="960">
        <v>85.0</v>
      </c>
      <c r="N2297" s="960">
        <v>65.0</v>
      </c>
      <c r="O2297" s="960">
        <v>125.0</v>
      </c>
      <c r="P2297" s="960">
        <v>65.0</v>
      </c>
      <c r="Q2297" s="960">
        <v>120.0</v>
      </c>
      <c r="R2297" s="960">
        <v>276.0</v>
      </c>
      <c r="S2297" s="960">
        <v>339.0</v>
      </c>
      <c r="T2297" s="960">
        <v>372.0</v>
      </c>
      <c r="U2297" s="960">
        <f t="array" ref="U2297">HLOOKUP($J2297,'Type Chart'!$C$2:$T$20,2,false)*HLOOKUP($K2297,'Type Chart'!$C$2:$U$20,2,false)</f>
        <v>1</v>
      </c>
      <c r="V2297" s="960">
        <f t="array" ref="V2297">HLOOKUP($J2297,'Type Chart'!$C$2:$T$20,3,false)*HLOOKUP($K2297,'Type Chart'!$C$2:$U$20,3,false)</f>
        <v>1</v>
      </c>
      <c r="W2297" s="960">
        <f t="array" ref="W2297">HLOOKUP($J2297,'Type Chart'!$C$2:$T$20,4,false)*HLOOKUP($K2297,'Type Chart'!$C$2:$U$20,4,false)</f>
        <v>1</v>
      </c>
      <c r="X2297" s="960">
        <f t="array" ref="X2297">HLOOKUP($J2297,'Type Chart'!$C$2:$T$20,5,false)*HLOOKUP($K2297,'Type Chart'!$C$2:$U$20,5,false)</f>
        <v>1</v>
      </c>
      <c r="Y2297" s="960">
        <f t="array" ref="Y2297">HLOOKUP($J2297,'Type Chart'!$C$2:$T$20,6,false)*HLOOKUP($K2297,'Type Chart'!$C$2:$U$20,6,false)</f>
        <v>1</v>
      </c>
      <c r="Z2297" s="960">
        <f t="array" ref="Z2297">HLOOKUP($J2297,'Type Chart'!$C$2:$T$20,7,false)*HLOOKUP($K2297,'Type Chart'!$C$2:$U$20,7,false)</f>
        <v>1</v>
      </c>
      <c r="AA2297" s="960">
        <f t="array" ref="AA2297">HLOOKUP($J2297,'Type Chart'!$C$2:$T$20,8,false)*HLOOKUP($K2297,'Type Chart'!$C$2:$U$20,8,false)</f>
        <v>1</v>
      </c>
      <c r="AB2297" s="960">
        <f t="array" ref="AB2297">HLOOKUP($J2297,'Type Chart'!$C$2:$T$20,9,false)*HLOOKUP($K2297,'Type Chart'!$C$2:$U$20,9,false)</f>
        <v>1</v>
      </c>
      <c r="AC2297" s="960">
        <f t="array" ref="AC2297">HLOOKUP($J2297,'Type Chart'!$C$2:$T$20,10,false)*HLOOKUP($K2297,'Type Chart'!$C$2:$U$20,10,false)</f>
        <v>0.5</v>
      </c>
      <c r="AD2297" s="960">
        <f t="array" ref="AD2297">HLOOKUP($J2297,'Type Chart'!$C$2:$T$20,11,false)*HLOOKUP($K2297,'Type Chart'!$C$2:$U$20,11,false)</f>
        <v>0.5</v>
      </c>
      <c r="AE2297" s="960">
        <f t="array" ref="AE2297">HLOOKUP($J2297,'Type Chart'!$C$2:$T$20,12,false)*HLOOKUP($K2297,'Type Chart'!$C$2:$U$20,12,false)</f>
        <v>0.5</v>
      </c>
      <c r="AF2297" s="960">
        <f t="array" ref="AF2297">HLOOKUP($J2297,'Type Chart'!$C$2:$T$20,13,false)*HLOOKUP($K2297,'Type Chart'!$C$2:$U$20,13,false)</f>
        <v>2</v>
      </c>
      <c r="AG2297" s="960">
        <f t="array" ref="AG2297">HLOOKUP($J2297,'Type Chart'!$C$2:$T$20,14,false)*HLOOKUP($K2297,'Type Chart'!$C$2:$U$20,14,false)</f>
        <v>2</v>
      </c>
      <c r="AH2297" s="960">
        <f t="array" ref="AH2297">HLOOKUP($J2297,'Type Chart'!$C$2:$T$20,15,false)*HLOOKUP($K2297,'Type Chart'!$C$2:$U$20,15,false)</f>
        <v>1</v>
      </c>
      <c r="AI2297" s="960">
        <f t="array" ref="AI2297">HLOOKUP($J2297,'Type Chart'!$C$2:$T$20,16,false)*HLOOKUP($K2297,'Type Chart'!$C$2:$U$20,16,false)</f>
        <v>0.5</v>
      </c>
      <c r="AJ2297" s="960">
        <f t="array" ref="AJ2297">HLOOKUP($J2297,'Type Chart'!$C$2:$T$20,17,false)*HLOOKUP($K2297,'Type Chart'!$C$2:$U$20,17,false)</f>
        <v>1</v>
      </c>
      <c r="AK2297" s="960">
        <f t="array" ref="AK2297">HLOOKUP($J2297,'Type Chart'!$C$2:$T$20,18,false)*HLOOKUP($K2297,'Type Chart'!$C$2:$U$20,18,false)</f>
        <v>1</v>
      </c>
      <c r="AL2297" s="960">
        <f t="array" ref="AL2297">HLOOKUP($J2297,'Type Chart'!$C$2:$T$20,19,false)*HLOOKUP($K2297,'Type Chart'!$C$2:$U$20,19,false)</f>
        <v>1</v>
      </c>
      <c r="AM2297" s="1145" t="s">
        <v>959</v>
      </c>
      <c r="AN2297" s="965"/>
      <c r="AO2297" s="1146" t="s">
        <v>1014</v>
      </c>
      <c r="AP2297" s="936"/>
      <c r="AQ2297" s="1245"/>
      <c r="AR2297" s="1245"/>
      <c r="AS2297" s="936"/>
    </row>
    <row r="2298" ht="15.75" customHeight="1">
      <c r="A2298" s="1099"/>
      <c r="B2298" s="948" t="s">
        <v>3872</v>
      </c>
      <c r="C2298" s="1197" t="s">
        <v>3873</v>
      </c>
      <c r="D2298" s="1197" t="s">
        <v>3873</v>
      </c>
      <c r="E2298" s="1147" t="s">
        <v>3873</v>
      </c>
      <c r="F2298" s="940"/>
      <c r="G2298" s="953"/>
      <c r="H2298" s="969"/>
      <c r="I2298" s="998" t="s">
        <v>5395</v>
      </c>
      <c r="J2298" s="1194" t="s">
        <v>136</v>
      </c>
      <c r="K2298" s="984" t="s">
        <v>216</v>
      </c>
      <c r="L2298" s="959">
        <v>70.0</v>
      </c>
      <c r="M2298" s="960">
        <v>55.0</v>
      </c>
      <c r="N2298" s="960">
        <v>55.0</v>
      </c>
      <c r="O2298" s="960">
        <v>35.0</v>
      </c>
      <c r="P2298" s="960">
        <v>35.0</v>
      </c>
      <c r="Q2298" s="960">
        <v>25.0</v>
      </c>
      <c r="R2298" s="960">
        <v>86.0</v>
      </c>
      <c r="S2298" s="960">
        <v>149.0</v>
      </c>
      <c r="T2298" s="960">
        <v>163.0</v>
      </c>
      <c r="U2298" s="960">
        <f t="array" ref="U2298">HLOOKUP($J2298,'Type Chart'!$C$2:$T$20,2,false)*HLOOKUP($K2298,'Type Chart'!$C$2:$U$20,2,false)</f>
        <v>1</v>
      </c>
      <c r="V2298" s="960">
        <f t="array" ref="V2298">HLOOKUP($J2298,'Type Chart'!$C$2:$T$20,3,false)*HLOOKUP($K2298,'Type Chart'!$C$2:$U$20,3,false)</f>
        <v>2</v>
      </c>
      <c r="W2298" s="960">
        <f t="array" ref="W2298">HLOOKUP($J2298,'Type Chart'!$C$2:$T$20,4,false)*HLOOKUP($K2298,'Type Chart'!$C$2:$U$20,4,false)</f>
        <v>1</v>
      </c>
      <c r="X2298" s="960">
        <f t="array" ref="X2298">HLOOKUP($J2298,'Type Chart'!$C$2:$T$20,5,false)*HLOOKUP($K2298,'Type Chart'!$C$2:$U$20,5,false)</f>
        <v>1</v>
      </c>
      <c r="Y2298" s="960">
        <f t="array" ref="Y2298">HLOOKUP($J2298,'Type Chart'!$C$2:$T$20,6,false)*HLOOKUP($K2298,'Type Chart'!$C$2:$U$20,6,false)</f>
        <v>1</v>
      </c>
      <c r="Z2298" s="960">
        <f t="array" ref="Z2298">HLOOKUP($J2298,'Type Chart'!$C$2:$T$20,7,false)*HLOOKUP($K2298,'Type Chart'!$C$2:$U$20,7,false)</f>
        <v>1</v>
      </c>
      <c r="AA2298" s="960">
        <f t="array" ref="AA2298">HLOOKUP($J2298,'Type Chart'!$C$2:$T$20,8,false)*HLOOKUP($K2298,'Type Chart'!$C$2:$U$20,8,false)</f>
        <v>1</v>
      </c>
      <c r="AB2298" s="960">
        <f t="array" ref="AB2298">HLOOKUP($J2298,'Type Chart'!$C$2:$T$20,9,false)*HLOOKUP($K2298,'Type Chart'!$C$2:$U$20,9,false)</f>
        <v>0</v>
      </c>
      <c r="AC2298" s="960">
        <f t="array" ref="AC2298">HLOOKUP($J2298,'Type Chart'!$C$2:$T$20,10,false)*HLOOKUP($K2298,'Type Chart'!$C$2:$U$20,10,false)</f>
        <v>1</v>
      </c>
      <c r="AD2298" s="960">
        <f t="array" ref="AD2298">HLOOKUP($J2298,'Type Chart'!$C$2:$T$20,11,false)*HLOOKUP($K2298,'Type Chart'!$C$2:$U$20,11,false)</f>
        <v>1</v>
      </c>
      <c r="AE2298" s="960">
        <f t="array" ref="AE2298">HLOOKUP($J2298,'Type Chart'!$C$2:$T$20,12,false)*HLOOKUP($K2298,'Type Chart'!$C$2:$U$20,12,false)</f>
        <v>1</v>
      </c>
      <c r="AF2298" s="960">
        <f t="array" ref="AF2298">HLOOKUP($J2298,'Type Chart'!$C$2:$T$20,13,false)*HLOOKUP($K2298,'Type Chart'!$C$2:$U$20,13,false)</f>
        <v>1</v>
      </c>
      <c r="AG2298" s="960">
        <f t="array" ref="AG2298">HLOOKUP($J2298,'Type Chart'!$C$2:$T$20,14,false)*HLOOKUP($K2298,'Type Chart'!$C$2:$U$20,14,false)</f>
        <v>1</v>
      </c>
      <c r="AH2298" s="960">
        <f t="array" ref="AH2298">HLOOKUP($J2298,'Type Chart'!$C$2:$T$20,15,false)*HLOOKUP($K2298,'Type Chart'!$C$2:$U$20,15,false)</f>
        <v>1</v>
      </c>
      <c r="AI2298" s="960">
        <f t="array" ref="AI2298">HLOOKUP($J2298,'Type Chart'!$C$2:$T$20,16,false)*HLOOKUP($K2298,'Type Chart'!$C$2:$U$20,16,false)</f>
        <v>1</v>
      </c>
      <c r="AJ2298" s="960">
        <f t="array" ref="AJ2298">HLOOKUP($J2298,'Type Chart'!$C$2:$T$20,17,false)*HLOOKUP($K2298,'Type Chart'!$C$2:$U$20,17,false)</f>
        <v>1</v>
      </c>
      <c r="AK2298" s="960">
        <f t="array" ref="AK2298">HLOOKUP($J2298,'Type Chart'!$C$2:$T$20,18,false)*HLOOKUP($K2298,'Type Chart'!$C$2:$U$20,18,false)</f>
        <v>1</v>
      </c>
      <c r="AL2298" s="960">
        <f t="array" ref="AL2298">HLOOKUP($J2298,'Type Chart'!$C$2:$T$20,19,false)*HLOOKUP($K2298,'Type Chart'!$C$2:$U$20,19,false)</f>
        <v>1</v>
      </c>
      <c r="AM2298" s="964" t="s">
        <v>3286</v>
      </c>
      <c r="AN2298" s="965"/>
      <c r="AO2298" s="966" t="s">
        <v>1044</v>
      </c>
      <c r="AP2298" s="936"/>
      <c r="AQ2298" s="1245"/>
      <c r="AR2298" s="1245"/>
      <c r="AS2298" s="936"/>
    </row>
    <row r="2299" ht="15.75" customHeight="1">
      <c r="A2299" s="1099"/>
      <c r="B2299" s="948" t="s">
        <v>3875</v>
      </c>
      <c r="C2299" s="1197" t="s">
        <v>3876</v>
      </c>
      <c r="D2299" s="1197" t="s">
        <v>3876</v>
      </c>
      <c r="E2299" s="1147" t="s">
        <v>3876</v>
      </c>
      <c r="F2299" s="940"/>
      <c r="G2299" s="953"/>
      <c r="H2299" s="969"/>
      <c r="I2299" s="998" t="s">
        <v>5396</v>
      </c>
      <c r="J2299" s="1194" t="s">
        <v>136</v>
      </c>
      <c r="K2299" s="984" t="s">
        <v>216</v>
      </c>
      <c r="L2299" s="959">
        <v>120.0</v>
      </c>
      <c r="M2299" s="960">
        <v>95.0</v>
      </c>
      <c r="N2299" s="960">
        <v>95.0</v>
      </c>
      <c r="O2299" s="960">
        <v>55.0</v>
      </c>
      <c r="P2299" s="960">
        <v>75.0</v>
      </c>
      <c r="Q2299" s="960">
        <v>20.0</v>
      </c>
      <c r="R2299" s="960">
        <v>76.0</v>
      </c>
      <c r="S2299" s="960">
        <v>139.0</v>
      </c>
      <c r="T2299" s="960">
        <v>152.0</v>
      </c>
      <c r="U2299" s="960">
        <f t="array" ref="U2299">HLOOKUP($J2299,'Type Chart'!$C$2:$T$20,2,false)*HLOOKUP($K2299,'Type Chart'!$C$2:$U$20,2,false)</f>
        <v>1</v>
      </c>
      <c r="V2299" s="960">
        <f t="array" ref="V2299">HLOOKUP($J2299,'Type Chart'!$C$2:$T$20,3,false)*HLOOKUP($K2299,'Type Chart'!$C$2:$U$20,3,false)</f>
        <v>2</v>
      </c>
      <c r="W2299" s="960">
        <f t="array" ref="W2299">HLOOKUP($J2299,'Type Chart'!$C$2:$T$20,4,false)*HLOOKUP($K2299,'Type Chart'!$C$2:$U$20,4,false)</f>
        <v>1</v>
      </c>
      <c r="X2299" s="960">
        <f t="array" ref="X2299">HLOOKUP($J2299,'Type Chart'!$C$2:$T$20,5,false)*HLOOKUP($K2299,'Type Chart'!$C$2:$U$20,5,false)</f>
        <v>1</v>
      </c>
      <c r="Y2299" s="960">
        <f t="array" ref="Y2299">HLOOKUP($J2299,'Type Chart'!$C$2:$T$20,6,false)*HLOOKUP($K2299,'Type Chart'!$C$2:$U$20,6,false)</f>
        <v>1</v>
      </c>
      <c r="Z2299" s="960">
        <f t="array" ref="Z2299">HLOOKUP($J2299,'Type Chart'!$C$2:$T$20,7,false)*HLOOKUP($K2299,'Type Chart'!$C$2:$U$20,7,false)</f>
        <v>1</v>
      </c>
      <c r="AA2299" s="960">
        <f t="array" ref="AA2299">HLOOKUP($J2299,'Type Chart'!$C$2:$T$20,8,false)*HLOOKUP($K2299,'Type Chart'!$C$2:$U$20,8,false)</f>
        <v>1</v>
      </c>
      <c r="AB2299" s="960">
        <f t="array" ref="AB2299">HLOOKUP($J2299,'Type Chart'!$C$2:$T$20,9,false)*HLOOKUP($K2299,'Type Chart'!$C$2:$U$20,9,false)</f>
        <v>0</v>
      </c>
      <c r="AC2299" s="960">
        <f t="array" ref="AC2299">HLOOKUP($J2299,'Type Chart'!$C$2:$T$20,10,false)*HLOOKUP($K2299,'Type Chart'!$C$2:$U$20,10,false)</f>
        <v>1</v>
      </c>
      <c r="AD2299" s="960">
        <f t="array" ref="AD2299">HLOOKUP($J2299,'Type Chart'!$C$2:$T$20,11,false)*HLOOKUP($K2299,'Type Chart'!$C$2:$U$20,11,false)</f>
        <v>1</v>
      </c>
      <c r="AE2299" s="960">
        <f t="array" ref="AE2299">HLOOKUP($J2299,'Type Chart'!$C$2:$T$20,12,false)*HLOOKUP($K2299,'Type Chart'!$C$2:$U$20,12,false)</f>
        <v>1</v>
      </c>
      <c r="AF2299" s="960">
        <f t="array" ref="AF2299">HLOOKUP($J2299,'Type Chart'!$C$2:$T$20,13,false)*HLOOKUP($K2299,'Type Chart'!$C$2:$U$20,13,false)</f>
        <v>1</v>
      </c>
      <c r="AG2299" s="960">
        <f t="array" ref="AG2299">HLOOKUP($J2299,'Type Chart'!$C$2:$T$20,14,false)*HLOOKUP($K2299,'Type Chart'!$C$2:$U$20,14,false)</f>
        <v>1</v>
      </c>
      <c r="AH2299" s="960">
        <f t="array" ref="AH2299">HLOOKUP($J2299,'Type Chart'!$C$2:$T$20,15,false)*HLOOKUP($K2299,'Type Chart'!$C$2:$U$20,15,false)</f>
        <v>1</v>
      </c>
      <c r="AI2299" s="960">
        <f t="array" ref="AI2299">HLOOKUP($J2299,'Type Chart'!$C$2:$T$20,16,false)*HLOOKUP($K2299,'Type Chart'!$C$2:$U$20,16,false)</f>
        <v>1</v>
      </c>
      <c r="AJ2299" s="960">
        <f t="array" ref="AJ2299">HLOOKUP($J2299,'Type Chart'!$C$2:$T$20,17,false)*HLOOKUP($K2299,'Type Chart'!$C$2:$U$20,17,false)</f>
        <v>1</v>
      </c>
      <c r="AK2299" s="960">
        <f t="array" ref="AK2299">HLOOKUP($J2299,'Type Chart'!$C$2:$T$20,18,false)*HLOOKUP($K2299,'Type Chart'!$C$2:$U$20,18,false)</f>
        <v>1</v>
      </c>
      <c r="AL2299" s="960">
        <f t="array" ref="AL2299">HLOOKUP($J2299,'Type Chart'!$C$2:$T$20,19,false)*HLOOKUP($K2299,'Type Chart'!$C$2:$U$20,19,false)</f>
        <v>1</v>
      </c>
      <c r="AM2299" s="964" t="s">
        <v>3286</v>
      </c>
      <c r="AN2299" s="965"/>
      <c r="AO2299" s="966" t="s">
        <v>1044</v>
      </c>
      <c r="AP2299" s="936"/>
      <c r="AQ2299" s="1245"/>
      <c r="AR2299" s="1245"/>
      <c r="AS2299" s="936"/>
    </row>
    <row r="2300" ht="15.75" customHeight="1">
      <c r="A2300" s="1099"/>
      <c r="B2300" s="948" t="s">
        <v>3877</v>
      </c>
      <c r="C2300" s="1197" t="s">
        <v>3878</v>
      </c>
      <c r="D2300" s="1197" t="s">
        <v>3878</v>
      </c>
      <c r="E2300" s="1147" t="s">
        <v>3878</v>
      </c>
      <c r="F2300" s="940"/>
      <c r="G2300" s="953"/>
      <c r="H2300" s="969"/>
      <c r="I2300" s="998" t="s">
        <v>5397</v>
      </c>
      <c r="J2300" s="1001" t="s">
        <v>128</v>
      </c>
      <c r="K2300" s="984" t="s">
        <v>216</v>
      </c>
      <c r="L2300" s="959">
        <v>38.0</v>
      </c>
      <c r="M2300" s="960">
        <v>47.0</v>
      </c>
      <c r="N2300" s="960">
        <v>35.0</v>
      </c>
      <c r="O2300" s="960">
        <v>33.0</v>
      </c>
      <c r="P2300" s="960">
        <v>35.0</v>
      </c>
      <c r="Q2300" s="960">
        <v>57.0</v>
      </c>
      <c r="R2300" s="960">
        <v>150.0</v>
      </c>
      <c r="S2300" s="960">
        <v>213.0</v>
      </c>
      <c r="T2300" s="960">
        <v>234.0</v>
      </c>
      <c r="U2300" s="960">
        <f t="array" ref="U2300">HLOOKUP($J2300,'Type Chart'!$C$2:$T$20,2,false)*HLOOKUP($K2300,'Type Chart'!$C$2:$U$20,2,false)</f>
        <v>1</v>
      </c>
      <c r="V2300" s="960">
        <f t="array" ref="V2300">HLOOKUP($J2300,'Type Chart'!$C$2:$T$20,3,false)*HLOOKUP($K2300,'Type Chart'!$C$2:$U$20,3,false)</f>
        <v>0.5</v>
      </c>
      <c r="W2300" s="960">
        <f t="array" ref="W2300">HLOOKUP($J2300,'Type Chart'!$C$2:$T$20,4,false)*HLOOKUP($K2300,'Type Chart'!$C$2:$U$20,4,false)</f>
        <v>1</v>
      </c>
      <c r="X2300" s="960">
        <f t="array" ref="X2300">HLOOKUP($J2300,'Type Chart'!$C$2:$T$20,5,false)*HLOOKUP($K2300,'Type Chart'!$C$2:$U$20,5,false)</f>
        <v>1</v>
      </c>
      <c r="Y2300" s="960">
        <f t="array" ref="Y2300">HLOOKUP($J2300,'Type Chart'!$C$2:$T$20,6,false)*HLOOKUP($K2300,'Type Chart'!$C$2:$U$20,6,false)</f>
        <v>0</v>
      </c>
      <c r="Z2300" s="960">
        <f t="array" ref="Z2300">HLOOKUP($J2300,'Type Chart'!$C$2:$T$20,7,false)*HLOOKUP($K2300,'Type Chart'!$C$2:$U$20,7,false)</f>
        <v>2</v>
      </c>
      <c r="AA2300" s="960">
        <f t="array" ref="AA2300">HLOOKUP($J2300,'Type Chart'!$C$2:$T$20,8,false)*HLOOKUP($K2300,'Type Chart'!$C$2:$U$20,8,false)</f>
        <v>0.5</v>
      </c>
      <c r="AB2300" s="960">
        <f t="array" ref="AB2300">HLOOKUP($J2300,'Type Chart'!$C$2:$T$20,9,false)*HLOOKUP($K2300,'Type Chart'!$C$2:$U$20,9,false)</f>
        <v>1</v>
      </c>
      <c r="AC2300" s="960">
        <f t="array" ref="AC2300">HLOOKUP($J2300,'Type Chart'!$C$2:$T$20,10,false)*HLOOKUP($K2300,'Type Chart'!$C$2:$U$20,10,false)</f>
        <v>1</v>
      </c>
      <c r="AD2300" s="960">
        <f t="array" ref="AD2300">HLOOKUP($J2300,'Type Chart'!$C$2:$T$20,11,false)*HLOOKUP($K2300,'Type Chart'!$C$2:$U$20,11,false)</f>
        <v>1</v>
      </c>
      <c r="AE2300" s="960">
        <f t="array" ref="AE2300">HLOOKUP($J2300,'Type Chart'!$C$2:$T$20,12,false)*HLOOKUP($K2300,'Type Chart'!$C$2:$U$20,12,false)</f>
        <v>1</v>
      </c>
      <c r="AF2300" s="960">
        <f t="array" ref="AF2300">HLOOKUP($J2300,'Type Chart'!$C$2:$T$20,13,false)*HLOOKUP($K2300,'Type Chart'!$C$2:$U$20,13,false)</f>
        <v>0.5</v>
      </c>
      <c r="AG2300" s="960">
        <f t="array" ref="AG2300">HLOOKUP($J2300,'Type Chart'!$C$2:$T$20,14,false)*HLOOKUP($K2300,'Type Chart'!$C$2:$U$20,14,false)</f>
        <v>2</v>
      </c>
      <c r="AH2300" s="960">
        <f t="array" ref="AH2300">HLOOKUP($J2300,'Type Chart'!$C$2:$T$20,15,false)*HLOOKUP($K2300,'Type Chart'!$C$2:$U$20,15,false)</f>
        <v>1</v>
      </c>
      <c r="AI2300" s="960">
        <f t="array" ref="AI2300">HLOOKUP($J2300,'Type Chart'!$C$2:$T$20,16,false)*HLOOKUP($K2300,'Type Chart'!$C$2:$U$20,16,false)</f>
        <v>2</v>
      </c>
      <c r="AJ2300" s="960">
        <f t="array" ref="AJ2300">HLOOKUP($J2300,'Type Chart'!$C$2:$T$20,17,false)*HLOOKUP($K2300,'Type Chart'!$C$2:$U$20,17,false)</f>
        <v>1</v>
      </c>
      <c r="AK2300" s="960">
        <f t="array" ref="AK2300">HLOOKUP($J2300,'Type Chart'!$C$2:$T$20,18,false)*HLOOKUP($K2300,'Type Chart'!$C$2:$U$20,18,false)</f>
        <v>1</v>
      </c>
      <c r="AL2300" s="960">
        <f t="array" ref="AL2300">HLOOKUP($J2300,'Type Chart'!$C$2:$T$20,19,false)*HLOOKUP($K2300,'Type Chart'!$C$2:$U$20,19,false)</f>
        <v>1</v>
      </c>
      <c r="AM2300" s="964" t="s">
        <v>1022</v>
      </c>
      <c r="AN2300" s="964" t="s">
        <v>1062</v>
      </c>
      <c r="AO2300" s="966" t="s">
        <v>1024</v>
      </c>
      <c r="AP2300" s="936"/>
      <c r="AQ2300" s="1245"/>
      <c r="AR2300" s="1245"/>
      <c r="AS2300" s="936"/>
    </row>
    <row r="2301" ht="15.75" customHeight="1">
      <c r="A2301" s="1099"/>
      <c r="B2301" s="948" t="s">
        <v>3880</v>
      </c>
      <c r="C2301" s="1197" t="s">
        <v>3881</v>
      </c>
      <c r="D2301" s="1197" t="s">
        <v>3881</v>
      </c>
      <c r="E2301" s="1147" t="s">
        <v>3881</v>
      </c>
      <c r="F2301" s="940"/>
      <c r="G2301" s="953"/>
      <c r="H2301" s="969"/>
      <c r="I2301" s="998" t="s">
        <v>5398</v>
      </c>
      <c r="J2301" s="1001" t="s">
        <v>128</v>
      </c>
      <c r="K2301" s="984" t="s">
        <v>216</v>
      </c>
      <c r="L2301" s="959">
        <v>68.0</v>
      </c>
      <c r="M2301" s="960">
        <v>67.0</v>
      </c>
      <c r="N2301" s="960">
        <v>55.0</v>
      </c>
      <c r="O2301" s="960">
        <v>43.0</v>
      </c>
      <c r="P2301" s="960">
        <v>55.0</v>
      </c>
      <c r="Q2301" s="960">
        <v>77.0</v>
      </c>
      <c r="R2301" s="960">
        <v>190.0</v>
      </c>
      <c r="S2301" s="960">
        <v>253.0</v>
      </c>
      <c r="T2301" s="960">
        <v>278.0</v>
      </c>
      <c r="U2301" s="960">
        <f t="array" ref="U2301">HLOOKUP($J2301,'Type Chart'!$C$2:$T$20,2,false)*HLOOKUP($K2301,'Type Chart'!$C$2:$U$20,2,false)</f>
        <v>1</v>
      </c>
      <c r="V2301" s="960">
        <f t="array" ref="V2301">HLOOKUP($J2301,'Type Chart'!$C$2:$T$20,3,false)*HLOOKUP($K2301,'Type Chart'!$C$2:$U$20,3,false)</f>
        <v>0.5</v>
      </c>
      <c r="W2301" s="960">
        <f t="array" ref="W2301">HLOOKUP($J2301,'Type Chart'!$C$2:$T$20,4,false)*HLOOKUP($K2301,'Type Chart'!$C$2:$U$20,4,false)</f>
        <v>1</v>
      </c>
      <c r="X2301" s="960">
        <f t="array" ref="X2301">HLOOKUP($J2301,'Type Chart'!$C$2:$T$20,5,false)*HLOOKUP($K2301,'Type Chart'!$C$2:$U$20,5,false)</f>
        <v>1</v>
      </c>
      <c r="Y2301" s="960">
        <f t="array" ref="Y2301">HLOOKUP($J2301,'Type Chart'!$C$2:$T$20,6,false)*HLOOKUP($K2301,'Type Chart'!$C$2:$U$20,6,false)</f>
        <v>0</v>
      </c>
      <c r="Z2301" s="960">
        <f t="array" ref="Z2301">HLOOKUP($J2301,'Type Chart'!$C$2:$T$20,7,false)*HLOOKUP($K2301,'Type Chart'!$C$2:$U$20,7,false)</f>
        <v>2</v>
      </c>
      <c r="AA2301" s="960">
        <f t="array" ref="AA2301">HLOOKUP($J2301,'Type Chart'!$C$2:$T$20,8,false)*HLOOKUP($K2301,'Type Chart'!$C$2:$U$20,8,false)</f>
        <v>0.5</v>
      </c>
      <c r="AB2301" s="960">
        <f t="array" ref="AB2301">HLOOKUP($J2301,'Type Chart'!$C$2:$T$20,9,false)*HLOOKUP($K2301,'Type Chart'!$C$2:$U$20,9,false)</f>
        <v>1</v>
      </c>
      <c r="AC2301" s="960">
        <f t="array" ref="AC2301">HLOOKUP($J2301,'Type Chart'!$C$2:$T$20,10,false)*HLOOKUP($K2301,'Type Chart'!$C$2:$U$20,10,false)</f>
        <v>1</v>
      </c>
      <c r="AD2301" s="960">
        <f t="array" ref="AD2301">HLOOKUP($J2301,'Type Chart'!$C$2:$T$20,11,false)*HLOOKUP($K2301,'Type Chart'!$C$2:$U$20,11,false)</f>
        <v>1</v>
      </c>
      <c r="AE2301" s="960">
        <f t="array" ref="AE2301">HLOOKUP($J2301,'Type Chart'!$C$2:$T$20,12,false)*HLOOKUP($K2301,'Type Chart'!$C$2:$U$20,12,false)</f>
        <v>1</v>
      </c>
      <c r="AF2301" s="960">
        <f t="array" ref="AF2301">HLOOKUP($J2301,'Type Chart'!$C$2:$T$20,13,false)*HLOOKUP($K2301,'Type Chart'!$C$2:$U$20,13,false)</f>
        <v>0.5</v>
      </c>
      <c r="AG2301" s="960">
        <f t="array" ref="AG2301">HLOOKUP($J2301,'Type Chart'!$C$2:$T$20,14,false)*HLOOKUP($K2301,'Type Chart'!$C$2:$U$20,14,false)</f>
        <v>2</v>
      </c>
      <c r="AH2301" s="960">
        <f t="array" ref="AH2301">HLOOKUP($J2301,'Type Chart'!$C$2:$T$20,15,false)*HLOOKUP($K2301,'Type Chart'!$C$2:$U$20,15,false)</f>
        <v>1</v>
      </c>
      <c r="AI2301" s="960">
        <f t="array" ref="AI2301">HLOOKUP($J2301,'Type Chart'!$C$2:$T$20,16,false)*HLOOKUP($K2301,'Type Chart'!$C$2:$U$20,16,false)</f>
        <v>2</v>
      </c>
      <c r="AJ2301" s="960">
        <f t="array" ref="AJ2301">HLOOKUP($J2301,'Type Chart'!$C$2:$T$20,17,false)*HLOOKUP($K2301,'Type Chart'!$C$2:$U$20,17,false)</f>
        <v>1</v>
      </c>
      <c r="AK2301" s="960">
        <f t="array" ref="AK2301">HLOOKUP($J2301,'Type Chart'!$C$2:$T$20,18,false)*HLOOKUP($K2301,'Type Chart'!$C$2:$U$20,18,false)</f>
        <v>1</v>
      </c>
      <c r="AL2301" s="960">
        <f t="array" ref="AL2301">HLOOKUP($J2301,'Type Chart'!$C$2:$T$20,19,false)*HLOOKUP($K2301,'Type Chart'!$C$2:$U$20,19,false)</f>
        <v>1</v>
      </c>
      <c r="AM2301" s="964" t="s">
        <v>1022</v>
      </c>
      <c r="AN2301" s="964" t="s">
        <v>1062</v>
      </c>
      <c r="AO2301" s="966" t="s">
        <v>1024</v>
      </c>
      <c r="AP2301" s="936"/>
      <c r="AQ2301" s="1245"/>
      <c r="AR2301" s="1245"/>
      <c r="AS2301" s="936"/>
    </row>
    <row r="2302" ht="15.75" customHeight="1">
      <c r="A2302" s="1099"/>
      <c r="B2302" s="948" t="s">
        <v>3883</v>
      </c>
      <c r="C2302" s="1197" t="s">
        <v>160</v>
      </c>
      <c r="D2302" s="1197" t="s">
        <v>160</v>
      </c>
      <c r="E2302" s="1147" t="s">
        <v>160</v>
      </c>
      <c r="F2302" s="940"/>
      <c r="G2302" s="953"/>
      <c r="H2302" s="969"/>
      <c r="I2302" s="998" t="s">
        <v>5399</v>
      </c>
      <c r="J2302" s="1210" t="s">
        <v>128</v>
      </c>
      <c r="K2302" s="1233" t="s">
        <v>82</v>
      </c>
      <c r="L2302" s="1200">
        <v>98.0</v>
      </c>
      <c r="M2302" s="1201">
        <v>87.0</v>
      </c>
      <c r="N2302" s="1201">
        <v>105.0</v>
      </c>
      <c r="O2302" s="1201">
        <v>53.0</v>
      </c>
      <c r="P2302" s="1201">
        <v>85.0</v>
      </c>
      <c r="Q2302" s="1201">
        <v>67.0</v>
      </c>
      <c r="R2302" s="960">
        <v>170.0</v>
      </c>
      <c r="S2302" s="960">
        <v>233.0</v>
      </c>
      <c r="T2302" s="960">
        <v>256.0</v>
      </c>
      <c r="U2302" s="960">
        <f t="array" ref="U2302">HLOOKUP($J2302,'Type Chart'!$C$2:$T$20,2,false)*HLOOKUP($K2302,'Type Chart'!$C$2:$U$20,2,false)</f>
        <v>0.5</v>
      </c>
      <c r="V2302" s="960">
        <f t="array" ref="V2302">HLOOKUP($J2302,'Type Chart'!$C$2:$T$20,3,false)*HLOOKUP($K2302,'Type Chart'!$C$2:$U$20,3,false)</f>
        <v>1</v>
      </c>
      <c r="W2302" s="960">
        <f t="array" ref="W2302">HLOOKUP($J2302,'Type Chart'!$C$2:$T$20,4,false)*HLOOKUP($K2302,'Type Chart'!$C$2:$U$20,4,false)</f>
        <v>0.5</v>
      </c>
      <c r="X2302" s="960">
        <f t="array" ref="X2302">HLOOKUP($J2302,'Type Chart'!$C$2:$T$20,5,false)*HLOOKUP($K2302,'Type Chart'!$C$2:$U$20,5,false)</f>
        <v>0</v>
      </c>
      <c r="Y2302" s="960">
        <f t="array" ref="Y2302">HLOOKUP($J2302,'Type Chart'!$C$2:$T$20,6,false)*HLOOKUP($K2302,'Type Chart'!$C$2:$U$20,6,false)</f>
        <v>0</v>
      </c>
      <c r="Z2302" s="960">
        <f t="array" ref="Z2302">HLOOKUP($J2302,'Type Chart'!$C$2:$T$20,7,false)*HLOOKUP($K2302,'Type Chart'!$C$2:$U$20,7,false)</f>
        <v>1</v>
      </c>
      <c r="AA2302" s="960">
        <f t="array" ref="AA2302">HLOOKUP($J2302,'Type Chart'!$C$2:$T$20,8,false)*HLOOKUP($K2302,'Type Chart'!$C$2:$U$20,8,false)</f>
        <v>0.25</v>
      </c>
      <c r="AB2302" s="960">
        <f t="array" ref="AB2302">HLOOKUP($J2302,'Type Chart'!$C$2:$T$20,9,false)*HLOOKUP($K2302,'Type Chart'!$C$2:$U$20,9,false)</f>
        <v>1</v>
      </c>
      <c r="AC2302" s="960">
        <f t="array" ref="AC2302">HLOOKUP($J2302,'Type Chart'!$C$2:$T$20,10,false)*HLOOKUP($K2302,'Type Chart'!$C$2:$U$20,10,false)</f>
        <v>0.5</v>
      </c>
      <c r="AD2302" s="960">
        <f t="array" ref="AD2302">HLOOKUP($J2302,'Type Chart'!$C$2:$T$20,11,false)*HLOOKUP($K2302,'Type Chart'!$C$2:$U$20,11,false)</f>
        <v>2</v>
      </c>
      <c r="AE2302" s="960">
        <f t="array" ref="AE2302">HLOOKUP($J2302,'Type Chart'!$C$2:$T$20,12,false)*HLOOKUP($K2302,'Type Chart'!$C$2:$U$20,12,false)</f>
        <v>1</v>
      </c>
      <c r="AF2302" s="960">
        <f t="array" ref="AF2302">HLOOKUP($J2302,'Type Chart'!$C$2:$T$20,13,false)*HLOOKUP($K2302,'Type Chart'!$C$2:$U$20,13,false)</f>
        <v>0.25</v>
      </c>
      <c r="AG2302" s="960">
        <f t="array" ref="AG2302">HLOOKUP($J2302,'Type Chart'!$C$2:$T$20,14,false)*HLOOKUP($K2302,'Type Chart'!$C$2:$U$20,14,false)</f>
        <v>2</v>
      </c>
      <c r="AH2302" s="960">
        <f t="array" ref="AH2302">HLOOKUP($J2302,'Type Chart'!$C$2:$T$20,15,false)*HLOOKUP($K2302,'Type Chart'!$C$2:$U$20,15,false)</f>
        <v>0.5</v>
      </c>
      <c r="AI2302" s="960">
        <f t="array" ref="AI2302">HLOOKUP($J2302,'Type Chart'!$C$2:$T$20,16,false)*HLOOKUP($K2302,'Type Chart'!$C$2:$U$20,16,false)</f>
        <v>1</v>
      </c>
      <c r="AJ2302" s="960">
        <f t="array" ref="AJ2302">HLOOKUP($J2302,'Type Chart'!$C$2:$T$20,17,false)*HLOOKUP($K2302,'Type Chart'!$C$2:$U$20,17,false)</f>
        <v>0.5</v>
      </c>
      <c r="AK2302" s="960">
        <f t="array" ref="AK2302">HLOOKUP($J2302,'Type Chart'!$C$2:$T$20,18,false)*HLOOKUP($K2302,'Type Chart'!$C$2:$U$20,18,false)</f>
        <v>1</v>
      </c>
      <c r="AL2302" s="960">
        <f t="array" ref="AL2302">HLOOKUP($J2302,'Type Chart'!$C$2:$T$20,19,false)*HLOOKUP($K2302,'Type Chart'!$C$2:$U$20,19,false)</f>
        <v>0.5</v>
      </c>
      <c r="AM2302" s="1145" t="s">
        <v>1636</v>
      </c>
      <c r="AN2302" s="964" t="s">
        <v>1062</v>
      </c>
      <c r="AO2302" s="966" t="s">
        <v>3884</v>
      </c>
      <c r="AP2302" s="936"/>
      <c r="AQ2302" s="1245"/>
      <c r="AR2302" s="1245"/>
      <c r="AS2302" s="936"/>
    </row>
    <row r="2303" ht="15.75" customHeight="1">
      <c r="A2303" s="1099"/>
      <c r="B2303" s="948" t="s">
        <v>3885</v>
      </c>
      <c r="C2303" s="1197" t="s">
        <v>3886</v>
      </c>
      <c r="D2303" s="1197" t="s">
        <v>3886</v>
      </c>
      <c r="E2303" s="1147" t="s">
        <v>3886</v>
      </c>
      <c r="F2303" s="940"/>
      <c r="G2303" s="953"/>
      <c r="H2303" s="969"/>
      <c r="I2303" s="998" t="s">
        <v>5400</v>
      </c>
      <c r="J2303" s="1180" t="s">
        <v>343</v>
      </c>
      <c r="K2303" s="984" t="s">
        <v>216</v>
      </c>
      <c r="L2303" s="959">
        <v>25.0</v>
      </c>
      <c r="M2303" s="960">
        <v>20.0</v>
      </c>
      <c r="N2303" s="960">
        <v>20.0</v>
      </c>
      <c r="O2303" s="960">
        <v>25.0</v>
      </c>
      <c r="P2303" s="960">
        <v>45.0</v>
      </c>
      <c r="Q2303" s="960">
        <v>45.0</v>
      </c>
      <c r="R2303" s="960">
        <v>126.0</v>
      </c>
      <c r="S2303" s="960">
        <v>189.0</v>
      </c>
      <c r="T2303" s="960">
        <v>207.0</v>
      </c>
      <c r="U2303" s="960">
        <f t="array" ref="U2303">HLOOKUP($J2303,'Type Chart'!$C$2:$T$20,2,false)*HLOOKUP($K2303,'Type Chart'!$C$2:$U$20,2,false)</f>
        <v>1</v>
      </c>
      <c r="V2303" s="960">
        <f t="array" ref="V2303">HLOOKUP($J2303,'Type Chart'!$C$2:$T$20,3,false)*HLOOKUP($K2303,'Type Chart'!$C$2:$U$20,3,false)</f>
        <v>0.5</v>
      </c>
      <c r="W2303" s="960">
        <f t="array" ref="W2303">HLOOKUP($J2303,'Type Chart'!$C$2:$T$20,4,false)*HLOOKUP($K2303,'Type Chart'!$C$2:$U$20,4,false)</f>
        <v>2</v>
      </c>
      <c r="X2303" s="960">
        <f t="array" ref="X2303">HLOOKUP($J2303,'Type Chart'!$C$2:$T$20,5,false)*HLOOKUP($K2303,'Type Chart'!$C$2:$U$20,5,false)</f>
        <v>1</v>
      </c>
      <c r="Y2303" s="960">
        <f t="array" ref="Y2303">HLOOKUP($J2303,'Type Chart'!$C$2:$T$20,6,false)*HLOOKUP($K2303,'Type Chart'!$C$2:$U$20,6,false)</f>
        <v>0.5</v>
      </c>
      <c r="Z2303" s="960">
        <f t="array" ref="Z2303">HLOOKUP($J2303,'Type Chart'!$C$2:$T$20,7,false)*HLOOKUP($K2303,'Type Chart'!$C$2:$U$20,7,false)</f>
        <v>2</v>
      </c>
      <c r="AA2303" s="960">
        <f t="array" ref="AA2303">HLOOKUP($J2303,'Type Chart'!$C$2:$T$20,8,false)*HLOOKUP($K2303,'Type Chart'!$C$2:$U$20,8,false)</f>
        <v>1</v>
      </c>
      <c r="AB2303" s="960">
        <f t="array" ref="AB2303">HLOOKUP($J2303,'Type Chart'!$C$2:$T$20,9,false)*HLOOKUP($K2303,'Type Chart'!$C$2:$U$20,9,false)</f>
        <v>1</v>
      </c>
      <c r="AC2303" s="960">
        <f t="array" ref="AC2303">HLOOKUP($J2303,'Type Chart'!$C$2:$T$20,10,false)*HLOOKUP($K2303,'Type Chart'!$C$2:$U$20,10,false)</f>
        <v>1</v>
      </c>
      <c r="AD2303" s="960">
        <f t="array" ref="AD2303">HLOOKUP($J2303,'Type Chart'!$C$2:$T$20,11,false)*HLOOKUP($K2303,'Type Chart'!$C$2:$U$20,11,false)</f>
        <v>2</v>
      </c>
      <c r="AE2303" s="960">
        <f t="array" ref="AE2303">HLOOKUP($J2303,'Type Chart'!$C$2:$T$20,12,false)*HLOOKUP($K2303,'Type Chart'!$C$2:$U$20,12,false)</f>
        <v>1</v>
      </c>
      <c r="AF2303" s="960">
        <f t="array" ref="AF2303">HLOOKUP($J2303,'Type Chart'!$C$2:$T$20,13,false)*HLOOKUP($K2303,'Type Chart'!$C$2:$U$20,13,false)</f>
        <v>0.5</v>
      </c>
      <c r="AG2303" s="960">
        <f t="array" ref="AG2303">HLOOKUP($J2303,'Type Chart'!$C$2:$T$20,14,false)*HLOOKUP($K2303,'Type Chart'!$C$2:$U$20,14,false)</f>
        <v>1</v>
      </c>
      <c r="AH2303" s="960">
        <f t="array" ref="AH2303">HLOOKUP($J2303,'Type Chart'!$C$2:$T$20,15,false)*HLOOKUP($K2303,'Type Chart'!$C$2:$U$20,15,false)</f>
        <v>1</v>
      </c>
      <c r="AI2303" s="960">
        <f t="array" ref="AI2303">HLOOKUP($J2303,'Type Chart'!$C$2:$T$20,16,false)*HLOOKUP($K2303,'Type Chart'!$C$2:$U$20,16,false)</f>
        <v>1</v>
      </c>
      <c r="AJ2303" s="960">
        <f t="array" ref="AJ2303">HLOOKUP($J2303,'Type Chart'!$C$2:$T$20,17,false)*HLOOKUP($K2303,'Type Chart'!$C$2:$U$20,17,false)</f>
        <v>1</v>
      </c>
      <c r="AK2303" s="960">
        <f t="array" ref="AK2303">HLOOKUP($J2303,'Type Chart'!$C$2:$T$20,18,false)*HLOOKUP($K2303,'Type Chart'!$C$2:$U$20,18,false)</f>
        <v>1</v>
      </c>
      <c r="AL2303" s="960">
        <f t="array" ref="AL2303">HLOOKUP($J2303,'Type Chart'!$C$2:$T$20,19,false)*HLOOKUP($K2303,'Type Chart'!$C$2:$U$20,19,false)</f>
        <v>1</v>
      </c>
      <c r="AM2303" s="964" t="s">
        <v>1013</v>
      </c>
      <c r="AN2303" s="964" t="s">
        <v>1002</v>
      </c>
      <c r="AO2303" s="966" t="s">
        <v>1828</v>
      </c>
      <c r="AP2303" s="936"/>
      <c r="AQ2303" s="1245"/>
      <c r="AR2303" s="1245"/>
      <c r="AS2303" s="936"/>
    </row>
    <row r="2304" ht="15.75" customHeight="1">
      <c r="A2304" s="1099"/>
      <c r="B2304" s="948" t="s">
        <v>3888</v>
      </c>
      <c r="C2304" s="1197" t="s">
        <v>3889</v>
      </c>
      <c r="D2304" s="1197" t="s">
        <v>3889</v>
      </c>
      <c r="E2304" s="1147" t="s">
        <v>3889</v>
      </c>
      <c r="F2304" s="940"/>
      <c r="G2304" s="953"/>
      <c r="H2304" s="969"/>
      <c r="I2304" s="998" t="s">
        <v>5401</v>
      </c>
      <c r="J2304" s="1180" t="s">
        <v>343</v>
      </c>
      <c r="K2304" s="1203" t="s">
        <v>344</v>
      </c>
      <c r="L2304" s="959">
        <v>50.0</v>
      </c>
      <c r="M2304" s="960">
        <v>35.0</v>
      </c>
      <c r="N2304" s="960">
        <v>80.0</v>
      </c>
      <c r="O2304" s="960">
        <v>50.0</v>
      </c>
      <c r="P2304" s="960">
        <v>90.0</v>
      </c>
      <c r="Q2304" s="960">
        <v>30.0</v>
      </c>
      <c r="R2304" s="960">
        <v>96.0</v>
      </c>
      <c r="S2304" s="960">
        <v>159.0</v>
      </c>
      <c r="T2304" s="960">
        <v>174.0</v>
      </c>
      <c r="U2304" s="960">
        <f t="array" ref="U2304">HLOOKUP($J2304,'Type Chart'!$C$2:$T$20,2,false)*HLOOKUP($K2304,'Type Chart'!$C$2:$U$20,2,false)</f>
        <v>1</v>
      </c>
      <c r="V2304" s="960">
        <f t="array" ref="V2304">HLOOKUP($J2304,'Type Chart'!$C$2:$T$20,3,false)*HLOOKUP($K2304,'Type Chart'!$C$2:$U$20,3,false)</f>
        <v>0.25</v>
      </c>
      <c r="W2304" s="960">
        <f t="array" ref="W2304">HLOOKUP($J2304,'Type Chart'!$C$2:$T$20,4,false)*HLOOKUP($K2304,'Type Chart'!$C$2:$U$20,4,false)</f>
        <v>2</v>
      </c>
      <c r="X2304" s="960">
        <f t="array" ref="X2304">HLOOKUP($J2304,'Type Chart'!$C$2:$T$20,5,false)*HLOOKUP($K2304,'Type Chart'!$C$2:$U$20,5,false)</f>
        <v>1</v>
      </c>
      <c r="Y2304" s="960">
        <f t="array" ref="Y2304">HLOOKUP($J2304,'Type Chart'!$C$2:$T$20,6,false)*HLOOKUP($K2304,'Type Chart'!$C$2:$U$20,6,false)</f>
        <v>0.5</v>
      </c>
      <c r="Z2304" s="960">
        <f t="array" ref="Z2304">HLOOKUP($J2304,'Type Chart'!$C$2:$T$20,7,false)*HLOOKUP($K2304,'Type Chart'!$C$2:$U$20,7,false)</f>
        <v>2</v>
      </c>
      <c r="AA2304" s="960">
        <f t="array" ref="AA2304">HLOOKUP($J2304,'Type Chart'!$C$2:$T$20,8,false)*HLOOKUP($K2304,'Type Chart'!$C$2:$U$20,8,false)</f>
        <v>2</v>
      </c>
      <c r="AB2304" s="960">
        <f t="array" ref="AB2304">HLOOKUP($J2304,'Type Chart'!$C$2:$T$20,9,false)*HLOOKUP($K2304,'Type Chart'!$C$2:$U$20,9,false)</f>
        <v>2</v>
      </c>
      <c r="AC2304" s="960">
        <f t="array" ref="AC2304">HLOOKUP($J2304,'Type Chart'!$C$2:$T$20,10,false)*HLOOKUP($K2304,'Type Chart'!$C$2:$U$20,10,false)</f>
        <v>1</v>
      </c>
      <c r="AD2304" s="960">
        <f t="array" ref="AD2304">HLOOKUP($J2304,'Type Chart'!$C$2:$T$20,11,false)*HLOOKUP($K2304,'Type Chart'!$C$2:$U$20,11,false)</f>
        <v>2</v>
      </c>
      <c r="AE2304" s="960">
        <f t="array" ref="AE2304">HLOOKUP($J2304,'Type Chart'!$C$2:$T$20,12,false)*HLOOKUP($K2304,'Type Chart'!$C$2:$U$20,12,false)</f>
        <v>1</v>
      </c>
      <c r="AF2304" s="960">
        <f t="array" ref="AF2304">HLOOKUP($J2304,'Type Chart'!$C$2:$T$20,13,false)*HLOOKUP($K2304,'Type Chart'!$C$2:$U$20,13,false)</f>
        <v>0.5</v>
      </c>
      <c r="AG2304" s="960">
        <f t="array" ref="AG2304">HLOOKUP($J2304,'Type Chart'!$C$2:$T$20,14,false)*HLOOKUP($K2304,'Type Chart'!$C$2:$U$20,14,false)</f>
        <v>1</v>
      </c>
      <c r="AH2304" s="960">
        <f t="array" ref="AH2304">HLOOKUP($J2304,'Type Chart'!$C$2:$T$20,15,false)*HLOOKUP($K2304,'Type Chart'!$C$2:$U$20,15,false)</f>
        <v>0.5</v>
      </c>
      <c r="AI2304" s="960">
        <f t="array" ref="AI2304">HLOOKUP($J2304,'Type Chart'!$C$2:$T$20,16,false)*HLOOKUP($K2304,'Type Chart'!$C$2:$U$20,16,false)</f>
        <v>1</v>
      </c>
      <c r="AJ2304" s="960">
        <f t="array" ref="AJ2304">HLOOKUP($J2304,'Type Chart'!$C$2:$T$20,17,false)*HLOOKUP($K2304,'Type Chart'!$C$2:$U$20,17,false)</f>
        <v>1</v>
      </c>
      <c r="AK2304" s="960">
        <f t="array" ref="AK2304">HLOOKUP($J2304,'Type Chart'!$C$2:$T$20,18,false)*HLOOKUP($K2304,'Type Chart'!$C$2:$U$20,18,false)</f>
        <v>2</v>
      </c>
      <c r="AL2304" s="960">
        <f t="array" ref="AL2304">HLOOKUP($J2304,'Type Chart'!$C$2:$T$20,19,false)*HLOOKUP($K2304,'Type Chart'!$C$2:$U$20,19,false)</f>
        <v>1</v>
      </c>
      <c r="AM2304" s="964" t="s">
        <v>1013</v>
      </c>
      <c r="AN2304" s="964" t="s">
        <v>1002</v>
      </c>
      <c r="AO2304" s="966" t="s">
        <v>1828</v>
      </c>
      <c r="AP2304" s="936"/>
      <c r="AQ2304" s="1245"/>
      <c r="AR2304" s="1245"/>
      <c r="AS2304" s="936"/>
    </row>
    <row r="2305" ht="15.75" customHeight="1">
      <c r="A2305" s="1099"/>
      <c r="B2305" s="948" t="s">
        <v>3891</v>
      </c>
      <c r="C2305" s="1197" t="s">
        <v>3892</v>
      </c>
      <c r="D2305" s="1197" t="s">
        <v>3892</v>
      </c>
      <c r="E2305" s="1147" t="s">
        <v>3892</v>
      </c>
      <c r="F2305" s="940"/>
      <c r="G2305" s="953"/>
      <c r="H2305" s="969"/>
      <c r="I2305" s="998" t="s">
        <v>5402</v>
      </c>
      <c r="J2305" s="1225" t="s">
        <v>343</v>
      </c>
      <c r="K2305" s="1215" t="s">
        <v>344</v>
      </c>
      <c r="L2305" s="1200">
        <v>60.0</v>
      </c>
      <c r="M2305" s="1201">
        <v>45.0</v>
      </c>
      <c r="N2305" s="1201">
        <v>110.0</v>
      </c>
      <c r="O2305" s="1201">
        <v>80.0</v>
      </c>
      <c r="P2305" s="1201">
        <v>120.0</v>
      </c>
      <c r="Q2305" s="1201">
        <v>90.0</v>
      </c>
      <c r="R2305" s="960">
        <v>216.0</v>
      </c>
      <c r="S2305" s="960">
        <v>279.0</v>
      </c>
      <c r="T2305" s="960">
        <v>306.0</v>
      </c>
      <c r="U2305" s="960">
        <f t="array" ref="U2305">HLOOKUP($J2305,'Type Chart'!$C$2:$T$20,2,false)*HLOOKUP($K2305,'Type Chart'!$C$2:$U$20,2,false)</f>
        <v>1</v>
      </c>
      <c r="V2305" s="960">
        <f t="array" ref="V2305">HLOOKUP($J2305,'Type Chart'!$C$2:$T$20,3,false)*HLOOKUP($K2305,'Type Chart'!$C$2:$U$20,3,false)</f>
        <v>0.25</v>
      </c>
      <c r="W2305" s="960">
        <f t="array" ref="W2305">HLOOKUP($J2305,'Type Chart'!$C$2:$T$20,4,false)*HLOOKUP($K2305,'Type Chart'!$C$2:$U$20,4,false)</f>
        <v>2</v>
      </c>
      <c r="X2305" s="960">
        <f t="array" ref="X2305">HLOOKUP($J2305,'Type Chart'!$C$2:$T$20,5,false)*HLOOKUP($K2305,'Type Chart'!$C$2:$U$20,5,false)</f>
        <v>1</v>
      </c>
      <c r="Y2305" s="960">
        <f t="array" ref="Y2305">HLOOKUP($J2305,'Type Chart'!$C$2:$T$20,6,false)*HLOOKUP($K2305,'Type Chart'!$C$2:$U$20,6,false)</f>
        <v>0.5</v>
      </c>
      <c r="Z2305" s="960">
        <f t="array" ref="Z2305">HLOOKUP($J2305,'Type Chart'!$C$2:$T$20,7,false)*HLOOKUP($K2305,'Type Chart'!$C$2:$U$20,7,false)</f>
        <v>2</v>
      </c>
      <c r="AA2305" s="960">
        <f t="array" ref="AA2305">HLOOKUP($J2305,'Type Chart'!$C$2:$T$20,8,false)*HLOOKUP($K2305,'Type Chart'!$C$2:$U$20,8,false)</f>
        <v>2</v>
      </c>
      <c r="AB2305" s="960">
        <f t="array" ref="AB2305">HLOOKUP($J2305,'Type Chart'!$C$2:$T$20,9,false)*HLOOKUP($K2305,'Type Chart'!$C$2:$U$20,9,false)</f>
        <v>2</v>
      </c>
      <c r="AC2305" s="960">
        <f t="array" ref="AC2305">HLOOKUP($J2305,'Type Chart'!$C$2:$T$20,10,false)*HLOOKUP($K2305,'Type Chart'!$C$2:$U$20,10,false)</f>
        <v>1</v>
      </c>
      <c r="AD2305" s="960">
        <f t="array" ref="AD2305">HLOOKUP($J2305,'Type Chart'!$C$2:$T$20,11,false)*HLOOKUP($K2305,'Type Chart'!$C$2:$U$20,11,false)</f>
        <v>2</v>
      </c>
      <c r="AE2305" s="960">
        <f t="array" ref="AE2305">HLOOKUP($J2305,'Type Chart'!$C$2:$T$20,12,false)*HLOOKUP($K2305,'Type Chart'!$C$2:$U$20,12,false)</f>
        <v>1</v>
      </c>
      <c r="AF2305" s="960">
        <f t="array" ref="AF2305">HLOOKUP($J2305,'Type Chart'!$C$2:$T$20,13,false)*HLOOKUP($K2305,'Type Chart'!$C$2:$U$20,13,false)</f>
        <v>0.5</v>
      </c>
      <c r="AG2305" s="960">
        <f t="array" ref="AG2305">HLOOKUP($J2305,'Type Chart'!$C$2:$T$20,14,false)*HLOOKUP($K2305,'Type Chart'!$C$2:$U$20,14,false)</f>
        <v>1</v>
      </c>
      <c r="AH2305" s="960">
        <f t="array" ref="AH2305">HLOOKUP($J2305,'Type Chart'!$C$2:$T$20,15,false)*HLOOKUP($K2305,'Type Chart'!$C$2:$U$20,15,false)</f>
        <v>0.5</v>
      </c>
      <c r="AI2305" s="960">
        <f t="array" ref="AI2305">HLOOKUP($J2305,'Type Chart'!$C$2:$T$20,16,false)*HLOOKUP($K2305,'Type Chart'!$C$2:$U$20,16,false)</f>
        <v>1</v>
      </c>
      <c r="AJ2305" s="960">
        <f t="array" ref="AJ2305">HLOOKUP($J2305,'Type Chart'!$C$2:$T$20,17,false)*HLOOKUP($K2305,'Type Chart'!$C$2:$U$20,17,false)</f>
        <v>1</v>
      </c>
      <c r="AK2305" s="960">
        <f t="array" ref="AK2305">HLOOKUP($J2305,'Type Chart'!$C$2:$T$20,18,false)*HLOOKUP($K2305,'Type Chart'!$C$2:$U$20,18,false)</f>
        <v>2</v>
      </c>
      <c r="AL2305" s="960">
        <f t="array" ref="AL2305">HLOOKUP($J2305,'Type Chart'!$C$2:$T$20,19,false)*HLOOKUP($K2305,'Type Chart'!$C$2:$U$20,19,false)</f>
        <v>1</v>
      </c>
      <c r="AM2305" s="1145" t="s">
        <v>1013</v>
      </c>
      <c r="AN2305" s="1145" t="s">
        <v>1188</v>
      </c>
      <c r="AO2305" s="1146" t="s">
        <v>1828</v>
      </c>
      <c r="AP2305" s="936"/>
      <c r="AQ2305" s="1245"/>
      <c r="AR2305" s="1245"/>
      <c r="AS2305" s="936"/>
    </row>
    <row r="2306" ht="15.75" customHeight="1">
      <c r="A2306" s="1099"/>
      <c r="B2306" s="948" t="s">
        <v>3894</v>
      </c>
      <c r="C2306" s="1197" t="s">
        <v>3895</v>
      </c>
      <c r="D2306" s="1197" t="s">
        <v>3895</v>
      </c>
      <c r="E2306" s="1147" t="s">
        <v>3895</v>
      </c>
      <c r="F2306" s="940"/>
      <c r="G2306" s="953"/>
      <c r="H2306" s="969"/>
      <c r="I2306" s="998" t="s">
        <v>5403</v>
      </c>
      <c r="J2306" s="1195" t="s">
        <v>193</v>
      </c>
      <c r="K2306" s="984" t="s">
        <v>216</v>
      </c>
      <c r="L2306" s="959">
        <v>40.0</v>
      </c>
      <c r="M2306" s="960">
        <v>28.0</v>
      </c>
      <c r="N2306" s="960">
        <v>28.0</v>
      </c>
      <c r="O2306" s="960">
        <v>47.0</v>
      </c>
      <c r="P2306" s="960">
        <v>52.0</v>
      </c>
      <c r="Q2306" s="960">
        <v>50.0</v>
      </c>
      <c r="R2306" s="960">
        <v>136.0</v>
      </c>
      <c r="S2306" s="960">
        <v>199.0</v>
      </c>
      <c r="T2306" s="960">
        <v>218.0</v>
      </c>
      <c r="U2306" s="960">
        <f t="array" ref="U2306">HLOOKUP($J2306,'Type Chart'!$C$2:$T$20,2,false)*HLOOKUP($K2306,'Type Chart'!$C$2:$U$20,2,false)</f>
        <v>1</v>
      </c>
      <c r="V2306" s="960">
        <f t="array" ref="V2306">HLOOKUP($J2306,'Type Chart'!$C$2:$T$20,3,false)*HLOOKUP($K2306,'Type Chart'!$C$2:$U$20,3,false)</f>
        <v>2</v>
      </c>
      <c r="W2306" s="960">
        <f t="array" ref="W2306">HLOOKUP($J2306,'Type Chart'!$C$2:$T$20,4,false)*HLOOKUP($K2306,'Type Chart'!$C$2:$U$20,4,false)</f>
        <v>1</v>
      </c>
      <c r="X2306" s="960">
        <f t="array" ref="X2306">HLOOKUP($J2306,'Type Chart'!$C$2:$T$20,5,false)*HLOOKUP($K2306,'Type Chart'!$C$2:$U$20,5,false)</f>
        <v>1</v>
      </c>
      <c r="Y2306" s="960">
        <f t="array" ref="Y2306">HLOOKUP($J2306,'Type Chart'!$C$2:$T$20,6,false)*HLOOKUP($K2306,'Type Chart'!$C$2:$U$20,6,false)</f>
        <v>1</v>
      </c>
      <c r="Z2306" s="960">
        <f t="array" ref="Z2306">HLOOKUP($J2306,'Type Chart'!$C$2:$T$20,7,false)*HLOOKUP($K2306,'Type Chart'!$C$2:$U$20,7,false)</f>
        <v>1</v>
      </c>
      <c r="AA2306" s="960">
        <f t="array" ref="AA2306">HLOOKUP($J2306,'Type Chart'!$C$2:$T$20,8,false)*HLOOKUP($K2306,'Type Chart'!$C$2:$U$20,8,false)</f>
        <v>2</v>
      </c>
      <c r="AB2306" s="960">
        <f t="array" ref="AB2306">HLOOKUP($J2306,'Type Chart'!$C$2:$T$20,9,false)*HLOOKUP($K2306,'Type Chart'!$C$2:$U$20,9,false)</f>
        <v>0.5</v>
      </c>
      <c r="AC2306" s="960">
        <f t="array" ref="AC2306">HLOOKUP($J2306,'Type Chart'!$C$2:$T$20,10,false)*HLOOKUP($K2306,'Type Chart'!$C$2:$U$20,10,false)</f>
        <v>1</v>
      </c>
      <c r="AD2306" s="960">
        <f t="array" ref="AD2306">HLOOKUP($J2306,'Type Chart'!$C$2:$T$20,11,false)*HLOOKUP($K2306,'Type Chart'!$C$2:$U$20,11,false)</f>
        <v>1</v>
      </c>
      <c r="AE2306" s="960">
        <f t="array" ref="AE2306">HLOOKUP($J2306,'Type Chart'!$C$2:$T$20,12,false)*HLOOKUP($K2306,'Type Chart'!$C$2:$U$20,12,false)</f>
        <v>1</v>
      </c>
      <c r="AF2306" s="960">
        <f t="array" ref="AF2306">HLOOKUP($J2306,'Type Chart'!$C$2:$T$20,13,false)*HLOOKUP($K2306,'Type Chart'!$C$2:$U$20,13,false)</f>
        <v>1</v>
      </c>
      <c r="AG2306" s="960">
        <f t="array" ref="AG2306">HLOOKUP($J2306,'Type Chart'!$C$2:$T$20,14,false)*HLOOKUP($K2306,'Type Chart'!$C$2:$U$20,14,false)</f>
        <v>1</v>
      </c>
      <c r="AH2306" s="960">
        <f t="array" ref="AH2306">HLOOKUP($J2306,'Type Chart'!$C$2:$T$20,15,false)*HLOOKUP($K2306,'Type Chart'!$C$2:$U$20,15,false)</f>
        <v>0</v>
      </c>
      <c r="AI2306" s="960">
        <f t="array" ref="AI2306">HLOOKUP($J2306,'Type Chart'!$C$2:$T$20,16,false)*HLOOKUP($K2306,'Type Chart'!$C$2:$U$20,16,false)</f>
        <v>1</v>
      </c>
      <c r="AJ2306" s="960">
        <f t="array" ref="AJ2306">HLOOKUP($J2306,'Type Chart'!$C$2:$T$20,17,false)*HLOOKUP($K2306,'Type Chart'!$C$2:$U$20,17,false)</f>
        <v>1</v>
      </c>
      <c r="AK2306" s="960">
        <f t="array" ref="AK2306">HLOOKUP($J2306,'Type Chart'!$C$2:$T$20,18,false)*HLOOKUP($K2306,'Type Chart'!$C$2:$U$20,18,false)</f>
        <v>0.5</v>
      </c>
      <c r="AL2306" s="960">
        <f t="array" ref="AL2306">HLOOKUP($J2306,'Type Chart'!$C$2:$T$20,19,false)*HLOOKUP($K2306,'Type Chart'!$C$2:$U$20,19,false)</f>
        <v>2</v>
      </c>
      <c r="AM2306" s="964" t="s">
        <v>1498</v>
      </c>
      <c r="AN2306" s="964" t="s">
        <v>988</v>
      </c>
      <c r="AO2306" s="966" t="s">
        <v>3548</v>
      </c>
      <c r="AP2306" s="936"/>
      <c r="AQ2306" s="1245"/>
      <c r="AR2306" s="1245"/>
      <c r="AS2306" s="936"/>
    </row>
    <row r="2307" ht="15.75" customHeight="1">
      <c r="A2307" s="1099"/>
      <c r="B2307" s="948" t="s">
        <v>3897</v>
      </c>
      <c r="C2307" s="1197" t="s">
        <v>3898</v>
      </c>
      <c r="D2307" s="1197" t="s">
        <v>3898</v>
      </c>
      <c r="E2307" s="1147" t="s">
        <v>3898</v>
      </c>
      <c r="F2307" s="940"/>
      <c r="G2307" s="953"/>
      <c r="H2307" s="969"/>
      <c r="I2307" s="998" t="s">
        <v>5404</v>
      </c>
      <c r="J2307" s="1195" t="s">
        <v>193</v>
      </c>
      <c r="K2307" s="984" t="s">
        <v>216</v>
      </c>
      <c r="L2307" s="959">
        <v>70.0</v>
      </c>
      <c r="M2307" s="960">
        <v>58.0</v>
      </c>
      <c r="N2307" s="960">
        <v>58.0</v>
      </c>
      <c r="O2307" s="960">
        <v>87.0</v>
      </c>
      <c r="P2307" s="960">
        <v>92.0</v>
      </c>
      <c r="Q2307" s="960">
        <v>90.0</v>
      </c>
      <c r="R2307" s="960">
        <v>216.0</v>
      </c>
      <c r="S2307" s="960">
        <v>279.0</v>
      </c>
      <c r="T2307" s="960">
        <v>306.0</v>
      </c>
      <c r="U2307" s="960">
        <f t="array" ref="U2307">HLOOKUP($J2307,'Type Chart'!$C$2:$T$20,2,false)*HLOOKUP($K2307,'Type Chart'!$C$2:$U$20,2,false)</f>
        <v>1</v>
      </c>
      <c r="V2307" s="960">
        <f t="array" ref="V2307">HLOOKUP($J2307,'Type Chart'!$C$2:$T$20,3,false)*HLOOKUP($K2307,'Type Chart'!$C$2:$U$20,3,false)</f>
        <v>2</v>
      </c>
      <c r="W2307" s="960">
        <f t="array" ref="W2307">HLOOKUP($J2307,'Type Chart'!$C$2:$T$20,4,false)*HLOOKUP($K2307,'Type Chart'!$C$2:$U$20,4,false)</f>
        <v>1</v>
      </c>
      <c r="X2307" s="960">
        <f t="array" ref="X2307">HLOOKUP($J2307,'Type Chart'!$C$2:$T$20,5,false)*HLOOKUP($K2307,'Type Chart'!$C$2:$U$20,5,false)</f>
        <v>1</v>
      </c>
      <c r="Y2307" s="960">
        <f t="array" ref="Y2307">HLOOKUP($J2307,'Type Chart'!$C$2:$T$20,6,false)*HLOOKUP($K2307,'Type Chart'!$C$2:$U$20,6,false)</f>
        <v>1</v>
      </c>
      <c r="Z2307" s="960">
        <f t="array" ref="Z2307">HLOOKUP($J2307,'Type Chart'!$C$2:$T$20,7,false)*HLOOKUP($K2307,'Type Chart'!$C$2:$U$20,7,false)</f>
        <v>1</v>
      </c>
      <c r="AA2307" s="960">
        <f t="array" ref="AA2307">HLOOKUP($J2307,'Type Chart'!$C$2:$T$20,8,false)*HLOOKUP($K2307,'Type Chart'!$C$2:$U$20,8,false)</f>
        <v>2</v>
      </c>
      <c r="AB2307" s="960">
        <f t="array" ref="AB2307">HLOOKUP($J2307,'Type Chart'!$C$2:$T$20,9,false)*HLOOKUP($K2307,'Type Chart'!$C$2:$U$20,9,false)</f>
        <v>0.5</v>
      </c>
      <c r="AC2307" s="960">
        <f t="array" ref="AC2307">HLOOKUP($J2307,'Type Chart'!$C$2:$T$20,10,false)*HLOOKUP($K2307,'Type Chart'!$C$2:$U$20,10,false)</f>
        <v>1</v>
      </c>
      <c r="AD2307" s="960">
        <f t="array" ref="AD2307">HLOOKUP($J2307,'Type Chart'!$C$2:$T$20,11,false)*HLOOKUP($K2307,'Type Chart'!$C$2:$U$20,11,false)</f>
        <v>1</v>
      </c>
      <c r="AE2307" s="960">
        <f t="array" ref="AE2307">HLOOKUP($J2307,'Type Chart'!$C$2:$T$20,12,false)*HLOOKUP($K2307,'Type Chart'!$C$2:$U$20,12,false)</f>
        <v>1</v>
      </c>
      <c r="AF2307" s="960">
        <f t="array" ref="AF2307">HLOOKUP($J2307,'Type Chart'!$C$2:$T$20,13,false)*HLOOKUP($K2307,'Type Chart'!$C$2:$U$20,13,false)</f>
        <v>1</v>
      </c>
      <c r="AG2307" s="960">
        <f t="array" ref="AG2307">HLOOKUP($J2307,'Type Chart'!$C$2:$T$20,14,false)*HLOOKUP($K2307,'Type Chart'!$C$2:$U$20,14,false)</f>
        <v>1</v>
      </c>
      <c r="AH2307" s="960">
        <f t="array" ref="AH2307">HLOOKUP($J2307,'Type Chart'!$C$2:$T$20,15,false)*HLOOKUP($K2307,'Type Chart'!$C$2:$U$20,15,false)</f>
        <v>0</v>
      </c>
      <c r="AI2307" s="960">
        <f t="array" ref="AI2307">HLOOKUP($J2307,'Type Chart'!$C$2:$T$20,16,false)*HLOOKUP($K2307,'Type Chart'!$C$2:$U$20,16,false)</f>
        <v>1</v>
      </c>
      <c r="AJ2307" s="960">
        <f t="array" ref="AJ2307">HLOOKUP($J2307,'Type Chart'!$C$2:$T$20,17,false)*HLOOKUP($K2307,'Type Chart'!$C$2:$U$20,17,false)</f>
        <v>1</v>
      </c>
      <c r="AK2307" s="960">
        <f t="array" ref="AK2307">HLOOKUP($J2307,'Type Chart'!$C$2:$T$20,18,false)*HLOOKUP($K2307,'Type Chart'!$C$2:$U$20,18,false)</f>
        <v>0.5</v>
      </c>
      <c r="AL2307" s="960">
        <f t="array" ref="AL2307">HLOOKUP($J2307,'Type Chart'!$C$2:$T$20,19,false)*HLOOKUP($K2307,'Type Chart'!$C$2:$U$20,19,false)</f>
        <v>2</v>
      </c>
      <c r="AM2307" s="964" t="s">
        <v>1498</v>
      </c>
      <c r="AN2307" s="964" t="s">
        <v>988</v>
      </c>
      <c r="AO2307" s="966" t="s">
        <v>3548</v>
      </c>
      <c r="AP2307" s="936"/>
      <c r="AQ2307" s="1245"/>
      <c r="AR2307" s="1245"/>
      <c r="AS2307" s="936"/>
    </row>
    <row r="2308" ht="15.75" customHeight="1">
      <c r="A2308" s="1099"/>
      <c r="B2308" s="948" t="s">
        <v>3900</v>
      </c>
      <c r="C2308" s="1197" t="s">
        <v>3901</v>
      </c>
      <c r="D2308" s="1197" t="s">
        <v>3901</v>
      </c>
      <c r="E2308" s="1147" t="s">
        <v>3901</v>
      </c>
      <c r="F2308" s="940"/>
      <c r="G2308" s="953"/>
      <c r="H2308" s="969"/>
      <c r="I2308" s="998" t="s">
        <v>5405</v>
      </c>
      <c r="J2308" s="957" t="s">
        <v>209</v>
      </c>
      <c r="K2308" s="984" t="s">
        <v>216</v>
      </c>
      <c r="L2308" s="959">
        <v>40.0</v>
      </c>
      <c r="M2308" s="960">
        <v>40.0</v>
      </c>
      <c r="N2308" s="960">
        <v>60.0</v>
      </c>
      <c r="O2308" s="960">
        <v>40.0</v>
      </c>
      <c r="P2308" s="960">
        <v>60.0</v>
      </c>
      <c r="Q2308" s="960">
        <v>10.0</v>
      </c>
      <c r="R2308" s="960">
        <v>56.0</v>
      </c>
      <c r="S2308" s="960">
        <v>119.0</v>
      </c>
      <c r="T2308" s="960">
        <v>130.0</v>
      </c>
      <c r="U2308" s="960">
        <f t="array" ref="U2308">HLOOKUP($J2308,'Type Chart'!$C$2:$T$20,2,false)*HLOOKUP($K2308,'Type Chart'!$C$2:$U$20,2,false)</f>
        <v>1</v>
      </c>
      <c r="V2308" s="960">
        <f t="array" ref="V2308">HLOOKUP($J2308,'Type Chart'!$C$2:$T$20,3,false)*HLOOKUP($K2308,'Type Chart'!$C$2:$U$20,3,false)</f>
        <v>1</v>
      </c>
      <c r="W2308" s="960">
        <f t="array" ref="W2308">HLOOKUP($J2308,'Type Chart'!$C$2:$T$20,4,false)*HLOOKUP($K2308,'Type Chart'!$C$2:$U$20,4,false)</f>
        <v>2</v>
      </c>
      <c r="X2308" s="960">
        <f t="array" ref="X2308">HLOOKUP($J2308,'Type Chart'!$C$2:$T$20,5,false)*HLOOKUP($K2308,'Type Chart'!$C$2:$U$20,5,false)</f>
        <v>2</v>
      </c>
      <c r="Y2308" s="960">
        <f t="array" ref="Y2308">HLOOKUP($J2308,'Type Chart'!$C$2:$T$20,6,false)*HLOOKUP($K2308,'Type Chart'!$C$2:$U$20,6,false)</f>
        <v>0.5</v>
      </c>
      <c r="Z2308" s="960">
        <f t="array" ref="Z2308">HLOOKUP($J2308,'Type Chart'!$C$2:$T$20,7,false)*HLOOKUP($K2308,'Type Chart'!$C$2:$U$20,7,false)</f>
        <v>1</v>
      </c>
      <c r="AA2308" s="960">
        <f t="array" ref="AA2308">HLOOKUP($J2308,'Type Chart'!$C$2:$T$20,8,false)*HLOOKUP($K2308,'Type Chart'!$C$2:$U$20,8,false)</f>
        <v>2</v>
      </c>
      <c r="AB2308" s="960">
        <f t="array" ref="AB2308">HLOOKUP($J2308,'Type Chart'!$C$2:$T$20,9,false)*HLOOKUP($K2308,'Type Chart'!$C$2:$U$20,9,false)</f>
        <v>1</v>
      </c>
      <c r="AC2308" s="960">
        <f t="array" ref="AC2308">HLOOKUP($J2308,'Type Chart'!$C$2:$T$20,10,false)*HLOOKUP($K2308,'Type Chart'!$C$2:$U$20,10,false)</f>
        <v>1</v>
      </c>
      <c r="AD2308" s="960">
        <f t="array" ref="AD2308">HLOOKUP($J2308,'Type Chart'!$C$2:$T$20,11,false)*HLOOKUP($K2308,'Type Chart'!$C$2:$U$20,11,false)</f>
        <v>2</v>
      </c>
      <c r="AE2308" s="960">
        <f t="array" ref="AE2308">HLOOKUP($J2308,'Type Chart'!$C$2:$T$20,12,false)*HLOOKUP($K2308,'Type Chart'!$C$2:$U$20,12,false)</f>
        <v>0.5</v>
      </c>
      <c r="AF2308" s="960">
        <f t="array" ref="AF2308">HLOOKUP($J2308,'Type Chart'!$C$2:$T$20,13,false)*HLOOKUP($K2308,'Type Chart'!$C$2:$U$20,13,false)</f>
        <v>0.5</v>
      </c>
      <c r="AG2308" s="960">
        <f t="array" ref="AG2308">HLOOKUP($J2308,'Type Chart'!$C$2:$T$20,14,false)*HLOOKUP($K2308,'Type Chart'!$C$2:$U$20,14,false)</f>
        <v>0.5</v>
      </c>
      <c r="AH2308" s="960">
        <f t="array" ref="AH2308">HLOOKUP($J2308,'Type Chart'!$C$2:$T$20,15,false)*HLOOKUP($K2308,'Type Chart'!$C$2:$U$20,15,false)</f>
        <v>1</v>
      </c>
      <c r="AI2308" s="960">
        <f t="array" ref="AI2308">HLOOKUP($J2308,'Type Chart'!$C$2:$T$20,16,false)*HLOOKUP($K2308,'Type Chart'!$C$2:$U$20,16,false)</f>
        <v>2</v>
      </c>
      <c r="AJ2308" s="960">
        <f t="array" ref="AJ2308">HLOOKUP($J2308,'Type Chart'!$C$2:$T$20,17,false)*HLOOKUP($K2308,'Type Chart'!$C$2:$U$20,17,false)</f>
        <v>1</v>
      </c>
      <c r="AK2308" s="960">
        <f t="array" ref="AK2308">HLOOKUP($J2308,'Type Chart'!$C$2:$T$20,18,false)*HLOOKUP($K2308,'Type Chart'!$C$2:$U$20,18,false)</f>
        <v>1</v>
      </c>
      <c r="AL2308" s="960">
        <f t="array" ref="AL2308">HLOOKUP($J2308,'Type Chart'!$C$2:$T$20,19,false)*HLOOKUP($K2308,'Type Chart'!$C$2:$U$20,19,false)</f>
        <v>1</v>
      </c>
      <c r="AM2308" s="964" t="s">
        <v>3903</v>
      </c>
      <c r="AN2308" s="964" t="s">
        <v>1371</v>
      </c>
      <c r="AO2308" s="966" t="s">
        <v>1206</v>
      </c>
      <c r="AP2308" s="936"/>
      <c r="AQ2308" s="1245"/>
      <c r="AR2308" s="1245"/>
      <c r="AS2308" s="936"/>
    </row>
    <row r="2309" ht="15.75" customHeight="1">
      <c r="A2309" s="1099"/>
      <c r="B2309" s="948" t="s">
        <v>3904</v>
      </c>
      <c r="C2309" s="1197" t="s">
        <v>3905</v>
      </c>
      <c r="D2309" s="1197" t="s">
        <v>3905</v>
      </c>
      <c r="E2309" s="1147" t="s">
        <v>3905</v>
      </c>
      <c r="F2309" s="940"/>
      <c r="G2309" s="953"/>
      <c r="H2309" s="969"/>
      <c r="I2309" s="998" t="s">
        <v>5406</v>
      </c>
      <c r="J2309" s="957" t="s">
        <v>209</v>
      </c>
      <c r="K2309" s="984" t="s">
        <v>216</v>
      </c>
      <c r="L2309" s="959">
        <v>60.0</v>
      </c>
      <c r="M2309" s="960">
        <v>50.0</v>
      </c>
      <c r="N2309" s="960">
        <v>90.0</v>
      </c>
      <c r="O2309" s="960">
        <v>80.0</v>
      </c>
      <c r="P2309" s="960">
        <v>120.0</v>
      </c>
      <c r="Q2309" s="960">
        <v>60.0</v>
      </c>
      <c r="R2309" s="960">
        <v>156.0</v>
      </c>
      <c r="S2309" s="960">
        <v>219.0</v>
      </c>
      <c r="T2309" s="960">
        <v>240.0</v>
      </c>
      <c r="U2309" s="960">
        <f t="array" ref="U2309">HLOOKUP($J2309,'Type Chart'!$C$2:$T$20,2,false)*HLOOKUP($K2309,'Type Chart'!$C$2:$U$20,2,false)</f>
        <v>1</v>
      </c>
      <c r="V2309" s="960">
        <f t="array" ref="V2309">HLOOKUP($J2309,'Type Chart'!$C$2:$T$20,3,false)*HLOOKUP($K2309,'Type Chart'!$C$2:$U$20,3,false)</f>
        <v>1</v>
      </c>
      <c r="W2309" s="960">
        <f t="array" ref="W2309">HLOOKUP($J2309,'Type Chart'!$C$2:$T$20,4,false)*HLOOKUP($K2309,'Type Chart'!$C$2:$U$20,4,false)</f>
        <v>2</v>
      </c>
      <c r="X2309" s="960">
        <f t="array" ref="X2309">HLOOKUP($J2309,'Type Chart'!$C$2:$T$20,5,false)*HLOOKUP($K2309,'Type Chart'!$C$2:$U$20,5,false)</f>
        <v>2</v>
      </c>
      <c r="Y2309" s="960">
        <f t="array" ref="Y2309">HLOOKUP($J2309,'Type Chart'!$C$2:$T$20,6,false)*HLOOKUP($K2309,'Type Chart'!$C$2:$U$20,6,false)</f>
        <v>0.5</v>
      </c>
      <c r="Z2309" s="960">
        <f t="array" ref="Z2309">HLOOKUP($J2309,'Type Chart'!$C$2:$T$20,7,false)*HLOOKUP($K2309,'Type Chart'!$C$2:$U$20,7,false)</f>
        <v>1</v>
      </c>
      <c r="AA2309" s="960">
        <f t="array" ref="AA2309">HLOOKUP($J2309,'Type Chart'!$C$2:$T$20,8,false)*HLOOKUP($K2309,'Type Chart'!$C$2:$U$20,8,false)</f>
        <v>2</v>
      </c>
      <c r="AB2309" s="960">
        <f t="array" ref="AB2309">HLOOKUP($J2309,'Type Chart'!$C$2:$T$20,9,false)*HLOOKUP($K2309,'Type Chart'!$C$2:$U$20,9,false)</f>
        <v>1</v>
      </c>
      <c r="AC2309" s="960">
        <f t="array" ref="AC2309">HLOOKUP($J2309,'Type Chart'!$C$2:$T$20,10,false)*HLOOKUP($K2309,'Type Chart'!$C$2:$U$20,10,false)</f>
        <v>1</v>
      </c>
      <c r="AD2309" s="960">
        <f t="array" ref="AD2309">HLOOKUP($J2309,'Type Chart'!$C$2:$T$20,11,false)*HLOOKUP($K2309,'Type Chart'!$C$2:$U$20,11,false)</f>
        <v>2</v>
      </c>
      <c r="AE2309" s="960">
        <f t="array" ref="AE2309">HLOOKUP($J2309,'Type Chart'!$C$2:$T$20,12,false)*HLOOKUP($K2309,'Type Chart'!$C$2:$U$20,12,false)</f>
        <v>0.5</v>
      </c>
      <c r="AF2309" s="960">
        <f t="array" ref="AF2309">HLOOKUP($J2309,'Type Chart'!$C$2:$T$20,13,false)*HLOOKUP($K2309,'Type Chart'!$C$2:$U$20,13,false)</f>
        <v>0.5</v>
      </c>
      <c r="AG2309" s="960">
        <f t="array" ref="AG2309">HLOOKUP($J2309,'Type Chart'!$C$2:$T$20,14,false)*HLOOKUP($K2309,'Type Chart'!$C$2:$U$20,14,false)</f>
        <v>0.5</v>
      </c>
      <c r="AH2309" s="960">
        <f t="array" ref="AH2309">HLOOKUP($J2309,'Type Chart'!$C$2:$T$20,15,false)*HLOOKUP($K2309,'Type Chart'!$C$2:$U$20,15,false)</f>
        <v>1</v>
      </c>
      <c r="AI2309" s="960">
        <f t="array" ref="AI2309">HLOOKUP($J2309,'Type Chart'!$C$2:$T$20,16,false)*HLOOKUP($K2309,'Type Chart'!$C$2:$U$20,16,false)</f>
        <v>2</v>
      </c>
      <c r="AJ2309" s="960">
        <f t="array" ref="AJ2309">HLOOKUP($J2309,'Type Chart'!$C$2:$T$20,17,false)*HLOOKUP($K2309,'Type Chart'!$C$2:$U$20,17,false)</f>
        <v>1</v>
      </c>
      <c r="AK2309" s="960">
        <f t="array" ref="AK2309">HLOOKUP($J2309,'Type Chart'!$C$2:$T$20,18,false)*HLOOKUP($K2309,'Type Chart'!$C$2:$U$20,18,false)</f>
        <v>1</v>
      </c>
      <c r="AL2309" s="960">
        <f t="array" ref="AL2309">HLOOKUP($J2309,'Type Chart'!$C$2:$T$20,19,false)*HLOOKUP($K2309,'Type Chart'!$C$2:$U$20,19,false)</f>
        <v>1</v>
      </c>
      <c r="AM2309" s="964" t="s">
        <v>3903</v>
      </c>
      <c r="AN2309" s="964" t="s">
        <v>1371</v>
      </c>
      <c r="AO2309" s="966" t="s">
        <v>1206</v>
      </c>
      <c r="AP2309" s="936"/>
      <c r="AQ2309" s="1245"/>
      <c r="AR2309" s="1245"/>
      <c r="AS2309" s="936"/>
    </row>
    <row r="2310" ht="15.75" customHeight="1">
      <c r="A2310" s="1099"/>
      <c r="B2310" s="948" t="s">
        <v>3907</v>
      </c>
      <c r="C2310" s="1197" t="s">
        <v>3908</v>
      </c>
      <c r="D2310" s="1197" t="s">
        <v>3908</v>
      </c>
      <c r="E2310" s="1147" t="s">
        <v>3908</v>
      </c>
      <c r="F2310" s="940"/>
      <c r="G2310" s="953"/>
      <c r="H2310" s="969"/>
      <c r="I2310" s="998" t="s">
        <v>5407</v>
      </c>
      <c r="J2310" s="1216" t="s">
        <v>136</v>
      </c>
      <c r="K2310" s="1199" t="s">
        <v>216</v>
      </c>
      <c r="L2310" s="1200">
        <v>42.0</v>
      </c>
      <c r="M2310" s="1201">
        <v>40.0</v>
      </c>
      <c r="N2310" s="1201">
        <v>55.0</v>
      </c>
      <c r="O2310" s="1201">
        <v>40.0</v>
      </c>
      <c r="P2310" s="1201">
        <v>45.0</v>
      </c>
      <c r="Q2310" s="1201">
        <v>48.0</v>
      </c>
      <c r="R2310" s="960">
        <v>132.0</v>
      </c>
      <c r="S2310" s="960">
        <v>195.0</v>
      </c>
      <c r="T2310" s="960">
        <v>214.0</v>
      </c>
      <c r="U2310" s="960">
        <f t="array" ref="U2310">HLOOKUP($J2310,'Type Chart'!$C$2:$T$20,2,false)*HLOOKUP($K2310,'Type Chart'!$C$2:$U$20,2,false)</f>
        <v>1</v>
      </c>
      <c r="V2310" s="960">
        <f t="array" ref="V2310">HLOOKUP($J2310,'Type Chart'!$C$2:$T$20,3,false)*HLOOKUP($K2310,'Type Chart'!$C$2:$U$20,3,false)</f>
        <v>2</v>
      </c>
      <c r="W2310" s="960">
        <f t="array" ref="W2310">HLOOKUP($J2310,'Type Chart'!$C$2:$T$20,4,false)*HLOOKUP($K2310,'Type Chart'!$C$2:$U$20,4,false)</f>
        <v>1</v>
      </c>
      <c r="X2310" s="960">
        <f t="array" ref="X2310">HLOOKUP($J2310,'Type Chart'!$C$2:$T$20,5,false)*HLOOKUP($K2310,'Type Chart'!$C$2:$U$20,5,false)</f>
        <v>1</v>
      </c>
      <c r="Y2310" s="960">
        <f t="array" ref="Y2310">HLOOKUP($J2310,'Type Chart'!$C$2:$T$20,6,false)*HLOOKUP($K2310,'Type Chart'!$C$2:$U$20,6,false)</f>
        <v>1</v>
      </c>
      <c r="Z2310" s="960">
        <f t="array" ref="Z2310">HLOOKUP($J2310,'Type Chart'!$C$2:$T$20,7,false)*HLOOKUP($K2310,'Type Chart'!$C$2:$U$20,7,false)</f>
        <v>1</v>
      </c>
      <c r="AA2310" s="960">
        <f t="array" ref="AA2310">HLOOKUP($J2310,'Type Chart'!$C$2:$T$20,8,false)*HLOOKUP($K2310,'Type Chart'!$C$2:$U$20,8,false)</f>
        <v>1</v>
      </c>
      <c r="AB2310" s="960">
        <f t="array" ref="AB2310">HLOOKUP($J2310,'Type Chart'!$C$2:$T$20,9,false)*HLOOKUP($K2310,'Type Chart'!$C$2:$U$20,9,false)</f>
        <v>0</v>
      </c>
      <c r="AC2310" s="960">
        <f t="array" ref="AC2310">HLOOKUP($J2310,'Type Chart'!$C$2:$T$20,10,false)*HLOOKUP($K2310,'Type Chart'!$C$2:$U$20,10,false)</f>
        <v>1</v>
      </c>
      <c r="AD2310" s="960">
        <f t="array" ref="AD2310">HLOOKUP($J2310,'Type Chart'!$C$2:$T$20,11,false)*HLOOKUP($K2310,'Type Chart'!$C$2:$U$20,11,false)</f>
        <v>1</v>
      </c>
      <c r="AE2310" s="960">
        <f t="array" ref="AE2310">HLOOKUP($J2310,'Type Chart'!$C$2:$T$20,12,false)*HLOOKUP($K2310,'Type Chart'!$C$2:$U$20,12,false)</f>
        <v>1</v>
      </c>
      <c r="AF2310" s="960">
        <f t="array" ref="AF2310">HLOOKUP($J2310,'Type Chart'!$C$2:$T$20,13,false)*HLOOKUP($K2310,'Type Chart'!$C$2:$U$20,13,false)</f>
        <v>1</v>
      </c>
      <c r="AG2310" s="960">
        <f t="array" ref="AG2310">HLOOKUP($J2310,'Type Chart'!$C$2:$T$20,14,false)*HLOOKUP($K2310,'Type Chart'!$C$2:$U$20,14,false)</f>
        <v>1</v>
      </c>
      <c r="AH2310" s="960">
        <f t="array" ref="AH2310">HLOOKUP($J2310,'Type Chart'!$C$2:$T$20,15,false)*HLOOKUP($K2310,'Type Chart'!$C$2:$U$20,15,false)</f>
        <v>1</v>
      </c>
      <c r="AI2310" s="960">
        <f t="array" ref="AI2310">HLOOKUP($J2310,'Type Chart'!$C$2:$T$20,16,false)*HLOOKUP($K2310,'Type Chart'!$C$2:$U$20,16,false)</f>
        <v>1</v>
      </c>
      <c r="AJ2310" s="960">
        <f t="array" ref="AJ2310">HLOOKUP($J2310,'Type Chart'!$C$2:$T$20,17,false)*HLOOKUP($K2310,'Type Chart'!$C$2:$U$20,17,false)</f>
        <v>1</v>
      </c>
      <c r="AK2310" s="960">
        <f t="array" ref="AK2310">HLOOKUP($J2310,'Type Chart'!$C$2:$T$20,18,false)*HLOOKUP($K2310,'Type Chart'!$C$2:$U$20,18,false)</f>
        <v>1</v>
      </c>
      <c r="AL2310" s="960">
        <f t="array" ref="AL2310">HLOOKUP($J2310,'Type Chart'!$C$2:$T$20,19,false)*HLOOKUP($K2310,'Type Chart'!$C$2:$U$20,19,false)</f>
        <v>1</v>
      </c>
      <c r="AM2310" s="1145" t="s">
        <v>3633</v>
      </c>
      <c r="AN2310" s="964" t="s">
        <v>988</v>
      </c>
      <c r="AO2310" s="1146" t="s">
        <v>3259</v>
      </c>
      <c r="AP2310" s="936"/>
      <c r="AQ2310" s="1245"/>
      <c r="AR2310" s="1245"/>
      <c r="AS2310" s="936"/>
    </row>
    <row r="2311" ht="15.75" customHeight="1">
      <c r="A2311" s="1099"/>
      <c r="B2311" s="948" t="s">
        <v>3910</v>
      </c>
      <c r="C2311" s="1197" t="s">
        <v>3911</v>
      </c>
      <c r="D2311" s="1197" t="s">
        <v>3911</v>
      </c>
      <c r="E2311" s="1147" t="s">
        <v>3911</v>
      </c>
      <c r="F2311" s="940"/>
      <c r="G2311" s="953"/>
      <c r="H2311" s="969"/>
      <c r="I2311" s="998" t="s">
        <v>5408</v>
      </c>
      <c r="J2311" s="1194" t="s">
        <v>136</v>
      </c>
      <c r="K2311" s="984" t="s">
        <v>216</v>
      </c>
      <c r="L2311" s="959">
        <v>72.0</v>
      </c>
      <c r="M2311" s="960">
        <v>80.0</v>
      </c>
      <c r="N2311" s="960">
        <v>100.0</v>
      </c>
      <c r="O2311" s="960">
        <v>60.0</v>
      </c>
      <c r="P2311" s="960">
        <v>90.0</v>
      </c>
      <c r="Q2311" s="960">
        <v>88.0</v>
      </c>
      <c r="R2311" s="960">
        <v>212.0</v>
      </c>
      <c r="S2311" s="960">
        <v>275.0</v>
      </c>
      <c r="T2311" s="960">
        <v>302.0</v>
      </c>
      <c r="U2311" s="960">
        <f t="array" ref="U2311">HLOOKUP($J2311,'Type Chart'!$C$2:$T$20,2,false)*HLOOKUP($K2311,'Type Chart'!$C$2:$U$20,2,false)</f>
        <v>1</v>
      </c>
      <c r="V2311" s="960">
        <f t="array" ref="V2311">HLOOKUP($J2311,'Type Chart'!$C$2:$T$20,3,false)*HLOOKUP($K2311,'Type Chart'!$C$2:$U$20,3,false)</f>
        <v>2</v>
      </c>
      <c r="W2311" s="960">
        <f t="array" ref="W2311">HLOOKUP($J2311,'Type Chart'!$C$2:$T$20,4,false)*HLOOKUP($K2311,'Type Chart'!$C$2:$U$20,4,false)</f>
        <v>1</v>
      </c>
      <c r="X2311" s="960">
        <f t="array" ref="X2311">HLOOKUP($J2311,'Type Chart'!$C$2:$T$20,5,false)*HLOOKUP($K2311,'Type Chart'!$C$2:$U$20,5,false)</f>
        <v>1</v>
      </c>
      <c r="Y2311" s="960">
        <f t="array" ref="Y2311">HLOOKUP($J2311,'Type Chart'!$C$2:$T$20,6,false)*HLOOKUP($K2311,'Type Chart'!$C$2:$U$20,6,false)</f>
        <v>1</v>
      </c>
      <c r="Z2311" s="960">
        <f t="array" ref="Z2311">HLOOKUP($J2311,'Type Chart'!$C$2:$T$20,7,false)*HLOOKUP($K2311,'Type Chart'!$C$2:$U$20,7,false)</f>
        <v>1</v>
      </c>
      <c r="AA2311" s="960">
        <f t="array" ref="AA2311">HLOOKUP($J2311,'Type Chart'!$C$2:$T$20,8,false)*HLOOKUP($K2311,'Type Chart'!$C$2:$U$20,8,false)</f>
        <v>1</v>
      </c>
      <c r="AB2311" s="960">
        <f t="array" ref="AB2311">HLOOKUP($J2311,'Type Chart'!$C$2:$T$20,9,false)*HLOOKUP($K2311,'Type Chart'!$C$2:$U$20,9,false)</f>
        <v>0</v>
      </c>
      <c r="AC2311" s="960">
        <f t="array" ref="AC2311">HLOOKUP($J2311,'Type Chart'!$C$2:$T$20,10,false)*HLOOKUP($K2311,'Type Chart'!$C$2:$U$20,10,false)</f>
        <v>1</v>
      </c>
      <c r="AD2311" s="960">
        <f t="array" ref="AD2311">HLOOKUP($J2311,'Type Chart'!$C$2:$T$20,11,false)*HLOOKUP($K2311,'Type Chart'!$C$2:$U$20,11,false)</f>
        <v>1</v>
      </c>
      <c r="AE2311" s="960">
        <f t="array" ref="AE2311">HLOOKUP($J2311,'Type Chart'!$C$2:$T$20,12,false)*HLOOKUP($K2311,'Type Chart'!$C$2:$U$20,12,false)</f>
        <v>1</v>
      </c>
      <c r="AF2311" s="960">
        <f t="array" ref="AF2311">HLOOKUP($J2311,'Type Chart'!$C$2:$T$20,13,false)*HLOOKUP($K2311,'Type Chart'!$C$2:$U$20,13,false)</f>
        <v>1</v>
      </c>
      <c r="AG2311" s="960">
        <f t="array" ref="AG2311">HLOOKUP($J2311,'Type Chart'!$C$2:$T$20,14,false)*HLOOKUP($K2311,'Type Chart'!$C$2:$U$20,14,false)</f>
        <v>1</v>
      </c>
      <c r="AH2311" s="960">
        <f t="array" ref="AH2311">HLOOKUP($J2311,'Type Chart'!$C$2:$T$20,15,false)*HLOOKUP($K2311,'Type Chart'!$C$2:$U$20,15,false)</f>
        <v>1</v>
      </c>
      <c r="AI2311" s="960">
        <f t="array" ref="AI2311">HLOOKUP($J2311,'Type Chart'!$C$2:$T$20,16,false)*HLOOKUP($K2311,'Type Chart'!$C$2:$U$20,16,false)</f>
        <v>1</v>
      </c>
      <c r="AJ2311" s="960">
        <f t="array" ref="AJ2311">HLOOKUP($J2311,'Type Chart'!$C$2:$T$20,17,false)*HLOOKUP($K2311,'Type Chart'!$C$2:$U$20,17,false)</f>
        <v>1</v>
      </c>
      <c r="AK2311" s="960">
        <f t="array" ref="AK2311">HLOOKUP($J2311,'Type Chart'!$C$2:$T$20,18,false)*HLOOKUP($K2311,'Type Chart'!$C$2:$U$20,18,false)</f>
        <v>1</v>
      </c>
      <c r="AL2311" s="960">
        <f t="array" ref="AL2311">HLOOKUP($J2311,'Type Chart'!$C$2:$T$20,19,false)*HLOOKUP($K2311,'Type Chart'!$C$2:$U$20,19,false)</f>
        <v>1</v>
      </c>
      <c r="AM2311" s="964" t="s">
        <v>3633</v>
      </c>
      <c r="AN2311" s="964" t="s">
        <v>1306</v>
      </c>
      <c r="AO2311" s="966" t="s">
        <v>3259</v>
      </c>
      <c r="AP2311" s="936"/>
      <c r="AQ2311" s="1245"/>
      <c r="AR2311" s="1245"/>
      <c r="AS2311" s="936"/>
    </row>
    <row r="2312" ht="15.75" customHeight="1">
      <c r="A2312" s="1099"/>
      <c r="B2312" s="948" t="s">
        <v>3913</v>
      </c>
      <c r="C2312" s="1197" t="s">
        <v>3914</v>
      </c>
      <c r="D2312" s="1197" t="s">
        <v>3914</v>
      </c>
      <c r="E2312" s="1147" t="s">
        <v>3914</v>
      </c>
      <c r="F2312" s="940"/>
      <c r="G2312" s="953"/>
      <c r="H2312" s="969"/>
      <c r="I2312" s="998" t="s">
        <v>5409</v>
      </c>
      <c r="J2312" s="1211" t="s">
        <v>81</v>
      </c>
      <c r="K2312" s="1199" t="s">
        <v>216</v>
      </c>
      <c r="L2312" s="1200">
        <v>50.0</v>
      </c>
      <c r="M2312" s="1201">
        <v>64.0</v>
      </c>
      <c r="N2312" s="1201">
        <v>50.0</v>
      </c>
      <c r="O2312" s="1201">
        <v>38.0</v>
      </c>
      <c r="P2312" s="1201">
        <v>38.0</v>
      </c>
      <c r="Q2312" s="1201">
        <v>44.0</v>
      </c>
      <c r="R2312" s="960">
        <v>124.0</v>
      </c>
      <c r="S2312" s="960">
        <v>187.0</v>
      </c>
      <c r="T2312" s="960">
        <v>205.0</v>
      </c>
      <c r="U2312" s="960">
        <f t="array" ref="U2312">HLOOKUP($J2312,'Type Chart'!$C$2:$T$20,2,false)*HLOOKUP($K2312,'Type Chart'!$C$2:$U$20,2,false)</f>
        <v>1</v>
      </c>
      <c r="V2312" s="960">
        <f t="array" ref="V2312">HLOOKUP($J2312,'Type Chart'!$C$2:$T$20,3,false)*HLOOKUP($K2312,'Type Chart'!$C$2:$U$20,3,false)</f>
        <v>1</v>
      </c>
      <c r="W2312" s="960">
        <f t="array" ref="W2312">HLOOKUP($J2312,'Type Chart'!$C$2:$T$20,4,false)*HLOOKUP($K2312,'Type Chart'!$C$2:$U$20,4,false)</f>
        <v>1</v>
      </c>
      <c r="X2312" s="960">
        <f t="array" ref="X2312">HLOOKUP($J2312,'Type Chart'!$C$2:$T$20,5,false)*HLOOKUP($K2312,'Type Chart'!$C$2:$U$20,5,false)</f>
        <v>1</v>
      </c>
      <c r="Y2312" s="960">
        <f t="array" ref="Y2312">HLOOKUP($J2312,'Type Chart'!$C$2:$T$20,6,false)*HLOOKUP($K2312,'Type Chart'!$C$2:$U$20,6,false)</f>
        <v>1</v>
      </c>
      <c r="Z2312" s="960">
        <f t="array" ref="Z2312">HLOOKUP($J2312,'Type Chart'!$C$2:$T$20,7,false)*HLOOKUP($K2312,'Type Chart'!$C$2:$U$20,7,false)</f>
        <v>1</v>
      </c>
      <c r="AA2312" s="960">
        <f t="array" ref="AA2312">HLOOKUP($J2312,'Type Chart'!$C$2:$T$20,8,false)*HLOOKUP($K2312,'Type Chart'!$C$2:$U$20,8,false)</f>
        <v>1</v>
      </c>
      <c r="AB2312" s="960">
        <f t="array" ref="AB2312">HLOOKUP($J2312,'Type Chart'!$C$2:$T$20,9,false)*HLOOKUP($K2312,'Type Chart'!$C$2:$U$20,9,false)</f>
        <v>1</v>
      </c>
      <c r="AC2312" s="960">
        <f t="array" ref="AC2312">HLOOKUP($J2312,'Type Chart'!$C$2:$T$20,10,false)*HLOOKUP($K2312,'Type Chart'!$C$2:$U$20,10,false)</f>
        <v>0.5</v>
      </c>
      <c r="AD2312" s="960">
        <f t="array" ref="AD2312">HLOOKUP($J2312,'Type Chart'!$C$2:$T$20,11,false)*HLOOKUP($K2312,'Type Chart'!$C$2:$U$20,11,false)</f>
        <v>0.5</v>
      </c>
      <c r="AE2312" s="960">
        <f t="array" ref="AE2312">HLOOKUP($J2312,'Type Chart'!$C$2:$T$20,12,false)*HLOOKUP($K2312,'Type Chart'!$C$2:$U$20,12,false)</f>
        <v>0.5</v>
      </c>
      <c r="AF2312" s="960">
        <f t="array" ref="AF2312">HLOOKUP($J2312,'Type Chart'!$C$2:$T$20,13,false)*HLOOKUP($K2312,'Type Chart'!$C$2:$U$20,13,false)</f>
        <v>2</v>
      </c>
      <c r="AG2312" s="960">
        <f t="array" ref="AG2312">HLOOKUP($J2312,'Type Chart'!$C$2:$T$20,14,false)*HLOOKUP($K2312,'Type Chart'!$C$2:$U$20,14,false)</f>
        <v>2</v>
      </c>
      <c r="AH2312" s="960">
        <f t="array" ref="AH2312">HLOOKUP($J2312,'Type Chart'!$C$2:$T$20,15,false)*HLOOKUP($K2312,'Type Chart'!$C$2:$U$20,15,false)</f>
        <v>1</v>
      </c>
      <c r="AI2312" s="960">
        <f t="array" ref="AI2312">HLOOKUP($J2312,'Type Chart'!$C$2:$T$20,16,false)*HLOOKUP($K2312,'Type Chart'!$C$2:$U$20,16,false)</f>
        <v>0.5</v>
      </c>
      <c r="AJ2312" s="960">
        <f t="array" ref="AJ2312">HLOOKUP($J2312,'Type Chart'!$C$2:$T$20,17,false)*HLOOKUP($K2312,'Type Chart'!$C$2:$U$20,17,false)</f>
        <v>1</v>
      </c>
      <c r="AK2312" s="960">
        <f t="array" ref="AK2312">HLOOKUP($J2312,'Type Chart'!$C$2:$T$20,18,false)*HLOOKUP($K2312,'Type Chart'!$C$2:$U$20,18,false)</f>
        <v>1</v>
      </c>
      <c r="AL2312" s="960">
        <f t="array" ref="AL2312">HLOOKUP($J2312,'Type Chart'!$C$2:$T$20,19,false)*HLOOKUP($K2312,'Type Chart'!$C$2:$U$20,19,false)</f>
        <v>1</v>
      </c>
      <c r="AM2312" s="1145" t="s">
        <v>2205</v>
      </c>
      <c r="AN2312" s="1145" t="s">
        <v>1385</v>
      </c>
      <c r="AO2312" s="1146" t="s">
        <v>1259</v>
      </c>
      <c r="AP2312" s="936"/>
      <c r="AQ2312" s="1245"/>
      <c r="AR2312" s="1245"/>
      <c r="AS2312" s="936"/>
    </row>
    <row r="2313" ht="15.75" customHeight="1">
      <c r="A2313" s="1099"/>
      <c r="B2313" s="948" t="s">
        <v>3916</v>
      </c>
      <c r="C2313" s="1197" t="s">
        <v>3917</v>
      </c>
      <c r="D2313" s="1197" t="s">
        <v>3917</v>
      </c>
      <c r="E2313" s="1147" t="s">
        <v>3917</v>
      </c>
      <c r="F2313" s="940"/>
      <c r="G2313" s="953"/>
      <c r="H2313" s="969"/>
      <c r="I2313" s="998" t="s">
        <v>5410</v>
      </c>
      <c r="J2313" s="1056" t="s">
        <v>81</v>
      </c>
      <c r="K2313" s="1214" t="s">
        <v>342</v>
      </c>
      <c r="L2313" s="959">
        <v>90.0</v>
      </c>
      <c r="M2313" s="960">
        <v>115.0</v>
      </c>
      <c r="N2313" s="960">
        <v>90.0</v>
      </c>
      <c r="O2313" s="960">
        <v>48.0</v>
      </c>
      <c r="P2313" s="960">
        <v>68.0</v>
      </c>
      <c r="Q2313" s="960">
        <v>74.0</v>
      </c>
      <c r="R2313" s="960">
        <v>184.0</v>
      </c>
      <c r="S2313" s="960">
        <v>247.0</v>
      </c>
      <c r="T2313" s="960">
        <v>271.0</v>
      </c>
      <c r="U2313" s="960">
        <f t="array" ref="U2313">HLOOKUP($J2313,'Type Chart'!$C$2:$T$20,2,false)*HLOOKUP($K2313,'Type Chart'!$C$2:$U$20,2,false)</f>
        <v>0.5</v>
      </c>
      <c r="V2313" s="960">
        <f t="array" ref="V2313">HLOOKUP($J2313,'Type Chart'!$C$2:$T$20,3,false)*HLOOKUP($K2313,'Type Chart'!$C$2:$U$20,3,false)</f>
        <v>2</v>
      </c>
      <c r="W2313" s="960">
        <f t="array" ref="W2313">HLOOKUP($J2313,'Type Chart'!$C$2:$T$20,4,false)*HLOOKUP($K2313,'Type Chart'!$C$2:$U$20,4,false)</f>
        <v>0.5</v>
      </c>
      <c r="X2313" s="960">
        <f t="array" ref="X2313">HLOOKUP($J2313,'Type Chart'!$C$2:$T$20,5,false)*HLOOKUP($K2313,'Type Chart'!$C$2:$U$20,5,false)</f>
        <v>0.5</v>
      </c>
      <c r="Y2313" s="960">
        <f t="array" ref="Y2313">HLOOKUP($J2313,'Type Chart'!$C$2:$T$20,6,false)*HLOOKUP($K2313,'Type Chart'!$C$2:$U$20,6,false)</f>
        <v>2</v>
      </c>
      <c r="Z2313" s="960">
        <f t="array" ref="Z2313">HLOOKUP($J2313,'Type Chart'!$C$2:$T$20,7,false)*HLOOKUP($K2313,'Type Chart'!$C$2:$U$20,7,false)</f>
        <v>1</v>
      </c>
      <c r="AA2313" s="960">
        <f t="array" ref="AA2313">HLOOKUP($J2313,'Type Chart'!$C$2:$T$20,8,false)*HLOOKUP($K2313,'Type Chart'!$C$2:$U$20,8,false)</f>
        <v>1</v>
      </c>
      <c r="AB2313" s="960">
        <f t="array" ref="AB2313">HLOOKUP($J2313,'Type Chart'!$C$2:$T$20,9,false)*HLOOKUP($K2313,'Type Chart'!$C$2:$U$20,9,false)</f>
        <v>1</v>
      </c>
      <c r="AC2313" s="960">
        <f t="array" ref="AC2313">HLOOKUP($J2313,'Type Chart'!$C$2:$T$20,10,false)*HLOOKUP($K2313,'Type Chart'!$C$2:$U$20,10,false)</f>
        <v>1</v>
      </c>
      <c r="AD2313" s="960">
        <f t="array" ref="AD2313">HLOOKUP($J2313,'Type Chart'!$C$2:$T$20,11,false)*HLOOKUP($K2313,'Type Chart'!$C$2:$U$20,11,false)</f>
        <v>0.25</v>
      </c>
      <c r="AE2313" s="960">
        <f t="array" ref="AE2313">HLOOKUP($J2313,'Type Chart'!$C$2:$T$20,12,false)*HLOOKUP($K2313,'Type Chart'!$C$2:$U$20,12,false)</f>
        <v>1</v>
      </c>
      <c r="AF2313" s="960">
        <f t="array" ref="AF2313">HLOOKUP($J2313,'Type Chart'!$C$2:$T$20,13,false)*HLOOKUP($K2313,'Type Chart'!$C$2:$U$20,13,false)</f>
        <v>4</v>
      </c>
      <c r="AG2313" s="960">
        <f t="array" ref="AG2313">HLOOKUP($J2313,'Type Chart'!$C$2:$T$20,14,false)*HLOOKUP($K2313,'Type Chart'!$C$2:$U$20,14,false)</f>
        <v>2</v>
      </c>
      <c r="AH2313" s="960">
        <f t="array" ref="AH2313">HLOOKUP($J2313,'Type Chart'!$C$2:$T$20,15,false)*HLOOKUP($K2313,'Type Chart'!$C$2:$U$20,15,false)</f>
        <v>1</v>
      </c>
      <c r="AI2313" s="960">
        <f t="array" ref="AI2313">HLOOKUP($J2313,'Type Chart'!$C$2:$T$20,16,false)*HLOOKUP($K2313,'Type Chart'!$C$2:$U$20,16,false)</f>
        <v>0.5</v>
      </c>
      <c r="AJ2313" s="960">
        <f t="array" ref="AJ2313">HLOOKUP($J2313,'Type Chart'!$C$2:$T$20,17,false)*HLOOKUP($K2313,'Type Chart'!$C$2:$U$20,17,false)</f>
        <v>1</v>
      </c>
      <c r="AK2313" s="960">
        <f t="array" ref="AK2313">HLOOKUP($J2313,'Type Chart'!$C$2:$T$20,18,false)*HLOOKUP($K2313,'Type Chart'!$C$2:$U$20,18,false)</f>
        <v>1</v>
      </c>
      <c r="AL2313" s="960">
        <f t="array" ref="AL2313">HLOOKUP($J2313,'Type Chart'!$C$2:$T$20,19,false)*HLOOKUP($K2313,'Type Chart'!$C$2:$U$20,19,false)</f>
        <v>1</v>
      </c>
      <c r="AM2313" s="964" t="s">
        <v>2205</v>
      </c>
      <c r="AN2313" s="964" t="s">
        <v>1385</v>
      </c>
      <c r="AO2313" s="966" t="s">
        <v>1259</v>
      </c>
      <c r="AP2313" s="936"/>
      <c r="AQ2313" s="1245"/>
      <c r="AR2313" s="1245"/>
      <c r="AS2313" s="936"/>
    </row>
    <row r="2314" ht="15.75" customHeight="1">
      <c r="A2314" s="1099"/>
      <c r="B2314" s="948" t="s">
        <v>3918</v>
      </c>
      <c r="C2314" s="1197" t="s">
        <v>3919</v>
      </c>
      <c r="D2314" s="1197" t="s">
        <v>3919</v>
      </c>
      <c r="E2314" s="1147" t="s">
        <v>3919</v>
      </c>
      <c r="F2314" s="940"/>
      <c r="G2314" s="953"/>
      <c r="H2314" s="969"/>
      <c r="I2314" s="998" t="s">
        <v>5411</v>
      </c>
      <c r="J2314" s="1196" t="s">
        <v>203</v>
      </c>
      <c r="K2314" s="984" t="s">
        <v>216</v>
      </c>
      <c r="L2314" s="959">
        <v>59.0</v>
      </c>
      <c r="M2314" s="960">
        <v>45.0</v>
      </c>
      <c r="N2314" s="960">
        <v>50.0</v>
      </c>
      <c r="O2314" s="960">
        <v>40.0</v>
      </c>
      <c r="P2314" s="960">
        <v>50.0</v>
      </c>
      <c r="Q2314" s="960">
        <v>26.0</v>
      </c>
      <c r="R2314" s="960">
        <v>88.0</v>
      </c>
      <c r="S2314" s="960">
        <v>151.0</v>
      </c>
      <c r="T2314" s="960">
        <v>166.0</v>
      </c>
      <c r="U2314" s="960">
        <f t="array" ref="U2314">HLOOKUP($J2314,'Type Chart'!$C$2:$T$20,2,false)*HLOOKUP($K2314,'Type Chart'!$C$2:$U$20,2,false)</f>
        <v>1</v>
      </c>
      <c r="V2314" s="960">
        <f t="array" ref="V2314">HLOOKUP($J2314,'Type Chart'!$C$2:$T$20,3,false)*HLOOKUP($K2314,'Type Chart'!$C$2:$U$20,3,false)</f>
        <v>1</v>
      </c>
      <c r="W2314" s="960">
        <f t="array" ref="W2314">HLOOKUP($J2314,'Type Chart'!$C$2:$T$20,4,false)*HLOOKUP($K2314,'Type Chart'!$C$2:$U$20,4,false)</f>
        <v>0.5</v>
      </c>
      <c r="X2314" s="960">
        <f t="array" ref="X2314">HLOOKUP($J2314,'Type Chart'!$C$2:$T$20,5,false)*HLOOKUP($K2314,'Type Chart'!$C$2:$U$20,5,false)</f>
        <v>1</v>
      </c>
      <c r="Y2314" s="960">
        <f t="array" ref="Y2314">HLOOKUP($J2314,'Type Chart'!$C$2:$T$20,6,false)*HLOOKUP($K2314,'Type Chart'!$C$2:$U$20,6,false)</f>
        <v>2</v>
      </c>
      <c r="Z2314" s="960">
        <f t="array" ref="Z2314">HLOOKUP($J2314,'Type Chart'!$C$2:$T$20,7,false)*HLOOKUP($K2314,'Type Chart'!$C$2:$U$20,7,false)</f>
        <v>1</v>
      </c>
      <c r="AA2314" s="960">
        <f t="array" ref="AA2314">HLOOKUP($J2314,'Type Chart'!$C$2:$T$20,8,false)*HLOOKUP($K2314,'Type Chart'!$C$2:$U$20,8,false)</f>
        <v>1</v>
      </c>
      <c r="AB2314" s="960">
        <f t="array" ref="AB2314">HLOOKUP($J2314,'Type Chart'!$C$2:$T$20,9,false)*HLOOKUP($K2314,'Type Chart'!$C$2:$U$20,9,false)</f>
        <v>1</v>
      </c>
      <c r="AC2314" s="960">
        <f t="array" ref="AC2314">HLOOKUP($J2314,'Type Chart'!$C$2:$T$20,10,false)*HLOOKUP($K2314,'Type Chart'!$C$2:$U$20,10,false)</f>
        <v>0.5</v>
      </c>
      <c r="AD2314" s="960">
        <f t="array" ref="AD2314">HLOOKUP($J2314,'Type Chart'!$C$2:$T$20,11,false)*HLOOKUP($K2314,'Type Chart'!$C$2:$U$20,11,false)</f>
        <v>1</v>
      </c>
      <c r="AE2314" s="960">
        <f t="array" ref="AE2314">HLOOKUP($J2314,'Type Chart'!$C$2:$T$20,12,false)*HLOOKUP($K2314,'Type Chart'!$C$2:$U$20,12,false)</f>
        <v>1</v>
      </c>
      <c r="AF2314" s="960">
        <f t="array" ref="AF2314">HLOOKUP($J2314,'Type Chart'!$C$2:$T$20,13,false)*HLOOKUP($K2314,'Type Chart'!$C$2:$U$20,13,false)</f>
        <v>1</v>
      </c>
      <c r="AG2314" s="960">
        <f t="array" ref="AG2314">HLOOKUP($J2314,'Type Chart'!$C$2:$T$20,14,false)*HLOOKUP($K2314,'Type Chart'!$C$2:$U$20,14,false)</f>
        <v>0.5</v>
      </c>
      <c r="AH2314" s="960">
        <f t="array" ref="AH2314">HLOOKUP($J2314,'Type Chart'!$C$2:$T$20,15,false)*HLOOKUP($K2314,'Type Chart'!$C$2:$U$20,15,false)</f>
        <v>1</v>
      </c>
      <c r="AI2314" s="960">
        <f t="array" ref="AI2314">HLOOKUP($J2314,'Type Chart'!$C$2:$T$20,16,false)*HLOOKUP($K2314,'Type Chart'!$C$2:$U$20,16,false)</f>
        <v>1</v>
      </c>
      <c r="AJ2314" s="960">
        <f t="array" ref="AJ2314">HLOOKUP($J2314,'Type Chart'!$C$2:$T$20,17,false)*HLOOKUP($K2314,'Type Chart'!$C$2:$U$20,17,false)</f>
        <v>1</v>
      </c>
      <c r="AK2314" s="960">
        <f t="array" ref="AK2314">HLOOKUP($J2314,'Type Chart'!$C$2:$T$20,18,false)*HLOOKUP($K2314,'Type Chart'!$C$2:$U$20,18,false)</f>
        <v>1</v>
      </c>
      <c r="AL2314" s="960">
        <f t="array" ref="AL2314">HLOOKUP($J2314,'Type Chart'!$C$2:$T$20,19,false)*HLOOKUP($K2314,'Type Chart'!$C$2:$U$20,19,false)</f>
        <v>1</v>
      </c>
      <c r="AM2314" s="964" t="s">
        <v>3921</v>
      </c>
      <c r="AN2314" s="965"/>
      <c r="AO2314" s="966" t="s">
        <v>1243</v>
      </c>
      <c r="AP2314" s="936"/>
      <c r="AQ2314" s="1245"/>
      <c r="AR2314" s="1245"/>
      <c r="AS2314" s="936"/>
    </row>
    <row r="2315" ht="15.75" customHeight="1">
      <c r="A2315" s="1099"/>
      <c r="B2315" s="948" t="s">
        <v>3922</v>
      </c>
      <c r="C2315" s="1197" t="s">
        <v>3923</v>
      </c>
      <c r="D2315" s="1197" t="s">
        <v>3923</v>
      </c>
      <c r="E2315" s="1147" t="s">
        <v>3923</v>
      </c>
      <c r="F2315" s="940"/>
      <c r="G2315" s="953"/>
      <c r="H2315" s="969"/>
      <c r="I2315" s="998" t="s">
        <v>5412</v>
      </c>
      <c r="J2315" s="1196" t="s">
        <v>203</v>
      </c>
      <c r="K2315" s="984" t="s">
        <v>216</v>
      </c>
      <c r="L2315" s="959">
        <v>69.0</v>
      </c>
      <c r="M2315" s="960">
        <v>90.0</v>
      </c>
      <c r="N2315" s="960">
        <v>60.0</v>
      </c>
      <c r="O2315" s="960">
        <v>90.0</v>
      </c>
      <c r="P2315" s="960">
        <v>60.0</v>
      </c>
      <c r="Q2315" s="960">
        <v>121.0</v>
      </c>
      <c r="R2315" s="960">
        <v>278.0</v>
      </c>
      <c r="S2315" s="960">
        <v>341.0</v>
      </c>
      <c r="T2315" s="960">
        <v>375.0</v>
      </c>
      <c r="U2315" s="960">
        <f t="array" ref="U2315">HLOOKUP($J2315,'Type Chart'!$C$2:$T$20,2,false)*HLOOKUP($K2315,'Type Chart'!$C$2:$U$20,2,false)</f>
        <v>1</v>
      </c>
      <c r="V2315" s="960">
        <f t="array" ref="V2315">HLOOKUP($J2315,'Type Chart'!$C$2:$T$20,3,false)*HLOOKUP($K2315,'Type Chart'!$C$2:$U$20,3,false)</f>
        <v>1</v>
      </c>
      <c r="W2315" s="960">
        <f t="array" ref="W2315">HLOOKUP($J2315,'Type Chart'!$C$2:$T$20,4,false)*HLOOKUP($K2315,'Type Chart'!$C$2:$U$20,4,false)</f>
        <v>0.5</v>
      </c>
      <c r="X2315" s="960">
        <f t="array" ref="X2315">HLOOKUP($J2315,'Type Chart'!$C$2:$T$20,5,false)*HLOOKUP($K2315,'Type Chart'!$C$2:$U$20,5,false)</f>
        <v>1</v>
      </c>
      <c r="Y2315" s="960">
        <f t="array" ref="Y2315">HLOOKUP($J2315,'Type Chart'!$C$2:$T$20,6,false)*HLOOKUP($K2315,'Type Chart'!$C$2:$U$20,6,false)</f>
        <v>2</v>
      </c>
      <c r="Z2315" s="960">
        <f t="array" ref="Z2315">HLOOKUP($J2315,'Type Chart'!$C$2:$T$20,7,false)*HLOOKUP($K2315,'Type Chart'!$C$2:$U$20,7,false)</f>
        <v>1</v>
      </c>
      <c r="AA2315" s="960">
        <f t="array" ref="AA2315">HLOOKUP($J2315,'Type Chart'!$C$2:$T$20,8,false)*HLOOKUP($K2315,'Type Chart'!$C$2:$U$20,8,false)</f>
        <v>1</v>
      </c>
      <c r="AB2315" s="960">
        <f t="array" ref="AB2315">HLOOKUP($J2315,'Type Chart'!$C$2:$T$20,9,false)*HLOOKUP($K2315,'Type Chart'!$C$2:$U$20,9,false)</f>
        <v>1</v>
      </c>
      <c r="AC2315" s="960">
        <f t="array" ref="AC2315">HLOOKUP($J2315,'Type Chart'!$C$2:$T$20,10,false)*HLOOKUP($K2315,'Type Chart'!$C$2:$U$20,10,false)</f>
        <v>0.5</v>
      </c>
      <c r="AD2315" s="960">
        <f t="array" ref="AD2315">HLOOKUP($J2315,'Type Chart'!$C$2:$T$20,11,false)*HLOOKUP($K2315,'Type Chart'!$C$2:$U$20,11,false)</f>
        <v>1</v>
      </c>
      <c r="AE2315" s="960">
        <f t="array" ref="AE2315">HLOOKUP($J2315,'Type Chart'!$C$2:$T$20,12,false)*HLOOKUP($K2315,'Type Chart'!$C$2:$U$20,12,false)</f>
        <v>1</v>
      </c>
      <c r="AF2315" s="960">
        <f t="array" ref="AF2315">HLOOKUP($J2315,'Type Chart'!$C$2:$T$20,13,false)*HLOOKUP($K2315,'Type Chart'!$C$2:$U$20,13,false)</f>
        <v>1</v>
      </c>
      <c r="AG2315" s="960">
        <f t="array" ref="AG2315">HLOOKUP($J2315,'Type Chart'!$C$2:$T$20,14,false)*HLOOKUP($K2315,'Type Chart'!$C$2:$U$20,14,false)</f>
        <v>0.5</v>
      </c>
      <c r="AH2315" s="960">
        <f t="array" ref="AH2315">HLOOKUP($J2315,'Type Chart'!$C$2:$T$20,15,false)*HLOOKUP($K2315,'Type Chart'!$C$2:$U$20,15,false)</f>
        <v>1</v>
      </c>
      <c r="AI2315" s="960">
        <f t="array" ref="AI2315">HLOOKUP($J2315,'Type Chart'!$C$2:$T$20,16,false)*HLOOKUP($K2315,'Type Chart'!$C$2:$U$20,16,false)</f>
        <v>1</v>
      </c>
      <c r="AJ2315" s="960">
        <f t="array" ref="AJ2315">HLOOKUP($J2315,'Type Chart'!$C$2:$T$20,17,false)*HLOOKUP($K2315,'Type Chart'!$C$2:$U$20,17,false)</f>
        <v>1</v>
      </c>
      <c r="AK2315" s="960">
        <f t="array" ref="AK2315">HLOOKUP($J2315,'Type Chart'!$C$2:$T$20,18,false)*HLOOKUP($K2315,'Type Chart'!$C$2:$U$20,18,false)</f>
        <v>1</v>
      </c>
      <c r="AL2315" s="960">
        <f t="array" ref="AL2315">HLOOKUP($J2315,'Type Chart'!$C$2:$T$20,19,false)*HLOOKUP($K2315,'Type Chart'!$C$2:$U$20,19,false)</f>
        <v>1</v>
      </c>
      <c r="AM2315" s="964" t="s">
        <v>2205</v>
      </c>
      <c r="AN2315" s="965"/>
      <c r="AO2315" s="966" t="s">
        <v>1185</v>
      </c>
      <c r="AP2315" s="936"/>
      <c r="AQ2315" s="1245"/>
      <c r="AR2315" s="1245"/>
      <c r="AS2315" s="936"/>
    </row>
    <row r="2316" ht="15.75" customHeight="1">
      <c r="A2316" s="1099"/>
      <c r="B2316" s="948" t="s">
        <v>3925</v>
      </c>
      <c r="C2316" s="1197" t="s">
        <v>3926</v>
      </c>
      <c r="D2316" s="1197" t="s">
        <v>3926</v>
      </c>
      <c r="E2316" s="1147" t="s">
        <v>3926</v>
      </c>
      <c r="F2316" s="940"/>
      <c r="G2316" s="953"/>
      <c r="H2316" s="969"/>
      <c r="I2316" s="998" t="s">
        <v>5413</v>
      </c>
      <c r="J2316" s="1214" t="s">
        <v>342</v>
      </c>
      <c r="K2316" s="984" t="s">
        <v>216</v>
      </c>
      <c r="L2316" s="959">
        <v>30.0</v>
      </c>
      <c r="M2316" s="960">
        <v>40.0</v>
      </c>
      <c r="N2316" s="960">
        <v>50.0</v>
      </c>
      <c r="O2316" s="960">
        <v>40.0</v>
      </c>
      <c r="P2316" s="960">
        <v>50.0</v>
      </c>
      <c r="Q2316" s="960">
        <v>30.0</v>
      </c>
      <c r="R2316" s="960">
        <v>96.0</v>
      </c>
      <c r="S2316" s="960">
        <v>159.0</v>
      </c>
      <c r="T2316" s="960">
        <v>174.0</v>
      </c>
      <c r="U2316" s="960">
        <f t="array" ref="U2316">HLOOKUP($J2316,'Type Chart'!$C$2:$T$20,2,false)*HLOOKUP($K2316,'Type Chart'!$C$2:$U$20,2,false)</f>
        <v>0.5</v>
      </c>
      <c r="V2316" s="960">
        <f t="array" ref="V2316">HLOOKUP($J2316,'Type Chart'!$C$2:$T$20,3,false)*HLOOKUP($K2316,'Type Chart'!$C$2:$U$20,3,false)</f>
        <v>2</v>
      </c>
      <c r="W2316" s="960">
        <f t="array" ref="W2316">HLOOKUP($J2316,'Type Chart'!$C$2:$T$20,4,false)*HLOOKUP($K2316,'Type Chart'!$C$2:$U$20,4,false)</f>
        <v>0.5</v>
      </c>
      <c r="X2316" s="960">
        <f t="array" ref="X2316">HLOOKUP($J2316,'Type Chart'!$C$2:$T$20,5,false)*HLOOKUP($K2316,'Type Chart'!$C$2:$U$20,5,false)</f>
        <v>0.5</v>
      </c>
      <c r="Y2316" s="960">
        <f t="array" ref="Y2316">HLOOKUP($J2316,'Type Chart'!$C$2:$T$20,6,false)*HLOOKUP($K2316,'Type Chart'!$C$2:$U$20,6,false)</f>
        <v>2</v>
      </c>
      <c r="Z2316" s="960">
        <f t="array" ref="Z2316">HLOOKUP($J2316,'Type Chart'!$C$2:$T$20,7,false)*HLOOKUP($K2316,'Type Chart'!$C$2:$U$20,7,false)</f>
        <v>1</v>
      </c>
      <c r="AA2316" s="960">
        <f t="array" ref="AA2316">HLOOKUP($J2316,'Type Chart'!$C$2:$T$20,8,false)*HLOOKUP($K2316,'Type Chart'!$C$2:$U$20,8,false)</f>
        <v>1</v>
      </c>
      <c r="AB2316" s="960">
        <f t="array" ref="AB2316">HLOOKUP($J2316,'Type Chart'!$C$2:$T$20,9,false)*HLOOKUP($K2316,'Type Chart'!$C$2:$U$20,9,false)</f>
        <v>1</v>
      </c>
      <c r="AC2316" s="960">
        <f t="array" ref="AC2316">HLOOKUP($J2316,'Type Chart'!$C$2:$T$20,10,false)*HLOOKUP($K2316,'Type Chart'!$C$2:$U$20,10,false)</f>
        <v>2</v>
      </c>
      <c r="AD2316" s="960">
        <f t="array" ref="AD2316">HLOOKUP($J2316,'Type Chart'!$C$2:$T$20,11,false)*HLOOKUP($K2316,'Type Chart'!$C$2:$U$20,11,false)</f>
        <v>0.5</v>
      </c>
      <c r="AE2316" s="960">
        <f t="array" ref="AE2316">HLOOKUP($J2316,'Type Chart'!$C$2:$T$20,12,false)*HLOOKUP($K2316,'Type Chart'!$C$2:$U$20,12,false)</f>
        <v>2</v>
      </c>
      <c r="AF2316" s="960">
        <f t="array" ref="AF2316">HLOOKUP($J2316,'Type Chart'!$C$2:$T$20,13,false)*HLOOKUP($K2316,'Type Chart'!$C$2:$U$20,13,false)</f>
        <v>2</v>
      </c>
      <c r="AG2316" s="960">
        <f t="array" ref="AG2316">HLOOKUP($J2316,'Type Chart'!$C$2:$T$20,14,false)*HLOOKUP($K2316,'Type Chart'!$C$2:$U$20,14,false)</f>
        <v>1</v>
      </c>
      <c r="AH2316" s="960">
        <f t="array" ref="AH2316">HLOOKUP($J2316,'Type Chart'!$C$2:$T$20,15,false)*HLOOKUP($K2316,'Type Chart'!$C$2:$U$20,15,false)</f>
        <v>1</v>
      </c>
      <c r="AI2316" s="960">
        <f t="array" ref="AI2316">HLOOKUP($J2316,'Type Chart'!$C$2:$T$20,16,false)*HLOOKUP($K2316,'Type Chart'!$C$2:$U$20,16,false)</f>
        <v>1</v>
      </c>
      <c r="AJ2316" s="960">
        <f t="array" ref="AJ2316">HLOOKUP($J2316,'Type Chart'!$C$2:$T$20,17,false)*HLOOKUP($K2316,'Type Chart'!$C$2:$U$20,17,false)</f>
        <v>1</v>
      </c>
      <c r="AK2316" s="960">
        <f t="array" ref="AK2316">HLOOKUP($J2316,'Type Chart'!$C$2:$T$20,18,false)*HLOOKUP($K2316,'Type Chart'!$C$2:$U$20,18,false)</f>
        <v>1</v>
      </c>
      <c r="AL2316" s="960">
        <f t="array" ref="AL2316">HLOOKUP($J2316,'Type Chart'!$C$2:$T$20,19,false)*HLOOKUP($K2316,'Type Chart'!$C$2:$U$20,19,false)</f>
        <v>1</v>
      </c>
      <c r="AM2316" s="964" t="s">
        <v>3928</v>
      </c>
      <c r="AN2316" s="964" t="s">
        <v>2580</v>
      </c>
      <c r="AO2316" s="966" t="s">
        <v>1172</v>
      </c>
      <c r="AP2316" s="936"/>
      <c r="AQ2316" s="1245"/>
      <c r="AR2316" s="1245"/>
      <c r="AS2316" s="936"/>
    </row>
    <row r="2317" ht="15.75" customHeight="1">
      <c r="A2317" s="1099"/>
      <c r="B2317" s="948" t="s">
        <v>3929</v>
      </c>
      <c r="C2317" s="1197" t="s">
        <v>3930</v>
      </c>
      <c r="D2317" s="1197" t="s">
        <v>3930</v>
      </c>
      <c r="E2317" s="1147" t="s">
        <v>3930</v>
      </c>
      <c r="F2317" s="940"/>
      <c r="G2317" s="953"/>
      <c r="H2317" s="969"/>
      <c r="I2317" s="998" t="s">
        <v>5414</v>
      </c>
      <c r="J2317" s="1214" t="s">
        <v>342</v>
      </c>
      <c r="K2317" s="982" t="s">
        <v>150</v>
      </c>
      <c r="L2317" s="959">
        <v>80.0</v>
      </c>
      <c r="M2317" s="960">
        <v>60.0</v>
      </c>
      <c r="N2317" s="960">
        <v>90.0</v>
      </c>
      <c r="O2317" s="960">
        <v>60.0</v>
      </c>
      <c r="P2317" s="960">
        <v>70.0</v>
      </c>
      <c r="Q2317" s="960">
        <v>50.0</v>
      </c>
      <c r="R2317" s="960">
        <v>136.0</v>
      </c>
      <c r="S2317" s="960">
        <v>199.0</v>
      </c>
      <c r="T2317" s="960">
        <v>218.0</v>
      </c>
      <c r="U2317" s="960">
        <f t="array" ref="U2317">HLOOKUP($J2317,'Type Chart'!$C$2:$T$20,2,false)*HLOOKUP($K2317,'Type Chart'!$C$2:$U$20,2,false)</f>
        <v>0.5</v>
      </c>
      <c r="V2317" s="960">
        <f t="array" ref="V2317">HLOOKUP($J2317,'Type Chart'!$C$2:$T$20,3,false)*HLOOKUP($K2317,'Type Chart'!$C$2:$U$20,3,false)</f>
        <v>2</v>
      </c>
      <c r="W2317" s="960">
        <f t="array" ref="W2317">HLOOKUP($J2317,'Type Chart'!$C$2:$T$20,4,false)*HLOOKUP($K2317,'Type Chart'!$C$2:$U$20,4,false)</f>
        <v>0.5</v>
      </c>
      <c r="X2317" s="960">
        <f t="array" ref="X2317">HLOOKUP($J2317,'Type Chart'!$C$2:$T$20,5,false)*HLOOKUP($K2317,'Type Chart'!$C$2:$U$20,5,false)</f>
        <v>0.5</v>
      </c>
      <c r="Y2317" s="960">
        <f t="array" ref="Y2317">HLOOKUP($J2317,'Type Chart'!$C$2:$T$20,6,false)*HLOOKUP($K2317,'Type Chart'!$C$2:$U$20,6,false)</f>
        <v>4</v>
      </c>
      <c r="Z2317" s="960">
        <f t="array" ref="Z2317">HLOOKUP($J2317,'Type Chart'!$C$2:$T$20,7,false)*HLOOKUP($K2317,'Type Chart'!$C$2:$U$20,7,false)</f>
        <v>2</v>
      </c>
      <c r="AA2317" s="960">
        <f t="array" ref="AA2317">HLOOKUP($J2317,'Type Chart'!$C$2:$T$20,8,false)*HLOOKUP($K2317,'Type Chart'!$C$2:$U$20,8,false)</f>
        <v>0.5</v>
      </c>
      <c r="AB2317" s="960">
        <f t="array" ref="AB2317">HLOOKUP($J2317,'Type Chart'!$C$2:$T$20,9,false)*HLOOKUP($K2317,'Type Chart'!$C$2:$U$20,9,false)</f>
        <v>1</v>
      </c>
      <c r="AC2317" s="960">
        <f t="array" ref="AC2317">HLOOKUP($J2317,'Type Chart'!$C$2:$T$20,10,false)*HLOOKUP($K2317,'Type Chart'!$C$2:$U$20,10,false)</f>
        <v>1</v>
      </c>
      <c r="AD2317" s="960">
        <f t="array" ref="AD2317">HLOOKUP($J2317,'Type Chart'!$C$2:$T$20,11,false)*HLOOKUP($K2317,'Type Chart'!$C$2:$U$20,11,false)</f>
        <v>0.25</v>
      </c>
      <c r="AE2317" s="960">
        <f t="array" ref="AE2317">HLOOKUP($J2317,'Type Chart'!$C$2:$T$20,12,false)*HLOOKUP($K2317,'Type Chart'!$C$2:$U$20,12,false)</f>
        <v>4</v>
      </c>
      <c r="AF2317" s="960">
        <f t="array" ref="AF2317">HLOOKUP($J2317,'Type Chart'!$C$2:$T$20,13,false)*HLOOKUP($K2317,'Type Chart'!$C$2:$U$20,13,false)</f>
        <v>1</v>
      </c>
      <c r="AG2317" s="960">
        <f t="array" ref="AG2317">HLOOKUP($J2317,'Type Chart'!$C$2:$T$20,14,false)*HLOOKUP($K2317,'Type Chart'!$C$2:$U$20,14,false)</f>
        <v>1</v>
      </c>
      <c r="AH2317" s="960">
        <f t="array" ref="AH2317">HLOOKUP($J2317,'Type Chart'!$C$2:$T$20,15,false)*HLOOKUP($K2317,'Type Chart'!$C$2:$U$20,15,false)</f>
        <v>1</v>
      </c>
      <c r="AI2317" s="960">
        <f t="array" ref="AI2317">HLOOKUP($J2317,'Type Chart'!$C$2:$T$20,16,false)*HLOOKUP($K2317,'Type Chart'!$C$2:$U$20,16,false)</f>
        <v>0.5</v>
      </c>
      <c r="AJ2317" s="960">
        <f t="array" ref="AJ2317">HLOOKUP($J2317,'Type Chart'!$C$2:$T$20,17,false)*HLOOKUP($K2317,'Type Chart'!$C$2:$U$20,17,false)</f>
        <v>1</v>
      </c>
      <c r="AK2317" s="960">
        <f t="array" ref="AK2317">HLOOKUP($J2317,'Type Chart'!$C$2:$T$20,18,false)*HLOOKUP($K2317,'Type Chart'!$C$2:$U$20,18,false)</f>
        <v>1</v>
      </c>
      <c r="AL2317" s="960">
        <f t="array" ref="AL2317">HLOOKUP($J2317,'Type Chart'!$C$2:$T$20,19,false)*HLOOKUP($K2317,'Type Chart'!$C$2:$U$20,19,false)</f>
        <v>0.5</v>
      </c>
      <c r="AM2317" s="964" t="s">
        <v>3928</v>
      </c>
      <c r="AN2317" s="964" t="s">
        <v>1353</v>
      </c>
      <c r="AO2317" s="966" t="s">
        <v>1172</v>
      </c>
      <c r="AP2317" s="936"/>
      <c r="AQ2317" s="1245"/>
      <c r="AR2317" s="1245"/>
      <c r="AS2317" s="936"/>
    </row>
    <row r="2318" ht="15.75" customHeight="1">
      <c r="A2318" s="1099"/>
      <c r="B2318" s="948" t="s">
        <v>3931</v>
      </c>
      <c r="C2318" s="1197" t="s">
        <v>3932</v>
      </c>
      <c r="D2318" s="1197" t="s">
        <v>3932</v>
      </c>
      <c r="E2318" s="1147" t="s">
        <v>3932</v>
      </c>
      <c r="F2318" s="940"/>
      <c r="G2318" s="953"/>
      <c r="H2318" s="969"/>
      <c r="I2318" s="998" t="s">
        <v>217</v>
      </c>
      <c r="J2318" s="1214" t="s">
        <v>342</v>
      </c>
      <c r="K2318" s="982" t="s">
        <v>150</v>
      </c>
      <c r="L2318" s="959">
        <v>110.0</v>
      </c>
      <c r="M2318" s="960">
        <v>80.0</v>
      </c>
      <c r="N2318" s="960">
        <v>120.0</v>
      </c>
      <c r="O2318" s="960">
        <v>80.0</v>
      </c>
      <c r="P2318" s="960">
        <v>90.0</v>
      </c>
      <c r="Q2318" s="960">
        <v>30.0</v>
      </c>
      <c r="R2318" s="960">
        <v>96.0</v>
      </c>
      <c r="S2318" s="960">
        <v>159.0</v>
      </c>
      <c r="T2318" s="960">
        <v>174.0</v>
      </c>
      <c r="U2318" s="960">
        <f t="array" ref="U2318">HLOOKUP($J2318,'Type Chart'!$C$2:$T$20,2,false)*HLOOKUP($K2318,'Type Chart'!$C$2:$U$20,2,false)</f>
        <v>0.5</v>
      </c>
      <c r="V2318" s="960">
        <f t="array" ref="V2318">HLOOKUP($J2318,'Type Chart'!$C$2:$T$20,3,false)*HLOOKUP($K2318,'Type Chart'!$C$2:$U$20,3,false)</f>
        <v>2</v>
      </c>
      <c r="W2318" s="960">
        <f t="array" ref="W2318">HLOOKUP($J2318,'Type Chart'!$C$2:$T$20,4,false)*HLOOKUP($K2318,'Type Chart'!$C$2:$U$20,4,false)</f>
        <v>0.5</v>
      </c>
      <c r="X2318" s="960">
        <f t="array" ref="X2318">HLOOKUP($J2318,'Type Chart'!$C$2:$T$20,5,false)*HLOOKUP($K2318,'Type Chart'!$C$2:$U$20,5,false)</f>
        <v>0.5</v>
      </c>
      <c r="Y2318" s="960">
        <f t="array" ref="Y2318">HLOOKUP($J2318,'Type Chart'!$C$2:$T$20,6,false)*HLOOKUP($K2318,'Type Chart'!$C$2:$U$20,6,false)</f>
        <v>4</v>
      </c>
      <c r="Z2318" s="960">
        <f t="array" ref="Z2318">HLOOKUP($J2318,'Type Chart'!$C$2:$T$20,7,false)*HLOOKUP($K2318,'Type Chart'!$C$2:$U$20,7,false)</f>
        <v>2</v>
      </c>
      <c r="AA2318" s="960">
        <f t="array" ref="AA2318">HLOOKUP($J2318,'Type Chart'!$C$2:$T$20,8,false)*HLOOKUP($K2318,'Type Chart'!$C$2:$U$20,8,false)</f>
        <v>0.5</v>
      </c>
      <c r="AB2318" s="960">
        <f t="array" ref="AB2318">HLOOKUP($J2318,'Type Chart'!$C$2:$T$20,9,false)*HLOOKUP($K2318,'Type Chart'!$C$2:$U$20,9,false)</f>
        <v>1</v>
      </c>
      <c r="AC2318" s="960">
        <f t="array" ref="AC2318">HLOOKUP($J2318,'Type Chart'!$C$2:$T$20,10,false)*HLOOKUP($K2318,'Type Chart'!$C$2:$U$20,10,false)</f>
        <v>1</v>
      </c>
      <c r="AD2318" s="960">
        <f t="array" ref="AD2318">HLOOKUP($J2318,'Type Chart'!$C$2:$T$20,11,false)*HLOOKUP($K2318,'Type Chart'!$C$2:$U$20,11,false)</f>
        <v>0.25</v>
      </c>
      <c r="AE2318" s="960">
        <f t="array" ref="AE2318">HLOOKUP($J2318,'Type Chart'!$C$2:$T$20,12,false)*HLOOKUP($K2318,'Type Chart'!$C$2:$U$20,12,false)</f>
        <v>4</v>
      </c>
      <c r="AF2318" s="960">
        <f t="array" ref="AF2318">HLOOKUP($J2318,'Type Chart'!$C$2:$T$20,13,false)*HLOOKUP($K2318,'Type Chart'!$C$2:$U$20,13,false)</f>
        <v>1</v>
      </c>
      <c r="AG2318" s="960">
        <f t="array" ref="AG2318">HLOOKUP($J2318,'Type Chart'!$C$2:$T$20,14,false)*HLOOKUP($K2318,'Type Chart'!$C$2:$U$20,14,false)</f>
        <v>1</v>
      </c>
      <c r="AH2318" s="960">
        <f t="array" ref="AH2318">HLOOKUP($J2318,'Type Chart'!$C$2:$T$20,15,false)*HLOOKUP($K2318,'Type Chart'!$C$2:$U$20,15,false)</f>
        <v>1</v>
      </c>
      <c r="AI2318" s="960">
        <f t="array" ref="AI2318">HLOOKUP($J2318,'Type Chart'!$C$2:$T$20,16,false)*HLOOKUP($K2318,'Type Chart'!$C$2:$U$20,16,false)</f>
        <v>0.5</v>
      </c>
      <c r="AJ2318" s="960">
        <f t="array" ref="AJ2318">HLOOKUP($J2318,'Type Chart'!$C$2:$T$20,17,false)*HLOOKUP($K2318,'Type Chart'!$C$2:$U$20,17,false)</f>
        <v>1</v>
      </c>
      <c r="AK2318" s="960">
        <f t="array" ref="AK2318">HLOOKUP($J2318,'Type Chart'!$C$2:$T$20,18,false)*HLOOKUP($K2318,'Type Chart'!$C$2:$U$20,18,false)</f>
        <v>1</v>
      </c>
      <c r="AL2318" s="960">
        <f t="array" ref="AL2318">HLOOKUP($J2318,'Type Chart'!$C$2:$T$20,19,false)*HLOOKUP($K2318,'Type Chart'!$C$2:$U$20,19,false)</f>
        <v>0.5</v>
      </c>
      <c r="AM2318" s="964" t="s">
        <v>3928</v>
      </c>
      <c r="AN2318" s="964" t="s">
        <v>1353</v>
      </c>
      <c r="AO2318" s="966" t="s">
        <v>1172</v>
      </c>
      <c r="AP2318" s="936"/>
      <c r="AQ2318" s="1245"/>
      <c r="AR2318" s="1245"/>
      <c r="AS2318" s="936"/>
    </row>
    <row r="2319" ht="15.75" customHeight="1">
      <c r="A2319" s="1099"/>
      <c r="B2319" s="948" t="s">
        <v>3933</v>
      </c>
      <c r="C2319" s="1197" t="s">
        <v>3934</v>
      </c>
      <c r="D2319" s="1197" t="s">
        <v>3934</v>
      </c>
      <c r="E2319" s="1147" t="s">
        <v>3934</v>
      </c>
      <c r="F2319" s="940"/>
      <c r="G2319" s="953"/>
      <c r="H2319" s="969"/>
      <c r="I2319" s="998" t="s">
        <v>5415</v>
      </c>
      <c r="J2319" s="957" t="s">
        <v>209</v>
      </c>
      <c r="K2319" s="1006" t="s">
        <v>346</v>
      </c>
      <c r="L2319" s="959">
        <v>40.0</v>
      </c>
      <c r="M2319" s="960">
        <v>40.0</v>
      </c>
      <c r="N2319" s="960">
        <v>80.0</v>
      </c>
      <c r="O2319" s="960">
        <v>40.0</v>
      </c>
      <c r="P2319" s="960">
        <v>40.0</v>
      </c>
      <c r="Q2319" s="960">
        <v>20.0</v>
      </c>
      <c r="R2319" s="960">
        <v>76.0</v>
      </c>
      <c r="S2319" s="960">
        <v>139.0</v>
      </c>
      <c r="T2319" s="960">
        <v>152.0</v>
      </c>
      <c r="U2319" s="960">
        <f t="array" ref="U2319">HLOOKUP($J2319,'Type Chart'!$C$2:$T$20,2,false)*HLOOKUP($K2319,'Type Chart'!$C$2:$U$20,2,false)</f>
        <v>1</v>
      </c>
      <c r="V2319" s="960">
        <f t="array" ref="V2319">HLOOKUP($J2319,'Type Chart'!$C$2:$T$20,3,false)*HLOOKUP($K2319,'Type Chart'!$C$2:$U$20,3,false)</f>
        <v>1</v>
      </c>
      <c r="W2319" s="960">
        <f t="array" ref="W2319">HLOOKUP($J2319,'Type Chart'!$C$2:$T$20,4,false)*HLOOKUP($K2319,'Type Chart'!$C$2:$U$20,4,false)</f>
        <v>2</v>
      </c>
      <c r="X2319" s="960">
        <f t="array" ref="X2319">HLOOKUP($J2319,'Type Chart'!$C$2:$T$20,5,false)*HLOOKUP($K2319,'Type Chart'!$C$2:$U$20,5,false)</f>
        <v>2</v>
      </c>
      <c r="Y2319" s="960">
        <f t="array" ref="Y2319">HLOOKUP($J2319,'Type Chart'!$C$2:$T$20,6,false)*HLOOKUP($K2319,'Type Chart'!$C$2:$U$20,6,false)</f>
        <v>0.5</v>
      </c>
      <c r="Z2319" s="960">
        <f t="array" ref="Z2319">HLOOKUP($J2319,'Type Chart'!$C$2:$T$20,7,false)*HLOOKUP($K2319,'Type Chart'!$C$2:$U$20,7,false)</f>
        <v>1</v>
      </c>
      <c r="AA2319" s="960">
        <f t="array" ref="AA2319">HLOOKUP($J2319,'Type Chart'!$C$2:$T$20,8,false)*HLOOKUP($K2319,'Type Chart'!$C$2:$U$20,8,false)</f>
        <v>2</v>
      </c>
      <c r="AB2319" s="960">
        <f t="array" ref="AB2319">HLOOKUP($J2319,'Type Chart'!$C$2:$T$20,9,false)*HLOOKUP($K2319,'Type Chart'!$C$2:$U$20,9,false)</f>
        <v>1</v>
      </c>
      <c r="AC2319" s="960">
        <f t="array" ref="AC2319">HLOOKUP($J2319,'Type Chart'!$C$2:$T$20,10,false)*HLOOKUP($K2319,'Type Chart'!$C$2:$U$20,10,false)</f>
        <v>1</v>
      </c>
      <c r="AD2319" s="960">
        <f t="array" ref="AD2319">HLOOKUP($J2319,'Type Chart'!$C$2:$T$20,11,false)*HLOOKUP($K2319,'Type Chart'!$C$2:$U$20,11,false)</f>
        <v>1</v>
      </c>
      <c r="AE2319" s="960">
        <f t="array" ref="AE2319">HLOOKUP($J2319,'Type Chart'!$C$2:$T$20,12,false)*HLOOKUP($K2319,'Type Chart'!$C$2:$U$20,12,false)</f>
        <v>0.25</v>
      </c>
      <c r="AF2319" s="960">
        <f t="array" ref="AF2319">HLOOKUP($J2319,'Type Chart'!$C$2:$T$20,13,false)*HLOOKUP($K2319,'Type Chart'!$C$2:$U$20,13,false)</f>
        <v>0.25</v>
      </c>
      <c r="AG2319" s="960">
        <f t="array" ref="AG2319">HLOOKUP($J2319,'Type Chart'!$C$2:$T$20,14,false)*HLOOKUP($K2319,'Type Chart'!$C$2:$U$20,14,false)</f>
        <v>0.25</v>
      </c>
      <c r="AH2319" s="960">
        <f t="array" ref="AH2319">HLOOKUP($J2319,'Type Chart'!$C$2:$T$20,15,false)*HLOOKUP($K2319,'Type Chart'!$C$2:$U$20,15,false)</f>
        <v>1</v>
      </c>
      <c r="AI2319" s="960">
        <f t="array" ref="AI2319">HLOOKUP($J2319,'Type Chart'!$C$2:$T$20,16,false)*HLOOKUP($K2319,'Type Chart'!$C$2:$U$20,16,false)</f>
        <v>4</v>
      </c>
      <c r="AJ2319" s="960">
        <f t="array" ref="AJ2319">HLOOKUP($J2319,'Type Chart'!$C$2:$T$20,17,false)*HLOOKUP($K2319,'Type Chart'!$C$2:$U$20,17,false)</f>
        <v>2</v>
      </c>
      <c r="AK2319" s="960">
        <f t="array" ref="AK2319">HLOOKUP($J2319,'Type Chart'!$C$2:$T$20,18,false)*HLOOKUP($K2319,'Type Chart'!$C$2:$U$20,18,false)</f>
        <v>1</v>
      </c>
      <c r="AL2319" s="960">
        <f t="array" ref="AL2319">HLOOKUP($J2319,'Type Chart'!$C$2:$T$20,19,false)*HLOOKUP($K2319,'Type Chart'!$C$2:$U$20,19,false)</f>
        <v>2</v>
      </c>
      <c r="AM2319" s="964" t="s">
        <v>3936</v>
      </c>
      <c r="AN2319" s="964" t="s">
        <v>1044</v>
      </c>
      <c r="AO2319" s="966" t="s">
        <v>3259</v>
      </c>
      <c r="AP2319" s="936"/>
      <c r="AQ2319" s="1245"/>
      <c r="AR2319" s="1245"/>
      <c r="AS2319" s="936"/>
    </row>
    <row r="2320" ht="15.75" customHeight="1">
      <c r="A2320" s="1099"/>
      <c r="B2320" s="948" t="s">
        <v>3937</v>
      </c>
      <c r="C2320" s="1197" t="s">
        <v>3938</v>
      </c>
      <c r="D2320" s="1197" t="s">
        <v>3938</v>
      </c>
      <c r="E2320" s="1147" t="s">
        <v>3938</v>
      </c>
      <c r="F2320" s="940"/>
      <c r="G2320" s="953"/>
      <c r="H2320" s="969"/>
      <c r="I2320" s="998" t="s">
        <v>5416</v>
      </c>
      <c r="J2320" s="957" t="s">
        <v>209</v>
      </c>
      <c r="K2320" s="1006" t="s">
        <v>346</v>
      </c>
      <c r="L2320" s="959">
        <v>70.0</v>
      </c>
      <c r="M2320" s="960">
        <v>110.0</v>
      </c>
      <c r="N2320" s="960">
        <v>80.0</v>
      </c>
      <c r="O2320" s="960">
        <v>95.0</v>
      </c>
      <c r="P2320" s="960">
        <v>60.0</v>
      </c>
      <c r="Q2320" s="960">
        <v>70.0</v>
      </c>
      <c r="R2320" s="960">
        <v>176.0</v>
      </c>
      <c r="S2320" s="960">
        <v>239.0</v>
      </c>
      <c r="T2320" s="960">
        <v>262.0</v>
      </c>
      <c r="U2320" s="960">
        <f t="array" ref="U2320">HLOOKUP($J2320,'Type Chart'!$C$2:$T$20,2,false)*HLOOKUP($K2320,'Type Chart'!$C$2:$U$20,2,false)</f>
        <v>1</v>
      </c>
      <c r="V2320" s="960">
        <f t="array" ref="V2320">HLOOKUP($J2320,'Type Chart'!$C$2:$T$20,3,false)*HLOOKUP($K2320,'Type Chart'!$C$2:$U$20,3,false)</f>
        <v>1</v>
      </c>
      <c r="W2320" s="960">
        <f t="array" ref="W2320">HLOOKUP($J2320,'Type Chart'!$C$2:$T$20,4,false)*HLOOKUP($K2320,'Type Chart'!$C$2:$U$20,4,false)</f>
        <v>2</v>
      </c>
      <c r="X2320" s="960">
        <f t="array" ref="X2320">HLOOKUP($J2320,'Type Chart'!$C$2:$T$20,5,false)*HLOOKUP($K2320,'Type Chart'!$C$2:$U$20,5,false)</f>
        <v>2</v>
      </c>
      <c r="Y2320" s="960">
        <f t="array" ref="Y2320">HLOOKUP($J2320,'Type Chart'!$C$2:$T$20,6,false)*HLOOKUP($K2320,'Type Chart'!$C$2:$U$20,6,false)</f>
        <v>0.5</v>
      </c>
      <c r="Z2320" s="960">
        <f t="array" ref="Z2320">HLOOKUP($J2320,'Type Chart'!$C$2:$T$20,7,false)*HLOOKUP($K2320,'Type Chart'!$C$2:$U$20,7,false)</f>
        <v>1</v>
      </c>
      <c r="AA2320" s="960">
        <f t="array" ref="AA2320">HLOOKUP($J2320,'Type Chart'!$C$2:$T$20,8,false)*HLOOKUP($K2320,'Type Chart'!$C$2:$U$20,8,false)</f>
        <v>2</v>
      </c>
      <c r="AB2320" s="960">
        <f t="array" ref="AB2320">HLOOKUP($J2320,'Type Chart'!$C$2:$T$20,9,false)*HLOOKUP($K2320,'Type Chart'!$C$2:$U$20,9,false)</f>
        <v>1</v>
      </c>
      <c r="AC2320" s="960">
        <f t="array" ref="AC2320">HLOOKUP($J2320,'Type Chart'!$C$2:$T$20,10,false)*HLOOKUP($K2320,'Type Chart'!$C$2:$U$20,10,false)</f>
        <v>1</v>
      </c>
      <c r="AD2320" s="960">
        <f t="array" ref="AD2320">HLOOKUP($J2320,'Type Chart'!$C$2:$T$20,11,false)*HLOOKUP($K2320,'Type Chart'!$C$2:$U$20,11,false)</f>
        <v>1</v>
      </c>
      <c r="AE2320" s="960">
        <f t="array" ref="AE2320">HLOOKUP($J2320,'Type Chart'!$C$2:$T$20,12,false)*HLOOKUP($K2320,'Type Chart'!$C$2:$U$20,12,false)</f>
        <v>0.25</v>
      </c>
      <c r="AF2320" s="960">
        <f t="array" ref="AF2320">HLOOKUP($J2320,'Type Chart'!$C$2:$T$20,13,false)*HLOOKUP($K2320,'Type Chart'!$C$2:$U$20,13,false)</f>
        <v>0.25</v>
      </c>
      <c r="AG2320" s="960">
        <f t="array" ref="AG2320">HLOOKUP($J2320,'Type Chart'!$C$2:$T$20,14,false)*HLOOKUP($K2320,'Type Chart'!$C$2:$U$20,14,false)</f>
        <v>0.25</v>
      </c>
      <c r="AH2320" s="960">
        <f t="array" ref="AH2320">HLOOKUP($J2320,'Type Chart'!$C$2:$T$20,15,false)*HLOOKUP($K2320,'Type Chart'!$C$2:$U$20,15,false)</f>
        <v>1</v>
      </c>
      <c r="AI2320" s="960">
        <f t="array" ref="AI2320">HLOOKUP($J2320,'Type Chart'!$C$2:$T$20,16,false)*HLOOKUP($K2320,'Type Chart'!$C$2:$U$20,16,false)</f>
        <v>4</v>
      </c>
      <c r="AJ2320" s="960">
        <f t="array" ref="AJ2320">HLOOKUP($J2320,'Type Chart'!$C$2:$T$20,17,false)*HLOOKUP($K2320,'Type Chart'!$C$2:$U$20,17,false)</f>
        <v>2</v>
      </c>
      <c r="AK2320" s="960">
        <f t="array" ref="AK2320">HLOOKUP($J2320,'Type Chart'!$C$2:$T$20,18,false)*HLOOKUP($K2320,'Type Chart'!$C$2:$U$20,18,false)</f>
        <v>1</v>
      </c>
      <c r="AL2320" s="960">
        <f t="array" ref="AL2320">HLOOKUP($J2320,'Type Chart'!$C$2:$T$20,19,false)*HLOOKUP($K2320,'Type Chart'!$C$2:$U$20,19,false)</f>
        <v>2</v>
      </c>
      <c r="AM2320" s="964" t="s">
        <v>3936</v>
      </c>
      <c r="AN2320" s="964" t="s">
        <v>1044</v>
      </c>
      <c r="AO2320" s="966" t="s">
        <v>1039</v>
      </c>
      <c r="AP2320" s="936"/>
      <c r="AQ2320" s="1245"/>
      <c r="AR2320" s="1245"/>
      <c r="AS2320" s="936"/>
    </row>
    <row r="2321" ht="15.75" customHeight="1">
      <c r="A2321" s="1099"/>
      <c r="B2321" s="948" t="s">
        <v>3939</v>
      </c>
      <c r="C2321" s="1197" t="s">
        <v>3940</v>
      </c>
      <c r="D2321" s="1197" t="s">
        <v>3940</v>
      </c>
      <c r="E2321" s="1147" t="s">
        <v>3941</v>
      </c>
      <c r="F2321" s="940"/>
      <c r="G2321" s="953"/>
      <c r="H2321" s="969"/>
      <c r="I2321" s="998" t="s">
        <v>5417</v>
      </c>
      <c r="J2321" s="957" t="s">
        <v>209</v>
      </c>
      <c r="K2321" s="1006" t="s">
        <v>346</v>
      </c>
      <c r="L2321" s="959">
        <v>70.0</v>
      </c>
      <c r="M2321" s="960">
        <v>110.0</v>
      </c>
      <c r="N2321" s="960">
        <v>80.0</v>
      </c>
      <c r="O2321" s="960">
        <v>95.0</v>
      </c>
      <c r="P2321" s="960">
        <v>60.0</v>
      </c>
      <c r="Q2321" s="960">
        <v>70.0</v>
      </c>
      <c r="R2321" s="960">
        <v>176.0</v>
      </c>
      <c r="S2321" s="960">
        <v>239.0</v>
      </c>
      <c r="T2321" s="960">
        <v>262.0</v>
      </c>
      <c r="U2321" s="960">
        <f t="array" ref="U2321">HLOOKUP($J2321,'Type Chart'!$C$2:$T$20,2,false)*HLOOKUP($K2321,'Type Chart'!$C$2:$U$20,2,false)</f>
        <v>1</v>
      </c>
      <c r="V2321" s="960">
        <f t="array" ref="V2321">HLOOKUP($J2321,'Type Chart'!$C$2:$T$20,3,false)*HLOOKUP($K2321,'Type Chart'!$C$2:$U$20,3,false)</f>
        <v>1</v>
      </c>
      <c r="W2321" s="960">
        <f t="array" ref="W2321">HLOOKUP($J2321,'Type Chart'!$C$2:$T$20,4,false)*HLOOKUP($K2321,'Type Chart'!$C$2:$U$20,4,false)</f>
        <v>2</v>
      </c>
      <c r="X2321" s="960">
        <f t="array" ref="X2321">HLOOKUP($J2321,'Type Chart'!$C$2:$T$20,5,false)*HLOOKUP($K2321,'Type Chart'!$C$2:$U$20,5,false)</f>
        <v>2</v>
      </c>
      <c r="Y2321" s="960">
        <f t="array" ref="Y2321">HLOOKUP($J2321,'Type Chart'!$C$2:$T$20,6,false)*HLOOKUP($K2321,'Type Chart'!$C$2:$U$20,6,false)</f>
        <v>0.5</v>
      </c>
      <c r="Z2321" s="960">
        <f t="array" ref="Z2321">HLOOKUP($J2321,'Type Chart'!$C$2:$T$20,7,false)*HLOOKUP($K2321,'Type Chart'!$C$2:$U$20,7,false)</f>
        <v>1</v>
      </c>
      <c r="AA2321" s="960">
        <f t="array" ref="AA2321">HLOOKUP($J2321,'Type Chart'!$C$2:$T$20,8,false)*HLOOKUP($K2321,'Type Chart'!$C$2:$U$20,8,false)</f>
        <v>2</v>
      </c>
      <c r="AB2321" s="960">
        <f t="array" ref="AB2321">HLOOKUP($J2321,'Type Chart'!$C$2:$T$20,9,false)*HLOOKUP($K2321,'Type Chart'!$C$2:$U$20,9,false)</f>
        <v>1</v>
      </c>
      <c r="AC2321" s="960">
        <f t="array" ref="AC2321">HLOOKUP($J2321,'Type Chart'!$C$2:$T$20,10,false)*HLOOKUP($K2321,'Type Chart'!$C$2:$U$20,10,false)</f>
        <v>1</v>
      </c>
      <c r="AD2321" s="960">
        <f t="array" ref="AD2321">HLOOKUP($J2321,'Type Chart'!$C$2:$T$20,11,false)*HLOOKUP($K2321,'Type Chart'!$C$2:$U$20,11,false)</f>
        <v>1</v>
      </c>
      <c r="AE2321" s="960">
        <f t="array" ref="AE2321">HLOOKUP($J2321,'Type Chart'!$C$2:$T$20,12,false)*HLOOKUP($K2321,'Type Chart'!$C$2:$U$20,12,false)</f>
        <v>0.25</v>
      </c>
      <c r="AF2321" s="960">
        <f t="array" ref="AF2321">HLOOKUP($J2321,'Type Chart'!$C$2:$T$20,13,false)*HLOOKUP($K2321,'Type Chart'!$C$2:$U$20,13,false)</f>
        <v>0.25</v>
      </c>
      <c r="AG2321" s="960">
        <f t="array" ref="AG2321">HLOOKUP($J2321,'Type Chart'!$C$2:$T$20,14,false)*HLOOKUP($K2321,'Type Chart'!$C$2:$U$20,14,false)</f>
        <v>0.25</v>
      </c>
      <c r="AH2321" s="960">
        <f t="array" ref="AH2321">HLOOKUP($J2321,'Type Chart'!$C$2:$T$20,15,false)*HLOOKUP($K2321,'Type Chart'!$C$2:$U$20,15,false)</f>
        <v>1</v>
      </c>
      <c r="AI2321" s="960">
        <f t="array" ref="AI2321">HLOOKUP($J2321,'Type Chart'!$C$2:$T$20,16,false)*HLOOKUP($K2321,'Type Chart'!$C$2:$U$20,16,false)</f>
        <v>4</v>
      </c>
      <c r="AJ2321" s="960">
        <f t="array" ref="AJ2321">HLOOKUP($J2321,'Type Chart'!$C$2:$T$20,17,false)*HLOOKUP($K2321,'Type Chart'!$C$2:$U$20,17,false)</f>
        <v>2</v>
      </c>
      <c r="AK2321" s="960">
        <f t="array" ref="AK2321">HLOOKUP($J2321,'Type Chart'!$C$2:$T$20,18,false)*HLOOKUP($K2321,'Type Chart'!$C$2:$U$20,18,false)</f>
        <v>1</v>
      </c>
      <c r="AL2321" s="960">
        <f t="array" ref="AL2321">HLOOKUP($J2321,'Type Chart'!$C$2:$T$20,19,false)*HLOOKUP($K2321,'Type Chart'!$C$2:$U$20,19,false)</f>
        <v>2</v>
      </c>
      <c r="AM2321" s="964" t="s">
        <v>3936</v>
      </c>
      <c r="AN2321" s="964" t="s">
        <v>1044</v>
      </c>
      <c r="AO2321" s="966" t="s">
        <v>1039</v>
      </c>
      <c r="AP2321" s="936"/>
      <c r="AQ2321" s="1245"/>
      <c r="AR2321" s="1245"/>
      <c r="AS2321" s="936"/>
    </row>
    <row r="2322" ht="15.75" customHeight="1">
      <c r="A2322" s="1099"/>
      <c r="B2322" s="948" t="s">
        <v>3943</v>
      </c>
      <c r="C2322" s="1197" t="s">
        <v>3944</v>
      </c>
      <c r="D2322" s="1197" t="s">
        <v>3944</v>
      </c>
      <c r="E2322" s="1147" t="s">
        <v>3944</v>
      </c>
      <c r="F2322" s="940"/>
      <c r="G2322" s="953"/>
      <c r="H2322" s="969"/>
      <c r="I2322" s="998" t="s">
        <v>5418</v>
      </c>
      <c r="J2322" s="957" t="s">
        <v>209</v>
      </c>
      <c r="K2322" s="1006" t="s">
        <v>346</v>
      </c>
      <c r="L2322" s="959">
        <v>110.0</v>
      </c>
      <c r="M2322" s="960">
        <v>85.0</v>
      </c>
      <c r="N2322" s="960">
        <v>80.0</v>
      </c>
      <c r="O2322" s="960">
        <v>100.0</v>
      </c>
      <c r="P2322" s="960">
        <v>80.0</v>
      </c>
      <c r="Q2322" s="960">
        <v>30.0</v>
      </c>
      <c r="R2322" s="960">
        <v>96.0</v>
      </c>
      <c r="S2322" s="960">
        <v>159.0</v>
      </c>
      <c r="T2322" s="960">
        <v>174.0</v>
      </c>
      <c r="U2322" s="960">
        <f t="array" ref="U2322">HLOOKUP($J2322,'Type Chart'!$C$2:$T$20,2,false)*HLOOKUP($K2322,'Type Chart'!$C$2:$U$20,2,false)</f>
        <v>1</v>
      </c>
      <c r="V2322" s="960">
        <f t="array" ref="V2322">HLOOKUP($J2322,'Type Chart'!$C$2:$T$20,3,false)*HLOOKUP($K2322,'Type Chart'!$C$2:$U$20,3,false)</f>
        <v>1</v>
      </c>
      <c r="W2322" s="960">
        <f t="array" ref="W2322">HLOOKUP($J2322,'Type Chart'!$C$2:$T$20,4,false)*HLOOKUP($K2322,'Type Chart'!$C$2:$U$20,4,false)</f>
        <v>2</v>
      </c>
      <c r="X2322" s="960">
        <f t="array" ref="X2322">HLOOKUP($J2322,'Type Chart'!$C$2:$T$20,5,false)*HLOOKUP($K2322,'Type Chart'!$C$2:$U$20,5,false)</f>
        <v>2</v>
      </c>
      <c r="Y2322" s="960">
        <f t="array" ref="Y2322">HLOOKUP($J2322,'Type Chart'!$C$2:$T$20,6,false)*HLOOKUP($K2322,'Type Chart'!$C$2:$U$20,6,false)</f>
        <v>0.5</v>
      </c>
      <c r="Z2322" s="960">
        <f t="array" ref="Z2322">HLOOKUP($J2322,'Type Chart'!$C$2:$T$20,7,false)*HLOOKUP($K2322,'Type Chart'!$C$2:$U$20,7,false)</f>
        <v>1</v>
      </c>
      <c r="AA2322" s="960">
        <f t="array" ref="AA2322">HLOOKUP($J2322,'Type Chart'!$C$2:$T$20,8,false)*HLOOKUP($K2322,'Type Chart'!$C$2:$U$20,8,false)</f>
        <v>2</v>
      </c>
      <c r="AB2322" s="960">
        <f t="array" ref="AB2322">HLOOKUP($J2322,'Type Chart'!$C$2:$T$20,9,false)*HLOOKUP($K2322,'Type Chart'!$C$2:$U$20,9,false)</f>
        <v>1</v>
      </c>
      <c r="AC2322" s="960">
        <f t="array" ref="AC2322">HLOOKUP($J2322,'Type Chart'!$C$2:$T$20,10,false)*HLOOKUP($K2322,'Type Chart'!$C$2:$U$20,10,false)</f>
        <v>1</v>
      </c>
      <c r="AD2322" s="960">
        <f t="array" ref="AD2322">HLOOKUP($J2322,'Type Chart'!$C$2:$T$20,11,false)*HLOOKUP($K2322,'Type Chart'!$C$2:$U$20,11,false)</f>
        <v>1</v>
      </c>
      <c r="AE2322" s="960">
        <f t="array" ref="AE2322">HLOOKUP($J2322,'Type Chart'!$C$2:$T$20,12,false)*HLOOKUP($K2322,'Type Chart'!$C$2:$U$20,12,false)</f>
        <v>0.25</v>
      </c>
      <c r="AF2322" s="960">
        <f t="array" ref="AF2322">HLOOKUP($J2322,'Type Chart'!$C$2:$T$20,13,false)*HLOOKUP($K2322,'Type Chart'!$C$2:$U$20,13,false)</f>
        <v>0.25</v>
      </c>
      <c r="AG2322" s="960">
        <f t="array" ref="AG2322">HLOOKUP($J2322,'Type Chart'!$C$2:$T$20,14,false)*HLOOKUP($K2322,'Type Chart'!$C$2:$U$20,14,false)</f>
        <v>0.25</v>
      </c>
      <c r="AH2322" s="960">
        <f t="array" ref="AH2322">HLOOKUP($J2322,'Type Chart'!$C$2:$T$20,15,false)*HLOOKUP($K2322,'Type Chart'!$C$2:$U$20,15,false)</f>
        <v>1</v>
      </c>
      <c r="AI2322" s="960">
        <f t="array" ref="AI2322">HLOOKUP($J2322,'Type Chart'!$C$2:$T$20,16,false)*HLOOKUP($K2322,'Type Chart'!$C$2:$U$20,16,false)</f>
        <v>4</v>
      </c>
      <c r="AJ2322" s="960">
        <f t="array" ref="AJ2322">HLOOKUP($J2322,'Type Chart'!$C$2:$T$20,17,false)*HLOOKUP($K2322,'Type Chart'!$C$2:$U$20,17,false)</f>
        <v>2</v>
      </c>
      <c r="AK2322" s="960">
        <f t="array" ref="AK2322">HLOOKUP($J2322,'Type Chart'!$C$2:$T$20,18,false)*HLOOKUP($K2322,'Type Chart'!$C$2:$U$20,18,false)</f>
        <v>1</v>
      </c>
      <c r="AL2322" s="960">
        <f t="array" ref="AL2322">HLOOKUP($J2322,'Type Chart'!$C$2:$T$20,19,false)*HLOOKUP($K2322,'Type Chart'!$C$2:$U$20,19,false)</f>
        <v>2</v>
      </c>
      <c r="AM2322" s="964" t="s">
        <v>3936</v>
      </c>
      <c r="AN2322" s="964" t="s">
        <v>1044</v>
      </c>
      <c r="AO2322" s="966" t="s">
        <v>760</v>
      </c>
      <c r="AP2322" s="936"/>
      <c r="AQ2322" s="1245"/>
      <c r="AR2322" s="1245"/>
      <c r="AS2322" s="936"/>
    </row>
    <row r="2323" ht="15.75" customHeight="1">
      <c r="A2323" s="1099"/>
      <c r="B2323" s="948" t="s">
        <v>3945</v>
      </c>
      <c r="C2323" s="1197" t="s">
        <v>3946</v>
      </c>
      <c r="D2323" s="1197" t="s">
        <v>3946</v>
      </c>
      <c r="E2323" s="1147" t="s">
        <v>3946</v>
      </c>
      <c r="F2323" s="940"/>
      <c r="G2323" s="953"/>
      <c r="H2323" s="969"/>
      <c r="I2323" s="998" t="s">
        <v>5419</v>
      </c>
      <c r="J2323" s="1204" t="s">
        <v>80</v>
      </c>
      <c r="K2323" s="984" t="s">
        <v>216</v>
      </c>
      <c r="L2323" s="959">
        <v>52.0</v>
      </c>
      <c r="M2323" s="960">
        <v>57.0</v>
      </c>
      <c r="N2323" s="960">
        <v>75.0</v>
      </c>
      <c r="O2323" s="960">
        <v>35.0</v>
      </c>
      <c r="P2323" s="960">
        <v>50.0</v>
      </c>
      <c r="Q2323" s="960">
        <v>46.0</v>
      </c>
      <c r="R2323" s="960">
        <v>128.0</v>
      </c>
      <c r="S2323" s="960">
        <v>191.0</v>
      </c>
      <c r="T2323" s="960">
        <v>210.0</v>
      </c>
      <c r="U2323" s="960">
        <f t="array" ref="U2323">HLOOKUP($J2323,'Type Chart'!$C$2:$T$20,2,false)*HLOOKUP($K2323,'Type Chart'!$C$2:$U$20,2,false)</f>
        <v>1</v>
      </c>
      <c r="V2323" s="960">
        <f t="array" ref="V2323">HLOOKUP($J2323,'Type Chart'!$C$2:$T$20,3,false)*HLOOKUP($K2323,'Type Chart'!$C$2:$U$20,3,false)</f>
        <v>1</v>
      </c>
      <c r="W2323" s="960">
        <f t="array" ref="W2323">HLOOKUP($J2323,'Type Chart'!$C$2:$T$20,4,false)*HLOOKUP($K2323,'Type Chart'!$C$2:$U$20,4,false)</f>
        <v>1</v>
      </c>
      <c r="X2323" s="960">
        <f t="array" ref="X2323">HLOOKUP($J2323,'Type Chart'!$C$2:$T$20,5,false)*HLOOKUP($K2323,'Type Chart'!$C$2:$U$20,5,false)</f>
        <v>0.5</v>
      </c>
      <c r="Y2323" s="960">
        <f t="array" ref="Y2323">HLOOKUP($J2323,'Type Chart'!$C$2:$T$20,6,false)*HLOOKUP($K2323,'Type Chart'!$C$2:$U$20,6,false)</f>
        <v>1</v>
      </c>
      <c r="Z2323" s="960">
        <f t="array" ref="Z2323">HLOOKUP($J2323,'Type Chart'!$C$2:$T$20,7,false)*HLOOKUP($K2323,'Type Chart'!$C$2:$U$20,7,false)</f>
        <v>0.5</v>
      </c>
      <c r="AA2323" s="960">
        <f t="array" ref="AA2323">HLOOKUP($J2323,'Type Chart'!$C$2:$T$20,8,false)*HLOOKUP($K2323,'Type Chart'!$C$2:$U$20,8,false)</f>
        <v>1</v>
      </c>
      <c r="AB2323" s="960">
        <f t="array" ref="AB2323">HLOOKUP($J2323,'Type Chart'!$C$2:$T$20,9,false)*HLOOKUP($K2323,'Type Chart'!$C$2:$U$20,9,false)</f>
        <v>1</v>
      </c>
      <c r="AC2323" s="960">
        <f t="array" ref="AC2323">HLOOKUP($J2323,'Type Chart'!$C$2:$T$20,10,false)*HLOOKUP($K2323,'Type Chart'!$C$2:$U$20,10,false)</f>
        <v>1</v>
      </c>
      <c r="AD2323" s="960">
        <f t="array" ref="AD2323">HLOOKUP($J2323,'Type Chart'!$C$2:$T$20,11,false)*HLOOKUP($K2323,'Type Chart'!$C$2:$U$20,11,false)</f>
        <v>1</v>
      </c>
      <c r="AE2323" s="960">
        <f t="array" ref="AE2323">HLOOKUP($J2323,'Type Chart'!$C$2:$T$20,12,false)*HLOOKUP($K2323,'Type Chart'!$C$2:$U$20,12,false)</f>
        <v>2</v>
      </c>
      <c r="AF2323" s="960">
        <f t="array" ref="AF2323">HLOOKUP($J2323,'Type Chart'!$C$2:$T$20,13,false)*HLOOKUP($K2323,'Type Chart'!$C$2:$U$20,13,false)</f>
        <v>2</v>
      </c>
      <c r="AG2323" s="960">
        <f t="array" ref="AG2323">HLOOKUP($J2323,'Type Chart'!$C$2:$T$20,14,false)*HLOOKUP($K2323,'Type Chart'!$C$2:$U$20,14,false)</f>
        <v>0</v>
      </c>
      <c r="AH2323" s="960">
        <f t="array" ref="AH2323">HLOOKUP($J2323,'Type Chart'!$C$2:$T$20,15,false)*HLOOKUP($K2323,'Type Chart'!$C$2:$U$20,15,false)</f>
        <v>1</v>
      </c>
      <c r="AI2323" s="960">
        <f t="array" ref="AI2323">HLOOKUP($J2323,'Type Chart'!$C$2:$T$20,16,false)*HLOOKUP($K2323,'Type Chart'!$C$2:$U$20,16,false)</f>
        <v>2</v>
      </c>
      <c r="AJ2323" s="960">
        <f t="array" ref="AJ2323">HLOOKUP($J2323,'Type Chart'!$C$2:$T$20,17,false)*HLOOKUP($K2323,'Type Chart'!$C$2:$U$20,17,false)</f>
        <v>1</v>
      </c>
      <c r="AK2323" s="960">
        <f t="array" ref="AK2323">HLOOKUP($J2323,'Type Chart'!$C$2:$T$20,18,false)*HLOOKUP($K2323,'Type Chart'!$C$2:$U$20,18,false)</f>
        <v>1</v>
      </c>
      <c r="AL2323" s="960">
        <f t="array" ref="AL2323">HLOOKUP($J2323,'Type Chart'!$C$2:$T$20,19,false)*HLOOKUP($K2323,'Type Chart'!$C$2:$U$20,19,false)</f>
        <v>1</v>
      </c>
      <c r="AM2323" s="1145" t="s">
        <v>3948</v>
      </c>
      <c r="AN2323" s="964" t="s">
        <v>998</v>
      </c>
      <c r="AO2323" s="966" t="s">
        <v>1129</v>
      </c>
      <c r="AP2323" s="936"/>
      <c r="AQ2323" s="1245"/>
      <c r="AR2323" s="1245"/>
      <c r="AS2323" s="936"/>
    </row>
    <row r="2324" ht="15.75" customHeight="1">
      <c r="A2324" s="1099"/>
      <c r="B2324" s="948" t="s">
        <v>3949</v>
      </c>
      <c r="C2324" s="1197" t="s">
        <v>3950</v>
      </c>
      <c r="D2324" s="1197" t="s">
        <v>3950</v>
      </c>
      <c r="E2324" s="1147" t="s">
        <v>3950</v>
      </c>
      <c r="F2324" s="940"/>
      <c r="G2324" s="953"/>
      <c r="H2324" s="969"/>
      <c r="I2324" s="998" t="s">
        <v>5420</v>
      </c>
      <c r="J2324" s="1204" t="s">
        <v>80</v>
      </c>
      <c r="K2324" s="984" t="s">
        <v>216</v>
      </c>
      <c r="L2324" s="959">
        <v>72.0</v>
      </c>
      <c r="M2324" s="960">
        <v>107.0</v>
      </c>
      <c r="N2324" s="960">
        <v>125.0</v>
      </c>
      <c r="O2324" s="960">
        <v>65.0</v>
      </c>
      <c r="P2324" s="960">
        <v>70.0</v>
      </c>
      <c r="Q2324" s="960">
        <v>71.0</v>
      </c>
      <c r="R2324" s="960">
        <v>178.0</v>
      </c>
      <c r="S2324" s="960">
        <v>241.0</v>
      </c>
      <c r="T2324" s="960">
        <v>265.0</v>
      </c>
      <c r="U2324" s="960">
        <f t="array" ref="U2324">HLOOKUP($J2324,'Type Chart'!$C$2:$T$20,2,false)*HLOOKUP($K2324,'Type Chart'!$C$2:$U$20,2,false)</f>
        <v>1</v>
      </c>
      <c r="V2324" s="960">
        <f t="array" ref="V2324">HLOOKUP($J2324,'Type Chart'!$C$2:$T$20,3,false)*HLOOKUP($K2324,'Type Chart'!$C$2:$U$20,3,false)</f>
        <v>1</v>
      </c>
      <c r="W2324" s="960">
        <f t="array" ref="W2324">HLOOKUP($J2324,'Type Chart'!$C$2:$T$20,4,false)*HLOOKUP($K2324,'Type Chart'!$C$2:$U$20,4,false)</f>
        <v>1</v>
      </c>
      <c r="X2324" s="960">
        <f t="array" ref="X2324">HLOOKUP($J2324,'Type Chart'!$C$2:$T$20,5,false)*HLOOKUP($K2324,'Type Chart'!$C$2:$U$20,5,false)</f>
        <v>0.5</v>
      </c>
      <c r="Y2324" s="960">
        <f t="array" ref="Y2324">HLOOKUP($J2324,'Type Chart'!$C$2:$T$20,6,false)*HLOOKUP($K2324,'Type Chart'!$C$2:$U$20,6,false)</f>
        <v>1</v>
      </c>
      <c r="Z2324" s="960">
        <f t="array" ref="Z2324">HLOOKUP($J2324,'Type Chart'!$C$2:$T$20,7,false)*HLOOKUP($K2324,'Type Chart'!$C$2:$U$20,7,false)</f>
        <v>0.5</v>
      </c>
      <c r="AA2324" s="960">
        <f t="array" ref="AA2324">HLOOKUP($J2324,'Type Chart'!$C$2:$T$20,8,false)*HLOOKUP($K2324,'Type Chart'!$C$2:$U$20,8,false)</f>
        <v>1</v>
      </c>
      <c r="AB2324" s="960">
        <f t="array" ref="AB2324">HLOOKUP($J2324,'Type Chart'!$C$2:$T$20,9,false)*HLOOKUP($K2324,'Type Chart'!$C$2:$U$20,9,false)</f>
        <v>1</v>
      </c>
      <c r="AC2324" s="960">
        <f t="array" ref="AC2324">HLOOKUP($J2324,'Type Chart'!$C$2:$T$20,10,false)*HLOOKUP($K2324,'Type Chart'!$C$2:$U$20,10,false)</f>
        <v>1</v>
      </c>
      <c r="AD2324" s="960">
        <f t="array" ref="AD2324">HLOOKUP($J2324,'Type Chart'!$C$2:$T$20,11,false)*HLOOKUP($K2324,'Type Chart'!$C$2:$U$20,11,false)</f>
        <v>1</v>
      </c>
      <c r="AE2324" s="960">
        <f t="array" ref="AE2324">HLOOKUP($J2324,'Type Chart'!$C$2:$T$20,12,false)*HLOOKUP($K2324,'Type Chart'!$C$2:$U$20,12,false)</f>
        <v>2</v>
      </c>
      <c r="AF2324" s="960">
        <f t="array" ref="AF2324">HLOOKUP($J2324,'Type Chart'!$C$2:$T$20,13,false)*HLOOKUP($K2324,'Type Chart'!$C$2:$U$20,13,false)</f>
        <v>2</v>
      </c>
      <c r="AG2324" s="960">
        <f t="array" ref="AG2324">HLOOKUP($J2324,'Type Chart'!$C$2:$T$20,14,false)*HLOOKUP($K2324,'Type Chart'!$C$2:$U$20,14,false)</f>
        <v>0</v>
      </c>
      <c r="AH2324" s="960">
        <f t="array" ref="AH2324">HLOOKUP($J2324,'Type Chart'!$C$2:$T$20,15,false)*HLOOKUP($K2324,'Type Chart'!$C$2:$U$20,15,false)</f>
        <v>1</v>
      </c>
      <c r="AI2324" s="960">
        <f t="array" ref="AI2324">HLOOKUP($J2324,'Type Chart'!$C$2:$T$20,16,false)*HLOOKUP($K2324,'Type Chart'!$C$2:$U$20,16,false)</f>
        <v>2</v>
      </c>
      <c r="AJ2324" s="960">
        <f t="array" ref="AJ2324">HLOOKUP($J2324,'Type Chart'!$C$2:$T$20,17,false)*HLOOKUP($K2324,'Type Chart'!$C$2:$U$20,17,false)</f>
        <v>1</v>
      </c>
      <c r="AK2324" s="960">
        <f t="array" ref="AK2324">HLOOKUP($J2324,'Type Chart'!$C$2:$T$20,18,false)*HLOOKUP($K2324,'Type Chart'!$C$2:$U$20,18,false)</f>
        <v>1</v>
      </c>
      <c r="AL2324" s="960">
        <f t="array" ref="AL2324">HLOOKUP($J2324,'Type Chart'!$C$2:$T$20,19,false)*HLOOKUP($K2324,'Type Chart'!$C$2:$U$20,19,false)</f>
        <v>1</v>
      </c>
      <c r="AM2324" s="964" t="s">
        <v>3948</v>
      </c>
      <c r="AN2324" s="964" t="s">
        <v>998</v>
      </c>
      <c r="AO2324" s="966" t="s">
        <v>1129</v>
      </c>
      <c r="AP2324" s="936"/>
      <c r="AQ2324" s="1245"/>
      <c r="AR2324" s="1245"/>
      <c r="AS2324" s="936"/>
    </row>
    <row r="2325" ht="15.75" customHeight="1">
      <c r="A2325" s="1099"/>
      <c r="B2325" s="948" t="s">
        <v>3951</v>
      </c>
      <c r="C2325" s="1197" t="s">
        <v>3952</v>
      </c>
      <c r="D2325" s="1197" t="s">
        <v>3952</v>
      </c>
      <c r="E2325" s="1147" t="s">
        <v>3952</v>
      </c>
      <c r="F2325" s="940"/>
      <c r="G2325" s="953"/>
      <c r="H2325" s="969"/>
      <c r="I2325" s="998" t="s">
        <v>5421</v>
      </c>
      <c r="J2325" s="1001" t="s">
        <v>128</v>
      </c>
      <c r="K2325" s="1056" t="s">
        <v>81</v>
      </c>
      <c r="L2325" s="959">
        <v>70.0</v>
      </c>
      <c r="M2325" s="960">
        <v>85.0</v>
      </c>
      <c r="N2325" s="960">
        <v>55.0</v>
      </c>
      <c r="O2325" s="960">
        <v>85.0</v>
      </c>
      <c r="P2325" s="960">
        <v>95.0</v>
      </c>
      <c r="Q2325" s="960">
        <v>85.0</v>
      </c>
      <c r="R2325" s="960">
        <v>206.0</v>
      </c>
      <c r="S2325" s="960">
        <v>269.0</v>
      </c>
      <c r="T2325" s="960">
        <v>295.0</v>
      </c>
      <c r="U2325" s="960">
        <f t="array" ref="U2325">HLOOKUP($J2325,'Type Chart'!$C$2:$T$20,2,false)*HLOOKUP($K2325,'Type Chart'!$C$2:$U$20,2,false)</f>
        <v>1</v>
      </c>
      <c r="V2325" s="960">
        <f t="array" ref="V2325">HLOOKUP($J2325,'Type Chart'!$C$2:$T$20,3,false)*HLOOKUP($K2325,'Type Chart'!$C$2:$U$20,3,false)</f>
        <v>0.5</v>
      </c>
      <c r="W2325" s="960">
        <f t="array" ref="W2325">HLOOKUP($J2325,'Type Chart'!$C$2:$T$20,4,false)*HLOOKUP($K2325,'Type Chart'!$C$2:$U$20,4,false)</f>
        <v>1</v>
      </c>
      <c r="X2325" s="960">
        <f t="array" ref="X2325">HLOOKUP($J2325,'Type Chart'!$C$2:$T$20,5,false)*HLOOKUP($K2325,'Type Chart'!$C$2:$U$20,5,false)</f>
        <v>1</v>
      </c>
      <c r="Y2325" s="960">
        <f t="array" ref="Y2325">HLOOKUP($J2325,'Type Chart'!$C$2:$T$20,6,false)*HLOOKUP($K2325,'Type Chart'!$C$2:$U$20,6,false)</f>
        <v>0</v>
      </c>
      <c r="Z2325" s="960">
        <f t="array" ref="Z2325">HLOOKUP($J2325,'Type Chart'!$C$2:$T$20,7,false)*HLOOKUP($K2325,'Type Chart'!$C$2:$U$20,7,false)</f>
        <v>2</v>
      </c>
      <c r="AA2325" s="960">
        <f t="array" ref="AA2325">HLOOKUP($J2325,'Type Chart'!$C$2:$T$20,8,false)*HLOOKUP($K2325,'Type Chart'!$C$2:$U$20,8,false)</f>
        <v>0.5</v>
      </c>
      <c r="AB2325" s="960">
        <f t="array" ref="AB2325">HLOOKUP($J2325,'Type Chart'!$C$2:$T$20,9,false)*HLOOKUP($K2325,'Type Chart'!$C$2:$U$20,9,false)</f>
        <v>1</v>
      </c>
      <c r="AC2325" s="960">
        <f t="array" ref="AC2325">HLOOKUP($J2325,'Type Chart'!$C$2:$T$20,10,false)*HLOOKUP($K2325,'Type Chart'!$C$2:$U$20,10,false)</f>
        <v>0.5</v>
      </c>
      <c r="AD2325" s="960">
        <f t="array" ref="AD2325">HLOOKUP($J2325,'Type Chart'!$C$2:$T$20,11,false)*HLOOKUP($K2325,'Type Chart'!$C$2:$U$20,11,false)</f>
        <v>0.5</v>
      </c>
      <c r="AE2325" s="960">
        <f t="array" ref="AE2325">HLOOKUP($J2325,'Type Chart'!$C$2:$T$20,12,false)*HLOOKUP($K2325,'Type Chart'!$C$2:$U$20,12,false)</f>
        <v>0.5</v>
      </c>
      <c r="AF2325" s="960">
        <f t="array" ref="AF2325">HLOOKUP($J2325,'Type Chart'!$C$2:$T$20,13,false)*HLOOKUP($K2325,'Type Chart'!$C$2:$U$20,13,false)</f>
        <v>1</v>
      </c>
      <c r="AG2325" s="960">
        <f t="array" ref="AG2325">HLOOKUP($J2325,'Type Chart'!$C$2:$T$20,14,false)*HLOOKUP($K2325,'Type Chart'!$C$2:$U$20,14,false)</f>
        <v>4</v>
      </c>
      <c r="AH2325" s="960">
        <f t="array" ref="AH2325">HLOOKUP($J2325,'Type Chart'!$C$2:$T$20,15,false)*HLOOKUP($K2325,'Type Chart'!$C$2:$U$20,15,false)</f>
        <v>1</v>
      </c>
      <c r="AI2325" s="960">
        <f t="array" ref="AI2325">HLOOKUP($J2325,'Type Chart'!$C$2:$T$20,16,false)*HLOOKUP($K2325,'Type Chart'!$C$2:$U$20,16,false)</f>
        <v>1</v>
      </c>
      <c r="AJ2325" s="960">
        <f t="array" ref="AJ2325">HLOOKUP($J2325,'Type Chart'!$C$2:$T$20,17,false)*HLOOKUP($K2325,'Type Chart'!$C$2:$U$20,17,false)</f>
        <v>1</v>
      </c>
      <c r="AK2325" s="960">
        <f t="array" ref="AK2325">HLOOKUP($J2325,'Type Chart'!$C$2:$T$20,18,false)*HLOOKUP($K2325,'Type Chart'!$C$2:$U$20,18,false)</f>
        <v>1</v>
      </c>
      <c r="AL2325" s="960">
        <f t="array" ref="AL2325">HLOOKUP($J2325,'Type Chart'!$C$2:$T$20,19,false)*HLOOKUP($K2325,'Type Chart'!$C$2:$U$20,19,false)</f>
        <v>1</v>
      </c>
      <c r="AM2325" s="964" t="s">
        <v>3953</v>
      </c>
      <c r="AN2325" s="965"/>
      <c r="AO2325" s="966"/>
      <c r="AP2325" s="936"/>
      <c r="AQ2325" s="1245"/>
      <c r="AR2325" s="1245"/>
      <c r="AS2325" s="936"/>
    </row>
    <row r="2326" ht="15.75" customHeight="1">
      <c r="A2326" s="1099"/>
      <c r="B2326" s="948" t="s">
        <v>3954</v>
      </c>
      <c r="C2326" s="1197" t="s">
        <v>3955</v>
      </c>
      <c r="D2326" s="1197" t="s">
        <v>3955</v>
      </c>
      <c r="E2326" s="1147" t="s">
        <v>3955</v>
      </c>
      <c r="F2326" s="940"/>
      <c r="G2326" s="953"/>
      <c r="H2326" s="969"/>
      <c r="I2326" s="998" t="s">
        <v>5422</v>
      </c>
      <c r="J2326" s="1056" t="s">
        <v>81</v>
      </c>
      <c r="K2326" s="984" t="s">
        <v>216</v>
      </c>
      <c r="L2326" s="959">
        <v>41.0</v>
      </c>
      <c r="M2326" s="960">
        <v>63.0</v>
      </c>
      <c r="N2326" s="960">
        <v>40.0</v>
      </c>
      <c r="O2326" s="960">
        <v>40.0</v>
      </c>
      <c r="P2326" s="960">
        <v>30.0</v>
      </c>
      <c r="Q2326" s="960">
        <v>66.0</v>
      </c>
      <c r="R2326" s="960">
        <v>168.0</v>
      </c>
      <c r="S2326" s="960">
        <v>231.0</v>
      </c>
      <c r="T2326" s="960">
        <v>254.0</v>
      </c>
      <c r="U2326" s="960">
        <f t="array" ref="U2326">HLOOKUP($J2326,'Type Chart'!$C$2:$T$20,2,false)*HLOOKUP($K2326,'Type Chart'!$C$2:$U$20,2,false)</f>
        <v>1</v>
      </c>
      <c r="V2326" s="960">
        <f t="array" ref="V2326">HLOOKUP($J2326,'Type Chart'!$C$2:$T$20,3,false)*HLOOKUP($K2326,'Type Chart'!$C$2:$U$20,3,false)</f>
        <v>1</v>
      </c>
      <c r="W2326" s="960">
        <f t="array" ref="W2326">HLOOKUP($J2326,'Type Chart'!$C$2:$T$20,4,false)*HLOOKUP($K2326,'Type Chart'!$C$2:$U$20,4,false)</f>
        <v>1</v>
      </c>
      <c r="X2326" s="960">
        <f t="array" ref="X2326">HLOOKUP($J2326,'Type Chart'!$C$2:$T$20,5,false)*HLOOKUP($K2326,'Type Chart'!$C$2:$U$20,5,false)</f>
        <v>1</v>
      </c>
      <c r="Y2326" s="960">
        <f t="array" ref="Y2326">HLOOKUP($J2326,'Type Chart'!$C$2:$T$20,6,false)*HLOOKUP($K2326,'Type Chart'!$C$2:$U$20,6,false)</f>
        <v>1</v>
      </c>
      <c r="Z2326" s="960">
        <f t="array" ref="Z2326">HLOOKUP($J2326,'Type Chart'!$C$2:$T$20,7,false)*HLOOKUP($K2326,'Type Chart'!$C$2:$U$20,7,false)</f>
        <v>1</v>
      </c>
      <c r="AA2326" s="960">
        <f t="array" ref="AA2326">HLOOKUP($J2326,'Type Chart'!$C$2:$T$20,8,false)*HLOOKUP($K2326,'Type Chart'!$C$2:$U$20,8,false)</f>
        <v>1</v>
      </c>
      <c r="AB2326" s="960">
        <f t="array" ref="AB2326">HLOOKUP($J2326,'Type Chart'!$C$2:$T$20,9,false)*HLOOKUP($K2326,'Type Chart'!$C$2:$U$20,9,false)</f>
        <v>1</v>
      </c>
      <c r="AC2326" s="960">
        <f t="array" ref="AC2326">HLOOKUP($J2326,'Type Chart'!$C$2:$T$20,10,false)*HLOOKUP($K2326,'Type Chart'!$C$2:$U$20,10,false)</f>
        <v>0.5</v>
      </c>
      <c r="AD2326" s="960">
        <f t="array" ref="AD2326">HLOOKUP($J2326,'Type Chart'!$C$2:$T$20,11,false)*HLOOKUP($K2326,'Type Chart'!$C$2:$U$20,11,false)</f>
        <v>0.5</v>
      </c>
      <c r="AE2326" s="960">
        <f t="array" ref="AE2326">HLOOKUP($J2326,'Type Chart'!$C$2:$T$20,12,false)*HLOOKUP($K2326,'Type Chart'!$C$2:$U$20,12,false)</f>
        <v>0.5</v>
      </c>
      <c r="AF2326" s="960">
        <f t="array" ref="AF2326">HLOOKUP($J2326,'Type Chart'!$C$2:$T$20,13,false)*HLOOKUP($K2326,'Type Chart'!$C$2:$U$20,13,false)</f>
        <v>2</v>
      </c>
      <c r="AG2326" s="960">
        <f t="array" ref="AG2326">HLOOKUP($J2326,'Type Chart'!$C$2:$T$20,14,false)*HLOOKUP($K2326,'Type Chart'!$C$2:$U$20,14,false)</f>
        <v>2</v>
      </c>
      <c r="AH2326" s="960">
        <f t="array" ref="AH2326">HLOOKUP($J2326,'Type Chart'!$C$2:$T$20,15,false)*HLOOKUP($K2326,'Type Chart'!$C$2:$U$20,15,false)</f>
        <v>1</v>
      </c>
      <c r="AI2326" s="960">
        <f t="array" ref="AI2326">HLOOKUP($J2326,'Type Chart'!$C$2:$T$20,16,false)*HLOOKUP($K2326,'Type Chart'!$C$2:$U$20,16,false)</f>
        <v>0.5</v>
      </c>
      <c r="AJ2326" s="960">
        <f t="array" ref="AJ2326">HLOOKUP($J2326,'Type Chart'!$C$2:$T$20,17,false)*HLOOKUP($K2326,'Type Chart'!$C$2:$U$20,17,false)</f>
        <v>1</v>
      </c>
      <c r="AK2326" s="960">
        <f t="array" ref="AK2326">HLOOKUP($J2326,'Type Chart'!$C$2:$T$20,18,false)*HLOOKUP($K2326,'Type Chart'!$C$2:$U$20,18,false)</f>
        <v>1</v>
      </c>
      <c r="AL2326" s="960">
        <f t="array" ref="AL2326">HLOOKUP($J2326,'Type Chart'!$C$2:$T$20,19,false)*HLOOKUP($K2326,'Type Chart'!$C$2:$U$20,19,false)</f>
        <v>1</v>
      </c>
      <c r="AM2326" s="964" t="s">
        <v>1259</v>
      </c>
      <c r="AN2326" s="965"/>
      <c r="AO2326" s="966" t="s">
        <v>3957</v>
      </c>
      <c r="AP2326" s="936"/>
      <c r="AQ2326" s="1245"/>
      <c r="AR2326" s="1245"/>
      <c r="AS2326" s="936"/>
    </row>
    <row r="2327" ht="15.75" customHeight="1">
      <c r="A2327" s="1099"/>
      <c r="B2327" s="948" t="s">
        <v>3958</v>
      </c>
      <c r="C2327" s="1197" t="s">
        <v>3959</v>
      </c>
      <c r="D2327" s="1197" t="s">
        <v>3959</v>
      </c>
      <c r="E2327" s="1147" t="s">
        <v>3959</v>
      </c>
      <c r="F2327" s="940"/>
      <c r="G2327" s="953"/>
      <c r="H2327" s="969"/>
      <c r="I2327" s="998" t="s">
        <v>5423</v>
      </c>
      <c r="J2327" s="1056" t="s">
        <v>81</v>
      </c>
      <c r="K2327" s="984" t="s">
        <v>216</v>
      </c>
      <c r="L2327" s="959">
        <v>61.0</v>
      </c>
      <c r="M2327" s="960">
        <v>123.0</v>
      </c>
      <c r="N2327" s="960">
        <v>60.0</v>
      </c>
      <c r="O2327" s="960">
        <v>60.0</v>
      </c>
      <c r="P2327" s="960">
        <v>50.0</v>
      </c>
      <c r="Q2327" s="960">
        <v>136.0</v>
      </c>
      <c r="R2327" s="960">
        <v>308.0</v>
      </c>
      <c r="S2327" s="960">
        <v>371.0</v>
      </c>
      <c r="T2327" s="960">
        <v>408.0</v>
      </c>
      <c r="U2327" s="960">
        <f t="array" ref="U2327">HLOOKUP($J2327,'Type Chart'!$C$2:$T$20,2,false)*HLOOKUP($K2327,'Type Chart'!$C$2:$U$20,2,false)</f>
        <v>1</v>
      </c>
      <c r="V2327" s="960">
        <f t="array" ref="V2327">HLOOKUP($J2327,'Type Chart'!$C$2:$T$20,3,false)*HLOOKUP($K2327,'Type Chart'!$C$2:$U$20,3,false)</f>
        <v>1</v>
      </c>
      <c r="W2327" s="960">
        <f t="array" ref="W2327">HLOOKUP($J2327,'Type Chart'!$C$2:$T$20,4,false)*HLOOKUP($K2327,'Type Chart'!$C$2:$U$20,4,false)</f>
        <v>1</v>
      </c>
      <c r="X2327" s="960">
        <f t="array" ref="X2327">HLOOKUP($J2327,'Type Chart'!$C$2:$T$20,5,false)*HLOOKUP($K2327,'Type Chart'!$C$2:$U$20,5,false)</f>
        <v>1</v>
      </c>
      <c r="Y2327" s="960">
        <f t="array" ref="Y2327">HLOOKUP($J2327,'Type Chart'!$C$2:$T$20,6,false)*HLOOKUP($K2327,'Type Chart'!$C$2:$U$20,6,false)</f>
        <v>1</v>
      </c>
      <c r="Z2327" s="960">
        <f t="array" ref="Z2327">HLOOKUP($J2327,'Type Chart'!$C$2:$T$20,7,false)*HLOOKUP($K2327,'Type Chart'!$C$2:$U$20,7,false)</f>
        <v>1</v>
      </c>
      <c r="AA2327" s="960">
        <f t="array" ref="AA2327">HLOOKUP($J2327,'Type Chart'!$C$2:$T$20,8,false)*HLOOKUP($K2327,'Type Chart'!$C$2:$U$20,8,false)</f>
        <v>1</v>
      </c>
      <c r="AB2327" s="960">
        <f t="array" ref="AB2327">HLOOKUP($J2327,'Type Chart'!$C$2:$T$20,9,false)*HLOOKUP($K2327,'Type Chart'!$C$2:$U$20,9,false)</f>
        <v>1</v>
      </c>
      <c r="AC2327" s="960">
        <f t="array" ref="AC2327">HLOOKUP($J2327,'Type Chart'!$C$2:$T$20,10,false)*HLOOKUP($K2327,'Type Chart'!$C$2:$U$20,10,false)</f>
        <v>0.5</v>
      </c>
      <c r="AD2327" s="960">
        <f t="array" ref="AD2327">HLOOKUP($J2327,'Type Chart'!$C$2:$T$20,11,false)*HLOOKUP($K2327,'Type Chart'!$C$2:$U$20,11,false)</f>
        <v>0.5</v>
      </c>
      <c r="AE2327" s="960">
        <f t="array" ref="AE2327">HLOOKUP($J2327,'Type Chart'!$C$2:$T$20,12,false)*HLOOKUP($K2327,'Type Chart'!$C$2:$U$20,12,false)</f>
        <v>0.5</v>
      </c>
      <c r="AF2327" s="960">
        <f t="array" ref="AF2327">HLOOKUP($J2327,'Type Chart'!$C$2:$T$20,13,false)*HLOOKUP($K2327,'Type Chart'!$C$2:$U$20,13,false)</f>
        <v>2</v>
      </c>
      <c r="AG2327" s="960">
        <f t="array" ref="AG2327">HLOOKUP($J2327,'Type Chart'!$C$2:$T$20,14,false)*HLOOKUP($K2327,'Type Chart'!$C$2:$U$20,14,false)</f>
        <v>2</v>
      </c>
      <c r="AH2327" s="960">
        <f t="array" ref="AH2327">HLOOKUP($J2327,'Type Chart'!$C$2:$T$20,15,false)*HLOOKUP($K2327,'Type Chart'!$C$2:$U$20,15,false)</f>
        <v>1</v>
      </c>
      <c r="AI2327" s="960">
        <f t="array" ref="AI2327">HLOOKUP($J2327,'Type Chart'!$C$2:$T$20,16,false)*HLOOKUP($K2327,'Type Chart'!$C$2:$U$20,16,false)</f>
        <v>0.5</v>
      </c>
      <c r="AJ2327" s="960">
        <f t="array" ref="AJ2327">HLOOKUP($J2327,'Type Chart'!$C$2:$T$20,17,false)*HLOOKUP($K2327,'Type Chart'!$C$2:$U$20,17,false)</f>
        <v>1</v>
      </c>
      <c r="AK2327" s="960">
        <f t="array" ref="AK2327">HLOOKUP($J2327,'Type Chart'!$C$2:$T$20,18,false)*HLOOKUP($K2327,'Type Chart'!$C$2:$U$20,18,false)</f>
        <v>1</v>
      </c>
      <c r="AL2327" s="960">
        <f t="array" ref="AL2327">HLOOKUP($J2327,'Type Chart'!$C$2:$T$20,19,false)*HLOOKUP($K2327,'Type Chart'!$C$2:$U$20,19,false)</f>
        <v>1</v>
      </c>
      <c r="AM2327" s="964" t="s">
        <v>1259</v>
      </c>
      <c r="AN2327" s="965"/>
      <c r="AO2327" s="966" t="s">
        <v>3957</v>
      </c>
      <c r="AP2327" s="936"/>
      <c r="AQ2327" s="1245"/>
      <c r="AR2327" s="1245"/>
      <c r="AS2327" s="936"/>
    </row>
    <row r="2328" ht="15.75" customHeight="1">
      <c r="A2328" s="1099"/>
      <c r="B2328" s="948" t="s">
        <v>3960</v>
      </c>
      <c r="C2328" s="1197" t="s">
        <v>3961</v>
      </c>
      <c r="D2328" s="1197" t="s">
        <v>3961</v>
      </c>
      <c r="E2328" s="1147" t="s">
        <v>3961</v>
      </c>
      <c r="F2328" s="940"/>
      <c r="G2328" s="953"/>
      <c r="H2328" s="969"/>
      <c r="I2328" s="998" t="s">
        <v>5424</v>
      </c>
      <c r="J2328" s="1196" t="s">
        <v>203</v>
      </c>
      <c r="K2328" s="958" t="s">
        <v>178</v>
      </c>
      <c r="L2328" s="959">
        <v>40.0</v>
      </c>
      <c r="M2328" s="960">
        <v>38.0</v>
      </c>
      <c r="N2328" s="960">
        <v>35.0</v>
      </c>
      <c r="O2328" s="960">
        <v>54.0</v>
      </c>
      <c r="P2328" s="960">
        <v>35.0</v>
      </c>
      <c r="Q2328" s="960">
        <v>40.0</v>
      </c>
      <c r="R2328" s="960">
        <v>116.0</v>
      </c>
      <c r="S2328" s="960">
        <v>179.0</v>
      </c>
      <c r="T2328" s="960">
        <v>196.0</v>
      </c>
      <c r="U2328" s="960">
        <f t="array" ref="U2328">HLOOKUP($J2328,'Type Chart'!$C$2:$T$20,2,false)*HLOOKUP($K2328,'Type Chart'!$C$2:$U$20,2,false)</f>
        <v>1</v>
      </c>
      <c r="V2328" s="960">
        <f t="array" ref="V2328">HLOOKUP($J2328,'Type Chart'!$C$2:$T$20,3,false)*HLOOKUP($K2328,'Type Chart'!$C$2:$U$20,3,false)</f>
        <v>0.5</v>
      </c>
      <c r="W2328" s="960">
        <f t="array" ref="W2328">HLOOKUP($J2328,'Type Chart'!$C$2:$T$20,4,false)*HLOOKUP($K2328,'Type Chart'!$C$2:$U$20,4,false)</f>
        <v>0.5</v>
      </c>
      <c r="X2328" s="960">
        <f t="array" ref="X2328">HLOOKUP($J2328,'Type Chart'!$C$2:$T$20,5,false)*HLOOKUP($K2328,'Type Chart'!$C$2:$U$20,5,false)</f>
        <v>0.5</v>
      </c>
      <c r="Y2328" s="960">
        <f t="array" ref="Y2328">HLOOKUP($J2328,'Type Chart'!$C$2:$T$20,6,false)*HLOOKUP($K2328,'Type Chart'!$C$2:$U$20,6,false)</f>
        <v>4</v>
      </c>
      <c r="Z2328" s="960">
        <f t="array" ref="Z2328">HLOOKUP($J2328,'Type Chart'!$C$2:$T$20,7,false)*HLOOKUP($K2328,'Type Chart'!$C$2:$U$20,7,false)</f>
        <v>1</v>
      </c>
      <c r="AA2328" s="960">
        <f t="array" ref="AA2328">HLOOKUP($J2328,'Type Chart'!$C$2:$T$20,8,false)*HLOOKUP($K2328,'Type Chart'!$C$2:$U$20,8,false)</f>
        <v>0.5</v>
      </c>
      <c r="AB2328" s="960">
        <f t="array" ref="AB2328">HLOOKUP($J2328,'Type Chart'!$C$2:$T$20,9,false)*HLOOKUP($K2328,'Type Chart'!$C$2:$U$20,9,false)</f>
        <v>1</v>
      </c>
      <c r="AC2328" s="960">
        <f t="array" ref="AC2328">HLOOKUP($J2328,'Type Chart'!$C$2:$T$20,10,false)*HLOOKUP($K2328,'Type Chart'!$C$2:$U$20,10,false)</f>
        <v>0.5</v>
      </c>
      <c r="AD2328" s="960">
        <f t="array" ref="AD2328">HLOOKUP($J2328,'Type Chart'!$C$2:$T$20,11,false)*HLOOKUP($K2328,'Type Chart'!$C$2:$U$20,11,false)</f>
        <v>1</v>
      </c>
      <c r="AE2328" s="960">
        <f t="array" ref="AE2328">HLOOKUP($J2328,'Type Chart'!$C$2:$T$20,12,false)*HLOOKUP($K2328,'Type Chart'!$C$2:$U$20,12,false)</f>
        <v>1</v>
      </c>
      <c r="AF2328" s="960">
        <f t="array" ref="AF2328">HLOOKUP($J2328,'Type Chart'!$C$2:$T$20,13,false)*HLOOKUP($K2328,'Type Chart'!$C$2:$U$20,13,false)</f>
        <v>0.5</v>
      </c>
      <c r="AG2328" s="960">
        <f t="array" ref="AG2328">HLOOKUP($J2328,'Type Chart'!$C$2:$T$20,14,false)*HLOOKUP($K2328,'Type Chart'!$C$2:$U$20,14,false)</f>
        <v>0.5</v>
      </c>
      <c r="AH2328" s="960">
        <f t="array" ref="AH2328">HLOOKUP($J2328,'Type Chart'!$C$2:$T$20,15,false)*HLOOKUP($K2328,'Type Chart'!$C$2:$U$20,15,false)</f>
        <v>2</v>
      </c>
      <c r="AI2328" s="960">
        <f t="array" ref="AI2328">HLOOKUP($J2328,'Type Chart'!$C$2:$T$20,16,false)*HLOOKUP($K2328,'Type Chart'!$C$2:$U$20,16,false)</f>
        <v>1</v>
      </c>
      <c r="AJ2328" s="960">
        <f t="array" ref="AJ2328">HLOOKUP($J2328,'Type Chart'!$C$2:$T$20,17,false)*HLOOKUP($K2328,'Type Chart'!$C$2:$U$20,17,false)</f>
        <v>1</v>
      </c>
      <c r="AK2328" s="960">
        <f t="array" ref="AK2328">HLOOKUP($J2328,'Type Chart'!$C$2:$T$20,18,false)*HLOOKUP($K2328,'Type Chart'!$C$2:$U$20,18,false)</f>
        <v>1</v>
      </c>
      <c r="AL2328" s="960">
        <f t="array" ref="AL2328">HLOOKUP($J2328,'Type Chart'!$C$2:$T$20,19,false)*HLOOKUP($K2328,'Type Chart'!$C$2:$U$20,19,false)</f>
        <v>0.5</v>
      </c>
      <c r="AM2328" s="964" t="s">
        <v>1243</v>
      </c>
      <c r="AN2328" s="964" t="s">
        <v>1067</v>
      </c>
      <c r="AO2328" s="966" t="s">
        <v>2552</v>
      </c>
      <c r="AP2328" s="936"/>
      <c r="AQ2328" s="1245"/>
      <c r="AR2328" s="1245"/>
      <c r="AS2328" s="936"/>
    </row>
    <row r="2329" ht="15.75" customHeight="1">
      <c r="A2329" s="1099"/>
      <c r="B2329" s="948" t="s">
        <v>3963</v>
      </c>
      <c r="C2329" s="1197" t="s">
        <v>3964</v>
      </c>
      <c r="D2329" s="1197" t="s">
        <v>3964</v>
      </c>
      <c r="E2329" s="1147" t="s">
        <v>3965</v>
      </c>
      <c r="F2329" s="940"/>
      <c r="G2329" s="953"/>
      <c r="H2329" s="969"/>
      <c r="I2329" s="998" t="s">
        <v>5425</v>
      </c>
      <c r="J2329" s="1196" t="s">
        <v>203</v>
      </c>
      <c r="K2329" s="958" t="s">
        <v>178</v>
      </c>
      <c r="L2329" s="959">
        <v>75.0</v>
      </c>
      <c r="M2329" s="960">
        <v>98.0</v>
      </c>
      <c r="N2329" s="960">
        <v>70.0</v>
      </c>
      <c r="O2329" s="960">
        <v>114.0</v>
      </c>
      <c r="P2329" s="960">
        <v>70.0</v>
      </c>
      <c r="Q2329" s="960">
        <v>75.0</v>
      </c>
      <c r="R2329" s="960">
        <v>186.0</v>
      </c>
      <c r="S2329" s="960">
        <v>249.0</v>
      </c>
      <c r="T2329" s="960">
        <v>273.0</v>
      </c>
      <c r="U2329" s="960">
        <f t="array" ref="U2329">HLOOKUP($J2329,'Type Chart'!$C$2:$T$20,2,false)*HLOOKUP($K2329,'Type Chart'!$C$2:$U$20,2,false)</f>
        <v>1</v>
      </c>
      <c r="V2329" s="960">
        <f t="array" ref="V2329">HLOOKUP($J2329,'Type Chart'!$C$2:$T$20,3,false)*HLOOKUP($K2329,'Type Chart'!$C$2:$U$20,3,false)</f>
        <v>0.5</v>
      </c>
      <c r="W2329" s="960">
        <f t="array" ref="W2329">HLOOKUP($J2329,'Type Chart'!$C$2:$T$20,4,false)*HLOOKUP($K2329,'Type Chart'!$C$2:$U$20,4,false)</f>
        <v>0.5</v>
      </c>
      <c r="X2329" s="960">
        <f t="array" ref="X2329">HLOOKUP($J2329,'Type Chart'!$C$2:$T$20,5,false)*HLOOKUP($K2329,'Type Chart'!$C$2:$U$20,5,false)</f>
        <v>0.5</v>
      </c>
      <c r="Y2329" s="960">
        <f t="array" ref="Y2329">HLOOKUP($J2329,'Type Chart'!$C$2:$T$20,6,false)*HLOOKUP($K2329,'Type Chart'!$C$2:$U$20,6,false)</f>
        <v>4</v>
      </c>
      <c r="Z2329" s="960">
        <f t="array" ref="Z2329">HLOOKUP($J2329,'Type Chart'!$C$2:$T$20,7,false)*HLOOKUP($K2329,'Type Chart'!$C$2:$U$20,7,false)</f>
        <v>1</v>
      </c>
      <c r="AA2329" s="960">
        <f t="array" ref="AA2329">HLOOKUP($J2329,'Type Chart'!$C$2:$T$20,8,false)*HLOOKUP($K2329,'Type Chart'!$C$2:$U$20,8,false)</f>
        <v>0.5</v>
      </c>
      <c r="AB2329" s="960">
        <f t="array" ref="AB2329">HLOOKUP($J2329,'Type Chart'!$C$2:$T$20,9,false)*HLOOKUP($K2329,'Type Chart'!$C$2:$U$20,9,false)</f>
        <v>1</v>
      </c>
      <c r="AC2329" s="960">
        <f t="array" ref="AC2329">HLOOKUP($J2329,'Type Chart'!$C$2:$T$20,10,false)*HLOOKUP($K2329,'Type Chart'!$C$2:$U$20,10,false)</f>
        <v>0.5</v>
      </c>
      <c r="AD2329" s="960">
        <f t="array" ref="AD2329">HLOOKUP($J2329,'Type Chart'!$C$2:$T$20,11,false)*HLOOKUP($K2329,'Type Chart'!$C$2:$U$20,11,false)</f>
        <v>1</v>
      </c>
      <c r="AE2329" s="960">
        <f t="array" ref="AE2329">HLOOKUP($J2329,'Type Chart'!$C$2:$T$20,12,false)*HLOOKUP($K2329,'Type Chart'!$C$2:$U$20,12,false)</f>
        <v>1</v>
      </c>
      <c r="AF2329" s="960">
        <f t="array" ref="AF2329">HLOOKUP($J2329,'Type Chart'!$C$2:$T$20,13,false)*HLOOKUP($K2329,'Type Chart'!$C$2:$U$20,13,false)</f>
        <v>0.5</v>
      </c>
      <c r="AG2329" s="960">
        <f t="array" ref="AG2329">HLOOKUP($J2329,'Type Chart'!$C$2:$T$20,14,false)*HLOOKUP($K2329,'Type Chart'!$C$2:$U$20,14,false)</f>
        <v>0.5</v>
      </c>
      <c r="AH2329" s="960">
        <f t="array" ref="AH2329">HLOOKUP($J2329,'Type Chart'!$C$2:$T$20,15,false)*HLOOKUP($K2329,'Type Chart'!$C$2:$U$20,15,false)</f>
        <v>2</v>
      </c>
      <c r="AI2329" s="960">
        <f t="array" ref="AI2329">HLOOKUP($J2329,'Type Chart'!$C$2:$T$20,16,false)*HLOOKUP($K2329,'Type Chart'!$C$2:$U$20,16,false)</f>
        <v>1</v>
      </c>
      <c r="AJ2329" s="960">
        <f t="array" ref="AJ2329">HLOOKUP($J2329,'Type Chart'!$C$2:$T$20,17,false)*HLOOKUP($K2329,'Type Chart'!$C$2:$U$20,17,false)</f>
        <v>1</v>
      </c>
      <c r="AK2329" s="960">
        <f t="array" ref="AK2329">HLOOKUP($J2329,'Type Chart'!$C$2:$T$20,18,false)*HLOOKUP($K2329,'Type Chart'!$C$2:$U$20,18,false)</f>
        <v>1</v>
      </c>
      <c r="AL2329" s="960">
        <f t="array" ref="AL2329">HLOOKUP($J2329,'Type Chart'!$C$2:$T$20,19,false)*HLOOKUP($K2329,'Type Chart'!$C$2:$U$20,19,false)</f>
        <v>0.5</v>
      </c>
      <c r="AM2329" s="964" t="s">
        <v>3966</v>
      </c>
      <c r="AN2329" s="964" t="s">
        <v>1759</v>
      </c>
      <c r="AO2329" s="966" t="s">
        <v>1239</v>
      </c>
      <c r="AP2329" s="936"/>
      <c r="AQ2329" s="1245"/>
      <c r="AR2329" s="1245"/>
      <c r="AS2329" s="936"/>
    </row>
    <row r="2330" ht="15.75" customHeight="1">
      <c r="A2330" s="1099"/>
      <c r="B2330" s="948" t="s">
        <v>3967</v>
      </c>
      <c r="C2330" s="1197" t="s">
        <v>3968</v>
      </c>
      <c r="D2330" s="1197" t="s">
        <v>3968</v>
      </c>
      <c r="E2330" s="1147" t="s">
        <v>3969</v>
      </c>
      <c r="F2330" s="940"/>
      <c r="G2330" s="953"/>
      <c r="H2330" s="969"/>
      <c r="I2330" s="998" t="s">
        <v>5426</v>
      </c>
      <c r="J2330" s="1196" t="s">
        <v>203</v>
      </c>
      <c r="K2330" s="958" t="s">
        <v>178</v>
      </c>
      <c r="L2330" s="959">
        <v>75.0</v>
      </c>
      <c r="M2330" s="960">
        <v>98.0</v>
      </c>
      <c r="N2330" s="960">
        <v>70.0</v>
      </c>
      <c r="O2330" s="960">
        <v>114.0</v>
      </c>
      <c r="P2330" s="960">
        <v>70.0</v>
      </c>
      <c r="Q2330" s="960">
        <v>75.0</v>
      </c>
      <c r="R2330" s="960">
        <v>186.0</v>
      </c>
      <c r="S2330" s="960">
        <v>249.0</v>
      </c>
      <c r="T2330" s="960">
        <v>273.0</v>
      </c>
      <c r="U2330" s="960">
        <f t="array" ref="U2330">HLOOKUP($J2330,'Type Chart'!$C$2:$T$20,2,false)*HLOOKUP($K2330,'Type Chart'!$C$2:$U$20,2,false)</f>
        <v>1</v>
      </c>
      <c r="V2330" s="960">
        <f t="array" ref="V2330">HLOOKUP($J2330,'Type Chart'!$C$2:$T$20,3,false)*HLOOKUP($K2330,'Type Chart'!$C$2:$U$20,3,false)</f>
        <v>0.5</v>
      </c>
      <c r="W2330" s="960">
        <f t="array" ref="W2330">HLOOKUP($J2330,'Type Chart'!$C$2:$T$20,4,false)*HLOOKUP($K2330,'Type Chart'!$C$2:$U$20,4,false)</f>
        <v>0.5</v>
      </c>
      <c r="X2330" s="960">
        <f t="array" ref="X2330">HLOOKUP($J2330,'Type Chart'!$C$2:$T$20,5,false)*HLOOKUP($K2330,'Type Chart'!$C$2:$U$20,5,false)</f>
        <v>0.5</v>
      </c>
      <c r="Y2330" s="960">
        <f t="array" ref="Y2330">HLOOKUP($J2330,'Type Chart'!$C$2:$T$20,6,false)*HLOOKUP($K2330,'Type Chart'!$C$2:$U$20,6,false)</f>
        <v>4</v>
      </c>
      <c r="Z2330" s="960">
        <f t="array" ref="Z2330">HLOOKUP($J2330,'Type Chart'!$C$2:$T$20,7,false)*HLOOKUP($K2330,'Type Chart'!$C$2:$U$20,7,false)</f>
        <v>1</v>
      </c>
      <c r="AA2330" s="960">
        <f t="array" ref="AA2330">HLOOKUP($J2330,'Type Chart'!$C$2:$T$20,8,false)*HLOOKUP($K2330,'Type Chart'!$C$2:$U$20,8,false)</f>
        <v>0.5</v>
      </c>
      <c r="AB2330" s="960">
        <f t="array" ref="AB2330">HLOOKUP($J2330,'Type Chart'!$C$2:$T$20,9,false)*HLOOKUP($K2330,'Type Chart'!$C$2:$U$20,9,false)</f>
        <v>1</v>
      </c>
      <c r="AC2330" s="960">
        <f t="array" ref="AC2330">HLOOKUP($J2330,'Type Chart'!$C$2:$T$20,10,false)*HLOOKUP($K2330,'Type Chart'!$C$2:$U$20,10,false)</f>
        <v>0.5</v>
      </c>
      <c r="AD2330" s="960">
        <f t="array" ref="AD2330">HLOOKUP($J2330,'Type Chart'!$C$2:$T$20,11,false)*HLOOKUP($K2330,'Type Chart'!$C$2:$U$20,11,false)</f>
        <v>1</v>
      </c>
      <c r="AE2330" s="960">
        <f t="array" ref="AE2330">HLOOKUP($J2330,'Type Chart'!$C$2:$T$20,12,false)*HLOOKUP($K2330,'Type Chart'!$C$2:$U$20,12,false)</f>
        <v>1</v>
      </c>
      <c r="AF2330" s="960">
        <f t="array" ref="AF2330">HLOOKUP($J2330,'Type Chart'!$C$2:$T$20,13,false)*HLOOKUP($K2330,'Type Chart'!$C$2:$U$20,13,false)</f>
        <v>0.5</v>
      </c>
      <c r="AG2330" s="960">
        <f t="array" ref="AG2330">HLOOKUP($J2330,'Type Chart'!$C$2:$T$20,14,false)*HLOOKUP($K2330,'Type Chart'!$C$2:$U$20,14,false)</f>
        <v>0.5</v>
      </c>
      <c r="AH2330" s="960">
        <f t="array" ref="AH2330">HLOOKUP($J2330,'Type Chart'!$C$2:$T$20,15,false)*HLOOKUP($K2330,'Type Chart'!$C$2:$U$20,15,false)</f>
        <v>2</v>
      </c>
      <c r="AI2330" s="960">
        <f t="array" ref="AI2330">HLOOKUP($J2330,'Type Chart'!$C$2:$T$20,16,false)*HLOOKUP($K2330,'Type Chart'!$C$2:$U$20,16,false)</f>
        <v>1</v>
      </c>
      <c r="AJ2330" s="960">
        <f t="array" ref="AJ2330">HLOOKUP($J2330,'Type Chart'!$C$2:$T$20,17,false)*HLOOKUP($K2330,'Type Chart'!$C$2:$U$20,17,false)</f>
        <v>1</v>
      </c>
      <c r="AK2330" s="960">
        <f t="array" ref="AK2330">HLOOKUP($J2330,'Type Chart'!$C$2:$T$20,18,false)*HLOOKUP($K2330,'Type Chart'!$C$2:$U$20,18,false)</f>
        <v>1</v>
      </c>
      <c r="AL2330" s="960">
        <f t="array" ref="AL2330">HLOOKUP($J2330,'Type Chart'!$C$2:$T$20,19,false)*HLOOKUP($K2330,'Type Chart'!$C$2:$U$20,19,false)</f>
        <v>0.5</v>
      </c>
      <c r="AM2330" s="964" t="s">
        <v>3966</v>
      </c>
      <c r="AN2330" s="964" t="s">
        <v>2172</v>
      </c>
      <c r="AO2330" s="966" t="s">
        <v>1239</v>
      </c>
      <c r="AP2330" s="936"/>
      <c r="AQ2330" s="1245"/>
      <c r="AR2330" s="1245"/>
      <c r="AS2330" s="936"/>
    </row>
    <row r="2331" ht="15.75" customHeight="1">
      <c r="A2331" s="1099"/>
      <c r="B2331" s="948" t="s">
        <v>3971</v>
      </c>
      <c r="C2331" s="1197" t="s">
        <v>3972</v>
      </c>
      <c r="D2331" s="1197" t="s">
        <v>3972</v>
      </c>
      <c r="E2331" s="1147" t="s">
        <v>3972</v>
      </c>
      <c r="F2331" s="940"/>
      <c r="G2331" s="953"/>
      <c r="H2331" s="969"/>
      <c r="I2331" s="998" t="s">
        <v>5427</v>
      </c>
      <c r="J2331" s="982" t="s">
        <v>150</v>
      </c>
      <c r="K2331" s="1180" t="s">
        <v>343</v>
      </c>
      <c r="L2331" s="959">
        <v>50.0</v>
      </c>
      <c r="M2331" s="960">
        <v>65.0</v>
      </c>
      <c r="N2331" s="960">
        <v>45.0</v>
      </c>
      <c r="O2331" s="960">
        <v>50.0</v>
      </c>
      <c r="P2331" s="960">
        <v>50.0</v>
      </c>
      <c r="Q2331" s="960">
        <v>45.0</v>
      </c>
      <c r="R2331" s="960">
        <v>126.0</v>
      </c>
      <c r="S2331" s="960">
        <v>189.0</v>
      </c>
      <c r="T2331" s="960">
        <v>207.0</v>
      </c>
      <c r="U2331" s="960">
        <f t="array" ref="U2331">HLOOKUP($J2331,'Type Chart'!$C$2:$T$20,2,false)*HLOOKUP($K2331,'Type Chart'!$C$2:$U$20,2,false)</f>
        <v>1</v>
      </c>
      <c r="V2331" s="960">
        <f t="array" ref="V2331">HLOOKUP($J2331,'Type Chart'!$C$2:$T$20,3,false)*HLOOKUP($K2331,'Type Chart'!$C$2:$U$20,3,false)</f>
        <v>0.5</v>
      </c>
      <c r="W2331" s="960">
        <f t="array" ref="W2331">HLOOKUP($J2331,'Type Chart'!$C$2:$T$20,4,false)*HLOOKUP($K2331,'Type Chart'!$C$2:$U$20,4,false)</f>
        <v>2</v>
      </c>
      <c r="X2331" s="960">
        <f t="array" ref="X2331">HLOOKUP($J2331,'Type Chart'!$C$2:$T$20,5,false)*HLOOKUP($K2331,'Type Chart'!$C$2:$U$20,5,false)</f>
        <v>1</v>
      </c>
      <c r="Y2331" s="960">
        <f t="array" ref="Y2331">HLOOKUP($J2331,'Type Chart'!$C$2:$T$20,6,false)*HLOOKUP($K2331,'Type Chart'!$C$2:$U$20,6,false)</f>
        <v>1</v>
      </c>
      <c r="Z2331" s="960">
        <f t="array" ref="Z2331">HLOOKUP($J2331,'Type Chart'!$C$2:$T$20,7,false)*HLOOKUP($K2331,'Type Chart'!$C$2:$U$20,7,false)</f>
        <v>4</v>
      </c>
      <c r="AA2331" s="960">
        <f t="array" ref="AA2331">HLOOKUP($J2331,'Type Chart'!$C$2:$T$20,8,false)*HLOOKUP($K2331,'Type Chart'!$C$2:$U$20,8,false)</f>
        <v>0.5</v>
      </c>
      <c r="AB2331" s="960">
        <f t="array" ref="AB2331">HLOOKUP($J2331,'Type Chart'!$C$2:$T$20,9,false)*HLOOKUP($K2331,'Type Chart'!$C$2:$U$20,9,false)</f>
        <v>1</v>
      </c>
      <c r="AC2331" s="960">
        <f t="array" ref="AC2331">HLOOKUP($J2331,'Type Chart'!$C$2:$T$20,10,false)*HLOOKUP($K2331,'Type Chart'!$C$2:$U$20,10,false)</f>
        <v>0.5</v>
      </c>
      <c r="AD2331" s="960">
        <f t="array" ref="AD2331">HLOOKUP($J2331,'Type Chart'!$C$2:$T$20,11,false)*HLOOKUP($K2331,'Type Chart'!$C$2:$U$20,11,false)</f>
        <v>1</v>
      </c>
      <c r="AE2331" s="960">
        <f t="array" ref="AE2331">HLOOKUP($J2331,'Type Chart'!$C$2:$T$20,12,false)*HLOOKUP($K2331,'Type Chart'!$C$2:$U$20,12,false)</f>
        <v>2</v>
      </c>
      <c r="AF2331" s="960">
        <f t="array" ref="AF2331">HLOOKUP($J2331,'Type Chart'!$C$2:$T$20,13,false)*HLOOKUP($K2331,'Type Chart'!$C$2:$U$20,13,false)</f>
        <v>0.25</v>
      </c>
      <c r="AG2331" s="960">
        <f t="array" ref="AG2331">HLOOKUP($J2331,'Type Chart'!$C$2:$T$20,14,false)*HLOOKUP($K2331,'Type Chart'!$C$2:$U$20,14,false)</f>
        <v>1</v>
      </c>
      <c r="AH2331" s="960">
        <f t="array" ref="AH2331">HLOOKUP($J2331,'Type Chart'!$C$2:$T$20,15,false)*HLOOKUP($K2331,'Type Chart'!$C$2:$U$20,15,false)</f>
        <v>1</v>
      </c>
      <c r="AI2331" s="960">
        <f t="array" ref="AI2331">HLOOKUP($J2331,'Type Chart'!$C$2:$T$20,16,false)*HLOOKUP($K2331,'Type Chart'!$C$2:$U$20,16,false)</f>
        <v>0.5</v>
      </c>
      <c r="AJ2331" s="960">
        <f t="array" ref="AJ2331">HLOOKUP($J2331,'Type Chart'!$C$2:$T$20,17,false)*HLOOKUP($K2331,'Type Chart'!$C$2:$U$20,17,false)</f>
        <v>1</v>
      </c>
      <c r="AK2331" s="960">
        <f t="array" ref="AK2331">HLOOKUP($J2331,'Type Chart'!$C$2:$T$20,18,false)*HLOOKUP($K2331,'Type Chart'!$C$2:$U$20,18,false)</f>
        <v>1</v>
      </c>
      <c r="AL2331" s="960">
        <f t="array" ref="AL2331">HLOOKUP($J2331,'Type Chart'!$C$2:$T$20,19,false)*HLOOKUP($K2331,'Type Chart'!$C$2:$U$20,19,false)</f>
        <v>0.5</v>
      </c>
      <c r="AM2331" s="964" t="s">
        <v>1172</v>
      </c>
      <c r="AN2331" s="964" t="s">
        <v>2224</v>
      </c>
      <c r="AO2331" s="966" t="s">
        <v>1353</v>
      </c>
      <c r="AP2331" s="936"/>
      <c r="AQ2331" s="1245"/>
      <c r="AR2331" s="1245"/>
      <c r="AS2331" s="936"/>
    </row>
    <row r="2332" ht="15.75" customHeight="1">
      <c r="A2332" s="1099"/>
      <c r="B2332" s="948" t="s">
        <v>3974</v>
      </c>
      <c r="C2332" s="1197" t="s">
        <v>3975</v>
      </c>
      <c r="D2332" s="1197" t="s">
        <v>3975</v>
      </c>
      <c r="E2332" s="1147" t="s">
        <v>3975</v>
      </c>
      <c r="F2332" s="940"/>
      <c r="G2332" s="953"/>
      <c r="H2332" s="969"/>
      <c r="I2332" s="998" t="s">
        <v>5428</v>
      </c>
      <c r="J2332" s="982" t="s">
        <v>150</v>
      </c>
      <c r="K2332" s="1180" t="s">
        <v>343</v>
      </c>
      <c r="L2332" s="959">
        <v>100.0</v>
      </c>
      <c r="M2332" s="960">
        <v>115.0</v>
      </c>
      <c r="N2332" s="960">
        <v>65.0</v>
      </c>
      <c r="O2332" s="960">
        <v>90.0</v>
      </c>
      <c r="P2332" s="960">
        <v>90.0</v>
      </c>
      <c r="Q2332" s="960">
        <v>65.0</v>
      </c>
      <c r="R2332" s="960">
        <v>166.0</v>
      </c>
      <c r="S2332" s="960">
        <v>229.0</v>
      </c>
      <c r="T2332" s="960">
        <v>251.0</v>
      </c>
      <c r="U2332" s="960">
        <f t="array" ref="U2332">HLOOKUP($J2332,'Type Chart'!$C$2:$T$20,2,false)*HLOOKUP($K2332,'Type Chart'!$C$2:$U$20,2,false)</f>
        <v>1</v>
      </c>
      <c r="V2332" s="960">
        <f t="array" ref="V2332">HLOOKUP($J2332,'Type Chart'!$C$2:$T$20,3,false)*HLOOKUP($K2332,'Type Chart'!$C$2:$U$20,3,false)</f>
        <v>0.5</v>
      </c>
      <c r="W2332" s="960">
        <f t="array" ref="W2332">HLOOKUP($J2332,'Type Chart'!$C$2:$T$20,4,false)*HLOOKUP($K2332,'Type Chart'!$C$2:$U$20,4,false)</f>
        <v>2</v>
      </c>
      <c r="X2332" s="960">
        <f t="array" ref="X2332">HLOOKUP($J2332,'Type Chart'!$C$2:$T$20,5,false)*HLOOKUP($K2332,'Type Chart'!$C$2:$U$20,5,false)</f>
        <v>1</v>
      </c>
      <c r="Y2332" s="960">
        <f t="array" ref="Y2332">HLOOKUP($J2332,'Type Chart'!$C$2:$T$20,6,false)*HLOOKUP($K2332,'Type Chart'!$C$2:$U$20,6,false)</f>
        <v>1</v>
      </c>
      <c r="Z2332" s="960">
        <f t="array" ref="Z2332">HLOOKUP($J2332,'Type Chart'!$C$2:$T$20,7,false)*HLOOKUP($K2332,'Type Chart'!$C$2:$U$20,7,false)</f>
        <v>4</v>
      </c>
      <c r="AA2332" s="960">
        <f t="array" ref="AA2332">HLOOKUP($J2332,'Type Chart'!$C$2:$T$20,8,false)*HLOOKUP($K2332,'Type Chart'!$C$2:$U$20,8,false)</f>
        <v>0.5</v>
      </c>
      <c r="AB2332" s="960">
        <f t="array" ref="AB2332">HLOOKUP($J2332,'Type Chart'!$C$2:$T$20,9,false)*HLOOKUP($K2332,'Type Chart'!$C$2:$U$20,9,false)</f>
        <v>1</v>
      </c>
      <c r="AC2332" s="960">
        <f t="array" ref="AC2332">HLOOKUP($J2332,'Type Chart'!$C$2:$T$20,10,false)*HLOOKUP($K2332,'Type Chart'!$C$2:$U$20,10,false)</f>
        <v>0.5</v>
      </c>
      <c r="AD2332" s="960">
        <f t="array" ref="AD2332">HLOOKUP($J2332,'Type Chart'!$C$2:$T$20,11,false)*HLOOKUP($K2332,'Type Chart'!$C$2:$U$20,11,false)</f>
        <v>1</v>
      </c>
      <c r="AE2332" s="960">
        <f t="array" ref="AE2332">HLOOKUP($J2332,'Type Chart'!$C$2:$T$20,12,false)*HLOOKUP($K2332,'Type Chart'!$C$2:$U$20,12,false)</f>
        <v>2</v>
      </c>
      <c r="AF2332" s="960">
        <f t="array" ref="AF2332">HLOOKUP($J2332,'Type Chart'!$C$2:$T$20,13,false)*HLOOKUP($K2332,'Type Chart'!$C$2:$U$20,13,false)</f>
        <v>0.25</v>
      </c>
      <c r="AG2332" s="960">
        <f t="array" ref="AG2332">HLOOKUP($J2332,'Type Chart'!$C$2:$T$20,14,false)*HLOOKUP($K2332,'Type Chart'!$C$2:$U$20,14,false)</f>
        <v>1</v>
      </c>
      <c r="AH2332" s="960">
        <f t="array" ref="AH2332">HLOOKUP($J2332,'Type Chart'!$C$2:$T$20,15,false)*HLOOKUP($K2332,'Type Chart'!$C$2:$U$20,15,false)</f>
        <v>1</v>
      </c>
      <c r="AI2332" s="960">
        <f t="array" ref="AI2332">HLOOKUP($J2332,'Type Chart'!$C$2:$T$20,16,false)*HLOOKUP($K2332,'Type Chart'!$C$2:$U$20,16,false)</f>
        <v>0.5</v>
      </c>
      <c r="AJ2332" s="960">
        <f t="array" ref="AJ2332">HLOOKUP($J2332,'Type Chart'!$C$2:$T$20,17,false)*HLOOKUP($K2332,'Type Chart'!$C$2:$U$20,17,false)</f>
        <v>1</v>
      </c>
      <c r="AK2332" s="960">
        <f t="array" ref="AK2332">HLOOKUP($J2332,'Type Chart'!$C$2:$T$20,18,false)*HLOOKUP($K2332,'Type Chart'!$C$2:$U$20,18,false)</f>
        <v>1</v>
      </c>
      <c r="AL2332" s="960">
        <f t="array" ref="AL2332">HLOOKUP($J2332,'Type Chart'!$C$2:$T$20,19,false)*HLOOKUP($K2332,'Type Chart'!$C$2:$U$20,19,false)</f>
        <v>0.5</v>
      </c>
      <c r="AM2332" s="964" t="s">
        <v>1172</v>
      </c>
      <c r="AN2332" s="964" t="s">
        <v>2224</v>
      </c>
      <c r="AO2332" s="966" t="s">
        <v>1353</v>
      </c>
      <c r="AP2332" s="936"/>
      <c r="AQ2332" s="1245"/>
      <c r="AR2332" s="1245"/>
      <c r="AS2332" s="936"/>
    </row>
    <row r="2333" ht="15.75" customHeight="1">
      <c r="A2333" s="1099"/>
      <c r="B2333" s="948" t="s">
        <v>3977</v>
      </c>
      <c r="C2333" s="1197" t="s">
        <v>3978</v>
      </c>
      <c r="D2333" s="1197" t="s">
        <v>3978</v>
      </c>
      <c r="E2333" s="1147" t="s">
        <v>3978</v>
      </c>
      <c r="F2333" s="940"/>
      <c r="G2333" s="953"/>
      <c r="H2333" s="969"/>
      <c r="I2333" s="998" t="s">
        <v>5429</v>
      </c>
      <c r="J2333" s="1213" t="s">
        <v>341</v>
      </c>
      <c r="K2333" s="984" t="s">
        <v>216</v>
      </c>
      <c r="L2333" s="959">
        <v>50.0</v>
      </c>
      <c r="M2333" s="960">
        <v>68.0</v>
      </c>
      <c r="N2333" s="960">
        <v>60.0</v>
      </c>
      <c r="O2333" s="960">
        <v>50.0</v>
      </c>
      <c r="P2333" s="960">
        <v>50.0</v>
      </c>
      <c r="Q2333" s="960">
        <v>32.0</v>
      </c>
      <c r="R2333" s="960">
        <v>100.0</v>
      </c>
      <c r="S2333" s="960">
        <v>163.0</v>
      </c>
      <c r="T2333" s="960">
        <v>179.0</v>
      </c>
      <c r="U2333" s="960">
        <f t="array" ref="U2333">HLOOKUP($J2333,'Type Chart'!$C$2:$T$20,2,false)*HLOOKUP($K2333,'Type Chart'!$C$2:$U$20,2,false)</f>
        <v>1</v>
      </c>
      <c r="V2333" s="960">
        <f t="array" ref="V2333">HLOOKUP($J2333,'Type Chart'!$C$2:$T$20,3,false)*HLOOKUP($K2333,'Type Chart'!$C$2:$U$20,3,false)</f>
        <v>1</v>
      </c>
      <c r="W2333" s="960">
        <f t="array" ref="W2333">HLOOKUP($J2333,'Type Chart'!$C$2:$T$20,4,false)*HLOOKUP($K2333,'Type Chart'!$C$2:$U$20,4,false)</f>
        <v>2</v>
      </c>
      <c r="X2333" s="960">
        <f t="array" ref="X2333">HLOOKUP($J2333,'Type Chart'!$C$2:$T$20,5,false)*HLOOKUP($K2333,'Type Chart'!$C$2:$U$20,5,false)</f>
        <v>1</v>
      </c>
      <c r="Y2333" s="960">
        <f t="array" ref="Y2333">HLOOKUP($J2333,'Type Chart'!$C$2:$T$20,6,false)*HLOOKUP($K2333,'Type Chart'!$C$2:$U$20,6,false)</f>
        <v>1</v>
      </c>
      <c r="Z2333" s="960">
        <f t="array" ref="Z2333">HLOOKUP($J2333,'Type Chart'!$C$2:$T$20,7,false)*HLOOKUP($K2333,'Type Chart'!$C$2:$U$20,7,false)</f>
        <v>0.5</v>
      </c>
      <c r="AA2333" s="960">
        <f t="array" ref="AA2333">HLOOKUP($J2333,'Type Chart'!$C$2:$T$20,8,false)*HLOOKUP($K2333,'Type Chart'!$C$2:$U$20,8,false)</f>
        <v>0.5</v>
      </c>
      <c r="AB2333" s="960">
        <f t="array" ref="AB2333">HLOOKUP($J2333,'Type Chart'!$C$2:$T$20,9,false)*HLOOKUP($K2333,'Type Chart'!$C$2:$U$20,9,false)</f>
        <v>1</v>
      </c>
      <c r="AC2333" s="960">
        <f t="array" ref="AC2333">HLOOKUP($J2333,'Type Chart'!$C$2:$T$20,10,false)*HLOOKUP($K2333,'Type Chart'!$C$2:$U$20,10,false)</f>
        <v>1</v>
      </c>
      <c r="AD2333" s="960">
        <f t="array" ref="AD2333">HLOOKUP($J2333,'Type Chart'!$C$2:$T$20,11,false)*HLOOKUP($K2333,'Type Chart'!$C$2:$U$20,11,false)</f>
        <v>1</v>
      </c>
      <c r="AE2333" s="960">
        <f t="array" ref="AE2333">HLOOKUP($J2333,'Type Chart'!$C$2:$T$20,12,false)*HLOOKUP($K2333,'Type Chart'!$C$2:$U$20,12,false)</f>
        <v>1</v>
      </c>
      <c r="AF2333" s="960">
        <f t="array" ref="AF2333">HLOOKUP($J2333,'Type Chart'!$C$2:$T$20,13,false)*HLOOKUP($K2333,'Type Chart'!$C$2:$U$20,13,false)</f>
        <v>1</v>
      </c>
      <c r="AG2333" s="960">
        <f t="array" ref="AG2333">HLOOKUP($J2333,'Type Chart'!$C$2:$T$20,14,false)*HLOOKUP($K2333,'Type Chart'!$C$2:$U$20,14,false)</f>
        <v>1</v>
      </c>
      <c r="AH2333" s="960">
        <f t="array" ref="AH2333">HLOOKUP($J2333,'Type Chart'!$C$2:$T$20,15,false)*HLOOKUP($K2333,'Type Chart'!$C$2:$U$20,15,false)</f>
        <v>2</v>
      </c>
      <c r="AI2333" s="960">
        <f t="array" ref="AI2333">HLOOKUP($J2333,'Type Chart'!$C$2:$T$20,16,false)*HLOOKUP($K2333,'Type Chart'!$C$2:$U$20,16,false)</f>
        <v>1</v>
      </c>
      <c r="AJ2333" s="960">
        <f t="array" ref="AJ2333">HLOOKUP($J2333,'Type Chart'!$C$2:$T$20,17,false)*HLOOKUP($K2333,'Type Chart'!$C$2:$U$20,17,false)</f>
        <v>1</v>
      </c>
      <c r="AK2333" s="960">
        <f t="array" ref="AK2333">HLOOKUP($J2333,'Type Chart'!$C$2:$T$20,18,false)*HLOOKUP($K2333,'Type Chart'!$C$2:$U$20,18,false)</f>
        <v>0.5</v>
      </c>
      <c r="AL2333" s="960">
        <f t="array" ref="AL2333">HLOOKUP($J2333,'Type Chart'!$C$2:$T$20,19,false)*HLOOKUP($K2333,'Type Chart'!$C$2:$U$20,19,false)</f>
        <v>2</v>
      </c>
      <c r="AM2333" s="964" t="s">
        <v>1250</v>
      </c>
      <c r="AN2333" s="965"/>
      <c r="AO2333" s="966" t="s">
        <v>1239</v>
      </c>
      <c r="AP2333" s="936"/>
      <c r="AQ2333" s="1245"/>
      <c r="AR2333" s="1245"/>
      <c r="AS2333" s="936"/>
    </row>
    <row r="2334" ht="15.75" customHeight="1">
      <c r="A2334" s="1099"/>
      <c r="B2334" s="948" t="s">
        <v>3980</v>
      </c>
      <c r="C2334" s="1197" t="s">
        <v>3981</v>
      </c>
      <c r="D2334" s="1197" t="s">
        <v>3981</v>
      </c>
      <c r="E2334" s="1147" t="s">
        <v>3981</v>
      </c>
      <c r="F2334" s="940"/>
      <c r="G2334" s="953"/>
      <c r="H2334" s="969"/>
      <c r="I2334" s="998" t="s">
        <v>5430</v>
      </c>
      <c r="J2334" s="1213" t="s">
        <v>341</v>
      </c>
      <c r="K2334" s="984" t="s">
        <v>216</v>
      </c>
      <c r="L2334" s="959">
        <v>80.0</v>
      </c>
      <c r="M2334" s="960">
        <v>118.0</v>
      </c>
      <c r="N2334" s="960">
        <v>90.0</v>
      </c>
      <c r="O2334" s="960">
        <v>70.0</v>
      </c>
      <c r="P2334" s="960">
        <v>80.0</v>
      </c>
      <c r="Q2334" s="960">
        <v>42.0</v>
      </c>
      <c r="R2334" s="960">
        <v>120.0</v>
      </c>
      <c r="S2334" s="960">
        <v>183.0</v>
      </c>
      <c r="T2334" s="960">
        <v>201.0</v>
      </c>
      <c r="U2334" s="960">
        <f t="array" ref="U2334">HLOOKUP($J2334,'Type Chart'!$C$2:$T$20,2,false)*HLOOKUP($K2334,'Type Chart'!$C$2:$U$20,2,false)</f>
        <v>1</v>
      </c>
      <c r="V2334" s="960">
        <f t="array" ref="V2334">HLOOKUP($J2334,'Type Chart'!$C$2:$T$20,3,false)*HLOOKUP($K2334,'Type Chart'!$C$2:$U$20,3,false)</f>
        <v>1</v>
      </c>
      <c r="W2334" s="960">
        <f t="array" ref="W2334">HLOOKUP($J2334,'Type Chart'!$C$2:$T$20,4,false)*HLOOKUP($K2334,'Type Chart'!$C$2:$U$20,4,false)</f>
        <v>2</v>
      </c>
      <c r="X2334" s="960">
        <f t="array" ref="X2334">HLOOKUP($J2334,'Type Chart'!$C$2:$T$20,5,false)*HLOOKUP($K2334,'Type Chart'!$C$2:$U$20,5,false)</f>
        <v>1</v>
      </c>
      <c r="Y2334" s="960">
        <f t="array" ref="Y2334">HLOOKUP($J2334,'Type Chart'!$C$2:$T$20,6,false)*HLOOKUP($K2334,'Type Chart'!$C$2:$U$20,6,false)</f>
        <v>1</v>
      </c>
      <c r="Z2334" s="960">
        <f t="array" ref="Z2334">HLOOKUP($J2334,'Type Chart'!$C$2:$T$20,7,false)*HLOOKUP($K2334,'Type Chart'!$C$2:$U$20,7,false)</f>
        <v>0.5</v>
      </c>
      <c r="AA2334" s="960">
        <f t="array" ref="AA2334">HLOOKUP($J2334,'Type Chart'!$C$2:$T$20,8,false)*HLOOKUP($K2334,'Type Chart'!$C$2:$U$20,8,false)</f>
        <v>0.5</v>
      </c>
      <c r="AB2334" s="960">
        <f t="array" ref="AB2334">HLOOKUP($J2334,'Type Chart'!$C$2:$T$20,9,false)*HLOOKUP($K2334,'Type Chart'!$C$2:$U$20,9,false)</f>
        <v>1</v>
      </c>
      <c r="AC2334" s="960">
        <f t="array" ref="AC2334">HLOOKUP($J2334,'Type Chart'!$C$2:$T$20,10,false)*HLOOKUP($K2334,'Type Chart'!$C$2:$U$20,10,false)</f>
        <v>1</v>
      </c>
      <c r="AD2334" s="960">
        <f t="array" ref="AD2334">HLOOKUP($J2334,'Type Chart'!$C$2:$T$20,11,false)*HLOOKUP($K2334,'Type Chart'!$C$2:$U$20,11,false)</f>
        <v>1</v>
      </c>
      <c r="AE2334" s="960">
        <f t="array" ref="AE2334">HLOOKUP($J2334,'Type Chart'!$C$2:$T$20,12,false)*HLOOKUP($K2334,'Type Chart'!$C$2:$U$20,12,false)</f>
        <v>1</v>
      </c>
      <c r="AF2334" s="960">
        <f t="array" ref="AF2334">HLOOKUP($J2334,'Type Chart'!$C$2:$T$20,13,false)*HLOOKUP($K2334,'Type Chart'!$C$2:$U$20,13,false)</f>
        <v>1</v>
      </c>
      <c r="AG2334" s="960">
        <f t="array" ref="AG2334">HLOOKUP($J2334,'Type Chart'!$C$2:$T$20,14,false)*HLOOKUP($K2334,'Type Chart'!$C$2:$U$20,14,false)</f>
        <v>1</v>
      </c>
      <c r="AH2334" s="960">
        <f t="array" ref="AH2334">HLOOKUP($J2334,'Type Chart'!$C$2:$T$20,15,false)*HLOOKUP($K2334,'Type Chart'!$C$2:$U$20,15,false)</f>
        <v>2</v>
      </c>
      <c r="AI2334" s="960">
        <f t="array" ref="AI2334">HLOOKUP($J2334,'Type Chart'!$C$2:$T$20,16,false)*HLOOKUP($K2334,'Type Chart'!$C$2:$U$20,16,false)</f>
        <v>1</v>
      </c>
      <c r="AJ2334" s="960">
        <f t="array" ref="AJ2334">HLOOKUP($J2334,'Type Chart'!$C$2:$T$20,17,false)*HLOOKUP($K2334,'Type Chart'!$C$2:$U$20,17,false)</f>
        <v>1</v>
      </c>
      <c r="AK2334" s="960">
        <f t="array" ref="AK2334">HLOOKUP($J2334,'Type Chart'!$C$2:$T$20,18,false)*HLOOKUP($K2334,'Type Chart'!$C$2:$U$20,18,false)</f>
        <v>0.5</v>
      </c>
      <c r="AL2334" s="960">
        <f t="array" ref="AL2334">HLOOKUP($J2334,'Type Chart'!$C$2:$T$20,19,false)*HLOOKUP($K2334,'Type Chart'!$C$2:$U$20,19,false)</f>
        <v>2</v>
      </c>
      <c r="AM2334" s="964" t="s">
        <v>1250</v>
      </c>
      <c r="AN2334" s="965"/>
      <c r="AO2334" s="966" t="s">
        <v>1239</v>
      </c>
      <c r="AP2334" s="936"/>
      <c r="AQ2334" s="1245"/>
      <c r="AR2334" s="1245"/>
      <c r="AS2334" s="936"/>
    </row>
    <row r="2335" ht="15.75" customHeight="1">
      <c r="A2335" s="1099"/>
      <c r="B2335" s="948" t="s">
        <v>3983</v>
      </c>
      <c r="C2335" s="1197" t="s">
        <v>3984</v>
      </c>
      <c r="D2335" s="1197" t="s">
        <v>3984</v>
      </c>
      <c r="E2335" s="1147" t="s">
        <v>3984</v>
      </c>
      <c r="F2335" s="940"/>
      <c r="G2335" s="953"/>
      <c r="H2335" s="969"/>
      <c r="I2335" s="998" t="s">
        <v>5431</v>
      </c>
      <c r="J2335" s="1220" t="s">
        <v>215</v>
      </c>
      <c r="K2335" s="984" t="s">
        <v>216</v>
      </c>
      <c r="L2335" s="959">
        <v>40.0</v>
      </c>
      <c r="M2335" s="960">
        <v>45.0</v>
      </c>
      <c r="N2335" s="960">
        <v>45.0</v>
      </c>
      <c r="O2335" s="960">
        <v>74.0</v>
      </c>
      <c r="P2335" s="960">
        <v>54.0</v>
      </c>
      <c r="Q2335" s="960">
        <v>50.0</v>
      </c>
      <c r="R2335" s="960">
        <v>136.0</v>
      </c>
      <c r="S2335" s="960">
        <v>199.0</v>
      </c>
      <c r="T2335" s="960">
        <v>218.0</v>
      </c>
      <c r="U2335" s="960">
        <f t="array" ref="U2335">HLOOKUP($J2335,'Type Chart'!$C$2:$T$20,2,false)*HLOOKUP($K2335,'Type Chart'!$C$2:$U$20,2,false)</f>
        <v>0</v>
      </c>
      <c r="V2335" s="960">
        <f t="array" ref="V2335">HLOOKUP($J2335,'Type Chart'!$C$2:$T$20,3,false)*HLOOKUP($K2335,'Type Chart'!$C$2:$U$20,3,false)</f>
        <v>0</v>
      </c>
      <c r="W2335" s="960">
        <f t="array" ref="W2335">HLOOKUP($J2335,'Type Chart'!$C$2:$T$20,4,false)*HLOOKUP($K2335,'Type Chart'!$C$2:$U$20,4,false)</f>
        <v>1</v>
      </c>
      <c r="X2335" s="960">
        <f t="array" ref="X2335">HLOOKUP($J2335,'Type Chart'!$C$2:$T$20,5,false)*HLOOKUP($K2335,'Type Chart'!$C$2:$U$20,5,false)</f>
        <v>0.5</v>
      </c>
      <c r="Y2335" s="960">
        <f t="array" ref="Y2335">HLOOKUP($J2335,'Type Chart'!$C$2:$T$20,6,false)*HLOOKUP($K2335,'Type Chart'!$C$2:$U$20,6,false)</f>
        <v>1</v>
      </c>
      <c r="Z2335" s="960">
        <f t="array" ref="Z2335">HLOOKUP($J2335,'Type Chart'!$C$2:$T$20,7,false)*HLOOKUP($K2335,'Type Chart'!$C$2:$U$20,7,false)</f>
        <v>1</v>
      </c>
      <c r="AA2335" s="960">
        <f t="array" ref="AA2335">HLOOKUP($J2335,'Type Chart'!$C$2:$T$20,8,false)*HLOOKUP($K2335,'Type Chart'!$C$2:$U$20,8,false)</f>
        <v>0.5</v>
      </c>
      <c r="AB2335" s="960">
        <f t="array" ref="AB2335">HLOOKUP($J2335,'Type Chart'!$C$2:$T$20,9,false)*HLOOKUP($K2335,'Type Chart'!$C$2:$U$20,9,false)</f>
        <v>2</v>
      </c>
      <c r="AC2335" s="960">
        <f t="array" ref="AC2335">HLOOKUP($J2335,'Type Chart'!$C$2:$T$20,10,false)*HLOOKUP($K2335,'Type Chart'!$C$2:$U$20,10,false)</f>
        <v>1</v>
      </c>
      <c r="AD2335" s="960">
        <f t="array" ref="AD2335">HLOOKUP($J2335,'Type Chart'!$C$2:$T$20,11,false)*HLOOKUP($K2335,'Type Chart'!$C$2:$U$20,11,false)</f>
        <v>1</v>
      </c>
      <c r="AE2335" s="960">
        <f t="array" ref="AE2335">HLOOKUP($J2335,'Type Chart'!$C$2:$T$20,12,false)*HLOOKUP($K2335,'Type Chart'!$C$2:$U$20,12,false)</f>
        <v>1</v>
      </c>
      <c r="AF2335" s="960">
        <f t="array" ref="AF2335">HLOOKUP($J2335,'Type Chart'!$C$2:$T$20,13,false)*HLOOKUP($K2335,'Type Chart'!$C$2:$U$20,13,false)</f>
        <v>1</v>
      </c>
      <c r="AG2335" s="960">
        <f t="array" ref="AG2335">HLOOKUP($J2335,'Type Chart'!$C$2:$T$20,14,false)*HLOOKUP($K2335,'Type Chart'!$C$2:$U$20,14,false)</f>
        <v>1</v>
      </c>
      <c r="AH2335" s="960">
        <f t="array" ref="AH2335">HLOOKUP($J2335,'Type Chart'!$C$2:$T$20,15,false)*HLOOKUP($K2335,'Type Chart'!$C$2:$U$20,15,false)</f>
        <v>1</v>
      </c>
      <c r="AI2335" s="960">
        <f t="array" ref="AI2335">HLOOKUP($J2335,'Type Chart'!$C$2:$T$20,16,false)*HLOOKUP($K2335,'Type Chart'!$C$2:$U$20,16,false)</f>
        <v>1</v>
      </c>
      <c r="AJ2335" s="960">
        <f t="array" ref="AJ2335">HLOOKUP($J2335,'Type Chart'!$C$2:$T$20,17,false)*HLOOKUP($K2335,'Type Chart'!$C$2:$U$20,17,false)</f>
        <v>1</v>
      </c>
      <c r="AK2335" s="960">
        <f t="array" ref="AK2335">HLOOKUP($J2335,'Type Chart'!$C$2:$T$20,18,false)*HLOOKUP($K2335,'Type Chart'!$C$2:$U$20,18,false)</f>
        <v>2</v>
      </c>
      <c r="AL2335" s="960">
        <f t="array" ref="AL2335">HLOOKUP($J2335,'Type Chart'!$C$2:$T$20,19,false)*HLOOKUP($K2335,'Type Chart'!$C$2:$U$20,19,false)</f>
        <v>1</v>
      </c>
      <c r="AM2335" s="964" t="s">
        <v>1450</v>
      </c>
      <c r="AN2335" s="965"/>
      <c r="AO2335" s="966" t="s">
        <v>1442</v>
      </c>
      <c r="AP2335" s="936"/>
      <c r="AQ2335" s="1245"/>
      <c r="AR2335" s="1245"/>
      <c r="AS2335" s="936"/>
    </row>
    <row r="2336" ht="15.75" customHeight="1">
      <c r="A2336" s="1099"/>
      <c r="B2336" s="948" t="s">
        <v>3986</v>
      </c>
      <c r="C2336" s="1197" t="s">
        <v>3987</v>
      </c>
      <c r="D2336" s="1197" t="s">
        <v>3987</v>
      </c>
      <c r="E2336" s="1147" t="s">
        <v>3987</v>
      </c>
      <c r="F2336" s="940"/>
      <c r="G2336" s="953"/>
      <c r="H2336" s="969"/>
      <c r="I2336" s="998" t="s">
        <v>5432</v>
      </c>
      <c r="J2336" s="1220" t="s">
        <v>215</v>
      </c>
      <c r="K2336" s="984" t="s">
        <v>216</v>
      </c>
      <c r="L2336" s="959">
        <v>60.0</v>
      </c>
      <c r="M2336" s="960">
        <v>65.0</v>
      </c>
      <c r="N2336" s="960">
        <v>65.0</v>
      </c>
      <c r="O2336" s="960">
        <v>134.0</v>
      </c>
      <c r="P2336" s="960">
        <v>114.0</v>
      </c>
      <c r="Q2336" s="960">
        <v>70.0</v>
      </c>
      <c r="R2336" s="960">
        <v>176.0</v>
      </c>
      <c r="S2336" s="960">
        <v>239.0</v>
      </c>
      <c r="T2336" s="960">
        <v>262.0</v>
      </c>
      <c r="U2336" s="960">
        <f t="array" ref="U2336">HLOOKUP($J2336,'Type Chart'!$C$2:$T$20,2,false)*HLOOKUP($K2336,'Type Chart'!$C$2:$U$20,2,false)</f>
        <v>0</v>
      </c>
      <c r="V2336" s="960">
        <f t="array" ref="V2336">HLOOKUP($J2336,'Type Chart'!$C$2:$T$20,3,false)*HLOOKUP($K2336,'Type Chart'!$C$2:$U$20,3,false)</f>
        <v>0</v>
      </c>
      <c r="W2336" s="960">
        <f t="array" ref="W2336">HLOOKUP($J2336,'Type Chart'!$C$2:$T$20,4,false)*HLOOKUP($K2336,'Type Chart'!$C$2:$U$20,4,false)</f>
        <v>1</v>
      </c>
      <c r="X2336" s="960">
        <f t="array" ref="X2336">HLOOKUP($J2336,'Type Chart'!$C$2:$T$20,5,false)*HLOOKUP($K2336,'Type Chart'!$C$2:$U$20,5,false)</f>
        <v>0.5</v>
      </c>
      <c r="Y2336" s="960">
        <f t="array" ref="Y2336">HLOOKUP($J2336,'Type Chart'!$C$2:$T$20,6,false)*HLOOKUP($K2336,'Type Chart'!$C$2:$U$20,6,false)</f>
        <v>1</v>
      </c>
      <c r="Z2336" s="960">
        <f t="array" ref="Z2336">HLOOKUP($J2336,'Type Chart'!$C$2:$T$20,7,false)*HLOOKUP($K2336,'Type Chart'!$C$2:$U$20,7,false)</f>
        <v>1</v>
      </c>
      <c r="AA2336" s="960">
        <f t="array" ref="AA2336">HLOOKUP($J2336,'Type Chart'!$C$2:$T$20,8,false)*HLOOKUP($K2336,'Type Chart'!$C$2:$U$20,8,false)</f>
        <v>0.5</v>
      </c>
      <c r="AB2336" s="960">
        <f t="array" ref="AB2336">HLOOKUP($J2336,'Type Chart'!$C$2:$T$20,9,false)*HLOOKUP($K2336,'Type Chart'!$C$2:$U$20,9,false)</f>
        <v>2</v>
      </c>
      <c r="AC2336" s="960">
        <f t="array" ref="AC2336">HLOOKUP($J2336,'Type Chart'!$C$2:$T$20,10,false)*HLOOKUP($K2336,'Type Chart'!$C$2:$U$20,10,false)</f>
        <v>1</v>
      </c>
      <c r="AD2336" s="960">
        <f t="array" ref="AD2336">HLOOKUP($J2336,'Type Chart'!$C$2:$T$20,11,false)*HLOOKUP($K2336,'Type Chart'!$C$2:$U$20,11,false)</f>
        <v>1</v>
      </c>
      <c r="AE2336" s="960">
        <f t="array" ref="AE2336">HLOOKUP($J2336,'Type Chart'!$C$2:$T$20,12,false)*HLOOKUP($K2336,'Type Chart'!$C$2:$U$20,12,false)</f>
        <v>1</v>
      </c>
      <c r="AF2336" s="960">
        <f t="array" ref="AF2336">HLOOKUP($J2336,'Type Chart'!$C$2:$T$20,13,false)*HLOOKUP($K2336,'Type Chart'!$C$2:$U$20,13,false)</f>
        <v>1</v>
      </c>
      <c r="AG2336" s="960">
        <f t="array" ref="AG2336">HLOOKUP($J2336,'Type Chart'!$C$2:$T$20,14,false)*HLOOKUP($K2336,'Type Chart'!$C$2:$U$20,14,false)</f>
        <v>1</v>
      </c>
      <c r="AH2336" s="960">
        <f t="array" ref="AH2336">HLOOKUP($J2336,'Type Chart'!$C$2:$T$20,15,false)*HLOOKUP($K2336,'Type Chart'!$C$2:$U$20,15,false)</f>
        <v>1</v>
      </c>
      <c r="AI2336" s="960">
        <f t="array" ref="AI2336">HLOOKUP($J2336,'Type Chart'!$C$2:$T$20,16,false)*HLOOKUP($K2336,'Type Chart'!$C$2:$U$20,16,false)</f>
        <v>1</v>
      </c>
      <c r="AJ2336" s="960">
        <f t="array" ref="AJ2336">HLOOKUP($J2336,'Type Chart'!$C$2:$T$20,17,false)*HLOOKUP($K2336,'Type Chart'!$C$2:$U$20,17,false)</f>
        <v>1</v>
      </c>
      <c r="AK2336" s="960">
        <f t="array" ref="AK2336">HLOOKUP($J2336,'Type Chart'!$C$2:$T$20,18,false)*HLOOKUP($K2336,'Type Chart'!$C$2:$U$20,18,false)</f>
        <v>2</v>
      </c>
      <c r="AL2336" s="960">
        <f t="array" ref="AL2336">HLOOKUP($J2336,'Type Chart'!$C$2:$T$20,19,false)*HLOOKUP($K2336,'Type Chart'!$C$2:$U$20,19,false)</f>
        <v>1</v>
      </c>
      <c r="AM2336" s="964" t="s">
        <v>1450</v>
      </c>
      <c r="AN2336" s="965"/>
      <c r="AO2336" s="966" t="s">
        <v>1442</v>
      </c>
      <c r="AP2336" s="936"/>
      <c r="AQ2336" s="1245"/>
      <c r="AR2336" s="1245"/>
      <c r="AS2336" s="936"/>
    </row>
    <row r="2337" ht="15.75" customHeight="1">
      <c r="A2337" s="1099"/>
      <c r="B2337" s="948" t="s">
        <v>3988</v>
      </c>
      <c r="C2337" s="1197" t="s">
        <v>3989</v>
      </c>
      <c r="D2337" s="1197" t="s">
        <v>3989</v>
      </c>
      <c r="E2337" s="1147" t="s">
        <v>3989</v>
      </c>
      <c r="F2337" s="940"/>
      <c r="G2337" s="953"/>
      <c r="H2337" s="969"/>
      <c r="I2337" s="998" t="s">
        <v>5433</v>
      </c>
      <c r="J2337" s="1203" t="s">
        <v>344</v>
      </c>
      <c r="K2337" s="984" t="s">
        <v>216</v>
      </c>
      <c r="L2337" s="959">
        <v>42.0</v>
      </c>
      <c r="M2337" s="960">
        <v>30.0</v>
      </c>
      <c r="N2337" s="960">
        <v>45.0</v>
      </c>
      <c r="O2337" s="960">
        <v>56.0</v>
      </c>
      <c r="P2337" s="960">
        <v>53.0</v>
      </c>
      <c r="Q2337" s="960">
        <v>39.0</v>
      </c>
      <c r="R2337" s="960">
        <v>114.0</v>
      </c>
      <c r="S2337" s="960">
        <v>177.0</v>
      </c>
      <c r="T2337" s="960">
        <v>194.0</v>
      </c>
      <c r="U2337" s="960">
        <f t="array" ref="U2337">HLOOKUP($J2337,'Type Chart'!$C$2:$T$20,2,false)*HLOOKUP($K2337,'Type Chart'!$C$2:$U$20,2,false)</f>
        <v>1</v>
      </c>
      <c r="V2337" s="960">
        <f t="array" ref="V2337">HLOOKUP($J2337,'Type Chart'!$C$2:$T$20,3,false)*HLOOKUP($K2337,'Type Chart'!$C$2:$U$20,3,false)</f>
        <v>0.5</v>
      </c>
      <c r="W2337" s="960">
        <f t="array" ref="W2337">HLOOKUP($J2337,'Type Chart'!$C$2:$T$20,4,false)*HLOOKUP($K2337,'Type Chart'!$C$2:$U$20,4,false)</f>
        <v>1</v>
      </c>
      <c r="X2337" s="960">
        <f t="array" ref="X2337">HLOOKUP($J2337,'Type Chart'!$C$2:$T$20,5,false)*HLOOKUP($K2337,'Type Chart'!$C$2:$U$20,5,false)</f>
        <v>1</v>
      </c>
      <c r="Y2337" s="960">
        <f t="array" ref="Y2337">HLOOKUP($J2337,'Type Chart'!$C$2:$T$20,6,false)*HLOOKUP($K2337,'Type Chart'!$C$2:$U$20,6,false)</f>
        <v>1</v>
      </c>
      <c r="Z2337" s="960">
        <f t="array" ref="Z2337">HLOOKUP($J2337,'Type Chart'!$C$2:$T$20,7,false)*HLOOKUP($K2337,'Type Chart'!$C$2:$U$20,7,false)</f>
        <v>1</v>
      </c>
      <c r="AA2337" s="960">
        <f t="array" ref="AA2337">HLOOKUP($J2337,'Type Chart'!$C$2:$T$20,8,false)*HLOOKUP($K2337,'Type Chart'!$C$2:$U$20,8,false)</f>
        <v>2</v>
      </c>
      <c r="AB2337" s="960">
        <f t="array" ref="AB2337">HLOOKUP($J2337,'Type Chart'!$C$2:$T$20,9,false)*HLOOKUP($K2337,'Type Chart'!$C$2:$U$20,9,false)</f>
        <v>2</v>
      </c>
      <c r="AC2337" s="960">
        <f t="array" ref="AC2337">HLOOKUP($J2337,'Type Chart'!$C$2:$T$20,10,false)*HLOOKUP($K2337,'Type Chart'!$C$2:$U$20,10,false)</f>
        <v>1</v>
      </c>
      <c r="AD2337" s="960">
        <f t="array" ref="AD2337">HLOOKUP($J2337,'Type Chart'!$C$2:$T$20,11,false)*HLOOKUP($K2337,'Type Chart'!$C$2:$U$20,11,false)</f>
        <v>1</v>
      </c>
      <c r="AE2337" s="960">
        <f t="array" ref="AE2337">HLOOKUP($J2337,'Type Chart'!$C$2:$T$20,12,false)*HLOOKUP($K2337,'Type Chart'!$C$2:$U$20,12,false)</f>
        <v>1</v>
      </c>
      <c r="AF2337" s="960">
        <f t="array" ref="AF2337">HLOOKUP($J2337,'Type Chart'!$C$2:$T$20,13,false)*HLOOKUP($K2337,'Type Chart'!$C$2:$U$20,13,false)</f>
        <v>1</v>
      </c>
      <c r="AG2337" s="960">
        <f t="array" ref="AG2337">HLOOKUP($J2337,'Type Chart'!$C$2:$T$20,14,false)*HLOOKUP($K2337,'Type Chart'!$C$2:$U$20,14,false)</f>
        <v>1</v>
      </c>
      <c r="AH2337" s="960">
        <f t="array" ref="AH2337">HLOOKUP($J2337,'Type Chart'!$C$2:$T$20,15,false)*HLOOKUP($K2337,'Type Chart'!$C$2:$U$20,15,false)</f>
        <v>0.5</v>
      </c>
      <c r="AI2337" s="960">
        <f t="array" ref="AI2337">HLOOKUP($J2337,'Type Chart'!$C$2:$T$20,16,false)*HLOOKUP($K2337,'Type Chart'!$C$2:$U$20,16,false)</f>
        <v>1</v>
      </c>
      <c r="AJ2337" s="960">
        <f t="array" ref="AJ2337">HLOOKUP($J2337,'Type Chart'!$C$2:$T$20,17,false)*HLOOKUP($K2337,'Type Chart'!$C$2:$U$20,17,false)</f>
        <v>1</v>
      </c>
      <c r="AK2337" s="960">
        <f t="array" ref="AK2337">HLOOKUP($J2337,'Type Chart'!$C$2:$T$20,18,false)*HLOOKUP($K2337,'Type Chart'!$C$2:$U$20,18,false)</f>
        <v>2</v>
      </c>
      <c r="AL2337" s="960">
        <f t="array" ref="AL2337">HLOOKUP($J2337,'Type Chart'!$C$2:$T$20,19,false)*HLOOKUP($K2337,'Type Chart'!$C$2:$U$20,19,false)</f>
        <v>1</v>
      </c>
      <c r="AM2337" s="964" t="s">
        <v>1522</v>
      </c>
      <c r="AN2337" s="964" t="s">
        <v>1359</v>
      </c>
      <c r="AO2337" s="966" t="s">
        <v>1752</v>
      </c>
      <c r="AP2337" s="936"/>
      <c r="AQ2337" s="1245"/>
      <c r="AR2337" s="1245"/>
      <c r="AS2337" s="936"/>
    </row>
    <row r="2338" ht="15.75" customHeight="1">
      <c r="A2338" s="1099"/>
      <c r="B2338" s="948" t="s">
        <v>3991</v>
      </c>
      <c r="C2338" s="1197" t="s">
        <v>3992</v>
      </c>
      <c r="D2338" s="1197" t="s">
        <v>3992</v>
      </c>
      <c r="E2338" s="1147" t="s">
        <v>3992</v>
      </c>
      <c r="F2338" s="940"/>
      <c r="G2338" s="953"/>
      <c r="H2338" s="969"/>
      <c r="I2338" s="998" t="s">
        <v>5434</v>
      </c>
      <c r="J2338" s="1203" t="s">
        <v>344</v>
      </c>
      <c r="K2338" s="984" t="s">
        <v>216</v>
      </c>
      <c r="L2338" s="959">
        <v>57.0</v>
      </c>
      <c r="M2338" s="960">
        <v>40.0</v>
      </c>
      <c r="N2338" s="960">
        <v>65.0</v>
      </c>
      <c r="O2338" s="960">
        <v>86.0</v>
      </c>
      <c r="P2338" s="960">
        <v>73.0</v>
      </c>
      <c r="Q2338" s="960">
        <v>49.0</v>
      </c>
      <c r="R2338" s="960">
        <v>134.0</v>
      </c>
      <c r="S2338" s="960">
        <v>197.0</v>
      </c>
      <c r="T2338" s="960">
        <v>216.0</v>
      </c>
      <c r="U2338" s="960">
        <f t="array" ref="U2338">HLOOKUP($J2338,'Type Chart'!$C$2:$T$20,2,false)*HLOOKUP($K2338,'Type Chart'!$C$2:$U$20,2,false)</f>
        <v>1</v>
      </c>
      <c r="V2338" s="960">
        <f t="array" ref="V2338">HLOOKUP($J2338,'Type Chart'!$C$2:$T$20,3,false)*HLOOKUP($K2338,'Type Chart'!$C$2:$U$20,3,false)</f>
        <v>0.5</v>
      </c>
      <c r="W2338" s="960">
        <f t="array" ref="W2338">HLOOKUP($J2338,'Type Chart'!$C$2:$T$20,4,false)*HLOOKUP($K2338,'Type Chart'!$C$2:$U$20,4,false)</f>
        <v>1</v>
      </c>
      <c r="X2338" s="960">
        <f t="array" ref="X2338">HLOOKUP($J2338,'Type Chart'!$C$2:$T$20,5,false)*HLOOKUP($K2338,'Type Chart'!$C$2:$U$20,5,false)</f>
        <v>1</v>
      </c>
      <c r="Y2338" s="960">
        <f t="array" ref="Y2338">HLOOKUP($J2338,'Type Chart'!$C$2:$T$20,6,false)*HLOOKUP($K2338,'Type Chart'!$C$2:$U$20,6,false)</f>
        <v>1</v>
      </c>
      <c r="Z2338" s="960">
        <f t="array" ref="Z2338">HLOOKUP($J2338,'Type Chart'!$C$2:$T$20,7,false)*HLOOKUP($K2338,'Type Chart'!$C$2:$U$20,7,false)</f>
        <v>1</v>
      </c>
      <c r="AA2338" s="960">
        <f t="array" ref="AA2338">HLOOKUP($J2338,'Type Chart'!$C$2:$T$20,8,false)*HLOOKUP($K2338,'Type Chart'!$C$2:$U$20,8,false)</f>
        <v>2</v>
      </c>
      <c r="AB2338" s="960">
        <f t="array" ref="AB2338">HLOOKUP($J2338,'Type Chart'!$C$2:$T$20,9,false)*HLOOKUP($K2338,'Type Chart'!$C$2:$U$20,9,false)</f>
        <v>2</v>
      </c>
      <c r="AC2338" s="960">
        <f t="array" ref="AC2338">HLOOKUP($J2338,'Type Chart'!$C$2:$T$20,10,false)*HLOOKUP($K2338,'Type Chart'!$C$2:$U$20,10,false)</f>
        <v>1</v>
      </c>
      <c r="AD2338" s="960">
        <f t="array" ref="AD2338">HLOOKUP($J2338,'Type Chart'!$C$2:$T$20,11,false)*HLOOKUP($K2338,'Type Chart'!$C$2:$U$20,11,false)</f>
        <v>1</v>
      </c>
      <c r="AE2338" s="960">
        <f t="array" ref="AE2338">HLOOKUP($J2338,'Type Chart'!$C$2:$T$20,12,false)*HLOOKUP($K2338,'Type Chart'!$C$2:$U$20,12,false)</f>
        <v>1</v>
      </c>
      <c r="AF2338" s="960">
        <f t="array" ref="AF2338">HLOOKUP($J2338,'Type Chart'!$C$2:$T$20,13,false)*HLOOKUP($K2338,'Type Chart'!$C$2:$U$20,13,false)</f>
        <v>1</v>
      </c>
      <c r="AG2338" s="960">
        <f t="array" ref="AG2338">HLOOKUP($J2338,'Type Chart'!$C$2:$T$20,14,false)*HLOOKUP($K2338,'Type Chart'!$C$2:$U$20,14,false)</f>
        <v>1</v>
      </c>
      <c r="AH2338" s="960">
        <f t="array" ref="AH2338">HLOOKUP($J2338,'Type Chart'!$C$2:$T$20,15,false)*HLOOKUP($K2338,'Type Chart'!$C$2:$U$20,15,false)</f>
        <v>0.5</v>
      </c>
      <c r="AI2338" s="960">
        <f t="array" ref="AI2338">HLOOKUP($J2338,'Type Chart'!$C$2:$T$20,16,false)*HLOOKUP($K2338,'Type Chart'!$C$2:$U$20,16,false)</f>
        <v>1</v>
      </c>
      <c r="AJ2338" s="960">
        <f t="array" ref="AJ2338">HLOOKUP($J2338,'Type Chart'!$C$2:$T$20,17,false)*HLOOKUP($K2338,'Type Chart'!$C$2:$U$20,17,false)</f>
        <v>1</v>
      </c>
      <c r="AK2338" s="960">
        <f t="array" ref="AK2338">HLOOKUP($J2338,'Type Chart'!$C$2:$T$20,18,false)*HLOOKUP($K2338,'Type Chart'!$C$2:$U$20,18,false)</f>
        <v>2</v>
      </c>
      <c r="AL2338" s="960">
        <f t="array" ref="AL2338">HLOOKUP($J2338,'Type Chart'!$C$2:$T$20,19,false)*HLOOKUP($K2338,'Type Chart'!$C$2:$U$20,19,false)</f>
        <v>1</v>
      </c>
      <c r="AM2338" s="964" t="s">
        <v>1522</v>
      </c>
      <c r="AN2338" s="964" t="s">
        <v>1359</v>
      </c>
      <c r="AO2338" s="966" t="s">
        <v>1752</v>
      </c>
      <c r="AP2338" s="936"/>
      <c r="AQ2338" s="1245"/>
      <c r="AR2338" s="1245"/>
      <c r="AS2338" s="936"/>
    </row>
    <row r="2339" ht="15.75" customHeight="1">
      <c r="A2339" s="1099"/>
      <c r="B2339" s="948" t="s">
        <v>3993</v>
      </c>
      <c r="C2339" s="1197" t="s">
        <v>3994</v>
      </c>
      <c r="D2339" s="1197" t="s">
        <v>3994</v>
      </c>
      <c r="E2339" s="1147" t="s">
        <v>3994</v>
      </c>
      <c r="F2339" s="940"/>
      <c r="G2339" s="953"/>
      <c r="H2339" s="969"/>
      <c r="I2339" s="998" t="s">
        <v>5435</v>
      </c>
      <c r="J2339" s="1203" t="s">
        <v>344</v>
      </c>
      <c r="K2339" s="1207" t="s">
        <v>127</v>
      </c>
      <c r="L2339" s="959">
        <v>57.0</v>
      </c>
      <c r="M2339" s="960">
        <v>90.0</v>
      </c>
      <c r="N2339" s="960">
        <v>95.0</v>
      </c>
      <c r="O2339" s="960">
        <v>136.0</v>
      </c>
      <c r="P2339" s="960">
        <v>103.0</v>
      </c>
      <c r="Q2339" s="960">
        <v>29.0</v>
      </c>
      <c r="R2339" s="960">
        <v>94.0</v>
      </c>
      <c r="S2339" s="960">
        <v>157.0</v>
      </c>
      <c r="T2339" s="960">
        <v>172.0</v>
      </c>
      <c r="U2339" s="960">
        <f t="array" ref="U2339">HLOOKUP($J2339,'Type Chart'!$C$2:$T$20,2,false)*HLOOKUP($K2339,'Type Chart'!$C$2:$U$20,2,false)</f>
        <v>1</v>
      </c>
      <c r="V2339" s="960">
        <f t="array" ref="V2339">HLOOKUP($J2339,'Type Chart'!$C$2:$T$20,3,false)*HLOOKUP($K2339,'Type Chart'!$C$2:$U$20,3,false)</f>
        <v>0.25</v>
      </c>
      <c r="W2339" s="960">
        <f t="array" ref="W2339">HLOOKUP($J2339,'Type Chart'!$C$2:$T$20,4,false)*HLOOKUP($K2339,'Type Chart'!$C$2:$U$20,4,false)</f>
        <v>1</v>
      </c>
      <c r="X2339" s="960">
        <f t="array" ref="X2339">HLOOKUP($J2339,'Type Chart'!$C$2:$T$20,5,false)*HLOOKUP($K2339,'Type Chart'!$C$2:$U$20,5,false)</f>
        <v>2</v>
      </c>
      <c r="Y2339" s="960">
        <f t="array" ref="Y2339">HLOOKUP($J2339,'Type Chart'!$C$2:$T$20,6,false)*HLOOKUP($K2339,'Type Chart'!$C$2:$U$20,6,false)</f>
        <v>1</v>
      </c>
      <c r="Z2339" s="960">
        <f t="array" ref="Z2339">HLOOKUP($J2339,'Type Chart'!$C$2:$T$20,7,false)*HLOOKUP($K2339,'Type Chart'!$C$2:$U$20,7,false)</f>
        <v>1</v>
      </c>
      <c r="AA2339" s="960">
        <f t="array" ref="AA2339">HLOOKUP($J2339,'Type Chart'!$C$2:$T$20,8,false)*HLOOKUP($K2339,'Type Chart'!$C$2:$U$20,8,false)</f>
        <v>1</v>
      </c>
      <c r="AB2339" s="960">
        <f t="array" ref="AB2339">HLOOKUP($J2339,'Type Chart'!$C$2:$T$20,9,false)*HLOOKUP($K2339,'Type Chart'!$C$2:$U$20,9,false)</f>
        <v>2</v>
      </c>
      <c r="AC2339" s="960">
        <f t="array" ref="AC2339">HLOOKUP($J2339,'Type Chart'!$C$2:$T$20,10,false)*HLOOKUP($K2339,'Type Chart'!$C$2:$U$20,10,false)</f>
        <v>2</v>
      </c>
      <c r="AD2339" s="960">
        <f t="array" ref="AD2339">HLOOKUP($J2339,'Type Chart'!$C$2:$T$20,11,false)*HLOOKUP($K2339,'Type Chart'!$C$2:$U$20,11,false)</f>
        <v>1</v>
      </c>
      <c r="AE2339" s="960">
        <f t="array" ref="AE2339">HLOOKUP($J2339,'Type Chart'!$C$2:$T$20,12,false)*HLOOKUP($K2339,'Type Chart'!$C$2:$U$20,12,false)</f>
        <v>1</v>
      </c>
      <c r="AF2339" s="960">
        <f t="array" ref="AF2339">HLOOKUP($J2339,'Type Chart'!$C$2:$T$20,13,false)*HLOOKUP($K2339,'Type Chart'!$C$2:$U$20,13,false)</f>
        <v>1</v>
      </c>
      <c r="AG2339" s="960">
        <f t="array" ref="AG2339">HLOOKUP($J2339,'Type Chart'!$C$2:$T$20,14,false)*HLOOKUP($K2339,'Type Chart'!$C$2:$U$20,14,false)</f>
        <v>1</v>
      </c>
      <c r="AH2339" s="960">
        <f t="array" ref="AH2339">HLOOKUP($J2339,'Type Chart'!$C$2:$T$20,15,false)*HLOOKUP($K2339,'Type Chart'!$C$2:$U$20,15,false)</f>
        <v>0.5</v>
      </c>
      <c r="AI2339" s="960">
        <f t="array" ref="AI2339">HLOOKUP($J2339,'Type Chart'!$C$2:$T$20,16,false)*HLOOKUP($K2339,'Type Chart'!$C$2:$U$20,16,false)</f>
        <v>1</v>
      </c>
      <c r="AJ2339" s="960">
        <f t="array" ref="AJ2339">HLOOKUP($J2339,'Type Chart'!$C$2:$T$20,17,false)*HLOOKUP($K2339,'Type Chart'!$C$2:$U$20,17,false)</f>
        <v>0</v>
      </c>
      <c r="AK2339" s="960">
        <f t="array" ref="AK2339">HLOOKUP($J2339,'Type Chart'!$C$2:$T$20,18,false)*HLOOKUP($K2339,'Type Chart'!$C$2:$U$20,18,false)</f>
        <v>1</v>
      </c>
      <c r="AL2339" s="960">
        <f t="array" ref="AL2339">HLOOKUP($J2339,'Type Chart'!$C$2:$T$20,19,false)*HLOOKUP($K2339,'Type Chart'!$C$2:$U$20,19,false)</f>
        <v>1</v>
      </c>
      <c r="AM2339" s="964" t="s">
        <v>1522</v>
      </c>
      <c r="AN2339" s="964" t="s">
        <v>1359</v>
      </c>
      <c r="AO2339" s="966" t="s">
        <v>1752</v>
      </c>
      <c r="AP2339" s="936"/>
      <c r="AQ2339" s="1245"/>
      <c r="AR2339" s="1245"/>
      <c r="AS2339" s="936"/>
    </row>
    <row r="2340" ht="15.75" customHeight="1">
      <c r="A2340" s="1099"/>
      <c r="B2340" s="948" t="s">
        <v>3995</v>
      </c>
      <c r="C2340" s="1197" t="s">
        <v>3996</v>
      </c>
      <c r="D2340" s="1197" t="s">
        <v>3996</v>
      </c>
      <c r="E2340" s="1147" t="s">
        <v>3996</v>
      </c>
      <c r="F2340" s="940"/>
      <c r="G2340" s="953"/>
      <c r="H2340" s="969"/>
      <c r="I2340" s="998" t="s">
        <v>5436</v>
      </c>
      <c r="J2340" s="1195" t="s">
        <v>193</v>
      </c>
      <c r="K2340" s="1207" t="s">
        <v>127</v>
      </c>
      <c r="L2340" s="959">
        <v>45.0</v>
      </c>
      <c r="M2340" s="960">
        <v>45.0</v>
      </c>
      <c r="N2340" s="960">
        <v>30.0</v>
      </c>
      <c r="O2340" s="960">
        <v>55.0</v>
      </c>
      <c r="P2340" s="960">
        <v>40.0</v>
      </c>
      <c r="Q2340" s="960">
        <v>50.0</v>
      </c>
      <c r="R2340" s="960">
        <v>136.0</v>
      </c>
      <c r="S2340" s="960">
        <v>199.0</v>
      </c>
      <c r="T2340" s="960">
        <v>218.0</v>
      </c>
      <c r="U2340" s="960">
        <f t="array" ref="U2340">HLOOKUP($J2340,'Type Chart'!$C$2:$T$20,2,false)*HLOOKUP($K2340,'Type Chart'!$C$2:$U$20,2,false)</f>
        <v>1</v>
      </c>
      <c r="V2340" s="960">
        <f t="array" ref="V2340">HLOOKUP($J2340,'Type Chart'!$C$2:$T$20,3,false)*HLOOKUP($K2340,'Type Chart'!$C$2:$U$20,3,false)</f>
        <v>1</v>
      </c>
      <c r="W2340" s="960">
        <f t="array" ref="W2340">HLOOKUP($J2340,'Type Chart'!$C$2:$T$20,4,false)*HLOOKUP($K2340,'Type Chart'!$C$2:$U$20,4,false)</f>
        <v>1</v>
      </c>
      <c r="X2340" s="960">
        <f t="array" ref="X2340">HLOOKUP($J2340,'Type Chart'!$C$2:$T$20,5,false)*HLOOKUP($K2340,'Type Chart'!$C$2:$U$20,5,false)</f>
        <v>2</v>
      </c>
      <c r="Y2340" s="960">
        <f t="array" ref="Y2340">HLOOKUP($J2340,'Type Chart'!$C$2:$T$20,6,false)*HLOOKUP($K2340,'Type Chart'!$C$2:$U$20,6,false)</f>
        <v>1</v>
      </c>
      <c r="Z2340" s="960">
        <f t="array" ref="Z2340">HLOOKUP($J2340,'Type Chart'!$C$2:$T$20,7,false)*HLOOKUP($K2340,'Type Chart'!$C$2:$U$20,7,false)</f>
        <v>1</v>
      </c>
      <c r="AA2340" s="960">
        <f t="array" ref="AA2340">HLOOKUP($J2340,'Type Chart'!$C$2:$T$20,8,false)*HLOOKUP($K2340,'Type Chart'!$C$2:$U$20,8,false)</f>
        <v>1</v>
      </c>
      <c r="AB2340" s="960">
        <f t="array" ref="AB2340">HLOOKUP($J2340,'Type Chart'!$C$2:$T$20,9,false)*HLOOKUP($K2340,'Type Chart'!$C$2:$U$20,9,false)</f>
        <v>0.5</v>
      </c>
      <c r="AC2340" s="960">
        <f t="array" ref="AC2340">HLOOKUP($J2340,'Type Chart'!$C$2:$T$20,10,false)*HLOOKUP($K2340,'Type Chart'!$C$2:$U$20,10,false)</f>
        <v>2</v>
      </c>
      <c r="AD2340" s="960">
        <f t="array" ref="AD2340">HLOOKUP($J2340,'Type Chart'!$C$2:$T$20,11,false)*HLOOKUP($K2340,'Type Chart'!$C$2:$U$20,11,false)</f>
        <v>1</v>
      </c>
      <c r="AE2340" s="960">
        <f t="array" ref="AE2340">HLOOKUP($J2340,'Type Chart'!$C$2:$T$20,12,false)*HLOOKUP($K2340,'Type Chart'!$C$2:$U$20,12,false)</f>
        <v>1</v>
      </c>
      <c r="AF2340" s="960">
        <f t="array" ref="AF2340">HLOOKUP($J2340,'Type Chart'!$C$2:$T$20,13,false)*HLOOKUP($K2340,'Type Chart'!$C$2:$U$20,13,false)</f>
        <v>1</v>
      </c>
      <c r="AG2340" s="960">
        <f t="array" ref="AG2340">HLOOKUP($J2340,'Type Chart'!$C$2:$T$20,14,false)*HLOOKUP($K2340,'Type Chart'!$C$2:$U$20,14,false)</f>
        <v>1</v>
      </c>
      <c r="AH2340" s="960">
        <f t="array" ref="AH2340">HLOOKUP($J2340,'Type Chart'!$C$2:$T$20,15,false)*HLOOKUP($K2340,'Type Chart'!$C$2:$U$20,15,false)</f>
        <v>0</v>
      </c>
      <c r="AI2340" s="960">
        <f t="array" ref="AI2340">HLOOKUP($J2340,'Type Chart'!$C$2:$T$20,16,false)*HLOOKUP($K2340,'Type Chart'!$C$2:$U$20,16,false)</f>
        <v>1</v>
      </c>
      <c r="AJ2340" s="960">
        <f t="array" ref="AJ2340">HLOOKUP($J2340,'Type Chart'!$C$2:$T$20,17,false)*HLOOKUP($K2340,'Type Chart'!$C$2:$U$20,17,false)</f>
        <v>0</v>
      </c>
      <c r="AK2340" s="960">
        <f t="array" ref="AK2340">HLOOKUP($J2340,'Type Chart'!$C$2:$T$20,18,false)*HLOOKUP($K2340,'Type Chart'!$C$2:$U$20,18,false)</f>
        <v>0.25</v>
      </c>
      <c r="AL2340" s="960">
        <f t="array" ref="AL2340">HLOOKUP($J2340,'Type Chart'!$C$2:$T$20,19,false)*HLOOKUP($K2340,'Type Chart'!$C$2:$U$20,19,false)</f>
        <v>2</v>
      </c>
      <c r="AM2340" s="964" t="s">
        <v>1813</v>
      </c>
      <c r="AN2340" s="964" t="s">
        <v>1188</v>
      </c>
      <c r="AO2340" s="966" t="s">
        <v>1869</v>
      </c>
      <c r="AP2340" s="936"/>
      <c r="AQ2340" s="1245"/>
      <c r="AR2340" s="1245"/>
      <c r="AS2340" s="936"/>
    </row>
    <row r="2341" ht="15.75" customHeight="1">
      <c r="A2341" s="1099"/>
      <c r="B2341" s="948" t="s">
        <v>3997</v>
      </c>
      <c r="C2341" s="1197" t="s">
        <v>3998</v>
      </c>
      <c r="D2341" s="1197" t="s">
        <v>3998</v>
      </c>
      <c r="E2341" s="1147" t="s">
        <v>3998</v>
      </c>
      <c r="F2341" s="940"/>
      <c r="G2341" s="953"/>
      <c r="H2341" s="969"/>
      <c r="I2341" s="998" t="s">
        <v>5437</v>
      </c>
      <c r="J2341" s="1195" t="s">
        <v>193</v>
      </c>
      <c r="K2341" s="1207" t="s">
        <v>127</v>
      </c>
      <c r="L2341" s="959">
        <v>65.0</v>
      </c>
      <c r="M2341" s="960">
        <v>60.0</v>
      </c>
      <c r="N2341" s="960">
        <v>45.0</v>
      </c>
      <c r="O2341" s="960">
        <v>75.0</v>
      </c>
      <c r="P2341" s="960">
        <v>55.0</v>
      </c>
      <c r="Q2341" s="960">
        <v>70.0</v>
      </c>
      <c r="R2341" s="960">
        <v>176.0</v>
      </c>
      <c r="S2341" s="960">
        <v>239.0</v>
      </c>
      <c r="T2341" s="960">
        <v>262.0</v>
      </c>
      <c r="U2341" s="960">
        <f t="array" ref="U2341">HLOOKUP($J2341,'Type Chart'!$C$2:$T$20,2,false)*HLOOKUP($K2341,'Type Chart'!$C$2:$U$20,2,false)</f>
        <v>1</v>
      </c>
      <c r="V2341" s="960">
        <f t="array" ref="V2341">HLOOKUP($J2341,'Type Chart'!$C$2:$T$20,3,false)*HLOOKUP($K2341,'Type Chart'!$C$2:$U$20,3,false)</f>
        <v>1</v>
      </c>
      <c r="W2341" s="960">
        <f t="array" ref="W2341">HLOOKUP($J2341,'Type Chart'!$C$2:$T$20,4,false)*HLOOKUP($K2341,'Type Chart'!$C$2:$U$20,4,false)</f>
        <v>1</v>
      </c>
      <c r="X2341" s="960">
        <f t="array" ref="X2341">HLOOKUP($J2341,'Type Chart'!$C$2:$T$20,5,false)*HLOOKUP($K2341,'Type Chart'!$C$2:$U$20,5,false)</f>
        <v>2</v>
      </c>
      <c r="Y2341" s="960">
        <f t="array" ref="Y2341">HLOOKUP($J2341,'Type Chart'!$C$2:$T$20,6,false)*HLOOKUP($K2341,'Type Chart'!$C$2:$U$20,6,false)</f>
        <v>1</v>
      </c>
      <c r="Z2341" s="960">
        <f t="array" ref="Z2341">HLOOKUP($J2341,'Type Chart'!$C$2:$T$20,7,false)*HLOOKUP($K2341,'Type Chart'!$C$2:$U$20,7,false)</f>
        <v>1</v>
      </c>
      <c r="AA2341" s="960">
        <f t="array" ref="AA2341">HLOOKUP($J2341,'Type Chart'!$C$2:$T$20,8,false)*HLOOKUP($K2341,'Type Chart'!$C$2:$U$20,8,false)</f>
        <v>1</v>
      </c>
      <c r="AB2341" s="960">
        <f t="array" ref="AB2341">HLOOKUP($J2341,'Type Chart'!$C$2:$T$20,9,false)*HLOOKUP($K2341,'Type Chart'!$C$2:$U$20,9,false)</f>
        <v>0.5</v>
      </c>
      <c r="AC2341" s="960">
        <f t="array" ref="AC2341">HLOOKUP($J2341,'Type Chart'!$C$2:$T$20,10,false)*HLOOKUP($K2341,'Type Chart'!$C$2:$U$20,10,false)</f>
        <v>2</v>
      </c>
      <c r="AD2341" s="960">
        <f t="array" ref="AD2341">HLOOKUP($J2341,'Type Chart'!$C$2:$T$20,11,false)*HLOOKUP($K2341,'Type Chart'!$C$2:$U$20,11,false)</f>
        <v>1</v>
      </c>
      <c r="AE2341" s="960">
        <f t="array" ref="AE2341">HLOOKUP($J2341,'Type Chart'!$C$2:$T$20,12,false)*HLOOKUP($K2341,'Type Chart'!$C$2:$U$20,12,false)</f>
        <v>1</v>
      </c>
      <c r="AF2341" s="960">
        <f t="array" ref="AF2341">HLOOKUP($J2341,'Type Chart'!$C$2:$T$20,13,false)*HLOOKUP($K2341,'Type Chart'!$C$2:$U$20,13,false)</f>
        <v>1</v>
      </c>
      <c r="AG2341" s="960">
        <f t="array" ref="AG2341">HLOOKUP($J2341,'Type Chart'!$C$2:$T$20,14,false)*HLOOKUP($K2341,'Type Chart'!$C$2:$U$20,14,false)</f>
        <v>1</v>
      </c>
      <c r="AH2341" s="960">
        <f t="array" ref="AH2341">HLOOKUP($J2341,'Type Chart'!$C$2:$T$20,15,false)*HLOOKUP($K2341,'Type Chart'!$C$2:$U$20,15,false)</f>
        <v>0</v>
      </c>
      <c r="AI2341" s="960">
        <f t="array" ref="AI2341">HLOOKUP($J2341,'Type Chart'!$C$2:$T$20,16,false)*HLOOKUP($K2341,'Type Chart'!$C$2:$U$20,16,false)</f>
        <v>1</v>
      </c>
      <c r="AJ2341" s="960">
        <f t="array" ref="AJ2341">HLOOKUP($J2341,'Type Chart'!$C$2:$T$20,17,false)*HLOOKUP($K2341,'Type Chart'!$C$2:$U$20,17,false)</f>
        <v>0</v>
      </c>
      <c r="AK2341" s="960">
        <f t="array" ref="AK2341">HLOOKUP($J2341,'Type Chart'!$C$2:$T$20,18,false)*HLOOKUP($K2341,'Type Chart'!$C$2:$U$20,18,false)</f>
        <v>0.25</v>
      </c>
      <c r="AL2341" s="960">
        <f t="array" ref="AL2341">HLOOKUP($J2341,'Type Chart'!$C$2:$T$20,19,false)*HLOOKUP($K2341,'Type Chart'!$C$2:$U$20,19,false)</f>
        <v>2</v>
      </c>
      <c r="AM2341" s="964" t="s">
        <v>1813</v>
      </c>
      <c r="AN2341" s="964" t="s">
        <v>1188</v>
      </c>
      <c r="AO2341" s="966" t="s">
        <v>1869</v>
      </c>
      <c r="AP2341" s="936"/>
      <c r="AQ2341" s="1245"/>
      <c r="AR2341" s="1245"/>
      <c r="AS2341" s="936"/>
    </row>
    <row r="2342" ht="15.75" customHeight="1">
      <c r="A2342" s="1099"/>
      <c r="B2342" s="948" t="s">
        <v>3999</v>
      </c>
      <c r="C2342" s="1197" t="s">
        <v>116</v>
      </c>
      <c r="D2342" s="1197" t="s">
        <v>116</v>
      </c>
      <c r="E2342" s="1147" t="s">
        <v>116</v>
      </c>
      <c r="F2342" s="940"/>
      <c r="G2342" s="953"/>
      <c r="H2342" s="969"/>
      <c r="I2342" s="998" t="s">
        <v>412</v>
      </c>
      <c r="J2342" s="1195" t="s">
        <v>193</v>
      </c>
      <c r="K2342" s="1207" t="s">
        <v>127</v>
      </c>
      <c r="L2342" s="959">
        <v>95.0</v>
      </c>
      <c r="M2342" s="960">
        <v>120.0</v>
      </c>
      <c r="N2342" s="960">
        <v>65.0</v>
      </c>
      <c r="O2342" s="960">
        <v>95.0</v>
      </c>
      <c r="P2342" s="960">
        <v>75.0</v>
      </c>
      <c r="Q2342" s="960">
        <v>60.0</v>
      </c>
      <c r="R2342" s="960">
        <v>156.0</v>
      </c>
      <c r="S2342" s="960">
        <v>219.0</v>
      </c>
      <c r="T2342" s="960">
        <v>240.0</v>
      </c>
      <c r="U2342" s="960">
        <f t="array" ref="U2342">HLOOKUP($J2342,'Type Chart'!$C$2:$T$20,2,false)*HLOOKUP($K2342,'Type Chart'!$C$2:$U$20,2,false)</f>
        <v>1</v>
      </c>
      <c r="V2342" s="960">
        <f t="array" ref="V2342">HLOOKUP($J2342,'Type Chart'!$C$2:$T$20,3,false)*HLOOKUP($K2342,'Type Chart'!$C$2:$U$20,3,false)</f>
        <v>1</v>
      </c>
      <c r="W2342" s="960">
        <f t="array" ref="W2342">HLOOKUP($J2342,'Type Chart'!$C$2:$T$20,4,false)*HLOOKUP($K2342,'Type Chart'!$C$2:$U$20,4,false)</f>
        <v>1</v>
      </c>
      <c r="X2342" s="960">
        <f t="array" ref="X2342">HLOOKUP($J2342,'Type Chart'!$C$2:$T$20,5,false)*HLOOKUP($K2342,'Type Chart'!$C$2:$U$20,5,false)</f>
        <v>2</v>
      </c>
      <c r="Y2342" s="960">
        <f t="array" ref="Y2342">HLOOKUP($J2342,'Type Chart'!$C$2:$T$20,6,false)*HLOOKUP($K2342,'Type Chart'!$C$2:$U$20,6,false)</f>
        <v>1</v>
      </c>
      <c r="Z2342" s="960">
        <f t="array" ref="Z2342">HLOOKUP($J2342,'Type Chart'!$C$2:$T$20,7,false)*HLOOKUP($K2342,'Type Chart'!$C$2:$U$20,7,false)</f>
        <v>1</v>
      </c>
      <c r="AA2342" s="960">
        <f t="array" ref="AA2342">HLOOKUP($J2342,'Type Chart'!$C$2:$T$20,8,false)*HLOOKUP($K2342,'Type Chart'!$C$2:$U$20,8,false)</f>
        <v>1</v>
      </c>
      <c r="AB2342" s="960">
        <f t="array" ref="AB2342">HLOOKUP($J2342,'Type Chart'!$C$2:$T$20,9,false)*HLOOKUP($K2342,'Type Chart'!$C$2:$U$20,9,false)</f>
        <v>0.5</v>
      </c>
      <c r="AC2342" s="960">
        <f t="array" ref="AC2342">HLOOKUP($J2342,'Type Chart'!$C$2:$T$20,10,false)*HLOOKUP($K2342,'Type Chart'!$C$2:$U$20,10,false)</f>
        <v>2</v>
      </c>
      <c r="AD2342" s="960">
        <f t="array" ref="AD2342">HLOOKUP($J2342,'Type Chart'!$C$2:$T$20,11,false)*HLOOKUP($K2342,'Type Chart'!$C$2:$U$20,11,false)</f>
        <v>1</v>
      </c>
      <c r="AE2342" s="960">
        <f t="array" ref="AE2342">HLOOKUP($J2342,'Type Chart'!$C$2:$T$20,12,false)*HLOOKUP($K2342,'Type Chart'!$C$2:$U$20,12,false)</f>
        <v>1</v>
      </c>
      <c r="AF2342" s="960">
        <f t="array" ref="AF2342">HLOOKUP($J2342,'Type Chart'!$C$2:$T$20,13,false)*HLOOKUP($K2342,'Type Chart'!$C$2:$U$20,13,false)</f>
        <v>1</v>
      </c>
      <c r="AG2342" s="960">
        <f t="array" ref="AG2342">HLOOKUP($J2342,'Type Chart'!$C$2:$T$20,14,false)*HLOOKUP($K2342,'Type Chart'!$C$2:$U$20,14,false)</f>
        <v>1</v>
      </c>
      <c r="AH2342" s="960">
        <f t="array" ref="AH2342">HLOOKUP($J2342,'Type Chart'!$C$2:$T$20,15,false)*HLOOKUP($K2342,'Type Chart'!$C$2:$U$20,15,false)</f>
        <v>0</v>
      </c>
      <c r="AI2342" s="960">
        <f t="array" ref="AI2342">HLOOKUP($J2342,'Type Chart'!$C$2:$T$20,16,false)*HLOOKUP($K2342,'Type Chart'!$C$2:$U$20,16,false)</f>
        <v>1</v>
      </c>
      <c r="AJ2342" s="960">
        <f t="array" ref="AJ2342">HLOOKUP($J2342,'Type Chart'!$C$2:$T$20,17,false)*HLOOKUP($K2342,'Type Chart'!$C$2:$U$20,17,false)</f>
        <v>0</v>
      </c>
      <c r="AK2342" s="960">
        <f t="array" ref="AK2342">HLOOKUP($J2342,'Type Chart'!$C$2:$T$20,18,false)*HLOOKUP($K2342,'Type Chart'!$C$2:$U$20,18,false)</f>
        <v>0.25</v>
      </c>
      <c r="AL2342" s="960">
        <f t="array" ref="AL2342">HLOOKUP($J2342,'Type Chart'!$C$2:$T$20,19,false)*HLOOKUP($K2342,'Type Chart'!$C$2:$U$20,19,false)</f>
        <v>2</v>
      </c>
      <c r="AM2342" s="964" t="s">
        <v>1813</v>
      </c>
      <c r="AN2342" s="964" t="s">
        <v>1188</v>
      </c>
      <c r="AO2342" s="966" t="s">
        <v>1869</v>
      </c>
      <c r="AP2342" s="936"/>
      <c r="AQ2342" s="1245"/>
      <c r="AR2342" s="1245"/>
      <c r="AS2342" s="936"/>
    </row>
    <row r="2343" ht="15.75" customHeight="1">
      <c r="A2343" s="1099"/>
      <c r="B2343" s="948" t="s">
        <v>4000</v>
      </c>
      <c r="C2343" s="1197" t="s">
        <v>4001</v>
      </c>
      <c r="D2343" s="1197" t="s">
        <v>4001</v>
      </c>
      <c r="E2343" s="1147" t="s">
        <v>4001</v>
      </c>
      <c r="F2343" s="940"/>
      <c r="G2343" s="953"/>
      <c r="H2343" s="969"/>
      <c r="I2343" s="998" t="s">
        <v>5438</v>
      </c>
      <c r="J2343" s="1229" t="s">
        <v>193</v>
      </c>
      <c r="K2343" s="1216" t="s">
        <v>136</v>
      </c>
      <c r="L2343" s="1200">
        <v>93.0</v>
      </c>
      <c r="M2343" s="1201">
        <v>90.0</v>
      </c>
      <c r="N2343" s="1201">
        <v>101.0</v>
      </c>
      <c r="O2343" s="1201">
        <v>60.0</v>
      </c>
      <c r="P2343" s="1201">
        <v>81.0</v>
      </c>
      <c r="Q2343" s="1201">
        <v>95.0</v>
      </c>
      <c r="R2343" s="960">
        <v>226.0</v>
      </c>
      <c r="S2343" s="960">
        <v>289.0</v>
      </c>
      <c r="T2343" s="960">
        <v>317.0</v>
      </c>
      <c r="U2343" s="960">
        <f t="array" ref="U2343">HLOOKUP($J2343,'Type Chart'!$C$2:$T$20,2,false)*HLOOKUP($K2343,'Type Chart'!$C$2:$U$20,2,false)</f>
        <v>1</v>
      </c>
      <c r="V2343" s="960">
        <f t="array" ref="V2343">HLOOKUP($J2343,'Type Chart'!$C$2:$T$20,3,false)*HLOOKUP($K2343,'Type Chart'!$C$2:$U$20,3,false)</f>
        <v>4</v>
      </c>
      <c r="W2343" s="960">
        <f t="array" ref="W2343">HLOOKUP($J2343,'Type Chart'!$C$2:$T$20,4,false)*HLOOKUP($K2343,'Type Chart'!$C$2:$U$20,4,false)</f>
        <v>1</v>
      </c>
      <c r="X2343" s="960">
        <f t="array" ref="X2343">HLOOKUP($J2343,'Type Chart'!$C$2:$T$20,5,false)*HLOOKUP($K2343,'Type Chart'!$C$2:$U$20,5,false)</f>
        <v>1</v>
      </c>
      <c r="Y2343" s="960">
        <f t="array" ref="Y2343">HLOOKUP($J2343,'Type Chart'!$C$2:$T$20,6,false)*HLOOKUP($K2343,'Type Chart'!$C$2:$U$20,6,false)</f>
        <v>1</v>
      </c>
      <c r="Z2343" s="960">
        <f t="array" ref="Z2343">HLOOKUP($J2343,'Type Chart'!$C$2:$T$20,7,false)*HLOOKUP($K2343,'Type Chart'!$C$2:$U$20,7,false)</f>
        <v>1</v>
      </c>
      <c r="AA2343" s="960">
        <f t="array" ref="AA2343">HLOOKUP($J2343,'Type Chart'!$C$2:$T$20,8,false)*HLOOKUP($K2343,'Type Chart'!$C$2:$U$20,8,false)</f>
        <v>2</v>
      </c>
      <c r="AB2343" s="960">
        <f t="array" ref="AB2343">HLOOKUP($J2343,'Type Chart'!$C$2:$T$20,9,false)*HLOOKUP($K2343,'Type Chart'!$C$2:$U$20,9,false)</f>
        <v>0</v>
      </c>
      <c r="AC2343" s="960">
        <f t="array" ref="AC2343">HLOOKUP($J2343,'Type Chart'!$C$2:$T$20,10,false)*HLOOKUP($K2343,'Type Chart'!$C$2:$U$20,10,false)</f>
        <v>1</v>
      </c>
      <c r="AD2343" s="960">
        <f t="array" ref="AD2343">HLOOKUP($J2343,'Type Chart'!$C$2:$T$20,11,false)*HLOOKUP($K2343,'Type Chart'!$C$2:$U$20,11,false)</f>
        <v>1</v>
      </c>
      <c r="AE2343" s="960">
        <f t="array" ref="AE2343">HLOOKUP($J2343,'Type Chart'!$C$2:$T$20,12,false)*HLOOKUP($K2343,'Type Chart'!$C$2:$U$20,12,false)</f>
        <v>1</v>
      </c>
      <c r="AF2343" s="960">
        <f t="array" ref="AF2343">HLOOKUP($J2343,'Type Chart'!$C$2:$T$20,13,false)*HLOOKUP($K2343,'Type Chart'!$C$2:$U$20,13,false)</f>
        <v>1</v>
      </c>
      <c r="AG2343" s="960">
        <f t="array" ref="AG2343">HLOOKUP($J2343,'Type Chart'!$C$2:$T$20,14,false)*HLOOKUP($K2343,'Type Chart'!$C$2:$U$20,14,false)</f>
        <v>1</v>
      </c>
      <c r="AH2343" s="960">
        <f t="array" ref="AH2343">HLOOKUP($J2343,'Type Chart'!$C$2:$T$20,15,false)*HLOOKUP($K2343,'Type Chart'!$C$2:$U$20,15,false)</f>
        <v>0</v>
      </c>
      <c r="AI2343" s="960">
        <f t="array" ref="AI2343">HLOOKUP($J2343,'Type Chart'!$C$2:$T$20,16,false)*HLOOKUP($K2343,'Type Chart'!$C$2:$U$20,16,false)</f>
        <v>1</v>
      </c>
      <c r="AJ2343" s="960">
        <f t="array" ref="AJ2343">HLOOKUP($J2343,'Type Chart'!$C$2:$T$20,17,false)*HLOOKUP($K2343,'Type Chart'!$C$2:$U$20,17,false)</f>
        <v>1</v>
      </c>
      <c r="AK2343" s="960">
        <f t="array" ref="AK2343">HLOOKUP($J2343,'Type Chart'!$C$2:$T$20,18,false)*HLOOKUP($K2343,'Type Chart'!$C$2:$U$20,18,false)</f>
        <v>0.5</v>
      </c>
      <c r="AL2343" s="960">
        <f t="array" ref="AL2343">HLOOKUP($J2343,'Type Chart'!$C$2:$T$20,19,false)*HLOOKUP($K2343,'Type Chart'!$C$2:$U$20,19,false)</f>
        <v>2</v>
      </c>
      <c r="AM2343" s="1145" t="s">
        <v>1497</v>
      </c>
      <c r="AN2343" s="1145" t="s">
        <v>1038</v>
      </c>
      <c r="AO2343" s="1146" t="s">
        <v>1267</v>
      </c>
      <c r="AP2343" s="936"/>
      <c r="AQ2343" s="1245"/>
      <c r="AR2343" s="1245"/>
      <c r="AS2343" s="936"/>
    </row>
    <row r="2344" ht="15.75" customHeight="1">
      <c r="A2344" s="1099"/>
      <c r="B2344" s="948" t="s">
        <v>4003</v>
      </c>
      <c r="C2344" s="1197" t="s">
        <v>4004</v>
      </c>
      <c r="D2344" s="1197" t="s">
        <v>4004</v>
      </c>
      <c r="E2344" s="1147" t="s">
        <v>4004</v>
      </c>
      <c r="F2344" s="940"/>
      <c r="G2344" s="953"/>
      <c r="H2344" s="969"/>
      <c r="I2344" s="998" t="s">
        <v>5439</v>
      </c>
      <c r="J2344" s="1206" t="s">
        <v>82</v>
      </c>
      <c r="K2344" s="984" t="s">
        <v>216</v>
      </c>
      <c r="L2344" s="959">
        <v>70.0</v>
      </c>
      <c r="M2344" s="960">
        <v>110.0</v>
      </c>
      <c r="N2344" s="960">
        <v>100.0</v>
      </c>
      <c r="O2344" s="960">
        <v>50.0</v>
      </c>
      <c r="P2344" s="960">
        <v>60.0</v>
      </c>
      <c r="Q2344" s="960">
        <v>50.0</v>
      </c>
      <c r="R2344" s="960">
        <v>136.0</v>
      </c>
      <c r="S2344" s="960">
        <v>199.0</v>
      </c>
      <c r="T2344" s="960">
        <v>218.0</v>
      </c>
      <c r="U2344" s="960">
        <f t="array" ref="U2344">HLOOKUP($J2344,'Type Chart'!$C$2:$T$20,2,false)*HLOOKUP($K2344,'Type Chart'!$C$2:$U$20,2,false)</f>
        <v>0.5</v>
      </c>
      <c r="V2344" s="960">
        <f t="array" ref="V2344">HLOOKUP($J2344,'Type Chart'!$C$2:$T$20,3,false)*HLOOKUP($K2344,'Type Chart'!$C$2:$U$20,3,false)</f>
        <v>2</v>
      </c>
      <c r="W2344" s="960">
        <f t="array" ref="W2344">HLOOKUP($J2344,'Type Chart'!$C$2:$T$20,4,false)*HLOOKUP($K2344,'Type Chart'!$C$2:$U$20,4,false)</f>
        <v>0.5</v>
      </c>
      <c r="X2344" s="960">
        <f t="array" ref="X2344">HLOOKUP($J2344,'Type Chart'!$C$2:$T$20,5,false)*HLOOKUP($K2344,'Type Chart'!$C$2:$U$20,5,false)</f>
        <v>0</v>
      </c>
      <c r="Y2344" s="960">
        <f t="array" ref="Y2344">HLOOKUP($J2344,'Type Chart'!$C$2:$T$20,6,false)*HLOOKUP($K2344,'Type Chart'!$C$2:$U$20,6,false)</f>
        <v>2</v>
      </c>
      <c r="Z2344" s="960">
        <f t="array" ref="Z2344">HLOOKUP($J2344,'Type Chart'!$C$2:$T$20,7,false)*HLOOKUP($K2344,'Type Chart'!$C$2:$U$20,7,false)</f>
        <v>0.5</v>
      </c>
      <c r="AA2344" s="960">
        <f t="array" ref="AA2344">HLOOKUP($J2344,'Type Chart'!$C$2:$T$20,8,false)*HLOOKUP($K2344,'Type Chart'!$C$2:$U$20,8,false)</f>
        <v>0.5</v>
      </c>
      <c r="AB2344" s="960">
        <f t="array" ref="AB2344">HLOOKUP($J2344,'Type Chart'!$C$2:$T$20,9,false)*HLOOKUP($K2344,'Type Chart'!$C$2:$U$20,9,false)</f>
        <v>1</v>
      </c>
      <c r="AC2344" s="960">
        <f t="array" ref="AC2344">HLOOKUP($J2344,'Type Chart'!$C$2:$T$20,10,false)*HLOOKUP($K2344,'Type Chart'!$C$2:$U$20,10,false)</f>
        <v>0.5</v>
      </c>
      <c r="AD2344" s="960">
        <f t="array" ref="AD2344">HLOOKUP($J2344,'Type Chart'!$C$2:$T$20,11,false)*HLOOKUP($K2344,'Type Chart'!$C$2:$U$20,11,false)</f>
        <v>2</v>
      </c>
      <c r="AE2344" s="960">
        <f t="array" ref="AE2344">HLOOKUP($J2344,'Type Chart'!$C$2:$T$20,12,false)*HLOOKUP($K2344,'Type Chart'!$C$2:$U$20,12,false)</f>
        <v>1</v>
      </c>
      <c r="AF2344" s="960">
        <f t="array" ref="AF2344">HLOOKUP($J2344,'Type Chart'!$C$2:$T$20,13,false)*HLOOKUP($K2344,'Type Chart'!$C$2:$U$20,13,false)</f>
        <v>0.5</v>
      </c>
      <c r="AG2344" s="960">
        <f t="array" ref="AG2344">HLOOKUP($J2344,'Type Chart'!$C$2:$T$20,14,false)*HLOOKUP($K2344,'Type Chart'!$C$2:$U$20,14,false)</f>
        <v>1</v>
      </c>
      <c r="AH2344" s="960">
        <f t="array" ref="AH2344">HLOOKUP($J2344,'Type Chart'!$C$2:$T$20,15,false)*HLOOKUP($K2344,'Type Chart'!$C$2:$U$20,15,false)</f>
        <v>0.5</v>
      </c>
      <c r="AI2344" s="960">
        <f t="array" ref="AI2344">HLOOKUP($J2344,'Type Chart'!$C$2:$T$20,16,false)*HLOOKUP($K2344,'Type Chart'!$C$2:$U$20,16,false)</f>
        <v>0.5</v>
      </c>
      <c r="AJ2344" s="960">
        <f t="array" ref="AJ2344">HLOOKUP($J2344,'Type Chart'!$C$2:$T$20,17,false)*HLOOKUP($K2344,'Type Chart'!$C$2:$U$20,17,false)</f>
        <v>0.5</v>
      </c>
      <c r="AK2344" s="960">
        <f t="array" ref="AK2344">HLOOKUP($J2344,'Type Chart'!$C$2:$T$20,18,false)*HLOOKUP($K2344,'Type Chart'!$C$2:$U$20,18,false)</f>
        <v>1</v>
      </c>
      <c r="AL2344" s="960">
        <f t="array" ref="AL2344">HLOOKUP($J2344,'Type Chart'!$C$2:$T$20,19,false)*HLOOKUP($K2344,'Type Chart'!$C$2:$U$20,19,false)</f>
        <v>0.5</v>
      </c>
      <c r="AM2344" s="964" t="s">
        <v>1487</v>
      </c>
      <c r="AN2344" s="964" t="s">
        <v>932</v>
      </c>
      <c r="AO2344" s="966" t="s">
        <v>4005</v>
      </c>
      <c r="AP2344" s="936"/>
      <c r="AQ2344" s="1245"/>
      <c r="AR2344" s="1245"/>
      <c r="AS2344" s="936"/>
    </row>
    <row r="2345" ht="15.75" customHeight="1">
      <c r="A2345" s="1099"/>
      <c r="B2345" s="948" t="s">
        <v>4006</v>
      </c>
      <c r="C2345" s="1197" t="s">
        <v>4007</v>
      </c>
      <c r="D2345" s="1197" t="s">
        <v>4007</v>
      </c>
      <c r="E2345" s="1147" t="s">
        <v>4007</v>
      </c>
      <c r="F2345" s="940"/>
      <c r="G2345" s="953"/>
      <c r="H2345" s="969"/>
      <c r="I2345" s="998" t="s">
        <v>5440</v>
      </c>
      <c r="J2345" s="1220" t="s">
        <v>215</v>
      </c>
      <c r="K2345" s="984" t="s">
        <v>216</v>
      </c>
      <c r="L2345" s="959">
        <v>60.0</v>
      </c>
      <c r="M2345" s="960">
        <v>95.0</v>
      </c>
      <c r="N2345" s="960">
        <v>50.0</v>
      </c>
      <c r="O2345" s="960">
        <v>145.0</v>
      </c>
      <c r="P2345" s="960">
        <v>130.0</v>
      </c>
      <c r="Q2345" s="960">
        <v>30.0</v>
      </c>
      <c r="R2345" s="960">
        <v>96.0</v>
      </c>
      <c r="S2345" s="960">
        <v>159.0</v>
      </c>
      <c r="T2345" s="960">
        <v>174.0</v>
      </c>
      <c r="U2345" s="960">
        <f t="array" ref="U2345">HLOOKUP($J2345,'Type Chart'!$C$2:$T$20,2,false)*HLOOKUP($K2345,'Type Chart'!$C$2:$U$20,2,false)</f>
        <v>0</v>
      </c>
      <c r="V2345" s="960">
        <f t="array" ref="V2345">HLOOKUP($J2345,'Type Chart'!$C$2:$T$20,3,false)*HLOOKUP($K2345,'Type Chart'!$C$2:$U$20,3,false)</f>
        <v>0</v>
      </c>
      <c r="W2345" s="960">
        <f t="array" ref="W2345">HLOOKUP($J2345,'Type Chart'!$C$2:$T$20,4,false)*HLOOKUP($K2345,'Type Chart'!$C$2:$U$20,4,false)</f>
        <v>1</v>
      </c>
      <c r="X2345" s="960">
        <f t="array" ref="X2345">HLOOKUP($J2345,'Type Chart'!$C$2:$T$20,5,false)*HLOOKUP($K2345,'Type Chart'!$C$2:$U$20,5,false)</f>
        <v>0.5</v>
      </c>
      <c r="Y2345" s="960">
        <f t="array" ref="Y2345">HLOOKUP($J2345,'Type Chart'!$C$2:$T$20,6,false)*HLOOKUP($K2345,'Type Chart'!$C$2:$U$20,6,false)</f>
        <v>1</v>
      </c>
      <c r="Z2345" s="960">
        <f t="array" ref="Z2345">HLOOKUP($J2345,'Type Chart'!$C$2:$T$20,7,false)*HLOOKUP($K2345,'Type Chart'!$C$2:$U$20,7,false)</f>
        <v>1</v>
      </c>
      <c r="AA2345" s="960">
        <f t="array" ref="AA2345">HLOOKUP($J2345,'Type Chart'!$C$2:$T$20,8,false)*HLOOKUP($K2345,'Type Chart'!$C$2:$U$20,8,false)</f>
        <v>0.5</v>
      </c>
      <c r="AB2345" s="960">
        <f t="array" ref="AB2345">HLOOKUP($J2345,'Type Chart'!$C$2:$T$20,9,false)*HLOOKUP($K2345,'Type Chart'!$C$2:$U$20,9,false)</f>
        <v>2</v>
      </c>
      <c r="AC2345" s="960">
        <f t="array" ref="AC2345">HLOOKUP($J2345,'Type Chart'!$C$2:$T$20,10,false)*HLOOKUP($K2345,'Type Chart'!$C$2:$U$20,10,false)</f>
        <v>1</v>
      </c>
      <c r="AD2345" s="960">
        <f t="array" ref="AD2345">HLOOKUP($J2345,'Type Chart'!$C$2:$T$20,11,false)*HLOOKUP($K2345,'Type Chart'!$C$2:$U$20,11,false)</f>
        <v>1</v>
      </c>
      <c r="AE2345" s="960">
        <f t="array" ref="AE2345">HLOOKUP($J2345,'Type Chart'!$C$2:$T$20,12,false)*HLOOKUP($K2345,'Type Chart'!$C$2:$U$20,12,false)</f>
        <v>1</v>
      </c>
      <c r="AF2345" s="960">
        <f t="array" ref="AF2345">HLOOKUP($J2345,'Type Chart'!$C$2:$T$20,13,false)*HLOOKUP($K2345,'Type Chart'!$C$2:$U$20,13,false)</f>
        <v>1</v>
      </c>
      <c r="AG2345" s="960">
        <f t="array" ref="AG2345">HLOOKUP($J2345,'Type Chart'!$C$2:$T$20,14,false)*HLOOKUP($K2345,'Type Chart'!$C$2:$U$20,14,false)</f>
        <v>1</v>
      </c>
      <c r="AH2345" s="960">
        <f t="array" ref="AH2345">HLOOKUP($J2345,'Type Chart'!$C$2:$T$20,15,false)*HLOOKUP($K2345,'Type Chart'!$C$2:$U$20,15,false)</f>
        <v>1</v>
      </c>
      <c r="AI2345" s="960">
        <f t="array" ref="AI2345">HLOOKUP($J2345,'Type Chart'!$C$2:$T$20,16,false)*HLOOKUP($K2345,'Type Chart'!$C$2:$U$20,16,false)</f>
        <v>1</v>
      </c>
      <c r="AJ2345" s="960">
        <f t="array" ref="AJ2345">HLOOKUP($J2345,'Type Chart'!$C$2:$T$20,17,false)*HLOOKUP($K2345,'Type Chart'!$C$2:$U$20,17,false)</f>
        <v>1</v>
      </c>
      <c r="AK2345" s="960">
        <f t="array" ref="AK2345">HLOOKUP($J2345,'Type Chart'!$C$2:$T$20,18,false)*HLOOKUP($K2345,'Type Chart'!$C$2:$U$20,18,false)</f>
        <v>2</v>
      </c>
      <c r="AL2345" s="960">
        <f t="array" ref="AL2345">HLOOKUP($J2345,'Type Chart'!$C$2:$T$20,19,false)*HLOOKUP($K2345,'Type Chart'!$C$2:$U$20,19,false)</f>
        <v>1</v>
      </c>
      <c r="AM2345" s="964" t="s">
        <v>1450</v>
      </c>
      <c r="AN2345" s="965"/>
      <c r="AO2345" s="966" t="s">
        <v>4009</v>
      </c>
      <c r="AP2345" s="936"/>
      <c r="AQ2345" s="1245"/>
      <c r="AR2345" s="1245"/>
      <c r="AS2345" s="936"/>
    </row>
    <row r="2346" ht="15.75" customHeight="1">
      <c r="A2346" s="1099"/>
      <c r="B2346" s="948" t="s">
        <v>4010</v>
      </c>
      <c r="C2346" s="1197" t="s">
        <v>4011</v>
      </c>
      <c r="D2346" s="1197" t="s">
        <v>4011</v>
      </c>
      <c r="E2346" s="1147" t="s">
        <v>4011</v>
      </c>
      <c r="F2346" s="940"/>
      <c r="G2346" s="953"/>
      <c r="H2346" s="969"/>
      <c r="I2346" s="998" t="s">
        <v>5441</v>
      </c>
      <c r="J2346" s="1212" t="s">
        <v>341</v>
      </c>
      <c r="K2346" s="1199" t="s">
        <v>216</v>
      </c>
      <c r="L2346" s="1200">
        <v>62.0</v>
      </c>
      <c r="M2346" s="1201">
        <v>135.0</v>
      </c>
      <c r="N2346" s="1201">
        <v>95.0</v>
      </c>
      <c r="O2346" s="1201">
        <v>68.0</v>
      </c>
      <c r="P2346" s="1201">
        <v>82.0</v>
      </c>
      <c r="Q2346" s="1201">
        <v>65.0</v>
      </c>
      <c r="R2346" s="960">
        <v>166.0</v>
      </c>
      <c r="S2346" s="960">
        <v>229.0</v>
      </c>
      <c r="T2346" s="960">
        <v>251.0</v>
      </c>
      <c r="U2346" s="960">
        <f t="array" ref="U2346">HLOOKUP($J2346,'Type Chart'!$C$2:$T$20,2,false)*HLOOKUP($K2346,'Type Chart'!$C$2:$U$20,2,false)</f>
        <v>1</v>
      </c>
      <c r="V2346" s="960">
        <f t="array" ref="V2346">HLOOKUP($J2346,'Type Chart'!$C$2:$T$20,3,false)*HLOOKUP($K2346,'Type Chart'!$C$2:$U$20,3,false)</f>
        <v>1</v>
      </c>
      <c r="W2346" s="960">
        <f t="array" ref="W2346">HLOOKUP($J2346,'Type Chart'!$C$2:$T$20,4,false)*HLOOKUP($K2346,'Type Chart'!$C$2:$U$20,4,false)</f>
        <v>2</v>
      </c>
      <c r="X2346" s="960">
        <f t="array" ref="X2346">HLOOKUP($J2346,'Type Chart'!$C$2:$T$20,5,false)*HLOOKUP($K2346,'Type Chart'!$C$2:$U$20,5,false)</f>
        <v>1</v>
      </c>
      <c r="Y2346" s="960">
        <f t="array" ref="Y2346">HLOOKUP($J2346,'Type Chart'!$C$2:$T$20,6,false)*HLOOKUP($K2346,'Type Chart'!$C$2:$U$20,6,false)</f>
        <v>1</v>
      </c>
      <c r="Z2346" s="960">
        <f t="array" ref="Z2346">HLOOKUP($J2346,'Type Chart'!$C$2:$T$20,7,false)*HLOOKUP($K2346,'Type Chart'!$C$2:$U$20,7,false)</f>
        <v>0.5</v>
      </c>
      <c r="AA2346" s="960">
        <f t="array" ref="AA2346">HLOOKUP($J2346,'Type Chart'!$C$2:$T$20,8,false)*HLOOKUP($K2346,'Type Chart'!$C$2:$U$20,8,false)</f>
        <v>0.5</v>
      </c>
      <c r="AB2346" s="960">
        <f t="array" ref="AB2346">HLOOKUP($J2346,'Type Chart'!$C$2:$T$20,9,false)*HLOOKUP($K2346,'Type Chart'!$C$2:$U$20,9,false)</f>
        <v>1</v>
      </c>
      <c r="AC2346" s="960">
        <f t="array" ref="AC2346">HLOOKUP($J2346,'Type Chart'!$C$2:$T$20,10,false)*HLOOKUP($K2346,'Type Chart'!$C$2:$U$20,10,false)</f>
        <v>1</v>
      </c>
      <c r="AD2346" s="960">
        <f t="array" ref="AD2346">HLOOKUP($J2346,'Type Chart'!$C$2:$T$20,11,false)*HLOOKUP($K2346,'Type Chart'!$C$2:$U$20,11,false)</f>
        <v>1</v>
      </c>
      <c r="AE2346" s="960">
        <f t="array" ref="AE2346">HLOOKUP($J2346,'Type Chart'!$C$2:$T$20,12,false)*HLOOKUP($K2346,'Type Chart'!$C$2:$U$20,12,false)</f>
        <v>1</v>
      </c>
      <c r="AF2346" s="960">
        <f t="array" ref="AF2346">HLOOKUP($J2346,'Type Chart'!$C$2:$T$20,13,false)*HLOOKUP($K2346,'Type Chart'!$C$2:$U$20,13,false)</f>
        <v>1</v>
      </c>
      <c r="AG2346" s="960">
        <f t="array" ref="AG2346">HLOOKUP($J2346,'Type Chart'!$C$2:$T$20,14,false)*HLOOKUP($K2346,'Type Chart'!$C$2:$U$20,14,false)</f>
        <v>1</v>
      </c>
      <c r="AH2346" s="960">
        <f t="array" ref="AH2346">HLOOKUP($J2346,'Type Chart'!$C$2:$T$20,15,false)*HLOOKUP($K2346,'Type Chart'!$C$2:$U$20,15,false)</f>
        <v>2</v>
      </c>
      <c r="AI2346" s="960">
        <f t="array" ref="AI2346">HLOOKUP($J2346,'Type Chart'!$C$2:$T$20,16,false)*HLOOKUP($K2346,'Type Chart'!$C$2:$U$20,16,false)</f>
        <v>1</v>
      </c>
      <c r="AJ2346" s="960">
        <f t="array" ref="AJ2346">HLOOKUP($J2346,'Type Chart'!$C$2:$T$20,17,false)*HLOOKUP($K2346,'Type Chart'!$C$2:$U$20,17,false)</f>
        <v>1</v>
      </c>
      <c r="AK2346" s="960">
        <f t="array" ref="AK2346">HLOOKUP($J2346,'Type Chart'!$C$2:$T$20,18,false)*HLOOKUP($K2346,'Type Chart'!$C$2:$U$20,18,false)</f>
        <v>0.5</v>
      </c>
      <c r="AL2346" s="960">
        <f t="array" ref="AL2346">HLOOKUP($J2346,'Type Chart'!$C$2:$T$20,19,false)*HLOOKUP($K2346,'Type Chart'!$C$2:$U$20,19,false)</f>
        <v>2</v>
      </c>
      <c r="AM2346" s="1145" t="s">
        <v>1306</v>
      </c>
      <c r="AN2346" s="1202"/>
      <c r="AO2346" s="1146" t="s">
        <v>1399</v>
      </c>
      <c r="AP2346" s="936"/>
      <c r="AQ2346" s="1245"/>
      <c r="AR2346" s="1245"/>
      <c r="AS2346" s="936"/>
    </row>
    <row r="2347" ht="15.75" customHeight="1">
      <c r="A2347" s="1099"/>
      <c r="B2347" s="948" t="s">
        <v>4013</v>
      </c>
      <c r="C2347" s="1197" t="s">
        <v>4014</v>
      </c>
      <c r="D2347" s="1197" t="s">
        <v>4015</v>
      </c>
      <c r="E2347" s="1147" t="s">
        <v>4014</v>
      </c>
      <c r="F2347" s="940"/>
      <c r="G2347" s="953"/>
      <c r="H2347" s="969"/>
      <c r="I2347" s="998" t="s">
        <v>5442</v>
      </c>
      <c r="J2347" s="1205" t="s">
        <v>345</v>
      </c>
      <c r="K2347" s="1203" t="s">
        <v>344</v>
      </c>
      <c r="L2347" s="959">
        <v>80.0</v>
      </c>
      <c r="M2347" s="960">
        <v>85.0</v>
      </c>
      <c r="N2347" s="960">
        <v>75.0</v>
      </c>
      <c r="O2347" s="960">
        <v>110.0</v>
      </c>
      <c r="P2347" s="960">
        <v>100.0</v>
      </c>
      <c r="Q2347" s="960">
        <v>70.0</v>
      </c>
      <c r="R2347" s="960">
        <v>176.0</v>
      </c>
      <c r="S2347" s="960">
        <v>239.0</v>
      </c>
      <c r="T2347" s="960">
        <v>262.0</v>
      </c>
      <c r="U2347" s="960">
        <f t="array" ref="U2347">HLOOKUP($J2347,'Type Chart'!$C$2:$T$20,2,false)*HLOOKUP($K2347,'Type Chart'!$C$2:$U$20,2,false)</f>
        <v>1</v>
      </c>
      <c r="V2347" s="960">
        <f t="array" ref="V2347">HLOOKUP($J2347,'Type Chart'!$C$2:$T$20,3,false)*HLOOKUP($K2347,'Type Chart'!$C$2:$U$20,3,false)</f>
        <v>1</v>
      </c>
      <c r="W2347" s="960">
        <f t="array" ref="W2347">HLOOKUP($J2347,'Type Chart'!$C$2:$T$20,4,false)*HLOOKUP($K2347,'Type Chart'!$C$2:$U$20,4,false)</f>
        <v>1</v>
      </c>
      <c r="X2347" s="960">
        <f t="array" ref="X2347">HLOOKUP($J2347,'Type Chart'!$C$2:$T$20,5,false)*HLOOKUP($K2347,'Type Chart'!$C$2:$U$20,5,false)</f>
        <v>1</v>
      </c>
      <c r="Y2347" s="960">
        <f t="array" ref="Y2347">HLOOKUP($J2347,'Type Chart'!$C$2:$T$20,6,false)*HLOOKUP($K2347,'Type Chart'!$C$2:$U$20,6,false)</f>
        <v>1</v>
      </c>
      <c r="Z2347" s="960">
        <f t="array" ref="Z2347">HLOOKUP($J2347,'Type Chart'!$C$2:$T$20,7,false)*HLOOKUP($K2347,'Type Chart'!$C$2:$U$20,7,false)</f>
        <v>2</v>
      </c>
      <c r="AA2347" s="960">
        <f t="array" ref="AA2347">HLOOKUP($J2347,'Type Chart'!$C$2:$T$20,8,false)*HLOOKUP($K2347,'Type Chart'!$C$2:$U$20,8,false)</f>
        <v>2</v>
      </c>
      <c r="AB2347" s="960">
        <f t="array" ref="AB2347">HLOOKUP($J2347,'Type Chart'!$C$2:$T$20,9,false)*HLOOKUP($K2347,'Type Chart'!$C$2:$U$20,9,false)</f>
        <v>2</v>
      </c>
      <c r="AC2347" s="960">
        <f t="array" ref="AC2347">HLOOKUP($J2347,'Type Chart'!$C$2:$T$20,10,false)*HLOOKUP($K2347,'Type Chart'!$C$2:$U$20,10,false)</f>
        <v>2</v>
      </c>
      <c r="AD2347" s="960">
        <f t="array" ref="AD2347">HLOOKUP($J2347,'Type Chart'!$C$2:$T$20,11,false)*HLOOKUP($K2347,'Type Chart'!$C$2:$U$20,11,false)</f>
        <v>2</v>
      </c>
      <c r="AE2347" s="960">
        <f t="array" ref="AE2347">HLOOKUP($J2347,'Type Chart'!$C$2:$T$20,12,false)*HLOOKUP($K2347,'Type Chart'!$C$2:$U$20,12,false)</f>
        <v>1</v>
      </c>
      <c r="AF2347" s="960">
        <f t="array" ref="AF2347">HLOOKUP($J2347,'Type Chart'!$C$2:$T$20,13,false)*HLOOKUP($K2347,'Type Chart'!$C$2:$U$20,13,false)</f>
        <v>1</v>
      </c>
      <c r="AG2347" s="960">
        <f t="array" ref="AG2347">HLOOKUP($J2347,'Type Chart'!$C$2:$T$20,14,false)*HLOOKUP($K2347,'Type Chart'!$C$2:$U$20,14,false)</f>
        <v>1</v>
      </c>
      <c r="AH2347" s="960">
        <f t="array" ref="AH2347">HLOOKUP($J2347,'Type Chart'!$C$2:$T$20,15,false)*HLOOKUP($K2347,'Type Chart'!$C$2:$U$20,15,false)</f>
        <v>0.5</v>
      </c>
      <c r="AI2347" s="960">
        <f t="array" ref="AI2347">HLOOKUP($J2347,'Type Chart'!$C$2:$T$20,16,false)*HLOOKUP($K2347,'Type Chart'!$C$2:$U$20,16,false)</f>
        <v>0.5</v>
      </c>
      <c r="AJ2347" s="960">
        <f t="array" ref="AJ2347">HLOOKUP($J2347,'Type Chart'!$C$2:$T$20,17,false)*HLOOKUP($K2347,'Type Chart'!$C$2:$U$20,17,false)</f>
        <v>1</v>
      </c>
      <c r="AK2347" s="960">
        <f t="array" ref="AK2347">HLOOKUP($J2347,'Type Chart'!$C$2:$T$20,18,false)*HLOOKUP($K2347,'Type Chart'!$C$2:$U$20,18,false)</f>
        <v>2</v>
      </c>
      <c r="AL2347" s="960">
        <f t="array" ref="AL2347">HLOOKUP($J2347,'Type Chart'!$C$2:$T$20,19,false)*HLOOKUP($K2347,'Type Chart'!$C$2:$U$20,19,false)</f>
        <v>1</v>
      </c>
      <c r="AM2347" s="964" t="s">
        <v>1023</v>
      </c>
      <c r="AN2347" s="964" t="s">
        <v>1563</v>
      </c>
      <c r="AO2347" s="966" t="s">
        <v>1410</v>
      </c>
      <c r="AP2347" s="936"/>
      <c r="AQ2347" s="1245"/>
      <c r="AR2347" s="1245"/>
      <c r="AS2347" s="936"/>
    </row>
    <row r="2348" ht="15.75" customHeight="1">
      <c r="A2348" s="1099"/>
      <c r="B2348" s="948" t="s">
        <v>4017</v>
      </c>
      <c r="C2348" s="1197" t="s">
        <v>4018</v>
      </c>
      <c r="D2348" s="1197" t="s">
        <v>4018</v>
      </c>
      <c r="E2348" s="1147" t="s">
        <v>4018</v>
      </c>
      <c r="F2348" s="940"/>
      <c r="G2348" s="953"/>
      <c r="H2348" s="969"/>
      <c r="I2348" s="998" t="s">
        <v>5443</v>
      </c>
      <c r="J2348" s="1204" t="s">
        <v>80</v>
      </c>
      <c r="K2348" s="1220" t="s">
        <v>215</v>
      </c>
      <c r="L2348" s="959">
        <v>58.0</v>
      </c>
      <c r="M2348" s="960">
        <v>95.0</v>
      </c>
      <c r="N2348" s="960">
        <v>145.0</v>
      </c>
      <c r="O2348" s="960">
        <v>50.0</v>
      </c>
      <c r="P2348" s="960">
        <v>105.0</v>
      </c>
      <c r="Q2348" s="960">
        <v>30.0</v>
      </c>
      <c r="R2348" s="960">
        <v>96.0</v>
      </c>
      <c r="S2348" s="960">
        <v>159.0</v>
      </c>
      <c r="T2348" s="960">
        <v>174.0</v>
      </c>
      <c r="U2348" s="960">
        <f t="array" ref="U2348">HLOOKUP($J2348,'Type Chart'!$C$2:$T$20,2,false)*HLOOKUP($K2348,'Type Chart'!$C$2:$U$20,2,false)</f>
        <v>0</v>
      </c>
      <c r="V2348" s="960">
        <f t="array" ref="V2348">HLOOKUP($J2348,'Type Chart'!$C$2:$T$20,3,false)*HLOOKUP($K2348,'Type Chart'!$C$2:$U$20,3,false)</f>
        <v>0</v>
      </c>
      <c r="W2348" s="960">
        <f t="array" ref="W2348">HLOOKUP($J2348,'Type Chart'!$C$2:$T$20,4,false)*HLOOKUP($K2348,'Type Chart'!$C$2:$U$20,4,false)</f>
        <v>1</v>
      </c>
      <c r="X2348" s="960">
        <f t="array" ref="X2348">HLOOKUP($J2348,'Type Chart'!$C$2:$T$20,5,false)*HLOOKUP($K2348,'Type Chart'!$C$2:$U$20,5,false)</f>
        <v>0.25</v>
      </c>
      <c r="Y2348" s="960">
        <f t="array" ref="Y2348">HLOOKUP($J2348,'Type Chart'!$C$2:$T$20,6,false)*HLOOKUP($K2348,'Type Chart'!$C$2:$U$20,6,false)</f>
        <v>1</v>
      </c>
      <c r="Z2348" s="960">
        <f t="array" ref="Z2348">HLOOKUP($J2348,'Type Chart'!$C$2:$T$20,7,false)*HLOOKUP($K2348,'Type Chart'!$C$2:$U$20,7,false)</f>
        <v>0.5</v>
      </c>
      <c r="AA2348" s="960">
        <f t="array" ref="AA2348">HLOOKUP($J2348,'Type Chart'!$C$2:$T$20,8,false)*HLOOKUP($K2348,'Type Chart'!$C$2:$U$20,8,false)</f>
        <v>0.5</v>
      </c>
      <c r="AB2348" s="960">
        <f t="array" ref="AB2348">HLOOKUP($J2348,'Type Chart'!$C$2:$T$20,9,false)*HLOOKUP($K2348,'Type Chart'!$C$2:$U$20,9,false)</f>
        <v>2</v>
      </c>
      <c r="AC2348" s="960">
        <f t="array" ref="AC2348">HLOOKUP($J2348,'Type Chart'!$C$2:$T$20,10,false)*HLOOKUP($K2348,'Type Chart'!$C$2:$U$20,10,false)</f>
        <v>1</v>
      </c>
      <c r="AD2348" s="960">
        <f t="array" ref="AD2348">HLOOKUP($J2348,'Type Chart'!$C$2:$T$20,11,false)*HLOOKUP($K2348,'Type Chart'!$C$2:$U$20,11,false)</f>
        <v>1</v>
      </c>
      <c r="AE2348" s="960">
        <f t="array" ref="AE2348">HLOOKUP($J2348,'Type Chart'!$C$2:$T$20,12,false)*HLOOKUP($K2348,'Type Chart'!$C$2:$U$20,12,false)</f>
        <v>2</v>
      </c>
      <c r="AF2348" s="960">
        <f t="array" ref="AF2348">HLOOKUP($J2348,'Type Chart'!$C$2:$T$20,13,false)*HLOOKUP($K2348,'Type Chart'!$C$2:$U$20,13,false)</f>
        <v>2</v>
      </c>
      <c r="AG2348" s="960">
        <f t="array" ref="AG2348">HLOOKUP($J2348,'Type Chart'!$C$2:$T$20,14,false)*HLOOKUP($K2348,'Type Chart'!$C$2:$U$20,14,false)</f>
        <v>0</v>
      </c>
      <c r="AH2348" s="960">
        <f t="array" ref="AH2348">HLOOKUP($J2348,'Type Chart'!$C$2:$T$20,15,false)*HLOOKUP($K2348,'Type Chart'!$C$2:$U$20,15,false)</f>
        <v>1</v>
      </c>
      <c r="AI2348" s="960">
        <f t="array" ref="AI2348">HLOOKUP($J2348,'Type Chart'!$C$2:$T$20,16,false)*HLOOKUP($K2348,'Type Chart'!$C$2:$U$20,16,false)</f>
        <v>2</v>
      </c>
      <c r="AJ2348" s="960">
        <f t="array" ref="AJ2348">HLOOKUP($J2348,'Type Chart'!$C$2:$T$20,17,false)*HLOOKUP($K2348,'Type Chart'!$C$2:$U$20,17,false)</f>
        <v>1</v>
      </c>
      <c r="AK2348" s="960">
        <f t="array" ref="AK2348">HLOOKUP($J2348,'Type Chart'!$C$2:$T$20,18,false)*HLOOKUP($K2348,'Type Chart'!$C$2:$U$20,18,false)</f>
        <v>2</v>
      </c>
      <c r="AL2348" s="960">
        <f t="array" ref="AL2348">HLOOKUP($J2348,'Type Chart'!$C$2:$T$20,19,false)*HLOOKUP($K2348,'Type Chart'!$C$2:$U$20,19,false)</f>
        <v>1</v>
      </c>
      <c r="AM2348" s="964" t="s">
        <v>3002</v>
      </c>
      <c r="AN2348" s="965"/>
      <c r="AO2348" s="966"/>
      <c r="AP2348" s="936"/>
      <c r="AQ2348" s="1245"/>
      <c r="AR2348" s="1245"/>
      <c r="AS2348" s="936"/>
    </row>
    <row r="2349" ht="15.75" customHeight="1">
      <c r="A2349" s="1099"/>
      <c r="B2349" s="948" t="s">
        <v>4020</v>
      </c>
      <c r="C2349" s="1197" t="s">
        <v>4021</v>
      </c>
      <c r="D2349" s="1197" t="s">
        <v>4021</v>
      </c>
      <c r="E2349" s="1147" t="s">
        <v>4021</v>
      </c>
      <c r="F2349" s="940"/>
      <c r="G2349" s="953"/>
      <c r="H2349" s="969"/>
      <c r="I2349" s="998" t="s">
        <v>5444</v>
      </c>
      <c r="J2349" s="1207" t="s">
        <v>127</v>
      </c>
      <c r="K2349" s="984" t="s">
        <v>216</v>
      </c>
      <c r="L2349" s="959">
        <v>45.0</v>
      </c>
      <c r="M2349" s="960">
        <v>40.0</v>
      </c>
      <c r="N2349" s="960">
        <v>40.0</v>
      </c>
      <c r="O2349" s="960">
        <v>50.0</v>
      </c>
      <c r="P2349" s="960">
        <v>61.0</v>
      </c>
      <c r="Q2349" s="960">
        <v>34.0</v>
      </c>
      <c r="R2349" s="960">
        <v>104.0</v>
      </c>
      <c r="S2349" s="960">
        <v>167.0</v>
      </c>
      <c r="T2349" s="960">
        <v>183.0</v>
      </c>
      <c r="U2349" s="960">
        <f t="array" ref="U2349">HLOOKUP($J2349,'Type Chart'!$C$2:$T$20,2,false)*HLOOKUP($K2349,'Type Chart'!$C$2:$U$20,2,false)</f>
        <v>1</v>
      </c>
      <c r="V2349" s="960">
        <f t="array" ref="V2349">HLOOKUP($J2349,'Type Chart'!$C$2:$T$20,3,false)*HLOOKUP($K2349,'Type Chart'!$C$2:$U$20,3,false)</f>
        <v>0.5</v>
      </c>
      <c r="W2349" s="960">
        <f t="array" ref="W2349">HLOOKUP($J2349,'Type Chart'!$C$2:$T$20,4,false)*HLOOKUP($K2349,'Type Chart'!$C$2:$U$20,4,false)</f>
        <v>1</v>
      </c>
      <c r="X2349" s="960">
        <f t="array" ref="X2349">HLOOKUP($J2349,'Type Chart'!$C$2:$T$20,5,false)*HLOOKUP($K2349,'Type Chart'!$C$2:$U$20,5,false)</f>
        <v>2</v>
      </c>
      <c r="Y2349" s="960">
        <f t="array" ref="Y2349">HLOOKUP($J2349,'Type Chart'!$C$2:$T$20,6,false)*HLOOKUP($K2349,'Type Chart'!$C$2:$U$20,6,false)</f>
        <v>1</v>
      </c>
      <c r="Z2349" s="960">
        <f t="array" ref="Z2349">HLOOKUP($J2349,'Type Chart'!$C$2:$T$20,7,false)*HLOOKUP($K2349,'Type Chart'!$C$2:$U$20,7,false)</f>
        <v>1</v>
      </c>
      <c r="AA2349" s="960">
        <f t="array" ref="AA2349">HLOOKUP($J2349,'Type Chart'!$C$2:$T$20,8,false)*HLOOKUP($K2349,'Type Chart'!$C$2:$U$20,8,false)</f>
        <v>0.5</v>
      </c>
      <c r="AB2349" s="960">
        <f t="array" ref="AB2349">HLOOKUP($J2349,'Type Chart'!$C$2:$T$20,9,false)*HLOOKUP($K2349,'Type Chart'!$C$2:$U$20,9,false)</f>
        <v>1</v>
      </c>
      <c r="AC2349" s="960">
        <f t="array" ref="AC2349">HLOOKUP($J2349,'Type Chart'!$C$2:$T$20,10,false)*HLOOKUP($K2349,'Type Chart'!$C$2:$U$20,10,false)</f>
        <v>2</v>
      </c>
      <c r="AD2349" s="960">
        <f t="array" ref="AD2349">HLOOKUP($J2349,'Type Chart'!$C$2:$T$20,11,false)*HLOOKUP($K2349,'Type Chart'!$C$2:$U$20,11,false)</f>
        <v>1</v>
      </c>
      <c r="AE2349" s="960">
        <f t="array" ref="AE2349">HLOOKUP($J2349,'Type Chart'!$C$2:$T$20,12,false)*HLOOKUP($K2349,'Type Chart'!$C$2:$U$20,12,false)</f>
        <v>1</v>
      </c>
      <c r="AF2349" s="960">
        <f t="array" ref="AF2349">HLOOKUP($J2349,'Type Chart'!$C$2:$T$20,13,false)*HLOOKUP($K2349,'Type Chart'!$C$2:$U$20,13,false)</f>
        <v>1</v>
      </c>
      <c r="AG2349" s="960">
        <f t="array" ref="AG2349">HLOOKUP($J2349,'Type Chart'!$C$2:$T$20,14,false)*HLOOKUP($K2349,'Type Chart'!$C$2:$U$20,14,false)</f>
        <v>1</v>
      </c>
      <c r="AH2349" s="960">
        <f t="array" ref="AH2349">HLOOKUP($J2349,'Type Chart'!$C$2:$T$20,15,false)*HLOOKUP($K2349,'Type Chart'!$C$2:$U$20,15,false)</f>
        <v>1</v>
      </c>
      <c r="AI2349" s="960">
        <f t="array" ref="AI2349">HLOOKUP($J2349,'Type Chart'!$C$2:$T$20,16,false)*HLOOKUP($K2349,'Type Chart'!$C$2:$U$20,16,false)</f>
        <v>1</v>
      </c>
      <c r="AJ2349" s="960">
        <f t="array" ref="AJ2349">HLOOKUP($J2349,'Type Chart'!$C$2:$T$20,17,false)*HLOOKUP($K2349,'Type Chart'!$C$2:$U$20,17,false)</f>
        <v>0</v>
      </c>
      <c r="AK2349" s="960">
        <f t="array" ref="AK2349">HLOOKUP($J2349,'Type Chart'!$C$2:$T$20,18,false)*HLOOKUP($K2349,'Type Chart'!$C$2:$U$20,18,false)</f>
        <v>0.5</v>
      </c>
      <c r="AL2349" s="960">
        <f t="array" ref="AL2349">HLOOKUP($J2349,'Type Chart'!$C$2:$T$20,19,false)*HLOOKUP($K2349,'Type Chart'!$C$2:$U$20,19,false)</f>
        <v>1</v>
      </c>
      <c r="AM2349" s="964" t="s">
        <v>3380</v>
      </c>
      <c r="AN2349" s="965"/>
      <c r="AO2349" s="966" t="s">
        <v>3373</v>
      </c>
      <c r="AP2349" s="936"/>
      <c r="AQ2349" s="1245"/>
      <c r="AR2349" s="1245"/>
      <c r="AS2349" s="936"/>
    </row>
    <row r="2350" ht="15.75" customHeight="1">
      <c r="A2350" s="1099"/>
      <c r="B2350" s="948" t="s">
        <v>4023</v>
      </c>
      <c r="C2350" s="1197" t="s">
        <v>4024</v>
      </c>
      <c r="D2350" s="1197" t="s">
        <v>4024</v>
      </c>
      <c r="E2350" s="1147" t="s">
        <v>4024</v>
      </c>
      <c r="F2350" s="940"/>
      <c r="G2350" s="953"/>
      <c r="H2350" s="969"/>
      <c r="I2350" s="998" t="s">
        <v>5445</v>
      </c>
      <c r="J2350" s="1207" t="s">
        <v>127</v>
      </c>
      <c r="K2350" s="984" t="s">
        <v>216</v>
      </c>
      <c r="L2350" s="959">
        <v>65.0</v>
      </c>
      <c r="M2350" s="960">
        <v>60.0</v>
      </c>
      <c r="N2350" s="960">
        <v>75.0</v>
      </c>
      <c r="O2350" s="960">
        <v>110.0</v>
      </c>
      <c r="P2350" s="960">
        <v>121.0</v>
      </c>
      <c r="Q2350" s="960">
        <v>64.0</v>
      </c>
      <c r="R2350" s="960">
        <v>164.0</v>
      </c>
      <c r="S2350" s="960">
        <v>227.0</v>
      </c>
      <c r="T2350" s="960">
        <v>249.0</v>
      </c>
      <c r="U2350" s="960">
        <f t="array" ref="U2350">HLOOKUP($J2350,'Type Chart'!$C$2:$T$20,2,false)*HLOOKUP($K2350,'Type Chart'!$C$2:$U$20,2,false)</f>
        <v>1</v>
      </c>
      <c r="V2350" s="960">
        <f t="array" ref="V2350">HLOOKUP($J2350,'Type Chart'!$C$2:$T$20,3,false)*HLOOKUP($K2350,'Type Chart'!$C$2:$U$20,3,false)</f>
        <v>0.5</v>
      </c>
      <c r="W2350" s="960">
        <f t="array" ref="W2350">HLOOKUP($J2350,'Type Chart'!$C$2:$T$20,4,false)*HLOOKUP($K2350,'Type Chart'!$C$2:$U$20,4,false)</f>
        <v>1</v>
      </c>
      <c r="X2350" s="960">
        <f t="array" ref="X2350">HLOOKUP($J2350,'Type Chart'!$C$2:$T$20,5,false)*HLOOKUP($K2350,'Type Chart'!$C$2:$U$20,5,false)</f>
        <v>2</v>
      </c>
      <c r="Y2350" s="960">
        <f t="array" ref="Y2350">HLOOKUP($J2350,'Type Chart'!$C$2:$T$20,6,false)*HLOOKUP($K2350,'Type Chart'!$C$2:$U$20,6,false)</f>
        <v>1</v>
      </c>
      <c r="Z2350" s="960">
        <f t="array" ref="Z2350">HLOOKUP($J2350,'Type Chart'!$C$2:$T$20,7,false)*HLOOKUP($K2350,'Type Chart'!$C$2:$U$20,7,false)</f>
        <v>1</v>
      </c>
      <c r="AA2350" s="960">
        <f t="array" ref="AA2350">HLOOKUP($J2350,'Type Chart'!$C$2:$T$20,8,false)*HLOOKUP($K2350,'Type Chart'!$C$2:$U$20,8,false)</f>
        <v>0.5</v>
      </c>
      <c r="AB2350" s="960">
        <f t="array" ref="AB2350">HLOOKUP($J2350,'Type Chart'!$C$2:$T$20,9,false)*HLOOKUP($K2350,'Type Chart'!$C$2:$U$20,9,false)</f>
        <v>1</v>
      </c>
      <c r="AC2350" s="960">
        <f t="array" ref="AC2350">HLOOKUP($J2350,'Type Chart'!$C$2:$T$20,10,false)*HLOOKUP($K2350,'Type Chart'!$C$2:$U$20,10,false)</f>
        <v>2</v>
      </c>
      <c r="AD2350" s="960">
        <f t="array" ref="AD2350">HLOOKUP($J2350,'Type Chart'!$C$2:$T$20,11,false)*HLOOKUP($K2350,'Type Chart'!$C$2:$U$20,11,false)</f>
        <v>1</v>
      </c>
      <c r="AE2350" s="960">
        <f t="array" ref="AE2350">HLOOKUP($J2350,'Type Chart'!$C$2:$T$20,12,false)*HLOOKUP($K2350,'Type Chart'!$C$2:$U$20,12,false)</f>
        <v>1</v>
      </c>
      <c r="AF2350" s="960">
        <f t="array" ref="AF2350">HLOOKUP($J2350,'Type Chart'!$C$2:$T$20,13,false)*HLOOKUP($K2350,'Type Chart'!$C$2:$U$20,13,false)</f>
        <v>1</v>
      </c>
      <c r="AG2350" s="960">
        <f t="array" ref="AG2350">HLOOKUP($J2350,'Type Chart'!$C$2:$T$20,14,false)*HLOOKUP($K2350,'Type Chart'!$C$2:$U$20,14,false)</f>
        <v>1</v>
      </c>
      <c r="AH2350" s="960">
        <f t="array" ref="AH2350">HLOOKUP($J2350,'Type Chart'!$C$2:$T$20,15,false)*HLOOKUP($K2350,'Type Chart'!$C$2:$U$20,15,false)</f>
        <v>1</v>
      </c>
      <c r="AI2350" s="960">
        <f t="array" ref="AI2350">HLOOKUP($J2350,'Type Chart'!$C$2:$T$20,16,false)*HLOOKUP($K2350,'Type Chart'!$C$2:$U$20,16,false)</f>
        <v>1</v>
      </c>
      <c r="AJ2350" s="960">
        <f t="array" ref="AJ2350">HLOOKUP($J2350,'Type Chart'!$C$2:$T$20,17,false)*HLOOKUP($K2350,'Type Chart'!$C$2:$U$20,17,false)</f>
        <v>0</v>
      </c>
      <c r="AK2350" s="960">
        <f t="array" ref="AK2350">HLOOKUP($J2350,'Type Chart'!$C$2:$T$20,18,false)*HLOOKUP($K2350,'Type Chart'!$C$2:$U$20,18,false)</f>
        <v>0.5</v>
      </c>
      <c r="AL2350" s="960">
        <f t="array" ref="AL2350">HLOOKUP($J2350,'Type Chart'!$C$2:$T$20,19,false)*HLOOKUP($K2350,'Type Chart'!$C$2:$U$20,19,false)</f>
        <v>1</v>
      </c>
      <c r="AM2350" s="964" t="s">
        <v>3380</v>
      </c>
      <c r="AN2350" s="965"/>
      <c r="AO2350" s="966" t="s">
        <v>3373</v>
      </c>
      <c r="AP2350" s="936"/>
      <c r="AQ2350" s="1245"/>
      <c r="AR2350" s="1245"/>
      <c r="AS2350" s="936"/>
    </row>
    <row r="2351" ht="15.75" customHeight="1">
      <c r="A2351" s="1099"/>
      <c r="B2351" s="948" t="s">
        <v>4025</v>
      </c>
      <c r="C2351" s="1197" t="s">
        <v>4026</v>
      </c>
      <c r="D2351" s="1197" t="s">
        <v>4026</v>
      </c>
      <c r="E2351" s="1147" t="s">
        <v>4026</v>
      </c>
      <c r="F2351" s="940"/>
      <c r="G2351" s="953"/>
      <c r="H2351" s="969"/>
      <c r="I2351" s="998" t="s">
        <v>5446</v>
      </c>
      <c r="J2351" s="1213" t="s">
        <v>341</v>
      </c>
      <c r="K2351" s="984" t="s">
        <v>216</v>
      </c>
      <c r="L2351" s="959">
        <v>65.0</v>
      </c>
      <c r="M2351" s="960">
        <v>100.0</v>
      </c>
      <c r="N2351" s="960">
        <v>100.0</v>
      </c>
      <c r="O2351" s="960">
        <v>70.0</v>
      </c>
      <c r="P2351" s="960">
        <v>60.0</v>
      </c>
      <c r="Q2351" s="960">
        <v>75.0</v>
      </c>
      <c r="R2351" s="960">
        <v>186.0</v>
      </c>
      <c r="S2351" s="960">
        <v>249.0</v>
      </c>
      <c r="T2351" s="960">
        <v>273.0</v>
      </c>
      <c r="U2351" s="960">
        <f t="array" ref="U2351">HLOOKUP($J2351,'Type Chart'!$C$2:$T$20,2,false)*HLOOKUP($K2351,'Type Chart'!$C$2:$U$20,2,false)</f>
        <v>1</v>
      </c>
      <c r="V2351" s="960">
        <f t="array" ref="V2351">HLOOKUP($J2351,'Type Chart'!$C$2:$T$20,3,false)*HLOOKUP($K2351,'Type Chart'!$C$2:$U$20,3,false)</f>
        <v>1</v>
      </c>
      <c r="W2351" s="960">
        <f t="array" ref="W2351">HLOOKUP($J2351,'Type Chart'!$C$2:$T$20,4,false)*HLOOKUP($K2351,'Type Chart'!$C$2:$U$20,4,false)</f>
        <v>2</v>
      </c>
      <c r="X2351" s="960">
        <f t="array" ref="X2351">HLOOKUP($J2351,'Type Chart'!$C$2:$T$20,5,false)*HLOOKUP($K2351,'Type Chart'!$C$2:$U$20,5,false)</f>
        <v>1</v>
      </c>
      <c r="Y2351" s="960">
        <f t="array" ref="Y2351">HLOOKUP($J2351,'Type Chart'!$C$2:$T$20,6,false)*HLOOKUP($K2351,'Type Chart'!$C$2:$U$20,6,false)</f>
        <v>1</v>
      </c>
      <c r="Z2351" s="960">
        <f t="array" ref="Z2351">HLOOKUP($J2351,'Type Chart'!$C$2:$T$20,7,false)*HLOOKUP($K2351,'Type Chart'!$C$2:$U$20,7,false)</f>
        <v>0.5</v>
      </c>
      <c r="AA2351" s="960">
        <f t="array" ref="AA2351">HLOOKUP($J2351,'Type Chart'!$C$2:$T$20,8,false)*HLOOKUP($K2351,'Type Chart'!$C$2:$U$20,8,false)</f>
        <v>0.5</v>
      </c>
      <c r="AB2351" s="960">
        <f t="array" ref="AB2351">HLOOKUP($J2351,'Type Chart'!$C$2:$T$20,9,false)*HLOOKUP($K2351,'Type Chart'!$C$2:$U$20,9,false)</f>
        <v>1</v>
      </c>
      <c r="AC2351" s="960">
        <f t="array" ref="AC2351">HLOOKUP($J2351,'Type Chart'!$C$2:$T$20,10,false)*HLOOKUP($K2351,'Type Chart'!$C$2:$U$20,10,false)</f>
        <v>1</v>
      </c>
      <c r="AD2351" s="960">
        <f t="array" ref="AD2351">HLOOKUP($J2351,'Type Chart'!$C$2:$T$20,11,false)*HLOOKUP($K2351,'Type Chart'!$C$2:$U$20,11,false)</f>
        <v>1</v>
      </c>
      <c r="AE2351" s="960">
        <f t="array" ref="AE2351">HLOOKUP($J2351,'Type Chart'!$C$2:$T$20,12,false)*HLOOKUP($K2351,'Type Chart'!$C$2:$U$20,12,false)</f>
        <v>1</v>
      </c>
      <c r="AF2351" s="960">
        <f t="array" ref="AF2351">HLOOKUP($J2351,'Type Chart'!$C$2:$T$20,13,false)*HLOOKUP($K2351,'Type Chart'!$C$2:$U$20,13,false)</f>
        <v>1</v>
      </c>
      <c r="AG2351" s="960">
        <f t="array" ref="AG2351">HLOOKUP($J2351,'Type Chart'!$C$2:$T$20,14,false)*HLOOKUP($K2351,'Type Chart'!$C$2:$U$20,14,false)</f>
        <v>1</v>
      </c>
      <c r="AH2351" s="960">
        <f t="array" ref="AH2351">HLOOKUP($J2351,'Type Chart'!$C$2:$T$20,15,false)*HLOOKUP($K2351,'Type Chart'!$C$2:$U$20,15,false)</f>
        <v>2</v>
      </c>
      <c r="AI2351" s="960">
        <f t="array" ref="AI2351">HLOOKUP($J2351,'Type Chart'!$C$2:$T$20,16,false)*HLOOKUP($K2351,'Type Chart'!$C$2:$U$20,16,false)</f>
        <v>1</v>
      </c>
      <c r="AJ2351" s="960">
        <f t="array" ref="AJ2351">HLOOKUP($J2351,'Type Chart'!$C$2:$T$20,17,false)*HLOOKUP($K2351,'Type Chart'!$C$2:$U$20,17,false)</f>
        <v>1</v>
      </c>
      <c r="AK2351" s="960">
        <f t="array" ref="AK2351">HLOOKUP($J2351,'Type Chart'!$C$2:$T$20,18,false)*HLOOKUP($K2351,'Type Chart'!$C$2:$U$20,18,false)</f>
        <v>0.5</v>
      </c>
      <c r="AL2351" s="960">
        <f t="array" ref="AL2351">HLOOKUP($J2351,'Type Chart'!$C$2:$T$20,19,false)*HLOOKUP($K2351,'Type Chart'!$C$2:$U$20,19,false)</f>
        <v>2</v>
      </c>
      <c r="AM2351" s="964" t="s">
        <v>1487</v>
      </c>
      <c r="AN2351" s="965"/>
      <c r="AO2351" s="966" t="s">
        <v>1267</v>
      </c>
      <c r="AP2351" s="936"/>
      <c r="AQ2351" s="1245"/>
      <c r="AR2351" s="1245"/>
      <c r="AS2351" s="936"/>
    </row>
    <row r="2352" ht="15.75" customHeight="1">
      <c r="A2352" s="1099"/>
      <c r="B2352" s="948" t="s">
        <v>4027</v>
      </c>
      <c r="C2352" s="1197" t="s">
        <v>4028</v>
      </c>
      <c r="D2352" s="1197" t="s">
        <v>4028</v>
      </c>
      <c r="E2352" s="1147" t="s">
        <v>4028</v>
      </c>
      <c r="F2352" s="940"/>
      <c r="G2352" s="953"/>
      <c r="H2352" s="969"/>
      <c r="I2352" s="998" t="s">
        <v>5447</v>
      </c>
      <c r="J2352" s="1196" t="s">
        <v>203</v>
      </c>
      <c r="K2352" s="984" t="s">
        <v>216</v>
      </c>
      <c r="L2352" s="959">
        <v>48.0</v>
      </c>
      <c r="M2352" s="960">
        <v>101.0</v>
      </c>
      <c r="N2352" s="960">
        <v>95.0</v>
      </c>
      <c r="O2352" s="960">
        <v>91.0</v>
      </c>
      <c r="P2352" s="960">
        <v>85.0</v>
      </c>
      <c r="Q2352" s="960">
        <v>15.0</v>
      </c>
      <c r="R2352" s="960">
        <v>66.0</v>
      </c>
      <c r="S2352" s="960">
        <v>129.0</v>
      </c>
      <c r="T2352" s="960">
        <v>141.0</v>
      </c>
      <c r="U2352" s="960">
        <f t="array" ref="U2352">HLOOKUP($J2352,'Type Chart'!$C$2:$T$20,2,false)*HLOOKUP($K2352,'Type Chart'!$C$2:$U$20,2,false)</f>
        <v>1</v>
      </c>
      <c r="V2352" s="960">
        <f t="array" ref="V2352">HLOOKUP($J2352,'Type Chart'!$C$2:$T$20,3,false)*HLOOKUP($K2352,'Type Chart'!$C$2:$U$20,3,false)</f>
        <v>1</v>
      </c>
      <c r="W2352" s="960">
        <f t="array" ref="W2352">HLOOKUP($J2352,'Type Chart'!$C$2:$T$20,4,false)*HLOOKUP($K2352,'Type Chart'!$C$2:$U$20,4,false)</f>
        <v>0.5</v>
      </c>
      <c r="X2352" s="960">
        <f t="array" ref="X2352">HLOOKUP($J2352,'Type Chart'!$C$2:$T$20,5,false)*HLOOKUP($K2352,'Type Chart'!$C$2:$U$20,5,false)</f>
        <v>1</v>
      </c>
      <c r="Y2352" s="960">
        <f t="array" ref="Y2352">HLOOKUP($J2352,'Type Chart'!$C$2:$T$20,6,false)*HLOOKUP($K2352,'Type Chart'!$C$2:$U$20,6,false)</f>
        <v>2</v>
      </c>
      <c r="Z2352" s="960">
        <f t="array" ref="Z2352">HLOOKUP($J2352,'Type Chart'!$C$2:$T$20,7,false)*HLOOKUP($K2352,'Type Chart'!$C$2:$U$20,7,false)</f>
        <v>1</v>
      </c>
      <c r="AA2352" s="960">
        <f t="array" ref="AA2352">HLOOKUP($J2352,'Type Chart'!$C$2:$T$20,8,false)*HLOOKUP($K2352,'Type Chart'!$C$2:$U$20,8,false)</f>
        <v>1</v>
      </c>
      <c r="AB2352" s="960">
        <f t="array" ref="AB2352">HLOOKUP($J2352,'Type Chart'!$C$2:$T$20,9,false)*HLOOKUP($K2352,'Type Chart'!$C$2:$U$20,9,false)</f>
        <v>1</v>
      </c>
      <c r="AC2352" s="960">
        <f t="array" ref="AC2352">HLOOKUP($J2352,'Type Chart'!$C$2:$T$20,10,false)*HLOOKUP($K2352,'Type Chart'!$C$2:$U$20,10,false)</f>
        <v>0.5</v>
      </c>
      <c r="AD2352" s="960">
        <f t="array" ref="AD2352">HLOOKUP($J2352,'Type Chart'!$C$2:$T$20,11,false)*HLOOKUP($K2352,'Type Chart'!$C$2:$U$20,11,false)</f>
        <v>1</v>
      </c>
      <c r="AE2352" s="960">
        <f t="array" ref="AE2352">HLOOKUP($J2352,'Type Chart'!$C$2:$T$20,12,false)*HLOOKUP($K2352,'Type Chart'!$C$2:$U$20,12,false)</f>
        <v>1</v>
      </c>
      <c r="AF2352" s="960">
        <f t="array" ref="AF2352">HLOOKUP($J2352,'Type Chart'!$C$2:$T$20,13,false)*HLOOKUP($K2352,'Type Chart'!$C$2:$U$20,13,false)</f>
        <v>1</v>
      </c>
      <c r="AG2352" s="960">
        <f t="array" ref="AG2352">HLOOKUP($J2352,'Type Chart'!$C$2:$T$20,14,false)*HLOOKUP($K2352,'Type Chart'!$C$2:$U$20,14,false)</f>
        <v>0.5</v>
      </c>
      <c r="AH2352" s="960">
        <f t="array" ref="AH2352">HLOOKUP($J2352,'Type Chart'!$C$2:$T$20,15,false)*HLOOKUP($K2352,'Type Chart'!$C$2:$U$20,15,false)</f>
        <v>1</v>
      </c>
      <c r="AI2352" s="960">
        <f t="array" ref="AI2352">HLOOKUP($J2352,'Type Chart'!$C$2:$T$20,16,false)*HLOOKUP($K2352,'Type Chart'!$C$2:$U$20,16,false)</f>
        <v>1</v>
      </c>
      <c r="AJ2352" s="960">
        <f t="array" ref="AJ2352">HLOOKUP($J2352,'Type Chart'!$C$2:$T$20,17,false)*HLOOKUP($K2352,'Type Chart'!$C$2:$U$20,17,false)</f>
        <v>1</v>
      </c>
      <c r="AK2352" s="960">
        <f t="array" ref="AK2352">HLOOKUP($J2352,'Type Chart'!$C$2:$T$20,18,false)*HLOOKUP($K2352,'Type Chart'!$C$2:$U$20,18,false)</f>
        <v>1</v>
      </c>
      <c r="AL2352" s="960">
        <f t="array" ref="AL2352">HLOOKUP($J2352,'Type Chart'!$C$2:$T$20,19,false)*HLOOKUP($K2352,'Type Chart'!$C$2:$U$20,19,false)</f>
        <v>1</v>
      </c>
      <c r="AM2352" s="964" t="s">
        <v>4029</v>
      </c>
      <c r="AN2352" s="965"/>
      <c r="AO2352" s="966" t="s">
        <v>3758</v>
      </c>
      <c r="AP2352" s="936"/>
      <c r="AQ2352" s="1245"/>
      <c r="AR2352" s="1245"/>
      <c r="AS2352" s="936"/>
    </row>
    <row r="2353" ht="15.75" customHeight="1">
      <c r="A2353" s="1099"/>
      <c r="B2353" s="948" t="s">
        <v>4030</v>
      </c>
      <c r="C2353" s="1197" t="s">
        <v>4031</v>
      </c>
      <c r="D2353" s="1197" t="s">
        <v>4031</v>
      </c>
      <c r="E2353" s="1147" t="s">
        <v>4031</v>
      </c>
      <c r="F2353" s="940"/>
      <c r="G2353" s="953"/>
      <c r="H2353" s="969"/>
      <c r="I2353" s="998" t="s">
        <v>5448</v>
      </c>
      <c r="J2353" s="1224" t="s">
        <v>345</v>
      </c>
      <c r="K2353" s="1225" t="s">
        <v>343</v>
      </c>
      <c r="L2353" s="1200">
        <v>30.0</v>
      </c>
      <c r="M2353" s="1201">
        <v>25.0</v>
      </c>
      <c r="N2353" s="1201">
        <v>35.0</v>
      </c>
      <c r="O2353" s="1201">
        <v>45.0</v>
      </c>
      <c r="P2353" s="1201">
        <v>30.0</v>
      </c>
      <c r="Q2353" s="1201">
        <v>20.0</v>
      </c>
      <c r="R2353" s="960">
        <v>76.0</v>
      </c>
      <c r="S2353" s="960">
        <v>139.0</v>
      </c>
      <c r="T2353" s="960">
        <v>152.0</v>
      </c>
      <c r="U2353" s="960">
        <f t="array" ref="U2353">HLOOKUP($J2353,'Type Chart'!$C$2:$T$20,2,false)*HLOOKUP($K2353,'Type Chart'!$C$2:$U$20,2,false)</f>
        <v>1</v>
      </c>
      <c r="V2353" s="960">
        <f t="array" ref="V2353">HLOOKUP($J2353,'Type Chart'!$C$2:$T$20,3,false)*HLOOKUP($K2353,'Type Chart'!$C$2:$U$20,3,false)</f>
        <v>1</v>
      </c>
      <c r="W2353" s="960">
        <f t="array" ref="W2353">HLOOKUP($J2353,'Type Chart'!$C$2:$T$20,4,false)*HLOOKUP($K2353,'Type Chart'!$C$2:$U$20,4,false)</f>
        <v>2</v>
      </c>
      <c r="X2353" s="960">
        <f t="array" ref="X2353">HLOOKUP($J2353,'Type Chart'!$C$2:$T$20,5,false)*HLOOKUP($K2353,'Type Chart'!$C$2:$U$20,5,false)</f>
        <v>1</v>
      </c>
      <c r="Y2353" s="960">
        <f t="array" ref="Y2353">HLOOKUP($J2353,'Type Chart'!$C$2:$T$20,6,false)*HLOOKUP($K2353,'Type Chart'!$C$2:$U$20,6,false)</f>
        <v>0.5</v>
      </c>
      <c r="Z2353" s="960">
        <f t="array" ref="Z2353">HLOOKUP($J2353,'Type Chart'!$C$2:$T$20,7,false)*HLOOKUP($K2353,'Type Chart'!$C$2:$U$20,7,false)</f>
        <v>4</v>
      </c>
      <c r="AA2353" s="960">
        <f t="array" ref="AA2353">HLOOKUP($J2353,'Type Chart'!$C$2:$T$20,8,false)*HLOOKUP($K2353,'Type Chart'!$C$2:$U$20,8,false)</f>
        <v>1</v>
      </c>
      <c r="AB2353" s="960">
        <f t="array" ref="AB2353">HLOOKUP($J2353,'Type Chart'!$C$2:$T$20,9,false)*HLOOKUP($K2353,'Type Chart'!$C$2:$U$20,9,false)</f>
        <v>1</v>
      </c>
      <c r="AC2353" s="960">
        <f t="array" ref="AC2353">HLOOKUP($J2353,'Type Chart'!$C$2:$T$20,10,false)*HLOOKUP($K2353,'Type Chart'!$C$2:$U$20,10,false)</f>
        <v>2</v>
      </c>
      <c r="AD2353" s="960">
        <f t="array" ref="AD2353">HLOOKUP($J2353,'Type Chart'!$C$2:$T$20,11,false)*HLOOKUP($K2353,'Type Chart'!$C$2:$U$20,11,false)</f>
        <v>4</v>
      </c>
      <c r="AE2353" s="960">
        <f t="array" ref="AE2353">HLOOKUP($J2353,'Type Chart'!$C$2:$T$20,12,false)*HLOOKUP($K2353,'Type Chart'!$C$2:$U$20,12,false)</f>
        <v>1</v>
      </c>
      <c r="AF2353" s="960">
        <f t="array" ref="AF2353">HLOOKUP($J2353,'Type Chart'!$C$2:$T$20,13,false)*HLOOKUP($K2353,'Type Chart'!$C$2:$U$20,13,false)</f>
        <v>0.5</v>
      </c>
      <c r="AG2353" s="960">
        <f t="array" ref="AG2353">HLOOKUP($J2353,'Type Chart'!$C$2:$T$20,14,false)*HLOOKUP($K2353,'Type Chart'!$C$2:$U$20,14,false)</f>
        <v>1</v>
      </c>
      <c r="AH2353" s="960">
        <f t="array" ref="AH2353">HLOOKUP($J2353,'Type Chart'!$C$2:$T$20,15,false)*HLOOKUP($K2353,'Type Chart'!$C$2:$U$20,15,false)</f>
        <v>1</v>
      </c>
      <c r="AI2353" s="960">
        <f t="array" ref="AI2353">HLOOKUP($J2353,'Type Chart'!$C$2:$T$20,16,false)*HLOOKUP($K2353,'Type Chart'!$C$2:$U$20,16,false)</f>
        <v>0.5</v>
      </c>
      <c r="AJ2353" s="960">
        <f t="array" ref="AJ2353">HLOOKUP($J2353,'Type Chart'!$C$2:$T$20,17,false)*HLOOKUP($K2353,'Type Chart'!$C$2:$U$20,17,false)</f>
        <v>1</v>
      </c>
      <c r="AK2353" s="960">
        <f t="array" ref="AK2353">HLOOKUP($J2353,'Type Chart'!$C$2:$T$20,18,false)*HLOOKUP($K2353,'Type Chart'!$C$2:$U$20,18,false)</f>
        <v>1</v>
      </c>
      <c r="AL2353" s="960">
        <f t="array" ref="AL2353">HLOOKUP($J2353,'Type Chart'!$C$2:$T$20,19,false)*HLOOKUP($K2353,'Type Chart'!$C$2:$U$20,19,false)</f>
        <v>1</v>
      </c>
      <c r="AM2353" s="1145" t="s">
        <v>987</v>
      </c>
      <c r="AN2353" s="1202"/>
      <c r="AO2353" s="1146" t="s">
        <v>4033</v>
      </c>
      <c r="AP2353" s="936"/>
      <c r="AQ2353" s="1245"/>
      <c r="AR2353" s="1245"/>
      <c r="AS2353" s="936"/>
    </row>
    <row r="2354" ht="15.75" customHeight="1">
      <c r="A2354" s="1099"/>
      <c r="B2354" s="948" t="s">
        <v>4034</v>
      </c>
      <c r="C2354" s="1197" t="s">
        <v>4035</v>
      </c>
      <c r="D2354" s="1197" t="s">
        <v>4035</v>
      </c>
      <c r="E2354" s="1147" t="s">
        <v>4035</v>
      </c>
      <c r="F2354" s="940"/>
      <c r="G2354" s="953"/>
      <c r="H2354" s="969"/>
      <c r="I2354" s="998" t="s">
        <v>5449</v>
      </c>
      <c r="J2354" s="1224" t="s">
        <v>345</v>
      </c>
      <c r="K2354" s="1225" t="s">
        <v>343</v>
      </c>
      <c r="L2354" s="1200">
        <v>70.0</v>
      </c>
      <c r="M2354" s="1201">
        <v>65.0</v>
      </c>
      <c r="N2354" s="1201">
        <v>60.0</v>
      </c>
      <c r="O2354" s="1201">
        <v>125.0</v>
      </c>
      <c r="P2354" s="1201">
        <v>90.0</v>
      </c>
      <c r="Q2354" s="1201">
        <v>65.0</v>
      </c>
      <c r="R2354" s="960">
        <v>166.0</v>
      </c>
      <c r="S2354" s="960">
        <v>229.0</v>
      </c>
      <c r="T2354" s="960">
        <v>251.0</v>
      </c>
      <c r="U2354" s="960">
        <f t="array" ref="U2354">HLOOKUP($J2354,'Type Chart'!$C$2:$T$20,2,false)*HLOOKUP($K2354,'Type Chart'!$C$2:$U$20,2,false)</f>
        <v>1</v>
      </c>
      <c r="V2354" s="960">
        <f t="array" ref="V2354">HLOOKUP($J2354,'Type Chart'!$C$2:$T$20,3,false)*HLOOKUP($K2354,'Type Chart'!$C$2:$U$20,3,false)</f>
        <v>1</v>
      </c>
      <c r="W2354" s="960">
        <f t="array" ref="W2354">HLOOKUP($J2354,'Type Chart'!$C$2:$T$20,4,false)*HLOOKUP($K2354,'Type Chart'!$C$2:$U$20,4,false)</f>
        <v>2</v>
      </c>
      <c r="X2354" s="960">
        <f t="array" ref="X2354">HLOOKUP($J2354,'Type Chart'!$C$2:$T$20,5,false)*HLOOKUP($K2354,'Type Chart'!$C$2:$U$20,5,false)</f>
        <v>1</v>
      </c>
      <c r="Y2354" s="960">
        <f t="array" ref="Y2354">HLOOKUP($J2354,'Type Chart'!$C$2:$T$20,6,false)*HLOOKUP($K2354,'Type Chart'!$C$2:$U$20,6,false)</f>
        <v>0.5</v>
      </c>
      <c r="Z2354" s="960">
        <f t="array" ref="Z2354">HLOOKUP($J2354,'Type Chart'!$C$2:$T$20,7,false)*HLOOKUP($K2354,'Type Chart'!$C$2:$U$20,7,false)</f>
        <v>4</v>
      </c>
      <c r="AA2354" s="960">
        <f t="array" ref="AA2354">HLOOKUP($J2354,'Type Chart'!$C$2:$T$20,8,false)*HLOOKUP($K2354,'Type Chart'!$C$2:$U$20,8,false)</f>
        <v>1</v>
      </c>
      <c r="AB2354" s="960">
        <f t="array" ref="AB2354">HLOOKUP($J2354,'Type Chart'!$C$2:$T$20,9,false)*HLOOKUP($K2354,'Type Chart'!$C$2:$U$20,9,false)</f>
        <v>1</v>
      </c>
      <c r="AC2354" s="960">
        <f t="array" ref="AC2354">HLOOKUP($J2354,'Type Chart'!$C$2:$T$20,10,false)*HLOOKUP($K2354,'Type Chart'!$C$2:$U$20,10,false)</f>
        <v>2</v>
      </c>
      <c r="AD2354" s="960">
        <f t="array" ref="AD2354">HLOOKUP($J2354,'Type Chart'!$C$2:$T$20,11,false)*HLOOKUP($K2354,'Type Chart'!$C$2:$U$20,11,false)</f>
        <v>4</v>
      </c>
      <c r="AE2354" s="960">
        <f t="array" ref="AE2354">HLOOKUP($J2354,'Type Chart'!$C$2:$T$20,12,false)*HLOOKUP($K2354,'Type Chart'!$C$2:$U$20,12,false)</f>
        <v>1</v>
      </c>
      <c r="AF2354" s="960">
        <f t="array" ref="AF2354">HLOOKUP($J2354,'Type Chart'!$C$2:$T$20,13,false)*HLOOKUP($K2354,'Type Chart'!$C$2:$U$20,13,false)</f>
        <v>0.5</v>
      </c>
      <c r="AG2354" s="960">
        <f t="array" ref="AG2354">HLOOKUP($J2354,'Type Chart'!$C$2:$T$20,14,false)*HLOOKUP($K2354,'Type Chart'!$C$2:$U$20,14,false)</f>
        <v>1</v>
      </c>
      <c r="AH2354" s="960">
        <f t="array" ref="AH2354">HLOOKUP($J2354,'Type Chart'!$C$2:$T$20,15,false)*HLOOKUP($K2354,'Type Chart'!$C$2:$U$20,15,false)</f>
        <v>1</v>
      </c>
      <c r="AI2354" s="960">
        <f t="array" ref="AI2354">HLOOKUP($J2354,'Type Chart'!$C$2:$T$20,16,false)*HLOOKUP($K2354,'Type Chart'!$C$2:$U$20,16,false)</f>
        <v>0.5</v>
      </c>
      <c r="AJ2354" s="960">
        <f t="array" ref="AJ2354">HLOOKUP($J2354,'Type Chart'!$C$2:$T$20,17,false)*HLOOKUP($K2354,'Type Chart'!$C$2:$U$20,17,false)</f>
        <v>1</v>
      </c>
      <c r="AK2354" s="960">
        <f t="array" ref="AK2354">HLOOKUP($J2354,'Type Chart'!$C$2:$T$20,18,false)*HLOOKUP($K2354,'Type Chart'!$C$2:$U$20,18,false)</f>
        <v>1</v>
      </c>
      <c r="AL2354" s="960">
        <f t="array" ref="AL2354">HLOOKUP($J2354,'Type Chart'!$C$2:$T$20,19,false)*HLOOKUP($K2354,'Type Chart'!$C$2:$U$20,19,false)</f>
        <v>1</v>
      </c>
      <c r="AM2354" s="1145" t="s">
        <v>987</v>
      </c>
      <c r="AN2354" s="965"/>
      <c r="AO2354" s="1146" t="s">
        <v>4033</v>
      </c>
      <c r="AP2354" s="936"/>
      <c r="AQ2354" s="1245"/>
      <c r="AR2354" s="1245"/>
      <c r="AS2354" s="936"/>
    </row>
    <row r="2355" ht="15.75" customHeight="1">
      <c r="A2355" s="1099"/>
      <c r="B2355" s="948" t="s">
        <v>4036</v>
      </c>
      <c r="C2355" s="1197" t="s">
        <v>4037</v>
      </c>
      <c r="D2355" s="1197" t="s">
        <v>4037</v>
      </c>
      <c r="E2355" s="1147" t="s">
        <v>4037</v>
      </c>
      <c r="F2355" s="940"/>
      <c r="G2355" s="953"/>
      <c r="H2355" s="969"/>
      <c r="I2355" s="998" t="s">
        <v>5450</v>
      </c>
      <c r="J2355" s="1214" t="s">
        <v>342</v>
      </c>
      <c r="K2355" s="984" t="s">
        <v>216</v>
      </c>
      <c r="L2355" s="959">
        <v>100.0</v>
      </c>
      <c r="M2355" s="960">
        <v>125.0</v>
      </c>
      <c r="N2355" s="960">
        <v>135.0</v>
      </c>
      <c r="O2355" s="960">
        <v>20.0</v>
      </c>
      <c r="P2355" s="960">
        <v>20.0</v>
      </c>
      <c r="Q2355" s="960">
        <v>70.0</v>
      </c>
      <c r="R2355" s="960">
        <v>176.0</v>
      </c>
      <c r="S2355" s="960">
        <v>239.0</v>
      </c>
      <c r="T2355" s="960">
        <v>262.0</v>
      </c>
      <c r="U2355" s="960">
        <f t="array" ref="U2355">HLOOKUP($J2355,'Type Chart'!$C$2:$T$20,2,false)*HLOOKUP($K2355,'Type Chart'!$C$2:$U$20,2,false)</f>
        <v>0.5</v>
      </c>
      <c r="V2355" s="960">
        <f t="array" ref="V2355">HLOOKUP($J2355,'Type Chart'!$C$2:$T$20,3,false)*HLOOKUP($K2355,'Type Chart'!$C$2:$U$20,3,false)</f>
        <v>2</v>
      </c>
      <c r="W2355" s="960">
        <f t="array" ref="W2355">HLOOKUP($J2355,'Type Chart'!$C$2:$T$20,4,false)*HLOOKUP($K2355,'Type Chart'!$C$2:$U$20,4,false)</f>
        <v>0.5</v>
      </c>
      <c r="X2355" s="960">
        <f t="array" ref="X2355">HLOOKUP($J2355,'Type Chart'!$C$2:$T$20,5,false)*HLOOKUP($K2355,'Type Chart'!$C$2:$U$20,5,false)</f>
        <v>0.5</v>
      </c>
      <c r="Y2355" s="960">
        <f t="array" ref="Y2355">HLOOKUP($J2355,'Type Chart'!$C$2:$T$20,6,false)*HLOOKUP($K2355,'Type Chart'!$C$2:$U$20,6,false)</f>
        <v>2</v>
      </c>
      <c r="Z2355" s="960">
        <f t="array" ref="Z2355">HLOOKUP($J2355,'Type Chart'!$C$2:$T$20,7,false)*HLOOKUP($K2355,'Type Chart'!$C$2:$U$20,7,false)</f>
        <v>1</v>
      </c>
      <c r="AA2355" s="960">
        <f t="array" ref="AA2355">HLOOKUP($J2355,'Type Chart'!$C$2:$T$20,8,false)*HLOOKUP($K2355,'Type Chart'!$C$2:$U$20,8,false)</f>
        <v>1</v>
      </c>
      <c r="AB2355" s="960">
        <f t="array" ref="AB2355">HLOOKUP($J2355,'Type Chart'!$C$2:$T$20,9,false)*HLOOKUP($K2355,'Type Chart'!$C$2:$U$20,9,false)</f>
        <v>1</v>
      </c>
      <c r="AC2355" s="960">
        <f t="array" ref="AC2355">HLOOKUP($J2355,'Type Chart'!$C$2:$T$20,10,false)*HLOOKUP($K2355,'Type Chart'!$C$2:$U$20,10,false)</f>
        <v>2</v>
      </c>
      <c r="AD2355" s="960">
        <f t="array" ref="AD2355">HLOOKUP($J2355,'Type Chart'!$C$2:$T$20,11,false)*HLOOKUP($K2355,'Type Chart'!$C$2:$U$20,11,false)</f>
        <v>0.5</v>
      </c>
      <c r="AE2355" s="960">
        <f t="array" ref="AE2355">HLOOKUP($J2355,'Type Chart'!$C$2:$T$20,12,false)*HLOOKUP($K2355,'Type Chart'!$C$2:$U$20,12,false)</f>
        <v>2</v>
      </c>
      <c r="AF2355" s="960">
        <f t="array" ref="AF2355">HLOOKUP($J2355,'Type Chart'!$C$2:$T$20,13,false)*HLOOKUP($K2355,'Type Chart'!$C$2:$U$20,13,false)</f>
        <v>2</v>
      </c>
      <c r="AG2355" s="960">
        <f t="array" ref="AG2355">HLOOKUP($J2355,'Type Chart'!$C$2:$T$20,14,false)*HLOOKUP($K2355,'Type Chart'!$C$2:$U$20,14,false)</f>
        <v>1</v>
      </c>
      <c r="AH2355" s="960">
        <f t="array" ref="AH2355">HLOOKUP($J2355,'Type Chart'!$C$2:$T$20,15,false)*HLOOKUP($K2355,'Type Chart'!$C$2:$U$20,15,false)</f>
        <v>1</v>
      </c>
      <c r="AI2355" s="960">
        <f t="array" ref="AI2355">HLOOKUP($J2355,'Type Chart'!$C$2:$T$20,16,false)*HLOOKUP($K2355,'Type Chart'!$C$2:$U$20,16,false)</f>
        <v>1</v>
      </c>
      <c r="AJ2355" s="960">
        <f t="array" ref="AJ2355">HLOOKUP($J2355,'Type Chart'!$C$2:$T$20,17,false)*HLOOKUP($K2355,'Type Chart'!$C$2:$U$20,17,false)</f>
        <v>1</v>
      </c>
      <c r="AK2355" s="960">
        <f t="array" ref="AK2355">HLOOKUP($J2355,'Type Chart'!$C$2:$T$20,18,false)*HLOOKUP($K2355,'Type Chart'!$C$2:$U$20,18,false)</f>
        <v>1</v>
      </c>
      <c r="AL2355" s="960">
        <f t="array" ref="AL2355">HLOOKUP($J2355,'Type Chart'!$C$2:$T$20,19,false)*HLOOKUP($K2355,'Type Chart'!$C$2:$U$20,19,false)</f>
        <v>1</v>
      </c>
      <c r="AM2355" s="964" t="s">
        <v>4038</v>
      </c>
      <c r="AN2355" s="965"/>
      <c r="AO2355" s="966"/>
      <c r="AP2355" s="936"/>
      <c r="AQ2355" s="1245"/>
      <c r="AR2355" s="1245"/>
      <c r="AS2355" s="936"/>
    </row>
    <row r="2356" ht="15.75" customHeight="1">
      <c r="A2356" s="1099"/>
      <c r="B2356" s="948" t="s">
        <v>4039</v>
      </c>
      <c r="C2356" s="1197" t="s">
        <v>4040</v>
      </c>
      <c r="D2356" s="1197" t="s">
        <v>4040</v>
      </c>
      <c r="E2356" s="1147" t="s">
        <v>4040</v>
      </c>
      <c r="F2356" s="940"/>
      <c r="G2356" s="953"/>
      <c r="H2356" s="969"/>
      <c r="I2356" s="998" t="s">
        <v>5451</v>
      </c>
      <c r="J2356" s="1205" t="s">
        <v>345</v>
      </c>
      <c r="K2356" s="984" t="s">
        <v>216</v>
      </c>
      <c r="L2356" s="959">
        <v>75.0</v>
      </c>
      <c r="M2356" s="960">
        <v>80.0</v>
      </c>
      <c r="N2356" s="960">
        <v>110.0</v>
      </c>
      <c r="O2356" s="960">
        <v>65.0</v>
      </c>
      <c r="P2356" s="960">
        <v>90.0</v>
      </c>
      <c r="Q2356" s="960">
        <v>50.0</v>
      </c>
      <c r="R2356" s="960">
        <v>136.0</v>
      </c>
      <c r="S2356" s="960">
        <v>199.0</v>
      </c>
      <c r="T2356" s="960">
        <v>218.0</v>
      </c>
      <c r="U2356" s="960">
        <f t="array" ref="U2356">HLOOKUP($J2356,'Type Chart'!$C$2:$T$20,2,false)*HLOOKUP($K2356,'Type Chart'!$C$2:$U$20,2,false)</f>
        <v>1</v>
      </c>
      <c r="V2356" s="960">
        <f t="array" ref="V2356">HLOOKUP($J2356,'Type Chart'!$C$2:$T$20,3,false)*HLOOKUP($K2356,'Type Chart'!$C$2:$U$20,3,false)</f>
        <v>2</v>
      </c>
      <c r="W2356" s="960">
        <f t="array" ref="W2356">HLOOKUP($J2356,'Type Chart'!$C$2:$T$20,4,false)*HLOOKUP($K2356,'Type Chart'!$C$2:$U$20,4,false)</f>
        <v>1</v>
      </c>
      <c r="X2356" s="960">
        <f t="array" ref="X2356">HLOOKUP($J2356,'Type Chart'!$C$2:$T$20,5,false)*HLOOKUP($K2356,'Type Chart'!$C$2:$U$20,5,false)</f>
        <v>1</v>
      </c>
      <c r="Y2356" s="960">
        <f t="array" ref="Y2356">HLOOKUP($J2356,'Type Chart'!$C$2:$T$20,6,false)*HLOOKUP($K2356,'Type Chart'!$C$2:$U$20,6,false)</f>
        <v>1</v>
      </c>
      <c r="Z2356" s="960">
        <f t="array" ref="Z2356">HLOOKUP($J2356,'Type Chart'!$C$2:$T$20,7,false)*HLOOKUP($K2356,'Type Chart'!$C$2:$U$20,7,false)</f>
        <v>2</v>
      </c>
      <c r="AA2356" s="960">
        <f t="array" ref="AA2356">HLOOKUP($J2356,'Type Chart'!$C$2:$T$20,8,false)*HLOOKUP($K2356,'Type Chart'!$C$2:$U$20,8,false)</f>
        <v>1</v>
      </c>
      <c r="AB2356" s="960">
        <f t="array" ref="AB2356">HLOOKUP($J2356,'Type Chart'!$C$2:$T$20,9,false)*HLOOKUP($K2356,'Type Chart'!$C$2:$U$20,9,false)</f>
        <v>1</v>
      </c>
      <c r="AC2356" s="960">
        <f t="array" ref="AC2356">HLOOKUP($J2356,'Type Chart'!$C$2:$T$20,10,false)*HLOOKUP($K2356,'Type Chart'!$C$2:$U$20,10,false)</f>
        <v>2</v>
      </c>
      <c r="AD2356" s="960">
        <f t="array" ref="AD2356">HLOOKUP($J2356,'Type Chart'!$C$2:$T$20,11,false)*HLOOKUP($K2356,'Type Chart'!$C$2:$U$20,11,false)</f>
        <v>2</v>
      </c>
      <c r="AE2356" s="960">
        <f t="array" ref="AE2356">HLOOKUP($J2356,'Type Chart'!$C$2:$T$20,12,false)*HLOOKUP($K2356,'Type Chart'!$C$2:$U$20,12,false)</f>
        <v>1</v>
      </c>
      <c r="AF2356" s="960">
        <f t="array" ref="AF2356">HLOOKUP($J2356,'Type Chart'!$C$2:$T$20,13,false)*HLOOKUP($K2356,'Type Chart'!$C$2:$U$20,13,false)</f>
        <v>1</v>
      </c>
      <c r="AG2356" s="960">
        <f t="array" ref="AG2356">HLOOKUP($J2356,'Type Chart'!$C$2:$T$20,14,false)*HLOOKUP($K2356,'Type Chart'!$C$2:$U$20,14,false)</f>
        <v>1</v>
      </c>
      <c r="AH2356" s="960">
        <f t="array" ref="AH2356">HLOOKUP($J2356,'Type Chart'!$C$2:$T$20,15,false)*HLOOKUP($K2356,'Type Chart'!$C$2:$U$20,15,false)</f>
        <v>1</v>
      </c>
      <c r="AI2356" s="960">
        <f t="array" ref="AI2356">HLOOKUP($J2356,'Type Chart'!$C$2:$T$20,16,false)*HLOOKUP($K2356,'Type Chart'!$C$2:$U$20,16,false)</f>
        <v>0.5</v>
      </c>
      <c r="AJ2356" s="960">
        <f t="array" ref="AJ2356">HLOOKUP($J2356,'Type Chart'!$C$2:$T$20,17,false)*HLOOKUP($K2356,'Type Chart'!$C$2:$U$20,17,false)</f>
        <v>1</v>
      </c>
      <c r="AK2356" s="960">
        <f t="array" ref="AK2356">HLOOKUP($J2356,'Type Chart'!$C$2:$T$20,18,false)*HLOOKUP($K2356,'Type Chart'!$C$2:$U$20,18,false)</f>
        <v>1</v>
      </c>
      <c r="AL2356" s="960">
        <f t="array" ref="AL2356">HLOOKUP($J2356,'Type Chart'!$C$2:$T$20,19,false)*HLOOKUP($K2356,'Type Chart'!$C$2:$U$20,19,false)</f>
        <v>1</v>
      </c>
      <c r="AM2356" s="964" t="s">
        <v>4041</v>
      </c>
      <c r="AN2356" s="965"/>
      <c r="AO2356" s="966"/>
      <c r="AP2356" s="936"/>
      <c r="AQ2356" s="1245"/>
      <c r="AR2356" s="1245"/>
      <c r="AS2356" s="936"/>
    </row>
    <row r="2357" ht="15.75" customHeight="1">
      <c r="A2357" s="1099"/>
      <c r="B2357" s="948" t="s">
        <v>4042</v>
      </c>
      <c r="C2357" s="1197" t="s">
        <v>4043</v>
      </c>
      <c r="D2357" s="1197" t="s">
        <v>4043</v>
      </c>
      <c r="E2357" s="1147" t="s">
        <v>4043</v>
      </c>
      <c r="F2357" s="940"/>
      <c r="G2357" s="953"/>
      <c r="H2357" s="969"/>
      <c r="I2357" s="998" t="s">
        <v>5452</v>
      </c>
      <c r="J2357" s="1205" t="s">
        <v>345</v>
      </c>
      <c r="K2357" s="984" t="s">
        <v>216</v>
      </c>
      <c r="L2357" s="959">
        <v>75.0</v>
      </c>
      <c r="M2357" s="960">
        <v>80.0</v>
      </c>
      <c r="N2357" s="960">
        <v>70.0</v>
      </c>
      <c r="O2357" s="960">
        <v>65.0</v>
      </c>
      <c r="P2357" s="960">
        <v>50.0</v>
      </c>
      <c r="Q2357" s="960">
        <v>130.0</v>
      </c>
      <c r="R2357" s="960">
        <v>296.0</v>
      </c>
      <c r="S2357" s="960">
        <v>359.0</v>
      </c>
      <c r="T2357" s="960">
        <v>394.0</v>
      </c>
      <c r="U2357" s="960">
        <f t="array" ref="U2357">HLOOKUP($J2357,'Type Chart'!$C$2:$T$20,2,false)*HLOOKUP($K2357,'Type Chart'!$C$2:$U$20,2,false)</f>
        <v>1</v>
      </c>
      <c r="V2357" s="960">
        <f t="array" ref="V2357">HLOOKUP($J2357,'Type Chart'!$C$2:$T$20,3,false)*HLOOKUP($K2357,'Type Chart'!$C$2:$U$20,3,false)</f>
        <v>2</v>
      </c>
      <c r="W2357" s="960">
        <f t="array" ref="W2357">HLOOKUP($J2357,'Type Chart'!$C$2:$T$20,4,false)*HLOOKUP($K2357,'Type Chart'!$C$2:$U$20,4,false)</f>
        <v>1</v>
      </c>
      <c r="X2357" s="960">
        <f t="array" ref="X2357">HLOOKUP($J2357,'Type Chart'!$C$2:$T$20,5,false)*HLOOKUP($K2357,'Type Chart'!$C$2:$U$20,5,false)</f>
        <v>1</v>
      </c>
      <c r="Y2357" s="960">
        <f t="array" ref="Y2357">HLOOKUP($J2357,'Type Chart'!$C$2:$T$20,6,false)*HLOOKUP($K2357,'Type Chart'!$C$2:$U$20,6,false)</f>
        <v>1</v>
      </c>
      <c r="Z2357" s="960">
        <f t="array" ref="Z2357">HLOOKUP($J2357,'Type Chart'!$C$2:$T$20,7,false)*HLOOKUP($K2357,'Type Chart'!$C$2:$U$20,7,false)</f>
        <v>2</v>
      </c>
      <c r="AA2357" s="960">
        <f t="array" ref="AA2357">HLOOKUP($J2357,'Type Chart'!$C$2:$T$20,8,false)*HLOOKUP($K2357,'Type Chart'!$C$2:$U$20,8,false)</f>
        <v>1</v>
      </c>
      <c r="AB2357" s="960">
        <f t="array" ref="AB2357">HLOOKUP($J2357,'Type Chart'!$C$2:$T$20,9,false)*HLOOKUP($K2357,'Type Chart'!$C$2:$U$20,9,false)</f>
        <v>1</v>
      </c>
      <c r="AC2357" s="960">
        <f t="array" ref="AC2357">HLOOKUP($J2357,'Type Chart'!$C$2:$T$20,10,false)*HLOOKUP($K2357,'Type Chart'!$C$2:$U$20,10,false)</f>
        <v>2</v>
      </c>
      <c r="AD2357" s="960">
        <f t="array" ref="AD2357">HLOOKUP($J2357,'Type Chart'!$C$2:$T$20,11,false)*HLOOKUP($K2357,'Type Chart'!$C$2:$U$20,11,false)</f>
        <v>2</v>
      </c>
      <c r="AE2357" s="960">
        <f t="array" ref="AE2357">HLOOKUP($J2357,'Type Chart'!$C$2:$T$20,12,false)*HLOOKUP($K2357,'Type Chart'!$C$2:$U$20,12,false)</f>
        <v>1</v>
      </c>
      <c r="AF2357" s="960">
        <f t="array" ref="AF2357">HLOOKUP($J2357,'Type Chart'!$C$2:$T$20,13,false)*HLOOKUP($K2357,'Type Chart'!$C$2:$U$20,13,false)</f>
        <v>1</v>
      </c>
      <c r="AG2357" s="960">
        <f t="array" ref="AG2357">HLOOKUP($J2357,'Type Chart'!$C$2:$T$20,14,false)*HLOOKUP($K2357,'Type Chart'!$C$2:$U$20,14,false)</f>
        <v>1</v>
      </c>
      <c r="AH2357" s="960">
        <f t="array" ref="AH2357">HLOOKUP($J2357,'Type Chart'!$C$2:$T$20,15,false)*HLOOKUP($K2357,'Type Chart'!$C$2:$U$20,15,false)</f>
        <v>1</v>
      </c>
      <c r="AI2357" s="960">
        <f t="array" ref="AI2357">HLOOKUP($J2357,'Type Chart'!$C$2:$T$20,16,false)*HLOOKUP($K2357,'Type Chart'!$C$2:$U$20,16,false)</f>
        <v>0.5</v>
      </c>
      <c r="AJ2357" s="960">
        <f t="array" ref="AJ2357">HLOOKUP($J2357,'Type Chart'!$C$2:$T$20,17,false)*HLOOKUP($K2357,'Type Chart'!$C$2:$U$20,17,false)</f>
        <v>1</v>
      </c>
      <c r="AK2357" s="960">
        <f t="array" ref="AK2357">HLOOKUP($J2357,'Type Chart'!$C$2:$T$20,18,false)*HLOOKUP($K2357,'Type Chart'!$C$2:$U$20,18,false)</f>
        <v>1</v>
      </c>
      <c r="AL2357" s="960">
        <f t="array" ref="AL2357">HLOOKUP($J2357,'Type Chart'!$C$2:$T$20,19,false)*HLOOKUP($K2357,'Type Chart'!$C$2:$U$20,19,false)</f>
        <v>1</v>
      </c>
      <c r="AM2357" s="964" t="s">
        <v>4041</v>
      </c>
      <c r="AN2357" s="965"/>
      <c r="AO2357" s="966"/>
      <c r="AP2357" s="936"/>
      <c r="AQ2357" s="1245"/>
      <c r="AR2357" s="1245"/>
      <c r="AS2357" s="936"/>
    </row>
    <row r="2358" ht="15.75" customHeight="1">
      <c r="A2358" s="1099"/>
      <c r="B2358" s="948" t="s">
        <v>4045</v>
      </c>
      <c r="C2358" s="1197" t="s">
        <v>4046</v>
      </c>
      <c r="D2358" s="1197" t="s">
        <v>4046</v>
      </c>
      <c r="E2358" s="1147" t="s">
        <v>4047</v>
      </c>
      <c r="F2358" s="940"/>
      <c r="G2358" s="953"/>
      <c r="H2358" s="969"/>
      <c r="I2358" s="998" t="s">
        <v>5453</v>
      </c>
      <c r="J2358" s="1203" t="s">
        <v>344</v>
      </c>
      <c r="K2358" s="1194" t="s">
        <v>136</v>
      </c>
      <c r="L2358" s="959">
        <v>60.0</v>
      </c>
      <c r="M2358" s="960">
        <v>65.0</v>
      </c>
      <c r="N2358" s="960">
        <v>55.0</v>
      </c>
      <c r="O2358" s="960">
        <v>105.0</v>
      </c>
      <c r="P2358" s="960">
        <v>95.0</v>
      </c>
      <c r="Q2358" s="960">
        <v>95.0</v>
      </c>
      <c r="R2358" s="960">
        <v>226.0</v>
      </c>
      <c r="S2358" s="960">
        <v>289.0</v>
      </c>
      <c r="T2358" s="960">
        <v>317.0</v>
      </c>
      <c r="U2358" s="960">
        <f t="array" ref="U2358">HLOOKUP($J2358,'Type Chart'!$C$2:$T$20,2,false)*HLOOKUP($K2358,'Type Chart'!$C$2:$U$20,2,false)</f>
        <v>1</v>
      </c>
      <c r="V2358" s="960">
        <f t="array" ref="V2358">HLOOKUP($J2358,'Type Chart'!$C$2:$T$20,3,false)*HLOOKUP($K2358,'Type Chart'!$C$2:$U$20,3,false)</f>
        <v>1</v>
      </c>
      <c r="W2358" s="960">
        <f t="array" ref="W2358">HLOOKUP($J2358,'Type Chart'!$C$2:$T$20,4,false)*HLOOKUP($K2358,'Type Chart'!$C$2:$U$20,4,false)</f>
        <v>1</v>
      </c>
      <c r="X2358" s="960">
        <f t="array" ref="X2358">HLOOKUP($J2358,'Type Chart'!$C$2:$T$20,5,false)*HLOOKUP($K2358,'Type Chart'!$C$2:$U$20,5,false)</f>
        <v>1</v>
      </c>
      <c r="Y2358" s="960">
        <f t="array" ref="Y2358">HLOOKUP($J2358,'Type Chart'!$C$2:$T$20,6,false)*HLOOKUP($K2358,'Type Chart'!$C$2:$U$20,6,false)</f>
        <v>1</v>
      </c>
      <c r="Z2358" s="960">
        <f t="array" ref="Z2358">HLOOKUP($J2358,'Type Chart'!$C$2:$T$20,7,false)*HLOOKUP($K2358,'Type Chart'!$C$2:$U$20,7,false)</f>
        <v>1</v>
      </c>
      <c r="AA2358" s="960">
        <f t="array" ref="AA2358">HLOOKUP($J2358,'Type Chart'!$C$2:$T$20,8,false)*HLOOKUP($K2358,'Type Chart'!$C$2:$U$20,8,false)</f>
        <v>2</v>
      </c>
      <c r="AB2358" s="960">
        <f t="array" ref="AB2358">HLOOKUP($J2358,'Type Chart'!$C$2:$T$20,9,false)*HLOOKUP($K2358,'Type Chart'!$C$2:$U$20,9,false)</f>
        <v>0</v>
      </c>
      <c r="AC2358" s="960">
        <f t="array" ref="AC2358">HLOOKUP($J2358,'Type Chart'!$C$2:$T$20,10,false)*HLOOKUP($K2358,'Type Chart'!$C$2:$U$20,10,false)</f>
        <v>1</v>
      </c>
      <c r="AD2358" s="960">
        <f t="array" ref="AD2358">HLOOKUP($J2358,'Type Chart'!$C$2:$T$20,11,false)*HLOOKUP($K2358,'Type Chart'!$C$2:$U$20,11,false)</f>
        <v>1</v>
      </c>
      <c r="AE2358" s="960">
        <f t="array" ref="AE2358">HLOOKUP($J2358,'Type Chart'!$C$2:$T$20,12,false)*HLOOKUP($K2358,'Type Chart'!$C$2:$U$20,12,false)</f>
        <v>1</v>
      </c>
      <c r="AF2358" s="960">
        <f t="array" ref="AF2358">HLOOKUP($J2358,'Type Chart'!$C$2:$T$20,13,false)*HLOOKUP($K2358,'Type Chart'!$C$2:$U$20,13,false)</f>
        <v>1</v>
      </c>
      <c r="AG2358" s="960">
        <f t="array" ref="AG2358">HLOOKUP($J2358,'Type Chart'!$C$2:$T$20,14,false)*HLOOKUP($K2358,'Type Chart'!$C$2:$U$20,14,false)</f>
        <v>1</v>
      </c>
      <c r="AH2358" s="960">
        <f t="array" ref="AH2358">HLOOKUP($J2358,'Type Chart'!$C$2:$T$20,15,false)*HLOOKUP($K2358,'Type Chart'!$C$2:$U$20,15,false)</f>
        <v>0.5</v>
      </c>
      <c r="AI2358" s="960">
        <f t="array" ref="AI2358">HLOOKUP($J2358,'Type Chart'!$C$2:$T$20,16,false)*HLOOKUP($K2358,'Type Chart'!$C$2:$U$20,16,false)</f>
        <v>1</v>
      </c>
      <c r="AJ2358" s="960">
        <f t="array" ref="AJ2358">HLOOKUP($J2358,'Type Chart'!$C$2:$T$20,17,false)*HLOOKUP($K2358,'Type Chart'!$C$2:$U$20,17,false)</f>
        <v>1</v>
      </c>
      <c r="AK2358" s="960">
        <f t="array" ref="AK2358">HLOOKUP($J2358,'Type Chart'!$C$2:$T$20,18,false)*HLOOKUP($K2358,'Type Chart'!$C$2:$U$20,18,false)</f>
        <v>2</v>
      </c>
      <c r="AL2358" s="960">
        <f t="array" ref="AL2358">HLOOKUP($J2358,'Type Chart'!$C$2:$T$20,19,false)*HLOOKUP($K2358,'Type Chart'!$C$2:$U$20,19,false)</f>
        <v>1</v>
      </c>
      <c r="AM2358" s="964" t="s">
        <v>1192</v>
      </c>
      <c r="AN2358" s="964" t="s">
        <v>1292</v>
      </c>
      <c r="AO2358" s="966" t="s">
        <v>3763</v>
      </c>
      <c r="AP2358" s="936"/>
      <c r="AQ2358" s="1245"/>
      <c r="AR2358" s="1245"/>
      <c r="AS2358" s="936"/>
    </row>
    <row r="2359" ht="15.75" customHeight="1">
      <c r="A2359" s="1099"/>
      <c r="B2359" s="948" t="s">
        <v>4049</v>
      </c>
      <c r="C2359" s="1197" t="s">
        <v>4050</v>
      </c>
      <c r="D2359" s="1197" t="s">
        <v>4050</v>
      </c>
      <c r="E2359" s="1147" t="s">
        <v>4051</v>
      </c>
      <c r="F2359" s="940"/>
      <c r="G2359" s="953"/>
      <c r="H2359" s="969"/>
      <c r="I2359" s="998" t="s">
        <v>5454</v>
      </c>
      <c r="J2359" s="1203" t="s">
        <v>344</v>
      </c>
      <c r="K2359" s="1194" t="s">
        <v>136</v>
      </c>
      <c r="L2359" s="959">
        <v>70.0</v>
      </c>
      <c r="M2359" s="960">
        <v>55.0</v>
      </c>
      <c r="N2359" s="960">
        <v>65.0</v>
      </c>
      <c r="O2359" s="960">
        <v>95.0</v>
      </c>
      <c r="P2359" s="960">
        <v>105.0</v>
      </c>
      <c r="Q2359" s="960">
        <v>85.0</v>
      </c>
      <c r="R2359" s="960">
        <v>206.0</v>
      </c>
      <c r="S2359" s="960">
        <v>269.0</v>
      </c>
      <c r="T2359" s="960">
        <v>295.0</v>
      </c>
      <c r="U2359" s="960">
        <f t="array" ref="U2359">HLOOKUP($J2359,'Type Chart'!$C$2:$T$20,2,false)*HLOOKUP($K2359,'Type Chart'!$C$2:$U$20,2,false)</f>
        <v>1</v>
      </c>
      <c r="V2359" s="960">
        <f t="array" ref="V2359">HLOOKUP($J2359,'Type Chart'!$C$2:$T$20,3,false)*HLOOKUP($K2359,'Type Chart'!$C$2:$U$20,3,false)</f>
        <v>1</v>
      </c>
      <c r="W2359" s="960">
        <f t="array" ref="W2359">HLOOKUP($J2359,'Type Chart'!$C$2:$T$20,4,false)*HLOOKUP($K2359,'Type Chart'!$C$2:$U$20,4,false)</f>
        <v>1</v>
      </c>
      <c r="X2359" s="960">
        <f t="array" ref="X2359">HLOOKUP($J2359,'Type Chart'!$C$2:$T$20,5,false)*HLOOKUP($K2359,'Type Chart'!$C$2:$U$20,5,false)</f>
        <v>1</v>
      </c>
      <c r="Y2359" s="960">
        <f t="array" ref="Y2359">HLOOKUP($J2359,'Type Chart'!$C$2:$T$20,6,false)*HLOOKUP($K2359,'Type Chart'!$C$2:$U$20,6,false)</f>
        <v>1</v>
      </c>
      <c r="Z2359" s="960">
        <f t="array" ref="Z2359">HLOOKUP($J2359,'Type Chart'!$C$2:$T$20,7,false)*HLOOKUP($K2359,'Type Chart'!$C$2:$U$20,7,false)</f>
        <v>1</v>
      </c>
      <c r="AA2359" s="960">
        <f t="array" ref="AA2359">HLOOKUP($J2359,'Type Chart'!$C$2:$T$20,8,false)*HLOOKUP($K2359,'Type Chart'!$C$2:$U$20,8,false)</f>
        <v>2</v>
      </c>
      <c r="AB2359" s="960">
        <f t="array" ref="AB2359">HLOOKUP($J2359,'Type Chart'!$C$2:$T$20,9,false)*HLOOKUP($K2359,'Type Chart'!$C$2:$U$20,9,false)</f>
        <v>0</v>
      </c>
      <c r="AC2359" s="960">
        <f t="array" ref="AC2359">HLOOKUP($J2359,'Type Chart'!$C$2:$T$20,10,false)*HLOOKUP($K2359,'Type Chart'!$C$2:$U$20,10,false)</f>
        <v>1</v>
      </c>
      <c r="AD2359" s="960">
        <f t="array" ref="AD2359">HLOOKUP($J2359,'Type Chart'!$C$2:$T$20,11,false)*HLOOKUP($K2359,'Type Chart'!$C$2:$U$20,11,false)</f>
        <v>1</v>
      </c>
      <c r="AE2359" s="960">
        <f t="array" ref="AE2359">HLOOKUP($J2359,'Type Chart'!$C$2:$T$20,12,false)*HLOOKUP($K2359,'Type Chart'!$C$2:$U$20,12,false)</f>
        <v>1</v>
      </c>
      <c r="AF2359" s="960">
        <f t="array" ref="AF2359">HLOOKUP($J2359,'Type Chart'!$C$2:$T$20,13,false)*HLOOKUP($K2359,'Type Chart'!$C$2:$U$20,13,false)</f>
        <v>1</v>
      </c>
      <c r="AG2359" s="960">
        <f t="array" ref="AG2359">HLOOKUP($J2359,'Type Chart'!$C$2:$T$20,14,false)*HLOOKUP($K2359,'Type Chart'!$C$2:$U$20,14,false)</f>
        <v>1</v>
      </c>
      <c r="AH2359" s="960">
        <f t="array" ref="AH2359">HLOOKUP($J2359,'Type Chart'!$C$2:$T$20,15,false)*HLOOKUP($K2359,'Type Chart'!$C$2:$U$20,15,false)</f>
        <v>0.5</v>
      </c>
      <c r="AI2359" s="960">
        <f t="array" ref="AI2359">HLOOKUP($J2359,'Type Chart'!$C$2:$T$20,16,false)*HLOOKUP($K2359,'Type Chart'!$C$2:$U$20,16,false)</f>
        <v>1</v>
      </c>
      <c r="AJ2359" s="960">
        <f t="array" ref="AJ2359">HLOOKUP($J2359,'Type Chart'!$C$2:$T$20,17,false)*HLOOKUP($K2359,'Type Chart'!$C$2:$U$20,17,false)</f>
        <v>1</v>
      </c>
      <c r="AK2359" s="960">
        <f t="array" ref="AK2359">HLOOKUP($J2359,'Type Chart'!$C$2:$T$20,18,false)*HLOOKUP($K2359,'Type Chart'!$C$2:$U$20,18,false)</f>
        <v>2</v>
      </c>
      <c r="AL2359" s="960">
        <f t="array" ref="AL2359">HLOOKUP($J2359,'Type Chart'!$C$2:$T$20,19,false)*HLOOKUP($K2359,'Type Chart'!$C$2:$U$20,19,false)</f>
        <v>1</v>
      </c>
      <c r="AM2359" s="964" t="s">
        <v>1370</v>
      </c>
      <c r="AN2359" s="964" t="s">
        <v>1292</v>
      </c>
      <c r="AO2359" s="966" t="s">
        <v>3763</v>
      </c>
      <c r="AP2359" s="936"/>
      <c r="AQ2359" s="1245"/>
      <c r="AR2359" s="1245"/>
      <c r="AS2359" s="936"/>
    </row>
    <row r="2360" ht="15.75" customHeight="1">
      <c r="A2360" s="1099"/>
      <c r="B2360" s="948" t="s">
        <v>4052</v>
      </c>
      <c r="C2360" s="1197" t="s">
        <v>4053</v>
      </c>
      <c r="D2360" s="1197" t="s">
        <v>4053</v>
      </c>
      <c r="E2360" s="1147" t="s">
        <v>4053</v>
      </c>
      <c r="F2360" s="940"/>
      <c r="G2360" s="953"/>
      <c r="H2360" s="969"/>
      <c r="I2360" s="998" t="s">
        <v>5455</v>
      </c>
      <c r="J2360" s="1196" t="s">
        <v>203</v>
      </c>
      <c r="K2360" s="1195" t="s">
        <v>193</v>
      </c>
      <c r="L2360" s="959">
        <v>58.0</v>
      </c>
      <c r="M2360" s="960">
        <v>95.0</v>
      </c>
      <c r="N2360" s="960">
        <v>58.0</v>
      </c>
      <c r="O2360" s="960">
        <v>70.0</v>
      </c>
      <c r="P2360" s="960">
        <v>58.0</v>
      </c>
      <c r="Q2360" s="960">
        <v>97.0</v>
      </c>
      <c r="R2360" s="960">
        <v>230.0</v>
      </c>
      <c r="S2360" s="960">
        <v>293.0</v>
      </c>
      <c r="T2360" s="960">
        <v>322.0</v>
      </c>
      <c r="U2360" s="960">
        <f t="array" ref="U2360">HLOOKUP($J2360,'Type Chart'!$C$2:$T$20,2,false)*HLOOKUP($K2360,'Type Chart'!$C$2:$U$20,2,false)</f>
        <v>1</v>
      </c>
      <c r="V2360" s="960">
        <f t="array" ref="V2360">HLOOKUP($J2360,'Type Chart'!$C$2:$T$20,3,false)*HLOOKUP($K2360,'Type Chart'!$C$2:$U$20,3,false)</f>
        <v>2</v>
      </c>
      <c r="W2360" s="960">
        <f t="array" ref="W2360">HLOOKUP($J2360,'Type Chart'!$C$2:$T$20,4,false)*HLOOKUP($K2360,'Type Chart'!$C$2:$U$20,4,false)</f>
        <v>0.5</v>
      </c>
      <c r="X2360" s="960">
        <f t="array" ref="X2360">HLOOKUP($J2360,'Type Chart'!$C$2:$T$20,5,false)*HLOOKUP($K2360,'Type Chart'!$C$2:$U$20,5,false)</f>
        <v>1</v>
      </c>
      <c r="Y2360" s="960">
        <f t="array" ref="Y2360">HLOOKUP($J2360,'Type Chart'!$C$2:$T$20,6,false)*HLOOKUP($K2360,'Type Chart'!$C$2:$U$20,6,false)</f>
        <v>2</v>
      </c>
      <c r="Z2360" s="960">
        <f t="array" ref="Z2360">HLOOKUP($J2360,'Type Chart'!$C$2:$T$20,7,false)*HLOOKUP($K2360,'Type Chart'!$C$2:$U$20,7,false)</f>
        <v>1</v>
      </c>
      <c r="AA2360" s="960">
        <f t="array" ref="AA2360">HLOOKUP($J2360,'Type Chart'!$C$2:$T$20,8,false)*HLOOKUP($K2360,'Type Chart'!$C$2:$U$20,8,false)</f>
        <v>2</v>
      </c>
      <c r="AB2360" s="960">
        <f t="array" ref="AB2360">HLOOKUP($J2360,'Type Chart'!$C$2:$T$20,9,false)*HLOOKUP($K2360,'Type Chart'!$C$2:$U$20,9,false)</f>
        <v>0.5</v>
      </c>
      <c r="AC2360" s="960">
        <f t="array" ref="AC2360">HLOOKUP($J2360,'Type Chart'!$C$2:$T$20,10,false)*HLOOKUP($K2360,'Type Chart'!$C$2:$U$20,10,false)</f>
        <v>0.5</v>
      </c>
      <c r="AD2360" s="960">
        <f t="array" ref="AD2360">HLOOKUP($J2360,'Type Chart'!$C$2:$T$20,11,false)*HLOOKUP($K2360,'Type Chart'!$C$2:$U$20,11,false)</f>
        <v>1</v>
      </c>
      <c r="AE2360" s="960">
        <f t="array" ref="AE2360">HLOOKUP($J2360,'Type Chart'!$C$2:$T$20,12,false)*HLOOKUP($K2360,'Type Chart'!$C$2:$U$20,12,false)</f>
        <v>1</v>
      </c>
      <c r="AF2360" s="960">
        <f t="array" ref="AF2360">HLOOKUP($J2360,'Type Chart'!$C$2:$T$20,13,false)*HLOOKUP($K2360,'Type Chart'!$C$2:$U$20,13,false)</f>
        <v>1</v>
      </c>
      <c r="AG2360" s="960">
        <f t="array" ref="AG2360">HLOOKUP($J2360,'Type Chart'!$C$2:$T$20,14,false)*HLOOKUP($K2360,'Type Chart'!$C$2:$U$20,14,false)</f>
        <v>0.5</v>
      </c>
      <c r="AH2360" s="960">
        <f t="array" ref="AH2360">HLOOKUP($J2360,'Type Chart'!$C$2:$T$20,15,false)*HLOOKUP($K2360,'Type Chart'!$C$2:$U$20,15,false)</f>
        <v>0</v>
      </c>
      <c r="AI2360" s="960">
        <f t="array" ref="AI2360">HLOOKUP($J2360,'Type Chart'!$C$2:$T$20,16,false)*HLOOKUP($K2360,'Type Chart'!$C$2:$U$20,16,false)</f>
        <v>1</v>
      </c>
      <c r="AJ2360" s="960">
        <f t="array" ref="AJ2360">HLOOKUP($J2360,'Type Chart'!$C$2:$T$20,17,false)*HLOOKUP($K2360,'Type Chart'!$C$2:$U$20,17,false)</f>
        <v>1</v>
      </c>
      <c r="AK2360" s="960">
        <f t="array" ref="AK2360">HLOOKUP($J2360,'Type Chart'!$C$2:$T$20,18,false)*HLOOKUP($K2360,'Type Chart'!$C$2:$U$20,18,false)</f>
        <v>0.5</v>
      </c>
      <c r="AL2360" s="960">
        <f t="array" ref="AL2360">HLOOKUP($J2360,'Type Chart'!$C$2:$T$20,19,false)*HLOOKUP($K2360,'Type Chart'!$C$2:$U$20,19,false)</f>
        <v>2</v>
      </c>
      <c r="AM2360" s="964" t="s">
        <v>4054</v>
      </c>
      <c r="AN2360" s="965"/>
      <c r="AO2360" s="966"/>
      <c r="AP2360" s="936"/>
      <c r="AQ2360" s="1245"/>
      <c r="AR2360" s="1245"/>
      <c r="AS2360" s="936"/>
    </row>
    <row r="2361" ht="15.75" customHeight="1">
      <c r="A2361" s="1099"/>
      <c r="B2361" s="948" t="s">
        <v>4055</v>
      </c>
      <c r="C2361" s="1197" t="s">
        <v>4056</v>
      </c>
      <c r="D2361" s="1197" t="s">
        <v>4056</v>
      </c>
      <c r="E2361" s="1147" t="s">
        <v>4056</v>
      </c>
      <c r="F2361" s="940"/>
      <c r="G2361" s="953"/>
      <c r="H2361" s="969"/>
      <c r="I2361" s="998" t="s">
        <v>5456</v>
      </c>
      <c r="J2361" s="1196" t="s">
        <v>203</v>
      </c>
      <c r="K2361" s="1195" t="s">
        <v>193</v>
      </c>
      <c r="L2361" s="959">
        <v>58.0</v>
      </c>
      <c r="M2361" s="960">
        <v>95.0</v>
      </c>
      <c r="N2361" s="960">
        <v>58.0</v>
      </c>
      <c r="O2361" s="960">
        <v>70.0</v>
      </c>
      <c r="P2361" s="960">
        <v>58.0</v>
      </c>
      <c r="Q2361" s="960">
        <v>97.0</v>
      </c>
      <c r="R2361" s="960">
        <v>230.0</v>
      </c>
      <c r="S2361" s="960">
        <v>293.0</v>
      </c>
      <c r="T2361" s="960">
        <v>322.0</v>
      </c>
      <c r="U2361" s="960">
        <f t="array" ref="U2361">HLOOKUP($J2361,'Type Chart'!$C$2:$T$20,2,false)*HLOOKUP($K2361,'Type Chart'!$C$2:$U$20,2,false)</f>
        <v>1</v>
      </c>
      <c r="V2361" s="960">
        <f t="array" ref="V2361">HLOOKUP($J2361,'Type Chart'!$C$2:$T$20,3,false)*HLOOKUP($K2361,'Type Chart'!$C$2:$U$20,3,false)</f>
        <v>2</v>
      </c>
      <c r="W2361" s="960">
        <f t="array" ref="W2361">HLOOKUP($J2361,'Type Chart'!$C$2:$T$20,4,false)*HLOOKUP($K2361,'Type Chart'!$C$2:$U$20,4,false)</f>
        <v>0.5</v>
      </c>
      <c r="X2361" s="960">
        <f t="array" ref="X2361">HLOOKUP($J2361,'Type Chart'!$C$2:$T$20,5,false)*HLOOKUP($K2361,'Type Chart'!$C$2:$U$20,5,false)</f>
        <v>1</v>
      </c>
      <c r="Y2361" s="960">
        <f t="array" ref="Y2361">HLOOKUP($J2361,'Type Chart'!$C$2:$T$20,6,false)*HLOOKUP($K2361,'Type Chart'!$C$2:$U$20,6,false)</f>
        <v>2</v>
      </c>
      <c r="Z2361" s="960">
        <f t="array" ref="Z2361">HLOOKUP($J2361,'Type Chart'!$C$2:$T$20,7,false)*HLOOKUP($K2361,'Type Chart'!$C$2:$U$20,7,false)</f>
        <v>1</v>
      </c>
      <c r="AA2361" s="960">
        <f t="array" ref="AA2361">HLOOKUP($J2361,'Type Chart'!$C$2:$T$20,8,false)*HLOOKUP($K2361,'Type Chart'!$C$2:$U$20,8,false)</f>
        <v>2</v>
      </c>
      <c r="AB2361" s="960">
        <f t="array" ref="AB2361">HLOOKUP($J2361,'Type Chart'!$C$2:$T$20,9,false)*HLOOKUP($K2361,'Type Chart'!$C$2:$U$20,9,false)</f>
        <v>0.5</v>
      </c>
      <c r="AC2361" s="960">
        <f t="array" ref="AC2361">HLOOKUP($J2361,'Type Chart'!$C$2:$T$20,10,false)*HLOOKUP($K2361,'Type Chart'!$C$2:$U$20,10,false)</f>
        <v>0.5</v>
      </c>
      <c r="AD2361" s="960">
        <f t="array" ref="AD2361">HLOOKUP($J2361,'Type Chart'!$C$2:$T$20,11,false)*HLOOKUP($K2361,'Type Chart'!$C$2:$U$20,11,false)</f>
        <v>1</v>
      </c>
      <c r="AE2361" s="960">
        <f t="array" ref="AE2361">HLOOKUP($J2361,'Type Chart'!$C$2:$T$20,12,false)*HLOOKUP($K2361,'Type Chart'!$C$2:$U$20,12,false)</f>
        <v>1</v>
      </c>
      <c r="AF2361" s="960">
        <f t="array" ref="AF2361">HLOOKUP($J2361,'Type Chart'!$C$2:$T$20,13,false)*HLOOKUP($K2361,'Type Chart'!$C$2:$U$20,13,false)</f>
        <v>1</v>
      </c>
      <c r="AG2361" s="960">
        <f t="array" ref="AG2361">HLOOKUP($J2361,'Type Chart'!$C$2:$T$20,14,false)*HLOOKUP($K2361,'Type Chart'!$C$2:$U$20,14,false)</f>
        <v>0.5</v>
      </c>
      <c r="AH2361" s="960">
        <f t="array" ref="AH2361">HLOOKUP($J2361,'Type Chart'!$C$2:$T$20,15,false)*HLOOKUP($K2361,'Type Chart'!$C$2:$U$20,15,false)</f>
        <v>0</v>
      </c>
      <c r="AI2361" s="960">
        <f t="array" ref="AI2361">HLOOKUP($J2361,'Type Chart'!$C$2:$T$20,16,false)*HLOOKUP($K2361,'Type Chart'!$C$2:$U$20,16,false)</f>
        <v>1</v>
      </c>
      <c r="AJ2361" s="960">
        <f t="array" ref="AJ2361">HLOOKUP($J2361,'Type Chart'!$C$2:$T$20,17,false)*HLOOKUP($K2361,'Type Chart'!$C$2:$U$20,17,false)</f>
        <v>1</v>
      </c>
      <c r="AK2361" s="960">
        <f t="array" ref="AK2361">HLOOKUP($J2361,'Type Chart'!$C$2:$T$20,18,false)*HLOOKUP($K2361,'Type Chart'!$C$2:$U$20,18,false)</f>
        <v>0.5</v>
      </c>
      <c r="AL2361" s="960">
        <f t="array" ref="AL2361">HLOOKUP($J2361,'Type Chart'!$C$2:$T$20,19,false)*HLOOKUP($K2361,'Type Chart'!$C$2:$U$20,19,false)</f>
        <v>2</v>
      </c>
      <c r="AM2361" s="1145" t="s">
        <v>4054</v>
      </c>
      <c r="AN2361" s="1202"/>
      <c r="AO2361" s="1146"/>
      <c r="AP2361" s="936"/>
      <c r="AQ2361" s="1245"/>
      <c r="AR2361" s="1245"/>
      <c r="AS2361" s="936"/>
    </row>
    <row r="2362" ht="15.75" customHeight="1">
      <c r="A2362" s="1099"/>
      <c r="B2362" s="948" t="s">
        <v>4058</v>
      </c>
      <c r="C2362" s="1197" t="s">
        <v>4059</v>
      </c>
      <c r="D2362" s="1197" t="s">
        <v>4059</v>
      </c>
      <c r="E2362" s="1147" t="s">
        <v>4059</v>
      </c>
      <c r="F2362" s="940"/>
      <c r="G2362" s="953"/>
      <c r="H2362" s="969"/>
      <c r="I2362" s="998" t="s">
        <v>5457</v>
      </c>
      <c r="J2362" s="1206" t="s">
        <v>82</v>
      </c>
      <c r="K2362" s="984" t="s">
        <v>216</v>
      </c>
      <c r="L2362" s="959">
        <v>72.0</v>
      </c>
      <c r="M2362" s="960">
        <v>80.0</v>
      </c>
      <c r="N2362" s="960">
        <v>49.0</v>
      </c>
      <c r="O2362" s="960">
        <v>40.0</v>
      </c>
      <c r="P2362" s="960">
        <v>49.0</v>
      </c>
      <c r="Q2362" s="960">
        <v>40.0</v>
      </c>
      <c r="R2362" s="960">
        <v>116.0</v>
      </c>
      <c r="S2362" s="960">
        <v>179.0</v>
      </c>
      <c r="T2362" s="960">
        <v>196.0</v>
      </c>
      <c r="U2362" s="960">
        <f t="array" ref="U2362">HLOOKUP($J2362,'Type Chart'!$C$2:$T$20,2,false)*HLOOKUP($K2362,'Type Chart'!$C$2:$U$20,2,false)</f>
        <v>0.5</v>
      </c>
      <c r="V2362" s="960">
        <f t="array" ref="V2362">HLOOKUP($J2362,'Type Chart'!$C$2:$T$20,3,false)*HLOOKUP($K2362,'Type Chart'!$C$2:$U$20,3,false)</f>
        <v>2</v>
      </c>
      <c r="W2362" s="960">
        <f t="array" ref="W2362">HLOOKUP($J2362,'Type Chart'!$C$2:$T$20,4,false)*HLOOKUP($K2362,'Type Chart'!$C$2:$U$20,4,false)</f>
        <v>0.5</v>
      </c>
      <c r="X2362" s="960">
        <f t="array" ref="X2362">HLOOKUP($J2362,'Type Chart'!$C$2:$T$20,5,false)*HLOOKUP($K2362,'Type Chart'!$C$2:$U$20,5,false)</f>
        <v>0</v>
      </c>
      <c r="Y2362" s="960">
        <f t="array" ref="Y2362">HLOOKUP($J2362,'Type Chart'!$C$2:$T$20,6,false)*HLOOKUP($K2362,'Type Chart'!$C$2:$U$20,6,false)</f>
        <v>2</v>
      </c>
      <c r="Z2362" s="960">
        <f t="array" ref="Z2362">HLOOKUP($J2362,'Type Chart'!$C$2:$T$20,7,false)*HLOOKUP($K2362,'Type Chart'!$C$2:$U$20,7,false)</f>
        <v>0.5</v>
      </c>
      <c r="AA2362" s="960">
        <f t="array" ref="AA2362">HLOOKUP($J2362,'Type Chart'!$C$2:$T$20,8,false)*HLOOKUP($K2362,'Type Chart'!$C$2:$U$20,8,false)</f>
        <v>0.5</v>
      </c>
      <c r="AB2362" s="960">
        <f t="array" ref="AB2362">HLOOKUP($J2362,'Type Chart'!$C$2:$T$20,9,false)*HLOOKUP($K2362,'Type Chart'!$C$2:$U$20,9,false)</f>
        <v>1</v>
      </c>
      <c r="AC2362" s="960">
        <f t="array" ref="AC2362">HLOOKUP($J2362,'Type Chart'!$C$2:$T$20,10,false)*HLOOKUP($K2362,'Type Chart'!$C$2:$U$20,10,false)</f>
        <v>0.5</v>
      </c>
      <c r="AD2362" s="960">
        <f t="array" ref="AD2362">HLOOKUP($J2362,'Type Chart'!$C$2:$T$20,11,false)*HLOOKUP($K2362,'Type Chart'!$C$2:$U$20,11,false)</f>
        <v>2</v>
      </c>
      <c r="AE2362" s="960">
        <f t="array" ref="AE2362">HLOOKUP($J2362,'Type Chart'!$C$2:$T$20,12,false)*HLOOKUP($K2362,'Type Chart'!$C$2:$U$20,12,false)</f>
        <v>1</v>
      </c>
      <c r="AF2362" s="960">
        <f t="array" ref="AF2362">HLOOKUP($J2362,'Type Chart'!$C$2:$T$20,13,false)*HLOOKUP($K2362,'Type Chart'!$C$2:$U$20,13,false)</f>
        <v>0.5</v>
      </c>
      <c r="AG2362" s="960">
        <f t="array" ref="AG2362">HLOOKUP($J2362,'Type Chart'!$C$2:$T$20,14,false)*HLOOKUP($K2362,'Type Chart'!$C$2:$U$20,14,false)</f>
        <v>1</v>
      </c>
      <c r="AH2362" s="960">
        <f t="array" ref="AH2362">HLOOKUP($J2362,'Type Chart'!$C$2:$T$20,15,false)*HLOOKUP($K2362,'Type Chart'!$C$2:$U$20,15,false)</f>
        <v>0.5</v>
      </c>
      <c r="AI2362" s="960">
        <f t="array" ref="AI2362">HLOOKUP($J2362,'Type Chart'!$C$2:$T$20,16,false)*HLOOKUP($K2362,'Type Chart'!$C$2:$U$20,16,false)</f>
        <v>0.5</v>
      </c>
      <c r="AJ2362" s="960">
        <f t="array" ref="AJ2362">HLOOKUP($J2362,'Type Chart'!$C$2:$T$20,17,false)*HLOOKUP($K2362,'Type Chart'!$C$2:$U$20,17,false)</f>
        <v>0.5</v>
      </c>
      <c r="AK2362" s="960">
        <f t="array" ref="AK2362">HLOOKUP($J2362,'Type Chart'!$C$2:$T$20,18,false)*HLOOKUP($K2362,'Type Chart'!$C$2:$U$20,18,false)</f>
        <v>1</v>
      </c>
      <c r="AL2362" s="960">
        <f t="array" ref="AL2362">HLOOKUP($J2362,'Type Chart'!$C$2:$T$20,19,false)*HLOOKUP($K2362,'Type Chart'!$C$2:$U$20,19,false)</f>
        <v>0.5</v>
      </c>
      <c r="AM2362" s="964" t="s">
        <v>1153</v>
      </c>
      <c r="AN2362" s="965"/>
      <c r="AO2362" s="966" t="s">
        <v>2151</v>
      </c>
      <c r="AP2362" s="936"/>
      <c r="AQ2362" s="1245"/>
      <c r="AR2362" s="1245"/>
      <c r="AS2362" s="936"/>
    </row>
    <row r="2363" ht="15.75" customHeight="1">
      <c r="A2363" s="1099"/>
      <c r="B2363" s="948" t="s">
        <v>4061</v>
      </c>
      <c r="C2363" s="1197" t="s">
        <v>4062</v>
      </c>
      <c r="D2363" s="1197" t="s">
        <v>4062</v>
      </c>
      <c r="E2363" s="1147" t="s">
        <v>4062</v>
      </c>
      <c r="F2363" s="940"/>
      <c r="G2363" s="953"/>
      <c r="H2363" s="969"/>
      <c r="I2363" s="998" t="s">
        <v>5458</v>
      </c>
      <c r="J2363" s="1206" t="s">
        <v>82</v>
      </c>
      <c r="K2363" s="984" t="s">
        <v>216</v>
      </c>
      <c r="L2363" s="959">
        <v>122.0</v>
      </c>
      <c r="M2363" s="960">
        <v>130.0</v>
      </c>
      <c r="N2363" s="960">
        <v>69.0</v>
      </c>
      <c r="O2363" s="960">
        <v>80.0</v>
      </c>
      <c r="P2363" s="960">
        <v>69.0</v>
      </c>
      <c r="Q2363" s="960">
        <v>30.0</v>
      </c>
      <c r="R2363" s="960">
        <v>96.0</v>
      </c>
      <c r="S2363" s="960">
        <v>159.0</v>
      </c>
      <c r="T2363" s="960">
        <v>174.0</v>
      </c>
      <c r="U2363" s="960">
        <f t="array" ref="U2363">HLOOKUP($J2363,'Type Chart'!$C$2:$T$20,2,false)*HLOOKUP($K2363,'Type Chart'!$C$2:$U$20,2,false)</f>
        <v>0.5</v>
      </c>
      <c r="V2363" s="960">
        <f t="array" ref="V2363">HLOOKUP($J2363,'Type Chart'!$C$2:$T$20,3,false)*HLOOKUP($K2363,'Type Chart'!$C$2:$U$20,3,false)</f>
        <v>2</v>
      </c>
      <c r="W2363" s="960">
        <f t="array" ref="W2363">HLOOKUP($J2363,'Type Chart'!$C$2:$T$20,4,false)*HLOOKUP($K2363,'Type Chart'!$C$2:$U$20,4,false)</f>
        <v>0.5</v>
      </c>
      <c r="X2363" s="960">
        <f t="array" ref="X2363">HLOOKUP($J2363,'Type Chart'!$C$2:$T$20,5,false)*HLOOKUP($K2363,'Type Chart'!$C$2:$U$20,5,false)</f>
        <v>0</v>
      </c>
      <c r="Y2363" s="960">
        <f t="array" ref="Y2363">HLOOKUP($J2363,'Type Chart'!$C$2:$T$20,6,false)*HLOOKUP($K2363,'Type Chart'!$C$2:$U$20,6,false)</f>
        <v>2</v>
      </c>
      <c r="Z2363" s="960">
        <f t="array" ref="Z2363">HLOOKUP($J2363,'Type Chart'!$C$2:$T$20,7,false)*HLOOKUP($K2363,'Type Chart'!$C$2:$U$20,7,false)</f>
        <v>0.5</v>
      </c>
      <c r="AA2363" s="960">
        <f t="array" ref="AA2363">HLOOKUP($J2363,'Type Chart'!$C$2:$T$20,8,false)*HLOOKUP($K2363,'Type Chart'!$C$2:$U$20,8,false)</f>
        <v>0.5</v>
      </c>
      <c r="AB2363" s="960">
        <f t="array" ref="AB2363">HLOOKUP($J2363,'Type Chart'!$C$2:$T$20,9,false)*HLOOKUP($K2363,'Type Chart'!$C$2:$U$20,9,false)</f>
        <v>1</v>
      </c>
      <c r="AC2363" s="960">
        <f t="array" ref="AC2363">HLOOKUP($J2363,'Type Chart'!$C$2:$T$20,10,false)*HLOOKUP($K2363,'Type Chart'!$C$2:$U$20,10,false)</f>
        <v>0.5</v>
      </c>
      <c r="AD2363" s="960">
        <f t="array" ref="AD2363">HLOOKUP($J2363,'Type Chart'!$C$2:$T$20,11,false)*HLOOKUP($K2363,'Type Chart'!$C$2:$U$20,11,false)</f>
        <v>2</v>
      </c>
      <c r="AE2363" s="960">
        <f t="array" ref="AE2363">HLOOKUP($J2363,'Type Chart'!$C$2:$T$20,12,false)*HLOOKUP($K2363,'Type Chart'!$C$2:$U$20,12,false)</f>
        <v>1</v>
      </c>
      <c r="AF2363" s="960">
        <f t="array" ref="AF2363">HLOOKUP($J2363,'Type Chart'!$C$2:$T$20,13,false)*HLOOKUP($K2363,'Type Chart'!$C$2:$U$20,13,false)</f>
        <v>0.5</v>
      </c>
      <c r="AG2363" s="960">
        <f t="array" ref="AG2363">HLOOKUP($J2363,'Type Chart'!$C$2:$T$20,14,false)*HLOOKUP($K2363,'Type Chart'!$C$2:$U$20,14,false)</f>
        <v>1</v>
      </c>
      <c r="AH2363" s="960">
        <f t="array" ref="AH2363">HLOOKUP($J2363,'Type Chart'!$C$2:$T$20,15,false)*HLOOKUP($K2363,'Type Chart'!$C$2:$U$20,15,false)</f>
        <v>0.5</v>
      </c>
      <c r="AI2363" s="960">
        <f t="array" ref="AI2363">HLOOKUP($J2363,'Type Chart'!$C$2:$T$20,16,false)*HLOOKUP($K2363,'Type Chart'!$C$2:$U$20,16,false)</f>
        <v>0.5</v>
      </c>
      <c r="AJ2363" s="960">
        <f t="array" ref="AJ2363">HLOOKUP($J2363,'Type Chart'!$C$2:$T$20,17,false)*HLOOKUP($K2363,'Type Chart'!$C$2:$U$20,17,false)</f>
        <v>0.5</v>
      </c>
      <c r="AK2363" s="960">
        <f t="array" ref="AK2363">HLOOKUP($J2363,'Type Chart'!$C$2:$T$20,18,false)*HLOOKUP($K2363,'Type Chart'!$C$2:$U$20,18,false)</f>
        <v>1</v>
      </c>
      <c r="AL2363" s="960">
        <f t="array" ref="AL2363">HLOOKUP($J2363,'Type Chart'!$C$2:$T$20,19,false)*HLOOKUP($K2363,'Type Chart'!$C$2:$U$20,19,false)</f>
        <v>0.5</v>
      </c>
      <c r="AM2363" s="964" t="s">
        <v>1153</v>
      </c>
      <c r="AN2363" s="965"/>
      <c r="AO2363" s="966" t="s">
        <v>2151</v>
      </c>
      <c r="AP2363" s="936"/>
      <c r="AQ2363" s="1245"/>
      <c r="AR2363" s="1245"/>
      <c r="AS2363" s="936"/>
    </row>
    <row r="2364" ht="15.75" customHeight="1">
      <c r="A2364" s="1099"/>
      <c r="B2364" s="948" t="s">
        <v>4063</v>
      </c>
      <c r="C2364" s="1197" t="s">
        <v>4064</v>
      </c>
      <c r="D2364" s="1197" t="s">
        <v>4064</v>
      </c>
      <c r="E2364" s="1147" t="s">
        <v>4064</v>
      </c>
      <c r="F2364" s="940"/>
      <c r="G2364" s="953"/>
      <c r="H2364" s="969"/>
      <c r="I2364" s="998" t="s">
        <v>5459</v>
      </c>
      <c r="J2364" s="1196" t="s">
        <v>203</v>
      </c>
      <c r="K2364" s="1006" t="s">
        <v>346</v>
      </c>
      <c r="L2364" s="959">
        <v>90.0</v>
      </c>
      <c r="M2364" s="960">
        <v>100.0</v>
      </c>
      <c r="N2364" s="960">
        <v>90.0</v>
      </c>
      <c r="O2364" s="960">
        <v>80.0</v>
      </c>
      <c r="P2364" s="960">
        <v>70.0</v>
      </c>
      <c r="Q2364" s="960">
        <v>75.0</v>
      </c>
      <c r="R2364" s="960">
        <v>186.0</v>
      </c>
      <c r="S2364" s="960">
        <v>249.0</v>
      </c>
      <c r="T2364" s="960">
        <v>273.0</v>
      </c>
      <c r="U2364" s="960">
        <f t="array" ref="U2364">HLOOKUP($J2364,'Type Chart'!$C$2:$T$20,2,false)*HLOOKUP($K2364,'Type Chart'!$C$2:$U$20,2,false)</f>
        <v>1</v>
      </c>
      <c r="V2364" s="960">
        <f t="array" ref="V2364">HLOOKUP($J2364,'Type Chart'!$C$2:$T$20,3,false)*HLOOKUP($K2364,'Type Chart'!$C$2:$U$20,3,false)</f>
        <v>1</v>
      </c>
      <c r="W2364" s="960">
        <f t="array" ref="W2364">HLOOKUP($J2364,'Type Chart'!$C$2:$T$20,4,false)*HLOOKUP($K2364,'Type Chart'!$C$2:$U$20,4,false)</f>
        <v>0.5</v>
      </c>
      <c r="X2364" s="960">
        <f t="array" ref="X2364">HLOOKUP($J2364,'Type Chart'!$C$2:$T$20,5,false)*HLOOKUP($K2364,'Type Chart'!$C$2:$U$20,5,false)</f>
        <v>1</v>
      </c>
      <c r="Y2364" s="960">
        <f t="array" ref="Y2364">HLOOKUP($J2364,'Type Chart'!$C$2:$T$20,6,false)*HLOOKUP($K2364,'Type Chart'!$C$2:$U$20,6,false)</f>
        <v>2</v>
      </c>
      <c r="Z2364" s="960">
        <f t="array" ref="Z2364">HLOOKUP($J2364,'Type Chart'!$C$2:$T$20,7,false)*HLOOKUP($K2364,'Type Chart'!$C$2:$U$20,7,false)</f>
        <v>1</v>
      </c>
      <c r="AA2364" s="960">
        <f t="array" ref="AA2364">HLOOKUP($J2364,'Type Chart'!$C$2:$T$20,8,false)*HLOOKUP($K2364,'Type Chart'!$C$2:$U$20,8,false)</f>
        <v>1</v>
      </c>
      <c r="AB2364" s="960">
        <f t="array" ref="AB2364">HLOOKUP($J2364,'Type Chart'!$C$2:$T$20,9,false)*HLOOKUP($K2364,'Type Chart'!$C$2:$U$20,9,false)</f>
        <v>1</v>
      </c>
      <c r="AC2364" s="960">
        <f t="array" ref="AC2364">HLOOKUP($J2364,'Type Chart'!$C$2:$T$20,10,false)*HLOOKUP($K2364,'Type Chart'!$C$2:$U$20,10,false)</f>
        <v>0.5</v>
      </c>
      <c r="AD2364" s="960">
        <f t="array" ref="AD2364">HLOOKUP($J2364,'Type Chart'!$C$2:$T$20,11,false)*HLOOKUP($K2364,'Type Chart'!$C$2:$U$20,11,false)</f>
        <v>0.5</v>
      </c>
      <c r="AE2364" s="960">
        <f t="array" ref="AE2364">HLOOKUP($J2364,'Type Chart'!$C$2:$T$20,12,false)*HLOOKUP($K2364,'Type Chart'!$C$2:$U$20,12,false)</f>
        <v>0.5</v>
      </c>
      <c r="AF2364" s="960">
        <f t="array" ref="AF2364">HLOOKUP($J2364,'Type Chart'!$C$2:$T$20,13,false)*HLOOKUP($K2364,'Type Chart'!$C$2:$U$20,13,false)</f>
        <v>0.5</v>
      </c>
      <c r="AG2364" s="960">
        <f t="array" ref="AG2364">HLOOKUP($J2364,'Type Chart'!$C$2:$T$20,14,false)*HLOOKUP($K2364,'Type Chart'!$C$2:$U$20,14,false)</f>
        <v>0.25</v>
      </c>
      <c r="AH2364" s="960">
        <f t="array" ref="AH2364">HLOOKUP($J2364,'Type Chart'!$C$2:$T$20,15,false)*HLOOKUP($K2364,'Type Chart'!$C$2:$U$20,15,false)</f>
        <v>1</v>
      </c>
      <c r="AI2364" s="960">
        <f t="array" ref="AI2364">HLOOKUP($J2364,'Type Chart'!$C$2:$T$20,16,false)*HLOOKUP($K2364,'Type Chart'!$C$2:$U$20,16,false)</f>
        <v>2</v>
      </c>
      <c r="AJ2364" s="960">
        <f t="array" ref="AJ2364">HLOOKUP($J2364,'Type Chart'!$C$2:$T$20,17,false)*HLOOKUP($K2364,'Type Chart'!$C$2:$U$20,17,false)</f>
        <v>2</v>
      </c>
      <c r="AK2364" s="960">
        <f t="array" ref="AK2364">HLOOKUP($J2364,'Type Chart'!$C$2:$T$20,18,false)*HLOOKUP($K2364,'Type Chart'!$C$2:$U$20,18,false)</f>
        <v>1</v>
      </c>
      <c r="AL2364" s="960">
        <f t="array" ref="AL2364">HLOOKUP($J2364,'Type Chart'!$C$2:$T$20,19,false)*HLOOKUP($K2364,'Type Chart'!$C$2:$U$20,19,false)</f>
        <v>2</v>
      </c>
      <c r="AM2364" s="964" t="s">
        <v>1614</v>
      </c>
      <c r="AN2364" s="964" t="s">
        <v>1039</v>
      </c>
      <c r="AO2364" s="966" t="s">
        <v>1130</v>
      </c>
      <c r="AP2364" s="936"/>
      <c r="AQ2364" s="1245"/>
      <c r="AR2364" s="1245"/>
      <c r="AS2364" s="936"/>
    </row>
    <row r="2365" ht="15.75" customHeight="1">
      <c r="A2365" s="1099"/>
      <c r="B2365" s="948" t="s">
        <v>4066</v>
      </c>
      <c r="C2365" s="1197" t="s">
        <v>4067</v>
      </c>
      <c r="D2365" s="1197" t="s">
        <v>4067</v>
      </c>
      <c r="E2365" s="1147" t="s">
        <v>4067</v>
      </c>
      <c r="F2365" s="940"/>
      <c r="G2365" s="953"/>
      <c r="H2365" s="969"/>
      <c r="I2365" s="998" t="s">
        <v>5460</v>
      </c>
      <c r="J2365" s="1196" t="s">
        <v>203</v>
      </c>
      <c r="K2365" s="1205" t="s">
        <v>345</v>
      </c>
      <c r="L2365" s="959">
        <v>90.0</v>
      </c>
      <c r="M2365" s="960">
        <v>100.0</v>
      </c>
      <c r="N2365" s="960">
        <v>90.0</v>
      </c>
      <c r="O2365" s="960">
        <v>90.0</v>
      </c>
      <c r="P2365" s="960">
        <v>80.0</v>
      </c>
      <c r="Q2365" s="960">
        <v>55.0</v>
      </c>
      <c r="R2365" s="960">
        <v>146.0</v>
      </c>
      <c r="S2365" s="960">
        <v>209.0</v>
      </c>
      <c r="T2365" s="960">
        <v>229.0</v>
      </c>
      <c r="U2365" s="960">
        <f t="array" ref="U2365">HLOOKUP($J2365,'Type Chart'!$C$2:$T$20,2,false)*HLOOKUP($K2365,'Type Chart'!$C$2:$U$20,2,false)</f>
        <v>1</v>
      </c>
      <c r="V2365" s="960">
        <f t="array" ref="V2365">HLOOKUP($J2365,'Type Chart'!$C$2:$T$20,3,false)*HLOOKUP($K2365,'Type Chart'!$C$2:$U$20,3,false)</f>
        <v>2</v>
      </c>
      <c r="W2365" s="960">
        <f t="array" ref="W2365">HLOOKUP($J2365,'Type Chart'!$C$2:$T$20,4,false)*HLOOKUP($K2365,'Type Chart'!$C$2:$U$20,4,false)</f>
        <v>0.5</v>
      </c>
      <c r="X2365" s="960">
        <f t="array" ref="X2365">HLOOKUP($J2365,'Type Chart'!$C$2:$T$20,5,false)*HLOOKUP($K2365,'Type Chart'!$C$2:$U$20,5,false)</f>
        <v>1</v>
      </c>
      <c r="Y2365" s="960">
        <f t="array" ref="Y2365">HLOOKUP($J2365,'Type Chart'!$C$2:$T$20,6,false)*HLOOKUP($K2365,'Type Chart'!$C$2:$U$20,6,false)</f>
        <v>2</v>
      </c>
      <c r="Z2365" s="960">
        <f t="array" ref="Z2365">HLOOKUP($J2365,'Type Chart'!$C$2:$T$20,7,false)*HLOOKUP($K2365,'Type Chart'!$C$2:$U$20,7,false)</f>
        <v>2</v>
      </c>
      <c r="AA2365" s="960">
        <f t="array" ref="AA2365">HLOOKUP($J2365,'Type Chart'!$C$2:$T$20,8,false)*HLOOKUP($K2365,'Type Chart'!$C$2:$U$20,8,false)</f>
        <v>1</v>
      </c>
      <c r="AB2365" s="960">
        <f t="array" ref="AB2365">HLOOKUP($J2365,'Type Chart'!$C$2:$T$20,9,false)*HLOOKUP($K2365,'Type Chart'!$C$2:$U$20,9,false)</f>
        <v>1</v>
      </c>
      <c r="AC2365" s="960">
        <f t="array" ref="AC2365">HLOOKUP($J2365,'Type Chart'!$C$2:$T$20,10,false)*HLOOKUP($K2365,'Type Chart'!$C$2:$U$20,10,false)</f>
        <v>1</v>
      </c>
      <c r="AD2365" s="960">
        <f t="array" ref="AD2365">HLOOKUP($J2365,'Type Chart'!$C$2:$T$20,11,false)*HLOOKUP($K2365,'Type Chart'!$C$2:$U$20,11,false)</f>
        <v>2</v>
      </c>
      <c r="AE2365" s="960">
        <f t="array" ref="AE2365">HLOOKUP($J2365,'Type Chart'!$C$2:$T$20,12,false)*HLOOKUP($K2365,'Type Chart'!$C$2:$U$20,12,false)</f>
        <v>1</v>
      </c>
      <c r="AF2365" s="960">
        <f t="array" ref="AF2365">HLOOKUP($J2365,'Type Chart'!$C$2:$T$20,13,false)*HLOOKUP($K2365,'Type Chart'!$C$2:$U$20,13,false)</f>
        <v>1</v>
      </c>
      <c r="AG2365" s="960">
        <f t="array" ref="AG2365">HLOOKUP($J2365,'Type Chart'!$C$2:$T$20,14,false)*HLOOKUP($K2365,'Type Chart'!$C$2:$U$20,14,false)</f>
        <v>0.5</v>
      </c>
      <c r="AH2365" s="960">
        <f t="array" ref="AH2365">HLOOKUP($J2365,'Type Chart'!$C$2:$T$20,15,false)*HLOOKUP($K2365,'Type Chart'!$C$2:$U$20,15,false)</f>
        <v>1</v>
      </c>
      <c r="AI2365" s="960">
        <f t="array" ref="AI2365">HLOOKUP($J2365,'Type Chart'!$C$2:$T$20,16,false)*HLOOKUP($K2365,'Type Chart'!$C$2:$U$20,16,false)</f>
        <v>0.5</v>
      </c>
      <c r="AJ2365" s="960">
        <f t="array" ref="AJ2365">HLOOKUP($J2365,'Type Chart'!$C$2:$T$20,17,false)*HLOOKUP($K2365,'Type Chart'!$C$2:$U$20,17,false)</f>
        <v>1</v>
      </c>
      <c r="AK2365" s="960">
        <f t="array" ref="AK2365">HLOOKUP($J2365,'Type Chart'!$C$2:$T$20,18,false)*HLOOKUP($K2365,'Type Chart'!$C$2:$U$20,18,false)</f>
        <v>1</v>
      </c>
      <c r="AL2365" s="960">
        <f t="array" ref="AL2365">HLOOKUP($J2365,'Type Chart'!$C$2:$T$20,19,false)*HLOOKUP($K2365,'Type Chart'!$C$2:$U$20,19,false)</f>
        <v>1</v>
      </c>
      <c r="AM2365" s="1145" t="s">
        <v>1614</v>
      </c>
      <c r="AN2365" s="964" t="s">
        <v>1067</v>
      </c>
      <c r="AO2365" s="1146" t="s">
        <v>1136</v>
      </c>
      <c r="AP2365" s="936"/>
      <c r="AQ2365" s="1245"/>
      <c r="AR2365" s="1245"/>
      <c r="AS2365" s="936"/>
    </row>
    <row r="2366" ht="15.75" customHeight="1">
      <c r="A2366" s="1099"/>
      <c r="B2366" s="948" t="s">
        <v>4069</v>
      </c>
      <c r="C2366" s="1197" t="s">
        <v>4070</v>
      </c>
      <c r="D2366" s="1197" t="s">
        <v>4070</v>
      </c>
      <c r="E2366" s="1147" t="s">
        <v>4070</v>
      </c>
      <c r="F2366" s="940"/>
      <c r="G2366" s="953"/>
      <c r="H2366" s="969"/>
      <c r="I2366" s="998" t="s">
        <v>5461</v>
      </c>
      <c r="J2366" s="1056" t="s">
        <v>81</v>
      </c>
      <c r="K2366" s="1006" t="s">
        <v>346</v>
      </c>
      <c r="L2366" s="959">
        <v>90.0</v>
      </c>
      <c r="M2366" s="960">
        <v>90.0</v>
      </c>
      <c r="N2366" s="960">
        <v>100.0</v>
      </c>
      <c r="O2366" s="960">
        <v>70.0</v>
      </c>
      <c r="P2366" s="960">
        <v>80.0</v>
      </c>
      <c r="Q2366" s="960">
        <v>75.0</v>
      </c>
      <c r="R2366" s="960">
        <v>186.0</v>
      </c>
      <c r="S2366" s="960">
        <v>249.0</v>
      </c>
      <c r="T2366" s="960">
        <v>273.0</v>
      </c>
      <c r="U2366" s="960">
        <f t="array" ref="U2366">HLOOKUP($J2366,'Type Chart'!$C$2:$T$20,2,false)*HLOOKUP($K2366,'Type Chart'!$C$2:$U$20,2,false)</f>
        <v>1</v>
      </c>
      <c r="V2366" s="960">
        <f t="array" ref="V2366">HLOOKUP($J2366,'Type Chart'!$C$2:$T$20,3,false)*HLOOKUP($K2366,'Type Chart'!$C$2:$U$20,3,false)</f>
        <v>1</v>
      </c>
      <c r="W2366" s="960">
        <f t="array" ref="W2366">HLOOKUP($J2366,'Type Chart'!$C$2:$T$20,4,false)*HLOOKUP($K2366,'Type Chart'!$C$2:$U$20,4,false)</f>
        <v>1</v>
      </c>
      <c r="X2366" s="960">
        <f t="array" ref="X2366">HLOOKUP($J2366,'Type Chart'!$C$2:$T$20,5,false)*HLOOKUP($K2366,'Type Chart'!$C$2:$U$20,5,false)</f>
        <v>1</v>
      </c>
      <c r="Y2366" s="960">
        <f t="array" ref="Y2366">HLOOKUP($J2366,'Type Chart'!$C$2:$T$20,6,false)*HLOOKUP($K2366,'Type Chart'!$C$2:$U$20,6,false)</f>
        <v>1</v>
      </c>
      <c r="Z2366" s="960">
        <f t="array" ref="Z2366">HLOOKUP($J2366,'Type Chart'!$C$2:$T$20,7,false)*HLOOKUP($K2366,'Type Chart'!$C$2:$U$20,7,false)</f>
        <v>1</v>
      </c>
      <c r="AA2366" s="960">
        <f t="array" ref="AA2366">HLOOKUP($J2366,'Type Chart'!$C$2:$T$20,8,false)*HLOOKUP($K2366,'Type Chart'!$C$2:$U$20,8,false)</f>
        <v>1</v>
      </c>
      <c r="AB2366" s="960">
        <f t="array" ref="AB2366">HLOOKUP($J2366,'Type Chart'!$C$2:$T$20,9,false)*HLOOKUP($K2366,'Type Chart'!$C$2:$U$20,9,false)</f>
        <v>1</v>
      </c>
      <c r="AC2366" s="960">
        <f t="array" ref="AC2366">HLOOKUP($J2366,'Type Chart'!$C$2:$T$20,10,false)*HLOOKUP($K2366,'Type Chart'!$C$2:$U$20,10,false)</f>
        <v>0.5</v>
      </c>
      <c r="AD2366" s="960">
        <f t="array" ref="AD2366">HLOOKUP($J2366,'Type Chart'!$C$2:$T$20,11,false)*HLOOKUP($K2366,'Type Chart'!$C$2:$U$20,11,false)</f>
        <v>0.25</v>
      </c>
      <c r="AE2366" s="960">
        <f t="array" ref="AE2366">HLOOKUP($J2366,'Type Chart'!$C$2:$T$20,12,false)*HLOOKUP($K2366,'Type Chart'!$C$2:$U$20,12,false)</f>
        <v>0.25</v>
      </c>
      <c r="AF2366" s="960">
        <f t="array" ref="AF2366">HLOOKUP($J2366,'Type Chart'!$C$2:$T$20,13,false)*HLOOKUP($K2366,'Type Chart'!$C$2:$U$20,13,false)</f>
        <v>1</v>
      </c>
      <c r="AG2366" s="960">
        <f t="array" ref="AG2366">HLOOKUP($J2366,'Type Chart'!$C$2:$T$20,14,false)*HLOOKUP($K2366,'Type Chart'!$C$2:$U$20,14,false)</f>
        <v>1</v>
      </c>
      <c r="AH2366" s="960">
        <f t="array" ref="AH2366">HLOOKUP($J2366,'Type Chart'!$C$2:$T$20,15,false)*HLOOKUP($K2366,'Type Chart'!$C$2:$U$20,15,false)</f>
        <v>1</v>
      </c>
      <c r="AI2366" s="960">
        <f t="array" ref="AI2366">HLOOKUP($J2366,'Type Chart'!$C$2:$T$20,16,false)*HLOOKUP($K2366,'Type Chart'!$C$2:$U$20,16,false)</f>
        <v>1</v>
      </c>
      <c r="AJ2366" s="960">
        <f t="array" ref="AJ2366">HLOOKUP($J2366,'Type Chart'!$C$2:$T$20,17,false)*HLOOKUP($K2366,'Type Chart'!$C$2:$U$20,17,false)</f>
        <v>2</v>
      </c>
      <c r="AK2366" s="960">
        <f t="array" ref="AK2366">HLOOKUP($J2366,'Type Chart'!$C$2:$T$20,18,false)*HLOOKUP($K2366,'Type Chart'!$C$2:$U$20,18,false)</f>
        <v>1</v>
      </c>
      <c r="AL2366" s="960">
        <f t="array" ref="AL2366">HLOOKUP($J2366,'Type Chart'!$C$2:$T$20,19,false)*HLOOKUP($K2366,'Type Chart'!$C$2:$U$20,19,false)</f>
        <v>2</v>
      </c>
      <c r="AM2366" s="964" t="s">
        <v>1283</v>
      </c>
      <c r="AN2366" s="964" t="s">
        <v>2205</v>
      </c>
      <c r="AO2366" s="966" t="s">
        <v>1130</v>
      </c>
      <c r="AP2366" s="936"/>
      <c r="AQ2366" s="1245"/>
      <c r="AR2366" s="1245"/>
      <c r="AS2366" s="936"/>
    </row>
    <row r="2367" ht="15.75" customHeight="1">
      <c r="A2367" s="1099"/>
      <c r="B2367" s="948" t="s">
        <v>4072</v>
      </c>
      <c r="C2367" s="1197" t="s">
        <v>4073</v>
      </c>
      <c r="D2367" s="1197" t="s">
        <v>4073</v>
      </c>
      <c r="E2367" s="1147" t="s">
        <v>4073</v>
      </c>
      <c r="F2367" s="940"/>
      <c r="G2367" s="953"/>
      <c r="H2367" s="969"/>
      <c r="I2367" s="998" t="s">
        <v>5462</v>
      </c>
      <c r="J2367" s="1211" t="s">
        <v>81</v>
      </c>
      <c r="K2367" s="1224" t="s">
        <v>345</v>
      </c>
      <c r="L2367" s="1200">
        <v>90.0</v>
      </c>
      <c r="M2367" s="1201">
        <v>90.0</v>
      </c>
      <c r="N2367" s="1201">
        <v>100.0</v>
      </c>
      <c r="O2367" s="1201">
        <v>80.0</v>
      </c>
      <c r="P2367" s="1201">
        <v>90.0</v>
      </c>
      <c r="Q2367" s="1201">
        <v>55.0</v>
      </c>
      <c r="R2367" s="960">
        <v>146.0</v>
      </c>
      <c r="S2367" s="960">
        <v>209.0</v>
      </c>
      <c r="T2367" s="960">
        <v>229.0</v>
      </c>
      <c r="U2367" s="960">
        <f t="array" ref="U2367">HLOOKUP($J2367,'Type Chart'!$C$2:$T$20,2,false)*HLOOKUP($K2367,'Type Chart'!$C$2:$U$20,2,false)</f>
        <v>1</v>
      </c>
      <c r="V2367" s="960">
        <f t="array" ref="V2367">HLOOKUP($J2367,'Type Chart'!$C$2:$T$20,3,false)*HLOOKUP($K2367,'Type Chart'!$C$2:$U$20,3,false)</f>
        <v>2</v>
      </c>
      <c r="W2367" s="960">
        <f t="array" ref="W2367">HLOOKUP($J2367,'Type Chart'!$C$2:$T$20,4,false)*HLOOKUP($K2367,'Type Chart'!$C$2:$U$20,4,false)</f>
        <v>1</v>
      </c>
      <c r="X2367" s="960">
        <f t="array" ref="X2367">HLOOKUP($J2367,'Type Chart'!$C$2:$T$20,5,false)*HLOOKUP($K2367,'Type Chart'!$C$2:$U$20,5,false)</f>
        <v>1</v>
      </c>
      <c r="Y2367" s="960">
        <f t="array" ref="Y2367">HLOOKUP($J2367,'Type Chart'!$C$2:$T$20,6,false)*HLOOKUP($K2367,'Type Chart'!$C$2:$U$20,6,false)</f>
        <v>1</v>
      </c>
      <c r="Z2367" s="960">
        <f t="array" ref="Z2367">HLOOKUP($J2367,'Type Chart'!$C$2:$T$20,7,false)*HLOOKUP($K2367,'Type Chart'!$C$2:$U$20,7,false)</f>
        <v>2</v>
      </c>
      <c r="AA2367" s="960">
        <f t="array" ref="AA2367">HLOOKUP($J2367,'Type Chart'!$C$2:$T$20,8,false)*HLOOKUP($K2367,'Type Chart'!$C$2:$U$20,8,false)</f>
        <v>1</v>
      </c>
      <c r="AB2367" s="960">
        <f t="array" ref="AB2367">HLOOKUP($J2367,'Type Chart'!$C$2:$T$20,9,false)*HLOOKUP($K2367,'Type Chart'!$C$2:$U$20,9,false)</f>
        <v>1</v>
      </c>
      <c r="AC2367" s="960">
        <f t="array" ref="AC2367">HLOOKUP($J2367,'Type Chart'!$C$2:$T$20,10,false)*HLOOKUP($K2367,'Type Chart'!$C$2:$U$20,10,false)</f>
        <v>1</v>
      </c>
      <c r="AD2367" s="960">
        <f t="array" ref="AD2367">HLOOKUP($J2367,'Type Chart'!$C$2:$T$20,11,false)*HLOOKUP($K2367,'Type Chart'!$C$2:$U$20,11,false)</f>
        <v>1</v>
      </c>
      <c r="AE2367" s="960">
        <f t="array" ref="AE2367">HLOOKUP($J2367,'Type Chart'!$C$2:$T$20,12,false)*HLOOKUP($K2367,'Type Chart'!$C$2:$U$20,12,false)</f>
        <v>0.5</v>
      </c>
      <c r="AF2367" s="960">
        <f t="array" ref="AF2367">HLOOKUP($J2367,'Type Chart'!$C$2:$T$20,13,false)*HLOOKUP($K2367,'Type Chart'!$C$2:$U$20,13,false)</f>
        <v>2</v>
      </c>
      <c r="AG2367" s="960">
        <f t="array" ref="AG2367">HLOOKUP($J2367,'Type Chart'!$C$2:$T$20,14,false)*HLOOKUP($K2367,'Type Chart'!$C$2:$U$20,14,false)</f>
        <v>2</v>
      </c>
      <c r="AH2367" s="960">
        <f t="array" ref="AH2367">HLOOKUP($J2367,'Type Chart'!$C$2:$T$20,15,false)*HLOOKUP($K2367,'Type Chart'!$C$2:$U$20,15,false)</f>
        <v>1</v>
      </c>
      <c r="AI2367" s="960">
        <f t="array" ref="AI2367">HLOOKUP($J2367,'Type Chart'!$C$2:$T$20,16,false)*HLOOKUP($K2367,'Type Chart'!$C$2:$U$20,16,false)</f>
        <v>0.25</v>
      </c>
      <c r="AJ2367" s="960">
        <f t="array" ref="AJ2367">HLOOKUP($J2367,'Type Chart'!$C$2:$T$20,17,false)*HLOOKUP($K2367,'Type Chart'!$C$2:$U$20,17,false)</f>
        <v>1</v>
      </c>
      <c r="AK2367" s="960">
        <f t="array" ref="AK2367">HLOOKUP($J2367,'Type Chart'!$C$2:$T$20,18,false)*HLOOKUP($K2367,'Type Chart'!$C$2:$U$20,18,false)</f>
        <v>1</v>
      </c>
      <c r="AL2367" s="960">
        <f t="array" ref="AL2367">HLOOKUP($J2367,'Type Chart'!$C$2:$T$20,19,false)*HLOOKUP($K2367,'Type Chart'!$C$2:$U$20,19,false)</f>
        <v>1</v>
      </c>
      <c r="AM2367" s="1145" t="s">
        <v>1283</v>
      </c>
      <c r="AN2367" s="964" t="s">
        <v>1410</v>
      </c>
      <c r="AO2367" s="966" t="s">
        <v>1136</v>
      </c>
      <c r="AP2367" s="936"/>
      <c r="AQ2367" s="1245"/>
      <c r="AR2367" s="1245"/>
      <c r="AS2367" s="936"/>
    </row>
    <row r="2368" ht="15.75" customHeight="1">
      <c r="A2368" s="1099"/>
      <c r="B2368" s="948" t="s">
        <v>4075</v>
      </c>
      <c r="C2368" s="1197" t="s">
        <v>4076</v>
      </c>
      <c r="D2368" s="1197" t="s">
        <v>4076</v>
      </c>
      <c r="E2368" s="1147" t="s">
        <v>4076</v>
      </c>
      <c r="F2368" s="940"/>
      <c r="G2368" s="953"/>
      <c r="H2368" s="969"/>
      <c r="I2368" s="998" t="s">
        <v>5463</v>
      </c>
      <c r="J2368" s="1233" t="s">
        <v>82</v>
      </c>
      <c r="K2368" s="1231" t="s">
        <v>346</v>
      </c>
      <c r="L2368" s="1200">
        <v>70.0</v>
      </c>
      <c r="M2368" s="1201">
        <v>95.0</v>
      </c>
      <c r="N2368" s="1201">
        <v>115.0</v>
      </c>
      <c r="O2368" s="1201">
        <v>120.0</v>
      </c>
      <c r="P2368" s="1201">
        <v>50.0</v>
      </c>
      <c r="Q2368" s="1201">
        <v>85.0</v>
      </c>
      <c r="R2368" s="960">
        <v>206.0</v>
      </c>
      <c r="S2368" s="960">
        <v>269.0</v>
      </c>
      <c r="T2368" s="960">
        <v>295.0</v>
      </c>
      <c r="U2368" s="960">
        <f t="array" ref="U2368">HLOOKUP($J2368,'Type Chart'!$C$2:$T$20,2,false)*HLOOKUP($K2368,'Type Chart'!$C$2:$U$20,2,false)</f>
        <v>0.5</v>
      </c>
      <c r="V2368" s="960">
        <f t="array" ref="V2368">HLOOKUP($J2368,'Type Chart'!$C$2:$T$20,3,false)*HLOOKUP($K2368,'Type Chart'!$C$2:$U$20,3,false)</f>
        <v>2</v>
      </c>
      <c r="W2368" s="960">
        <f t="array" ref="W2368">HLOOKUP($J2368,'Type Chart'!$C$2:$T$20,4,false)*HLOOKUP($K2368,'Type Chart'!$C$2:$U$20,4,false)</f>
        <v>0.5</v>
      </c>
      <c r="X2368" s="960">
        <f t="array" ref="X2368">HLOOKUP($J2368,'Type Chart'!$C$2:$T$20,5,false)*HLOOKUP($K2368,'Type Chart'!$C$2:$U$20,5,false)</f>
        <v>0</v>
      </c>
      <c r="Y2368" s="960">
        <f t="array" ref="Y2368">HLOOKUP($J2368,'Type Chart'!$C$2:$T$20,6,false)*HLOOKUP($K2368,'Type Chart'!$C$2:$U$20,6,false)</f>
        <v>2</v>
      </c>
      <c r="Z2368" s="960">
        <f t="array" ref="Z2368">HLOOKUP($J2368,'Type Chart'!$C$2:$T$20,7,false)*HLOOKUP($K2368,'Type Chart'!$C$2:$U$20,7,false)</f>
        <v>0.5</v>
      </c>
      <c r="AA2368" s="960">
        <f t="array" ref="AA2368">HLOOKUP($J2368,'Type Chart'!$C$2:$T$20,8,false)*HLOOKUP($K2368,'Type Chart'!$C$2:$U$20,8,false)</f>
        <v>0.5</v>
      </c>
      <c r="AB2368" s="960">
        <f t="array" ref="AB2368">HLOOKUP($J2368,'Type Chart'!$C$2:$T$20,9,false)*HLOOKUP($K2368,'Type Chart'!$C$2:$U$20,9,false)</f>
        <v>1</v>
      </c>
      <c r="AC2368" s="960">
        <f t="array" ref="AC2368">HLOOKUP($J2368,'Type Chart'!$C$2:$T$20,10,false)*HLOOKUP($K2368,'Type Chart'!$C$2:$U$20,10,false)</f>
        <v>0.5</v>
      </c>
      <c r="AD2368" s="960">
        <f t="array" ref="AD2368">HLOOKUP($J2368,'Type Chart'!$C$2:$T$20,11,false)*HLOOKUP($K2368,'Type Chart'!$C$2:$U$20,11,false)</f>
        <v>1</v>
      </c>
      <c r="AE2368" s="960">
        <f t="array" ref="AE2368">HLOOKUP($J2368,'Type Chart'!$C$2:$T$20,12,false)*HLOOKUP($K2368,'Type Chart'!$C$2:$U$20,12,false)</f>
        <v>0.5</v>
      </c>
      <c r="AF2368" s="960">
        <f t="array" ref="AF2368">HLOOKUP($J2368,'Type Chart'!$C$2:$T$20,13,false)*HLOOKUP($K2368,'Type Chart'!$C$2:$U$20,13,false)</f>
        <v>0.25</v>
      </c>
      <c r="AG2368" s="960">
        <f t="array" ref="AG2368">HLOOKUP($J2368,'Type Chart'!$C$2:$T$20,14,false)*HLOOKUP($K2368,'Type Chart'!$C$2:$U$20,14,false)</f>
        <v>0.5</v>
      </c>
      <c r="AH2368" s="960">
        <f t="array" ref="AH2368">HLOOKUP($J2368,'Type Chart'!$C$2:$T$20,15,false)*HLOOKUP($K2368,'Type Chart'!$C$2:$U$20,15,false)</f>
        <v>0.5</v>
      </c>
      <c r="AI2368" s="960">
        <f t="array" ref="AI2368">HLOOKUP($J2368,'Type Chart'!$C$2:$T$20,16,false)*HLOOKUP($K2368,'Type Chart'!$C$2:$U$20,16,false)</f>
        <v>1</v>
      </c>
      <c r="AJ2368" s="960">
        <f t="array" ref="AJ2368">HLOOKUP($J2368,'Type Chart'!$C$2:$T$20,17,false)*HLOOKUP($K2368,'Type Chart'!$C$2:$U$20,17,false)</f>
        <v>1</v>
      </c>
      <c r="AK2368" s="960">
        <f t="array" ref="AK2368">HLOOKUP($J2368,'Type Chart'!$C$2:$T$20,18,false)*HLOOKUP($K2368,'Type Chart'!$C$2:$U$20,18,false)</f>
        <v>1</v>
      </c>
      <c r="AL2368" s="960">
        <f t="array" ref="AL2368">HLOOKUP($J2368,'Type Chart'!$C$2:$T$20,19,false)*HLOOKUP($K2368,'Type Chart'!$C$2:$U$20,19,false)</f>
        <v>1</v>
      </c>
      <c r="AM2368" s="1145" t="s">
        <v>1854</v>
      </c>
      <c r="AN2368" s="1145" t="s">
        <v>2151</v>
      </c>
      <c r="AO2368" s="1146" t="s">
        <v>4077</v>
      </c>
      <c r="AP2368" s="936"/>
      <c r="AQ2368" s="1245"/>
      <c r="AR2368" s="1245"/>
      <c r="AS2368" s="936"/>
    </row>
    <row r="2369" ht="15.75" customHeight="1">
      <c r="A2369" s="1099"/>
      <c r="B2369" s="948" t="s">
        <v>4078</v>
      </c>
      <c r="C2369" s="1197" t="s">
        <v>4079</v>
      </c>
      <c r="D2369" s="1197" t="s">
        <v>4079</v>
      </c>
      <c r="E2369" s="1147" t="s">
        <v>4079</v>
      </c>
      <c r="F2369" s="940"/>
      <c r="G2369" s="953"/>
      <c r="H2369" s="969"/>
      <c r="I2369" s="998" t="s">
        <v>5464</v>
      </c>
      <c r="J2369" s="1231" t="s">
        <v>346</v>
      </c>
      <c r="K2369" s="1221" t="s">
        <v>215</v>
      </c>
      <c r="L2369" s="1200">
        <v>28.0</v>
      </c>
      <c r="M2369" s="1201">
        <v>60.0</v>
      </c>
      <c r="N2369" s="1201">
        <v>30.0</v>
      </c>
      <c r="O2369" s="1201">
        <v>40.0</v>
      </c>
      <c r="P2369" s="1201">
        <v>30.0</v>
      </c>
      <c r="Q2369" s="1201">
        <v>82.0</v>
      </c>
      <c r="R2369" s="960">
        <v>200.0</v>
      </c>
      <c r="S2369" s="960">
        <v>263.0</v>
      </c>
      <c r="T2369" s="960">
        <v>289.0</v>
      </c>
      <c r="U2369" s="960">
        <f t="array" ref="U2369">HLOOKUP($J2369,'Type Chart'!$C$2:$T$20,2,false)*HLOOKUP($K2369,'Type Chart'!$C$2:$U$20,2,false)</f>
        <v>0</v>
      </c>
      <c r="V2369" s="960">
        <f t="array" ref="V2369">HLOOKUP($J2369,'Type Chart'!$C$2:$T$20,3,false)*HLOOKUP($K2369,'Type Chart'!$C$2:$U$20,3,false)</f>
        <v>0</v>
      </c>
      <c r="W2369" s="960">
        <f t="array" ref="W2369">HLOOKUP($J2369,'Type Chart'!$C$2:$T$20,4,false)*HLOOKUP($K2369,'Type Chart'!$C$2:$U$20,4,false)</f>
        <v>1</v>
      </c>
      <c r="X2369" s="960">
        <f t="array" ref="X2369">HLOOKUP($J2369,'Type Chart'!$C$2:$T$20,5,false)*HLOOKUP($K2369,'Type Chart'!$C$2:$U$20,5,false)</f>
        <v>0.5</v>
      </c>
      <c r="Y2369" s="960">
        <f t="array" ref="Y2369">HLOOKUP($J2369,'Type Chart'!$C$2:$T$20,6,false)*HLOOKUP($K2369,'Type Chart'!$C$2:$U$20,6,false)</f>
        <v>1</v>
      </c>
      <c r="Z2369" s="960">
        <f t="array" ref="Z2369">HLOOKUP($J2369,'Type Chart'!$C$2:$T$20,7,false)*HLOOKUP($K2369,'Type Chart'!$C$2:$U$20,7,false)</f>
        <v>1</v>
      </c>
      <c r="AA2369" s="960">
        <f t="array" ref="AA2369">HLOOKUP($J2369,'Type Chart'!$C$2:$T$20,8,false)*HLOOKUP($K2369,'Type Chart'!$C$2:$U$20,8,false)</f>
        <v>0.5</v>
      </c>
      <c r="AB2369" s="960">
        <f t="array" ref="AB2369">HLOOKUP($J2369,'Type Chart'!$C$2:$T$20,9,false)*HLOOKUP($K2369,'Type Chart'!$C$2:$U$20,9,false)</f>
        <v>2</v>
      </c>
      <c r="AC2369" s="960">
        <f t="array" ref="AC2369">HLOOKUP($J2369,'Type Chart'!$C$2:$T$20,10,false)*HLOOKUP($K2369,'Type Chart'!$C$2:$U$20,10,false)</f>
        <v>1</v>
      </c>
      <c r="AD2369" s="960">
        <f t="array" ref="AD2369">HLOOKUP($J2369,'Type Chart'!$C$2:$T$20,11,false)*HLOOKUP($K2369,'Type Chart'!$C$2:$U$20,11,false)</f>
        <v>0.5</v>
      </c>
      <c r="AE2369" s="960">
        <f t="array" ref="AE2369">HLOOKUP($J2369,'Type Chart'!$C$2:$T$20,12,false)*HLOOKUP($K2369,'Type Chart'!$C$2:$U$20,12,false)</f>
        <v>0.5</v>
      </c>
      <c r="AF2369" s="960">
        <f t="array" ref="AF2369">HLOOKUP($J2369,'Type Chart'!$C$2:$T$20,13,false)*HLOOKUP($K2369,'Type Chart'!$C$2:$U$20,13,false)</f>
        <v>0.5</v>
      </c>
      <c r="AG2369" s="960">
        <f t="array" ref="AG2369">HLOOKUP($J2369,'Type Chart'!$C$2:$T$20,14,false)*HLOOKUP($K2369,'Type Chart'!$C$2:$U$20,14,false)</f>
        <v>0.5</v>
      </c>
      <c r="AH2369" s="960">
        <f t="array" ref="AH2369">HLOOKUP($J2369,'Type Chart'!$C$2:$T$20,15,false)*HLOOKUP($K2369,'Type Chart'!$C$2:$U$20,15,false)</f>
        <v>1</v>
      </c>
      <c r="AI2369" s="960">
        <f t="array" ref="AI2369">HLOOKUP($J2369,'Type Chart'!$C$2:$T$20,16,false)*HLOOKUP($K2369,'Type Chart'!$C$2:$U$20,16,false)</f>
        <v>2</v>
      </c>
      <c r="AJ2369" s="960">
        <f t="array" ref="AJ2369">HLOOKUP($J2369,'Type Chart'!$C$2:$T$20,17,false)*HLOOKUP($K2369,'Type Chart'!$C$2:$U$20,17,false)</f>
        <v>2</v>
      </c>
      <c r="AK2369" s="960">
        <f t="array" ref="AK2369">HLOOKUP($J2369,'Type Chart'!$C$2:$T$20,18,false)*HLOOKUP($K2369,'Type Chart'!$C$2:$U$20,18,false)</f>
        <v>2</v>
      </c>
      <c r="AL2369" s="960">
        <f t="array" ref="AL2369">HLOOKUP($J2369,'Type Chart'!$C$2:$T$20,19,false)*HLOOKUP($K2369,'Type Chart'!$C$2:$U$20,19,false)</f>
        <v>2</v>
      </c>
      <c r="AM2369" s="1145" t="s">
        <v>1324</v>
      </c>
      <c r="AN2369" s="1145" t="s">
        <v>1193</v>
      </c>
      <c r="AO2369" s="1146" t="s">
        <v>1442</v>
      </c>
      <c r="AP2369" s="936"/>
      <c r="AQ2369" s="1245"/>
      <c r="AR2369" s="1245"/>
      <c r="AS2369" s="936"/>
    </row>
    <row r="2370" ht="15.75" customHeight="1">
      <c r="A2370" s="1099"/>
      <c r="B2370" s="948" t="s">
        <v>4081</v>
      </c>
      <c r="C2370" s="1197" t="s">
        <v>4082</v>
      </c>
      <c r="D2370" s="1197" t="s">
        <v>4082</v>
      </c>
      <c r="E2370" s="1147" t="s">
        <v>4082</v>
      </c>
      <c r="F2370" s="940"/>
      <c r="G2370" s="953"/>
      <c r="H2370" s="969"/>
      <c r="I2370" s="998" t="s">
        <v>5465</v>
      </c>
      <c r="J2370" s="1231" t="s">
        <v>346</v>
      </c>
      <c r="K2370" s="1221" t="s">
        <v>215</v>
      </c>
      <c r="L2370" s="1200">
        <v>68.0</v>
      </c>
      <c r="M2370" s="1201">
        <v>80.0</v>
      </c>
      <c r="N2370" s="1201">
        <v>50.0</v>
      </c>
      <c r="O2370" s="1201">
        <v>60.0</v>
      </c>
      <c r="P2370" s="1201">
        <v>50.0</v>
      </c>
      <c r="Q2370" s="1201">
        <v>102.0</v>
      </c>
      <c r="R2370" s="960">
        <v>240.0</v>
      </c>
      <c r="S2370" s="960">
        <v>303.0</v>
      </c>
      <c r="T2370" s="960">
        <v>333.0</v>
      </c>
      <c r="U2370" s="960">
        <f t="array" ref="U2370">HLOOKUP($J2370,'Type Chart'!$C$2:$T$20,2,false)*HLOOKUP($K2370,'Type Chart'!$C$2:$U$20,2,false)</f>
        <v>0</v>
      </c>
      <c r="V2370" s="960">
        <f t="array" ref="V2370">HLOOKUP($J2370,'Type Chart'!$C$2:$T$20,3,false)*HLOOKUP($K2370,'Type Chart'!$C$2:$U$20,3,false)</f>
        <v>0</v>
      </c>
      <c r="W2370" s="960">
        <f t="array" ref="W2370">HLOOKUP($J2370,'Type Chart'!$C$2:$T$20,4,false)*HLOOKUP($K2370,'Type Chart'!$C$2:$U$20,4,false)</f>
        <v>1</v>
      </c>
      <c r="X2370" s="960">
        <f t="array" ref="X2370">HLOOKUP($J2370,'Type Chart'!$C$2:$T$20,5,false)*HLOOKUP($K2370,'Type Chart'!$C$2:$U$20,5,false)</f>
        <v>0.5</v>
      </c>
      <c r="Y2370" s="960">
        <f t="array" ref="Y2370">HLOOKUP($J2370,'Type Chart'!$C$2:$T$20,6,false)*HLOOKUP($K2370,'Type Chart'!$C$2:$U$20,6,false)</f>
        <v>1</v>
      </c>
      <c r="Z2370" s="960">
        <f t="array" ref="Z2370">HLOOKUP($J2370,'Type Chart'!$C$2:$T$20,7,false)*HLOOKUP($K2370,'Type Chart'!$C$2:$U$20,7,false)</f>
        <v>1</v>
      </c>
      <c r="AA2370" s="960">
        <f t="array" ref="AA2370">HLOOKUP($J2370,'Type Chart'!$C$2:$T$20,8,false)*HLOOKUP($K2370,'Type Chart'!$C$2:$U$20,8,false)</f>
        <v>0.5</v>
      </c>
      <c r="AB2370" s="960">
        <f t="array" ref="AB2370">HLOOKUP($J2370,'Type Chart'!$C$2:$T$20,9,false)*HLOOKUP($K2370,'Type Chart'!$C$2:$U$20,9,false)</f>
        <v>2</v>
      </c>
      <c r="AC2370" s="960">
        <f t="array" ref="AC2370">HLOOKUP($J2370,'Type Chart'!$C$2:$T$20,10,false)*HLOOKUP($K2370,'Type Chart'!$C$2:$U$20,10,false)</f>
        <v>1</v>
      </c>
      <c r="AD2370" s="960">
        <f t="array" ref="AD2370">HLOOKUP($J2370,'Type Chart'!$C$2:$T$20,11,false)*HLOOKUP($K2370,'Type Chart'!$C$2:$U$20,11,false)</f>
        <v>0.5</v>
      </c>
      <c r="AE2370" s="960">
        <f t="array" ref="AE2370">HLOOKUP($J2370,'Type Chart'!$C$2:$T$20,12,false)*HLOOKUP($K2370,'Type Chart'!$C$2:$U$20,12,false)</f>
        <v>0.5</v>
      </c>
      <c r="AF2370" s="960">
        <f t="array" ref="AF2370">HLOOKUP($J2370,'Type Chart'!$C$2:$T$20,13,false)*HLOOKUP($K2370,'Type Chart'!$C$2:$U$20,13,false)</f>
        <v>0.5</v>
      </c>
      <c r="AG2370" s="960">
        <f t="array" ref="AG2370">HLOOKUP($J2370,'Type Chart'!$C$2:$T$20,14,false)*HLOOKUP($K2370,'Type Chart'!$C$2:$U$20,14,false)</f>
        <v>0.5</v>
      </c>
      <c r="AH2370" s="960">
        <f t="array" ref="AH2370">HLOOKUP($J2370,'Type Chart'!$C$2:$T$20,15,false)*HLOOKUP($K2370,'Type Chart'!$C$2:$U$20,15,false)</f>
        <v>1</v>
      </c>
      <c r="AI2370" s="960">
        <f t="array" ref="AI2370">HLOOKUP($J2370,'Type Chart'!$C$2:$T$20,16,false)*HLOOKUP($K2370,'Type Chart'!$C$2:$U$20,16,false)</f>
        <v>2</v>
      </c>
      <c r="AJ2370" s="960">
        <f t="array" ref="AJ2370">HLOOKUP($J2370,'Type Chart'!$C$2:$T$20,17,false)*HLOOKUP($K2370,'Type Chart'!$C$2:$U$20,17,false)</f>
        <v>2</v>
      </c>
      <c r="AK2370" s="960">
        <f t="array" ref="AK2370">HLOOKUP($J2370,'Type Chart'!$C$2:$T$20,18,false)*HLOOKUP($K2370,'Type Chart'!$C$2:$U$20,18,false)</f>
        <v>2</v>
      </c>
      <c r="AL2370" s="960">
        <f t="array" ref="AL2370">HLOOKUP($J2370,'Type Chart'!$C$2:$T$20,19,false)*HLOOKUP($K2370,'Type Chart'!$C$2:$U$20,19,false)</f>
        <v>2</v>
      </c>
      <c r="AM2370" s="1145" t="s">
        <v>1324</v>
      </c>
      <c r="AN2370" s="1145" t="s">
        <v>1193</v>
      </c>
      <c r="AO2370" s="1146" t="s">
        <v>1442</v>
      </c>
      <c r="AP2370" s="936"/>
      <c r="AQ2370" s="1245"/>
      <c r="AR2370" s="1245"/>
      <c r="AS2370" s="936"/>
    </row>
    <row r="2371" ht="15.75" customHeight="1">
      <c r="A2371" s="1099"/>
      <c r="B2371" s="948" t="s">
        <v>4083</v>
      </c>
      <c r="C2371" s="1197" t="s">
        <v>103</v>
      </c>
      <c r="D2371" s="1197" t="s">
        <v>103</v>
      </c>
      <c r="E2371" s="1147" t="s">
        <v>103</v>
      </c>
      <c r="F2371" s="940"/>
      <c r="G2371" s="953"/>
      <c r="H2371" s="969"/>
      <c r="I2371" s="998" t="s">
        <v>5466</v>
      </c>
      <c r="J2371" s="1006" t="s">
        <v>346</v>
      </c>
      <c r="K2371" s="1220" t="s">
        <v>215</v>
      </c>
      <c r="L2371" s="959">
        <v>88.0</v>
      </c>
      <c r="M2371" s="960">
        <v>120.0</v>
      </c>
      <c r="N2371" s="960">
        <v>75.0</v>
      </c>
      <c r="O2371" s="960">
        <v>100.0</v>
      </c>
      <c r="P2371" s="960">
        <v>75.0</v>
      </c>
      <c r="Q2371" s="960">
        <v>142.0</v>
      </c>
      <c r="R2371" s="960">
        <v>320.0</v>
      </c>
      <c r="S2371" s="960">
        <v>383.0</v>
      </c>
      <c r="T2371" s="960">
        <v>421.0</v>
      </c>
      <c r="U2371" s="960">
        <f t="array" ref="U2371">HLOOKUP($J2371,'Type Chart'!$C$2:$T$20,2,false)*HLOOKUP($K2371,'Type Chart'!$C$2:$U$20,2,false)</f>
        <v>0</v>
      </c>
      <c r="V2371" s="960">
        <f t="array" ref="V2371">HLOOKUP($J2371,'Type Chart'!$C$2:$T$20,3,false)*HLOOKUP($K2371,'Type Chart'!$C$2:$U$20,3,false)</f>
        <v>0</v>
      </c>
      <c r="W2371" s="960">
        <f t="array" ref="W2371">HLOOKUP($J2371,'Type Chart'!$C$2:$T$20,4,false)*HLOOKUP($K2371,'Type Chart'!$C$2:$U$20,4,false)</f>
        <v>1</v>
      </c>
      <c r="X2371" s="960">
        <f t="array" ref="X2371">HLOOKUP($J2371,'Type Chart'!$C$2:$T$20,5,false)*HLOOKUP($K2371,'Type Chart'!$C$2:$U$20,5,false)</f>
        <v>0.5</v>
      </c>
      <c r="Y2371" s="960">
        <f t="array" ref="Y2371">HLOOKUP($J2371,'Type Chart'!$C$2:$T$20,6,false)*HLOOKUP($K2371,'Type Chart'!$C$2:$U$20,6,false)</f>
        <v>1</v>
      </c>
      <c r="Z2371" s="960">
        <f t="array" ref="Z2371">HLOOKUP($J2371,'Type Chart'!$C$2:$T$20,7,false)*HLOOKUP($K2371,'Type Chart'!$C$2:$U$20,7,false)</f>
        <v>1</v>
      </c>
      <c r="AA2371" s="960">
        <f t="array" ref="AA2371">HLOOKUP($J2371,'Type Chart'!$C$2:$T$20,8,false)*HLOOKUP($K2371,'Type Chart'!$C$2:$U$20,8,false)</f>
        <v>0.5</v>
      </c>
      <c r="AB2371" s="960">
        <f t="array" ref="AB2371">HLOOKUP($J2371,'Type Chart'!$C$2:$T$20,9,false)*HLOOKUP($K2371,'Type Chart'!$C$2:$U$20,9,false)</f>
        <v>2</v>
      </c>
      <c r="AC2371" s="960">
        <f t="array" ref="AC2371">HLOOKUP($J2371,'Type Chart'!$C$2:$T$20,10,false)*HLOOKUP($K2371,'Type Chart'!$C$2:$U$20,10,false)</f>
        <v>1</v>
      </c>
      <c r="AD2371" s="960">
        <f t="array" ref="AD2371">HLOOKUP($J2371,'Type Chart'!$C$2:$T$20,11,false)*HLOOKUP($K2371,'Type Chart'!$C$2:$U$20,11,false)</f>
        <v>0.5</v>
      </c>
      <c r="AE2371" s="960">
        <f t="array" ref="AE2371">HLOOKUP($J2371,'Type Chart'!$C$2:$T$20,12,false)*HLOOKUP($K2371,'Type Chart'!$C$2:$U$20,12,false)</f>
        <v>0.5</v>
      </c>
      <c r="AF2371" s="960">
        <f t="array" ref="AF2371">HLOOKUP($J2371,'Type Chart'!$C$2:$T$20,13,false)*HLOOKUP($K2371,'Type Chart'!$C$2:$U$20,13,false)</f>
        <v>0.5</v>
      </c>
      <c r="AG2371" s="960">
        <f t="array" ref="AG2371">HLOOKUP($J2371,'Type Chart'!$C$2:$T$20,14,false)*HLOOKUP($K2371,'Type Chart'!$C$2:$U$20,14,false)</f>
        <v>0.5</v>
      </c>
      <c r="AH2371" s="960">
        <f t="array" ref="AH2371">HLOOKUP($J2371,'Type Chart'!$C$2:$T$20,15,false)*HLOOKUP($K2371,'Type Chart'!$C$2:$U$20,15,false)</f>
        <v>1</v>
      </c>
      <c r="AI2371" s="960">
        <f t="array" ref="AI2371">HLOOKUP($J2371,'Type Chart'!$C$2:$T$20,16,false)*HLOOKUP($K2371,'Type Chart'!$C$2:$U$20,16,false)</f>
        <v>2</v>
      </c>
      <c r="AJ2371" s="960">
        <f t="array" ref="AJ2371">HLOOKUP($J2371,'Type Chart'!$C$2:$T$20,17,false)*HLOOKUP($K2371,'Type Chart'!$C$2:$U$20,17,false)</f>
        <v>2</v>
      </c>
      <c r="AK2371" s="960">
        <f t="array" ref="AK2371">HLOOKUP($J2371,'Type Chart'!$C$2:$T$20,18,false)*HLOOKUP($K2371,'Type Chart'!$C$2:$U$20,18,false)</f>
        <v>2</v>
      </c>
      <c r="AL2371" s="960">
        <f t="array" ref="AL2371">HLOOKUP($J2371,'Type Chart'!$C$2:$T$20,19,false)*HLOOKUP($K2371,'Type Chart'!$C$2:$U$20,19,false)</f>
        <v>2</v>
      </c>
      <c r="AM2371" s="964" t="s">
        <v>1324</v>
      </c>
      <c r="AN2371" s="964" t="s">
        <v>1193</v>
      </c>
      <c r="AO2371" s="966" t="s">
        <v>1442</v>
      </c>
      <c r="AP2371" s="936"/>
      <c r="AQ2371" s="1245"/>
      <c r="AR2371" s="1245"/>
      <c r="AS2371" s="936"/>
    </row>
    <row r="2372" ht="15.75" customHeight="1">
      <c r="A2372" s="1099"/>
      <c r="B2372" s="948" t="s">
        <v>4084</v>
      </c>
      <c r="C2372" s="1197" t="s">
        <v>4085</v>
      </c>
      <c r="D2372" s="1197" t="s">
        <v>4085</v>
      </c>
      <c r="E2372" s="1147" t="s">
        <v>4085</v>
      </c>
      <c r="F2372" s="940"/>
      <c r="G2372" s="953"/>
      <c r="H2372" s="969"/>
      <c r="I2372" s="998" t="s">
        <v>5467</v>
      </c>
      <c r="J2372" s="1234" t="s">
        <v>127</v>
      </c>
      <c r="K2372" s="1199" t="s">
        <v>216</v>
      </c>
      <c r="L2372" s="1200">
        <v>92.0</v>
      </c>
      <c r="M2372" s="1201">
        <v>130.0</v>
      </c>
      <c r="N2372" s="1201">
        <v>115.0</v>
      </c>
      <c r="O2372" s="1201">
        <v>80.0</v>
      </c>
      <c r="P2372" s="1201">
        <v>115.0</v>
      </c>
      <c r="Q2372" s="1201">
        <v>138.0</v>
      </c>
      <c r="R2372" s="960">
        <v>312.0</v>
      </c>
      <c r="S2372" s="960">
        <v>375.0</v>
      </c>
      <c r="T2372" s="960">
        <v>412.0</v>
      </c>
      <c r="U2372" s="960">
        <f t="array" ref="U2372">HLOOKUP($J2372,'Type Chart'!$C$2:$T$20,2,false)*HLOOKUP($K2372,'Type Chart'!$C$2:$U$20,2,false)</f>
        <v>1</v>
      </c>
      <c r="V2372" s="960">
        <f t="array" ref="V2372">HLOOKUP($J2372,'Type Chart'!$C$2:$T$20,3,false)*HLOOKUP($K2372,'Type Chart'!$C$2:$U$20,3,false)</f>
        <v>0.5</v>
      </c>
      <c r="W2372" s="960">
        <f t="array" ref="W2372">HLOOKUP($J2372,'Type Chart'!$C$2:$T$20,4,false)*HLOOKUP($K2372,'Type Chart'!$C$2:$U$20,4,false)</f>
        <v>1</v>
      </c>
      <c r="X2372" s="960">
        <f t="array" ref="X2372">HLOOKUP($J2372,'Type Chart'!$C$2:$T$20,5,false)*HLOOKUP($K2372,'Type Chart'!$C$2:$U$20,5,false)</f>
        <v>2</v>
      </c>
      <c r="Y2372" s="960">
        <f t="array" ref="Y2372">HLOOKUP($J2372,'Type Chart'!$C$2:$T$20,6,false)*HLOOKUP($K2372,'Type Chart'!$C$2:$U$20,6,false)</f>
        <v>1</v>
      </c>
      <c r="Z2372" s="960">
        <f t="array" ref="Z2372">HLOOKUP($J2372,'Type Chart'!$C$2:$T$20,7,false)*HLOOKUP($K2372,'Type Chart'!$C$2:$U$20,7,false)</f>
        <v>1</v>
      </c>
      <c r="AA2372" s="960">
        <f t="array" ref="AA2372">HLOOKUP($J2372,'Type Chart'!$C$2:$T$20,8,false)*HLOOKUP($K2372,'Type Chart'!$C$2:$U$20,8,false)</f>
        <v>0.5</v>
      </c>
      <c r="AB2372" s="960">
        <f t="array" ref="AB2372">HLOOKUP($J2372,'Type Chart'!$C$2:$T$20,9,false)*HLOOKUP($K2372,'Type Chart'!$C$2:$U$20,9,false)</f>
        <v>1</v>
      </c>
      <c r="AC2372" s="960">
        <f t="array" ref="AC2372">HLOOKUP($J2372,'Type Chart'!$C$2:$T$20,10,false)*HLOOKUP($K2372,'Type Chart'!$C$2:$U$20,10,false)</f>
        <v>2</v>
      </c>
      <c r="AD2372" s="960">
        <f t="array" ref="AD2372">HLOOKUP($J2372,'Type Chart'!$C$2:$T$20,11,false)*HLOOKUP($K2372,'Type Chart'!$C$2:$U$20,11,false)</f>
        <v>1</v>
      </c>
      <c r="AE2372" s="960">
        <f t="array" ref="AE2372">HLOOKUP($J2372,'Type Chart'!$C$2:$T$20,12,false)*HLOOKUP($K2372,'Type Chart'!$C$2:$U$20,12,false)</f>
        <v>1</v>
      </c>
      <c r="AF2372" s="960">
        <f t="array" ref="AF2372">HLOOKUP($J2372,'Type Chart'!$C$2:$T$20,13,false)*HLOOKUP($K2372,'Type Chart'!$C$2:$U$20,13,false)</f>
        <v>1</v>
      </c>
      <c r="AG2372" s="960">
        <f t="array" ref="AG2372">HLOOKUP($J2372,'Type Chart'!$C$2:$T$20,14,false)*HLOOKUP($K2372,'Type Chart'!$C$2:$U$20,14,false)</f>
        <v>1</v>
      </c>
      <c r="AH2372" s="960">
        <f t="array" ref="AH2372">HLOOKUP($J2372,'Type Chart'!$C$2:$T$20,15,false)*HLOOKUP($K2372,'Type Chart'!$C$2:$U$20,15,false)</f>
        <v>1</v>
      </c>
      <c r="AI2372" s="960">
        <f t="array" ref="AI2372">HLOOKUP($J2372,'Type Chart'!$C$2:$T$20,16,false)*HLOOKUP($K2372,'Type Chart'!$C$2:$U$20,16,false)</f>
        <v>1</v>
      </c>
      <c r="AJ2372" s="960">
        <f t="array" ref="AJ2372">HLOOKUP($J2372,'Type Chart'!$C$2:$T$20,17,false)*HLOOKUP($K2372,'Type Chart'!$C$2:$U$20,17,false)</f>
        <v>0</v>
      </c>
      <c r="AK2372" s="960">
        <f t="array" ref="AK2372">HLOOKUP($J2372,'Type Chart'!$C$2:$T$20,18,false)*HLOOKUP($K2372,'Type Chart'!$C$2:$U$20,18,false)</f>
        <v>0.5</v>
      </c>
      <c r="AL2372" s="960">
        <f t="array" ref="AL2372">HLOOKUP($J2372,'Type Chart'!$C$2:$T$20,19,false)*HLOOKUP($K2372,'Type Chart'!$C$2:$U$20,19,false)</f>
        <v>1</v>
      </c>
      <c r="AM2372" s="1145" t="s">
        <v>4086</v>
      </c>
      <c r="AN2372" s="1202"/>
      <c r="AO2372" s="1146"/>
      <c r="AP2372" s="936"/>
      <c r="AQ2372" s="1245"/>
      <c r="AR2372" s="1245"/>
      <c r="AS2372" s="936"/>
    </row>
    <row r="2373" ht="15.75" customHeight="1">
      <c r="A2373" s="1099"/>
      <c r="B2373" s="948" t="s">
        <v>4087</v>
      </c>
      <c r="C2373" s="1197" t="s">
        <v>4088</v>
      </c>
      <c r="D2373" s="1197" t="s">
        <v>4088</v>
      </c>
      <c r="E2373" s="1147" t="s">
        <v>4088</v>
      </c>
      <c r="F2373" s="940"/>
      <c r="G2373" s="953"/>
      <c r="H2373" s="969"/>
      <c r="I2373" s="998" t="s">
        <v>5468</v>
      </c>
      <c r="J2373" s="1234" t="s">
        <v>127</v>
      </c>
      <c r="K2373" s="1233" t="s">
        <v>82</v>
      </c>
      <c r="L2373" s="1200">
        <v>92.0</v>
      </c>
      <c r="M2373" s="1201">
        <v>170.0</v>
      </c>
      <c r="N2373" s="1201">
        <v>115.0</v>
      </c>
      <c r="O2373" s="1201">
        <v>80.0</v>
      </c>
      <c r="P2373" s="1201">
        <v>115.0</v>
      </c>
      <c r="Q2373" s="1201">
        <v>148.0</v>
      </c>
      <c r="R2373" s="960">
        <v>332.0</v>
      </c>
      <c r="S2373" s="960">
        <v>395.0</v>
      </c>
      <c r="T2373" s="960">
        <v>434.0</v>
      </c>
      <c r="U2373" s="960">
        <f t="array" ref="U2373">HLOOKUP($J2373,'Type Chart'!$C$2:$T$20,2,false)*HLOOKUP($K2373,'Type Chart'!$C$2:$U$20,2,false)</f>
        <v>0.5</v>
      </c>
      <c r="V2373" s="960">
        <f t="array" ref="V2373">HLOOKUP($J2373,'Type Chart'!$C$2:$T$20,3,false)*HLOOKUP($K2373,'Type Chart'!$C$2:$U$20,3,false)</f>
        <v>1</v>
      </c>
      <c r="W2373" s="960">
        <f t="array" ref="W2373">HLOOKUP($J2373,'Type Chart'!$C$2:$T$20,4,false)*HLOOKUP($K2373,'Type Chart'!$C$2:$U$20,4,false)</f>
        <v>0.5</v>
      </c>
      <c r="X2373" s="960">
        <f t="array" ref="X2373">HLOOKUP($J2373,'Type Chart'!$C$2:$T$20,5,false)*HLOOKUP($K2373,'Type Chart'!$C$2:$U$20,5,false)</f>
        <v>0</v>
      </c>
      <c r="Y2373" s="960">
        <f t="array" ref="Y2373">HLOOKUP($J2373,'Type Chart'!$C$2:$T$20,6,false)*HLOOKUP($K2373,'Type Chart'!$C$2:$U$20,6,false)</f>
        <v>2</v>
      </c>
      <c r="Z2373" s="960">
        <f t="array" ref="Z2373">HLOOKUP($J2373,'Type Chart'!$C$2:$T$20,7,false)*HLOOKUP($K2373,'Type Chart'!$C$2:$U$20,7,false)</f>
        <v>0.5</v>
      </c>
      <c r="AA2373" s="960">
        <f t="array" ref="AA2373">HLOOKUP($J2373,'Type Chart'!$C$2:$T$20,8,false)*HLOOKUP($K2373,'Type Chart'!$C$2:$U$20,8,false)</f>
        <v>0.25</v>
      </c>
      <c r="AB2373" s="960">
        <f t="array" ref="AB2373">HLOOKUP($J2373,'Type Chart'!$C$2:$T$20,9,false)*HLOOKUP($K2373,'Type Chart'!$C$2:$U$20,9,false)</f>
        <v>1</v>
      </c>
      <c r="AC2373" s="960">
        <f t="array" ref="AC2373">HLOOKUP($J2373,'Type Chart'!$C$2:$T$20,10,false)*HLOOKUP($K2373,'Type Chart'!$C$2:$U$20,10,false)</f>
        <v>1</v>
      </c>
      <c r="AD2373" s="960">
        <f t="array" ref="AD2373">HLOOKUP($J2373,'Type Chart'!$C$2:$T$20,11,false)*HLOOKUP($K2373,'Type Chart'!$C$2:$U$20,11,false)</f>
        <v>2</v>
      </c>
      <c r="AE2373" s="960">
        <f t="array" ref="AE2373">HLOOKUP($J2373,'Type Chart'!$C$2:$T$20,12,false)*HLOOKUP($K2373,'Type Chart'!$C$2:$U$20,12,false)</f>
        <v>1</v>
      </c>
      <c r="AF2373" s="960">
        <f t="array" ref="AF2373">HLOOKUP($J2373,'Type Chart'!$C$2:$T$20,13,false)*HLOOKUP($K2373,'Type Chart'!$C$2:$U$20,13,false)</f>
        <v>0.5</v>
      </c>
      <c r="AG2373" s="960">
        <f t="array" ref="AG2373">HLOOKUP($J2373,'Type Chart'!$C$2:$T$20,14,false)*HLOOKUP($K2373,'Type Chart'!$C$2:$U$20,14,false)</f>
        <v>1</v>
      </c>
      <c r="AH2373" s="960">
        <f t="array" ref="AH2373">HLOOKUP($J2373,'Type Chart'!$C$2:$T$20,15,false)*HLOOKUP($K2373,'Type Chart'!$C$2:$U$20,15,false)</f>
        <v>0.5</v>
      </c>
      <c r="AI2373" s="960">
        <f t="array" ref="AI2373">HLOOKUP($J2373,'Type Chart'!$C$2:$T$20,16,false)*HLOOKUP($K2373,'Type Chart'!$C$2:$U$20,16,false)</f>
        <v>0.5</v>
      </c>
      <c r="AJ2373" s="960">
        <f t="array" ref="AJ2373">HLOOKUP($J2373,'Type Chart'!$C$2:$T$20,17,false)*HLOOKUP($K2373,'Type Chart'!$C$2:$U$20,17,false)</f>
        <v>0</v>
      </c>
      <c r="AK2373" s="960">
        <f t="array" ref="AK2373">HLOOKUP($J2373,'Type Chart'!$C$2:$T$20,18,false)*HLOOKUP($K2373,'Type Chart'!$C$2:$U$20,18,false)</f>
        <v>0.5</v>
      </c>
      <c r="AL2373" s="960">
        <f t="array" ref="AL2373">HLOOKUP($J2373,'Type Chart'!$C$2:$T$20,19,false)*HLOOKUP($K2373,'Type Chart'!$C$2:$U$20,19,false)</f>
        <v>0.5</v>
      </c>
      <c r="AM2373" s="1145" t="s">
        <v>4086</v>
      </c>
      <c r="AN2373" s="1202"/>
      <c r="AO2373" s="1146"/>
      <c r="AP2373" s="936"/>
      <c r="AQ2373" s="1245"/>
      <c r="AR2373" s="1245"/>
      <c r="AS2373" s="936"/>
    </row>
    <row r="2374" ht="15.75" customHeight="1">
      <c r="A2374" s="1099"/>
      <c r="B2374" s="948" t="s">
        <v>4089</v>
      </c>
      <c r="C2374" s="1197" t="s">
        <v>4090</v>
      </c>
      <c r="D2374" s="1197" t="s">
        <v>4090</v>
      </c>
      <c r="E2374" s="1147" t="s">
        <v>4090</v>
      </c>
      <c r="F2374" s="940"/>
      <c r="G2374" s="953"/>
      <c r="H2374" s="969"/>
      <c r="I2374" s="998" t="s">
        <v>5469</v>
      </c>
      <c r="J2374" s="1213" t="s">
        <v>341</v>
      </c>
      <c r="K2374" s="984" t="s">
        <v>216</v>
      </c>
      <c r="L2374" s="959">
        <v>92.0</v>
      </c>
      <c r="M2374" s="960">
        <v>130.0</v>
      </c>
      <c r="N2374" s="960">
        <v>115.0</v>
      </c>
      <c r="O2374" s="960">
        <v>80.0</v>
      </c>
      <c r="P2374" s="960">
        <v>115.0</v>
      </c>
      <c r="Q2374" s="960">
        <v>138.0</v>
      </c>
      <c r="R2374" s="960">
        <v>312.0</v>
      </c>
      <c r="S2374" s="960">
        <v>375.0</v>
      </c>
      <c r="T2374" s="960">
        <v>412.0</v>
      </c>
      <c r="U2374" s="960">
        <f t="array" ref="U2374">HLOOKUP($J2374,'Type Chart'!$C$2:$T$20,2,false)*HLOOKUP($K2374,'Type Chart'!$C$2:$U$20,2,false)</f>
        <v>1</v>
      </c>
      <c r="V2374" s="960">
        <f t="array" ref="V2374">HLOOKUP($J2374,'Type Chart'!$C$2:$T$20,3,false)*HLOOKUP($K2374,'Type Chart'!$C$2:$U$20,3,false)</f>
        <v>1</v>
      </c>
      <c r="W2374" s="960">
        <f t="array" ref="W2374">HLOOKUP($J2374,'Type Chart'!$C$2:$T$20,4,false)*HLOOKUP($K2374,'Type Chart'!$C$2:$U$20,4,false)</f>
        <v>2</v>
      </c>
      <c r="X2374" s="960">
        <f t="array" ref="X2374">HLOOKUP($J2374,'Type Chart'!$C$2:$T$20,5,false)*HLOOKUP($K2374,'Type Chart'!$C$2:$U$20,5,false)</f>
        <v>1</v>
      </c>
      <c r="Y2374" s="960">
        <f t="array" ref="Y2374">HLOOKUP($J2374,'Type Chart'!$C$2:$T$20,6,false)*HLOOKUP($K2374,'Type Chart'!$C$2:$U$20,6,false)</f>
        <v>1</v>
      </c>
      <c r="Z2374" s="960">
        <f t="array" ref="Z2374">HLOOKUP($J2374,'Type Chart'!$C$2:$T$20,7,false)*HLOOKUP($K2374,'Type Chart'!$C$2:$U$20,7,false)</f>
        <v>0.5</v>
      </c>
      <c r="AA2374" s="960">
        <f t="array" ref="AA2374">HLOOKUP($J2374,'Type Chart'!$C$2:$T$20,8,false)*HLOOKUP($K2374,'Type Chart'!$C$2:$U$20,8,false)</f>
        <v>0.5</v>
      </c>
      <c r="AB2374" s="960">
        <f t="array" ref="AB2374">HLOOKUP($J2374,'Type Chart'!$C$2:$T$20,9,false)*HLOOKUP($K2374,'Type Chart'!$C$2:$U$20,9,false)</f>
        <v>1</v>
      </c>
      <c r="AC2374" s="960">
        <f t="array" ref="AC2374">HLOOKUP($J2374,'Type Chart'!$C$2:$T$20,10,false)*HLOOKUP($K2374,'Type Chart'!$C$2:$U$20,10,false)</f>
        <v>1</v>
      </c>
      <c r="AD2374" s="960">
        <f t="array" ref="AD2374">HLOOKUP($J2374,'Type Chart'!$C$2:$T$20,11,false)*HLOOKUP($K2374,'Type Chart'!$C$2:$U$20,11,false)</f>
        <v>1</v>
      </c>
      <c r="AE2374" s="960">
        <f t="array" ref="AE2374">HLOOKUP($J2374,'Type Chart'!$C$2:$T$20,12,false)*HLOOKUP($K2374,'Type Chart'!$C$2:$U$20,12,false)</f>
        <v>1</v>
      </c>
      <c r="AF2374" s="960">
        <f t="array" ref="AF2374">HLOOKUP($J2374,'Type Chart'!$C$2:$T$20,13,false)*HLOOKUP($K2374,'Type Chart'!$C$2:$U$20,13,false)</f>
        <v>1</v>
      </c>
      <c r="AG2374" s="960">
        <f t="array" ref="AG2374">HLOOKUP($J2374,'Type Chart'!$C$2:$T$20,14,false)*HLOOKUP($K2374,'Type Chart'!$C$2:$U$20,14,false)</f>
        <v>1</v>
      </c>
      <c r="AH2374" s="960">
        <f t="array" ref="AH2374">HLOOKUP($J2374,'Type Chart'!$C$2:$T$20,15,false)*HLOOKUP($K2374,'Type Chart'!$C$2:$U$20,15,false)</f>
        <v>2</v>
      </c>
      <c r="AI2374" s="960">
        <f t="array" ref="AI2374">HLOOKUP($J2374,'Type Chart'!$C$2:$T$20,16,false)*HLOOKUP($K2374,'Type Chart'!$C$2:$U$20,16,false)</f>
        <v>1</v>
      </c>
      <c r="AJ2374" s="960">
        <f t="array" ref="AJ2374">HLOOKUP($J2374,'Type Chart'!$C$2:$T$20,17,false)*HLOOKUP($K2374,'Type Chart'!$C$2:$U$20,17,false)</f>
        <v>1</v>
      </c>
      <c r="AK2374" s="960">
        <f t="array" ref="AK2374">HLOOKUP($J2374,'Type Chart'!$C$2:$T$20,18,false)*HLOOKUP($K2374,'Type Chart'!$C$2:$U$20,18,false)</f>
        <v>0.5</v>
      </c>
      <c r="AL2374" s="960">
        <f t="array" ref="AL2374">HLOOKUP($J2374,'Type Chart'!$C$2:$T$20,19,false)*HLOOKUP($K2374,'Type Chart'!$C$2:$U$20,19,false)</f>
        <v>2</v>
      </c>
      <c r="AM2374" s="964" t="s">
        <v>4091</v>
      </c>
      <c r="AN2374" s="965"/>
      <c r="AO2374" s="966"/>
      <c r="AP2374" s="936"/>
      <c r="AQ2374" s="1245"/>
      <c r="AR2374" s="1245"/>
      <c r="AS2374" s="936"/>
    </row>
    <row r="2375" ht="15.75" customHeight="1">
      <c r="A2375" s="1099"/>
      <c r="B2375" s="948" t="s">
        <v>4092</v>
      </c>
      <c r="C2375" s="1197" t="s">
        <v>4093</v>
      </c>
      <c r="D2375" s="1197" t="s">
        <v>4093</v>
      </c>
      <c r="E2375" s="1147" t="s">
        <v>4093</v>
      </c>
      <c r="F2375" s="940"/>
      <c r="G2375" s="953"/>
      <c r="H2375" s="969"/>
      <c r="I2375" s="998" t="s">
        <v>5470</v>
      </c>
      <c r="J2375" s="1213" t="s">
        <v>341</v>
      </c>
      <c r="K2375" s="1206" t="s">
        <v>82</v>
      </c>
      <c r="L2375" s="959">
        <v>92.0</v>
      </c>
      <c r="M2375" s="960">
        <v>130.0</v>
      </c>
      <c r="N2375" s="960">
        <v>145.0</v>
      </c>
      <c r="O2375" s="960">
        <v>80.0</v>
      </c>
      <c r="P2375" s="960">
        <v>145.0</v>
      </c>
      <c r="Q2375" s="960">
        <v>128.0</v>
      </c>
      <c r="R2375" s="960">
        <v>292.0</v>
      </c>
      <c r="S2375" s="960">
        <v>355.0</v>
      </c>
      <c r="T2375" s="960">
        <v>390.0</v>
      </c>
      <c r="U2375" s="960">
        <f t="array" ref="U2375">HLOOKUP($J2375,'Type Chart'!$C$2:$T$20,2,false)*HLOOKUP($K2375,'Type Chart'!$C$2:$U$20,2,false)</f>
        <v>0.5</v>
      </c>
      <c r="V2375" s="960">
        <f t="array" ref="V2375">HLOOKUP($J2375,'Type Chart'!$C$2:$T$20,3,false)*HLOOKUP($K2375,'Type Chart'!$C$2:$U$20,3,false)</f>
        <v>2</v>
      </c>
      <c r="W2375" s="960">
        <f t="array" ref="W2375">HLOOKUP($J2375,'Type Chart'!$C$2:$T$20,4,false)*HLOOKUP($K2375,'Type Chart'!$C$2:$U$20,4,false)</f>
        <v>1</v>
      </c>
      <c r="X2375" s="960">
        <f t="array" ref="X2375">HLOOKUP($J2375,'Type Chart'!$C$2:$T$20,5,false)*HLOOKUP($K2375,'Type Chart'!$C$2:$U$20,5,false)</f>
        <v>0</v>
      </c>
      <c r="Y2375" s="960">
        <f t="array" ref="Y2375">HLOOKUP($J2375,'Type Chart'!$C$2:$T$20,6,false)*HLOOKUP($K2375,'Type Chart'!$C$2:$U$20,6,false)</f>
        <v>2</v>
      </c>
      <c r="Z2375" s="960">
        <f t="array" ref="Z2375">HLOOKUP($J2375,'Type Chart'!$C$2:$T$20,7,false)*HLOOKUP($K2375,'Type Chart'!$C$2:$U$20,7,false)</f>
        <v>0.25</v>
      </c>
      <c r="AA2375" s="960">
        <f t="array" ref="AA2375">HLOOKUP($J2375,'Type Chart'!$C$2:$T$20,8,false)*HLOOKUP($K2375,'Type Chart'!$C$2:$U$20,8,false)</f>
        <v>0.25</v>
      </c>
      <c r="AB2375" s="960">
        <f t="array" ref="AB2375">HLOOKUP($J2375,'Type Chart'!$C$2:$T$20,9,false)*HLOOKUP($K2375,'Type Chart'!$C$2:$U$20,9,false)</f>
        <v>1</v>
      </c>
      <c r="AC2375" s="960">
        <f t="array" ref="AC2375">HLOOKUP($J2375,'Type Chart'!$C$2:$T$20,10,false)*HLOOKUP($K2375,'Type Chart'!$C$2:$U$20,10,false)</f>
        <v>0.5</v>
      </c>
      <c r="AD2375" s="960">
        <f t="array" ref="AD2375">HLOOKUP($J2375,'Type Chart'!$C$2:$T$20,11,false)*HLOOKUP($K2375,'Type Chart'!$C$2:$U$20,11,false)</f>
        <v>2</v>
      </c>
      <c r="AE2375" s="960">
        <f t="array" ref="AE2375">HLOOKUP($J2375,'Type Chart'!$C$2:$T$20,12,false)*HLOOKUP($K2375,'Type Chart'!$C$2:$U$20,12,false)</f>
        <v>1</v>
      </c>
      <c r="AF2375" s="960">
        <f t="array" ref="AF2375">HLOOKUP($J2375,'Type Chart'!$C$2:$T$20,13,false)*HLOOKUP($K2375,'Type Chart'!$C$2:$U$20,13,false)</f>
        <v>0.5</v>
      </c>
      <c r="AG2375" s="960">
        <f t="array" ref="AG2375">HLOOKUP($J2375,'Type Chart'!$C$2:$T$20,14,false)*HLOOKUP($K2375,'Type Chart'!$C$2:$U$20,14,false)</f>
        <v>1</v>
      </c>
      <c r="AH2375" s="960">
        <f t="array" ref="AH2375">HLOOKUP($J2375,'Type Chart'!$C$2:$T$20,15,false)*HLOOKUP($K2375,'Type Chart'!$C$2:$U$20,15,false)</f>
        <v>1</v>
      </c>
      <c r="AI2375" s="960">
        <f t="array" ref="AI2375">HLOOKUP($J2375,'Type Chart'!$C$2:$T$20,16,false)*HLOOKUP($K2375,'Type Chart'!$C$2:$U$20,16,false)</f>
        <v>0.5</v>
      </c>
      <c r="AJ2375" s="960">
        <f t="array" ref="AJ2375">HLOOKUP($J2375,'Type Chart'!$C$2:$T$20,17,false)*HLOOKUP($K2375,'Type Chart'!$C$2:$U$20,17,false)</f>
        <v>0.5</v>
      </c>
      <c r="AK2375" s="960">
        <f t="array" ref="AK2375">HLOOKUP($J2375,'Type Chart'!$C$2:$T$20,18,false)*HLOOKUP($K2375,'Type Chart'!$C$2:$U$20,18,false)</f>
        <v>0.5</v>
      </c>
      <c r="AL2375" s="960">
        <f t="array" ref="AL2375">HLOOKUP($J2375,'Type Chart'!$C$2:$T$20,19,false)*HLOOKUP($K2375,'Type Chart'!$C$2:$U$20,19,false)</f>
        <v>1</v>
      </c>
      <c r="AM2375" s="964" t="s">
        <v>4091</v>
      </c>
      <c r="AN2375" s="965"/>
      <c r="AO2375" s="966"/>
      <c r="AP2375" s="936"/>
      <c r="AQ2375" s="1245"/>
      <c r="AR2375" s="1245"/>
      <c r="AS2375" s="936"/>
    </row>
    <row r="2376" ht="15.75" customHeight="1">
      <c r="A2376" s="1099"/>
      <c r="B2376" s="948" t="s">
        <v>4094</v>
      </c>
      <c r="C2376" s="1197" t="s">
        <v>4095</v>
      </c>
      <c r="D2376" s="1197" t="s">
        <v>4095</v>
      </c>
      <c r="E2376" s="1147" t="s">
        <v>4095</v>
      </c>
      <c r="F2376" s="940"/>
      <c r="G2376" s="953"/>
      <c r="H2376" s="969"/>
      <c r="I2376" s="998" t="s">
        <v>5471</v>
      </c>
      <c r="J2376" s="958" t="s">
        <v>178</v>
      </c>
      <c r="K2376" s="1006" t="s">
        <v>346</v>
      </c>
      <c r="L2376" s="959">
        <v>140.0</v>
      </c>
      <c r="M2376" s="960">
        <v>85.0</v>
      </c>
      <c r="N2376" s="960">
        <v>95.0</v>
      </c>
      <c r="O2376" s="960">
        <v>145.0</v>
      </c>
      <c r="P2376" s="960">
        <v>95.0</v>
      </c>
      <c r="Q2376" s="960">
        <v>130.0</v>
      </c>
      <c r="R2376" s="960">
        <v>296.0</v>
      </c>
      <c r="S2376" s="960">
        <v>359.0</v>
      </c>
      <c r="T2376" s="960">
        <v>394.0</v>
      </c>
      <c r="U2376" s="960">
        <f t="array" ref="U2376">HLOOKUP($J2376,'Type Chart'!$C$2:$T$20,2,false)*HLOOKUP($K2376,'Type Chart'!$C$2:$U$20,2,false)</f>
        <v>1</v>
      </c>
      <c r="V2376" s="960">
        <f t="array" ref="V2376">HLOOKUP($J2376,'Type Chart'!$C$2:$T$20,3,false)*HLOOKUP($K2376,'Type Chart'!$C$2:$U$20,3,false)</f>
        <v>0.5</v>
      </c>
      <c r="W2376" s="960">
        <f t="array" ref="W2376">HLOOKUP($J2376,'Type Chart'!$C$2:$T$20,4,false)*HLOOKUP($K2376,'Type Chart'!$C$2:$U$20,4,false)</f>
        <v>1</v>
      </c>
      <c r="X2376" s="960">
        <f t="array" ref="X2376">HLOOKUP($J2376,'Type Chart'!$C$2:$T$20,5,false)*HLOOKUP($K2376,'Type Chart'!$C$2:$U$20,5,false)</f>
        <v>0.5</v>
      </c>
      <c r="Y2376" s="960">
        <f t="array" ref="Y2376">HLOOKUP($J2376,'Type Chart'!$C$2:$T$20,6,false)*HLOOKUP($K2376,'Type Chart'!$C$2:$U$20,6,false)</f>
        <v>2</v>
      </c>
      <c r="Z2376" s="960">
        <f t="array" ref="Z2376">HLOOKUP($J2376,'Type Chart'!$C$2:$T$20,7,false)*HLOOKUP($K2376,'Type Chart'!$C$2:$U$20,7,false)</f>
        <v>1</v>
      </c>
      <c r="AA2376" s="960">
        <f t="array" ref="AA2376">HLOOKUP($J2376,'Type Chart'!$C$2:$T$20,8,false)*HLOOKUP($K2376,'Type Chart'!$C$2:$U$20,8,false)</f>
        <v>0.5</v>
      </c>
      <c r="AB2376" s="960">
        <f t="array" ref="AB2376">HLOOKUP($J2376,'Type Chart'!$C$2:$T$20,9,false)*HLOOKUP($K2376,'Type Chart'!$C$2:$U$20,9,false)</f>
        <v>1</v>
      </c>
      <c r="AC2376" s="960">
        <f t="array" ref="AC2376">HLOOKUP($J2376,'Type Chart'!$C$2:$T$20,10,false)*HLOOKUP($K2376,'Type Chart'!$C$2:$U$20,10,false)</f>
        <v>1</v>
      </c>
      <c r="AD2376" s="960">
        <f t="array" ref="AD2376">HLOOKUP($J2376,'Type Chart'!$C$2:$T$20,11,false)*HLOOKUP($K2376,'Type Chart'!$C$2:$U$20,11,false)</f>
        <v>0.5</v>
      </c>
      <c r="AE2376" s="960">
        <f t="array" ref="AE2376">HLOOKUP($J2376,'Type Chart'!$C$2:$T$20,12,false)*HLOOKUP($K2376,'Type Chart'!$C$2:$U$20,12,false)</f>
        <v>0.5</v>
      </c>
      <c r="AF2376" s="960">
        <f t="array" ref="AF2376">HLOOKUP($J2376,'Type Chart'!$C$2:$T$20,13,false)*HLOOKUP($K2376,'Type Chart'!$C$2:$U$20,13,false)</f>
        <v>0.25</v>
      </c>
      <c r="AG2376" s="960">
        <f t="array" ref="AG2376">HLOOKUP($J2376,'Type Chart'!$C$2:$T$20,14,false)*HLOOKUP($K2376,'Type Chart'!$C$2:$U$20,14,false)</f>
        <v>0.5</v>
      </c>
      <c r="AH2376" s="960">
        <f t="array" ref="AH2376">HLOOKUP($J2376,'Type Chart'!$C$2:$T$20,15,false)*HLOOKUP($K2376,'Type Chart'!$C$2:$U$20,15,false)</f>
        <v>2</v>
      </c>
      <c r="AI2376" s="960">
        <f t="array" ref="AI2376">HLOOKUP($J2376,'Type Chart'!$C$2:$T$20,16,false)*HLOOKUP($K2376,'Type Chart'!$C$2:$U$20,16,false)</f>
        <v>2</v>
      </c>
      <c r="AJ2376" s="960">
        <f t="array" ref="AJ2376">HLOOKUP($J2376,'Type Chart'!$C$2:$T$20,17,false)*HLOOKUP($K2376,'Type Chart'!$C$2:$U$20,17,false)</f>
        <v>2</v>
      </c>
      <c r="AK2376" s="960">
        <f t="array" ref="AK2376">HLOOKUP($J2376,'Type Chart'!$C$2:$T$20,18,false)*HLOOKUP($K2376,'Type Chart'!$C$2:$U$20,18,false)</f>
        <v>1</v>
      </c>
      <c r="AL2376" s="960">
        <f t="array" ref="AL2376">HLOOKUP($J2376,'Type Chart'!$C$2:$T$20,19,false)*HLOOKUP($K2376,'Type Chart'!$C$2:$U$20,19,false)</f>
        <v>1</v>
      </c>
      <c r="AM2376" s="964" t="s">
        <v>1636</v>
      </c>
      <c r="AN2376" s="965"/>
      <c r="AO2376" s="966"/>
      <c r="AP2376" s="936"/>
      <c r="AQ2376" s="1245"/>
      <c r="AR2376" s="1245"/>
      <c r="AS2376" s="936"/>
    </row>
    <row r="2377" ht="15.75" customHeight="1">
      <c r="A2377" s="1099"/>
      <c r="B2377" s="948" t="s">
        <v>4096</v>
      </c>
      <c r="C2377" s="1197" t="s">
        <v>4097</v>
      </c>
      <c r="D2377" s="1197" t="s">
        <v>4097</v>
      </c>
      <c r="E2377" s="1147" t="s">
        <v>4097</v>
      </c>
      <c r="F2377" s="940"/>
      <c r="G2377" s="953"/>
      <c r="H2377" s="969"/>
      <c r="I2377" s="998" t="s">
        <v>5472</v>
      </c>
      <c r="J2377" s="958" t="s">
        <v>178</v>
      </c>
      <c r="K2377" s="1006" t="s">
        <v>346</v>
      </c>
      <c r="L2377" s="959">
        <v>255.0</v>
      </c>
      <c r="M2377" s="960">
        <v>115.0</v>
      </c>
      <c r="N2377" s="960">
        <v>250.0</v>
      </c>
      <c r="O2377" s="960">
        <v>125.0</v>
      </c>
      <c r="P2377" s="960">
        <v>250.0</v>
      </c>
      <c r="Q2377" s="960">
        <v>130.0</v>
      </c>
      <c r="R2377" s="960">
        <v>296.0</v>
      </c>
      <c r="S2377" s="960">
        <v>359.0</v>
      </c>
      <c r="T2377" s="960">
        <v>394.0</v>
      </c>
      <c r="U2377" s="960">
        <f t="array" ref="U2377">HLOOKUP($J2377,'Type Chart'!$C$2:$T$20,2,false)*HLOOKUP($K2377,'Type Chart'!$C$2:$U$20,2,false)</f>
        <v>1</v>
      </c>
      <c r="V2377" s="960">
        <f t="array" ref="V2377">HLOOKUP($J2377,'Type Chart'!$C$2:$T$20,3,false)*HLOOKUP($K2377,'Type Chart'!$C$2:$U$20,3,false)</f>
        <v>0.5</v>
      </c>
      <c r="W2377" s="960">
        <f t="array" ref="W2377">HLOOKUP($J2377,'Type Chart'!$C$2:$T$20,4,false)*HLOOKUP($K2377,'Type Chart'!$C$2:$U$20,4,false)</f>
        <v>1</v>
      </c>
      <c r="X2377" s="960">
        <f t="array" ref="X2377">HLOOKUP($J2377,'Type Chart'!$C$2:$T$20,5,false)*HLOOKUP($K2377,'Type Chart'!$C$2:$U$20,5,false)</f>
        <v>0.5</v>
      </c>
      <c r="Y2377" s="960">
        <f t="array" ref="Y2377">HLOOKUP($J2377,'Type Chart'!$C$2:$T$20,6,false)*HLOOKUP($K2377,'Type Chart'!$C$2:$U$20,6,false)</f>
        <v>2</v>
      </c>
      <c r="Z2377" s="960">
        <f t="array" ref="Z2377">HLOOKUP($J2377,'Type Chart'!$C$2:$T$20,7,false)*HLOOKUP($K2377,'Type Chart'!$C$2:$U$20,7,false)</f>
        <v>1</v>
      </c>
      <c r="AA2377" s="960">
        <f t="array" ref="AA2377">HLOOKUP($J2377,'Type Chart'!$C$2:$T$20,8,false)*HLOOKUP($K2377,'Type Chart'!$C$2:$U$20,8,false)</f>
        <v>0.5</v>
      </c>
      <c r="AB2377" s="960">
        <f t="array" ref="AB2377">HLOOKUP($J2377,'Type Chart'!$C$2:$T$20,9,false)*HLOOKUP($K2377,'Type Chart'!$C$2:$U$20,9,false)</f>
        <v>1</v>
      </c>
      <c r="AC2377" s="960">
        <f t="array" ref="AC2377">HLOOKUP($J2377,'Type Chart'!$C$2:$T$20,10,false)*HLOOKUP($K2377,'Type Chart'!$C$2:$U$20,10,false)</f>
        <v>1</v>
      </c>
      <c r="AD2377" s="960">
        <f t="array" ref="AD2377">HLOOKUP($J2377,'Type Chart'!$C$2:$T$20,11,false)*HLOOKUP($K2377,'Type Chart'!$C$2:$U$20,11,false)</f>
        <v>0.5</v>
      </c>
      <c r="AE2377" s="960">
        <f t="array" ref="AE2377">HLOOKUP($J2377,'Type Chart'!$C$2:$T$20,12,false)*HLOOKUP($K2377,'Type Chart'!$C$2:$U$20,12,false)</f>
        <v>0.5</v>
      </c>
      <c r="AF2377" s="960">
        <f t="array" ref="AF2377">HLOOKUP($J2377,'Type Chart'!$C$2:$T$20,13,false)*HLOOKUP($K2377,'Type Chart'!$C$2:$U$20,13,false)</f>
        <v>0.25</v>
      </c>
      <c r="AG2377" s="960">
        <f t="array" ref="AG2377">HLOOKUP($J2377,'Type Chart'!$C$2:$T$20,14,false)*HLOOKUP($K2377,'Type Chart'!$C$2:$U$20,14,false)</f>
        <v>0.5</v>
      </c>
      <c r="AH2377" s="960">
        <f t="array" ref="AH2377">HLOOKUP($J2377,'Type Chart'!$C$2:$T$20,15,false)*HLOOKUP($K2377,'Type Chart'!$C$2:$U$20,15,false)</f>
        <v>2</v>
      </c>
      <c r="AI2377" s="960">
        <f t="array" ref="AI2377">HLOOKUP($J2377,'Type Chart'!$C$2:$T$20,16,false)*HLOOKUP($K2377,'Type Chart'!$C$2:$U$20,16,false)</f>
        <v>2</v>
      </c>
      <c r="AJ2377" s="960">
        <f t="array" ref="AJ2377">HLOOKUP($J2377,'Type Chart'!$C$2:$T$20,17,false)*HLOOKUP($K2377,'Type Chart'!$C$2:$U$20,17,false)</f>
        <v>2</v>
      </c>
      <c r="AK2377" s="960">
        <f t="array" ref="AK2377">HLOOKUP($J2377,'Type Chart'!$C$2:$T$20,18,false)*HLOOKUP($K2377,'Type Chart'!$C$2:$U$20,18,false)</f>
        <v>1</v>
      </c>
      <c r="AL2377" s="960">
        <f t="array" ref="AL2377">HLOOKUP($J2377,'Type Chart'!$C$2:$T$20,19,false)*HLOOKUP($K2377,'Type Chart'!$C$2:$U$20,19,false)</f>
        <v>1</v>
      </c>
      <c r="AM2377" s="964" t="s">
        <v>1636</v>
      </c>
      <c r="AN2377" s="965"/>
      <c r="AO2377" s="966"/>
      <c r="AP2377" s="936"/>
      <c r="AQ2377" s="1245"/>
      <c r="AR2377" s="1245"/>
      <c r="AS2377" s="936"/>
    </row>
    <row r="2378" ht="15.75" customHeight="1">
      <c r="A2378" s="1099"/>
      <c r="B2378" s="948" t="s">
        <v>4099</v>
      </c>
      <c r="C2378" s="1197" t="s">
        <v>4100</v>
      </c>
      <c r="D2378" s="1197" t="s">
        <v>4100</v>
      </c>
      <c r="E2378" s="1147" t="s">
        <v>4100</v>
      </c>
      <c r="F2378" s="940"/>
      <c r="G2378" s="953"/>
      <c r="H2378" s="969"/>
      <c r="I2378" s="998" t="s">
        <v>5473</v>
      </c>
      <c r="J2378" s="1213" t="s">
        <v>341</v>
      </c>
      <c r="K2378" s="964" t="s">
        <v>216</v>
      </c>
      <c r="L2378" s="959">
        <v>60.0</v>
      </c>
      <c r="M2378" s="960">
        <v>90.0</v>
      </c>
      <c r="N2378" s="960">
        <v>60.0</v>
      </c>
      <c r="O2378" s="960">
        <v>53.0</v>
      </c>
      <c r="P2378" s="960">
        <v>50.0</v>
      </c>
      <c r="Q2378" s="960">
        <v>72.0</v>
      </c>
      <c r="R2378" s="960">
        <v>180.0</v>
      </c>
      <c r="S2378" s="960">
        <v>243.0</v>
      </c>
      <c r="T2378" s="960">
        <v>267.0</v>
      </c>
      <c r="U2378" s="960">
        <f t="array" ref="U2378">HLOOKUP($J2378,'Type Chart'!$C$2:$T$20,2,false)*HLOOKUP($K2378,'Type Chart'!$C$2:$U$20,2,false)</f>
        <v>1</v>
      </c>
      <c r="V2378" s="960">
        <f t="array" ref="V2378">HLOOKUP($J2378,'Type Chart'!$C$2:$T$20,3,false)*HLOOKUP($K2378,'Type Chart'!$C$2:$U$20,3,false)</f>
        <v>1</v>
      </c>
      <c r="W2378" s="960">
        <f t="array" ref="W2378">HLOOKUP($J2378,'Type Chart'!$C$2:$T$20,4,false)*HLOOKUP($K2378,'Type Chart'!$C$2:$U$20,4,false)</f>
        <v>2</v>
      </c>
      <c r="X2378" s="960">
        <f t="array" ref="X2378">HLOOKUP($J2378,'Type Chart'!$C$2:$T$20,5,false)*HLOOKUP($K2378,'Type Chart'!$C$2:$U$20,5,false)</f>
        <v>1</v>
      </c>
      <c r="Y2378" s="960">
        <f t="array" ref="Y2378">HLOOKUP($J2378,'Type Chart'!$C$2:$T$20,6,false)*HLOOKUP($K2378,'Type Chart'!$C$2:$U$20,6,false)</f>
        <v>1</v>
      </c>
      <c r="Z2378" s="960">
        <f t="array" ref="Z2378">HLOOKUP($J2378,'Type Chart'!$C$2:$T$20,7,false)*HLOOKUP($K2378,'Type Chart'!$C$2:$U$20,7,false)</f>
        <v>0.5</v>
      </c>
      <c r="AA2378" s="960">
        <f t="array" ref="AA2378">HLOOKUP($J2378,'Type Chart'!$C$2:$T$20,8,false)*HLOOKUP($K2378,'Type Chart'!$C$2:$U$20,8,false)</f>
        <v>0.5</v>
      </c>
      <c r="AB2378" s="960">
        <f t="array" ref="AB2378">HLOOKUP($J2378,'Type Chart'!$C$2:$T$20,9,false)*HLOOKUP($K2378,'Type Chart'!$C$2:$U$20,9,false)</f>
        <v>1</v>
      </c>
      <c r="AC2378" s="960">
        <f t="array" ref="AC2378">HLOOKUP($J2378,'Type Chart'!$C$2:$T$20,10,false)*HLOOKUP($K2378,'Type Chart'!$C$2:$U$20,10,false)</f>
        <v>1</v>
      </c>
      <c r="AD2378" s="960">
        <f t="array" ref="AD2378">HLOOKUP($J2378,'Type Chart'!$C$2:$T$20,11,false)*HLOOKUP($K2378,'Type Chart'!$C$2:$U$20,11,false)</f>
        <v>1</v>
      </c>
      <c r="AE2378" s="960">
        <f t="array" ref="AE2378">HLOOKUP($J2378,'Type Chart'!$C$2:$T$20,12,false)*HLOOKUP($K2378,'Type Chart'!$C$2:$U$20,12,false)</f>
        <v>1</v>
      </c>
      <c r="AF2378" s="960">
        <f t="array" ref="AF2378">HLOOKUP($J2378,'Type Chart'!$C$2:$T$20,13,false)*HLOOKUP($K2378,'Type Chart'!$C$2:$U$20,13,false)</f>
        <v>1</v>
      </c>
      <c r="AG2378" s="960">
        <f t="array" ref="AG2378">HLOOKUP($J2378,'Type Chart'!$C$2:$T$20,14,false)*HLOOKUP($K2378,'Type Chart'!$C$2:$U$20,14,false)</f>
        <v>1</v>
      </c>
      <c r="AH2378" s="960">
        <f t="array" ref="AH2378">HLOOKUP($J2378,'Type Chart'!$C$2:$T$20,15,false)*HLOOKUP($K2378,'Type Chart'!$C$2:$U$20,15,false)</f>
        <v>2</v>
      </c>
      <c r="AI2378" s="960">
        <f t="array" ref="AI2378">HLOOKUP($J2378,'Type Chart'!$C$2:$T$20,16,false)*HLOOKUP($K2378,'Type Chart'!$C$2:$U$20,16,false)</f>
        <v>1</v>
      </c>
      <c r="AJ2378" s="960">
        <f t="array" ref="AJ2378">HLOOKUP($J2378,'Type Chart'!$C$2:$T$20,17,false)*HLOOKUP($K2378,'Type Chart'!$C$2:$U$20,17,false)</f>
        <v>1</v>
      </c>
      <c r="AK2378" s="960">
        <f t="array" ref="AK2378">HLOOKUP($J2378,'Type Chart'!$C$2:$T$20,18,false)*HLOOKUP($K2378,'Type Chart'!$C$2:$U$20,18,false)</f>
        <v>0.5</v>
      </c>
      <c r="AL2378" s="960">
        <f t="array" ref="AL2378">HLOOKUP($J2378,'Type Chart'!$C$2:$T$20,19,false)*HLOOKUP($K2378,'Type Chart'!$C$2:$U$20,19,false)</f>
        <v>2</v>
      </c>
      <c r="AM2378" s="964" t="s">
        <v>1192</v>
      </c>
      <c r="AN2378" s="965"/>
      <c r="AO2378" s="966"/>
      <c r="AP2378" s="936"/>
      <c r="AQ2378" s="1245"/>
      <c r="AR2378" s="1245"/>
      <c r="AS2378" s="936"/>
    </row>
    <row r="2379" ht="15.75" customHeight="1">
      <c r="A2379" s="1099"/>
      <c r="B2379" s="948" t="s">
        <v>4102</v>
      </c>
      <c r="C2379" s="1197" t="s">
        <v>4103</v>
      </c>
      <c r="D2379" s="1197" t="s">
        <v>4103</v>
      </c>
      <c r="E2379" s="1147" t="s">
        <v>4104</v>
      </c>
      <c r="F2379" s="940"/>
      <c r="G2379" s="953"/>
      <c r="H2379" s="969"/>
      <c r="I2379" s="998" t="s">
        <v>5474</v>
      </c>
      <c r="J2379" s="1213" t="s">
        <v>341</v>
      </c>
      <c r="K2379" s="1195" t="s">
        <v>193</v>
      </c>
      <c r="L2379" s="959">
        <v>100.0</v>
      </c>
      <c r="M2379" s="960">
        <v>130.0</v>
      </c>
      <c r="N2379" s="960">
        <v>100.0</v>
      </c>
      <c r="O2379" s="960">
        <v>63.0</v>
      </c>
      <c r="P2379" s="960">
        <v>60.0</v>
      </c>
      <c r="Q2379" s="960">
        <v>97.0</v>
      </c>
      <c r="R2379" s="960">
        <v>230.0</v>
      </c>
      <c r="S2379" s="960">
        <v>293.0</v>
      </c>
      <c r="T2379" s="960">
        <v>322.0</v>
      </c>
      <c r="U2379" s="960">
        <f t="array" ref="U2379">HLOOKUP($J2379,'Type Chart'!$C$2:$T$20,2,false)*HLOOKUP($K2379,'Type Chart'!$C$2:$U$20,2,false)</f>
        <v>1</v>
      </c>
      <c r="V2379" s="960">
        <f t="array" ref="V2379">HLOOKUP($J2379,'Type Chart'!$C$2:$T$20,3,false)*HLOOKUP($K2379,'Type Chart'!$C$2:$U$20,3,false)</f>
        <v>2</v>
      </c>
      <c r="W2379" s="960">
        <f t="array" ref="W2379">HLOOKUP($J2379,'Type Chart'!$C$2:$T$20,4,false)*HLOOKUP($K2379,'Type Chart'!$C$2:$U$20,4,false)</f>
        <v>2</v>
      </c>
      <c r="X2379" s="960">
        <f t="array" ref="X2379">HLOOKUP($J2379,'Type Chart'!$C$2:$T$20,5,false)*HLOOKUP($K2379,'Type Chart'!$C$2:$U$20,5,false)</f>
        <v>1</v>
      </c>
      <c r="Y2379" s="960">
        <f t="array" ref="Y2379">HLOOKUP($J2379,'Type Chart'!$C$2:$T$20,6,false)*HLOOKUP($K2379,'Type Chart'!$C$2:$U$20,6,false)</f>
        <v>1</v>
      </c>
      <c r="Z2379" s="960">
        <f t="array" ref="Z2379">HLOOKUP($J2379,'Type Chart'!$C$2:$T$20,7,false)*HLOOKUP($K2379,'Type Chart'!$C$2:$U$20,7,false)</f>
        <v>0.5</v>
      </c>
      <c r="AA2379" s="960">
        <f t="array" ref="AA2379">HLOOKUP($J2379,'Type Chart'!$C$2:$T$20,8,false)*HLOOKUP($K2379,'Type Chart'!$C$2:$U$20,8,false)</f>
        <v>1</v>
      </c>
      <c r="AB2379" s="960">
        <f t="array" ref="AB2379">HLOOKUP($J2379,'Type Chart'!$C$2:$T$20,9,false)*HLOOKUP($K2379,'Type Chart'!$C$2:$U$20,9,false)</f>
        <v>0.5</v>
      </c>
      <c r="AC2379" s="960">
        <f t="array" ref="AC2379">HLOOKUP($J2379,'Type Chart'!$C$2:$T$20,10,false)*HLOOKUP($K2379,'Type Chart'!$C$2:$U$20,10,false)</f>
        <v>1</v>
      </c>
      <c r="AD2379" s="960">
        <f t="array" ref="AD2379">HLOOKUP($J2379,'Type Chart'!$C$2:$T$20,11,false)*HLOOKUP($K2379,'Type Chart'!$C$2:$U$20,11,false)</f>
        <v>1</v>
      </c>
      <c r="AE2379" s="960">
        <f t="array" ref="AE2379">HLOOKUP($J2379,'Type Chart'!$C$2:$T$20,12,false)*HLOOKUP($K2379,'Type Chart'!$C$2:$U$20,12,false)</f>
        <v>1</v>
      </c>
      <c r="AF2379" s="960">
        <f t="array" ref="AF2379">HLOOKUP($J2379,'Type Chart'!$C$2:$T$20,13,false)*HLOOKUP($K2379,'Type Chart'!$C$2:$U$20,13,false)</f>
        <v>1</v>
      </c>
      <c r="AG2379" s="960">
        <f t="array" ref="AG2379">HLOOKUP($J2379,'Type Chart'!$C$2:$T$20,14,false)*HLOOKUP($K2379,'Type Chart'!$C$2:$U$20,14,false)</f>
        <v>1</v>
      </c>
      <c r="AH2379" s="960">
        <f t="array" ref="AH2379">HLOOKUP($J2379,'Type Chart'!$C$2:$T$20,15,false)*HLOOKUP($K2379,'Type Chart'!$C$2:$U$20,15,false)</f>
        <v>0</v>
      </c>
      <c r="AI2379" s="960">
        <f t="array" ref="AI2379">HLOOKUP($J2379,'Type Chart'!$C$2:$T$20,16,false)*HLOOKUP($K2379,'Type Chart'!$C$2:$U$20,16,false)</f>
        <v>1</v>
      </c>
      <c r="AJ2379" s="960">
        <f t="array" ref="AJ2379">HLOOKUP($J2379,'Type Chart'!$C$2:$T$20,17,false)*HLOOKUP($K2379,'Type Chart'!$C$2:$U$20,17,false)</f>
        <v>1</v>
      </c>
      <c r="AK2379" s="960">
        <f t="array" ref="AK2379">HLOOKUP($J2379,'Type Chart'!$C$2:$T$20,18,false)*HLOOKUP($K2379,'Type Chart'!$C$2:$U$20,18,false)</f>
        <v>0.25</v>
      </c>
      <c r="AL2379" s="960">
        <f t="array" ref="AL2379">HLOOKUP($J2379,'Type Chart'!$C$2:$T$20,19,false)*HLOOKUP($K2379,'Type Chart'!$C$2:$U$20,19,false)</f>
        <v>4</v>
      </c>
      <c r="AM2379" s="964" t="s">
        <v>4105</v>
      </c>
      <c r="AN2379" s="965"/>
      <c r="AO2379" s="966"/>
      <c r="AP2379" s="936"/>
      <c r="AQ2379" s="1245"/>
      <c r="AR2379" s="1245"/>
      <c r="AS2379" s="936"/>
    </row>
    <row r="2380" ht="15.75" customHeight="1">
      <c r="A2380" s="1099"/>
      <c r="B2380" s="948" t="s">
        <v>4106</v>
      </c>
      <c r="C2380" s="1197" t="s">
        <v>4107</v>
      </c>
      <c r="D2380" s="1197" t="s">
        <v>4108</v>
      </c>
      <c r="E2380" s="1147" t="s">
        <v>4107</v>
      </c>
      <c r="F2380" s="940"/>
      <c r="G2380" s="953"/>
      <c r="H2380" s="969"/>
      <c r="I2380" s="998" t="s">
        <v>5475</v>
      </c>
      <c r="J2380" s="1213" t="s">
        <v>341</v>
      </c>
      <c r="K2380" s="1056" t="s">
        <v>81</v>
      </c>
      <c r="L2380" s="959">
        <v>100.0</v>
      </c>
      <c r="M2380" s="960">
        <v>130.0</v>
      </c>
      <c r="N2380" s="960">
        <v>100.0</v>
      </c>
      <c r="O2380" s="960">
        <v>63.0</v>
      </c>
      <c r="P2380" s="960">
        <v>60.0</v>
      </c>
      <c r="Q2380" s="960">
        <v>97.0</v>
      </c>
      <c r="R2380" s="960">
        <v>230.0</v>
      </c>
      <c r="S2380" s="960">
        <v>293.0</v>
      </c>
      <c r="T2380" s="960">
        <v>322.0</v>
      </c>
      <c r="U2380" s="960">
        <f t="array" ref="U2380">HLOOKUP($J2380,'Type Chart'!$C$2:$T$20,2,false)*HLOOKUP($K2380,'Type Chart'!$C$2:$U$20,2,false)</f>
        <v>1</v>
      </c>
      <c r="V2380" s="960">
        <f t="array" ref="V2380">HLOOKUP($J2380,'Type Chart'!$C$2:$T$20,3,false)*HLOOKUP($K2380,'Type Chart'!$C$2:$U$20,3,false)</f>
        <v>1</v>
      </c>
      <c r="W2380" s="960">
        <f t="array" ref="W2380">HLOOKUP($J2380,'Type Chart'!$C$2:$T$20,4,false)*HLOOKUP($K2380,'Type Chart'!$C$2:$U$20,4,false)</f>
        <v>2</v>
      </c>
      <c r="X2380" s="960">
        <f t="array" ref="X2380">HLOOKUP($J2380,'Type Chart'!$C$2:$T$20,5,false)*HLOOKUP($K2380,'Type Chart'!$C$2:$U$20,5,false)</f>
        <v>1</v>
      </c>
      <c r="Y2380" s="960">
        <f t="array" ref="Y2380">HLOOKUP($J2380,'Type Chart'!$C$2:$T$20,6,false)*HLOOKUP($K2380,'Type Chart'!$C$2:$U$20,6,false)</f>
        <v>1</v>
      </c>
      <c r="Z2380" s="960">
        <f t="array" ref="Z2380">HLOOKUP($J2380,'Type Chart'!$C$2:$T$20,7,false)*HLOOKUP($K2380,'Type Chart'!$C$2:$U$20,7,false)</f>
        <v>0.5</v>
      </c>
      <c r="AA2380" s="960">
        <f t="array" ref="AA2380">HLOOKUP($J2380,'Type Chart'!$C$2:$T$20,8,false)*HLOOKUP($K2380,'Type Chart'!$C$2:$U$20,8,false)</f>
        <v>0.5</v>
      </c>
      <c r="AB2380" s="960">
        <f t="array" ref="AB2380">HLOOKUP($J2380,'Type Chart'!$C$2:$T$20,9,false)*HLOOKUP($K2380,'Type Chart'!$C$2:$U$20,9,false)</f>
        <v>1</v>
      </c>
      <c r="AC2380" s="960">
        <f t="array" ref="AC2380">HLOOKUP($J2380,'Type Chart'!$C$2:$T$20,10,false)*HLOOKUP($K2380,'Type Chart'!$C$2:$U$20,10,false)</f>
        <v>0.5</v>
      </c>
      <c r="AD2380" s="960">
        <f t="array" ref="AD2380">HLOOKUP($J2380,'Type Chart'!$C$2:$T$20,11,false)*HLOOKUP($K2380,'Type Chart'!$C$2:$U$20,11,false)</f>
        <v>0.5</v>
      </c>
      <c r="AE2380" s="960">
        <f t="array" ref="AE2380">HLOOKUP($J2380,'Type Chart'!$C$2:$T$20,12,false)*HLOOKUP($K2380,'Type Chart'!$C$2:$U$20,12,false)</f>
        <v>0.5</v>
      </c>
      <c r="AF2380" s="960">
        <f t="array" ref="AF2380">HLOOKUP($J2380,'Type Chart'!$C$2:$T$20,13,false)*HLOOKUP($K2380,'Type Chart'!$C$2:$U$20,13,false)</f>
        <v>2</v>
      </c>
      <c r="AG2380" s="960">
        <f t="array" ref="AG2380">HLOOKUP($J2380,'Type Chart'!$C$2:$T$20,14,false)*HLOOKUP($K2380,'Type Chart'!$C$2:$U$20,14,false)</f>
        <v>2</v>
      </c>
      <c r="AH2380" s="960">
        <f t="array" ref="AH2380">HLOOKUP($J2380,'Type Chart'!$C$2:$T$20,15,false)*HLOOKUP($K2380,'Type Chart'!$C$2:$U$20,15,false)</f>
        <v>2</v>
      </c>
      <c r="AI2380" s="960">
        <f t="array" ref="AI2380">HLOOKUP($J2380,'Type Chart'!$C$2:$T$20,16,false)*HLOOKUP($K2380,'Type Chart'!$C$2:$U$20,16,false)</f>
        <v>0.5</v>
      </c>
      <c r="AJ2380" s="960">
        <f t="array" ref="AJ2380">HLOOKUP($J2380,'Type Chart'!$C$2:$T$20,17,false)*HLOOKUP($K2380,'Type Chart'!$C$2:$U$20,17,false)</f>
        <v>1</v>
      </c>
      <c r="AK2380" s="960">
        <f t="array" ref="AK2380">HLOOKUP($J2380,'Type Chart'!$C$2:$T$20,18,false)*HLOOKUP($K2380,'Type Chart'!$C$2:$U$20,18,false)</f>
        <v>0.5</v>
      </c>
      <c r="AL2380" s="960">
        <f t="array" ref="AL2380">HLOOKUP($J2380,'Type Chart'!$C$2:$T$20,19,false)*HLOOKUP($K2380,'Type Chart'!$C$2:$U$20,19,false)</f>
        <v>2</v>
      </c>
      <c r="AM2380" s="964" t="s">
        <v>4105</v>
      </c>
      <c r="AN2380" s="965"/>
      <c r="AO2380" s="966"/>
      <c r="AP2380" s="936"/>
      <c r="AQ2380" s="1245"/>
      <c r="AR2380" s="1245"/>
      <c r="AS2380" s="936"/>
    </row>
    <row r="2381" ht="15.75" customHeight="1">
      <c r="A2381" s="1099"/>
      <c r="B2381" s="948" t="s">
        <v>4109</v>
      </c>
      <c r="C2381" s="1197" t="s">
        <v>4110</v>
      </c>
      <c r="D2381" s="1197" t="s">
        <v>4110</v>
      </c>
      <c r="E2381" s="1147" t="s">
        <v>4110</v>
      </c>
      <c r="F2381" s="940"/>
      <c r="G2381" s="953"/>
      <c r="H2381" s="969"/>
      <c r="I2381" s="998" t="s">
        <v>5476</v>
      </c>
      <c r="J2381" s="1195" t="s">
        <v>193</v>
      </c>
      <c r="K2381" s="957" t="s">
        <v>209</v>
      </c>
      <c r="L2381" s="959">
        <v>105.0</v>
      </c>
      <c r="M2381" s="960">
        <v>120.0</v>
      </c>
      <c r="N2381" s="960">
        <v>105.0</v>
      </c>
      <c r="O2381" s="960">
        <v>70.0</v>
      </c>
      <c r="P2381" s="960">
        <v>95.0</v>
      </c>
      <c r="Q2381" s="960">
        <v>105.0</v>
      </c>
      <c r="R2381" s="960">
        <v>246.0</v>
      </c>
      <c r="S2381" s="960">
        <v>309.0</v>
      </c>
      <c r="T2381" s="960">
        <v>339.0</v>
      </c>
      <c r="U2381" s="960">
        <f t="array" ref="U2381">HLOOKUP($J2381,'Type Chart'!$C$2:$T$20,2,false)*HLOOKUP($K2381,'Type Chart'!$C$2:$U$20,2,false)</f>
        <v>1</v>
      </c>
      <c r="V2381" s="960">
        <f t="array" ref="V2381">HLOOKUP($J2381,'Type Chart'!$C$2:$T$20,3,false)*HLOOKUP($K2381,'Type Chart'!$C$2:$U$20,3,false)</f>
        <v>2</v>
      </c>
      <c r="W2381" s="960">
        <f t="array" ref="W2381">HLOOKUP($J2381,'Type Chart'!$C$2:$T$20,4,false)*HLOOKUP($K2381,'Type Chart'!$C$2:$U$20,4,false)</f>
        <v>2</v>
      </c>
      <c r="X2381" s="960">
        <f t="array" ref="X2381">HLOOKUP($J2381,'Type Chart'!$C$2:$T$20,5,false)*HLOOKUP($K2381,'Type Chart'!$C$2:$U$20,5,false)</f>
        <v>2</v>
      </c>
      <c r="Y2381" s="960">
        <f t="array" ref="Y2381">HLOOKUP($J2381,'Type Chart'!$C$2:$T$20,6,false)*HLOOKUP($K2381,'Type Chart'!$C$2:$U$20,6,false)</f>
        <v>0.5</v>
      </c>
      <c r="Z2381" s="960">
        <f t="array" ref="Z2381">HLOOKUP($J2381,'Type Chart'!$C$2:$T$20,7,false)*HLOOKUP($K2381,'Type Chart'!$C$2:$U$20,7,false)</f>
        <v>1</v>
      </c>
      <c r="AA2381" s="960">
        <f t="array" ref="AA2381">HLOOKUP($J2381,'Type Chart'!$C$2:$T$20,8,false)*HLOOKUP($K2381,'Type Chart'!$C$2:$U$20,8,false)</f>
        <v>4</v>
      </c>
      <c r="AB2381" s="960">
        <f t="array" ref="AB2381">HLOOKUP($J2381,'Type Chart'!$C$2:$T$20,9,false)*HLOOKUP($K2381,'Type Chart'!$C$2:$U$20,9,false)</f>
        <v>0.5</v>
      </c>
      <c r="AC2381" s="960">
        <f t="array" ref="AC2381">HLOOKUP($J2381,'Type Chart'!$C$2:$T$20,10,false)*HLOOKUP($K2381,'Type Chart'!$C$2:$U$20,10,false)</f>
        <v>1</v>
      </c>
      <c r="AD2381" s="960">
        <f t="array" ref="AD2381">HLOOKUP($J2381,'Type Chart'!$C$2:$T$20,11,false)*HLOOKUP($K2381,'Type Chart'!$C$2:$U$20,11,false)</f>
        <v>2</v>
      </c>
      <c r="AE2381" s="960">
        <f t="array" ref="AE2381">HLOOKUP($J2381,'Type Chart'!$C$2:$T$20,12,false)*HLOOKUP($K2381,'Type Chart'!$C$2:$U$20,12,false)</f>
        <v>0.5</v>
      </c>
      <c r="AF2381" s="960">
        <f t="array" ref="AF2381">HLOOKUP($J2381,'Type Chart'!$C$2:$T$20,13,false)*HLOOKUP($K2381,'Type Chart'!$C$2:$U$20,13,false)</f>
        <v>0.5</v>
      </c>
      <c r="AG2381" s="960">
        <f t="array" ref="AG2381">HLOOKUP($J2381,'Type Chart'!$C$2:$T$20,14,false)*HLOOKUP($K2381,'Type Chart'!$C$2:$U$20,14,false)</f>
        <v>0.5</v>
      </c>
      <c r="AH2381" s="960">
        <f t="array" ref="AH2381">HLOOKUP($J2381,'Type Chart'!$C$2:$T$20,15,false)*HLOOKUP($K2381,'Type Chart'!$C$2:$U$20,15,false)</f>
        <v>0</v>
      </c>
      <c r="AI2381" s="960">
        <f t="array" ref="AI2381">HLOOKUP($J2381,'Type Chart'!$C$2:$T$20,16,false)*HLOOKUP($K2381,'Type Chart'!$C$2:$U$20,16,false)</f>
        <v>2</v>
      </c>
      <c r="AJ2381" s="960">
        <f t="array" ref="AJ2381">HLOOKUP($J2381,'Type Chart'!$C$2:$T$20,17,false)*HLOOKUP($K2381,'Type Chart'!$C$2:$U$20,17,false)</f>
        <v>1</v>
      </c>
      <c r="AK2381" s="960">
        <f t="array" ref="AK2381">HLOOKUP($J2381,'Type Chart'!$C$2:$T$20,18,false)*HLOOKUP($K2381,'Type Chart'!$C$2:$U$20,18,false)</f>
        <v>0.5</v>
      </c>
      <c r="AL2381" s="960">
        <f t="array" ref="AL2381">HLOOKUP($J2381,'Type Chart'!$C$2:$T$20,19,false)*HLOOKUP($K2381,'Type Chart'!$C$2:$U$20,19,false)</f>
        <v>2</v>
      </c>
      <c r="AM2381" s="964" t="s">
        <v>1526</v>
      </c>
      <c r="AN2381" s="965"/>
      <c r="AO2381" s="966"/>
      <c r="AP2381" s="936"/>
      <c r="AQ2381" s="1245"/>
      <c r="AR2381" s="1245"/>
      <c r="AS2381" s="936"/>
    </row>
    <row r="2382" ht="15.75" customHeight="1">
      <c r="A2382" s="1099"/>
      <c r="B2382" s="948" t="s">
        <v>4111</v>
      </c>
      <c r="C2382" s="1197" t="s">
        <v>4112</v>
      </c>
      <c r="D2382" s="1197" t="s">
        <v>4112</v>
      </c>
      <c r="E2382" s="1147" t="s">
        <v>4112</v>
      </c>
      <c r="F2382" s="940"/>
      <c r="G2382" s="953"/>
      <c r="H2382" s="969"/>
      <c r="I2382" s="998" t="s">
        <v>5477</v>
      </c>
      <c r="J2382" s="1195" t="s">
        <v>193</v>
      </c>
      <c r="K2382" s="957" t="s">
        <v>209</v>
      </c>
      <c r="L2382" s="959">
        <v>105.0</v>
      </c>
      <c r="M2382" s="960">
        <v>120.0</v>
      </c>
      <c r="N2382" s="960">
        <v>105.0</v>
      </c>
      <c r="O2382" s="960">
        <v>70.0</v>
      </c>
      <c r="P2382" s="960">
        <v>95.0</v>
      </c>
      <c r="Q2382" s="960">
        <v>105.0</v>
      </c>
      <c r="R2382" s="960">
        <v>246.0</v>
      </c>
      <c r="S2382" s="960">
        <v>309.0</v>
      </c>
      <c r="T2382" s="960">
        <v>339.0</v>
      </c>
      <c r="U2382" s="960">
        <f t="array" ref="U2382">HLOOKUP($J2382,'Type Chart'!$C$2:$T$20,2,false)*HLOOKUP($K2382,'Type Chart'!$C$2:$U$20,2,false)</f>
        <v>1</v>
      </c>
      <c r="V2382" s="960">
        <f t="array" ref="V2382">HLOOKUP($J2382,'Type Chart'!$C$2:$T$20,3,false)*HLOOKUP($K2382,'Type Chart'!$C$2:$U$20,3,false)</f>
        <v>2</v>
      </c>
      <c r="W2382" s="960">
        <f t="array" ref="W2382">HLOOKUP($J2382,'Type Chart'!$C$2:$T$20,4,false)*HLOOKUP($K2382,'Type Chart'!$C$2:$U$20,4,false)</f>
        <v>2</v>
      </c>
      <c r="X2382" s="960">
        <f t="array" ref="X2382">HLOOKUP($J2382,'Type Chart'!$C$2:$T$20,5,false)*HLOOKUP($K2382,'Type Chart'!$C$2:$U$20,5,false)</f>
        <v>2</v>
      </c>
      <c r="Y2382" s="960">
        <f t="array" ref="Y2382">HLOOKUP($J2382,'Type Chart'!$C$2:$T$20,6,false)*HLOOKUP($K2382,'Type Chart'!$C$2:$U$20,6,false)</f>
        <v>0.5</v>
      </c>
      <c r="Z2382" s="960">
        <f t="array" ref="Z2382">HLOOKUP($J2382,'Type Chart'!$C$2:$T$20,7,false)*HLOOKUP($K2382,'Type Chart'!$C$2:$U$20,7,false)</f>
        <v>1</v>
      </c>
      <c r="AA2382" s="960">
        <f t="array" ref="AA2382">HLOOKUP($J2382,'Type Chart'!$C$2:$T$20,8,false)*HLOOKUP($K2382,'Type Chart'!$C$2:$U$20,8,false)</f>
        <v>4</v>
      </c>
      <c r="AB2382" s="960">
        <f t="array" ref="AB2382">HLOOKUP($J2382,'Type Chart'!$C$2:$T$20,9,false)*HLOOKUP($K2382,'Type Chart'!$C$2:$U$20,9,false)</f>
        <v>0.5</v>
      </c>
      <c r="AC2382" s="960">
        <f t="array" ref="AC2382">HLOOKUP($J2382,'Type Chart'!$C$2:$T$20,10,false)*HLOOKUP($K2382,'Type Chart'!$C$2:$U$20,10,false)</f>
        <v>1</v>
      </c>
      <c r="AD2382" s="960">
        <f t="array" ref="AD2382">HLOOKUP($J2382,'Type Chart'!$C$2:$T$20,11,false)*HLOOKUP($K2382,'Type Chart'!$C$2:$U$20,11,false)</f>
        <v>2</v>
      </c>
      <c r="AE2382" s="960">
        <f t="array" ref="AE2382">HLOOKUP($J2382,'Type Chart'!$C$2:$T$20,12,false)*HLOOKUP($K2382,'Type Chart'!$C$2:$U$20,12,false)</f>
        <v>0.5</v>
      </c>
      <c r="AF2382" s="960">
        <f t="array" ref="AF2382">HLOOKUP($J2382,'Type Chart'!$C$2:$T$20,13,false)*HLOOKUP($K2382,'Type Chart'!$C$2:$U$20,13,false)</f>
        <v>0.5</v>
      </c>
      <c r="AG2382" s="960">
        <f t="array" ref="AG2382">HLOOKUP($J2382,'Type Chart'!$C$2:$T$20,14,false)*HLOOKUP($K2382,'Type Chart'!$C$2:$U$20,14,false)</f>
        <v>0.5</v>
      </c>
      <c r="AH2382" s="960">
        <f t="array" ref="AH2382">HLOOKUP($J2382,'Type Chart'!$C$2:$T$20,15,false)*HLOOKUP($K2382,'Type Chart'!$C$2:$U$20,15,false)</f>
        <v>0</v>
      </c>
      <c r="AI2382" s="960">
        <f t="array" ref="AI2382">HLOOKUP($J2382,'Type Chart'!$C$2:$T$20,16,false)*HLOOKUP($K2382,'Type Chart'!$C$2:$U$20,16,false)</f>
        <v>2</v>
      </c>
      <c r="AJ2382" s="960">
        <f t="array" ref="AJ2382">HLOOKUP($J2382,'Type Chart'!$C$2:$T$20,17,false)*HLOOKUP($K2382,'Type Chart'!$C$2:$U$20,17,false)</f>
        <v>1</v>
      </c>
      <c r="AK2382" s="960">
        <f t="array" ref="AK2382">HLOOKUP($J2382,'Type Chart'!$C$2:$T$20,18,false)*HLOOKUP($K2382,'Type Chart'!$C$2:$U$20,18,false)</f>
        <v>0.5</v>
      </c>
      <c r="AL2382" s="960">
        <f t="array" ref="AL2382">HLOOKUP($J2382,'Type Chart'!$C$2:$T$20,19,false)*HLOOKUP($K2382,'Type Chart'!$C$2:$U$20,19,false)</f>
        <v>2</v>
      </c>
      <c r="AM2382" s="964" t="s">
        <v>1526</v>
      </c>
      <c r="AN2382" s="965"/>
      <c r="AO2382" s="966"/>
      <c r="AP2382" s="936"/>
      <c r="AQ2382" s="1245"/>
      <c r="AR2382" s="1245"/>
      <c r="AS2382" s="936"/>
    </row>
    <row r="2383" ht="15.75" customHeight="1">
      <c r="A2383" s="1099"/>
      <c r="B2383" s="948" t="s">
        <v>4114</v>
      </c>
      <c r="C2383" s="1197" t="s">
        <v>4115</v>
      </c>
      <c r="D2383" s="1197" t="s">
        <v>4115</v>
      </c>
      <c r="E2383" s="1147" t="s">
        <v>4115</v>
      </c>
      <c r="F2383" s="940"/>
      <c r="G2383" s="953"/>
      <c r="H2383" s="969"/>
      <c r="I2383" s="998" t="s">
        <v>5478</v>
      </c>
      <c r="J2383" s="1196" t="s">
        <v>203</v>
      </c>
      <c r="K2383" s="964" t="s">
        <v>216</v>
      </c>
      <c r="L2383" s="959">
        <v>80.0</v>
      </c>
      <c r="M2383" s="960">
        <v>100.0</v>
      </c>
      <c r="N2383" s="960">
        <v>50.0</v>
      </c>
      <c r="O2383" s="960">
        <v>100.0</v>
      </c>
      <c r="P2383" s="960">
        <v>50.0</v>
      </c>
      <c r="Q2383" s="960">
        <v>200.0</v>
      </c>
      <c r="R2383" s="960">
        <v>436.0</v>
      </c>
      <c r="S2383" s="960">
        <v>499.0</v>
      </c>
      <c r="T2383" s="960">
        <v>548.0</v>
      </c>
      <c r="U2383" s="960">
        <f t="array" ref="U2383">HLOOKUP($J2383,'Type Chart'!$C$2:$T$20,2,false)*HLOOKUP($K2383,'Type Chart'!$C$2:$U$20,2,false)</f>
        <v>1</v>
      </c>
      <c r="V2383" s="960">
        <f t="array" ref="V2383">HLOOKUP($J2383,'Type Chart'!$C$2:$T$20,3,false)*HLOOKUP($K2383,'Type Chart'!$C$2:$U$20,3,false)</f>
        <v>1</v>
      </c>
      <c r="W2383" s="960">
        <f t="array" ref="W2383">HLOOKUP($J2383,'Type Chart'!$C$2:$T$20,4,false)*HLOOKUP($K2383,'Type Chart'!$C$2:$U$20,4,false)</f>
        <v>0.5</v>
      </c>
      <c r="X2383" s="960">
        <f t="array" ref="X2383">HLOOKUP($J2383,'Type Chart'!$C$2:$T$20,5,false)*HLOOKUP($K2383,'Type Chart'!$C$2:$U$20,5,false)</f>
        <v>1</v>
      </c>
      <c r="Y2383" s="960">
        <f t="array" ref="Y2383">HLOOKUP($J2383,'Type Chart'!$C$2:$T$20,6,false)*HLOOKUP($K2383,'Type Chart'!$C$2:$U$20,6,false)</f>
        <v>2</v>
      </c>
      <c r="Z2383" s="960">
        <f t="array" ref="Z2383">HLOOKUP($J2383,'Type Chart'!$C$2:$T$20,7,false)*HLOOKUP($K2383,'Type Chart'!$C$2:$U$20,7,false)</f>
        <v>1</v>
      </c>
      <c r="AA2383" s="960">
        <f t="array" ref="AA2383">HLOOKUP($J2383,'Type Chart'!$C$2:$T$20,8,false)*HLOOKUP($K2383,'Type Chart'!$C$2:$U$20,8,false)</f>
        <v>1</v>
      </c>
      <c r="AB2383" s="960">
        <f t="array" ref="AB2383">HLOOKUP($J2383,'Type Chart'!$C$2:$T$20,9,false)*HLOOKUP($K2383,'Type Chart'!$C$2:$U$20,9,false)</f>
        <v>1</v>
      </c>
      <c r="AC2383" s="960">
        <f t="array" ref="AC2383">HLOOKUP($J2383,'Type Chart'!$C$2:$T$20,10,false)*HLOOKUP($K2383,'Type Chart'!$C$2:$U$20,10,false)</f>
        <v>0.5</v>
      </c>
      <c r="AD2383" s="960">
        <f t="array" ref="AD2383">HLOOKUP($J2383,'Type Chart'!$C$2:$T$20,11,false)*HLOOKUP($K2383,'Type Chart'!$C$2:$U$20,11,false)</f>
        <v>1</v>
      </c>
      <c r="AE2383" s="960">
        <f t="array" ref="AE2383">HLOOKUP($J2383,'Type Chart'!$C$2:$T$20,12,false)*HLOOKUP($K2383,'Type Chart'!$C$2:$U$20,12,false)</f>
        <v>1</v>
      </c>
      <c r="AF2383" s="960">
        <f t="array" ref="AF2383">HLOOKUP($J2383,'Type Chart'!$C$2:$T$20,13,false)*HLOOKUP($K2383,'Type Chart'!$C$2:$U$20,13,false)</f>
        <v>1</v>
      </c>
      <c r="AG2383" s="960">
        <f t="array" ref="AG2383">HLOOKUP($J2383,'Type Chart'!$C$2:$T$20,14,false)*HLOOKUP($K2383,'Type Chart'!$C$2:$U$20,14,false)</f>
        <v>0.5</v>
      </c>
      <c r="AH2383" s="960">
        <f t="array" ref="AH2383">HLOOKUP($J2383,'Type Chart'!$C$2:$T$20,15,false)*HLOOKUP($K2383,'Type Chart'!$C$2:$U$20,15,false)</f>
        <v>1</v>
      </c>
      <c r="AI2383" s="960">
        <f t="array" ref="AI2383">HLOOKUP($J2383,'Type Chart'!$C$2:$T$20,16,false)*HLOOKUP($K2383,'Type Chart'!$C$2:$U$20,16,false)</f>
        <v>1</v>
      </c>
      <c r="AJ2383" s="960">
        <f t="array" ref="AJ2383">HLOOKUP($J2383,'Type Chart'!$C$2:$T$20,17,false)*HLOOKUP($K2383,'Type Chart'!$C$2:$U$20,17,false)</f>
        <v>1</v>
      </c>
      <c r="AK2383" s="960">
        <f t="array" ref="AK2383">HLOOKUP($J2383,'Type Chart'!$C$2:$T$20,18,false)*HLOOKUP($K2383,'Type Chart'!$C$2:$U$20,18,false)</f>
        <v>1</v>
      </c>
      <c r="AL2383" s="960">
        <f t="array" ref="AL2383">HLOOKUP($J2383,'Type Chart'!$C$2:$T$20,19,false)*HLOOKUP($K2383,'Type Chart'!$C$2:$U$20,19,false)</f>
        <v>1</v>
      </c>
      <c r="AM2383" s="964" t="s">
        <v>4116</v>
      </c>
      <c r="AN2383" s="965"/>
      <c r="AO2383" s="966"/>
      <c r="AP2383" s="936"/>
      <c r="AQ2383" s="1245"/>
      <c r="AR2383" s="1245"/>
      <c r="AS2383" s="936"/>
    </row>
    <row r="2384" ht="15.75" customHeight="1">
      <c r="A2384" s="1099"/>
      <c r="B2384" s="948" t="s">
        <v>4117</v>
      </c>
      <c r="C2384" s="1197" t="s">
        <v>4118</v>
      </c>
      <c r="D2384" s="1197" t="s">
        <v>4118</v>
      </c>
      <c r="E2384" s="1147" t="s">
        <v>4118</v>
      </c>
      <c r="F2384" s="940"/>
      <c r="G2384" s="953"/>
      <c r="H2384" s="969"/>
      <c r="I2384" s="998" t="s">
        <v>5479</v>
      </c>
      <c r="J2384" s="1006" t="s">
        <v>346</v>
      </c>
      <c r="K2384" s="964" t="s">
        <v>216</v>
      </c>
      <c r="L2384" s="959">
        <v>200.0</v>
      </c>
      <c r="M2384" s="960">
        <v>100.0</v>
      </c>
      <c r="N2384" s="960">
        <v>50.0</v>
      </c>
      <c r="O2384" s="960">
        <v>100.0</v>
      </c>
      <c r="P2384" s="960">
        <v>50.0</v>
      </c>
      <c r="Q2384" s="960">
        <v>80.0</v>
      </c>
      <c r="R2384" s="960">
        <v>196.0</v>
      </c>
      <c r="S2384" s="960">
        <v>259.0</v>
      </c>
      <c r="T2384" s="960">
        <v>284.0</v>
      </c>
      <c r="U2384" s="960">
        <f t="array" ref="U2384">HLOOKUP($J2384,'Type Chart'!$C$2:$T$20,2,false)*HLOOKUP($K2384,'Type Chart'!$C$2:$U$20,2,false)</f>
        <v>1</v>
      </c>
      <c r="V2384" s="960">
        <f t="array" ref="V2384">HLOOKUP($J2384,'Type Chart'!$C$2:$T$20,3,false)*HLOOKUP($K2384,'Type Chart'!$C$2:$U$20,3,false)</f>
        <v>1</v>
      </c>
      <c r="W2384" s="960">
        <f t="array" ref="W2384">HLOOKUP($J2384,'Type Chart'!$C$2:$T$20,4,false)*HLOOKUP($K2384,'Type Chart'!$C$2:$U$20,4,false)</f>
        <v>1</v>
      </c>
      <c r="X2384" s="960">
        <f t="array" ref="X2384">HLOOKUP($J2384,'Type Chart'!$C$2:$T$20,5,false)*HLOOKUP($K2384,'Type Chart'!$C$2:$U$20,5,false)</f>
        <v>1</v>
      </c>
      <c r="Y2384" s="960">
        <f t="array" ref="Y2384">HLOOKUP($J2384,'Type Chart'!$C$2:$T$20,6,false)*HLOOKUP($K2384,'Type Chart'!$C$2:$U$20,6,false)</f>
        <v>1</v>
      </c>
      <c r="Z2384" s="960">
        <f t="array" ref="Z2384">HLOOKUP($J2384,'Type Chart'!$C$2:$T$20,7,false)*HLOOKUP($K2384,'Type Chart'!$C$2:$U$20,7,false)</f>
        <v>1</v>
      </c>
      <c r="AA2384" s="960">
        <f t="array" ref="AA2384">HLOOKUP($J2384,'Type Chart'!$C$2:$T$20,8,false)*HLOOKUP($K2384,'Type Chart'!$C$2:$U$20,8,false)</f>
        <v>1</v>
      </c>
      <c r="AB2384" s="960">
        <f t="array" ref="AB2384">HLOOKUP($J2384,'Type Chart'!$C$2:$T$20,9,false)*HLOOKUP($K2384,'Type Chart'!$C$2:$U$20,9,false)</f>
        <v>1</v>
      </c>
      <c r="AC2384" s="960">
        <f t="array" ref="AC2384">HLOOKUP($J2384,'Type Chart'!$C$2:$T$20,10,false)*HLOOKUP($K2384,'Type Chart'!$C$2:$U$20,10,false)</f>
        <v>1</v>
      </c>
      <c r="AD2384" s="960">
        <f t="array" ref="AD2384">HLOOKUP($J2384,'Type Chart'!$C$2:$T$20,11,false)*HLOOKUP($K2384,'Type Chart'!$C$2:$U$20,11,false)</f>
        <v>0.5</v>
      </c>
      <c r="AE2384" s="960">
        <f t="array" ref="AE2384">HLOOKUP($J2384,'Type Chart'!$C$2:$T$20,12,false)*HLOOKUP($K2384,'Type Chart'!$C$2:$U$20,12,false)</f>
        <v>0.5</v>
      </c>
      <c r="AF2384" s="960">
        <f t="array" ref="AF2384">HLOOKUP($J2384,'Type Chart'!$C$2:$T$20,13,false)*HLOOKUP($K2384,'Type Chart'!$C$2:$U$20,13,false)</f>
        <v>0.5</v>
      </c>
      <c r="AG2384" s="960">
        <f t="array" ref="AG2384">HLOOKUP($J2384,'Type Chart'!$C$2:$T$20,14,false)*HLOOKUP($K2384,'Type Chart'!$C$2:$U$20,14,false)</f>
        <v>0.5</v>
      </c>
      <c r="AH2384" s="960">
        <f t="array" ref="AH2384">HLOOKUP($J2384,'Type Chart'!$C$2:$T$20,15,false)*HLOOKUP($K2384,'Type Chart'!$C$2:$U$20,15,false)</f>
        <v>1</v>
      </c>
      <c r="AI2384" s="960">
        <f t="array" ref="AI2384">HLOOKUP($J2384,'Type Chart'!$C$2:$T$20,16,false)*HLOOKUP($K2384,'Type Chart'!$C$2:$U$20,16,false)</f>
        <v>2</v>
      </c>
      <c r="AJ2384" s="960">
        <f t="array" ref="AJ2384">HLOOKUP($J2384,'Type Chart'!$C$2:$T$20,17,false)*HLOOKUP($K2384,'Type Chart'!$C$2:$U$20,17,false)</f>
        <v>2</v>
      </c>
      <c r="AK2384" s="960">
        <f t="array" ref="AK2384">HLOOKUP($J2384,'Type Chart'!$C$2:$T$20,18,false)*HLOOKUP($K2384,'Type Chart'!$C$2:$U$20,18,false)</f>
        <v>1</v>
      </c>
      <c r="AL2384" s="960">
        <f t="array" ref="AL2384">HLOOKUP($J2384,'Type Chart'!$C$2:$T$20,19,false)*HLOOKUP($K2384,'Type Chart'!$C$2:$U$20,19,false)</f>
        <v>2</v>
      </c>
      <c r="AM2384" s="964" t="s">
        <v>4119</v>
      </c>
      <c r="AN2384" s="965"/>
      <c r="AO2384" s="966"/>
      <c r="AP2384" s="936"/>
      <c r="AQ2384" s="1245"/>
      <c r="AR2384" s="1245"/>
      <c r="AS2384" s="936"/>
    </row>
    <row r="2385" ht="15.75" customHeight="1">
      <c r="A2385" s="1099"/>
      <c r="B2385" s="948" t="s">
        <v>4120</v>
      </c>
      <c r="C2385" s="1197" t="s">
        <v>4121</v>
      </c>
      <c r="D2385" s="1197" t="s">
        <v>4121</v>
      </c>
      <c r="E2385" s="1147" t="s">
        <v>4121</v>
      </c>
      <c r="F2385" s="940"/>
      <c r="G2385" s="953"/>
      <c r="H2385" s="969"/>
      <c r="I2385" s="998" t="s">
        <v>5480</v>
      </c>
      <c r="J2385" s="1205" t="s">
        <v>345</v>
      </c>
      <c r="K2385" s="964" t="s">
        <v>216</v>
      </c>
      <c r="L2385" s="959">
        <v>100.0</v>
      </c>
      <c r="M2385" s="960">
        <v>145.0</v>
      </c>
      <c r="N2385" s="960">
        <v>130.0</v>
      </c>
      <c r="O2385" s="960">
        <v>65.0</v>
      </c>
      <c r="P2385" s="960">
        <v>110.0</v>
      </c>
      <c r="Q2385" s="960">
        <v>30.0</v>
      </c>
      <c r="R2385" s="960">
        <v>96.0</v>
      </c>
      <c r="S2385" s="960">
        <v>159.0</v>
      </c>
      <c r="T2385" s="960">
        <v>174.0</v>
      </c>
      <c r="U2385" s="960">
        <f t="array" ref="U2385">HLOOKUP($J2385,'Type Chart'!$C$2:$T$20,2,false)*HLOOKUP($K2385,'Type Chart'!$C$2:$U$20,2,false)</f>
        <v>1</v>
      </c>
      <c r="V2385" s="960">
        <f t="array" ref="V2385">HLOOKUP($J2385,'Type Chart'!$C$2:$T$20,3,false)*HLOOKUP($K2385,'Type Chart'!$C$2:$U$20,3,false)</f>
        <v>2</v>
      </c>
      <c r="W2385" s="960">
        <f t="array" ref="W2385">HLOOKUP($J2385,'Type Chart'!$C$2:$T$20,4,false)*HLOOKUP($K2385,'Type Chart'!$C$2:$U$20,4,false)</f>
        <v>1</v>
      </c>
      <c r="X2385" s="960">
        <f t="array" ref="X2385">HLOOKUP($J2385,'Type Chart'!$C$2:$T$20,5,false)*HLOOKUP($K2385,'Type Chart'!$C$2:$U$20,5,false)</f>
        <v>1</v>
      </c>
      <c r="Y2385" s="960">
        <f t="array" ref="Y2385">HLOOKUP($J2385,'Type Chart'!$C$2:$T$20,6,false)*HLOOKUP($K2385,'Type Chart'!$C$2:$U$20,6,false)</f>
        <v>1</v>
      </c>
      <c r="Z2385" s="960">
        <f t="array" ref="Z2385">HLOOKUP($J2385,'Type Chart'!$C$2:$T$20,7,false)*HLOOKUP($K2385,'Type Chart'!$C$2:$U$20,7,false)</f>
        <v>2</v>
      </c>
      <c r="AA2385" s="960">
        <f t="array" ref="AA2385">HLOOKUP($J2385,'Type Chart'!$C$2:$T$20,8,false)*HLOOKUP($K2385,'Type Chart'!$C$2:$U$20,8,false)</f>
        <v>1</v>
      </c>
      <c r="AB2385" s="960">
        <f t="array" ref="AB2385">HLOOKUP($J2385,'Type Chart'!$C$2:$T$20,9,false)*HLOOKUP($K2385,'Type Chart'!$C$2:$U$20,9,false)</f>
        <v>1</v>
      </c>
      <c r="AC2385" s="960">
        <f t="array" ref="AC2385">HLOOKUP($J2385,'Type Chart'!$C$2:$T$20,10,false)*HLOOKUP($K2385,'Type Chart'!$C$2:$U$20,10,false)</f>
        <v>2</v>
      </c>
      <c r="AD2385" s="960">
        <f t="array" ref="AD2385">HLOOKUP($J2385,'Type Chart'!$C$2:$T$20,11,false)*HLOOKUP($K2385,'Type Chart'!$C$2:$U$20,11,false)</f>
        <v>2</v>
      </c>
      <c r="AE2385" s="960">
        <f t="array" ref="AE2385">HLOOKUP($J2385,'Type Chart'!$C$2:$T$20,12,false)*HLOOKUP($K2385,'Type Chart'!$C$2:$U$20,12,false)</f>
        <v>1</v>
      </c>
      <c r="AF2385" s="960">
        <f t="array" ref="AF2385">HLOOKUP($J2385,'Type Chart'!$C$2:$T$20,13,false)*HLOOKUP($K2385,'Type Chart'!$C$2:$U$20,13,false)</f>
        <v>1</v>
      </c>
      <c r="AG2385" s="960">
        <f t="array" ref="AG2385">HLOOKUP($J2385,'Type Chart'!$C$2:$T$20,14,false)*HLOOKUP($K2385,'Type Chart'!$C$2:$U$20,14,false)</f>
        <v>1</v>
      </c>
      <c r="AH2385" s="960">
        <f t="array" ref="AH2385">HLOOKUP($J2385,'Type Chart'!$C$2:$T$20,15,false)*HLOOKUP($K2385,'Type Chart'!$C$2:$U$20,15,false)</f>
        <v>1</v>
      </c>
      <c r="AI2385" s="960">
        <f t="array" ref="AI2385">HLOOKUP($J2385,'Type Chart'!$C$2:$T$20,16,false)*HLOOKUP($K2385,'Type Chart'!$C$2:$U$20,16,false)</f>
        <v>0.5</v>
      </c>
      <c r="AJ2385" s="960">
        <f t="array" ref="AJ2385">HLOOKUP($J2385,'Type Chart'!$C$2:$T$20,17,false)*HLOOKUP($K2385,'Type Chart'!$C$2:$U$20,17,false)</f>
        <v>1</v>
      </c>
      <c r="AK2385" s="960">
        <f t="array" ref="AK2385">HLOOKUP($J2385,'Type Chart'!$C$2:$T$20,18,false)*HLOOKUP($K2385,'Type Chart'!$C$2:$U$20,18,false)</f>
        <v>1</v>
      </c>
      <c r="AL2385" s="960">
        <f t="array" ref="AL2385">HLOOKUP($J2385,'Type Chart'!$C$2:$T$20,19,false)*HLOOKUP($K2385,'Type Chart'!$C$2:$U$20,19,false)</f>
        <v>1</v>
      </c>
      <c r="AM2385" s="964" t="s">
        <v>4122</v>
      </c>
      <c r="AN2385" s="965"/>
      <c r="AO2385" s="966"/>
      <c r="AP2385" s="936"/>
      <c r="AQ2385" s="1245"/>
      <c r="AR2385" s="1245"/>
      <c r="AS2385" s="936"/>
    </row>
    <row r="2386" ht="15.75" customHeight="1">
      <c r="A2386" s="1099"/>
      <c r="B2386" s="948" t="s">
        <v>4123</v>
      </c>
      <c r="C2386" s="1197" t="s">
        <v>183</v>
      </c>
      <c r="D2386" s="1197" t="s">
        <v>183</v>
      </c>
      <c r="E2386" s="1147" t="s">
        <v>183</v>
      </c>
      <c r="F2386" s="940"/>
      <c r="G2386" s="953"/>
      <c r="H2386" s="969"/>
      <c r="I2386" s="998" t="s">
        <v>5481</v>
      </c>
      <c r="J2386" s="1220" t="s">
        <v>215</v>
      </c>
      <c r="K2386" s="964" t="s">
        <v>216</v>
      </c>
      <c r="L2386" s="959">
        <v>100.0</v>
      </c>
      <c r="M2386" s="960">
        <v>65.0</v>
      </c>
      <c r="N2386" s="960">
        <v>60.0</v>
      </c>
      <c r="O2386" s="960">
        <v>145.0</v>
      </c>
      <c r="P2386" s="960">
        <v>80.0</v>
      </c>
      <c r="Q2386" s="960">
        <v>130.0</v>
      </c>
      <c r="R2386" s="960">
        <v>296.0</v>
      </c>
      <c r="S2386" s="960">
        <v>359.0</v>
      </c>
      <c r="T2386" s="960">
        <v>394.0</v>
      </c>
      <c r="U2386" s="960">
        <f t="array" ref="U2386">HLOOKUP($J2386,'Type Chart'!$C$2:$T$20,2,false)*HLOOKUP($K2386,'Type Chart'!$C$2:$U$20,2,false)</f>
        <v>0</v>
      </c>
      <c r="V2386" s="960">
        <f t="array" ref="V2386">HLOOKUP($J2386,'Type Chart'!$C$2:$T$20,3,false)*HLOOKUP($K2386,'Type Chart'!$C$2:$U$20,3,false)</f>
        <v>0</v>
      </c>
      <c r="W2386" s="960">
        <f t="array" ref="W2386">HLOOKUP($J2386,'Type Chart'!$C$2:$T$20,4,false)*HLOOKUP($K2386,'Type Chart'!$C$2:$U$20,4,false)</f>
        <v>1</v>
      </c>
      <c r="X2386" s="960">
        <f t="array" ref="X2386">HLOOKUP($J2386,'Type Chart'!$C$2:$T$20,5,false)*HLOOKUP($K2386,'Type Chart'!$C$2:$U$20,5,false)</f>
        <v>0.5</v>
      </c>
      <c r="Y2386" s="960">
        <f t="array" ref="Y2386">HLOOKUP($J2386,'Type Chart'!$C$2:$T$20,6,false)*HLOOKUP($K2386,'Type Chart'!$C$2:$U$20,6,false)</f>
        <v>1</v>
      </c>
      <c r="Z2386" s="960">
        <f t="array" ref="Z2386">HLOOKUP($J2386,'Type Chart'!$C$2:$T$20,7,false)*HLOOKUP($K2386,'Type Chart'!$C$2:$U$20,7,false)</f>
        <v>1</v>
      </c>
      <c r="AA2386" s="960">
        <f t="array" ref="AA2386">HLOOKUP($J2386,'Type Chart'!$C$2:$T$20,8,false)*HLOOKUP($K2386,'Type Chart'!$C$2:$U$20,8,false)</f>
        <v>0.5</v>
      </c>
      <c r="AB2386" s="960">
        <f t="array" ref="AB2386">HLOOKUP($J2386,'Type Chart'!$C$2:$T$20,9,false)*HLOOKUP($K2386,'Type Chart'!$C$2:$U$20,9,false)</f>
        <v>2</v>
      </c>
      <c r="AC2386" s="960">
        <f t="array" ref="AC2386">HLOOKUP($J2386,'Type Chart'!$C$2:$T$20,10,false)*HLOOKUP($K2386,'Type Chart'!$C$2:$U$20,10,false)</f>
        <v>1</v>
      </c>
      <c r="AD2386" s="960">
        <f t="array" ref="AD2386">HLOOKUP($J2386,'Type Chart'!$C$2:$T$20,11,false)*HLOOKUP($K2386,'Type Chart'!$C$2:$U$20,11,false)</f>
        <v>1</v>
      </c>
      <c r="AE2386" s="960">
        <f t="array" ref="AE2386">HLOOKUP($J2386,'Type Chart'!$C$2:$T$20,12,false)*HLOOKUP($K2386,'Type Chart'!$C$2:$U$20,12,false)</f>
        <v>1</v>
      </c>
      <c r="AF2386" s="960">
        <f t="array" ref="AF2386">HLOOKUP($J2386,'Type Chart'!$C$2:$T$20,13,false)*HLOOKUP($K2386,'Type Chart'!$C$2:$U$20,13,false)</f>
        <v>1</v>
      </c>
      <c r="AG2386" s="960">
        <f t="array" ref="AG2386">HLOOKUP($J2386,'Type Chart'!$C$2:$T$20,14,false)*HLOOKUP($K2386,'Type Chart'!$C$2:$U$20,14,false)</f>
        <v>1</v>
      </c>
      <c r="AH2386" s="960">
        <f t="array" ref="AH2386">HLOOKUP($J2386,'Type Chart'!$C$2:$T$20,15,false)*HLOOKUP($K2386,'Type Chart'!$C$2:$U$20,15,false)</f>
        <v>1</v>
      </c>
      <c r="AI2386" s="960">
        <f t="array" ref="AI2386">HLOOKUP($J2386,'Type Chart'!$C$2:$T$20,16,false)*HLOOKUP($K2386,'Type Chart'!$C$2:$U$20,16,false)</f>
        <v>1</v>
      </c>
      <c r="AJ2386" s="960">
        <f t="array" ref="AJ2386">HLOOKUP($J2386,'Type Chart'!$C$2:$T$20,17,false)*HLOOKUP($K2386,'Type Chart'!$C$2:$U$20,17,false)</f>
        <v>1</v>
      </c>
      <c r="AK2386" s="960">
        <f t="array" ref="AK2386">HLOOKUP($J2386,'Type Chart'!$C$2:$T$20,18,false)*HLOOKUP($K2386,'Type Chart'!$C$2:$U$20,18,false)</f>
        <v>2</v>
      </c>
      <c r="AL2386" s="960">
        <f t="array" ref="AL2386">HLOOKUP($J2386,'Type Chart'!$C$2:$T$20,19,false)*HLOOKUP($K2386,'Type Chart'!$C$2:$U$20,19,false)</f>
        <v>1</v>
      </c>
      <c r="AM2386" s="964" t="s">
        <v>4124</v>
      </c>
      <c r="AN2386" s="965"/>
      <c r="AO2386" s="966"/>
      <c r="AP2386" s="936"/>
      <c r="AQ2386" s="1245"/>
      <c r="AR2386" s="1245"/>
      <c r="AS2386" s="936"/>
    </row>
    <row r="2387" ht="15.75" customHeight="1">
      <c r="A2387" s="1099"/>
      <c r="B2387" s="948" t="s">
        <v>4125</v>
      </c>
      <c r="C2387" s="1197" t="s">
        <v>4126</v>
      </c>
      <c r="D2387" s="1197" t="s">
        <v>4126</v>
      </c>
      <c r="E2387" s="1147" t="s">
        <v>4126</v>
      </c>
      <c r="F2387" s="940"/>
      <c r="G2387" s="953"/>
      <c r="H2387" s="969"/>
      <c r="I2387" s="998" t="s">
        <v>5482</v>
      </c>
      <c r="J2387" s="1203" t="s">
        <v>344</v>
      </c>
      <c r="K2387" s="957" t="s">
        <v>209</v>
      </c>
      <c r="L2387" s="959">
        <v>100.0</v>
      </c>
      <c r="M2387" s="960">
        <v>80.0</v>
      </c>
      <c r="N2387" s="960">
        <v>80.0</v>
      </c>
      <c r="O2387" s="960">
        <v>80.0</v>
      </c>
      <c r="P2387" s="960">
        <v>80.0</v>
      </c>
      <c r="Q2387" s="960">
        <v>80.0</v>
      </c>
      <c r="R2387" s="960">
        <v>196.0</v>
      </c>
      <c r="S2387" s="960">
        <v>259.0</v>
      </c>
      <c r="T2387" s="960">
        <v>284.0</v>
      </c>
      <c r="U2387" s="960">
        <f t="array" ref="U2387">HLOOKUP($J2387,'Type Chart'!$C$2:$T$20,2,false)*HLOOKUP($K2387,'Type Chart'!$C$2:$U$20,2,false)</f>
        <v>1</v>
      </c>
      <c r="V2387" s="960">
        <f t="array" ref="V2387">HLOOKUP($J2387,'Type Chart'!$C$2:$T$20,3,false)*HLOOKUP($K2387,'Type Chart'!$C$2:$U$20,3,false)</f>
        <v>0.5</v>
      </c>
      <c r="W2387" s="960">
        <f t="array" ref="W2387">HLOOKUP($J2387,'Type Chart'!$C$2:$T$20,4,false)*HLOOKUP($K2387,'Type Chart'!$C$2:$U$20,4,false)</f>
        <v>2</v>
      </c>
      <c r="X2387" s="960">
        <f t="array" ref="X2387">HLOOKUP($J2387,'Type Chart'!$C$2:$T$20,5,false)*HLOOKUP($K2387,'Type Chart'!$C$2:$U$20,5,false)</f>
        <v>2</v>
      </c>
      <c r="Y2387" s="960">
        <f t="array" ref="Y2387">HLOOKUP($J2387,'Type Chart'!$C$2:$T$20,6,false)*HLOOKUP($K2387,'Type Chart'!$C$2:$U$20,6,false)</f>
        <v>0.5</v>
      </c>
      <c r="Z2387" s="960">
        <f t="array" ref="Z2387">HLOOKUP($J2387,'Type Chart'!$C$2:$T$20,7,false)*HLOOKUP($K2387,'Type Chart'!$C$2:$U$20,7,false)</f>
        <v>1</v>
      </c>
      <c r="AA2387" s="960">
        <f t="array" ref="AA2387">HLOOKUP($J2387,'Type Chart'!$C$2:$T$20,8,false)*HLOOKUP($K2387,'Type Chart'!$C$2:$U$20,8,false)</f>
        <v>4</v>
      </c>
      <c r="AB2387" s="960">
        <f t="array" ref="AB2387">HLOOKUP($J2387,'Type Chart'!$C$2:$T$20,9,false)*HLOOKUP($K2387,'Type Chart'!$C$2:$U$20,9,false)</f>
        <v>2</v>
      </c>
      <c r="AC2387" s="960">
        <f t="array" ref="AC2387">HLOOKUP($J2387,'Type Chart'!$C$2:$T$20,10,false)*HLOOKUP($K2387,'Type Chart'!$C$2:$U$20,10,false)</f>
        <v>1</v>
      </c>
      <c r="AD2387" s="960">
        <f t="array" ref="AD2387">HLOOKUP($J2387,'Type Chart'!$C$2:$T$20,11,false)*HLOOKUP($K2387,'Type Chart'!$C$2:$U$20,11,false)</f>
        <v>2</v>
      </c>
      <c r="AE2387" s="960">
        <f t="array" ref="AE2387">HLOOKUP($J2387,'Type Chart'!$C$2:$T$20,12,false)*HLOOKUP($K2387,'Type Chart'!$C$2:$U$20,12,false)</f>
        <v>0.5</v>
      </c>
      <c r="AF2387" s="960">
        <f t="array" ref="AF2387">HLOOKUP($J2387,'Type Chart'!$C$2:$T$20,13,false)*HLOOKUP($K2387,'Type Chart'!$C$2:$U$20,13,false)</f>
        <v>0.5</v>
      </c>
      <c r="AG2387" s="960">
        <f t="array" ref="AG2387">HLOOKUP($J2387,'Type Chart'!$C$2:$T$20,14,false)*HLOOKUP($K2387,'Type Chart'!$C$2:$U$20,14,false)</f>
        <v>0.5</v>
      </c>
      <c r="AH2387" s="960">
        <f t="array" ref="AH2387">HLOOKUP($J2387,'Type Chart'!$C$2:$T$20,15,false)*HLOOKUP($K2387,'Type Chart'!$C$2:$U$20,15,false)</f>
        <v>0.5</v>
      </c>
      <c r="AI2387" s="960">
        <f t="array" ref="AI2387">HLOOKUP($J2387,'Type Chart'!$C$2:$T$20,16,false)*HLOOKUP($K2387,'Type Chart'!$C$2:$U$20,16,false)</f>
        <v>2</v>
      </c>
      <c r="AJ2387" s="960">
        <f t="array" ref="AJ2387">HLOOKUP($J2387,'Type Chart'!$C$2:$T$20,17,false)*HLOOKUP($K2387,'Type Chart'!$C$2:$U$20,17,false)</f>
        <v>1</v>
      </c>
      <c r="AK2387" s="960">
        <f t="array" ref="AK2387">HLOOKUP($J2387,'Type Chart'!$C$2:$T$20,18,false)*HLOOKUP($K2387,'Type Chart'!$C$2:$U$20,18,false)</f>
        <v>2</v>
      </c>
      <c r="AL2387" s="960">
        <f t="array" ref="AL2387">HLOOKUP($J2387,'Type Chart'!$C$2:$T$20,19,false)*HLOOKUP($K2387,'Type Chart'!$C$2:$U$20,19,false)</f>
        <v>1</v>
      </c>
      <c r="AM2387" s="1145" t="s">
        <v>1062</v>
      </c>
      <c r="AN2387" s="1202"/>
      <c r="AO2387" s="1146"/>
      <c r="AP2387" s="936"/>
      <c r="AQ2387" s="1245"/>
      <c r="AR2387" s="1245"/>
      <c r="AS2387" s="936"/>
    </row>
    <row r="2388" ht="15.75" customHeight="1">
      <c r="A2388" s="1099"/>
      <c r="B2388" s="948" t="s">
        <v>4127</v>
      </c>
      <c r="C2388" s="1197" t="s">
        <v>4128</v>
      </c>
      <c r="D2388" s="1197" t="s">
        <v>4128</v>
      </c>
      <c r="E2388" s="1147" t="s">
        <v>4129</v>
      </c>
      <c r="F2388" s="940"/>
      <c r="G2388" s="953"/>
      <c r="H2388" s="969"/>
      <c r="I2388" s="998" t="s">
        <v>5483</v>
      </c>
      <c r="J2388" s="1203" t="s">
        <v>344</v>
      </c>
      <c r="K2388" s="1205" t="s">
        <v>345</v>
      </c>
      <c r="L2388" s="959">
        <v>100.0</v>
      </c>
      <c r="M2388" s="960">
        <v>165.0</v>
      </c>
      <c r="N2388" s="960">
        <v>150.0</v>
      </c>
      <c r="O2388" s="960">
        <v>85.0</v>
      </c>
      <c r="P2388" s="960">
        <v>130.0</v>
      </c>
      <c r="Q2388" s="960">
        <v>50.0</v>
      </c>
      <c r="R2388" s="960">
        <v>136.0</v>
      </c>
      <c r="S2388" s="960">
        <v>199.0</v>
      </c>
      <c r="T2388" s="960">
        <v>218.0</v>
      </c>
      <c r="U2388" s="960">
        <f t="array" ref="U2388">HLOOKUP($J2388,'Type Chart'!$C$2:$T$20,2,false)*HLOOKUP($K2388,'Type Chart'!$C$2:$U$20,2,false)</f>
        <v>1</v>
      </c>
      <c r="V2388" s="960">
        <f t="array" ref="V2388">HLOOKUP($J2388,'Type Chart'!$C$2:$T$20,3,false)*HLOOKUP($K2388,'Type Chart'!$C$2:$U$20,3,false)</f>
        <v>1</v>
      </c>
      <c r="W2388" s="960">
        <f t="array" ref="W2388">HLOOKUP($J2388,'Type Chart'!$C$2:$T$20,4,false)*HLOOKUP($K2388,'Type Chart'!$C$2:$U$20,4,false)</f>
        <v>1</v>
      </c>
      <c r="X2388" s="960">
        <f t="array" ref="X2388">HLOOKUP($J2388,'Type Chart'!$C$2:$T$20,5,false)*HLOOKUP($K2388,'Type Chart'!$C$2:$U$20,5,false)</f>
        <v>1</v>
      </c>
      <c r="Y2388" s="960">
        <f t="array" ref="Y2388">HLOOKUP($J2388,'Type Chart'!$C$2:$T$20,6,false)*HLOOKUP($K2388,'Type Chart'!$C$2:$U$20,6,false)</f>
        <v>1</v>
      </c>
      <c r="Z2388" s="960">
        <f t="array" ref="Z2388">HLOOKUP($J2388,'Type Chart'!$C$2:$T$20,7,false)*HLOOKUP($K2388,'Type Chart'!$C$2:$U$20,7,false)</f>
        <v>2</v>
      </c>
      <c r="AA2388" s="960">
        <f t="array" ref="AA2388">HLOOKUP($J2388,'Type Chart'!$C$2:$T$20,8,false)*HLOOKUP($K2388,'Type Chart'!$C$2:$U$20,8,false)</f>
        <v>2</v>
      </c>
      <c r="AB2388" s="960">
        <f t="array" ref="AB2388">HLOOKUP($J2388,'Type Chart'!$C$2:$T$20,9,false)*HLOOKUP($K2388,'Type Chart'!$C$2:$U$20,9,false)</f>
        <v>2</v>
      </c>
      <c r="AC2388" s="960">
        <f t="array" ref="AC2388">HLOOKUP($J2388,'Type Chart'!$C$2:$T$20,10,false)*HLOOKUP($K2388,'Type Chart'!$C$2:$U$20,10,false)</f>
        <v>2</v>
      </c>
      <c r="AD2388" s="960">
        <f t="array" ref="AD2388">HLOOKUP($J2388,'Type Chart'!$C$2:$T$20,11,false)*HLOOKUP($K2388,'Type Chart'!$C$2:$U$20,11,false)</f>
        <v>2</v>
      </c>
      <c r="AE2388" s="960">
        <f t="array" ref="AE2388">HLOOKUP($J2388,'Type Chart'!$C$2:$T$20,12,false)*HLOOKUP($K2388,'Type Chart'!$C$2:$U$20,12,false)</f>
        <v>1</v>
      </c>
      <c r="AF2388" s="960">
        <f t="array" ref="AF2388">HLOOKUP($J2388,'Type Chart'!$C$2:$T$20,13,false)*HLOOKUP($K2388,'Type Chart'!$C$2:$U$20,13,false)</f>
        <v>1</v>
      </c>
      <c r="AG2388" s="960">
        <f t="array" ref="AG2388">HLOOKUP($J2388,'Type Chart'!$C$2:$T$20,14,false)*HLOOKUP($K2388,'Type Chart'!$C$2:$U$20,14,false)</f>
        <v>1</v>
      </c>
      <c r="AH2388" s="960">
        <f t="array" ref="AH2388">HLOOKUP($J2388,'Type Chart'!$C$2:$T$20,15,false)*HLOOKUP($K2388,'Type Chart'!$C$2:$U$20,15,false)</f>
        <v>0.5</v>
      </c>
      <c r="AI2388" s="960">
        <f t="array" ref="AI2388">HLOOKUP($J2388,'Type Chart'!$C$2:$T$20,16,false)*HLOOKUP($K2388,'Type Chart'!$C$2:$U$20,16,false)</f>
        <v>0.5</v>
      </c>
      <c r="AJ2388" s="960">
        <f t="array" ref="AJ2388">HLOOKUP($J2388,'Type Chart'!$C$2:$T$20,17,false)*HLOOKUP($K2388,'Type Chart'!$C$2:$U$20,17,false)</f>
        <v>1</v>
      </c>
      <c r="AK2388" s="960">
        <f t="array" ref="AK2388">HLOOKUP($J2388,'Type Chart'!$C$2:$T$20,18,false)*HLOOKUP($K2388,'Type Chart'!$C$2:$U$20,18,false)</f>
        <v>2</v>
      </c>
      <c r="AL2388" s="960">
        <f t="array" ref="AL2388">HLOOKUP($J2388,'Type Chart'!$C$2:$T$20,19,false)*HLOOKUP($K2388,'Type Chart'!$C$2:$U$20,19,false)</f>
        <v>1</v>
      </c>
      <c r="AM2388" s="964" t="s">
        <v>4130</v>
      </c>
      <c r="AN2388" s="965"/>
      <c r="AO2388" s="966"/>
      <c r="AP2388" s="936"/>
      <c r="AQ2388" s="1245"/>
      <c r="AR2388" s="1245"/>
      <c r="AS2388" s="936"/>
    </row>
    <row r="2389" ht="15.75" customHeight="1">
      <c r="A2389" s="1099"/>
      <c r="B2389" s="948" t="s">
        <v>4131</v>
      </c>
      <c r="C2389" s="1197" t="s">
        <v>4132</v>
      </c>
      <c r="D2389" s="1197" t="s">
        <v>4132</v>
      </c>
      <c r="E2389" s="1147" t="s">
        <v>4133</v>
      </c>
      <c r="F2389" s="940"/>
      <c r="G2389" s="953"/>
      <c r="H2389" s="969"/>
      <c r="I2389" s="998" t="s">
        <v>5484</v>
      </c>
      <c r="J2389" s="1203" t="s">
        <v>344</v>
      </c>
      <c r="K2389" s="1220" t="s">
        <v>215</v>
      </c>
      <c r="L2389" s="959">
        <v>100.0</v>
      </c>
      <c r="M2389" s="960">
        <v>85.0</v>
      </c>
      <c r="N2389" s="960">
        <v>80.0</v>
      </c>
      <c r="O2389" s="960">
        <v>165.0</v>
      </c>
      <c r="P2389" s="960">
        <v>100.0</v>
      </c>
      <c r="Q2389" s="960">
        <v>150.0</v>
      </c>
      <c r="R2389" s="960">
        <v>336.0</v>
      </c>
      <c r="S2389" s="960">
        <v>399.0</v>
      </c>
      <c r="T2389" s="960">
        <v>438.0</v>
      </c>
      <c r="U2389" s="960">
        <f t="array" ref="U2389">HLOOKUP($J2389,'Type Chart'!$C$2:$T$20,2,false)*HLOOKUP($K2389,'Type Chart'!$C$2:$U$20,2,false)</f>
        <v>0</v>
      </c>
      <c r="V2389" s="960">
        <f t="array" ref="V2389">HLOOKUP($J2389,'Type Chart'!$C$2:$T$20,3,false)*HLOOKUP($K2389,'Type Chart'!$C$2:$U$20,3,false)</f>
        <v>0</v>
      </c>
      <c r="W2389" s="960">
        <f t="array" ref="W2389">HLOOKUP($J2389,'Type Chart'!$C$2:$T$20,4,false)*HLOOKUP($K2389,'Type Chart'!$C$2:$U$20,4,false)</f>
        <v>1</v>
      </c>
      <c r="X2389" s="960">
        <f t="array" ref="X2389">HLOOKUP($J2389,'Type Chart'!$C$2:$T$20,5,false)*HLOOKUP($K2389,'Type Chart'!$C$2:$U$20,5,false)</f>
        <v>0.5</v>
      </c>
      <c r="Y2389" s="960">
        <f t="array" ref="Y2389">HLOOKUP($J2389,'Type Chart'!$C$2:$T$20,6,false)*HLOOKUP($K2389,'Type Chart'!$C$2:$U$20,6,false)</f>
        <v>1</v>
      </c>
      <c r="Z2389" s="960">
        <f t="array" ref="Z2389">HLOOKUP($J2389,'Type Chart'!$C$2:$T$20,7,false)*HLOOKUP($K2389,'Type Chart'!$C$2:$U$20,7,false)</f>
        <v>1</v>
      </c>
      <c r="AA2389" s="960">
        <f t="array" ref="AA2389">HLOOKUP($J2389,'Type Chart'!$C$2:$T$20,8,false)*HLOOKUP($K2389,'Type Chart'!$C$2:$U$20,8,false)</f>
        <v>1</v>
      </c>
      <c r="AB2389" s="960">
        <f t="array" ref="AB2389">HLOOKUP($J2389,'Type Chart'!$C$2:$T$20,9,false)*HLOOKUP($K2389,'Type Chart'!$C$2:$U$20,9,false)</f>
        <v>4</v>
      </c>
      <c r="AC2389" s="960">
        <f t="array" ref="AC2389">HLOOKUP($J2389,'Type Chart'!$C$2:$T$20,10,false)*HLOOKUP($K2389,'Type Chart'!$C$2:$U$20,10,false)</f>
        <v>1</v>
      </c>
      <c r="AD2389" s="960">
        <f t="array" ref="AD2389">HLOOKUP($J2389,'Type Chart'!$C$2:$T$20,11,false)*HLOOKUP($K2389,'Type Chart'!$C$2:$U$20,11,false)</f>
        <v>1</v>
      </c>
      <c r="AE2389" s="960">
        <f t="array" ref="AE2389">HLOOKUP($J2389,'Type Chart'!$C$2:$T$20,12,false)*HLOOKUP($K2389,'Type Chart'!$C$2:$U$20,12,false)</f>
        <v>1</v>
      </c>
      <c r="AF2389" s="960">
        <f t="array" ref="AF2389">HLOOKUP($J2389,'Type Chart'!$C$2:$T$20,13,false)*HLOOKUP($K2389,'Type Chart'!$C$2:$U$20,13,false)</f>
        <v>1</v>
      </c>
      <c r="AG2389" s="960">
        <f t="array" ref="AG2389">HLOOKUP($J2389,'Type Chart'!$C$2:$T$20,14,false)*HLOOKUP($K2389,'Type Chart'!$C$2:$U$20,14,false)</f>
        <v>1</v>
      </c>
      <c r="AH2389" s="960">
        <f t="array" ref="AH2389">HLOOKUP($J2389,'Type Chart'!$C$2:$T$20,15,false)*HLOOKUP($K2389,'Type Chart'!$C$2:$U$20,15,false)</f>
        <v>0.5</v>
      </c>
      <c r="AI2389" s="960">
        <f t="array" ref="AI2389">HLOOKUP($J2389,'Type Chart'!$C$2:$T$20,16,false)*HLOOKUP($K2389,'Type Chart'!$C$2:$U$20,16,false)</f>
        <v>1</v>
      </c>
      <c r="AJ2389" s="960">
        <f t="array" ref="AJ2389">HLOOKUP($J2389,'Type Chart'!$C$2:$T$20,17,false)*HLOOKUP($K2389,'Type Chart'!$C$2:$U$20,17,false)</f>
        <v>1</v>
      </c>
      <c r="AK2389" s="960">
        <f t="array" ref="AK2389">HLOOKUP($J2389,'Type Chart'!$C$2:$T$20,18,false)*HLOOKUP($K2389,'Type Chart'!$C$2:$U$20,18,false)</f>
        <v>4</v>
      </c>
      <c r="AL2389" s="960">
        <f t="array" ref="AL2389">HLOOKUP($J2389,'Type Chart'!$C$2:$T$20,19,false)*HLOOKUP($K2389,'Type Chart'!$C$2:$U$20,19,false)</f>
        <v>1</v>
      </c>
      <c r="AM2389" s="1145" t="s">
        <v>4130</v>
      </c>
      <c r="AN2389" s="1202"/>
      <c r="AO2389" s="1146"/>
      <c r="AP2389" s="936"/>
      <c r="AQ2389" s="1245"/>
      <c r="AR2389" s="1245"/>
      <c r="AS2389" s="936"/>
    </row>
    <row r="2390" ht="15.75" customHeight="1">
      <c r="A2390" s="1099"/>
      <c r="B2390" s="948" t="s">
        <v>4134</v>
      </c>
      <c r="C2390" s="1197" t="s">
        <v>4135</v>
      </c>
      <c r="D2390" s="1197" t="s">
        <v>4135</v>
      </c>
      <c r="E2390" s="1147" t="s">
        <v>4135</v>
      </c>
      <c r="F2390" s="940"/>
      <c r="G2390" s="953"/>
      <c r="H2390" s="969"/>
      <c r="I2390" s="998" t="s">
        <v>5485</v>
      </c>
      <c r="J2390" s="1194" t="s">
        <v>136</v>
      </c>
      <c r="K2390" s="1203" t="s">
        <v>344</v>
      </c>
      <c r="L2390" s="959">
        <v>103.0</v>
      </c>
      <c r="M2390" s="960">
        <v>105.0</v>
      </c>
      <c r="N2390" s="960">
        <v>72.0</v>
      </c>
      <c r="O2390" s="960">
        <v>105.0</v>
      </c>
      <c r="P2390" s="960">
        <v>75.0</v>
      </c>
      <c r="Q2390" s="960">
        <v>65.0</v>
      </c>
      <c r="R2390" s="960">
        <v>166.0</v>
      </c>
      <c r="S2390" s="960">
        <v>229.0</v>
      </c>
      <c r="T2390" s="960">
        <v>251.0</v>
      </c>
      <c r="U2390" s="960">
        <f t="array" ref="U2390">HLOOKUP($J2390,'Type Chart'!$C$2:$T$20,2,false)*HLOOKUP($K2390,'Type Chart'!$C$2:$U$20,2,false)</f>
        <v>1</v>
      </c>
      <c r="V2390" s="960">
        <f t="array" ref="V2390">HLOOKUP($J2390,'Type Chart'!$C$2:$T$20,3,false)*HLOOKUP($K2390,'Type Chart'!$C$2:$U$20,3,false)</f>
        <v>1</v>
      </c>
      <c r="W2390" s="960">
        <f t="array" ref="W2390">HLOOKUP($J2390,'Type Chart'!$C$2:$T$20,4,false)*HLOOKUP($K2390,'Type Chart'!$C$2:$U$20,4,false)</f>
        <v>1</v>
      </c>
      <c r="X2390" s="960">
        <f t="array" ref="X2390">HLOOKUP($J2390,'Type Chart'!$C$2:$T$20,5,false)*HLOOKUP($K2390,'Type Chart'!$C$2:$U$20,5,false)</f>
        <v>1</v>
      </c>
      <c r="Y2390" s="960">
        <f t="array" ref="Y2390">HLOOKUP($J2390,'Type Chart'!$C$2:$T$20,6,false)*HLOOKUP($K2390,'Type Chart'!$C$2:$U$20,6,false)</f>
        <v>1</v>
      </c>
      <c r="Z2390" s="960">
        <f t="array" ref="Z2390">HLOOKUP($J2390,'Type Chart'!$C$2:$T$20,7,false)*HLOOKUP($K2390,'Type Chart'!$C$2:$U$20,7,false)</f>
        <v>1</v>
      </c>
      <c r="AA2390" s="960">
        <f t="array" ref="AA2390">HLOOKUP($J2390,'Type Chart'!$C$2:$T$20,8,false)*HLOOKUP($K2390,'Type Chart'!$C$2:$U$20,8,false)</f>
        <v>2</v>
      </c>
      <c r="AB2390" s="960">
        <f t="array" ref="AB2390">HLOOKUP($J2390,'Type Chart'!$C$2:$T$20,9,false)*HLOOKUP($K2390,'Type Chart'!$C$2:$U$20,9,false)</f>
        <v>0</v>
      </c>
      <c r="AC2390" s="960">
        <f t="array" ref="AC2390">HLOOKUP($J2390,'Type Chart'!$C$2:$T$20,10,false)*HLOOKUP($K2390,'Type Chart'!$C$2:$U$20,10,false)</f>
        <v>1</v>
      </c>
      <c r="AD2390" s="960">
        <f t="array" ref="AD2390">HLOOKUP($J2390,'Type Chart'!$C$2:$T$20,11,false)*HLOOKUP($K2390,'Type Chart'!$C$2:$U$20,11,false)</f>
        <v>1</v>
      </c>
      <c r="AE2390" s="960">
        <f t="array" ref="AE2390">HLOOKUP($J2390,'Type Chart'!$C$2:$T$20,12,false)*HLOOKUP($K2390,'Type Chart'!$C$2:$U$20,12,false)</f>
        <v>1</v>
      </c>
      <c r="AF2390" s="960">
        <f t="array" ref="AF2390">HLOOKUP($J2390,'Type Chart'!$C$2:$T$20,13,false)*HLOOKUP($K2390,'Type Chart'!$C$2:$U$20,13,false)</f>
        <v>1</v>
      </c>
      <c r="AG2390" s="960">
        <f t="array" ref="AG2390">HLOOKUP($J2390,'Type Chart'!$C$2:$T$20,14,false)*HLOOKUP($K2390,'Type Chart'!$C$2:$U$20,14,false)</f>
        <v>1</v>
      </c>
      <c r="AH2390" s="960">
        <f t="array" ref="AH2390">HLOOKUP($J2390,'Type Chart'!$C$2:$T$20,15,false)*HLOOKUP($K2390,'Type Chart'!$C$2:$U$20,15,false)</f>
        <v>0.5</v>
      </c>
      <c r="AI2390" s="960">
        <f t="array" ref="AI2390">HLOOKUP($J2390,'Type Chart'!$C$2:$T$20,16,false)*HLOOKUP($K2390,'Type Chart'!$C$2:$U$20,16,false)</f>
        <v>1</v>
      </c>
      <c r="AJ2390" s="960">
        <f t="array" ref="AJ2390">HLOOKUP($J2390,'Type Chart'!$C$2:$T$20,17,false)*HLOOKUP($K2390,'Type Chart'!$C$2:$U$20,17,false)</f>
        <v>1</v>
      </c>
      <c r="AK2390" s="960">
        <f t="array" ref="AK2390">HLOOKUP($J2390,'Type Chart'!$C$2:$T$20,18,false)*HLOOKUP($K2390,'Type Chart'!$C$2:$U$20,18,false)</f>
        <v>2</v>
      </c>
      <c r="AL2390" s="960">
        <f t="array" ref="AL2390">HLOOKUP($J2390,'Type Chart'!$C$2:$T$20,19,false)*HLOOKUP($K2390,'Type Chart'!$C$2:$U$20,19,false)</f>
        <v>1</v>
      </c>
      <c r="AM2390" s="1145" t="s">
        <v>1061</v>
      </c>
      <c r="AN2390" s="1145" t="s">
        <v>1188</v>
      </c>
      <c r="AO2390" s="1146" t="s">
        <v>1772</v>
      </c>
      <c r="AP2390" s="936"/>
      <c r="AQ2390" s="1245"/>
      <c r="AR2390" s="1245"/>
      <c r="AS2390" s="936"/>
    </row>
    <row r="2391" ht="15.75" customHeight="1">
      <c r="A2391" s="1099"/>
      <c r="B2391" s="948">
        <v>900.0</v>
      </c>
      <c r="C2391" s="1197" t="s">
        <v>4136</v>
      </c>
      <c r="D2391" s="1197" t="s">
        <v>4136</v>
      </c>
      <c r="E2391" s="1147" t="s">
        <v>4136</v>
      </c>
      <c r="F2391" s="940"/>
      <c r="G2391" s="953"/>
      <c r="H2391" s="969"/>
      <c r="I2391" s="998" t="s">
        <v>161</v>
      </c>
      <c r="J2391" s="1180" t="s">
        <v>343</v>
      </c>
      <c r="K2391" s="1214" t="s">
        <v>342</v>
      </c>
      <c r="L2391" s="959">
        <v>70.0</v>
      </c>
      <c r="M2391" s="960">
        <v>130.0</v>
      </c>
      <c r="N2391" s="960">
        <v>95.0</v>
      </c>
      <c r="O2391" s="960">
        <v>45.0</v>
      </c>
      <c r="P2391" s="960">
        <v>75.0</v>
      </c>
      <c r="Q2391" s="960">
        <v>85.0</v>
      </c>
      <c r="R2391" s="960">
        <v>206.0</v>
      </c>
      <c r="S2391" s="960">
        <v>269.0</v>
      </c>
      <c r="T2391" s="960">
        <v>295.0</v>
      </c>
      <c r="U2391" s="960">
        <f t="array" ref="U2391">HLOOKUP($J2391,'Type Chart'!$C$2:$T$20,2,false)*HLOOKUP($K2391,'Type Chart'!$C$2:$U$20,2,false)</f>
        <v>0.5</v>
      </c>
      <c r="V2391" s="960">
        <f t="array" ref="V2391">HLOOKUP($J2391,'Type Chart'!$C$2:$T$20,3,false)*HLOOKUP($K2391,'Type Chart'!$C$2:$U$20,3,false)</f>
        <v>1</v>
      </c>
      <c r="W2391" s="960">
        <f t="array" ref="W2391">HLOOKUP($J2391,'Type Chart'!$C$2:$T$20,4,false)*HLOOKUP($K2391,'Type Chart'!$C$2:$U$20,4,false)</f>
        <v>1</v>
      </c>
      <c r="X2391" s="960">
        <f t="array" ref="X2391">HLOOKUP($J2391,'Type Chart'!$C$2:$T$20,5,false)*HLOOKUP($K2391,'Type Chart'!$C$2:$U$20,5,false)</f>
        <v>0.5</v>
      </c>
      <c r="Y2391" s="960">
        <f t="array" ref="Y2391">HLOOKUP($J2391,'Type Chart'!$C$2:$T$20,6,false)*HLOOKUP($K2391,'Type Chart'!$C$2:$U$20,6,false)</f>
        <v>1</v>
      </c>
      <c r="Z2391" s="960">
        <f t="array" ref="Z2391">HLOOKUP($J2391,'Type Chart'!$C$2:$T$20,7,false)*HLOOKUP($K2391,'Type Chart'!$C$2:$U$20,7,false)</f>
        <v>2</v>
      </c>
      <c r="AA2391" s="960">
        <f t="array" ref="AA2391">HLOOKUP($J2391,'Type Chart'!$C$2:$T$20,8,false)*HLOOKUP($K2391,'Type Chart'!$C$2:$U$20,8,false)</f>
        <v>1</v>
      </c>
      <c r="AB2391" s="960">
        <f t="array" ref="AB2391">HLOOKUP($J2391,'Type Chart'!$C$2:$T$20,9,false)*HLOOKUP($K2391,'Type Chart'!$C$2:$U$20,9,false)</f>
        <v>1</v>
      </c>
      <c r="AC2391" s="960">
        <f t="array" ref="AC2391">HLOOKUP($J2391,'Type Chart'!$C$2:$T$20,10,false)*HLOOKUP($K2391,'Type Chart'!$C$2:$U$20,10,false)</f>
        <v>2</v>
      </c>
      <c r="AD2391" s="960">
        <f t="array" ref="AD2391">HLOOKUP($J2391,'Type Chart'!$C$2:$T$20,11,false)*HLOOKUP($K2391,'Type Chart'!$C$2:$U$20,11,false)</f>
        <v>1</v>
      </c>
      <c r="AE2391" s="960">
        <f t="array" ref="AE2391">HLOOKUP($J2391,'Type Chart'!$C$2:$T$20,12,false)*HLOOKUP($K2391,'Type Chart'!$C$2:$U$20,12,false)</f>
        <v>2</v>
      </c>
      <c r="AF2391" s="960">
        <f t="array" ref="AF2391">HLOOKUP($J2391,'Type Chart'!$C$2:$T$20,13,false)*HLOOKUP($K2391,'Type Chart'!$C$2:$U$20,13,false)</f>
        <v>1</v>
      </c>
      <c r="AG2391" s="960">
        <f t="array" ref="AG2391">HLOOKUP($J2391,'Type Chart'!$C$2:$T$20,14,false)*HLOOKUP($K2391,'Type Chart'!$C$2:$U$20,14,false)</f>
        <v>1</v>
      </c>
      <c r="AH2391" s="960">
        <f t="array" ref="AH2391">HLOOKUP($J2391,'Type Chart'!$C$2:$T$20,15,false)*HLOOKUP($K2391,'Type Chart'!$C$2:$U$20,15,false)</f>
        <v>1</v>
      </c>
      <c r="AI2391" s="960">
        <f t="array" ref="AI2391">HLOOKUP($J2391,'Type Chart'!$C$2:$T$20,16,false)*HLOOKUP($K2391,'Type Chart'!$C$2:$U$20,16,false)</f>
        <v>1</v>
      </c>
      <c r="AJ2391" s="960">
        <f t="array" ref="AJ2391">HLOOKUP($J2391,'Type Chart'!$C$2:$T$20,17,false)*HLOOKUP($K2391,'Type Chart'!$C$2:$U$20,17,false)</f>
        <v>1</v>
      </c>
      <c r="AK2391" s="960">
        <f t="array" ref="AK2391">HLOOKUP($J2391,'Type Chart'!$C$2:$T$20,18,false)*HLOOKUP($K2391,'Type Chart'!$C$2:$U$20,18,false)</f>
        <v>1</v>
      </c>
      <c r="AL2391" s="960">
        <f t="array" ref="AL2391">HLOOKUP($J2391,'Type Chart'!$C$2:$T$20,19,false)*HLOOKUP($K2391,'Type Chart'!$C$2:$U$20,19,false)</f>
        <v>1</v>
      </c>
      <c r="AM2391" s="964" t="s">
        <v>1013</v>
      </c>
      <c r="AN2391" s="964" t="s">
        <v>1153</v>
      </c>
      <c r="AO2391" s="966" t="s">
        <v>1306</v>
      </c>
      <c r="AP2391" s="936"/>
      <c r="AQ2391" s="1245"/>
      <c r="AR2391" s="1245"/>
      <c r="AS2391" s="936"/>
    </row>
    <row r="2392" ht="15.75" customHeight="1">
      <c r="A2392" s="1099"/>
      <c r="B2392" s="948">
        <v>901.0</v>
      </c>
      <c r="C2392" s="1197" t="s">
        <v>4137</v>
      </c>
      <c r="D2392" s="1197" t="s">
        <v>4137</v>
      </c>
      <c r="E2392" s="1147" t="s">
        <v>4137</v>
      </c>
      <c r="F2392" s="940"/>
      <c r="G2392" s="953"/>
      <c r="H2392" s="969"/>
      <c r="I2392" s="998" t="s">
        <v>5486</v>
      </c>
      <c r="J2392" s="1204" t="s">
        <v>80</v>
      </c>
      <c r="K2392" s="1194" t="s">
        <v>136</v>
      </c>
      <c r="L2392" s="959">
        <v>130.0</v>
      </c>
      <c r="M2392" s="960">
        <v>140.0</v>
      </c>
      <c r="N2392" s="960">
        <v>105.0</v>
      </c>
      <c r="O2392" s="960">
        <v>45.0</v>
      </c>
      <c r="P2392" s="960">
        <v>80.0</v>
      </c>
      <c r="Q2392" s="960">
        <v>50.0</v>
      </c>
      <c r="R2392" s="960">
        <v>136.0</v>
      </c>
      <c r="S2392" s="960">
        <v>199.0</v>
      </c>
      <c r="T2392" s="960">
        <v>218.0</v>
      </c>
      <c r="U2392" s="960">
        <f t="array" ref="U2392">HLOOKUP($J2392,'Type Chart'!$C$2:$T$20,2,false)*HLOOKUP($K2392,'Type Chart'!$C$2:$U$20,2,false)</f>
        <v>1</v>
      </c>
      <c r="V2392" s="960">
        <f t="array" ref="V2392">HLOOKUP($J2392,'Type Chart'!$C$2:$T$20,3,false)*HLOOKUP($K2392,'Type Chart'!$C$2:$U$20,3,false)</f>
        <v>2</v>
      </c>
      <c r="W2392" s="960">
        <f t="array" ref="W2392">HLOOKUP($J2392,'Type Chart'!$C$2:$T$20,4,false)*HLOOKUP($K2392,'Type Chart'!$C$2:$U$20,4,false)</f>
        <v>1</v>
      </c>
      <c r="X2392" s="960">
        <f t="array" ref="X2392">HLOOKUP($J2392,'Type Chart'!$C$2:$T$20,5,false)*HLOOKUP($K2392,'Type Chart'!$C$2:$U$20,5,false)</f>
        <v>0.5</v>
      </c>
      <c r="Y2392" s="960">
        <f t="array" ref="Y2392">HLOOKUP($J2392,'Type Chart'!$C$2:$T$20,6,false)*HLOOKUP($K2392,'Type Chart'!$C$2:$U$20,6,false)</f>
        <v>1</v>
      </c>
      <c r="Z2392" s="960">
        <f t="array" ref="Z2392">HLOOKUP($J2392,'Type Chart'!$C$2:$T$20,7,false)*HLOOKUP($K2392,'Type Chart'!$C$2:$U$20,7,false)</f>
        <v>0.5</v>
      </c>
      <c r="AA2392" s="960">
        <f t="array" ref="AA2392">HLOOKUP($J2392,'Type Chart'!$C$2:$T$20,8,false)*HLOOKUP($K2392,'Type Chart'!$C$2:$U$20,8,false)</f>
        <v>1</v>
      </c>
      <c r="AB2392" s="960">
        <f t="array" ref="AB2392">HLOOKUP($J2392,'Type Chart'!$C$2:$T$20,9,false)*HLOOKUP($K2392,'Type Chart'!$C$2:$U$20,9,false)</f>
        <v>0</v>
      </c>
      <c r="AC2392" s="960">
        <f t="array" ref="AC2392">HLOOKUP($J2392,'Type Chart'!$C$2:$T$20,10,false)*HLOOKUP($K2392,'Type Chart'!$C$2:$U$20,10,false)</f>
        <v>1</v>
      </c>
      <c r="AD2392" s="960">
        <f t="array" ref="AD2392">HLOOKUP($J2392,'Type Chart'!$C$2:$T$20,11,false)*HLOOKUP($K2392,'Type Chart'!$C$2:$U$20,11,false)</f>
        <v>1</v>
      </c>
      <c r="AE2392" s="960">
        <f t="array" ref="AE2392">HLOOKUP($J2392,'Type Chart'!$C$2:$T$20,12,false)*HLOOKUP($K2392,'Type Chart'!$C$2:$U$20,12,false)</f>
        <v>2</v>
      </c>
      <c r="AF2392" s="960">
        <f t="array" ref="AF2392">HLOOKUP($J2392,'Type Chart'!$C$2:$T$20,13,false)*HLOOKUP($K2392,'Type Chart'!$C$2:$U$20,13,false)</f>
        <v>2</v>
      </c>
      <c r="AG2392" s="960">
        <f t="array" ref="AG2392">HLOOKUP($J2392,'Type Chart'!$C$2:$T$20,14,false)*HLOOKUP($K2392,'Type Chart'!$C$2:$U$20,14,false)</f>
        <v>0</v>
      </c>
      <c r="AH2392" s="960">
        <f t="array" ref="AH2392">HLOOKUP($J2392,'Type Chart'!$C$2:$T$20,15,false)*HLOOKUP($K2392,'Type Chart'!$C$2:$U$20,15,false)</f>
        <v>1</v>
      </c>
      <c r="AI2392" s="960">
        <f t="array" ref="AI2392">HLOOKUP($J2392,'Type Chart'!$C$2:$T$20,16,false)*HLOOKUP($K2392,'Type Chart'!$C$2:$U$20,16,false)</f>
        <v>2</v>
      </c>
      <c r="AJ2392" s="960">
        <f t="array" ref="AJ2392">HLOOKUP($J2392,'Type Chart'!$C$2:$T$20,17,false)*HLOOKUP($K2392,'Type Chart'!$C$2:$U$20,17,false)</f>
        <v>1</v>
      </c>
      <c r="AK2392" s="960">
        <f t="array" ref="AK2392">HLOOKUP($J2392,'Type Chart'!$C$2:$T$20,18,false)*HLOOKUP($K2392,'Type Chart'!$C$2:$U$20,18,false)</f>
        <v>1</v>
      </c>
      <c r="AL2392" s="960">
        <f t="array" ref="AL2392">HLOOKUP($J2392,'Type Chart'!$C$2:$T$20,19,false)*HLOOKUP($K2392,'Type Chart'!$C$2:$U$20,19,false)</f>
        <v>1</v>
      </c>
      <c r="AM2392" s="964" t="s">
        <v>1038</v>
      </c>
      <c r="AN2392" s="964" t="s">
        <v>3259</v>
      </c>
      <c r="AO2392" s="966" t="s">
        <v>1062</v>
      </c>
      <c r="AP2392" s="936"/>
      <c r="AQ2392" s="1245"/>
      <c r="AR2392" s="1245"/>
      <c r="AS2392" s="936"/>
    </row>
    <row r="2393" ht="15.75" customHeight="1">
      <c r="A2393" s="1099"/>
      <c r="B2393" s="948">
        <v>902.0</v>
      </c>
      <c r="C2393" s="1197" t="s">
        <v>4138</v>
      </c>
      <c r="D2393" s="1197" t="s">
        <v>4138</v>
      </c>
      <c r="E2393" s="1147" t="s">
        <v>4138</v>
      </c>
      <c r="F2393" s="940"/>
      <c r="G2393" s="953"/>
      <c r="H2393" s="969"/>
      <c r="I2393" s="998" t="s">
        <v>222</v>
      </c>
      <c r="J2393" s="1056" t="s">
        <v>81</v>
      </c>
      <c r="K2393" s="1220" t="s">
        <v>215</v>
      </c>
      <c r="L2393" s="959">
        <v>120.0</v>
      </c>
      <c r="M2393" s="960">
        <v>112.0</v>
      </c>
      <c r="N2393" s="960">
        <v>65.0</v>
      </c>
      <c r="O2393" s="960">
        <v>80.0</v>
      </c>
      <c r="P2393" s="960">
        <v>75.0</v>
      </c>
      <c r="Q2393" s="960">
        <v>78.0</v>
      </c>
      <c r="R2393" s="960">
        <v>192.0</v>
      </c>
      <c r="S2393" s="960">
        <v>255.0</v>
      </c>
      <c r="T2393" s="960">
        <v>280.0</v>
      </c>
      <c r="U2393" s="960">
        <f t="array" ref="U2393">HLOOKUP($J2393,'Type Chart'!$C$2:$T$20,2,false)*HLOOKUP($K2393,'Type Chart'!$C$2:$U$20,2,false)</f>
        <v>0</v>
      </c>
      <c r="V2393" s="960">
        <f t="array" ref="V2393">HLOOKUP($J2393,'Type Chart'!$C$2:$T$20,3,false)*HLOOKUP($K2393,'Type Chart'!$C$2:$U$20,3,false)</f>
        <v>0</v>
      </c>
      <c r="W2393" s="960">
        <f t="array" ref="W2393">HLOOKUP($J2393,'Type Chart'!$C$2:$T$20,4,false)*HLOOKUP($K2393,'Type Chart'!$C$2:$U$20,4,false)</f>
        <v>1</v>
      </c>
      <c r="X2393" s="960">
        <f t="array" ref="X2393">HLOOKUP($J2393,'Type Chart'!$C$2:$T$20,5,false)*HLOOKUP($K2393,'Type Chart'!$C$2:$U$20,5,false)</f>
        <v>0.5</v>
      </c>
      <c r="Y2393" s="960">
        <f t="array" ref="Y2393">HLOOKUP($J2393,'Type Chart'!$C$2:$T$20,6,false)*HLOOKUP($K2393,'Type Chart'!$C$2:$U$20,6,false)</f>
        <v>1</v>
      </c>
      <c r="Z2393" s="960">
        <f t="array" ref="Z2393">HLOOKUP($J2393,'Type Chart'!$C$2:$T$20,7,false)*HLOOKUP($K2393,'Type Chart'!$C$2:$U$20,7,false)</f>
        <v>1</v>
      </c>
      <c r="AA2393" s="960">
        <f t="array" ref="AA2393">HLOOKUP($J2393,'Type Chart'!$C$2:$T$20,8,false)*HLOOKUP($K2393,'Type Chart'!$C$2:$U$20,8,false)</f>
        <v>0.5</v>
      </c>
      <c r="AB2393" s="960">
        <f t="array" ref="AB2393">HLOOKUP($J2393,'Type Chart'!$C$2:$T$20,9,false)*HLOOKUP($K2393,'Type Chart'!$C$2:$U$20,9,false)</f>
        <v>2</v>
      </c>
      <c r="AC2393" s="960">
        <f t="array" ref="AC2393">HLOOKUP($J2393,'Type Chart'!$C$2:$T$20,10,false)*HLOOKUP($K2393,'Type Chart'!$C$2:$U$20,10,false)</f>
        <v>0.5</v>
      </c>
      <c r="AD2393" s="960">
        <f t="array" ref="AD2393">HLOOKUP($J2393,'Type Chart'!$C$2:$T$20,11,false)*HLOOKUP($K2393,'Type Chart'!$C$2:$U$20,11,false)</f>
        <v>0.5</v>
      </c>
      <c r="AE2393" s="960">
        <f t="array" ref="AE2393">HLOOKUP($J2393,'Type Chart'!$C$2:$T$20,12,false)*HLOOKUP($K2393,'Type Chart'!$C$2:$U$20,12,false)</f>
        <v>0.5</v>
      </c>
      <c r="AF2393" s="960">
        <f t="array" ref="AF2393">HLOOKUP($J2393,'Type Chart'!$C$2:$T$20,13,false)*HLOOKUP($K2393,'Type Chart'!$C$2:$U$20,13,false)</f>
        <v>2</v>
      </c>
      <c r="AG2393" s="960">
        <f t="array" ref="AG2393">HLOOKUP($J2393,'Type Chart'!$C$2:$T$20,14,false)*HLOOKUP($K2393,'Type Chart'!$C$2:$U$20,14,false)</f>
        <v>2</v>
      </c>
      <c r="AH2393" s="960">
        <f t="array" ref="AH2393">HLOOKUP($J2393,'Type Chart'!$C$2:$T$20,15,false)*HLOOKUP($K2393,'Type Chart'!$C$2:$U$20,15,false)</f>
        <v>1</v>
      </c>
      <c r="AI2393" s="960">
        <f t="array" ref="AI2393">HLOOKUP($J2393,'Type Chart'!$C$2:$T$20,16,false)*HLOOKUP($K2393,'Type Chart'!$C$2:$U$20,16,false)</f>
        <v>0.5</v>
      </c>
      <c r="AJ2393" s="960">
        <f t="array" ref="AJ2393">HLOOKUP($J2393,'Type Chart'!$C$2:$T$20,17,false)*HLOOKUP($K2393,'Type Chart'!$C$2:$U$20,17,false)</f>
        <v>1</v>
      </c>
      <c r="AK2393" s="960">
        <f t="array" ref="AK2393">HLOOKUP($J2393,'Type Chart'!$C$2:$T$20,18,false)*HLOOKUP($K2393,'Type Chart'!$C$2:$U$20,18,false)</f>
        <v>2</v>
      </c>
      <c r="AL2393" s="960">
        <f t="array" ref="AL2393">HLOOKUP($J2393,'Type Chart'!$C$2:$T$20,19,false)*HLOOKUP($K2393,'Type Chart'!$C$2:$U$20,19,false)</f>
        <v>1</v>
      </c>
      <c r="AM2393" s="964" t="s">
        <v>1243</v>
      </c>
      <c r="AN2393" s="964" t="s">
        <v>1018</v>
      </c>
      <c r="AO2393" s="966" t="s">
        <v>1576</v>
      </c>
      <c r="AP2393" s="936"/>
      <c r="AQ2393" s="1245"/>
      <c r="AR2393" s="1245"/>
      <c r="AS2393" s="936"/>
    </row>
    <row r="2394" ht="15.75" customHeight="1">
      <c r="A2394" s="1099"/>
      <c r="B2394" s="948" t="s">
        <v>4139</v>
      </c>
      <c r="C2394" s="1197" t="s">
        <v>4140</v>
      </c>
      <c r="D2394" s="1197" t="s">
        <v>4141</v>
      </c>
      <c r="E2394" s="1147" t="s">
        <v>4140</v>
      </c>
      <c r="F2394" s="940"/>
      <c r="G2394" s="953"/>
      <c r="H2394" s="969"/>
      <c r="I2394" s="998" t="s">
        <v>5487</v>
      </c>
      <c r="J2394" s="1056" t="s">
        <v>81</v>
      </c>
      <c r="K2394" s="1220" t="s">
        <v>215</v>
      </c>
      <c r="L2394" s="959">
        <v>120.0</v>
      </c>
      <c r="M2394" s="960">
        <v>92.0</v>
      </c>
      <c r="N2394" s="960">
        <v>65.0</v>
      </c>
      <c r="O2394" s="960">
        <v>100.0</v>
      </c>
      <c r="P2394" s="960">
        <v>75.0</v>
      </c>
      <c r="Q2394" s="960">
        <v>78.0</v>
      </c>
      <c r="R2394" s="960">
        <v>192.0</v>
      </c>
      <c r="S2394" s="960">
        <v>255.0</v>
      </c>
      <c r="T2394" s="960">
        <v>280.0</v>
      </c>
      <c r="U2394" s="960">
        <f t="array" ref="U2394">HLOOKUP($J2394,'Type Chart'!$C$2:$T$20,2,false)*HLOOKUP($K2394,'Type Chart'!$C$2:$U$20,2,false)</f>
        <v>0</v>
      </c>
      <c r="V2394" s="960">
        <f t="array" ref="V2394">HLOOKUP($J2394,'Type Chart'!$C$2:$T$20,3,false)*HLOOKUP($K2394,'Type Chart'!$C$2:$U$20,3,false)</f>
        <v>0</v>
      </c>
      <c r="W2394" s="960">
        <f t="array" ref="W2394">HLOOKUP($J2394,'Type Chart'!$C$2:$T$20,4,false)*HLOOKUP($K2394,'Type Chart'!$C$2:$U$20,4,false)</f>
        <v>1</v>
      </c>
      <c r="X2394" s="960">
        <f t="array" ref="X2394">HLOOKUP($J2394,'Type Chart'!$C$2:$T$20,5,false)*HLOOKUP($K2394,'Type Chart'!$C$2:$U$20,5,false)</f>
        <v>0.5</v>
      </c>
      <c r="Y2394" s="960">
        <f t="array" ref="Y2394">HLOOKUP($J2394,'Type Chart'!$C$2:$T$20,6,false)*HLOOKUP($K2394,'Type Chart'!$C$2:$U$20,6,false)</f>
        <v>1</v>
      </c>
      <c r="Z2394" s="960">
        <f t="array" ref="Z2394">HLOOKUP($J2394,'Type Chart'!$C$2:$T$20,7,false)*HLOOKUP($K2394,'Type Chart'!$C$2:$U$20,7,false)</f>
        <v>1</v>
      </c>
      <c r="AA2394" s="960">
        <f t="array" ref="AA2394">HLOOKUP($J2394,'Type Chart'!$C$2:$T$20,8,false)*HLOOKUP($K2394,'Type Chart'!$C$2:$U$20,8,false)</f>
        <v>0.5</v>
      </c>
      <c r="AB2394" s="960">
        <f t="array" ref="AB2394">HLOOKUP($J2394,'Type Chart'!$C$2:$T$20,9,false)*HLOOKUP($K2394,'Type Chart'!$C$2:$U$20,9,false)</f>
        <v>2</v>
      </c>
      <c r="AC2394" s="960">
        <f t="array" ref="AC2394">HLOOKUP($J2394,'Type Chart'!$C$2:$T$20,10,false)*HLOOKUP($K2394,'Type Chart'!$C$2:$U$20,10,false)</f>
        <v>0.5</v>
      </c>
      <c r="AD2394" s="960">
        <f t="array" ref="AD2394">HLOOKUP($J2394,'Type Chart'!$C$2:$T$20,11,false)*HLOOKUP($K2394,'Type Chart'!$C$2:$U$20,11,false)</f>
        <v>0.5</v>
      </c>
      <c r="AE2394" s="960">
        <f t="array" ref="AE2394">HLOOKUP($J2394,'Type Chart'!$C$2:$T$20,12,false)*HLOOKUP($K2394,'Type Chart'!$C$2:$U$20,12,false)</f>
        <v>0.5</v>
      </c>
      <c r="AF2394" s="960">
        <f t="array" ref="AF2394">HLOOKUP($J2394,'Type Chart'!$C$2:$T$20,13,false)*HLOOKUP($K2394,'Type Chart'!$C$2:$U$20,13,false)</f>
        <v>2</v>
      </c>
      <c r="AG2394" s="960">
        <f t="array" ref="AG2394">HLOOKUP($J2394,'Type Chart'!$C$2:$T$20,14,false)*HLOOKUP($K2394,'Type Chart'!$C$2:$U$20,14,false)</f>
        <v>2</v>
      </c>
      <c r="AH2394" s="960">
        <f t="array" ref="AH2394">HLOOKUP($J2394,'Type Chart'!$C$2:$T$20,15,false)*HLOOKUP($K2394,'Type Chart'!$C$2:$U$20,15,false)</f>
        <v>1</v>
      </c>
      <c r="AI2394" s="960">
        <f t="array" ref="AI2394">HLOOKUP($J2394,'Type Chart'!$C$2:$T$20,16,false)*HLOOKUP($K2394,'Type Chart'!$C$2:$U$20,16,false)</f>
        <v>0.5</v>
      </c>
      <c r="AJ2394" s="960">
        <f t="array" ref="AJ2394">HLOOKUP($J2394,'Type Chart'!$C$2:$T$20,17,false)*HLOOKUP($K2394,'Type Chart'!$C$2:$U$20,17,false)</f>
        <v>1</v>
      </c>
      <c r="AK2394" s="960">
        <f t="array" ref="AK2394">HLOOKUP($J2394,'Type Chart'!$C$2:$T$20,18,false)*HLOOKUP($K2394,'Type Chart'!$C$2:$U$20,18,false)</f>
        <v>2</v>
      </c>
      <c r="AL2394" s="960">
        <f t="array" ref="AL2394">HLOOKUP($J2394,'Type Chart'!$C$2:$T$20,19,false)*HLOOKUP($K2394,'Type Chart'!$C$2:$U$20,19,false)</f>
        <v>1</v>
      </c>
      <c r="AM2394" s="964" t="s">
        <v>1243</v>
      </c>
      <c r="AN2394" s="964" t="s">
        <v>1018</v>
      </c>
      <c r="AO2394" s="966" t="s">
        <v>1576</v>
      </c>
      <c r="AP2394" s="936"/>
      <c r="AQ2394" s="1245"/>
      <c r="AR2394" s="1245"/>
      <c r="AS2394" s="936"/>
    </row>
    <row r="2395" ht="15.75" customHeight="1">
      <c r="A2395" s="1099"/>
      <c r="B2395" s="948" t="s">
        <v>4143</v>
      </c>
      <c r="C2395" s="1197" t="s">
        <v>4144</v>
      </c>
      <c r="D2395" s="1197" t="s">
        <v>4144</v>
      </c>
      <c r="E2395" s="1147" t="s">
        <v>4144</v>
      </c>
      <c r="F2395" s="940"/>
      <c r="G2395" s="953"/>
      <c r="H2395" s="969"/>
      <c r="I2395" s="998" t="s">
        <v>5488</v>
      </c>
      <c r="J2395" s="1213" t="s">
        <v>341</v>
      </c>
      <c r="K2395" s="958" t="s">
        <v>178</v>
      </c>
      <c r="L2395" s="959">
        <v>80.0</v>
      </c>
      <c r="M2395" s="960">
        <v>130.0</v>
      </c>
      <c r="N2395" s="960">
        <v>60.0</v>
      </c>
      <c r="O2395" s="960">
        <v>40.0</v>
      </c>
      <c r="P2395" s="960">
        <v>80.0</v>
      </c>
      <c r="Q2395" s="960">
        <v>120.0</v>
      </c>
      <c r="R2395" s="960">
        <v>276.0</v>
      </c>
      <c r="S2395" s="960">
        <v>339.0</v>
      </c>
      <c r="T2395" s="960">
        <v>372.0</v>
      </c>
      <c r="U2395" s="960">
        <f t="array" ref="U2395">HLOOKUP($J2395,'Type Chart'!$C$2:$T$20,2,false)*HLOOKUP($K2395,'Type Chart'!$C$2:$U$20,2,false)</f>
        <v>1</v>
      </c>
      <c r="V2395" s="960">
        <f t="array" ref="V2395">HLOOKUP($J2395,'Type Chart'!$C$2:$T$20,3,false)*HLOOKUP($K2395,'Type Chart'!$C$2:$U$20,3,false)</f>
        <v>0.5</v>
      </c>
      <c r="W2395" s="960">
        <f t="array" ref="W2395">HLOOKUP($J2395,'Type Chart'!$C$2:$T$20,4,false)*HLOOKUP($K2395,'Type Chart'!$C$2:$U$20,4,false)</f>
        <v>2</v>
      </c>
      <c r="X2395" s="960">
        <f t="array" ref="X2395">HLOOKUP($J2395,'Type Chart'!$C$2:$T$20,5,false)*HLOOKUP($K2395,'Type Chart'!$C$2:$U$20,5,false)</f>
        <v>0.5</v>
      </c>
      <c r="Y2395" s="960">
        <f t="array" ref="Y2395">HLOOKUP($J2395,'Type Chart'!$C$2:$T$20,6,false)*HLOOKUP($K2395,'Type Chart'!$C$2:$U$20,6,false)</f>
        <v>2</v>
      </c>
      <c r="Z2395" s="960">
        <f t="array" ref="Z2395">HLOOKUP($J2395,'Type Chart'!$C$2:$T$20,7,false)*HLOOKUP($K2395,'Type Chart'!$C$2:$U$20,7,false)</f>
        <v>0.5</v>
      </c>
      <c r="AA2395" s="960">
        <f t="array" ref="AA2395">HLOOKUP($J2395,'Type Chart'!$C$2:$T$20,8,false)*HLOOKUP($K2395,'Type Chart'!$C$2:$U$20,8,false)</f>
        <v>0.25</v>
      </c>
      <c r="AB2395" s="960">
        <f t="array" ref="AB2395">HLOOKUP($J2395,'Type Chart'!$C$2:$T$20,9,false)*HLOOKUP($K2395,'Type Chart'!$C$2:$U$20,9,false)</f>
        <v>1</v>
      </c>
      <c r="AC2395" s="960">
        <f t="array" ref="AC2395">HLOOKUP($J2395,'Type Chart'!$C$2:$T$20,10,false)*HLOOKUP($K2395,'Type Chart'!$C$2:$U$20,10,false)</f>
        <v>1</v>
      </c>
      <c r="AD2395" s="960">
        <f t="array" ref="AD2395">HLOOKUP($J2395,'Type Chart'!$C$2:$T$20,11,false)*HLOOKUP($K2395,'Type Chart'!$C$2:$U$20,11,false)</f>
        <v>1</v>
      </c>
      <c r="AE2395" s="960">
        <f t="array" ref="AE2395">HLOOKUP($J2395,'Type Chart'!$C$2:$T$20,12,false)*HLOOKUP($K2395,'Type Chart'!$C$2:$U$20,12,false)</f>
        <v>1</v>
      </c>
      <c r="AF2395" s="960">
        <f t="array" ref="AF2395">HLOOKUP($J2395,'Type Chart'!$C$2:$T$20,13,false)*HLOOKUP($K2395,'Type Chart'!$C$2:$U$20,13,false)</f>
        <v>0.5</v>
      </c>
      <c r="AG2395" s="960">
        <f t="array" ref="AG2395">HLOOKUP($J2395,'Type Chart'!$C$2:$T$20,14,false)*HLOOKUP($K2395,'Type Chart'!$C$2:$U$20,14,false)</f>
        <v>1</v>
      </c>
      <c r="AH2395" s="960">
        <f t="array" ref="AH2395">HLOOKUP($J2395,'Type Chart'!$C$2:$T$20,15,false)*HLOOKUP($K2395,'Type Chart'!$C$2:$U$20,15,false)</f>
        <v>4</v>
      </c>
      <c r="AI2395" s="960">
        <f t="array" ref="AI2395">HLOOKUP($J2395,'Type Chart'!$C$2:$T$20,16,false)*HLOOKUP($K2395,'Type Chart'!$C$2:$U$20,16,false)</f>
        <v>1</v>
      </c>
      <c r="AJ2395" s="960">
        <f t="array" ref="AJ2395">HLOOKUP($J2395,'Type Chart'!$C$2:$T$20,17,false)*HLOOKUP($K2395,'Type Chart'!$C$2:$U$20,17,false)</f>
        <v>1</v>
      </c>
      <c r="AK2395" s="960">
        <f t="array" ref="AK2395">HLOOKUP($J2395,'Type Chart'!$C$2:$T$20,18,false)*HLOOKUP($K2395,'Type Chart'!$C$2:$U$20,18,false)</f>
        <v>0.5</v>
      </c>
      <c r="AL2395" s="960">
        <f t="array" ref="AL2395">HLOOKUP($J2395,'Type Chart'!$C$2:$T$20,19,false)*HLOOKUP($K2395,'Type Chart'!$C$2:$U$20,19,false)</f>
        <v>1</v>
      </c>
      <c r="AM2395" s="964" t="s">
        <v>1636</v>
      </c>
      <c r="AN2395" s="964" t="s">
        <v>1498</v>
      </c>
      <c r="AO2395" s="966" t="s">
        <v>1417</v>
      </c>
      <c r="AP2395" s="936"/>
      <c r="AQ2395" s="1245"/>
      <c r="AR2395" s="1245"/>
      <c r="AS2395" s="936"/>
    </row>
    <row r="2396" ht="15.75" customHeight="1">
      <c r="A2396" s="1099"/>
      <c r="B2396" s="948" t="s">
        <v>4145</v>
      </c>
      <c r="C2396" s="1197" t="s">
        <v>4146</v>
      </c>
      <c r="D2396" s="1197" t="s">
        <v>4146</v>
      </c>
      <c r="E2396" s="1147" t="s">
        <v>4146</v>
      </c>
      <c r="F2396" s="940"/>
      <c r="G2396" s="953"/>
      <c r="H2396" s="969"/>
      <c r="I2396" s="998" t="s">
        <v>5489</v>
      </c>
      <c r="J2396" s="1195" t="s">
        <v>193</v>
      </c>
      <c r="K2396" s="958" t="s">
        <v>178</v>
      </c>
      <c r="L2396" s="959">
        <v>85.0</v>
      </c>
      <c r="M2396" s="960">
        <v>115.0</v>
      </c>
      <c r="N2396" s="960">
        <v>95.0</v>
      </c>
      <c r="O2396" s="960">
        <v>65.0</v>
      </c>
      <c r="P2396" s="960">
        <v>65.0</v>
      </c>
      <c r="Q2396" s="960">
        <v>85.0</v>
      </c>
      <c r="R2396" s="960">
        <v>206.0</v>
      </c>
      <c r="S2396" s="960">
        <v>269.0</v>
      </c>
      <c r="T2396" s="960">
        <v>295.0</v>
      </c>
      <c r="U2396" s="960">
        <f t="array" ref="U2396">HLOOKUP($J2396,'Type Chart'!$C$2:$T$20,2,false)*HLOOKUP($K2396,'Type Chart'!$C$2:$U$20,2,false)</f>
        <v>1</v>
      </c>
      <c r="V2396" s="960">
        <f t="array" ref="V2396">HLOOKUP($J2396,'Type Chart'!$C$2:$T$20,3,false)*HLOOKUP($K2396,'Type Chart'!$C$2:$U$20,3,false)</f>
        <v>1</v>
      </c>
      <c r="W2396" s="960">
        <f t="array" ref="W2396">HLOOKUP($J2396,'Type Chart'!$C$2:$T$20,4,false)*HLOOKUP($K2396,'Type Chart'!$C$2:$U$20,4,false)</f>
        <v>1</v>
      </c>
      <c r="X2396" s="960">
        <f t="array" ref="X2396">HLOOKUP($J2396,'Type Chart'!$C$2:$T$20,5,false)*HLOOKUP($K2396,'Type Chart'!$C$2:$U$20,5,false)</f>
        <v>0.5</v>
      </c>
      <c r="Y2396" s="960">
        <f t="array" ref="Y2396">HLOOKUP($J2396,'Type Chart'!$C$2:$T$20,6,false)*HLOOKUP($K2396,'Type Chart'!$C$2:$U$20,6,false)</f>
        <v>2</v>
      </c>
      <c r="Z2396" s="960">
        <f t="array" ref="Z2396">HLOOKUP($J2396,'Type Chart'!$C$2:$T$20,7,false)*HLOOKUP($K2396,'Type Chart'!$C$2:$U$20,7,false)</f>
        <v>1</v>
      </c>
      <c r="AA2396" s="960">
        <f t="array" ref="AA2396">HLOOKUP($J2396,'Type Chart'!$C$2:$T$20,8,false)*HLOOKUP($K2396,'Type Chart'!$C$2:$U$20,8,false)</f>
        <v>1</v>
      </c>
      <c r="AB2396" s="960">
        <f t="array" ref="AB2396">HLOOKUP($J2396,'Type Chart'!$C$2:$T$20,9,false)*HLOOKUP($K2396,'Type Chart'!$C$2:$U$20,9,false)</f>
        <v>0.5</v>
      </c>
      <c r="AC2396" s="960">
        <f t="array" ref="AC2396">HLOOKUP($J2396,'Type Chart'!$C$2:$T$20,10,false)*HLOOKUP($K2396,'Type Chart'!$C$2:$U$20,10,false)</f>
        <v>1</v>
      </c>
      <c r="AD2396" s="960">
        <f t="array" ref="AD2396">HLOOKUP($J2396,'Type Chart'!$C$2:$T$20,11,false)*HLOOKUP($K2396,'Type Chart'!$C$2:$U$20,11,false)</f>
        <v>1</v>
      </c>
      <c r="AE2396" s="960">
        <f t="array" ref="AE2396">HLOOKUP($J2396,'Type Chart'!$C$2:$T$20,12,false)*HLOOKUP($K2396,'Type Chart'!$C$2:$U$20,12,false)</f>
        <v>1</v>
      </c>
      <c r="AF2396" s="960">
        <f t="array" ref="AF2396">HLOOKUP($J2396,'Type Chart'!$C$2:$T$20,13,false)*HLOOKUP($K2396,'Type Chart'!$C$2:$U$20,13,false)</f>
        <v>0.5</v>
      </c>
      <c r="AG2396" s="960">
        <f t="array" ref="AG2396">HLOOKUP($J2396,'Type Chart'!$C$2:$T$20,14,false)*HLOOKUP($K2396,'Type Chart'!$C$2:$U$20,14,false)</f>
        <v>1</v>
      </c>
      <c r="AH2396" s="960">
        <f t="array" ref="AH2396">HLOOKUP($J2396,'Type Chart'!$C$2:$T$20,15,false)*HLOOKUP($K2396,'Type Chart'!$C$2:$U$20,15,false)</f>
        <v>0</v>
      </c>
      <c r="AI2396" s="960">
        <f t="array" ref="AI2396">HLOOKUP($J2396,'Type Chart'!$C$2:$T$20,16,false)*HLOOKUP($K2396,'Type Chart'!$C$2:$U$20,16,false)</f>
        <v>1</v>
      </c>
      <c r="AJ2396" s="960">
        <f t="array" ref="AJ2396">HLOOKUP($J2396,'Type Chart'!$C$2:$T$20,17,false)*HLOOKUP($K2396,'Type Chart'!$C$2:$U$20,17,false)</f>
        <v>1</v>
      </c>
      <c r="AK2396" s="960">
        <f t="array" ref="AK2396">HLOOKUP($J2396,'Type Chart'!$C$2:$T$20,18,false)*HLOOKUP($K2396,'Type Chart'!$C$2:$U$20,18,false)</f>
        <v>0.5</v>
      </c>
      <c r="AL2396" s="960">
        <f t="array" ref="AL2396">HLOOKUP($J2396,'Type Chart'!$C$2:$T$20,19,false)*HLOOKUP($K2396,'Type Chart'!$C$2:$U$20,19,false)</f>
        <v>1</v>
      </c>
      <c r="AM2396" s="964" t="s">
        <v>1146</v>
      </c>
      <c r="AN2396" s="964" t="s">
        <v>1259</v>
      </c>
      <c r="AO2396" s="966" t="s">
        <v>1061</v>
      </c>
      <c r="AP2396" s="936"/>
      <c r="AQ2396" s="1245"/>
      <c r="AR2396" s="1245"/>
      <c r="AS2396" s="936"/>
    </row>
    <row r="2397" ht="15.75" customHeight="1">
      <c r="A2397" s="1099"/>
      <c r="B2397" s="948" t="s">
        <v>4147</v>
      </c>
      <c r="C2397" s="1197" t="s">
        <v>4148</v>
      </c>
      <c r="D2397" s="1197" t="s">
        <v>4148</v>
      </c>
      <c r="E2397" s="1147" t="s">
        <v>4148</v>
      </c>
      <c r="F2397" s="940"/>
      <c r="G2397" s="953"/>
      <c r="H2397" s="969"/>
      <c r="I2397" s="998" t="s">
        <v>5490</v>
      </c>
      <c r="J2397" s="1207" t="s">
        <v>127</v>
      </c>
      <c r="K2397" s="1001" t="s">
        <v>128</v>
      </c>
      <c r="L2397" s="959">
        <v>74.0</v>
      </c>
      <c r="M2397" s="960">
        <v>115.0</v>
      </c>
      <c r="N2397" s="960">
        <v>70.0</v>
      </c>
      <c r="O2397" s="960">
        <v>135.0</v>
      </c>
      <c r="P2397" s="960">
        <v>80.0</v>
      </c>
      <c r="Q2397" s="960">
        <v>106.0</v>
      </c>
      <c r="R2397" s="960">
        <v>248.0</v>
      </c>
      <c r="S2397" s="960">
        <v>311.0</v>
      </c>
      <c r="T2397" s="960">
        <v>342.0</v>
      </c>
      <c r="U2397" s="960">
        <f t="array" ref="U2397">HLOOKUP($J2397,'Type Chart'!$C$2:$T$20,2,false)*HLOOKUP($K2397,'Type Chart'!$C$2:$U$20,2,false)</f>
        <v>1</v>
      </c>
      <c r="V2397" s="960">
        <f t="array" ref="V2397">HLOOKUP($J2397,'Type Chart'!$C$2:$T$20,3,false)*HLOOKUP($K2397,'Type Chart'!$C$2:$U$20,3,false)</f>
        <v>0.25</v>
      </c>
      <c r="W2397" s="960">
        <f t="array" ref="W2397">HLOOKUP($J2397,'Type Chart'!$C$2:$T$20,4,false)*HLOOKUP($K2397,'Type Chart'!$C$2:$U$20,4,false)</f>
        <v>1</v>
      </c>
      <c r="X2397" s="960">
        <f t="array" ref="X2397">HLOOKUP($J2397,'Type Chart'!$C$2:$T$20,5,false)*HLOOKUP($K2397,'Type Chart'!$C$2:$U$20,5,false)</f>
        <v>2</v>
      </c>
      <c r="Y2397" s="960">
        <f t="array" ref="Y2397">HLOOKUP($J2397,'Type Chart'!$C$2:$T$20,6,false)*HLOOKUP($K2397,'Type Chart'!$C$2:$U$20,6,false)</f>
        <v>0</v>
      </c>
      <c r="Z2397" s="960">
        <f t="array" ref="Z2397">HLOOKUP($J2397,'Type Chart'!$C$2:$T$20,7,false)*HLOOKUP($K2397,'Type Chart'!$C$2:$U$20,7,false)</f>
        <v>2</v>
      </c>
      <c r="AA2397" s="960">
        <f t="array" ref="AA2397">HLOOKUP($J2397,'Type Chart'!$C$2:$T$20,8,false)*HLOOKUP($K2397,'Type Chart'!$C$2:$U$20,8,false)</f>
        <v>0.25</v>
      </c>
      <c r="AB2397" s="960">
        <f t="array" ref="AB2397">HLOOKUP($J2397,'Type Chart'!$C$2:$T$20,9,false)*HLOOKUP($K2397,'Type Chart'!$C$2:$U$20,9,false)</f>
        <v>1</v>
      </c>
      <c r="AC2397" s="960">
        <f t="array" ref="AC2397">HLOOKUP($J2397,'Type Chart'!$C$2:$T$20,10,false)*HLOOKUP($K2397,'Type Chart'!$C$2:$U$20,10,false)</f>
        <v>2</v>
      </c>
      <c r="AD2397" s="960">
        <f t="array" ref="AD2397">HLOOKUP($J2397,'Type Chart'!$C$2:$T$20,11,false)*HLOOKUP($K2397,'Type Chart'!$C$2:$U$20,11,false)</f>
        <v>1</v>
      </c>
      <c r="AE2397" s="960">
        <f t="array" ref="AE2397">HLOOKUP($J2397,'Type Chart'!$C$2:$T$20,12,false)*HLOOKUP($K2397,'Type Chart'!$C$2:$U$20,12,false)</f>
        <v>1</v>
      </c>
      <c r="AF2397" s="960">
        <f t="array" ref="AF2397">HLOOKUP($J2397,'Type Chart'!$C$2:$T$20,13,false)*HLOOKUP($K2397,'Type Chart'!$C$2:$U$20,13,false)</f>
        <v>0.5</v>
      </c>
      <c r="AG2397" s="960">
        <f t="array" ref="AG2397">HLOOKUP($J2397,'Type Chart'!$C$2:$T$20,14,false)*HLOOKUP($K2397,'Type Chart'!$C$2:$U$20,14,false)</f>
        <v>2</v>
      </c>
      <c r="AH2397" s="960">
        <f t="array" ref="AH2397">HLOOKUP($J2397,'Type Chart'!$C$2:$T$20,15,false)*HLOOKUP($K2397,'Type Chart'!$C$2:$U$20,15,false)</f>
        <v>1</v>
      </c>
      <c r="AI2397" s="960">
        <f t="array" ref="AI2397">HLOOKUP($J2397,'Type Chart'!$C$2:$T$20,16,false)*HLOOKUP($K2397,'Type Chart'!$C$2:$U$20,16,false)</f>
        <v>2</v>
      </c>
      <c r="AJ2397" s="960">
        <f t="array" ref="AJ2397">HLOOKUP($J2397,'Type Chart'!$C$2:$T$20,17,false)*HLOOKUP($K2397,'Type Chart'!$C$2:$U$20,17,false)</f>
        <v>0</v>
      </c>
      <c r="AK2397" s="960">
        <f t="array" ref="AK2397">HLOOKUP($J2397,'Type Chart'!$C$2:$T$20,18,false)*HLOOKUP($K2397,'Type Chart'!$C$2:$U$20,18,false)</f>
        <v>0.5</v>
      </c>
      <c r="AL2397" s="960">
        <f t="array" ref="AL2397">HLOOKUP($J2397,'Type Chart'!$C$2:$T$20,19,false)*HLOOKUP($K2397,'Type Chart'!$C$2:$U$20,19,false)</f>
        <v>1</v>
      </c>
      <c r="AM2397" s="964" t="s">
        <v>1522</v>
      </c>
      <c r="AN2397" s="965"/>
      <c r="AO2397" s="966" t="s">
        <v>1861</v>
      </c>
      <c r="AP2397" s="936"/>
      <c r="AQ2397" s="1245"/>
      <c r="AR2397" s="1245"/>
      <c r="AS2397" s="936"/>
    </row>
    <row r="2398" ht="15.75" customHeight="1">
      <c r="A2398" s="1099"/>
      <c r="B2398" s="948" t="s">
        <v>4149</v>
      </c>
      <c r="C2398" s="1197" t="s">
        <v>4150</v>
      </c>
      <c r="D2398" s="1197" t="s">
        <v>4150</v>
      </c>
      <c r="E2398" s="1147" t="s">
        <v>4150</v>
      </c>
      <c r="F2398" s="940"/>
      <c r="G2398" s="953"/>
      <c r="H2398" s="969"/>
      <c r="I2398" s="998" t="s">
        <v>5491</v>
      </c>
      <c r="J2398" s="1207" t="s">
        <v>127</v>
      </c>
      <c r="K2398" s="1001" t="s">
        <v>128</v>
      </c>
      <c r="L2398" s="959">
        <v>74.0</v>
      </c>
      <c r="M2398" s="960">
        <v>115.0</v>
      </c>
      <c r="N2398" s="960">
        <v>110.0</v>
      </c>
      <c r="O2398" s="960">
        <v>135.0</v>
      </c>
      <c r="P2398" s="960">
        <v>100.0</v>
      </c>
      <c r="Q2398" s="960">
        <v>46.0</v>
      </c>
      <c r="R2398" s="960">
        <v>128.0</v>
      </c>
      <c r="S2398" s="960">
        <v>191.0</v>
      </c>
      <c r="T2398" s="960">
        <v>210.0</v>
      </c>
      <c r="U2398" s="960">
        <f t="array" ref="U2398">HLOOKUP($J2398,'Type Chart'!$C$2:$T$20,2,false)*HLOOKUP($K2398,'Type Chart'!$C$2:$U$20,2,false)</f>
        <v>1</v>
      </c>
      <c r="V2398" s="960">
        <f t="array" ref="V2398">HLOOKUP($J2398,'Type Chart'!$C$2:$T$20,3,false)*HLOOKUP($K2398,'Type Chart'!$C$2:$U$20,3,false)</f>
        <v>0.25</v>
      </c>
      <c r="W2398" s="960">
        <f t="array" ref="W2398">HLOOKUP($J2398,'Type Chart'!$C$2:$T$20,4,false)*HLOOKUP($K2398,'Type Chart'!$C$2:$U$20,4,false)</f>
        <v>1</v>
      </c>
      <c r="X2398" s="960">
        <f t="array" ref="X2398">HLOOKUP($J2398,'Type Chart'!$C$2:$T$20,5,false)*HLOOKUP($K2398,'Type Chart'!$C$2:$U$20,5,false)</f>
        <v>2</v>
      </c>
      <c r="Y2398" s="960">
        <f t="array" ref="Y2398">HLOOKUP($J2398,'Type Chart'!$C$2:$T$20,6,false)*HLOOKUP($K2398,'Type Chart'!$C$2:$U$20,6,false)</f>
        <v>0</v>
      </c>
      <c r="Z2398" s="960">
        <f t="array" ref="Z2398">HLOOKUP($J2398,'Type Chart'!$C$2:$T$20,7,false)*HLOOKUP($K2398,'Type Chart'!$C$2:$U$20,7,false)</f>
        <v>2</v>
      </c>
      <c r="AA2398" s="960">
        <f t="array" ref="AA2398">HLOOKUP($J2398,'Type Chart'!$C$2:$T$20,8,false)*HLOOKUP($K2398,'Type Chart'!$C$2:$U$20,8,false)</f>
        <v>0.25</v>
      </c>
      <c r="AB2398" s="960">
        <f t="array" ref="AB2398">HLOOKUP($J2398,'Type Chart'!$C$2:$T$20,9,false)*HLOOKUP($K2398,'Type Chart'!$C$2:$U$20,9,false)</f>
        <v>1</v>
      </c>
      <c r="AC2398" s="960">
        <f t="array" ref="AC2398">HLOOKUP($J2398,'Type Chart'!$C$2:$T$20,10,false)*HLOOKUP($K2398,'Type Chart'!$C$2:$U$20,10,false)</f>
        <v>2</v>
      </c>
      <c r="AD2398" s="960">
        <f t="array" ref="AD2398">HLOOKUP($J2398,'Type Chart'!$C$2:$T$20,11,false)*HLOOKUP($K2398,'Type Chart'!$C$2:$U$20,11,false)</f>
        <v>1</v>
      </c>
      <c r="AE2398" s="960">
        <f t="array" ref="AE2398">HLOOKUP($J2398,'Type Chart'!$C$2:$T$20,12,false)*HLOOKUP($K2398,'Type Chart'!$C$2:$U$20,12,false)</f>
        <v>1</v>
      </c>
      <c r="AF2398" s="960">
        <f t="array" ref="AF2398">HLOOKUP($J2398,'Type Chart'!$C$2:$T$20,13,false)*HLOOKUP($K2398,'Type Chart'!$C$2:$U$20,13,false)</f>
        <v>0.5</v>
      </c>
      <c r="AG2398" s="960">
        <f t="array" ref="AG2398">HLOOKUP($J2398,'Type Chart'!$C$2:$T$20,14,false)*HLOOKUP($K2398,'Type Chart'!$C$2:$U$20,14,false)</f>
        <v>2</v>
      </c>
      <c r="AH2398" s="960">
        <f t="array" ref="AH2398">HLOOKUP($J2398,'Type Chart'!$C$2:$T$20,15,false)*HLOOKUP($K2398,'Type Chart'!$C$2:$U$20,15,false)</f>
        <v>1</v>
      </c>
      <c r="AI2398" s="960">
        <f t="array" ref="AI2398">HLOOKUP($J2398,'Type Chart'!$C$2:$T$20,16,false)*HLOOKUP($K2398,'Type Chart'!$C$2:$U$20,16,false)</f>
        <v>2</v>
      </c>
      <c r="AJ2398" s="960">
        <f t="array" ref="AJ2398">HLOOKUP($J2398,'Type Chart'!$C$2:$T$20,17,false)*HLOOKUP($K2398,'Type Chart'!$C$2:$U$20,17,false)</f>
        <v>0</v>
      </c>
      <c r="AK2398" s="960">
        <f t="array" ref="AK2398">HLOOKUP($J2398,'Type Chart'!$C$2:$T$20,18,false)*HLOOKUP($K2398,'Type Chart'!$C$2:$U$20,18,false)</f>
        <v>0.5</v>
      </c>
      <c r="AL2398" s="960">
        <f t="array" ref="AL2398">HLOOKUP($J2398,'Type Chart'!$C$2:$T$20,19,false)*HLOOKUP($K2398,'Type Chart'!$C$2:$U$20,19,false)</f>
        <v>1</v>
      </c>
      <c r="AM2398" s="964" t="s">
        <v>1431</v>
      </c>
      <c r="AN2398" s="965"/>
      <c r="AO2398" s="966"/>
      <c r="AP2398" s="936"/>
      <c r="AQ2398" s="1245"/>
      <c r="AR2398" s="1245"/>
      <c r="AS2398" s="936"/>
    </row>
    <row r="2399" ht="15.75" customHeight="1">
      <c r="A2399" s="1099"/>
      <c r="B2399" s="948" t="s">
        <v>4151</v>
      </c>
      <c r="C2399" s="1197" t="s">
        <v>4152</v>
      </c>
      <c r="D2399" s="1197" t="s">
        <v>4152</v>
      </c>
      <c r="E2399" s="1147" t="s">
        <v>4152</v>
      </c>
      <c r="F2399" s="940"/>
      <c r="G2399" s="953"/>
      <c r="H2399" s="969"/>
      <c r="I2399" s="998" t="s">
        <v>5492</v>
      </c>
      <c r="J2399" s="957" t="s">
        <v>209</v>
      </c>
      <c r="K2399" s="1235" t="s">
        <v>216</v>
      </c>
      <c r="L2399" s="959">
        <v>40.0</v>
      </c>
      <c r="M2399" s="960">
        <v>61.0</v>
      </c>
      <c r="N2399" s="960">
        <v>54.0</v>
      </c>
      <c r="O2399" s="960">
        <v>45.0</v>
      </c>
      <c r="P2399" s="960">
        <v>45.0</v>
      </c>
      <c r="Q2399" s="960">
        <v>65.0</v>
      </c>
      <c r="R2399" s="960">
        <v>166.0</v>
      </c>
      <c r="S2399" s="960">
        <v>229.0</v>
      </c>
      <c r="T2399" s="960">
        <v>251.0</v>
      </c>
      <c r="U2399" s="960">
        <f t="array" ref="U2399">HLOOKUP($J2399,'Type Chart'!$C$2:$T$20,2,false)*HLOOKUP($K2399,'Type Chart'!$C$2:$U$20,2,false)</f>
        <v>1</v>
      </c>
      <c r="V2399" s="960">
        <f t="array" ref="V2399">HLOOKUP($J2399,'Type Chart'!$C$2:$T$20,3,false)*HLOOKUP($K2399,'Type Chart'!$C$2:$U$20,3,false)</f>
        <v>1</v>
      </c>
      <c r="W2399" s="960">
        <f t="array" ref="W2399">HLOOKUP($J2399,'Type Chart'!$C$2:$T$20,4,false)*HLOOKUP($K2399,'Type Chart'!$C$2:$U$20,4,false)</f>
        <v>2</v>
      </c>
      <c r="X2399" s="960">
        <f t="array" ref="X2399">HLOOKUP($J2399,'Type Chart'!$C$2:$T$20,5,false)*HLOOKUP($K2399,'Type Chart'!$C$2:$U$20,5,false)</f>
        <v>2</v>
      </c>
      <c r="Y2399" s="960">
        <f t="array" ref="Y2399">HLOOKUP($J2399,'Type Chart'!$C$2:$T$20,6,false)*HLOOKUP($K2399,'Type Chart'!$C$2:$U$20,6,false)</f>
        <v>0.5</v>
      </c>
      <c r="Z2399" s="960">
        <f t="array" ref="Z2399">HLOOKUP($J2399,'Type Chart'!$C$2:$T$20,7,false)*HLOOKUP($K2399,'Type Chart'!$C$2:$U$20,7,false)</f>
        <v>1</v>
      </c>
      <c r="AA2399" s="960">
        <f t="array" ref="AA2399">HLOOKUP($J2399,'Type Chart'!$C$2:$T$20,8,false)*HLOOKUP($K2399,'Type Chart'!$C$2:$U$20,8,false)</f>
        <v>2</v>
      </c>
      <c r="AB2399" s="960">
        <f t="array" ref="AB2399">HLOOKUP($J2399,'Type Chart'!$C$2:$T$20,9,false)*HLOOKUP($K2399,'Type Chart'!$C$2:$U$20,9,false)</f>
        <v>1</v>
      </c>
      <c r="AC2399" s="960">
        <f t="array" ref="AC2399">HLOOKUP($J2399,'Type Chart'!$C$2:$T$20,10,false)*HLOOKUP($K2399,'Type Chart'!$C$2:$U$20,10,false)</f>
        <v>1</v>
      </c>
      <c r="AD2399" s="960">
        <f t="array" ref="AD2399">HLOOKUP($J2399,'Type Chart'!$C$2:$T$20,11,false)*HLOOKUP($K2399,'Type Chart'!$C$2:$U$20,11,false)</f>
        <v>2</v>
      </c>
      <c r="AE2399" s="960">
        <f t="array" ref="AE2399">HLOOKUP($J2399,'Type Chart'!$C$2:$T$20,12,false)*HLOOKUP($K2399,'Type Chart'!$C$2:$U$20,12,false)</f>
        <v>0.5</v>
      </c>
      <c r="AF2399" s="960">
        <f t="array" ref="AF2399">HLOOKUP($J2399,'Type Chart'!$C$2:$T$20,13,false)*HLOOKUP($K2399,'Type Chart'!$C$2:$U$20,13,false)</f>
        <v>0.5</v>
      </c>
      <c r="AG2399" s="960">
        <f t="array" ref="AG2399">HLOOKUP($J2399,'Type Chart'!$C$2:$T$20,14,false)*HLOOKUP($K2399,'Type Chart'!$C$2:$U$20,14,false)</f>
        <v>0.5</v>
      </c>
      <c r="AH2399" s="960">
        <f t="array" ref="AH2399">HLOOKUP($J2399,'Type Chart'!$C$2:$T$20,15,false)*HLOOKUP($K2399,'Type Chart'!$C$2:$U$20,15,false)</f>
        <v>1</v>
      </c>
      <c r="AI2399" s="960">
        <f t="array" ref="AI2399">HLOOKUP($J2399,'Type Chart'!$C$2:$T$20,16,false)*HLOOKUP($K2399,'Type Chart'!$C$2:$U$20,16,false)</f>
        <v>2</v>
      </c>
      <c r="AJ2399" s="960">
        <f t="array" ref="AJ2399">HLOOKUP($J2399,'Type Chart'!$C$2:$T$20,17,false)*HLOOKUP($K2399,'Type Chart'!$C$2:$U$20,17,false)</f>
        <v>1</v>
      </c>
      <c r="AK2399" s="960">
        <f t="array" ref="AK2399">HLOOKUP($J2399,'Type Chart'!$C$2:$T$20,18,false)*HLOOKUP($K2399,'Type Chart'!$C$2:$U$20,18,false)</f>
        <v>1</v>
      </c>
      <c r="AL2399" s="960">
        <f t="array" ref="AL2399">HLOOKUP($J2399,'Type Chart'!$C$2:$T$20,19,false)*HLOOKUP($K2399,'Type Chart'!$C$2:$U$20,19,false)</f>
        <v>1</v>
      </c>
      <c r="AM2399" s="964" t="s">
        <v>522</v>
      </c>
      <c r="AN2399" s="965"/>
      <c r="AO2399" s="966" t="s">
        <v>2314</v>
      </c>
      <c r="AP2399" s="936"/>
      <c r="AQ2399" s="1245"/>
      <c r="AR2399" s="1245"/>
      <c r="AS2399" s="936"/>
    </row>
    <row r="2400" ht="15.75" customHeight="1">
      <c r="A2400" s="1099"/>
      <c r="B2400" s="948">
        <v>907.0</v>
      </c>
      <c r="C2400" s="1197" t="s">
        <v>4154</v>
      </c>
      <c r="D2400" s="1197" t="s">
        <v>4154</v>
      </c>
      <c r="E2400" s="1147" t="s">
        <v>4154</v>
      </c>
      <c r="F2400" s="940"/>
      <c r="G2400" s="953"/>
      <c r="H2400" s="969"/>
      <c r="I2400" s="998" t="s">
        <v>5493</v>
      </c>
      <c r="J2400" s="957" t="s">
        <v>209</v>
      </c>
      <c r="K2400" s="1235" t="s">
        <v>216</v>
      </c>
      <c r="L2400" s="959">
        <v>61.0</v>
      </c>
      <c r="M2400" s="960">
        <v>80.0</v>
      </c>
      <c r="N2400" s="960">
        <v>63.0</v>
      </c>
      <c r="O2400" s="960">
        <v>60.0</v>
      </c>
      <c r="P2400" s="960">
        <v>63.0</v>
      </c>
      <c r="Q2400" s="960">
        <v>83.0</v>
      </c>
      <c r="R2400" s="960">
        <v>202.0</v>
      </c>
      <c r="S2400" s="960">
        <v>265.0</v>
      </c>
      <c r="T2400" s="960">
        <v>291.0</v>
      </c>
      <c r="U2400" s="960">
        <f t="array" ref="U2400">HLOOKUP($J2400,'Type Chart'!$C$2:$T$20,2,false)*HLOOKUP($K2400,'Type Chart'!$C$2:$U$20,2,false)</f>
        <v>1</v>
      </c>
      <c r="V2400" s="960">
        <f t="array" ref="V2400">HLOOKUP($J2400,'Type Chart'!$C$2:$T$20,3,false)*HLOOKUP($K2400,'Type Chart'!$C$2:$U$20,3,false)</f>
        <v>1</v>
      </c>
      <c r="W2400" s="960">
        <f t="array" ref="W2400">HLOOKUP($J2400,'Type Chart'!$C$2:$T$20,4,false)*HLOOKUP($K2400,'Type Chart'!$C$2:$U$20,4,false)</f>
        <v>2</v>
      </c>
      <c r="X2400" s="960">
        <f t="array" ref="X2400">HLOOKUP($J2400,'Type Chart'!$C$2:$T$20,5,false)*HLOOKUP($K2400,'Type Chart'!$C$2:$U$20,5,false)</f>
        <v>2</v>
      </c>
      <c r="Y2400" s="960">
        <f t="array" ref="Y2400">HLOOKUP($J2400,'Type Chart'!$C$2:$T$20,6,false)*HLOOKUP($K2400,'Type Chart'!$C$2:$U$20,6,false)</f>
        <v>0.5</v>
      </c>
      <c r="Z2400" s="960">
        <f t="array" ref="Z2400">HLOOKUP($J2400,'Type Chart'!$C$2:$T$20,7,false)*HLOOKUP($K2400,'Type Chart'!$C$2:$U$20,7,false)</f>
        <v>1</v>
      </c>
      <c r="AA2400" s="960">
        <f t="array" ref="AA2400">HLOOKUP($J2400,'Type Chart'!$C$2:$T$20,8,false)*HLOOKUP($K2400,'Type Chart'!$C$2:$U$20,8,false)</f>
        <v>2</v>
      </c>
      <c r="AB2400" s="960">
        <f t="array" ref="AB2400">HLOOKUP($J2400,'Type Chart'!$C$2:$T$20,9,false)*HLOOKUP($K2400,'Type Chart'!$C$2:$U$20,9,false)</f>
        <v>1</v>
      </c>
      <c r="AC2400" s="960">
        <f t="array" ref="AC2400">HLOOKUP($J2400,'Type Chart'!$C$2:$T$20,10,false)*HLOOKUP($K2400,'Type Chart'!$C$2:$U$20,10,false)</f>
        <v>1</v>
      </c>
      <c r="AD2400" s="960">
        <f t="array" ref="AD2400">HLOOKUP($J2400,'Type Chart'!$C$2:$T$20,11,false)*HLOOKUP($K2400,'Type Chart'!$C$2:$U$20,11,false)</f>
        <v>2</v>
      </c>
      <c r="AE2400" s="960">
        <f t="array" ref="AE2400">HLOOKUP($J2400,'Type Chart'!$C$2:$T$20,12,false)*HLOOKUP($K2400,'Type Chart'!$C$2:$U$20,12,false)</f>
        <v>0.5</v>
      </c>
      <c r="AF2400" s="960">
        <f t="array" ref="AF2400">HLOOKUP($J2400,'Type Chart'!$C$2:$T$20,13,false)*HLOOKUP($K2400,'Type Chart'!$C$2:$U$20,13,false)</f>
        <v>0.5</v>
      </c>
      <c r="AG2400" s="960">
        <f t="array" ref="AG2400">HLOOKUP($J2400,'Type Chart'!$C$2:$T$20,14,false)*HLOOKUP($K2400,'Type Chart'!$C$2:$U$20,14,false)</f>
        <v>0.5</v>
      </c>
      <c r="AH2400" s="960">
        <f t="array" ref="AH2400">HLOOKUP($J2400,'Type Chart'!$C$2:$T$20,15,false)*HLOOKUP($K2400,'Type Chart'!$C$2:$U$20,15,false)</f>
        <v>1</v>
      </c>
      <c r="AI2400" s="960">
        <f t="array" ref="AI2400">HLOOKUP($J2400,'Type Chart'!$C$2:$T$20,16,false)*HLOOKUP($K2400,'Type Chart'!$C$2:$U$20,16,false)</f>
        <v>2</v>
      </c>
      <c r="AJ2400" s="960">
        <f t="array" ref="AJ2400">HLOOKUP($J2400,'Type Chart'!$C$2:$T$20,17,false)*HLOOKUP($K2400,'Type Chart'!$C$2:$U$20,17,false)</f>
        <v>1</v>
      </c>
      <c r="AK2400" s="960">
        <f t="array" ref="AK2400">HLOOKUP($J2400,'Type Chart'!$C$2:$T$20,18,false)*HLOOKUP($K2400,'Type Chart'!$C$2:$U$20,18,false)</f>
        <v>1</v>
      </c>
      <c r="AL2400" s="960">
        <f t="array" ref="AL2400">HLOOKUP($J2400,'Type Chart'!$C$2:$T$20,19,false)*HLOOKUP($K2400,'Type Chart'!$C$2:$U$20,19,false)</f>
        <v>1</v>
      </c>
      <c r="AM2400" s="964" t="s">
        <v>522</v>
      </c>
      <c r="AN2400" s="965"/>
      <c r="AO2400" s="966" t="s">
        <v>2314</v>
      </c>
      <c r="AP2400" s="936"/>
      <c r="AQ2400" s="1245"/>
      <c r="AR2400" s="1245"/>
      <c r="AS2400" s="936"/>
    </row>
    <row r="2401" ht="15.75" customHeight="1">
      <c r="A2401" s="1099"/>
      <c r="B2401" s="948">
        <v>908.0</v>
      </c>
      <c r="C2401" s="1197" t="s">
        <v>105</v>
      </c>
      <c r="D2401" s="1197" t="s">
        <v>105</v>
      </c>
      <c r="E2401" s="1147" t="s">
        <v>105</v>
      </c>
      <c r="F2401" s="940"/>
      <c r="G2401" s="953"/>
      <c r="H2401" s="969"/>
      <c r="I2401" s="998" t="s">
        <v>5494</v>
      </c>
      <c r="J2401" s="957" t="s">
        <v>209</v>
      </c>
      <c r="K2401" s="1195" t="s">
        <v>193</v>
      </c>
      <c r="L2401" s="959">
        <v>76.0</v>
      </c>
      <c r="M2401" s="960">
        <v>110.0</v>
      </c>
      <c r="N2401" s="960">
        <v>70.0</v>
      </c>
      <c r="O2401" s="960">
        <v>81.0</v>
      </c>
      <c r="P2401" s="960">
        <v>70.0</v>
      </c>
      <c r="Q2401" s="960">
        <v>123.0</v>
      </c>
      <c r="R2401" s="960">
        <v>282.0</v>
      </c>
      <c r="S2401" s="960">
        <v>345.0</v>
      </c>
      <c r="T2401" s="960">
        <v>379.0</v>
      </c>
      <c r="U2401" s="960">
        <f t="array" ref="U2401">HLOOKUP($J2401,'Type Chart'!$C$2:$T$20,2,false)*HLOOKUP($K2401,'Type Chart'!$C$2:$U$20,2,false)</f>
        <v>1</v>
      </c>
      <c r="V2401" s="960">
        <f t="array" ref="V2401">HLOOKUP($J2401,'Type Chart'!$C$2:$T$20,3,false)*HLOOKUP($K2401,'Type Chart'!$C$2:$U$20,3,false)</f>
        <v>2</v>
      </c>
      <c r="W2401" s="960">
        <f t="array" ref="W2401">HLOOKUP($J2401,'Type Chart'!$C$2:$T$20,4,false)*HLOOKUP($K2401,'Type Chart'!$C$2:$U$20,4,false)</f>
        <v>2</v>
      </c>
      <c r="X2401" s="960">
        <f t="array" ref="X2401">HLOOKUP($J2401,'Type Chart'!$C$2:$T$20,5,false)*HLOOKUP($K2401,'Type Chart'!$C$2:$U$20,5,false)</f>
        <v>2</v>
      </c>
      <c r="Y2401" s="960">
        <f t="array" ref="Y2401">HLOOKUP($J2401,'Type Chart'!$C$2:$T$20,6,false)*HLOOKUP($K2401,'Type Chart'!$C$2:$U$20,6,false)</f>
        <v>0.5</v>
      </c>
      <c r="Z2401" s="960">
        <f t="array" ref="Z2401">HLOOKUP($J2401,'Type Chart'!$C$2:$T$20,7,false)*HLOOKUP($K2401,'Type Chart'!$C$2:$U$20,7,false)</f>
        <v>1</v>
      </c>
      <c r="AA2401" s="960">
        <f t="array" ref="AA2401">HLOOKUP($J2401,'Type Chart'!$C$2:$T$20,8,false)*HLOOKUP($K2401,'Type Chart'!$C$2:$U$20,8,false)</f>
        <v>4</v>
      </c>
      <c r="AB2401" s="960">
        <f t="array" ref="AB2401">HLOOKUP($J2401,'Type Chart'!$C$2:$T$20,9,false)*HLOOKUP($K2401,'Type Chart'!$C$2:$U$20,9,false)</f>
        <v>0.5</v>
      </c>
      <c r="AC2401" s="960">
        <f t="array" ref="AC2401">HLOOKUP($J2401,'Type Chart'!$C$2:$T$20,10,false)*HLOOKUP($K2401,'Type Chart'!$C$2:$U$20,10,false)</f>
        <v>1</v>
      </c>
      <c r="AD2401" s="960">
        <f t="array" ref="AD2401">HLOOKUP($J2401,'Type Chart'!$C$2:$T$20,11,false)*HLOOKUP($K2401,'Type Chart'!$C$2:$U$20,11,false)</f>
        <v>2</v>
      </c>
      <c r="AE2401" s="960">
        <f t="array" ref="AE2401">HLOOKUP($J2401,'Type Chart'!$C$2:$T$20,12,false)*HLOOKUP($K2401,'Type Chart'!$C$2:$U$20,12,false)</f>
        <v>0.5</v>
      </c>
      <c r="AF2401" s="960">
        <f t="array" ref="AF2401">HLOOKUP($J2401,'Type Chart'!$C$2:$T$20,13,false)*HLOOKUP($K2401,'Type Chart'!$C$2:$U$20,13,false)</f>
        <v>0.5</v>
      </c>
      <c r="AG2401" s="960">
        <f t="array" ref="AG2401">HLOOKUP($J2401,'Type Chart'!$C$2:$T$20,14,false)*HLOOKUP($K2401,'Type Chart'!$C$2:$U$20,14,false)</f>
        <v>0.5</v>
      </c>
      <c r="AH2401" s="960">
        <f t="array" ref="AH2401">HLOOKUP($J2401,'Type Chart'!$C$2:$T$20,15,false)*HLOOKUP($K2401,'Type Chart'!$C$2:$U$20,15,false)</f>
        <v>0</v>
      </c>
      <c r="AI2401" s="960">
        <f t="array" ref="AI2401">HLOOKUP($J2401,'Type Chart'!$C$2:$T$20,16,false)*HLOOKUP($K2401,'Type Chart'!$C$2:$U$20,16,false)</f>
        <v>2</v>
      </c>
      <c r="AJ2401" s="960">
        <f t="array" ref="AJ2401">HLOOKUP($J2401,'Type Chart'!$C$2:$T$20,17,false)*HLOOKUP($K2401,'Type Chart'!$C$2:$U$20,17,false)</f>
        <v>1</v>
      </c>
      <c r="AK2401" s="960">
        <f t="array" ref="AK2401">HLOOKUP($J2401,'Type Chart'!$C$2:$T$20,18,false)*HLOOKUP($K2401,'Type Chart'!$C$2:$U$20,18,false)</f>
        <v>0.5</v>
      </c>
      <c r="AL2401" s="960">
        <f t="array" ref="AL2401">HLOOKUP($J2401,'Type Chart'!$C$2:$T$20,19,false)*HLOOKUP($K2401,'Type Chart'!$C$2:$U$20,19,false)</f>
        <v>2</v>
      </c>
      <c r="AM2401" s="964" t="s">
        <v>522</v>
      </c>
      <c r="AN2401" s="965"/>
      <c r="AO2401" s="966" t="s">
        <v>2314</v>
      </c>
      <c r="AP2401" s="936"/>
      <c r="AQ2401" s="1245"/>
      <c r="AR2401" s="1245"/>
      <c r="AS2401" s="936"/>
    </row>
    <row r="2402" ht="15.75" customHeight="1">
      <c r="A2402" s="1099"/>
      <c r="B2402" s="948">
        <v>909.0</v>
      </c>
      <c r="C2402" s="1197" t="s">
        <v>4155</v>
      </c>
      <c r="D2402" s="1197" t="s">
        <v>4155</v>
      </c>
      <c r="E2402" s="1147" t="s">
        <v>4155</v>
      </c>
      <c r="F2402" s="940"/>
      <c r="G2402" s="953"/>
      <c r="H2402" s="969"/>
      <c r="I2402" s="998" t="s">
        <v>5495</v>
      </c>
      <c r="J2402" s="982" t="s">
        <v>150</v>
      </c>
      <c r="K2402" s="1235" t="s">
        <v>216</v>
      </c>
      <c r="L2402" s="959">
        <v>67.0</v>
      </c>
      <c r="M2402" s="960">
        <v>45.0</v>
      </c>
      <c r="N2402" s="960">
        <v>59.0</v>
      </c>
      <c r="O2402" s="960">
        <v>63.0</v>
      </c>
      <c r="P2402" s="960">
        <v>40.0</v>
      </c>
      <c r="Q2402" s="960">
        <v>36.0</v>
      </c>
      <c r="R2402" s="960">
        <v>108.0</v>
      </c>
      <c r="S2402" s="960">
        <v>171.0</v>
      </c>
      <c r="T2402" s="960">
        <v>188.0</v>
      </c>
      <c r="U2402" s="960">
        <f t="array" ref="U2402">HLOOKUP($J2402,'Type Chart'!$C$2:$T$20,2,false)*HLOOKUP($K2402,'Type Chart'!$C$2:$U$20,2,false)</f>
        <v>1</v>
      </c>
      <c r="V2402" s="960">
        <f t="array" ref="V2402">HLOOKUP($J2402,'Type Chart'!$C$2:$T$20,3,false)*HLOOKUP($K2402,'Type Chart'!$C$2:$U$20,3,false)</f>
        <v>1</v>
      </c>
      <c r="W2402" s="960">
        <f t="array" ref="W2402">HLOOKUP($J2402,'Type Chart'!$C$2:$T$20,4,false)*HLOOKUP($K2402,'Type Chart'!$C$2:$U$20,4,false)</f>
        <v>1</v>
      </c>
      <c r="X2402" s="960">
        <f t="array" ref="X2402">HLOOKUP($J2402,'Type Chart'!$C$2:$T$20,5,false)*HLOOKUP($K2402,'Type Chart'!$C$2:$U$20,5,false)</f>
        <v>1</v>
      </c>
      <c r="Y2402" s="960">
        <f t="array" ref="Y2402">HLOOKUP($J2402,'Type Chart'!$C$2:$T$20,6,false)*HLOOKUP($K2402,'Type Chart'!$C$2:$U$20,6,false)</f>
        <v>2</v>
      </c>
      <c r="Z2402" s="960">
        <f t="array" ref="Z2402">HLOOKUP($J2402,'Type Chart'!$C$2:$T$20,7,false)*HLOOKUP($K2402,'Type Chart'!$C$2:$U$20,7,false)</f>
        <v>2</v>
      </c>
      <c r="AA2402" s="960">
        <f t="array" ref="AA2402">HLOOKUP($J2402,'Type Chart'!$C$2:$T$20,8,false)*HLOOKUP($K2402,'Type Chart'!$C$2:$U$20,8,false)</f>
        <v>0.5</v>
      </c>
      <c r="AB2402" s="960">
        <f t="array" ref="AB2402">HLOOKUP($J2402,'Type Chart'!$C$2:$T$20,9,false)*HLOOKUP($K2402,'Type Chart'!$C$2:$U$20,9,false)</f>
        <v>1</v>
      </c>
      <c r="AC2402" s="960">
        <f t="array" ref="AC2402">HLOOKUP($J2402,'Type Chart'!$C$2:$T$20,10,false)*HLOOKUP($K2402,'Type Chart'!$C$2:$U$20,10,false)</f>
        <v>0.5</v>
      </c>
      <c r="AD2402" s="960">
        <f t="array" ref="AD2402">HLOOKUP($J2402,'Type Chart'!$C$2:$T$20,11,false)*HLOOKUP($K2402,'Type Chart'!$C$2:$U$20,11,false)</f>
        <v>0.5</v>
      </c>
      <c r="AE2402" s="960">
        <f t="array" ref="AE2402">HLOOKUP($J2402,'Type Chart'!$C$2:$T$20,12,false)*HLOOKUP($K2402,'Type Chart'!$C$2:$U$20,12,false)</f>
        <v>2</v>
      </c>
      <c r="AF2402" s="960">
        <f t="array" ref="AF2402">HLOOKUP($J2402,'Type Chart'!$C$2:$T$20,13,false)*HLOOKUP($K2402,'Type Chart'!$C$2:$U$20,13,false)</f>
        <v>0.5</v>
      </c>
      <c r="AG2402" s="960">
        <f t="array" ref="AG2402">HLOOKUP($J2402,'Type Chart'!$C$2:$T$20,14,false)*HLOOKUP($K2402,'Type Chart'!$C$2:$U$20,14,false)</f>
        <v>1</v>
      </c>
      <c r="AH2402" s="960">
        <f t="array" ref="AH2402">HLOOKUP($J2402,'Type Chart'!$C$2:$T$20,15,false)*HLOOKUP($K2402,'Type Chart'!$C$2:$U$20,15,false)</f>
        <v>1</v>
      </c>
      <c r="AI2402" s="960">
        <f t="array" ref="AI2402">HLOOKUP($J2402,'Type Chart'!$C$2:$T$20,16,false)*HLOOKUP($K2402,'Type Chart'!$C$2:$U$20,16,false)</f>
        <v>0.5</v>
      </c>
      <c r="AJ2402" s="960">
        <f t="array" ref="AJ2402">HLOOKUP($J2402,'Type Chart'!$C$2:$T$20,17,false)*HLOOKUP($K2402,'Type Chart'!$C$2:$U$20,17,false)</f>
        <v>1</v>
      </c>
      <c r="AK2402" s="960">
        <f t="array" ref="AK2402">HLOOKUP($J2402,'Type Chart'!$C$2:$T$20,18,false)*HLOOKUP($K2402,'Type Chart'!$C$2:$U$20,18,false)</f>
        <v>1</v>
      </c>
      <c r="AL2402" s="960">
        <f t="array" ref="AL2402">HLOOKUP($J2402,'Type Chart'!$C$2:$T$20,19,false)*HLOOKUP($K2402,'Type Chart'!$C$2:$U$20,19,false)</f>
        <v>0.5</v>
      </c>
      <c r="AM2402" s="964" t="s">
        <v>830</v>
      </c>
      <c r="AN2402" s="965"/>
      <c r="AO2402" s="966" t="s">
        <v>1169</v>
      </c>
      <c r="AP2402" s="936"/>
      <c r="AQ2402" s="1245"/>
      <c r="AR2402" s="1245"/>
      <c r="AS2402" s="936"/>
    </row>
    <row r="2403" ht="15.75" customHeight="1">
      <c r="A2403" s="1099"/>
      <c r="B2403" s="948">
        <v>910.0</v>
      </c>
      <c r="C2403" s="1197" t="s">
        <v>4157</v>
      </c>
      <c r="D2403" s="1197" t="s">
        <v>4157</v>
      </c>
      <c r="E2403" s="1147" t="s">
        <v>4157</v>
      </c>
      <c r="F2403" s="940"/>
      <c r="G2403" s="953"/>
      <c r="H2403" s="969"/>
      <c r="I2403" s="998" t="s">
        <v>5496</v>
      </c>
      <c r="J2403" s="982" t="s">
        <v>150</v>
      </c>
      <c r="K2403" s="1235" t="s">
        <v>216</v>
      </c>
      <c r="L2403" s="959">
        <v>81.0</v>
      </c>
      <c r="M2403" s="960">
        <v>55.0</v>
      </c>
      <c r="N2403" s="960">
        <v>78.0</v>
      </c>
      <c r="O2403" s="960">
        <v>90.0</v>
      </c>
      <c r="P2403" s="960">
        <v>58.0</v>
      </c>
      <c r="Q2403" s="960">
        <v>49.0</v>
      </c>
      <c r="R2403" s="960">
        <v>134.0</v>
      </c>
      <c r="S2403" s="960">
        <v>197.0</v>
      </c>
      <c r="T2403" s="960">
        <v>216.0</v>
      </c>
      <c r="U2403" s="960">
        <f t="array" ref="U2403">HLOOKUP($J2403,'Type Chart'!$C$2:$T$20,2,false)*HLOOKUP($K2403,'Type Chart'!$C$2:$U$20,2,false)</f>
        <v>1</v>
      </c>
      <c r="V2403" s="960">
        <f t="array" ref="V2403">HLOOKUP($J2403,'Type Chart'!$C$2:$T$20,3,false)*HLOOKUP($K2403,'Type Chart'!$C$2:$U$20,3,false)</f>
        <v>1</v>
      </c>
      <c r="W2403" s="960">
        <f t="array" ref="W2403">HLOOKUP($J2403,'Type Chart'!$C$2:$T$20,4,false)*HLOOKUP($K2403,'Type Chart'!$C$2:$U$20,4,false)</f>
        <v>1</v>
      </c>
      <c r="X2403" s="960">
        <f t="array" ref="X2403">HLOOKUP($J2403,'Type Chart'!$C$2:$T$20,5,false)*HLOOKUP($K2403,'Type Chart'!$C$2:$U$20,5,false)</f>
        <v>1</v>
      </c>
      <c r="Y2403" s="960">
        <f t="array" ref="Y2403">HLOOKUP($J2403,'Type Chart'!$C$2:$T$20,6,false)*HLOOKUP($K2403,'Type Chart'!$C$2:$U$20,6,false)</f>
        <v>2</v>
      </c>
      <c r="Z2403" s="960">
        <f t="array" ref="Z2403">HLOOKUP($J2403,'Type Chart'!$C$2:$T$20,7,false)*HLOOKUP($K2403,'Type Chart'!$C$2:$U$20,7,false)</f>
        <v>2</v>
      </c>
      <c r="AA2403" s="960">
        <f t="array" ref="AA2403">HLOOKUP($J2403,'Type Chart'!$C$2:$T$20,8,false)*HLOOKUP($K2403,'Type Chart'!$C$2:$U$20,8,false)</f>
        <v>0.5</v>
      </c>
      <c r="AB2403" s="960">
        <f t="array" ref="AB2403">HLOOKUP($J2403,'Type Chart'!$C$2:$T$20,9,false)*HLOOKUP($K2403,'Type Chart'!$C$2:$U$20,9,false)</f>
        <v>1</v>
      </c>
      <c r="AC2403" s="960">
        <f t="array" ref="AC2403">HLOOKUP($J2403,'Type Chart'!$C$2:$T$20,10,false)*HLOOKUP($K2403,'Type Chart'!$C$2:$U$20,10,false)</f>
        <v>0.5</v>
      </c>
      <c r="AD2403" s="960">
        <f t="array" ref="AD2403">HLOOKUP($J2403,'Type Chart'!$C$2:$T$20,11,false)*HLOOKUP($K2403,'Type Chart'!$C$2:$U$20,11,false)</f>
        <v>0.5</v>
      </c>
      <c r="AE2403" s="960">
        <f t="array" ref="AE2403">HLOOKUP($J2403,'Type Chart'!$C$2:$T$20,12,false)*HLOOKUP($K2403,'Type Chart'!$C$2:$U$20,12,false)</f>
        <v>2</v>
      </c>
      <c r="AF2403" s="960">
        <f t="array" ref="AF2403">HLOOKUP($J2403,'Type Chart'!$C$2:$T$20,13,false)*HLOOKUP($K2403,'Type Chart'!$C$2:$U$20,13,false)</f>
        <v>0.5</v>
      </c>
      <c r="AG2403" s="960">
        <f t="array" ref="AG2403">HLOOKUP($J2403,'Type Chart'!$C$2:$T$20,14,false)*HLOOKUP($K2403,'Type Chart'!$C$2:$U$20,14,false)</f>
        <v>1</v>
      </c>
      <c r="AH2403" s="960">
        <f t="array" ref="AH2403">HLOOKUP($J2403,'Type Chart'!$C$2:$T$20,15,false)*HLOOKUP($K2403,'Type Chart'!$C$2:$U$20,15,false)</f>
        <v>1</v>
      </c>
      <c r="AI2403" s="960">
        <f t="array" ref="AI2403">HLOOKUP($J2403,'Type Chart'!$C$2:$T$20,16,false)*HLOOKUP($K2403,'Type Chart'!$C$2:$U$20,16,false)</f>
        <v>0.5</v>
      </c>
      <c r="AJ2403" s="960">
        <f t="array" ref="AJ2403">HLOOKUP($J2403,'Type Chart'!$C$2:$T$20,17,false)*HLOOKUP($K2403,'Type Chart'!$C$2:$U$20,17,false)</f>
        <v>1</v>
      </c>
      <c r="AK2403" s="960">
        <f t="array" ref="AK2403">HLOOKUP($J2403,'Type Chart'!$C$2:$T$20,18,false)*HLOOKUP($K2403,'Type Chart'!$C$2:$U$20,18,false)</f>
        <v>1</v>
      </c>
      <c r="AL2403" s="960">
        <f t="array" ref="AL2403">HLOOKUP($J2403,'Type Chart'!$C$2:$T$20,19,false)*HLOOKUP($K2403,'Type Chart'!$C$2:$U$20,19,false)</f>
        <v>0.5</v>
      </c>
      <c r="AM2403" s="964" t="s">
        <v>830</v>
      </c>
      <c r="AN2403" s="965"/>
      <c r="AO2403" s="966" t="s">
        <v>1169</v>
      </c>
      <c r="AP2403" s="936"/>
      <c r="AQ2403" s="1245"/>
      <c r="AR2403" s="1245"/>
      <c r="AS2403" s="936"/>
    </row>
    <row r="2404" ht="15.75" customHeight="1">
      <c r="A2404" s="1099"/>
      <c r="B2404" s="948">
        <v>911.0</v>
      </c>
      <c r="C2404" s="1197" t="s">
        <v>4158</v>
      </c>
      <c r="D2404" s="1197" t="s">
        <v>4158</v>
      </c>
      <c r="E2404" s="1147" t="s">
        <v>4158</v>
      </c>
      <c r="F2404" s="940"/>
      <c r="G2404" s="953"/>
      <c r="H2404" s="969"/>
      <c r="I2404" s="998" t="s">
        <v>191</v>
      </c>
      <c r="J2404" s="982" t="s">
        <v>150</v>
      </c>
      <c r="K2404" s="1220" t="s">
        <v>215</v>
      </c>
      <c r="L2404" s="959">
        <v>104.0</v>
      </c>
      <c r="M2404" s="960">
        <v>75.0</v>
      </c>
      <c r="N2404" s="960">
        <v>100.0</v>
      </c>
      <c r="O2404" s="960">
        <v>110.0</v>
      </c>
      <c r="P2404" s="960">
        <v>75.0</v>
      </c>
      <c r="Q2404" s="960">
        <v>66.0</v>
      </c>
      <c r="R2404" s="960">
        <v>168.0</v>
      </c>
      <c r="S2404" s="960">
        <v>231.0</v>
      </c>
      <c r="T2404" s="960">
        <v>254.0</v>
      </c>
      <c r="U2404" s="960">
        <f t="array" ref="U2404">HLOOKUP($J2404,'Type Chart'!$C$2:$T$20,2,false)*HLOOKUP($K2404,'Type Chart'!$C$2:$U$20,2,false)</f>
        <v>0</v>
      </c>
      <c r="V2404" s="960">
        <f t="array" ref="V2404">HLOOKUP($J2404,'Type Chart'!$C$2:$T$20,3,false)*HLOOKUP($K2404,'Type Chart'!$C$2:$U$20,3,false)</f>
        <v>0</v>
      </c>
      <c r="W2404" s="960">
        <f t="array" ref="W2404">HLOOKUP($J2404,'Type Chart'!$C$2:$T$20,4,false)*HLOOKUP($K2404,'Type Chart'!$C$2:$U$20,4,false)</f>
        <v>1</v>
      </c>
      <c r="X2404" s="960">
        <f t="array" ref="X2404">HLOOKUP($J2404,'Type Chart'!$C$2:$T$20,5,false)*HLOOKUP($K2404,'Type Chart'!$C$2:$U$20,5,false)</f>
        <v>0.5</v>
      </c>
      <c r="Y2404" s="960">
        <f t="array" ref="Y2404">HLOOKUP($J2404,'Type Chart'!$C$2:$T$20,6,false)*HLOOKUP($K2404,'Type Chart'!$C$2:$U$20,6,false)</f>
        <v>2</v>
      </c>
      <c r="Z2404" s="960">
        <f t="array" ref="Z2404">HLOOKUP($J2404,'Type Chart'!$C$2:$T$20,7,false)*HLOOKUP($K2404,'Type Chart'!$C$2:$U$20,7,false)</f>
        <v>2</v>
      </c>
      <c r="AA2404" s="960">
        <f t="array" ref="AA2404">HLOOKUP($J2404,'Type Chart'!$C$2:$T$20,8,false)*HLOOKUP($K2404,'Type Chart'!$C$2:$U$20,8,false)</f>
        <v>0.25</v>
      </c>
      <c r="AB2404" s="960">
        <f t="array" ref="AB2404">HLOOKUP($J2404,'Type Chart'!$C$2:$T$20,9,false)*HLOOKUP($K2404,'Type Chart'!$C$2:$U$20,9,false)</f>
        <v>2</v>
      </c>
      <c r="AC2404" s="960">
        <f t="array" ref="AC2404">HLOOKUP($J2404,'Type Chart'!$C$2:$T$20,10,false)*HLOOKUP($K2404,'Type Chart'!$C$2:$U$20,10,false)</f>
        <v>0.5</v>
      </c>
      <c r="AD2404" s="960">
        <f t="array" ref="AD2404">HLOOKUP($J2404,'Type Chart'!$C$2:$T$20,11,false)*HLOOKUP($K2404,'Type Chart'!$C$2:$U$20,11,false)</f>
        <v>0.5</v>
      </c>
      <c r="AE2404" s="960">
        <f t="array" ref="AE2404">HLOOKUP($J2404,'Type Chart'!$C$2:$T$20,12,false)*HLOOKUP($K2404,'Type Chart'!$C$2:$U$20,12,false)</f>
        <v>2</v>
      </c>
      <c r="AF2404" s="960">
        <f t="array" ref="AF2404">HLOOKUP($J2404,'Type Chart'!$C$2:$T$20,13,false)*HLOOKUP($K2404,'Type Chart'!$C$2:$U$20,13,false)</f>
        <v>0.5</v>
      </c>
      <c r="AG2404" s="960">
        <f t="array" ref="AG2404">HLOOKUP($J2404,'Type Chart'!$C$2:$T$20,14,false)*HLOOKUP($K2404,'Type Chart'!$C$2:$U$20,14,false)</f>
        <v>1</v>
      </c>
      <c r="AH2404" s="960">
        <f t="array" ref="AH2404">HLOOKUP($J2404,'Type Chart'!$C$2:$T$20,15,false)*HLOOKUP($K2404,'Type Chart'!$C$2:$U$20,15,false)</f>
        <v>1</v>
      </c>
      <c r="AI2404" s="960">
        <f t="array" ref="AI2404">HLOOKUP($J2404,'Type Chart'!$C$2:$T$20,16,false)*HLOOKUP($K2404,'Type Chart'!$C$2:$U$20,16,false)</f>
        <v>0.5</v>
      </c>
      <c r="AJ2404" s="960">
        <f t="array" ref="AJ2404">HLOOKUP($J2404,'Type Chart'!$C$2:$T$20,17,false)*HLOOKUP($K2404,'Type Chart'!$C$2:$U$20,17,false)</f>
        <v>1</v>
      </c>
      <c r="AK2404" s="960">
        <f t="array" ref="AK2404">HLOOKUP($J2404,'Type Chart'!$C$2:$T$20,18,false)*HLOOKUP($K2404,'Type Chart'!$C$2:$U$20,18,false)</f>
        <v>2</v>
      </c>
      <c r="AL2404" s="960">
        <f t="array" ref="AL2404">HLOOKUP($J2404,'Type Chart'!$C$2:$T$20,19,false)*HLOOKUP($K2404,'Type Chart'!$C$2:$U$20,19,false)</f>
        <v>0.5</v>
      </c>
      <c r="AM2404" s="964" t="s">
        <v>830</v>
      </c>
      <c r="AN2404" s="965"/>
      <c r="AO2404" s="966" t="s">
        <v>1169</v>
      </c>
      <c r="AP2404" s="936"/>
      <c r="AQ2404" s="1245"/>
      <c r="AR2404" s="1245"/>
      <c r="AS2404" s="936"/>
    </row>
    <row r="2405" ht="15.75" customHeight="1">
      <c r="A2405" s="1099"/>
      <c r="B2405" s="948">
        <v>912.0</v>
      </c>
      <c r="C2405" s="1197" t="s">
        <v>4159</v>
      </c>
      <c r="D2405" s="1197" t="s">
        <v>4159</v>
      </c>
      <c r="E2405" s="1147" t="s">
        <v>4159</v>
      </c>
      <c r="F2405" s="940"/>
      <c r="G2405" s="953"/>
      <c r="H2405" s="969"/>
      <c r="I2405" s="998" t="s">
        <v>5497</v>
      </c>
      <c r="J2405" s="1056" t="s">
        <v>81</v>
      </c>
      <c r="K2405" s="1235" t="s">
        <v>216</v>
      </c>
      <c r="L2405" s="959">
        <v>55.0</v>
      </c>
      <c r="M2405" s="960">
        <v>65.0</v>
      </c>
      <c r="N2405" s="960">
        <v>45.0</v>
      </c>
      <c r="O2405" s="960">
        <v>50.0</v>
      </c>
      <c r="P2405" s="960">
        <v>45.0</v>
      </c>
      <c r="Q2405" s="960">
        <v>50.0</v>
      </c>
      <c r="R2405" s="960">
        <v>136.0</v>
      </c>
      <c r="S2405" s="960">
        <v>199.0</v>
      </c>
      <c r="T2405" s="960">
        <v>218.0</v>
      </c>
      <c r="U2405" s="960">
        <f t="array" ref="U2405">HLOOKUP($J2405,'Type Chart'!$C$2:$T$20,2,false)*HLOOKUP($K2405,'Type Chart'!$C$2:$U$20,2,false)</f>
        <v>1</v>
      </c>
      <c r="V2405" s="960">
        <f t="array" ref="V2405">HLOOKUP($J2405,'Type Chart'!$C$2:$T$20,3,false)*HLOOKUP($K2405,'Type Chart'!$C$2:$U$20,3,false)</f>
        <v>1</v>
      </c>
      <c r="W2405" s="960">
        <f t="array" ref="W2405">HLOOKUP($J2405,'Type Chart'!$C$2:$T$20,4,false)*HLOOKUP($K2405,'Type Chart'!$C$2:$U$20,4,false)</f>
        <v>1</v>
      </c>
      <c r="X2405" s="960">
        <f t="array" ref="X2405">HLOOKUP($J2405,'Type Chart'!$C$2:$T$20,5,false)*HLOOKUP($K2405,'Type Chart'!$C$2:$U$20,5,false)</f>
        <v>1</v>
      </c>
      <c r="Y2405" s="960">
        <f t="array" ref="Y2405">HLOOKUP($J2405,'Type Chart'!$C$2:$T$20,6,false)*HLOOKUP($K2405,'Type Chart'!$C$2:$U$20,6,false)</f>
        <v>1</v>
      </c>
      <c r="Z2405" s="960">
        <f t="array" ref="Z2405">HLOOKUP($J2405,'Type Chart'!$C$2:$T$20,7,false)*HLOOKUP($K2405,'Type Chart'!$C$2:$U$20,7,false)</f>
        <v>1</v>
      </c>
      <c r="AA2405" s="960">
        <f t="array" ref="AA2405">HLOOKUP($J2405,'Type Chart'!$C$2:$T$20,8,false)*HLOOKUP($K2405,'Type Chart'!$C$2:$U$20,8,false)</f>
        <v>1</v>
      </c>
      <c r="AB2405" s="960">
        <f t="array" ref="AB2405">HLOOKUP($J2405,'Type Chart'!$C$2:$T$20,9,false)*HLOOKUP($K2405,'Type Chart'!$C$2:$U$20,9,false)</f>
        <v>1</v>
      </c>
      <c r="AC2405" s="960">
        <f t="array" ref="AC2405">HLOOKUP($J2405,'Type Chart'!$C$2:$T$20,10,false)*HLOOKUP($K2405,'Type Chart'!$C$2:$U$20,10,false)</f>
        <v>0.5</v>
      </c>
      <c r="AD2405" s="960">
        <f t="array" ref="AD2405">HLOOKUP($J2405,'Type Chart'!$C$2:$T$20,11,false)*HLOOKUP($K2405,'Type Chart'!$C$2:$U$20,11,false)</f>
        <v>0.5</v>
      </c>
      <c r="AE2405" s="960">
        <f t="array" ref="AE2405">HLOOKUP($J2405,'Type Chart'!$C$2:$T$20,12,false)*HLOOKUP($K2405,'Type Chart'!$C$2:$U$20,12,false)</f>
        <v>0.5</v>
      </c>
      <c r="AF2405" s="960">
        <f t="array" ref="AF2405">HLOOKUP($J2405,'Type Chart'!$C$2:$T$20,13,false)*HLOOKUP($K2405,'Type Chart'!$C$2:$U$20,13,false)</f>
        <v>2</v>
      </c>
      <c r="AG2405" s="960">
        <f t="array" ref="AG2405">HLOOKUP($J2405,'Type Chart'!$C$2:$T$20,14,false)*HLOOKUP($K2405,'Type Chart'!$C$2:$U$20,14,false)</f>
        <v>2</v>
      </c>
      <c r="AH2405" s="960">
        <f t="array" ref="AH2405">HLOOKUP($J2405,'Type Chart'!$C$2:$T$20,15,false)*HLOOKUP($K2405,'Type Chart'!$C$2:$U$20,15,false)</f>
        <v>1</v>
      </c>
      <c r="AI2405" s="960">
        <f t="array" ref="AI2405">HLOOKUP($J2405,'Type Chart'!$C$2:$T$20,16,false)*HLOOKUP($K2405,'Type Chart'!$C$2:$U$20,16,false)</f>
        <v>0.5</v>
      </c>
      <c r="AJ2405" s="960">
        <f t="array" ref="AJ2405">HLOOKUP($J2405,'Type Chart'!$C$2:$T$20,17,false)*HLOOKUP($K2405,'Type Chart'!$C$2:$U$20,17,false)</f>
        <v>1</v>
      </c>
      <c r="AK2405" s="960">
        <f t="array" ref="AK2405">HLOOKUP($J2405,'Type Chart'!$C$2:$T$20,18,false)*HLOOKUP($K2405,'Type Chart'!$C$2:$U$20,18,false)</f>
        <v>1</v>
      </c>
      <c r="AL2405" s="960">
        <f t="array" ref="AL2405">HLOOKUP($J2405,'Type Chart'!$C$2:$T$20,19,false)*HLOOKUP($K2405,'Type Chart'!$C$2:$U$20,19,false)</f>
        <v>1</v>
      </c>
      <c r="AM2405" s="964" t="s">
        <v>959</v>
      </c>
      <c r="AN2405" s="965"/>
      <c r="AO2405" s="966" t="s">
        <v>1577</v>
      </c>
      <c r="AP2405" s="936"/>
      <c r="AQ2405" s="1245"/>
      <c r="AR2405" s="1245"/>
      <c r="AS2405" s="936"/>
    </row>
    <row r="2406" ht="15.75" customHeight="1">
      <c r="A2406" s="1099"/>
      <c r="B2406" s="948">
        <v>913.0</v>
      </c>
      <c r="C2406" s="1197" t="s">
        <v>4161</v>
      </c>
      <c r="D2406" s="1197" t="s">
        <v>4161</v>
      </c>
      <c r="E2406" s="1147" t="s">
        <v>4161</v>
      </c>
      <c r="F2406" s="940"/>
      <c r="G2406" s="953"/>
      <c r="H2406" s="969"/>
      <c r="I2406" s="998" t="s">
        <v>5498</v>
      </c>
      <c r="J2406" s="1056" t="s">
        <v>81</v>
      </c>
      <c r="K2406" s="1235" t="s">
        <v>216</v>
      </c>
      <c r="L2406" s="959">
        <v>70.0</v>
      </c>
      <c r="M2406" s="960">
        <v>85.0</v>
      </c>
      <c r="N2406" s="960">
        <v>65.0</v>
      </c>
      <c r="O2406" s="960">
        <v>65.0</v>
      </c>
      <c r="P2406" s="960">
        <v>60.0</v>
      </c>
      <c r="Q2406" s="960">
        <v>65.0</v>
      </c>
      <c r="R2406" s="960">
        <v>166.0</v>
      </c>
      <c r="S2406" s="960">
        <v>229.0</v>
      </c>
      <c r="T2406" s="960">
        <v>251.0</v>
      </c>
      <c r="U2406" s="960">
        <f t="array" ref="U2406">HLOOKUP($J2406,'Type Chart'!$C$2:$T$20,2,false)*HLOOKUP($K2406,'Type Chart'!$C$2:$U$20,2,false)</f>
        <v>1</v>
      </c>
      <c r="V2406" s="960">
        <f t="array" ref="V2406">HLOOKUP($J2406,'Type Chart'!$C$2:$T$20,3,false)*HLOOKUP($K2406,'Type Chart'!$C$2:$U$20,3,false)</f>
        <v>1</v>
      </c>
      <c r="W2406" s="960">
        <f t="array" ref="W2406">HLOOKUP($J2406,'Type Chart'!$C$2:$T$20,4,false)*HLOOKUP($K2406,'Type Chart'!$C$2:$U$20,4,false)</f>
        <v>1</v>
      </c>
      <c r="X2406" s="960">
        <f t="array" ref="X2406">HLOOKUP($J2406,'Type Chart'!$C$2:$T$20,5,false)*HLOOKUP($K2406,'Type Chart'!$C$2:$U$20,5,false)</f>
        <v>1</v>
      </c>
      <c r="Y2406" s="960">
        <f t="array" ref="Y2406">HLOOKUP($J2406,'Type Chart'!$C$2:$T$20,6,false)*HLOOKUP($K2406,'Type Chart'!$C$2:$U$20,6,false)</f>
        <v>1</v>
      </c>
      <c r="Z2406" s="960">
        <f t="array" ref="Z2406">HLOOKUP($J2406,'Type Chart'!$C$2:$T$20,7,false)*HLOOKUP($K2406,'Type Chart'!$C$2:$U$20,7,false)</f>
        <v>1</v>
      </c>
      <c r="AA2406" s="960">
        <f t="array" ref="AA2406">HLOOKUP($J2406,'Type Chart'!$C$2:$T$20,8,false)*HLOOKUP($K2406,'Type Chart'!$C$2:$U$20,8,false)</f>
        <v>1</v>
      </c>
      <c r="AB2406" s="960">
        <f t="array" ref="AB2406">HLOOKUP($J2406,'Type Chart'!$C$2:$T$20,9,false)*HLOOKUP($K2406,'Type Chart'!$C$2:$U$20,9,false)</f>
        <v>1</v>
      </c>
      <c r="AC2406" s="960">
        <f t="array" ref="AC2406">HLOOKUP($J2406,'Type Chart'!$C$2:$T$20,10,false)*HLOOKUP($K2406,'Type Chart'!$C$2:$U$20,10,false)</f>
        <v>0.5</v>
      </c>
      <c r="AD2406" s="960">
        <f t="array" ref="AD2406">HLOOKUP($J2406,'Type Chart'!$C$2:$T$20,11,false)*HLOOKUP($K2406,'Type Chart'!$C$2:$U$20,11,false)</f>
        <v>0.5</v>
      </c>
      <c r="AE2406" s="960">
        <f t="array" ref="AE2406">HLOOKUP($J2406,'Type Chart'!$C$2:$T$20,12,false)*HLOOKUP($K2406,'Type Chart'!$C$2:$U$20,12,false)</f>
        <v>0.5</v>
      </c>
      <c r="AF2406" s="960">
        <f t="array" ref="AF2406">HLOOKUP($J2406,'Type Chart'!$C$2:$T$20,13,false)*HLOOKUP($K2406,'Type Chart'!$C$2:$U$20,13,false)</f>
        <v>2</v>
      </c>
      <c r="AG2406" s="960">
        <f t="array" ref="AG2406">HLOOKUP($J2406,'Type Chart'!$C$2:$T$20,14,false)*HLOOKUP($K2406,'Type Chart'!$C$2:$U$20,14,false)</f>
        <v>2</v>
      </c>
      <c r="AH2406" s="960">
        <f t="array" ref="AH2406">HLOOKUP($J2406,'Type Chart'!$C$2:$T$20,15,false)*HLOOKUP($K2406,'Type Chart'!$C$2:$U$20,15,false)</f>
        <v>1</v>
      </c>
      <c r="AI2406" s="960">
        <f t="array" ref="AI2406">HLOOKUP($J2406,'Type Chart'!$C$2:$T$20,16,false)*HLOOKUP($K2406,'Type Chart'!$C$2:$U$20,16,false)</f>
        <v>0.5</v>
      </c>
      <c r="AJ2406" s="960">
        <f t="array" ref="AJ2406">HLOOKUP($J2406,'Type Chart'!$C$2:$T$20,17,false)*HLOOKUP($K2406,'Type Chart'!$C$2:$U$20,17,false)</f>
        <v>1</v>
      </c>
      <c r="AK2406" s="960">
        <f t="array" ref="AK2406">HLOOKUP($J2406,'Type Chart'!$C$2:$T$20,18,false)*HLOOKUP($K2406,'Type Chart'!$C$2:$U$20,18,false)</f>
        <v>1</v>
      </c>
      <c r="AL2406" s="960">
        <f t="array" ref="AL2406">HLOOKUP($J2406,'Type Chart'!$C$2:$T$20,19,false)*HLOOKUP($K2406,'Type Chart'!$C$2:$U$20,19,false)</f>
        <v>1</v>
      </c>
      <c r="AM2406" s="964" t="s">
        <v>959</v>
      </c>
      <c r="AN2406" s="965"/>
      <c r="AO2406" s="966" t="s">
        <v>1577</v>
      </c>
      <c r="AP2406" s="936"/>
      <c r="AQ2406" s="1245"/>
      <c r="AR2406" s="1245"/>
      <c r="AS2406" s="936"/>
    </row>
    <row r="2407" ht="15.75" customHeight="1">
      <c r="A2407" s="1099"/>
      <c r="B2407" s="948">
        <v>914.0</v>
      </c>
      <c r="C2407" s="1197" t="s">
        <v>4162</v>
      </c>
      <c r="D2407" s="1197" t="s">
        <v>4162</v>
      </c>
      <c r="E2407" s="1147" t="s">
        <v>4162</v>
      </c>
      <c r="F2407" s="940"/>
      <c r="G2407" s="953"/>
      <c r="H2407" s="969"/>
      <c r="I2407" s="998" t="s">
        <v>5499</v>
      </c>
      <c r="J2407" s="1056" t="s">
        <v>81</v>
      </c>
      <c r="K2407" s="1213" t="s">
        <v>341</v>
      </c>
      <c r="L2407" s="959">
        <v>85.0</v>
      </c>
      <c r="M2407" s="960">
        <v>120.0</v>
      </c>
      <c r="N2407" s="960">
        <v>80.0</v>
      </c>
      <c r="O2407" s="960">
        <v>85.0</v>
      </c>
      <c r="P2407" s="960">
        <v>75.0</v>
      </c>
      <c r="Q2407" s="960">
        <v>85.0</v>
      </c>
      <c r="R2407" s="960">
        <v>206.0</v>
      </c>
      <c r="S2407" s="960">
        <v>269.0</v>
      </c>
      <c r="T2407" s="960">
        <v>295.0</v>
      </c>
      <c r="U2407" s="960">
        <f t="array" ref="U2407">HLOOKUP($J2407,'Type Chart'!$C$2:$T$20,2,false)*HLOOKUP($K2407,'Type Chart'!$C$2:$U$20,2,false)</f>
        <v>1</v>
      </c>
      <c r="V2407" s="960">
        <f t="array" ref="V2407">HLOOKUP($J2407,'Type Chart'!$C$2:$T$20,3,false)*HLOOKUP($K2407,'Type Chart'!$C$2:$U$20,3,false)</f>
        <v>1</v>
      </c>
      <c r="W2407" s="960">
        <f t="array" ref="W2407">HLOOKUP($J2407,'Type Chart'!$C$2:$T$20,4,false)*HLOOKUP($K2407,'Type Chart'!$C$2:$U$20,4,false)</f>
        <v>2</v>
      </c>
      <c r="X2407" s="960">
        <f t="array" ref="X2407">HLOOKUP($J2407,'Type Chart'!$C$2:$T$20,5,false)*HLOOKUP($K2407,'Type Chart'!$C$2:$U$20,5,false)</f>
        <v>1</v>
      </c>
      <c r="Y2407" s="960">
        <f t="array" ref="Y2407">HLOOKUP($J2407,'Type Chart'!$C$2:$T$20,6,false)*HLOOKUP($K2407,'Type Chart'!$C$2:$U$20,6,false)</f>
        <v>1</v>
      </c>
      <c r="Z2407" s="960">
        <f t="array" ref="Z2407">HLOOKUP($J2407,'Type Chart'!$C$2:$T$20,7,false)*HLOOKUP($K2407,'Type Chart'!$C$2:$U$20,7,false)</f>
        <v>0.5</v>
      </c>
      <c r="AA2407" s="960">
        <f t="array" ref="AA2407">HLOOKUP($J2407,'Type Chart'!$C$2:$T$20,8,false)*HLOOKUP($K2407,'Type Chart'!$C$2:$U$20,8,false)</f>
        <v>0.5</v>
      </c>
      <c r="AB2407" s="960">
        <f t="array" ref="AB2407">HLOOKUP($J2407,'Type Chart'!$C$2:$T$20,9,false)*HLOOKUP($K2407,'Type Chart'!$C$2:$U$20,9,false)</f>
        <v>1</v>
      </c>
      <c r="AC2407" s="960">
        <f t="array" ref="AC2407">HLOOKUP($J2407,'Type Chart'!$C$2:$T$20,10,false)*HLOOKUP($K2407,'Type Chart'!$C$2:$U$20,10,false)</f>
        <v>0.5</v>
      </c>
      <c r="AD2407" s="960">
        <f t="array" ref="AD2407">HLOOKUP($J2407,'Type Chart'!$C$2:$T$20,11,false)*HLOOKUP($K2407,'Type Chart'!$C$2:$U$20,11,false)</f>
        <v>0.5</v>
      </c>
      <c r="AE2407" s="960">
        <f t="array" ref="AE2407">HLOOKUP($J2407,'Type Chart'!$C$2:$T$20,12,false)*HLOOKUP($K2407,'Type Chart'!$C$2:$U$20,12,false)</f>
        <v>0.5</v>
      </c>
      <c r="AF2407" s="960">
        <f t="array" ref="AF2407">HLOOKUP($J2407,'Type Chart'!$C$2:$T$20,13,false)*HLOOKUP($K2407,'Type Chart'!$C$2:$U$20,13,false)</f>
        <v>2</v>
      </c>
      <c r="AG2407" s="960">
        <f t="array" ref="AG2407">HLOOKUP($J2407,'Type Chart'!$C$2:$T$20,14,false)*HLOOKUP($K2407,'Type Chart'!$C$2:$U$20,14,false)</f>
        <v>2</v>
      </c>
      <c r="AH2407" s="960">
        <f t="array" ref="AH2407">HLOOKUP($J2407,'Type Chart'!$C$2:$T$20,15,false)*HLOOKUP($K2407,'Type Chart'!$C$2:$U$20,15,false)</f>
        <v>2</v>
      </c>
      <c r="AI2407" s="960">
        <f t="array" ref="AI2407">HLOOKUP($J2407,'Type Chart'!$C$2:$T$20,16,false)*HLOOKUP($K2407,'Type Chart'!$C$2:$U$20,16,false)</f>
        <v>0.5</v>
      </c>
      <c r="AJ2407" s="960">
        <f t="array" ref="AJ2407">HLOOKUP($J2407,'Type Chart'!$C$2:$T$20,17,false)*HLOOKUP($K2407,'Type Chart'!$C$2:$U$20,17,false)</f>
        <v>1</v>
      </c>
      <c r="AK2407" s="960">
        <f t="array" ref="AK2407">HLOOKUP($J2407,'Type Chart'!$C$2:$T$20,18,false)*HLOOKUP($K2407,'Type Chart'!$C$2:$U$20,18,false)</f>
        <v>0.5</v>
      </c>
      <c r="AL2407" s="960">
        <f t="array" ref="AL2407">HLOOKUP($J2407,'Type Chart'!$C$2:$T$20,19,false)*HLOOKUP($K2407,'Type Chart'!$C$2:$U$20,19,false)</f>
        <v>2</v>
      </c>
      <c r="AM2407" s="964" t="s">
        <v>959</v>
      </c>
      <c r="AN2407" s="965"/>
      <c r="AO2407" s="966" t="s">
        <v>1577</v>
      </c>
      <c r="AP2407" s="936"/>
      <c r="AQ2407" s="1245"/>
      <c r="AR2407" s="1245"/>
      <c r="AS2407" s="936"/>
    </row>
    <row r="2408" ht="15.75" customHeight="1">
      <c r="A2408" s="1099"/>
      <c r="B2408" s="948">
        <v>915.0</v>
      </c>
      <c r="C2408" s="1197" t="s">
        <v>4163</v>
      </c>
      <c r="D2408" s="1197" t="s">
        <v>4163</v>
      </c>
      <c r="E2408" s="1147" t="s">
        <v>4163</v>
      </c>
      <c r="F2408" s="940"/>
      <c r="G2408" s="953"/>
      <c r="H2408" s="969"/>
      <c r="I2408" s="998" t="s">
        <v>5500</v>
      </c>
      <c r="J2408" s="1194" t="s">
        <v>136</v>
      </c>
      <c r="K2408" s="1235" t="s">
        <v>216</v>
      </c>
      <c r="L2408" s="959">
        <v>54.0</v>
      </c>
      <c r="M2408" s="960">
        <v>45.0</v>
      </c>
      <c r="N2408" s="960">
        <v>40.0</v>
      </c>
      <c r="O2408" s="960">
        <v>35.0</v>
      </c>
      <c r="P2408" s="960">
        <v>45.0</v>
      </c>
      <c r="Q2408" s="960">
        <v>35.0</v>
      </c>
      <c r="R2408" s="960">
        <v>106.0</v>
      </c>
      <c r="S2408" s="960">
        <v>169.0</v>
      </c>
      <c r="T2408" s="960">
        <v>185.0</v>
      </c>
      <c r="U2408" s="960">
        <f t="array" ref="U2408">HLOOKUP($J2408,'Type Chart'!$C$2:$T$20,2,false)*HLOOKUP($K2408,'Type Chart'!$C$2:$U$20,2,false)</f>
        <v>1</v>
      </c>
      <c r="V2408" s="960">
        <f t="array" ref="V2408">HLOOKUP($J2408,'Type Chart'!$C$2:$T$20,3,false)*HLOOKUP($K2408,'Type Chart'!$C$2:$U$20,3,false)</f>
        <v>2</v>
      </c>
      <c r="W2408" s="960">
        <f t="array" ref="W2408">HLOOKUP($J2408,'Type Chart'!$C$2:$T$20,4,false)*HLOOKUP($K2408,'Type Chart'!$C$2:$U$20,4,false)</f>
        <v>1</v>
      </c>
      <c r="X2408" s="960">
        <f t="array" ref="X2408">HLOOKUP($J2408,'Type Chart'!$C$2:$T$20,5,false)*HLOOKUP($K2408,'Type Chart'!$C$2:$U$20,5,false)</f>
        <v>1</v>
      </c>
      <c r="Y2408" s="960">
        <f t="array" ref="Y2408">HLOOKUP($J2408,'Type Chart'!$C$2:$T$20,6,false)*HLOOKUP($K2408,'Type Chart'!$C$2:$U$20,6,false)</f>
        <v>1</v>
      </c>
      <c r="Z2408" s="960">
        <f t="array" ref="Z2408">HLOOKUP($J2408,'Type Chart'!$C$2:$T$20,7,false)*HLOOKUP($K2408,'Type Chart'!$C$2:$U$20,7,false)</f>
        <v>1</v>
      </c>
      <c r="AA2408" s="960">
        <f t="array" ref="AA2408">HLOOKUP($J2408,'Type Chart'!$C$2:$T$20,8,false)*HLOOKUP($K2408,'Type Chart'!$C$2:$U$20,8,false)</f>
        <v>1</v>
      </c>
      <c r="AB2408" s="960">
        <f t="array" ref="AB2408">HLOOKUP($J2408,'Type Chart'!$C$2:$T$20,9,false)*HLOOKUP($K2408,'Type Chart'!$C$2:$U$20,9,false)</f>
        <v>0</v>
      </c>
      <c r="AC2408" s="960">
        <f t="array" ref="AC2408">HLOOKUP($J2408,'Type Chart'!$C$2:$T$20,10,false)*HLOOKUP($K2408,'Type Chart'!$C$2:$U$20,10,false)</f>
        <v>1</v>
      </c>
      <c r="AD2408" s="960">
        <f t="array" ref="AD2408">HLOOKUP($J2408,'Type Chart'!$C$2:$T$20,11,false)*HLOOKUP($K2408,'Type Chart'!$C$2:$U$20,11,false)</f>
        <v>1</v>
      </c>
      <c r="AE2408" s="960">
        <f t="array" ref="AE2408">HLOOKUP($J2408,'Type Chart'!$C$2:$T$20,12,false)*HLOOKUP($K2408,'Type Chart'!$C$2:$U$20,12,false)</f>
        <v>1</v>
      </c>
      <c r="AF2408" s="960">
        <f t="array" ref="AF2408">HLOOKUP($J2408,'Type Chart'!$C$2:$T$20,13,false)*HLOOKUP($K2408,'Type Chart'!$C$2:$U$20,13,false)</f>
        <v>1</v>
      </c>
      <c r="AG2408" s="960">
        <f t="array" ref="AG2408">HLOOKUP($J2408,'Type Chart'!$C$2:$T$20,14,false)*HLOOKUP($K2408,'Type Chart'!$C$2:$U$20,14,false)</f>
        <v>1</v>
      </c>
      <c r="AH2408" s="960">
        <f t="array" ref="AH2408">HLOOKUP($J2408,'Type Chart'!$C$2:$T$20,15,false)*HLOOKUP($K2408,'Type Chart'!$C$2:$U$20,15,false)</f>
        <v>1</v>
      </c>
      <c r="AI2408" s="960">
        <f t="array" ref="AI2408">HLOOKUP($J2408,'Type Chart'!$C$2:$T$20,16,false)*HLOOKUP($K2408,'Type Chart'!$C$2:$U$20,16,false)</f>
        <v>1</v>
      </c>
      <c r="AJ2408" s="960">
        <f t="array" ref="AJ2408">HLOOKUP($J2408,'Type Chart'!$C$2:$T$20,17,false)*HLOOKUP($K2408,'Type Chart'!$C$2:$U$20,17,false)</f>
        <v>1</v>
      </c>
      <c r="AK2408" s="960">
        <f t="array" ref="AK2408">HLOOKUP($J2408,'Type Chart'!$C$2:$T$20,18,false)*HLOOKUP($K2408,'Type Chart'!$C$2:$U$20,18,false)</f>
        <v>1</v>
      </c>
      <c r="AL2408" s="960">
        <f t="array" ref="AL2408">HLOOKUP($J2408,'Type Chart'!$C$2:$T$20,19,false)*HLOOKUP($K2408,'Type Chart'!$C$2:$U$20,19,false)</f>
        <v>1</v>
      </c>
      <c r="AM2408" s="964" t="s">
        <v>3373</v>
      </c>
      <c r="AN2408" s="964" t="s">
        <v>1044</v>
      </c>
      <c r="AO2408" s="966" t="s">
        <v>760</v>
      </c>
      <c r="AP2408" s="936"/>
      <c r="AQ2408" s="1245"/>
      <c r="AR2408" s="1245"/>
      <c r="AS2408" s="936"/>
    </row>
    <row r="2409" ht="15.75" customHeight="1">
      <c r="A2409" s="1099"/>
      <c r="B2409" s="948">
        <v>916.0</v>
      </c>
      <c r="C2409" s="1197" t="s">
        <v>4165</v>
      </c>
      <c r="D2409" s="1197" t="s">
        <v>4165</v>
      </c>
      <c r="E2409" s="1147" t="s">
        <v>4165</v>
      </c>
      <c r="F2409" s="940"/>
      <c r="G2409" s="953"/>
      <c r="H2409" s="969"/>
      <c r="I2409" s="998" t="s">
        <v>5501</v>
      </c>
      <c r="J2409" s="1194" t="s">
        <v>136</v>
      </c>
      <c r="K2409" s="1235" t="s">
        <v>216</v>
      </c>
      <c r="L2409" s="959">
        <v>110.0</v>
      </c>
      <c r="M2409" s="960">
        <v>100.0</v>
      </c>
      <c r="N2409" s="960">
        <v>75.0</v>
      </c>
      <c r="O2409" s="960">
        <v>59.0</v>
      </c>
      <c r="P2409" s="960">
        <v>80.0</v>
      </c>
      <c r="Q2409" s="960">
        <v>65.0</v>
      </c>
      <c r="R2409" s="960">
        <v>166.0</v>
      </c>
      <c r="S2409" s="960">
        <v>229.0</v>
      </c>
      <c r="T2409" s="960">
        <v>251.0</v>
      </c>
      <c r="U2409" s="960">
        <f t="array" ref="U2409">HLOOKUP($J2409,'Type Chart'!$C$2:$T$20,2,false)*HLOOKUP($K2409,'Type Chart'!$C$2:$U$20,2,false)</f>
        <v>1</v>
      </c>
      <c r="V2409" s="960">
        <f t="array" ref="V2409">HLOOKUP($J2409,'Type Chart'!$C$2:$T$20,3,false)*HLOOKUP($K2409,'Type Chart'!$C$2:$U$20,3,false)</f>
        <v>2</v>
      </c>
      <c r="W2409" s="960">
        <f t="array" ref="W2409">HLOOKUP($J2409,'Type Chart'!$C$2:$T$20,4,false)*HLOOKUP($K2409,'Type Chart'!$C$2:$U$20,4,false)</f>
        <v>1</v>
      </c>
      <c r="X2409" s="960">
        <f t="array" ref="X2409">HLOOKUP($J2409,'Type Chart'!$C$2:$T$20,5,false)*HLOOKUP($K2409,'Type Chart'!$C$2:$U$20,5,false)</f>
        <v>1</v>
      </c>
      <c r="Y2409" s="960">
        <f t="array" ref="Y2409">HLOOKUP($J2409,'Type Chart'!$C$2:$T$20,6,false)*HLOOKUP($K2409,'Type Chart'!$C$2:$U$20,6,false)</f>
        <v>1</v>
      </c>
      <c r="Z2409" s="960">
        <f t="array" ref="Z2409">HLOOKUP($J2409,'Type Chart'!$C$2:$T$20,7,false)*HLOOKUP($K2409,'Type Chart'!$C$2:$U$20,7,false)</f>
        <v>1</v>
      </c>
      <c r="AA2409" s="960">
        <f t="array" ref="AA2409">HLOOKUP($J2409,'Type Chart'!$C$2:$T$20,8,false)*HLOOKUP($K2409,'Type Chart'!$C$2:$U$20,8,false)</f>
        <v>1</v>
      </c>
      <c r="AB2409" s="960">
        <f t="array" ref="AB2409">HLOOKUP($J2409,'Type Chart'!$C$2:$T$20,9,false)*HLOOKUP($K2409,'Type Chart'!$C$2:$U$20,9,false)</f>
        <v>0</v>
      </c>
      <c r="AC2409" s="960">
        <f t="array" ref="AC2409">HLOOKUP($J2409,'Type Chart'!$C$2:$T$20,10,false)*HLOOKUP($K2409,'Type Chart'!$C$2:$U$20,10,false)</f>
        <v>1</v>
      </c>
      <c r="AD2409" s="960">
        <f t="array" ref="AD2409">HLOOKUP($J2409,'Type Chart'!$C$2:$T$20,11,false)*HLOOKUP($K2409,'Type Chart'!$C$2:$U$20,11,false)</f>
        <v>1</v>
      </c>
      <c r="AE2409" s="960">
        <f t="array" ref="AE2409">HLOOKUP($J2409,'Type Chart'!$C$2:$T$20,12,false)*HLOOKUP($K2409,'Type Chart'!$C$2:$U$20,12,false)</f>
        <v>1</v>
      </c>
      <c r="AF2409" s="960">
        <f t="array" ref="AF2409">HLOOKUP($J2409,'Type Chart'!$C$2:$T$20,13,false)*HLOOKUP($K2409,'Type Chart'!$C$2:$U$20,13,false)</f>
        <v>1</v>
      </c>
      <c r="AG2409" s="960">
        <f t="array" ref="AG2409">HLOOKUP($J2409,'Type Chart'!$C$2:$T$20,14,false)*HLOOKUP($K2409,'Type Chart'!$C$2:$U$20,14,false)</f>
        <v>1</v>
      </c>
      <c r="AH2409" s="960">
        <f t="array" ref="AH2409">HLOOKUP($J2409,'Type Chart'!$C$2:$T$20,15,false)*HLOOKUP($K2409,'Type Chart'!$C$2:$U$20,15,false)</f>
        <v>1</v>
      </c>
      <c r="AI2409" s="960">
        <f t="array" ref="AI2409">HLOOKUP($J2409,'Type Chart'!$C$2:$T$20,16,false)*HLOOKUP($K2409,'Type Chart'!$C$2:$U$20,16,false)</f>
        <v>1</v>
      </c>
      <c r="AJ2409" s="960">
        <f t="array" ref="AJ2409">HLOOKUP($J2409,'Type Chart'!$C$2:$T$20,17,false)*HLOOKUP($K2409,'Type Chart'!$C$2:$U$20,17,false)</f>
        <v>1</v>
      </c>
      <c r="AK2409" s="960">
        <f t="array" ref="AK2409">HLOOKUP($J2409,'Type Chart'!$C$2:$T$20,18,false)*HLOOKUP($K2409,'Type Chart'!$C$2:$U$20,18,false)</f>
        <v>1</v>
      </c>
      <c r="AL2409" s="960">
        <f t="array" ref="AL2409">HLOOKUP($J2409,'Type Chart'!$C$2:$T$20,19,false)*HLOOKUP($K2409,'Type Chart'!$C$2:$U$20,19,false)</f>
        <v>1</v>
      </c>
      <c r="AM2409" s="964" t="s">
        <v>4166</v>
      </c>
      <c r="AN2409" s="964" t="s">
        <v>1044</v>
      </c>
      <c r="AO2409" s="966" t="s">
        <v>760</v>
      </c>
      <c r="AP2409" s="936"/>
      <c r="AQ2409" s="1245"/>
      <c r="AR2409" s="1245"/>
      <c r="AS2409" s="936"/>
    </row>
    <row r="2410" ht="15.75" customHeight="1">
      <c r="A2410" s="1099"/>
      <c r="B2410" s="948" t="s">
        <v>4167</v>
      </c>
      <c r="C2410" s="1197" t="s">
        <v>4168</v>
      </c>
      <c r="D2410" s="1197" t="s">
        <v>4169</v>
      </c>
      <c r="E2410" s="1147" t="s">
        <v>4168</v>
      </c>
      <c r="F2410" s="940"/>
      <c r="G2410" s="953"/>
      <c r="H2410" s="969"/>
      <c r="I2410" s="998" t="s">
        <v>5502</v>
      </c>
      <c r="J2410" s="1194" t="s">
        <v>136</v>
      </c>
      <c r="K2410" s="1235" t="s">
        <v>216</v>
      </c>
      <c r="L2410" s="959">
        <v>125.0</v>
      </c>
      <c r="M2410" s="960">
        <v>100.0</v>
      </c>
      <c r="N2410" s="960">
        <v>80.0</v>
      </c>
      <c r="O2410" s="960">
        <v>85.0</v>
      </c>
      <c r="P2410" s="960">
        <v>75.0</v>
      </c>
      <c r="Q2410" s="960">
        <v>55.0</v>
      </c>
      <c r="R2410" s="960">
        <v>146.0</v>
      </c>
      <c r="S2410" s="960">
        <v>209.0</v>
      </c>
      <c r="T2410" s="960">
        <v>229.0</v>
      </c>
      <c r="U2410" s="960">
        <f t="array" ref="U2410">HLOOKUP($J2410,'Type Chart'!$C$2:$T$20,2,false)*HLOOKUP($K2410,'Type Chart'!$C$2:$U$20,2,false)</f>
        <v>1</v>
      </c>
      <c r="V2410" s="960">
        <f t="array" ref="V2410">HLOOKUP($J2410,'Type Chart'!$C$2:$T$20,3,false)*HLOOKUP($K2410,'Type Chart'!$C$2:$U$20,3,false)</f>
        <v>2</v>
      </c>
      <c r="W2410" s="960">
        <f t="array" ref="W2410">HLOOKUP($J2410,'Type Chart'!$C$2:$T$20,4,false)*HLOOKUP($K2410,'Type Chart'!$C$2:$U$20,4,false)</f>
        <v>1</v>
      </c>
      <c r="X2410" s="960">
        <f t="array" ref="X2410">HLOOKUP($J2410,'Type Chart'!$C$2:$T$20,5,false)*HLOOKUP($K2410,'Type Chart'!$C$2:$U$20,5,false)</f>
        <v>1</v>
      </c>
      <c r="Y2410" s="960">
        <f t="array" ref="Y2410">HLOOKUP($J2410,'Type Chart'!$C$2:$T$20,6,false)*HLOOKUP($K2410,'Type Chart'!$C$2:$U$20,6,false)</f>
        <v>1</v>
      </c>
      <c r="Z2410" s="960">
        <f t="array" ref="Z2410">HLOOKUP($J2410,'Type Chart'!$C$2:$T$20,7,false)*HLOOKUP($K2410,'Type Chart'!$C$2:$U$20,7,false)</f>
        <v>1</v>
      </c>
      <c r="AA2410" s="960">
        <f t="array" ref="AA2410">HLOOKUP($J2410,'Type Chart'!$C$2:$T$20,8,false)*HLOOKUP($K2410,'Type Chart'!$C$2:$U$20,8,false)</f>
        <v>1</v>
      </c>
      <c r="AB2410" s="960">
        <f t="array" ref="AB2410">HLOOKUP($J2410,'Type Chart'!$C$2:$T$20,9,false)*HLOOKUP($K2410,'Type Chart'!$C$2:$U$20,9,false)</f>
        <v>0</v>
      </c>
      <c r="AC2410" s="960">
        <f t="array" ref="AC2410">HLOOKUP($J2410,'Type Chart'!$C$2:$T$20,10,false)*HLOOKUP($K2410,'Type Chart'!$C$2:$U$20,10,false)</f>
        <v>1</v>
      </c>
      <c r="AD2410" s="960">
        <f t="array" ref="AD2410">HLOOKUP($J2410,'Type Chart'!$C$2:$T$20,11,false)*HLOOKUP($K2410,'Type Chart'!$C$2:$U$20,11,false)</f>
        <v>1</v>
      </c>
      <c r="AE2410" s="960">
        <f t="array" ref="AE2410">HLOOKUP($J2410,'Type Chart'!$C$2:$T$20,12,false)*HLOOKUP($K2410,'Type Chart'!$C$2:$U$20,12,false)</f>
        <v>1</v>
      </c>
      <c r="AF2410" s="960">
        <f t="array" ref="AF2410">HLOOKUP($J2410,'Type Chart'!$C$2:$T$20,13,false)*HLOOKUP($K2410,'Type Chart'!$C$2:$U$20,13,false)</f>
        <v>1</v>
      </c>
      <c r="AG2410" s="960">
        <f t="array" ref="AG2410">HLOOKUP($J2410,'Type Chart'!$C$2:$T$20,14,false)*HLOOKUP($K2410,'Type Chart'!$C$2:$U$20,14,false)</f>
        <v>1</v>
      </c>
      <c r="AH2410" s="960">
        <f t="array" ref="AH2410">HLOOKUP($J2410,'Type Chart'!$C$2:$T$20,15,false)*HLOOKUP($K2410,'Type Chart'!$C$2:$U$20,15,false)</f>
        <v>1</v>
      </c>
      <c r="AI2410" s="960">
        <f t="array" ref="AI2410">HLOOKUP($J2410,'Type Chart'!$C$2:$T$20,16,false)*HLOOKUP($K2410,'Type Chart'!$C$2:$U$20,16,false)</f>
        <v>1</v>
      </c>
      <c r="AJ2410" s="960">
        <f t="array" ref="AJ2410">HLOOKUP($J2410,'Type Chart'!$C$2:$T$20,17,false)*HLOOKUP($K2410,'Type Chart'!$C$2:$U$20,17,false)</f>
        <v>1</v>
      </c>
      <c r="AK2410" s="960">
        <f t="array" ref="AK2410">HLOOKUP($J2410,'Type Chart'!$C$2:$T$20,18,false)*HLOOKUP($K2410,'Type Chart'!$C$2:$U$20,18,false)</f>
        <v>1</v>
      </c>
      <c r="AL2410" s="960">
        <f t="array" ref="AL2410">HLOOKUP($J2410,'Type Chart'!$C$2:$T$20,19,false)*HLOOKUP($K2410,'Type Chart'!$C$2:$U$20,19,false)</f>
        <v>1</v>
      </c>
      <c r="AM2410" s="964" t="s">
        <v>3373</v>
      </c>
      <c r="AN2410" s="964" t="s">
        <v>1044</v>
      </c>
      <c r="AO2410" s="966" t="s">
        <v>760</v>
      </c>
      <c r="AP2410" s="936"/>
      <c r="AQ2410" s="1245"/>
      <c r="AR2410" s="1245"/>
      <c r="AS2410" s="936"/>
    </row>
    <row r="2411" ht="15.75" customHeight="1">
      <c r="A2411" s="1099"/>
      <c r="B2411" s="948" t="s">
        <v>4171</v>
      </c>
      <c r="C2411" s="1197" t="s">
        <v>4172</v>
      </c>
      <c r="D2411" s="1197" t="s">
        <v>4172</v>
      </c>
      <c r="E2411" s="1147" t="s">
        <v>4172</v>
      </c>
      <c r="F2411" s="940"/>
      <c r="G2411" s="953"/>
      <c r="H2411" s="969"/>
      <c r="I2411" s="998" t="s">
        <v>5503</v>
      </c>
      <c r="J2411" s="1194" t="s">
        <v>136</v>
      </c>
      <c r="K2411" s="1235" t="s">
        <v>216</v>
      </c>
      <c r="L2411" s="959">
        <v>125.0</v>
      </c>
      <c r="M2411" s="960">
        <v>100.0</v>
      </c>
      <c r="N2411" s="960">
        <v>80.0</v>
      </c>
      <c r="O2411" s="960">
        <v>85.0</v>
      </c>
      <c r="P2411" s="960">
        <v>75.0</v>
      </c>
      <c r="Q2411" s="960">
        <v>55.0</v>
      </c>
      <c r="R2411" s="960">
        <v>146.0</v>
      </c>
      <c r="S2411" s="960">
        <v>209.0</v>
      </c>
      <c r="T2411" s="960">
        <v>229.0</v>
      </c>
      <c r="U2411" s="960">
        <f t="array" ref="U2411">HLOOKUP($J2411,'Type Chart'!$C$2:$T$20,2,false)*HLOOKUP($K2411,'Type Chart'!$C$2:$U$20,2,false)</f>
        <v>1</v>
      </c>
      <c r="V2411" s="960">
        <f t="array" ref="V2411">HLOOKUP($J2411,'Type Chart'!$C$2:$T$20,3,false)*HLOOKUP($K2411,'Type Chart'!$C$2:$U$20,3,false)</f>
        <v>2</v>
      </c>
      <c r="W2411" s="960">
        <f t="array" ref="W2411">HLOOKUP($J2411,'Type Chart'!$C$2:$T$20,4,false)*HLOOKUP($K2411,'Type Chart'!$C$2:$U$20,4,false)</f>
        <v>1</v>
      </c>
      <c r="X2411" s="960">
        <f t="array" ref="X2411">HLOOKUP($J2411,'Type Chart'!$C$2:$T$20,5,false)*HLOOKUP($K2411,'Type Chart'!$C$2:$U$20,5,false)</f>
        <v>1</v>
      </c>
      <c r="Y2411" s="960">
        <f t="array" ref="Y2411">HLOOKUP($J2411,'Type Chart'!$C$2:$T$20,6,false)*HLOOKUP($K2411,'Type Chart'!$C$2:$U$20,6,false)</f>
        <v>1</v>
      </c>
      <c r="Z2411" s="960">
        <f t="array" ref="Z2411">HLOOKUP($J2411,'Type Chart'!$C$2:$T$20,7,false)*HLOOKUP($K2411,'Type Chart'!$C$2:$U$20,7,false)</f>
        <v>1</v>
      </c>
      <c r="AA2411" s="960">
        <f t="array" ref="AA2411">HLOOKUP($J2411,'Type Chart'!$C$2:$T$20,8,false)*HLOOKUP($K2411,'Type Chart'!$C$2:$U$20,8,false)</f>
        <v>1</v>
      </c>
      <c r="AB2411" s="960">
        <f t="array" ref="AB2411">HLOOKUP($J2411,'Type Chart'!$C$2:$T$20,9,false)*HLOOKUP($K2411,'Type Chart'!$C$2:$U$20,9,false)</f>
        <v>0</v>
      </c>
      <c r="AC2411" s="960">
        <f t="array" ref="AC2411">HLOOKUP($J2411,'Type Chart'!$C$2:$T$20,10,false)*HLOOKUP($K2411,'Type Chart'!$C$2:$U$20,10,false)</f>
        <v>1</v>
      </c>
      <c r="AD2411" s="960">
        <f t="array" ref="AD2411">HLOOKUP($J2411,'Type Chart'!$C$2:$T$20,11,false)*HLOOKUP($K2411,'Type Chart'!$C$2:$U$20,11,false)</f>
        <v>1</v>
      </c>
      <c r="AE2411" s="960">
        <f t="array" ref="AE2411">HLOOKUP($J2411,'Type Chart'!$C$2:$T$20,12,false)*HLOOKUP($K2411,'Type Chart'!$C$2:$U$20,12,false)</f>
        <v>1</v>
      </c>
      <c r="AF2411" s="960">
        <f t="array" ref="AF2411">HLOOKUP($J2411,'Type Chart'!$C$2:$T$20,13,false)*HLOOKUP($K2411,'Type Chart'!$C$2:$U$20,13,false)</f>
        <v>1</v>
      </c>
      <c r="AG2411" s="960">
        <f t="array" ref="AG2411">HLOOKUP($J2411,'Type Chart'!$C$2:$T$20,14,false)*HLOOKUP($K2411,'Type Chart'!$C$2:$U$20,14,false)</f>
        <v>1</v>
      </c>
      <c r="AH2411" s="960">
        <f t="array" ref="AH2411">HLOOKUP($J2411,'Type Chart'!$C$2:$T$20,15,false)*HLOOKUP($K2411,'Type Chart'!$C$2:$U$20,15,false)</f>
        <v>1</v>
      </c>
      <c r="AI2411" s="960">
        <f t="array" ref="AI2411">HLOOKUP($J2411,'Type Chart'!$C$2:$T$20,16,false)*HLOOKUP($K2411,'Type Chart'!$C$2:$U$20,16,false)</f>
        <v>1</v>
      </c>
      <c r="AJ2411" s="960">
        <f t="array" ref="AJ2411">HLOOKUP($J2411,'Type Chart'!$C$2:$T$20,17,false)*HLOOKUP($K2411,'Type Chart'!$C$2:$U$20,17,false)</f>
        <v>1</v>
      </c>
      <c r="AK2411" s="960">
        <f t="array" ref="AK2411">HLOOKUP($J2411,'Type Chart'!$C$2:$T$20,18,false)*HLOOKUP($K2411,'Type Chart'!$C$2:$U$20,18,false)</f>
        <v>1</v>
      </c>
      <c r="AL2411" s="960">
        <f t="array" ref="AL2411">HLOOKUP($J2411,'Type Chart'!$C$2:$T$20,19,false)*HLOOKUP($K2411,'Type Chart'!$C$2:$U$20,19,false)</f>
        <v>1</v>
      </c>
      <c r="AM2411" s="964" t="s">
        <v>1521</v>
      </c>
      <c r="AN2411" s="964" t="s">
        <v>988</v>
      </c>
      <c r="AO2411" s="966" t="s">
        <v>1243</v>
      </c>
      <c r="AP2411" s="936"/>
      <c r="AQ2411" s="1245"/>
      <c r="AR2411" s="1245"/>
      <c r="AS2411" s="936"/>
    </row>
    <row r="2412" ht="15.75" customHeight="1">
      <c r="A2412" s="1099"/>
      <c r="B2412" s="948">
        <v>918.0</v>
      </c>
      <c r="C2412" s="1197" t="s">
        <v>4173</v>
      </c>
      <c r="D2412" s="1197" t="s">
        <v>4173</v>
      </c>
      <c r="E2412" s="1147" t="s">
        <v>4173</v>
      </c>
      <c r="F2412" s="940"/>
      <c r="G2412" s="953"/>
      <c r="H2412" s="969"/>
      <c r="I2412" s="998" t="s">
        <v>5504</v>
      </c>
      <c r="J2412" s="1225" t="s">
        <v>343</v>
      </c>
      <c r="K2412" s="1235" t="s">
        <v>216</v>
      </c>
      <c r="L2412" s="1200">
        <v>35.0</v>
      </c>
      <c r="M2412" s="1201">
        <v>41.0</v>
      </c>
      <c r="N2412" s="1201">
        <v>45.0</v>
      </c>
      <c r="O2412" s="1201">
        <v>29.0</v>
      </c>
      <c r="P2412" s="1201">
        <v>40.0</v>
      </c>
      <c r="Q2412" s="1201">
        <v>20.0</v>
      </c>
      <c r="R2412" s="960">
        <v>76.0</v>
      </c>
      <c r="S2412" s="960">
        <v>139.0</v>
      </c>
      <c r="T2412" s="960">
        <v>152.0</v>
      </c>
      <c r="U2412" s="960">
        <f t="array" ref="U2412">HLOOKUP($J2412,'Type Chart'!$C$2:$T$20,2,false)*HLOOKUP($K2412,'Type Chart'!$C$2:$U$20,2,false)</f>
        <v>1</v>
      </c>
      <c r="V2412" s="960">
        <f t="array" ref="V2412">HLOOKUP($J2412,'Type Chart'!$C$2:$T$20,3,false)*HLOOKUP($K2412,'Type Chart'!$C$2:$U$20,3,false)</f>
        <v>0.5</v>
      </c>
      <c r="W2412" s="960">
        <f t="array" ref="W2412">HLOOKUP($J2412,'Type Chart'!$C$2:$T$20,4,false)*HLOOKUP($K2412,'Type Chart'!$C$2:$U$20,4,false)</f>
        <v>2</v>
      </c>
      <c r="X2412" s="960">
        <f t="array" ref="X2412">HLOOKUP($J2412,'Type Chart'!$C$2:$T$20,5,false)*HLOOKUP($K2412,'Type Chart'!$C$2:$U$20,5,false)</f>
        <v>1</v>
      </c>
      <c r="Y2412" s="960">
        <f t="array" ref="Y2412">HLOOKUP($J2412,'Type Chart'!$C$2:$T$20,6,false)*HLOOKUP($K2412,'Type Chart'!$C$2:$U$20,6,false)</f>
        <v>0.5</v>
      </c>
      <c r="Z2412" s="960">
        <f t="array" ref="Z2412">HLOOKUP($J2412,'Type Chart'!$C$2:$T$20,7,false)*HLOOKUP($K2412,'Type Chart'!$C$2:$U$20,7,false)</f>
        <v>2</v>
      </c>
      <c r="AA2412" s="960">
        <f t="array" ref="AA2412">HLOOKUP($J2412,'Type Chart'!$C$2:$T$20,8,false)*HLOOKUP($K2412,'Type Chart'!$C$2:$U$20,8,false)</f>
        <v>1</v>
      </c>
      <c r="AB2412" s="960">
        <f t="array" ref="AB2412">HLOOKUP($J2412,'Type Chart'!$C$2:$T$20,9,false)*HLOOKUP($K2412,'Type Chart'!$C$2:$U$20,9,false)</f>
        <v>1</v>
      </c>
      <c r="AC2412" s="960">
        <f t="array" ref="AC2412">HLOOKUP($J2412,'Type Chart'!$C$2:$T$20,10,false)*HLOOKUP($K2412,'Type Chart'!$C$2:$U$20,10,false)</f>
        <v>1</v>
      </c>
      <c r="AD2412" s="960">
        <f t="array" ref="AD2412">HLOOKUP($J2412,'Type Chart'!$C$2:$T$20,11,false)*HLOOKUP($K2412,'Type Chart'!$C$2:$U$20,11,false)</f>
        <v>2</v>
      </c>
      <c r="AE2412" s="960">
        <f t="array" ref="AE2412">HLOOKUP($J2412,'Type Chart'!$C$2:$T$20,12,false)*HLOOKUP($K2412,'Type Chart'!$C$2:$U$20,12,false)</f>
        <v>1</v>
      </c>
      <c r="AF2412" s="960">
        <f t="array" ref="AF2412">HLOOKUP($J2412,'Type Chart'!$C$2:$T$20,13,false)*HLOOKUP($K2412,'Type Chart'!$C$2:$U$20,13,false)</f>
        <v>0.5</v>
      </c>
      <c r="AG2412" s="960">
        <f t="array" ref="AG2412">HLOOKUP($J2412,'Type Chart'!$C$2:$T$20,14,false)*HLOOKUP($K2412,'Type Chart'!$C$2:$U$20,14,false)</f>
        <v>1</v>
      </c>
      <c r="AH2412" s="960">
        <f t="array" ref="AH2412">HLOOKUP($J2412,'Type Chart'!$C$2:$T$20,15,false)*HLOOKUP($K2412,'Type Chart'!$C$2:$U$20,15,false)</f>
        <v>1</v>
      </c>
      <c r="AI2412" s="960">
        <f t="array" ref="AI2412">HLOOKUP($J2412,'Type Chart'!$C$2:$T$20,16,false)*HLOOKUP($K2412,'Type Chart'!$C$2:$U$20,16,false)</f>
        <v>1</v>
      </c>
      <c r="AJ2412" s="960">
        <f t="array" ref="AJ2412">HLOOKUP($J2412,'Type Chart'!$C$2:$T$20,17,false)*HLOOKUP($K2412,'Type Chart'!$C$2:$U$20,17,false)</f>
        <v>1</v>
      </c>
      <c r="AK2412" s="960">
        <f t="array" ref="AK2412">HLOOKUP($J2412,'Type Chart'!$C$2:$T$20,18,false)*HLOOKUP($K2412,'Type Chart'!$C$2:$U$20,18,false)</f>
        <v>1</v>
      </c>
      <c r="AL2412" s="960">
        <f t="array" ref="AL2412">HLOOKUP($J2412,'Type Chart'!$C$2:$T$20,19,false)*HLOOKUP($K2412,'Type Chart'!$C$2:$U$20,19,false)</f>
        <v>1</v>
      </c>
      <c r="AM2412" s="1145" t="s">
        <v>1454</v>
      </c>
      <c r="AN2412" s="1145"/>
      <c r="AO2412" s="1146" t="s">
        <v>3548</v>
      </c>
      <c r="AP2412" s="936"/>
      <c r="AQ2412" s="1245"/>
      <c r="AR2412" s="1245"/>
      <c r="AS2412" s="936"/>
    </row>
    <row r="2413" ht="15.75" customHeight="1">
      <c r="A2413" s="1099"/>
      <c r="B2413" s="948">
        <v>919.0</v>
      </c>
      <c r="C2413" s="1197" t="s">
        <v>4175</v>
      </c>
      <c r="D2413" s="1197" t="s">
        <v>4175</v>
      </c>
      <c r="E2413" s="1147" t="s">
        <v>4175</v>
      </c>
      <c r="F2413" s="940"/>
      <c r="G2413" s="953"/>
      <c r="H2413" s="969"/>
      <c r="I2413" s="998" t="s">
        <v>5505</v>
      </c>
      <c r="J2413" s="1180" t="s">
        <v>343</v>
      </c>
      <c r="K2413" s="1235" t="s">
        <v>216</v>
      </c>
      <c r="L2413" s="959">
        <v>60.0</v>
      </c>
      <c r="M2413" s="960">
        <v>79.0</v>
      </c>
      <c r="N2413" s="960">
        <v>92.0</v>
      </c>
      <c r="O2413" s="960">
        <v>52.0</v>
      </c>
      <c r="P2413" s="960">
        <v>86.0</v>
      </c>
      <c r="Q2413" s="960">
        <v>35.0</v>
      </c>
      <c r="R2413" s="960">
        <v>106.0</v>
      </c>
      <c r="S2413" s="960">
        <v>169.0</v>
      </c>
      <c r="T2413" s="960">
        <v>185.0</v>
      </c>
      <c r="U2413" s="960">
        <f t="array" ref="U2413">HLOOKUP($J2413,'Type Chart'!$C$2:$T$20,2,false)*HLOOKUP($K2413,'Type Chart'!$C$2:$U$20,2,false)</f>
        <v>1</v>
      </c>
      <c r="V2413" s="960">
        <f t="array" ref="V2413">HLOOKUP($J2413,'Type Chart'!$C$2:$T$20,3,false)*HLOOKUP($K2413,'Type Chart'!$C$2:$U$20,3,false)</f>
        <v>0.5</v>
      </c>
      <c r="W2413" s="960">
        <f t="array" ref="W2413">HLOOKUP($J2413,'Type Chart'!$C$2:$T$20,4,false)*HLOOKUP($K2413,'Type Chart'!$C$2:$U$20,4,false)</f>
        <v>2</v>
      </c>
      <c r="X2413" s="960">
        <f t="array" ref="X2413">HLOOKUP($J2413,'Type Chart'!$C$2:$T$20,5,false)*HLOOKUP($K2413,'Type Chart'!$C$2:$U$20,5,false)</f>
        <v>1</v>
      </c>
      <c r="Y2413" s="960">
        <f t="array" ref="Y2413">HLOOKUP($J2413,'Type Chart'!$C$2:$T$20,6,false)*HLOOKUP($K2413,'Type Chart'!$C$2:$U$20,6,false)</f>
        <v>0.5</v>
      </c>
      <c r="Z2413" s="960">
        <f t="array" ref="Z2413">HLOOKUP($J2413,'Type Chart'!$C$2:$T$20,7,false)*HLOOKUP($K2413,'Type Chart'!$C$2:$U$20,7,false)</f>
        <v>2</v>
      </c>
      <c r="AA2413" s="960">
        <f t="array" ref="AA2413">HLOOKUP($J2413,'Type Chart'!$C$2:$T$20,8,false)*HLOOKUP($K2413,'Type Chart'!$C$2:$U$20,8,false)</f>
        <v>1</v>
      </c>
      <c r="AB2413" s="960">
        <f t="array" ref="AB2413">HLOOKUP($J2413,'Type Chart'!$C$2:$T$20,9,false)*HLOOKUP($K2413,'Type Chart'!$C$2:$U$20,9,false)</f>
        <v>1</v>
      </c>
      <c r="AC2413" s="960">
        <f t="array" ref="AC2413">HLOOKUP($J2413,'Type Chart'!$C$2:$T$20,10,false)*HLOOKUP($K2413,'Type Chart'!$C$2:$U$20,10,false)</f>
        <v>1</v>
      </c>
      <c r="AD2413" s="960">
        <f t="array" ref="AD2413">HLOOKUP($J2413,'Type Chart'!$C$2:$T$20,11,false)*HLOOKUP($K2413,'Type Chart'!$C$2:$U$20,11,false)</f>
        <v>2</v>
      </c>
      <c r="AE2413" s="960">
        <f t="array" ref="AE2413">HLOOKUP($J2413,'Type Chart'!$C$2:$T$20,12,false)*HLOOKUP($K2413,'Type Chart'!$C$2:$U$20,12,false)</f>
        <v>1</v>
      </c>
      <c r="AF2413" s="960">
        <f t="array" ref="AF2413">HLOOKUP($J2413,'Type Chart'!$C$2:$T$20,13,false)*HLOOKUP($K2413,'Type Chart'!$C$2:$U$20,13,false)</f>
        <v>0.5</v>
      </c>
      <c r="AG2413" s="960">
        <f t="array" ref="AG2413">HLOOKUP($J2413,'Type Chart'!$C$2:$T$20,14,false)*HLOOKUP($K2413,'Type Chart'!$C$2:$U$20,14,false)</f>
        <v>1</v>
      </c>
      <c r="AH2413" s="960">
        <f t="array" ref="AH2413">HLOOKUP($J2413,'Type Chart'!$C$2:$T$20,15,false)*HLOOKUP($K2413,'Type Chart'!$C$2:$U$20,15,false)</f>
        <v>1</v>
      </c>
      <c r="AI2413" s="960">
        <f t="array" ref="AI2413">HLOOKUP($J2413,'Type Chart'!$C$2:$T$20,16,false)*HLOOKUP($K2413,'Type Chart'!$C$2:$U$20,16,false)</f>
        <v>1</v>
      </c>
      <c r="AJ2413" s="960">
        <f t="array" ref="AJ2413">HLOOKUP($J2413,'Type Chart'!$C$2:$T$20,17,false)*HLOOKUP($K2413,'Type Chart'!$C$2:$U$20,17,false)</f>
        <v>1</v>
      </c>
      <c r="AK2413" s="960">
        <f t="array" ref="AK2413">HLOOKUP($J2413,'Type Chart'!$C$2:$T$20,18,false)*HLOOKUP($K2413,'Type Chart'!$C$2:$U$20,18,false)</f>
        <v>1</v>
      </c>
      <c r="AL2413" s="960">
        <f t="array" ref="AL2413">HLOOKUP($J2413,'Type Chart'!$C$2:$T$20,19,false)*HLOOKUP($K2413,'Type Chart'!$C$2:$U$20,19,false)</f>
        <v>1</v>
      </c>
      <c r="AM2413" s="964" t="s">
        <v>1454</v>
      </c>
      <c r="AN2413" s="964"/>
      <c r="AO2413" s="966" t="s">
        <v>3548</v>
      </c>
      <c r="AP2413" s="936"/>
      <c r="AQ2413" s="1245"/>
      <c r="AR2413" s="1245"/>
      <c r="AS2413" s="936"/>
    </row>
    <row r="2414" ht="15.75" customHeight="1">
      <c r="A2414" s="1099"/>
      <c r="B2414" s="948">
        <v>920.0</v>
      </c>
      <c r="C2414" s="1197" t="s">
        <v>4176</v>
      </c>
      <c r="D2414" s="1197" t="s">
        <v>4176</v>
      </c>
      <c r="E2414" s="1147" t="s">
        <v>4176</v>
      </c>
      <c r="F2414" s="940"/>
      <c r="G2414" s="953"/>
      <c r="H2414" s="969"/>
      <c r="I2414" s="998" t="s">
        <v>5506</v>
      </c>
      <c r="J2414" s="1225" t="s">
        <v>343</v>
      </c>
      <c r="K2414" s="1235" t="s">
        <v>216</v>
      </c>
      <c r="L2414" s="1200">
        <v>33.0</v>
      </c>
      <c r="M2414" s="1201">
        <v>46.0</v>
      </c>
      <c r="N2414" s="1201">
        <v>40.0</v>
      </c>
      <c r="O2414" s="1201">
        <v>21.0</v>
      </c>
      <c r="P2414" s="1201">
        <v>25.0</v>
      </c>
      <c r="Q2414" s="1201">
        <v>45.0</v>
      </c>
      <c r="R2414" s="960">
        <v>126.0</v>
      </c>
      <c r="S2414" s="960">
        <v>189.0</v>
      </c>
      <c r="T2414" s="960">
        <v>207.0</v>
      </c>
      <c r="U2414" s="960">
        <f t="array" ref="U2414">HLOOKUP($J2414,'Type Chart'!$C$2:$T$20,2,false)*HLOOKUP($K2414,'Type Chart'!$C$2:$U$20,2,false)</f>
        <v>1</v>
      </c>
      <c r="V2414" s="960">
        <f t="array" ref="V2414">HLOOKUP($J2414,'Type Chart'!$C$2:$T$20,3,false)*HLOOKUP($K2414,'Type Chart'!$C$2:$U$20,3,false)</f>
        <v>0.5</v>
      </c>
      <c r="W2414" s="960">
        <f t="array" ref="W2414">HLOOKUP($J2414,'Type Chart'!$C$2:$T$20,4,false)*HLOOKUP($K2414,'Type Chart'!$C$2:$U$20,4,false)</f>
        <v>2</v>
      </c>
      <c r="X2414" s="960">
        <f t="array" ref="X2414">HLOOKUP($J2414,'Type Chart'!$C$2:$T$20,5,false)*HLOOKUP($K2414,'Type Chart'!$C$2:$U$20,5,false)</f>
        <v>1</v>
      </c>
      <c r="Y2414" s="960">
        <f t="array" ref="Y2414">HLOOKUP($J2414,'Type Chart'!$C$2:$T$20,6,false)*HLOOKUP($K2414,'Type Chart'!$C$2:$U$20,6,false)</f>
        <v>0.5</v>
      </c>
      <c r="Z2414" s="960">
        <f t="array" ref="Z2414">HLOOKUP($J2414,'Type Chart'!$C$2:$T$20,7,false)*HLOOKUP($K2414,'Type Chart'!$C$2:$U$20,7,false)</f>
        <v>2</v>
      </c>
      <c r="AA2414" s="960">
        <f t="array" ref="AA2414">HLOOKUP($J2414,'Type Chart'!$C$2:$T$20,8,false)*HLOOKUP($K2414,'Type Chart'!$C$2:$U$20,8,false)</f>
        <v>1</v>
      </c>
      <c r="AB2414" s="960">
        <f t="array" ref="AB2414">HLOOKUP($J2414,'Type Chart'!$C$2:$T$20,9,false)*HLOOKUP($K2414,'Type Chart'!$C$2:$U$20,9,false)</f>
        <v>1</v>
      </c>
      <c r="AC2414" s="960">
        <f t="array" ref="AC2414">HLOOKUP($J2414,'Type Chart'!$C$2:$T$20,10,false)*HLOOKUP($K2414,'Type Chart'!$C$2:$U$20,10,false)</f>
        <v>1</v>
      </c>
      <c r="AD2414" s="960">
        <f t="array" ref="AD2414">HLOOKUP($J2414,'Type Chart'!$C$2:$T$20,11,false)*HLOOKUP($K2414,'Type Chart'!$C$2:$U$20,11,false)</f>
        <v>2</v>
      </c>
      <c r="AE2414" s="960">
        <f t="array" ref="AE2414">HLOOKUP($J2414,'Type Chart'!$C$2:$T$20,12,false)*HLOOKUP($K2414,'Type Chart'!$C$2:$U$20,12,false)</f>
        <v>1</v>
      </c>
      <c r="AF2414" s="960">
        <f t="array" ref="AF2414">HLOOKUP($J2414,'Type Chart'!$C$2:$T$20,13,false)*HLOOKUP($K2414,'Type Chart'!$C$2:$U$20,13,false)</f>
        <v>0.5</v>
      </c>
      <c r="AG2414" s="960">
        <f t="array" ref="AG2414">HLOOKUP($J2414,'Type Chart'!$C$2:$T$20,14,false)*HLOOKUP($K2414,'Type Chart'!$C$2:$U$20,14,false)</f>
        <v>1</v>
      </c>
      <c r="AH2414" s="960">
        <f t="array" ref="AH2414">HLOOKUP($J2414,'Type Chart'!$C$2:$T$20,15,false)*HLOOKUP($K2414,'Type Chart'!$C$2:$U$20,15,false)</f>
        <v>1</v>
      </c>
      <c r="AI2414" s="960">
        <f t="array" ref="AI2414">HLOOKUP($J2414,'Type Chart'!$C$2:$T$20,16,false)*HLOOKUP($K2414,'Type Chart'!$C$2:$U$20,16,false)</f>
        <v>1</v>
      </c>
      <c r="AJ2414" s="960">
        <f t="array" ref="AJ2414">HLOOKUP($J2414,'Type Chart'!$C$2:$T$20,17,false)*HLOOKUP($K2414,'Type Chart'!$C$2:$U$20,17,false)</f>
        <v>1</v>
      </c>
      <c r="AK2414" s="960">
        <f t="array" ref="AK2414">HLOOKUP($J2414,'Type Chart'!$C$2:$T$20,18,false)*HLOOKUP($K2414,'Type Chart'!$C$2:$U$20,18,false)</f>
        <v>1</v>
      </c>
      <c r="AL2414" s="960">
        <f t="array" ref="AL2414">HLOOKUP($J2414,'Type Chart'!$C$2:$T$20,19,false)*HLOOKUP($K2414,'Type Chart'!$C$2:$U$20,19,false)</f>
        <v>1</v>
      </c>
      <c r="AM2414" s="1145" t="s">
        <v>1013</v>
      </c>
      <c r="AN2414" s="965"/>
      <c r="AO2414" s="966" t="s">
        <v>1003</v>
      </c>
      <c r="AP2414" s="936"/>
      <c r="AQ2414" s="1245"/>
      <c r="AR2414" s="1245"/>
      <c r="AS2414" s="936"/>
    </row>
    <row r="2415" ht="15.75" customHeight="1">
      <c r="A2415" s="1099"/>
      <c r="B2415" s="948">
        <v>921.0</v>
      </c>
      <c r="C2415" s="1197" t="s">
        <v>4178</v>
      </c>
      <c r="D2415" s="1197" t="s">
        <v>4178</v>
      </c>
      <c r="E2415" s="1147" t="s">
        <v>4178</v>
      </c>
      <c r="F2415" s="940"/>
      <c r="G2415" s="953"/>
      <c r="H2415" s="969"/>
      <c r="I2415" s="998" t="s">
        <v>5507</v>
      </c>
      <c r="J2415" s="1225" t="s">
        <v>343</v>
      </c>
      <c r="K2415" s="1229" t="s">
        <v>193</v>
      </c>
      <c r="L2415" s="1200">
        <v>71.0</v>
      </c>
      <c r="M2415" s="1201">
        <v>102.0</v>
      </c>
      <c r="N2415" s="1201">
        <v>78.0</v>
      </c>
      <c r="O2415" s="1201">
        <v>52.0</v>
      </c>
      <c r="P2415" s="1201">
        <v>55.0</v>
      </c>
      <c r="Q2415" s="1201">
        <v>92.0</v>
      </c>
      <c r="R2415" s="960">
        <v>220.0</v>
      </c>
      <c r="S2415" s="960">
        <v>283.0</v>
      </c>
      <c r="T2415" s="960">
        <v>311.0</v>
      </c>
      <c r="U2415" s="960">
        <f t="array" ref="U2415">HLOOKUP($J2415,'Type Chart'!$C$2:$T$20,2,false)*HLOOKUP($K2415,'Type Chart'!$C$2:$U$20,2,false)</f>
        <v>1</v>
      </c>
      <c r="V2415" s="960">
        <f t="array" ref="V2415">HLOOKUP($J2415,'Type Chart'!$C$2:$T$20,3,false)*HLOOKUP($K2415,'Type Chart'!$C$2:$U$20,3,false)</f>
        <v>1</v>
      </c>
      <c r="W2415" s="960">
        <f t="array" ref="W2415">HLOOKUP($J2415,'Type Chart'!$C$2:$T$20,4,false)*HLOOKUP($K2415,'Type Chart'!$C$2:$U$20,4,false)</f>
        <v>2</v>
      </c>
      <c r="X2415" s="960">
        <f t="array" ref="X2415">HLOOKUP($J2415,'Type Chart'!$C$2:$T$20,5,false)*HLOOKUP($K2415,'Type Chart'!$C$2:$U$20,5,false)</f>
        <v>1</v>
      </c>
      <c r="Y2415" s="960">
        <f t="array" ref="Y2415">HLOOKUP($J2415,'Type Chart'!$C$2:$T$20,6,false)*HLOOKUP($K2415,'Type Chart'!$C$2:$U$20,6,false)</f>
        <v>0.5</v>
      </c>
      <c r="Z2415" s="960">
        <f t="array" ref="Z2415">HLOOKUP($J2415,'Type Chart'!$C$2:$T$20,7,false)*HLOOKUP($K2415,'Type Chart'!$C$2:$U$20,7,false)</f>
        <v>2</v>
      </c>
      <c r="AA2415" s="960">
        <f t="array" ref="AA2415">HLOOKUP($J2415,'Type Chart'!$C$2:$T$20,8,false)*HLOOKUP($K2415,'Type Chart'!$C$2:$U$20,8,false)</f>
        <v>2</v>
      </c>
      <c r="AB2415" s="960">
        <f t="array" ref="AB2415">HLOOKUP($J2415,'Type Chart'!$C$2:$T$20,9,false)*HLOOKUP($K2415,'Type Chart'!$C$2:$U$20,9,false)</f>
        <v>0.5</v>
      </c>
      <c r="AC2415" s="960">
        <f t="array" ref="AC2415">HLOOKUP($J2415,'Type Chart'!$C$2:$T$20,10,false)*HLOOKUP($K2415,'Type Chart'!$C$2:$U$20,10,false)</f>
        <v>1</v>
      </c>
      <c r="AD2415" s="960">
        <f t="array" ref="AD2415">HLOOKUP($J2415,'Type Chart'!$C$2:$T$20,11,false)*HLOOKUP($K2415,'Type Chart'!$C$2:$U$20,11,false)</f>
        <v>2</v>
      </c>
      <c r="AE2415" s="960">
        <f t="array" ref="AE2415">HLOOKUP($J2415,'Type Chart'!$C$2:$T$20,12,false)*HLOOKUP($K2415,'Type Chart'!$C$2:$U$20,12,false)</f>
        <v>1</v>
      </c>
      <c r="AF2415" s="960">
        <f t="array" ref="AF2415">HLOOKUP($J2415,'Type Chart'!$C$2:$T$20,13,false)*HLOOKUP($K2415,'Type Chart'!$C$2:$U$20,13,false)</f>
        <v>0.5</v>
      </c>
      <c r="AG2415" s="960">
        <f t="array" ref="AG2415">HLOOKUP($J2415,'Type Chart'!$C$2:$T$20,14,false)*HLOOKUP($K2415,'Type Chart'!$C$2:$U$20,14,false)</f>
        <v>1</v>
      </c>
      <c r="AH2415" s="960">
        <f t="array" ref="AH2415">HLOOKUP($J2415,'Type Chart'!$C$2:$T$20,15,false)*HLOOKUP($K2415,'Type Chart'!$C$2:$U$20,15,false)</f>
        <v>0</v>
      </c>
      <c r="AI2415" s="960">
        <f t="array" ref="AI2415">HLOOKUP($J2415,'Type Chart'!$C$2:$T$20,16,false)*HLOOKUP($K2415,'Type Chart'!$C$2:$U$20,16,false)</f>
        <v>1</v>
      </c>
      <c r="AJ2415" s="960">
        <f t="array" ref="AJ2415">HLOOKUP($J2415,'Type Chart'!$C$2:$T$20,17,false)*HLOOKUP($K2415,'Type Chart'!$C$2:$U$20,17,false)</f>
        <v>1</v>
      </c>
      <c r="AK2415" s="960">
        <f t="array" ref="AK2415">HLOOKUP($J2415,'Type Chart'!$C$2:$T$20,18,false)*HLOOKUP($K2415,'Type Chart'!$C$2:$U$20,18,false)</f>
        <v>0.5</v>
      </c>
      <c r="AL2415" s="960">
        <f t="array" ref="AL2415">HLOOKUP($J2415,'Type Chart'!$C$2:$T$20,19,false)*HLOOKUP($K2415,'Type Chart'!$C$2:$U$20,19,false)</f>
        <v>2</v>
      </c>
      <c r="AM2415" s="1145" t="s">
        <v>1013</v>
      </c>
      <c r="AN2415" s="965"/>
      <c r="AO2415" s="966" t="s">
        <v>1003</v>
      </c>
      <c r="AP2415" s="936"/>
      <c r="AQ2415" s="1245"/>
      <c r="AR2415" s="1245"/>
      <c r="AS2415" s="936"/>
    </row>
    <row r="2416" ht="15.75" customHeight="1">
      <c r="A2416" s="1099"/>
      <c r="B2416" s="948">
        <v>922.0</v>
      </c>
      <c r="C2416" s="1197" t="s">
        <v>4179</v>
      </c>
      <c r="D2416" s="1197" t="s">
        <v>4179</v>
      </c>
      <c r="E2416" s="1147" t="s">
        <v>4179</v>
      </c>
      <c r="F2416" s="940"/>
      <c r="G2416" s="953"/>
      <c r="H2416" s="969"/>
      <c r="I2416" s="998" t="s">
        <v>5508</v>
      </c>
      <c r="J2416" s="1180" t="s">
        <v>343</v>
      </c>
      <c r="K2416" s="1235" t="s">
        <v>216</v>
      </c>
      <c r="L2416" s="959">
        <v>41.0</v>
      </c>
      <c r="M2416" s="960">
        <v>50.0</v>
      </c>
      <c r="N2416" s="960">
        <v>60.0</v>
      </c>
      <c r="O2416" s="960">
        <v>31.0</v>
      </c>
      <c r="P2416" s="960">
        <v>58.0</v>
      </c>
      <c r="Q2416" s="960">
        <v>30.0</v>
      </c>
      <c r="R2416" s="960">
        <v>96.0</v>
      </c>
      <c r="S2416" s="960">
        <v>159.0</v>
      </c>
      <c r="T2416" s="960">
        <v>174.0</v>
      </c>
      <c r="U2416" s="960">
        <f t="array" ref="U2416">HLOOKUP($J2416,'Type Chart'!$C$2:$T$20,2,false)*HLOOKUP($K2416,'Type Chart'!$C$2:$U$20,2,false)</f>
        <v>1</v>
      </c>
      <c r="V2416" s="960">
        <f t="array" ref="V2416">HLOOKUP($J2416,'Type Chart'!$C$2:$T$20,3,false)*HLOOKUP($K2416,'Type Chart'!$C$2:$U$20,3,false)</f>
        <v>0.5</v>
      </c>
      <c r="W2416" s="960">
        <f t="array" ref="W2416">HLOOKUP($J2416,'Type Chart'!$C$2:$T$20,4,false)*HLOOKUP($K2416,'Type Chart'!$C$2:$U$20,4,false)</f>
        <v>2</v>
      </c>
      <c r="X2416" s="960">
        <f t="array" ref="X2416">HLOOKUP($J2416,'Type Chart'!$C$2:$T$20,5,false)*HLOOKUP($K2416,'Type Chart'!$C$2:$U$20,5,false)</f>
        <v>1</v>
      </c>
      <c r="Y2416" s="960">
        <f t="array" ref="Y2416">HLOOKUP($J2416,'Type Chart'!$C$2:$T$20,6,false)*HLOOKUP($K2416,'Type Chart'!$C$2:$U$20,6,false)</f>
        <v>0.5</v>
      </c>
      <c r="Z2416" s="960">
        <f t="array" ref="Z2416">HLOOKUP($J2416,'Type Chart'!$C$2:$T$20,7,false)*HLOOKUP($K2416,'Type Chart'!$C$2:$U$20,7,false)</f>
        <v>2</v>
      </c>
      <c r="AA2416" s="960">
        <f t="array" ref="AA2416">HLOOKUP($J2416,'Type Chart'!$C$2:$T$20,8,false)*HLOOKUP($K2416,'Type Chart'!$C$2:$U$20,8,false)</f>
        <v>1</v>
      </c>
      <c r="AB2416" s="960">
        <f t="array" ref="AB2416">HLOOKUP($J2416,'Type Chart'!$C$2:$T$20,9,false)*HLOOKUP($K2416,'Type Chart'!$C$2:$U$20,9,false)</f>
        <v>1</v>
      </c>
      <c r="AC2416" s="960">
        <f t="array" ref="AC2416">HLOOKUP($J2416,'Type Chart'!$C$2:$T$20,10,false)*HLOOKUP($K2416,'Type Chart'!$C$2:$U$20,10,false)</f>
        <v>1</v>
      </c>
      <c r="AD2416" s="960">
        <f t="array" ref="AD2416">HLOOKUP($J2416,'Type Chart'!$C$2:$T$20,11,false)*HLOOKUP($K2416,'Type Chart'!$C$2:$U$20,11,false)</f>
        <v>2</v>
      </c>
      <c r="AE2416" s="960">
        <f t="array" ref="AE2416">HLOOKUP($J2416,'Type Chart'!$C$2:$T$20,12,false)*HLOOKUP($K2416,'Type Chart'!$C$2:$U$20,12,false)</f>
        <v>1</v>
      </c>
      <c r="AF2416" s="960">
        <f t="array" ref="AF2416">HLOOKUP($J2416,'Type Chart'!$C$2:$T$20,13,false)*HLOOKUP($K2416,'Type Chart'!$C$2:$U$20,13,false)</f>
        <v>0.5</v>
      </c>
      <c r="AG2416" s="960">
        <f t="array" ref="AG2416">HLOOKUP($J2416,'Type Chart'!$C$2:$T$20,14,false)*HLOOKUP($K2416,'Type Chart'!$C$2:$U$20,14,false)</f>
        <v>1</v>
      </c>
      <c r="AH2416" s="960">
        <f t="array" ref="AH2416">HLOOKUP($J2416,'Type Chart'!$C$2:$T$20,15,false)*HLOOKUP($K2416,'Type Chart'!$C$2:$U$20,15,false)</f>
        <v>1</v>
      </c>
      <c r="AI2416" s="960">
        <f t="array" ref="AI2416">HLOOKUP($J2416,'Type Chart'!$C$2:$T$20,16,false)*HLOOKUP($K2416,'Type Chart'!$C$2:$U$20,16,false)</f>
        <v>1</v>
      </c>
      <c r="AJ2416" s="960">
        <f t="array" ref="AJ2416">HLOOKUP($J2416,'Type Chart'!$C$2:$T$20,17,false)*HLOOKUP($K2416,'Type Chart'!$C$2:$U$20,17,false)</f>
        <v>1</v>
      </c>
      <c r="AK2416" s="960">
        <f t="array" ref="AK2416">HLOOKUP($J2416,'Type Chart'!$C$2:$T$20,18,false)*HLOOKUP($K2416,'Type Chart'!$C$2:$U$20,18,false)</f>
        <v>1</v>
      </c>
      <c r="AL2416" s="960">
        <f t="array" ref="AL2416">HLOOKUP($J2416,'Type Chart'!$C$2:$T$20,19,false)*HLOOKUP($K2416,'Type Chart'!$C$2:$U$20,19,false)</f>
        <v>1</v>
      </c>
      <c r="AM2416" s="964" t="s">
        <v>4181</v>
      </c>
      <c r="AN2416" s="965"/>
      <c r="AO2416" s="966" t="s">
        <v>998</v>
      </c>
      <c r="AP2416" s="936"/>
      <c r="AQ2416" s="1245"/>
      <c r="AR2416" s="1245"/>
      <c r="AS2416" s="936"/>
    </row>
    <row r="2417" ht="15.75" customHeight="1">
      <c r="A2417" s="1099"/>
      <c r="B2417" s="948">
        <v>923.0</v>
      </c>
      <c r="C2417" s="1197" t="s">
        <v>4182</v>
      </c>
      <c r="D2417" s="1197" t="s">
        <v>4182</v>
      </c>
      <c r="E2417" s="1147" t="s">
        <v>4182</v>
      </c>
      <c r="F2417" s="940"/>
      <c r="G2417" s="953"/>
      <c r="H2417" s="969"/>
      <c r="I2417" s="998" t="s">
        <v>5509</v>
      </c>
      <c r="J2417" s="1180" t="s">
        <v>343</v>
      </c>
      <c r="K2417" s="1203" t="s">
        <v>344</v>
      </c>
      <c r="L2417" s="959">
        <v>75.0</v>
      </c>
      <c r="M2417" s="960">
        <v>50.0</v>
      </c>
      <c r="N2417" s="960">
        <v>85.0</v>
      </c>
      <c r="O2417" s="960">
        <v>115.0</v>
      </c>
      <c r="P2417" s="960">
        <v>100.0</v>
      </c>
      <c r="Q2417" s="960">
        <v>45.0</v>
      </c>
      <c r="R2417" s="960">
        <v>126.0</v>
      </c>
      <c r="S2417" s="960">
        <v>189.0</v>
      </c>
      <c r="T2417" s="960">
        <v>207.0</v>
      </c>
      <c r="U2417" s="960">
        <f t="array" ref="U2417">HLOOKUP($J2417,'Type Chart'!$C$2:$T$20,2,false)*HLOOKUP($K2417,'Type Chart'!$C$2:$U$20,2,false)</f>
        <v>1</v>
      </c>
      <c r="V2417" s="960">
        <f t="array" ref="V2417">HLOOKUP($J2417,'Type Chart'!$C$2:$T$20,3,false)*HLOOKUP($K2417,'Type Chart'!$C$2:$U$20,3,false)</f>
        <v>0.25</v>
      </c>
      <c r="W2417" s="960">
        <f t="array" ref="W2417">HLOOKUP($J2417,'Type Chart'!$C$2:$T$20,4,false)*HLOOKUP($K2417,'Type Chart'!$C$2:$U$20,4,false)</f>
        <v>2</v>
      </c>
      <c r="X2417" s="960">
        <f t="array" ref="X2417">HLOOKUP($J2417,'Type Chart'!$C$2:$T$20,5,false)*HLOOKUP($K2417,'Type Chart'!$C$2:$U$20,5,false)</f>
        <v>1</v>
      </c>
      <c r="Y2417" s="960">
        <f t="array" ref="Y2417">HLOOKUP($J2417,'Type Chart'!$C$2:$T$20,6,false)*HLOOKUP($K2417,'Type Chart'!$C$2:$U$20,6,false)</f>
        <v>0.5</v>
      </c>
      <c r="Z2417" s="960">
        <f t="array" ref="Z2417">HLOOKUP($J2417,'Type Chart'!$C$2:$T$20,7,false)*HLOOKUP($K2417,'Type Chart'!$C$2:$U$20,7,false)</f>
        <v>2</v>
      </c>
      <c r="AA2417" s="960">
        <f t="array" ref="AA2417">HLOOKUP($J2417,'Type Chart'!$C$2:$T$20,8,false)*HLOOKUP($K2417,'Type Chart'!$C$2:$U$20,8,false)</f>
        <v>2</v>
      </c>
      <c r="AB2417" s="960">
        <f t="array" ref="AB2417">HLOOKUP($J2417,'Type Chart'!$C$2:$T$20,9,false)*HLOOKUP($K2417,'Type Chart'!$C$2:$U$20,9,false)</f>
        <v>2</v>
      </c>
      <c r="AC2417" s="960">
        <f t="array" ref="AC2417">HLOOKUP($J2417,'Type Chart'!$C$2:$T$20,10,false)*HLOOKUP($K2417,'Type Chart'!$C$2:$U$20,10,false)</f>
        <v>1</v>
      </c>
      <c r="AD2417" s="960">
        <f t="array" ref="AD2417">HLOOKUP($J2417,'Type Chart'!$C$2:$T$20,11,false)*HLOOKUP($K2417,'Type Chart'!$C$2:$U$20,11,false)</f>
        <v>2</v>
      </c>
      <c r="AE2417" s="960">
        <f t="array" ref="AE2417">HLOOKUP($J2417,'Type Chart'!$C$2:$T$20,12,false)*HLOOKUP($K2417,'Type Chart'!$C$2:$U$20,12,false)</f>
        <v>1</v>
      </c>
      <c r="AF2417" s="960">
        <f t="array" ref="AF2417">HLOOKUP($J2417,'Type Chart'!$C$2:$T$20,13,false)*HLOOKUP($K2417,'Type Chart'!$C$2:$U$20,13,false)</f>
        <v>0.5</v>
      </c>
      <c r="AG2417" s="960">
        <f t="array" ref="AG2417">HLOOKUP($J2417,'Type Chart'!$C$2:$T$20,14,false)*HLOOKUP($K2417,'Type Chart'!$C$2:$U$20,14,false)</f>
        <v>1</v>
      </c>
      <c r="AH2417" s="960">
        <f t="array" ref="AH2417">HLOOKUP($J2417,'Type Chart'!$C$2:$T$20,15,false)*HLOOKUP($K2417,'Type Chart'!$C$2:$U$20,15,false)</f>
        <v>0.5</v>
      </c>
      <c r="AI2417" s="960">
        <f t="array" ref="AI2417">HLOOKUP($J2417,'Type Chart'!$C$2:$T$20,16,false)*HLOOKUP($K2417,'Type Chart'!$C$2:$U$20,16,false)</f>
        <v>1</v>
      </c>
      <c r="AJ2417" s="960">
        <f t="array" ref="AJ2417">HLOOKUP($J2417,'Type Chart'!$C$2:$T$20,17,false)*HLOOKUP($K2417,'Type Chart'!$C$2:$U$20,17,false)</f>
        <v>1</v>
      </c>
      <c r="AK2417" s="960">
        <f t="array" ref="AK2417">HLOOKUP($J2417,'Type Chart'!$C$2:$T$20,18,false)*HLOOKUP($K2417,'Type Chart'!$C$2:$U$20,18,false)</f>
        <v>2</v>
      </c>
      <c r="AL2417" s="960">
        <f t="array" ref="AL2417">HLOOKUP($J2417,'Type Chart'!$C$2:$T$20,19,false)*HLOOKUP($K2417,'Type Chart'!$C$2:$U$20,19,false)</f>
        <v>1</v>
      </c>
      <c r="AM2417" s="964" t="s">
        <v>1292</v>
      </c>
      <c r="AN2417" s="965"/>
      <c r="AO2417" s="966" t="s">
        <v>1828</v>
      </c>
      <c r="AP2417" s="936"/>
      <c r="AQ2417" s="1245"/>
      <c r="AR2417" s="1245"/>
      <c r="AS2417" s="936"/>
    </row>
    <row r="2418" ht="15.75" customHeight="1">
      <c r="A2418" s="1099"/>
      <c r="B2418" s="948">
        <v>924.0</v>
      </c>
      <c r="C2418" s="1197" t="s">
        <v>4183</v>
      </c>
      <c r="D2418" s="1197" t="s">
        <v>4183</v>
      </c>
      <c r="E2418" s="1147" t="s">
        <v>4183</v>
      </c>
      <c r="F2418" s="940"/>
      <c r="G2418" s="953"/>
      <c r="H2418" s="969"/>
      <c r="I2418" s="998" t="s">
        <v>5510</v>
      </c>
      <c r="J2418" s="1220" t="s">
        <v>215</v>
      </c>
      <c r="K2418" s="1235" t="s">
        <v>216</v>
      </c>
      <c r="L2418" s="959">
        <v>50.0</v>
      </c>
      <c r="M2418" s="960">
        <v>61.0</v>
      </c>
      <c r="N2418" s="960">
        <v>60.0</v>
      </c>
      <c r="O2418" s="960">
        <v>30.0</v>
      </c>
      <c r="P2418" s="960">
        <v>55.0</v>
      </c>
      <c r="Q2418" s="960">
        <v>34.0</v>
      </c>
      <c r="R2418" s="960">
        <v>104.0</v>
      </c>
      <c r="S2418" s="960">
        <v>167.0</v>
      </c>
      <c r="T2418" s="960">
        <v>183.0</v>
      </c>
      <c r="U2418" s="960">
        <f t="array" ref="U2418">HLOOKUP($J2418,'Type Chart'!$C$2:$T$20,2,false)*HLOOKUP($K2418,'Type Chart'!$C$2:$U$20,2,false)</f>
        <v>0</v>
      </c>
      <c r="V2418" s="960">
        <f t="array" ref="V2418">HLOOKUP($J2418,'Type Chart'!$C$2:$T$20,3,false)*HLOOKUP($K2418,'Type Chart'!$C$2:$U$20,3,false)</f>
        <v>0</v>
      </c>
      <c r="W2418" s="960">
        <f t="array" ref="W2418">HLOOKUP($J2418,'Type Chart'!$C$2:$T$20,4,false)*HLOOKUP($K2418,'Type Chart'!$C$2:$U$20,4,false)</f>
        <v>1</v>
      </c>
      <c r="X2418" s="960">
        <f t="array" ref="X2418">HLOOKUP($J2418,'Type Chart'!$C$2:$T$20,5,false)*HLOOKUP($K2418,'Type Chart'!$C$2:$U$20,5,false)</f>
        <v>0.5</v>
      </c>
      <c r="Y2418" s="960">
        <f t="array" ref="Y2418">HLOOKUP($J2418,'Type Chart'!$C$2:$T$20,6,false)*HLOOKUP($K2418,'Type Chart'!$C$2:$U$20,6,false)</f>
        <v>1</v>
      </c>
      <c r="Z2418" s="960">
        <f t="array" ref="Z2418">HLOOKUP($J2418,'Type Chart'!$C$2:$T$20,7,false)*HLOOKUP($K2418,'Type Chart'!$C$2:$U$20,7,false)</f>
        <v>1</v>
      </c>
      <c r="AA2418" s="960">
        <f t="array" ref="AA2418">HLOOKUP($J2418,'Type Chart'!$C$2:$T$20,8,false)*HLOOKUP($K2418,'Type Chart'!$C$2:$U$20,8,false)</f>
        <v>0.5</v>
      </c>
      <c r="AB2418" s="960">
        <f t="array" ref="AB2418">HLOOKUP($J2418,'Type Chart'!$C$2:$T$20,9,false)*HLOOKUP($K2418,'Type Chart'!$C$2:$U$20,9,false)</f>
        <v>2</v>
      </c>
      <c r="AC2418" s="960">
        <f t="array" ref="AC2418">HLOOKUP($J2418,'Type Chart'!$C$2:$T$20,10,false)*HLOOKUP($K2418,'Type Chart'!$C$2:$U$20,10,false)</f>
        <v>1</v>
      </c>
      <c r="AD2418" s="960">
        <f t="array" ref="AD2418">HLOOKUP($J2418,'Type Chart'!$C$2:$T$20,11,false)*HLOOKUP($K2418,'Type Chart'!$C$2:$U$20,11,false)</f>
        <v>1</v>
      </c>
      <c r="AE2418" s="960">
        <f t="array" ref="AE2418">HLOOKUP($J2418,'Type Chart'!$C$2:$T$20,12,false)*HLOOKUP($K2418,'Type Chart'!$C$2:$U$20,12,false)</f>
        <v>1</v>
      </c>
      <c r="AF2418" s="960">
        <f t="array" ref="AF2418">HLOOKUP($J2418,'Type Chart'!$C$2:$T$20,13,false)*HLOOKUP($K2418,'Type Chart'!$C$2:$U$20,13,false)</f>
        <v>1</v>
      </c>
      <c r="AG2418" s="960">
        <f t="array" ref="AG2418">HLOOKUP($J2418,'Type Chart'!$C$2:$T$20,14,false)*HLOOKUP($K2418,'Type Chart'!$C$2:$U$20,14,false)</f>
        <v>1</v>
      </c>
      <c r="AH2418" s="960">
        <f t="array" ref="AH2418">HLOOKUP($J2418,'Type Chart'!$C$2:$T$20,15,false)*HLOOKUP($K2418,'Type Chart'!$C$2:$U$20,15,false)</f>
        <v>1</v>
      </c>
      <c r="AI2418" s="960">
        <f t="array" ref="AI2418">HLOOKUP($J2418,'Type Chart'!$C$2:$T$20,16,false)*HLOOKUP($K2418,'Type Chart'!$C$2:$U$20,16,false)</f>
        <v>1</v>
      </c>
      <c r="AJ2418" s="960">
        <f t="array" ref="AJ2418">HLOOKUP($J2418,'Type Chart'!$C$2:$T$20,17,false)*HLOOKUP($K2418,'Type Chart'!$C$2:$U$20,17,false)</f>
        <v>1</v>
      </c>
      <c r="AK2418" s="960">
        <f t="array" ref="AK2418">HLOOKUP($J2418,'Type Chart'!$C$2:$T$20,18,false)*HLOOKUP($K2418,'Type Chart'!$C$2:$U$20,18,false)</f>
        <v>2</v>
      </c>
      <c r="AL2418" s="960">
        <f t="array" ref="AL2418">HLOOKUP($J2418,'Type Chart'!$C$2:$T$20,19,false)*HLOOKUP($K2418,'Type Chart'!$C$2:$U$20,19,false)</f>
        <v>1</v>
      </c>
      <c r="AM2418" s="964" t="s">
        <v>1238</v>
      </c>
      <c r="AN2418" s="965"/>
      <c r="AO2418" s="966" t="s">
        <v>3633</v>
      </c>
      <c r="AP2418" s="936"/>
      <c r="AQ2418" s="1245"/>
      <c r="AR2418" s="1245"/>
      <c r="AS2418" s="936"/>
    </row>
    <row r="2419" ht="15.75" customHeight="1">
      <c r="A2419" s="1099"/>
      <c r="B2419" s="948">
        <v>925.0</v>
      </c>
      <c r="C2419" s="1197" t="s">
        <v>4185</v>
      </c>
      <c r="D2419" s="1197" t="s">
        <v>4185</v>
      </c>
      <c r="E2419" s="1147" t="s">
        <v>4185</v>
      </c>
      <c r="F2419" s="940"/>
      <c r="G2419" s="953"/>
      <c r="H2419" s="969"/>
      <c r="I2419" s="998" t="s">
        <v>5511</v>
      </c>
      <c r="J2419" s="1220" t="s">
        <v>215</v>
      </c>
      <c r="K2419" s="1235" t="s">
        <v>216</v>
      </c>
      <c r="L2419" s="959">
        <v>72.0</v>
      </c>
      <c r="M2419" s="960">
        <v>101.0</v>
      </c>
      <c r="N2419" s="960">
        <v>100.0</v>
      </c>
      <c r="O2419" s="960">
        <v>50.0</v>
      </c>
      <c r="P2419" s="960">
        <v>97.0</v>
      </c>
      <c r="Q2419" s="960">
        <v>68.0</v>
      </c>
      <c r="R2419" s="960">
        <v>172.0</v>
      </c>
      <c r="S2419" s="960">
        <v>235.0</v>
      </c>
      <c r="T2419" s="960">
        <v>258.0</v>
      </c>
      <c r="U2419" s="960">
        <f t="array" ref="U2419">HLOOKUP($J2419,'Type Chart'!$C$2:$T$20,2,false)*HLOOKUP($K2419,'Type Chart'!$C$2:$U$20,2,false)</f>
        <v>0</v>
      </c>
      <c r="V2419" s="960">
        <f t="array" ref="V2419">HLOOKUP($J2419,'Type Chart'!$C$2:$T$20,3,false)*HLOOKUP($K2419,'Type Chart'!$C$2:$U$20,3,false)</f>
        <v>0</v>
      </c>
      <c r="W2419" s="960">
        <f t="array" ref="W2419">HLOOKUP($J2419,'Type Chart'!$C$2:$T$20,4,false)*HLOOKUP($K2419,'Type Chart'!$C$2:$U$20,4,false)</f>
        <v>1</v>
      </c>
      <c r="X2419" s="960">
        <f t="array" ref="X2419">HLOOKUP($J2419,'Type Chart'!$C$2:$T$20,5,false)*HLOOKUP($K2419,'Type Chart'!$C$2:$U$20,5,false)</f>
        <v>0.5</v>
      </c>
      <c r="Y2419" s="960">
        <f t="array" ref="Y2419">HLOOKUP($J2419,'Type Chart'!$C$2:$T$20,6,false)*HLOOKUP($K2419,'Type Chart'!$C$2:$U$20,6,false)</f>
        <v>1</v>
      </c>
      <c r="Z2419" s="960">
        <f t="array" ref="Z2419">HLOOKUP($J2419,'Type Chart'!$C$2:$T$20,7,false)*HLOOKUP($K2419,'Type Chart'!$C$2:$U$20,7,false)</f>
        <v>1</v>
      </c>
      <c r="AA2419" s="960">
        <f t="array" ref="AA2419">HLOOKUP($J2419,'Type Chart'!$C$2:$T$20,8,false)*HLOOKUP($K2419,'Type Chart'!$C$2:$U$20,8,false)</f>
        <v>0.5</v>
      </c>
      <c r="AB2419" s="960">
        <f t="array" ref="AB2419">HLOOKUP($J2419,'Type Chart'!$C$2:$T$20,9,false)*HLOOKUP($K2419,'Type Chart'!$C$2:$U$20,9,false)</f>
        <v>2</v>
      </c>
      <c r="AC2419" s="960">
        <f t="array" ref="AC2419">HLOOKUP($J2419,'Type Chart'!$C$2:$T$20,10,false)*HLOOKUP($K2419,'Type Chart'!$C$2:$U$20,10,false)</f>
        <v>1</v>
      </c>
      <c r="AD2419" s="960">
        <f t="array" ref="AD2419">HLOOKUP($J2419,'Type Chart'!$C$2:$T$20,11,false)*HLOOKUP($K2419,'Type Chart'!$C$2:$U$20,11,false)</f>
        <v>1</v>
      </c>
      <c r="AE2419" s="960">
        <f t="array" ref="AE2419">HLOOKUP($J2419,'Type Chart'!$C$2:$T$20,12,false)*HLOOKUP($K2419,'Type Chart'!$C$2:$U$20,12,false)</f>
        <v>1</v>
      </c>
      <c r="AF2419" s="960">
        <f t="array" ref="AF2419">HLOOKUP($J2419,'Type Chart'!$C$2:$T$20,13,false)*HLOOKUP($K2419,'Type Chart'!$C$2:$U$20,13,false)</f>
        <v>1</v>
      </c>
      <c r="AG2419" s="960">
        <f t="array" ref="AG2419">HLOOKUP($J2419,'Type Chart'!$C$2:$T$20,14,false)*HLOOKUP($K2419,'Type Chart'!$C$2:$U$20,14,false)</f>
        <v>1</v>
      </c>
      <c r="AH2419" s="960">
        <f t="array" ref="AH2419">HLOOKUP($J2419,'Type Chart'!$C$2:$T$20,15,false)*HLOOKUP($K2419,'Type Chart'!$C$2:$U$20,15,false)</f>
        <v>1</v>
      </c>
      <c r="AI2419" s="960">
        <f t="array" ref="AI2419">HLOOKUP($J2419,'Type Chart'!$C$2:$T$20,16,false)*HLOOKUP($K2419,'Type Chart'!$C$2:$U$20,16,false)</f>
        <v>1</v>
      </c>
      <c r="AJ2419" s="960">
        <f t="array" ref="AJ2419">HLOOKUP($J2419,'Type Chart'!$C$2:$T$20,17,false)*HLOOKUP($K2419,'Type Chart'!$C$2:$U$20,17,false)</f>
        <v>1</v>
      </c>
      <c r="AK2419" s="960">
        <f t="array" ref="AK2419">HLOOKUP($J2419,'Type Chart'!$C$2:$T$20,18,false)*HLOOKUP($K2419,'Type Chart'!$C$2:$U$20,18,false)</f>
        <v>2</v>
      </c>
      <c r="AL2419" s="960">
        <f t="array" ref="AL2419">HLOOKUP($J2419,'Type Chart'!$C$2:$T$20,19,false)*HLOOKUP($K2419,'Type Chart'!$C$2:$U$20,19,false)</f>
        <v>1</v>
      </c>
      <c r="AM2419" s="964" t="s">
        <v>1130</v>
      </c>
      <c r="AN2419" s="965"/>
      <c r="AO2419" s="966" t="s">
        <v>3633</v>
      </c>
      <c r="AP2419" s="936"/>
      <c r="AQ2419" s="1245"/>
      <c r="AR2419" s="1245"/>
      <c r="AS2419" s="936"/>
    </row>
    <row r="2420" ht="15.75" customHeight="1">
      <c r="A2420" s="1099"/>
      <c r="B2420" s="948">
        <v>926.0</v>
      </c>
      <c r="C2420" s="1197" t="s">
        <v>4186</v>
      </c>
      <c r="D2420" s="1197" t="s">
        <v>4186</v>
      </c>
      <c r="E2420" s="1147" t="s">
        <v>4186</v>
      </c>
      <c r="F2420" s="940"/>
      <c r="G2420" s="953"/>
      <c r="H2420" s="969"/>
      <c r="I2420" s="998" t="s">
        <v>5512</v>
      </c>
      <c r="J2420" s="1203" t="s">
        <v>344</v>
      </c>
      <c r="K2420" s="1235" t="s">
        <v>216</v>
      </c>
      <c r="L2420" s="959">
        <v>30.0</v>
      </c>
      <c r="M2420" s="960">
        <v>35.0</v>
      </c>
      <c r="N2420" s="960">
        <v>30.0</v>
      </c>
      <c r="O2420" s="960">
        <v>55.0</v>
      </c>
      <c r="P2420" s="960">
        <v>40.0</v>
      </c>
      <c r="Q2420" s="960">
        <v>75.0</v>
      </c>
      <c r="R2420" s="960">
        <v>186.0</v>
      </c>
      <c r="S2420" s="960">
        <v>249.0</v>
      </c>
      <c r="T2420" s="960">
        <v>273.0</v>
      </c>
      <c r="U2420" s="960">
        <f t="array" ref="U2420">HLOOKUP($J2420,'Type Chart'!$C$2:$T$20,2,false)*HLOOKUP($K2420,'Type Chart'!$C$2:$U$20,2,false)</f>
        <v>1</v>
      </c>
      <c r="V2420" s="960">
        <f t="array" ref="V2420">HLOOKUP($J2420,'Type Chart'!$C$2:$T$20,3,false)*HLOOKUP($K2420,'Type Chart'!$C$2:$U$20,3,false)</f>
        <v>0.5</v>
      </c>
      <c r="W2420" s="960">
        <f t="array" ref="W2420">HLOOKUP($J2420,'Type Chart'!$C$2:$T$20,4,false)*HLOOKUP($K2420,'Type Chart'!$C$2:$U$20,4,false)</f>
        <v>1</v>
      </c>
      <c r="X2420" s="960">
        <f t="array" ref="X2420">HLOOKUP($J2420,'Type Chart'!$C$2:$T$20,5,false)*HLOOKUP($K2420,'Type Chart'!$C$2:$U$20,5,false)</f>
        <v>1</v>
      </c>
      <c r="Y2420" s="960">
        <f t="array" ref="Y2420">HLOOKUP($J2420,'Type Chart'!$C$2:$T$20,6,false)*HLOOKUP($K2420,'Type Chart'!$C$2:$U$20,6,false)</f>
        <v>1</v>
      </c>
      <c r="Z2420" s="960">
        <f t="array" ref="Z2420">HLOOKUP($J2420,'Type Chart'!$C$2:$T$20,7,false)*HLOOKUP($K2420,'Type Chart'!$C$2:$U$20,7,false)</f>
        <v>1</v>
      </c>
      <c r="AA2420" s="960">
        <f t="array" ref="AA2420">HLOOKUP($J2420,'Type Chart'!$C$2:$T$20,8,false)*HLOOKUP($K2420,'Type Chart'!$C$2:$U$20,8,false)</f>
        <v>2</v>
      </c>
      <c r="AB2420" s="960">
        <f t="array" ref="AB2420">HLOOKUP($J2420,'Type Chart'!$C$2:$T$20,9,false)*HLOOKUP($K2420,'Type Chart'!$C$2:$U$20,9,false)</f>
        <v>2</v>
      </c>
      <c r="AC2420" s="960">
        <f t="array" ref="AC2420">HLOOKUP($J2420,'Type Chart'!$C$2:$T$20,10,false)*HLOOKUP($K2420,'Type Chart'!$C$2:$U$20,10,false)</f>
        <v>1</v>
      </c>
      <c r="AD2420" s="960">
        <f t="array" ref="AD2420">HLOOKUP($J2420,'Type Chart'!$C$2:$T$20,11,false)*HLOOKUP($K2420,'Type Chart'!$C$2:$U$20,11,false)</f>
        <v>1</v>
      </c>
      <c r="AE2420" s="960">
        <f t="array" ref="AE2420">HLOOKUP($J2420,'Type Chart'!$C$2:$T$20,12,false)*HLOOKUP($K2420,'Type Chart'!$C$2:$U$20,12,false)</f>
        <v>1</v>
      </c>
      <c r="AF2420" s="960">
        <f t="array" ref="AF2420">HLOOKUP($J2420,'Type Chart'!$C$2:$T$20,13,false)*HLOOKUP($K2420,'Type Chart'!$C$2:$U$20,13,false)</f>
        <v>1</v>
      </c>
      <c r="AG2420" s="960">
        <f t="array" ref="AG2420">HLOOKUP($J2420,'Type Chart'!$C$2:$T$20,14,false)*HLOOKUP($K2420,'Type Chart'!$C$2:$U$20,14,false)</f>
        <v>1</v>
      </c>
      <c r="AH2420" s="960">
        <f t="array" ref="AH2420">HLOOKUP($J2420,'Type Chart'!$C$2:$T$20,15,false)*HLOOKUP($K2420,'Type Chart'!$C$2:$U$20,15,false)</f>
        <v>0.5</v>
      </c>
      <c r="AI2420" s="960">
        <f t="array" ref="AI2420">HLOOKUP($J2420,'Type Chart'!$C$2:$T$20,16,false)*HLOOKUP($K2420,'Type Chart'!$C$2:$U$20,16,false)</f>
        <v>1</v>
      </c>
      <c r="AJ2420" s="960">
        <f t="array" ref="AJ2420">HLOOKUP($J2420,'Type Chart'!$C$2:$T$20,17,false)*HLOOKUP($K2420,'Type Chart'!$C$2:$U$20,17,false)</f>
        <v>1</v>
      </c>
      <c r="AK2420" s="960">
        <f t="array" ref="AK2420">HLOOKUP($J2420,'Type Chart'!$C$2:$T$20,18,false)*HLOOKUP($K2420,'Type Chart'!$C$2:$U$20,18,false)</f>
        <v>2</v>
      </c>
      <c r="AL2420" s="960">
        <f t="array" ref="AL2420">HLOOKUP($J2420,'Type Chart'!$C$2:$T$20,19,false)*HLOOKUP($K2420,'Type Chart'!$C$2:$U$20,19,false)</f>
        <v>1</v>
      </c>
      <c r="AM2420" s="964" t="s">
        <v>1359</v>
      </c>
      <c r="AN2420" s="964" t="s">
        <v>1188</v>
      </c>
      <c r="AO2420" s="966" t="s">
        <v>1798</v>
      </c>
      <c r="AP2420" s="936"/>
      <c r="AQ2420" s="1245"/>
      <c r="AR2420" s="1245"/>
      <c r="AS2420" s="936"/>
    </row>
    <row r="2421" ht="15.75" customHeight="1">
      <c r="A2421" s="1099"/>
      <c r="B2421" s="948">
        <v>927.0</v>
      </c>
      <c r="C2421" s="1197" t="s">
        <v>4188</v>
      </c>
      <c r="D2421" s="1197" t="s">
        <v>4188</v>
      </c>
      <c r="E2421" s="1147" t="s">
        <v>4188</v>
      </c>
      <c r="F2421" s="940"/>
      <c r="G2421" s="953"/>
      <c r="H2421" s="969"/>
      <c r="I2421" s="998" t="s">
        <v>5513</v>
      </c>
      <c r="J2421" s="1215" t="s">
        <v>344</v>
      </c>
      <c r="K2421" s="1235" t="s">
        <v>216</v>
      </c>
      <c r="L2421" s="1200">
        <v>95.0</v>
      </c>
      <c r="M2421" s="1201">
        <v>60.0</v>
      </c>
      <c r="N2421" s="1201">
        <v>60.0</v>
      </c>
      <c r="O2421" s="1201">
        <v>101.0</v>
      </c>
      <c r="P2421" s="1201">
        <v>60.0</v>
      </c>
      <c r="Q2421" s="1201">
        <v>105.0</v>
      </c>
      <c r="R2421" s="960">
        <v>246.0</v>
      </c>
      <c r="S2421" s="960">
        <v>309.0</v>
      </c>
      <c r="T2421" s="960">
        <v>339.0</v>
      </c>
      <c r="U2421" s="960">
        <f t="array" ref="U2421">HLOOKUP($J2421,'Type Chart'!$C$2:$T$20,2,false)*HLOOKUP($K2421,'Type Chart'!$C$2:$U$20,2,false)</f>
        <v>1</v>
      </c>
      <c r="V2421" s="960">
        <f t="array" ref="V2421">HLOOKUP($J2421,'Type Chart'!$C$2:$T$20,3,false)*HLOOKUP($K2421,'Type Chart'!$C$2:$U$20,3,false)</f>
        <v>0.5</v>
      </c>
      <c r="W2421" s="960">
        <f t="array" ref="W2421">HLOOKUP($J2421,'Type Chart'!$C$2:$T$20,4,false)*HLOOKUP($K2421,'Type Chart'!$C$2:$U$20,4,false)</f>
        <v>1</v>
      </c>
      <c r="X2421" s="960">
        <f t="array" ref="X2421">HLOOKUP($J2421,'Type Chart'!$C$2:$T$20,5,false)*HLOOKUP($K2421,'Type Chart'!$C$2:$U$20,5,false)</f>
        <v>1</v>
      </c>
      <c r="Y2421" s="960">
        <f t="array" ref="Y2421">HLOOKUP($J2421,'Type Chart'!$C$2:$T$20,6,false)*HLOOKUP($K2421,'Type Chart'!$C$2:$U$20,6,false)</f>
        <v>1</v>
      </c>
      <c r="Z2421" s="960">
        <f t="array" ref="Z2421">HLOOKUP($J2421,'Type Chart'!$C$2:$T$20,7,false)*HLOOKUP($K2421,'Type Chart'!$C$2:$U$20,7,false)</f>
        <v>1</v>
      </c>
      <c r="AA2421" s="960">
        <f t="array" ref="AA2421">HLOOKUP($J2421,'Type Chart'!$C$2:$T$20,8,false)*HLOOKUP($K2421,'Type Chart'!$C$2:$U$20,8,false)</f>
        <v>2</v>
      </c>
      <c r="AB2421" s="960">
        <f t="array" ref="AB2421">HLOOKUP($J2421,'Type Chart'!$C$2:$T$20,9,false)*HLOOKUP($K2421,'Type Chart'!$C$2:$U$20,9,false)</f>
        <v>2</v>
      </c>
      <c r="AC2421" s="960">
        <f t="array" ref="AC2421">HLOOKUP($J2421,'Type Chart'!$C$2:$T$20,10,false)*HLOOKUP($K2421,'Type Chart'!$C$2:$U$20,10,false)</f>
        <v>1</v>
      </c>
      <c r="AD2421" s="960">
        <f t="array" ref="AD2421">HLOOKUP($J2421,'Type Chart'!$C$2:$T$20,11,false)*HLOOKUP($K2421,'Type Chart'!$C$2:$U$20,11,false)</f>
        <v>1</v>
      </c>
      <c r="AE2421" s="960">
        <f t="array" ref="AE2421">HLOOKUP($J2421,'Type Chart'!$C$2:$T$20,12,false)*HLOOKUP($K2421,'Type Chart'!$C$2:$U$20,12,false)</f>
        <v>1</v>
      </c>
      <c r="AF2421" s="960">
        <f t="array" ref="AF2421">HLOOKUP($J2421,'Type Chart'!$C$2:$T$20,13,false)*HLOOKUP($K2421,'Type Chart'!$C$2:$U$20,13,false)</f>
        <v>1</v>
      </c>
      <c r="AG2421" s="960">
        <f t="array" ref="AG2421">HLOOKUP($J2421,'Type Chart'!$C$2:$T$20,14,false)*HLOOKUP($K2421,'Type Chart'!$C$2:$U$20,14,false)</f>
        <v>1</v>
      </c>
      <c r="AH2421" s="960">
        <f t="array" ref="AH2421">HLOOKUP($J2421,'Type Chart'!$C$2:$T$20,15,false)*HLOOKUP($K2421,'Type Chart'!$C$2:$U$20,15,false)</f>
        <v>0.5</v>
      </c>
      <c r="AI2421" s="960">
        <f t="array" ref="AI2421">HLOOKUP($J2421,'Type Chart'!$C$2:$T$20,16,false)*HLOOKUP($K2421,'Type Chart'!$C$2:$U$20,16,false)</f>
        <v>1</v>
      </c>
      <c r="AJ2421" s="960">
        <f t="array" ref="AJ2421">HLOOKUP($J2421,'Type Chart'!$C$2:$T$20,17,false)*HLOOKUP($K2421,'Type Chart'!$C$2:$U$20,17,false)</f>
        <v>1</v>
      </c>
      <c r="AK2421" s="960">
        <f t="array" ref="AK2421">HLOOKUP($J2421,'Type Chart'!$C$2:$T$20,18,false)*HLOOKUP($K2421,'Type Chart'!$C$2:$U$20,18,false)</f>
        <v>2</v>
      </c>
      <c r="AL2421" s="960">
        <f t="array" ref="AL2421">HLOOKUP($J2421,'Type Chart'!$C$2:$T$20,19,false)*HLOOKUP($K2421,'Type Chart'!$C$2:$U$20,19,false)</f>
        <v>1</v>
      </c>
      <c r="AM2421" s="1145" t="s">
        <v>4189</v>
      </c>
      <c r="AN2421" s="1145" t="s">
        <v>1188</v>
      </c>
      <c r="AO2421" s="1146" t="s">
        <v>1798</v>
      </c>
      <c r="AP2421" s="936"/>
      <c r="AQ2421" s="1245"/>
      <c r="AR2421" s="1245"/>
      <c r="AS2421" s="936"/>
    </row>
    <row r="2422" ht="15.75" customHeight="1">
      <c r="A2422" s="1099"/>
      <c r="B2422" s="948">
        <v>928.0</v>
      </c>
      <c r="C2422" s="1197" t="s">
        <v>4190</v>
      </c>
      <c r="D2422" s="1197" t="s">
        <v>4190</v>
      </c>
      <c r="E2422" s="1147" t="s">
        <v>4190</v>
      </c>
      <c r="F2422" s="940"/>
      <c r="G2422" s="953"/>
      <c r="H2422" s="969"/>
      <c r="I2422" s="998" t="s">
        <v>5514</v>
      </c>
      <c r="J2422" s="1216" t="s">
        <v>136</v>
      </c>
      <c r="K2422" s="1215" t="s">
        <v>344</v>
      </c>
      <c r="L2422" s="1200">
        <v>120.0</v>
      </c>
      <c r="M2422" s="1201">
        <v>90.0</v>
      </c>
      <c r="N2422" s="1201">
        <v>70.0</v>
      </c>
      <c r="O2422" s="1201">
        <v>110.0</v>
      </c>
      <c r="P2422" s="1201">
        <v>70.0</v>
      </c>
      <c r="Q2422" s="1201">
        <v>60.0</v>
      </c>
      <c r="R2422" s="960">
        <v>156.0</v>
      </c>
      <c r="S2422" s="960">
        <v>219.0</v>
      </c>
      <c r="T2422" s="960">
        <v>240.0</v>
      </c>
      <c r="U2422" s="960">
        <f t="array" ref="U2422">HLOOKUP($J2422,'Type Chart'!$C$2:$T$20,2,false)*HLOOKUP($K2422,'Type Chart'!$C$2:$U$20,2,false)</f>
        <v>1</v>
      </c>
      <c r="V2422" s="960">
        <f t="array" ref="V2422">HLOOKUP($J2422,'Type Chart'!$C$2:$T$20,3,false)*HLOOKUP($K2422,'Type Chart'!$C$2:$U$20,3,false)</f>
        <v>1</v>
      </c>
      <c r="W2422" s="960">
        <f t="array" ref="W2422">HLOOKUP($J2422,'Type Chart'!$C$2:$T$20,4,false)*HLOOKUP($K2422,'Type Chart'!$C$2:$U$20,4,false)</f>
        <v>1</v>
      </c>
      <c r="X2422" s="960">
        <f t="array" ref="X2422">HLOOKUP($J2422,'Type Chart'!$C$2:$T$20,5,false)*HLOOKUP($K2422,'Type Chart'!$C$2:$U$20,5,false)</f>
        <v>1</v>
      </c>
      <c r="Y2422" s="960">
        <f t="array" ref="Y2422">HLOOKUP($J2422,'Type Chart'!$C$2:$T$20,6,false)*HLOOKUP($K2422,'Type Chart'!$C$2:$U$20,6,false)</f>
        <v>1</v>
      </c>
      <c r="Z2422" s="960">
        <f t="array" ref="Z2422">HLOOKUP($J2422,'Type Chart'!$C$2:$T$20,7,false)*HLOOKUP($K2422,'Type Chart'!$C$2:$U$20,7,false)</f>
        <v>1</v>
      </c>
      <c r="AA2422" s="960">
        <f t="array" ref="AA2422">HLOOKUP($J2422,'Type Chart'!$C$2:$T$20,8,false)*HLOOKUP($K2422,'Type Chart'!$C$2:$U$20,8,false)</f>
        <v>2</v>
      </c>
      <c r="AB2422" s="960">
        <f t="array" ref="AB2422">HLOOKUP($J2422,'Type Chart'!$C$2:$T$20,9,false)*HLOOKUP($K2422,'Type Chart'!$C$2:$U$20,9,false)</f>
        <v>0</v>
      </c>
      <c r="AC2422" s="960">
        <f t="array" ref="AC2422">HLOOKUP($J2422,'Type Chart'!$C$2:$T$20,10,false)*HLOOKUP($K2422,'Type Chart'!$C$2:$U$20,10,false)</f>
        <v>1</v>
      </c>
      <c r="AD2422" s="960">
        <f t="array" ref="AD2422">HLOOKUP($J2422,'Type Chart'!$C$2:$T$20,11,false)*HLOOKUP($K2422,'Type Chart'!$C$2:$U$20,11,false)</f>
        <v>1</v>
      </c>
      <c r="AE2422" s="960">
        <f t="array" ref="AE2422">HLOOKUP($J2422,'Type Chart'!$C$2:$T$20,12,false)*HLOOKUP($K2422,'Type Chart'!$C$2:$U$20,12,false)</f>
        <v>1</v>
      </c>
      <c r="AF2422" s="960">
        <f t="array" ref="AF2422">HLOOKUP($J2422,'Type Chart'!$C$2:$T$20,13,false)*HLOOKUP($K2422,'Type Chart'!$C$2:$U$20,13,false)</f>
        <v>1</v>
      </c>
      <c r="AG2422" s="960">
        <f t="array" ref="AG2422">HLOOKUP($J2422,'Type Chart'!$C$2:$T$20,14,false)*HLOOKUP($K2422,'Type Chart'!$C$2:$U$20,14,false)</f>
        <v>1</v>
      </c>
      <c r="AH2422" s="960">
        <f t="array" ref="AH2422">HLOOKUP($J2422,'Type Chart'!$C$2:$T$20,15,false)*HLOOKUP($K2422,'Type Chart'!$C$2:$U$20,15,false)</f>
        <v>0.5</v>
      </c>
      <c r="AI2422" s="960">
        <f t="array" ref="AI2422">HLOOKUP($J2422,'Type Chart'!$C$2:$T$20,16,false)*HLOOKUP($K2422,'Type Chart'!$C$2:$U$20,16,false)</f>
        <v>1</v>
      </c>
      <c r="AJ2422" s="960">
        <f t="array" ref="AJ2422">HLOOKUP($J2422,'Type Chart'!$C$2:$T$20,17,false)*HLOOKUP($K2422,'Type Chart'!$C$2:$U$20,17,false)</f>
        <v>1</v>
      </c>
      <c r="AK2422" s="960">
        <f t="array" ref="AK2422">HLOOKUP($J2422,'Type Chart'!$C$2:$T$20,18,false)*HLOOKUP($K2422,'Type Chart'!$C$2:$U$20,18,false)</f>
        <v>2</v>
      </c>
      <c r="AL2422" s="960">
        <f t="array" ref="AL2422">HLOOKUP($J2422,'Type Chart'!$C$2:$T$20,19,false)*HLOOKUP($K2422,'Type Chart'!$C$2:$U$20,19,false)</f>
        <v>1</v>
      </c>
      <c r="AM2422" s="1145" t="s">
        <v>4191</v>
      </c>
      <c r="AN2422" s="1145" t="s">
        <v>4192</v>
      </c>
      <c r="AO2422" s="1146" t="s">
        <v>1772</v>
      </c>
      <c r="AP2422" s="936"/>
      <c r="AQ2422" s="1245"/>
      <c r="AR2422" s="1245"/>
      <c r="AS2422" s="936"/>
    </row>
    <row r="2423" ht="15.75" customHeight="1">
      <c r="A2423" s="1099"/>
      <c r="B2423" s="948">
        <v>929.0</v>
      </c>
      <c r="C2423" s="1197" t="s">
        <v>4193</v>
      </c>
      <c r="D2423" s="1197" t="s">
        <v>4193</v>
      </c>
      <c r="E2423" s="1147" t="s">
        <v>4193</v>
      </c>
      <c r="F2423" s="940"/>
      <c r="G2423" s="953"/>
      <c r="H2423" s="969"/>
      <c r="I2423" s="998" t="s">
        <v>5515</v>
      </c>
      <c r="J2423" s="1056" t="s">
        <v>81</v>
      </c>
      <c r="K2423" s="1235" t="s">
        <v>216</v>
      </c>
      <c r="L2423" s="959">
        <v>10.0</v>
      </c>
      <c r="M2423" s="960">
        <v>55.0</v>
      </c>
      <c r="N2423" s="960">
        <v>25.0</v>
      </c>
      <c r="O2423" s="960">
        <v>35.0</v>
      </c>
      <c r="P2423" s="960">
        <v>25.0</v>
      </c>
      <c r="Q2423" s="960">
        <v>95.0</v>
      </c>
      <c r="R2423" s="960">
        <v>226.0</v>
      </c>
      <c r="S2423" s="960">
        <v>289.0</v>
      </c>
      <c r="T2423" s="960">
        <v>317.0</v>
      </c>
      <c r="U2423" s="960">
        <f t="array" ref="U2423">HLOOKUP($J2423,'Type Chart'!$C$2:$T$20,2,false)*HLOOKUP($K2423,'Type Chart'!$C$2:$U$20,2,false)</f>
        <v>1</v>
      </c>
      <c r="V2423" s="960">
        <f t="array" ref="V2423">HLOOKUP($J2423,'Type Chart'!$C$2:$T$20,3,false)*HLOOKUP($K2423,'Type Chart'!$C$2:$U$20,3,false)</f>
        <v>1</v>
      </c>
      <c r="W2423" s="960">
        <f t="array" ref="W2423">HLOOKUP($J2423,'Type Chart'!$C$2:$T$20,4,false)*HLOOKUP($K2423,'Type Chart'!$C$2:$U$20,4,false)</f>
        <v>1</v>
      </c>
      <c r="X2423" s="960">
        <f t="array" ref="X2423">HLOOKUP($J2423,'Type Chart'!$C$2:$T$20,5,false)*HLOOKUP($K2423,'Type Chart'!$C$2:$U$20,5,false)</f>
        <v>1</v>
      </c>
      <c r="Y2423" s="960">
        <f t="array" ref="Y2423">HLOOKUP($J2423,'Type Chart'!$C$2:$T$20,6,false)*HLOOKUP($K2423,'Type Chart'!$C$2:$U$20,6,false)</f>
        <v>1</v>
      </c>
      <c r="Z2423" s="960">
        <f t="array" ref="Z2423">HLOOKUP($J2423,'Type Chart'!$C$2:$T$20,7,false)*HLOOKUP($K2423,'Type Chart'!$C$2:$U$20,7,false)</f>
        <v>1</v>
      </c>
      <c r="AA2423" s="960">
        <f t="array" ref="AA2423">HLOOKUP($J2423,'Type Chart'!$C$2:$T$20,8,false)*HLOOKUP($K2423,'Type Chart'!$C$2:$U$20,8,false)</f>
        <v>1</v>
      </c>
      <c r="AB2423" s="960">
        <f t="array" ref="AB2423">HLOOKUP($J2423,'Type Chart'!$C$2:$T$20,9,false)*HLOOKUP($K2423,'Type Chart'!$C$2:$U$20,9,false)</f>
        <v>1</v>
      </c>
      <c r="AC2423" s="960">
        <f t="array" ref="AC2423">HLOOKUP($J2423,'Type Chart'!$C$2:$T$20,10,false)*HLOOKUP($K2423,'Type Chart'!$C$2:$U$20,10,false)</f>
        <v>0.5</v>
      </c>
      <c r="AD2423" s="960">
        <f t="array" ref="AD2423">HLOOKUP($J2423,'Type Chart'!$C$2:$T$20,11,false)*HLOOKUP($K2423,'Type Chart'!$C$2:$U$20,11,false)</f>
        <v>0.5</v>
      </c>
      <c r="AE2423" s="960">
        <f t="array" ref="AE2423">HLOOKUP($J2423,'Type Chart'!$C$2:$T$20,12,false)*HLOOKUP($K2423,'Type Chart'!$C$2:$U$20,12,false)</f>
        <v>0.5</v>
      </c>
      <c r="AF2423" s="960">
        <f t="array" ref="AF2423">HLOOKUP($J2423,'Type Chart'!$C$2:$T$20,13,false)*HLOOKUP($K2423,'Type Chart'!$C$2:$U$20,13,false)</f>
        <v>2</v>
      </c>
      <c r="AG2423" s="960">
        <f t="array" ref="AG2423">HLOOKUP($J2423,'Type Chart'!$C$2:$T$20,14,false)*HLOOKUP($K2423,'Type Chart'!$C$2:$U$20,14,false)</f>
        <v>2</v>
      </c>
      <c r="AH2423" s="960">
        <f t="array" ref="AH2423">HLOOKUP($J2423,'Type Chart'!$C$2:$T$20,15,false)*HLOOKUP($K2423,'Type Chart'!$C$2:$U$20,15,false)</f>
        <v>1</v>
      </c>
      <c r="AI2423" s="960">
        <f t="array" ref="AI2423">HLOOKUP($J2423,'Type Chart'!$C$2:$T$20,16,false)*HLOOKUP($K2423,'Type Chart'!$C$2:$U$20,16,false)</f>
        <v>0.5</v>
      </c>
      <c r="AJ2423" s="960">
        <f t="array" ref="AJ2423">HLOOKUP($J2423,'Type Chart'!$C$2:$T$20,17,false)*HLOOKUP($K2423,'Type Chart'!$C$2:$U$20,17,false)</f>
        <v>1</v>
      </c>
      <c r="AK2423" s="960">
        <f t="array" ref="AK2423">HLOOKUP($J2423,'Type Chart'!$C$2:$T$20,18,false)*HLOOKUP($K2423,'Type Chart'!$C$2:$U$20,18,false)</f>
        <v>1</v>
      </c>
      <c r="AL2423" s="960">
        <f t="array" ref="AL2423">HLOOKUP($J2423,'Type Chart'!$C$2:$T$20,19,false)*HLOOKUP($K2423,'Type Chart'!$C$2:$U$20,19,false)</f>
        <v>1</v>
      </c>
      <c r="AM2423" s="964" t="s">
        <v>3434</v>
      </c>
      <c r="AN2423" s="964" t="s">
        <v>1243</v>
      </c>
      <c r="AO2423" s="966" t="s">
        <v>1129</v>
      </c>
      <c r="AP2423" s="936"/>
      <c r="AQ2423" s="1245"/>
      <c r="AR2423" s="1245"/>
      <c r="AS2423" s="936"/>
    </row>
    <row r="2424" ht="15.75" customHeight="1">
      <c r="A2424" s="1099"/>
      <c r="B2424" s="948">
        <v>930.0</v>
      </c>
      <c r="C2424" s="1197" t="s">
        <v>4195</v>
      </c>
      <c r="D2424" s="1197" t="s">
        <v>4195</v>
      </c>
      <c r="E2424" s="1147" t="s">
        <v>4195</v>
      </c>
      <c r="F2424" s="940"/>
      <c r="G2424" s="953"/>
      <c r="H2424" s="969"/>
      <c r="I2424" s="998" t="s">
        <v>5516</v>
      </c>
      <c r="J2424" s="1056" t="s">
        <v>81</v>
      </c>
      <c r="K2424" s="1235" t="s">
        <v>216</v>
      </c>
      <c r="L2424" s="959">
        <v>35.0</v>
      </c>
      <c r="M2424" s="960">
        <v>100.0</v>
      </c>
      <c r="N2424" s="960">
        <v>50.0</v>
      </c>
      <c r="O2424" s="960">
        <v>50.0</v>
      </c>
      <c r="P2424" s="960">
        <v>70.0</v>
      </c>
      <c r="Q2424" s="960">
        <v>120.0</v>
      </c>
      <c r="R2424" s="960">
        <v>276.0</v>
      </c>
      <c r="S2424" s="960">
        <v>339.0</v>
      </c>
      <c r="T2424" s="960">
        <v>372.0</v>
      </c>
      <c r="U2424" s="960">
        <f t="array" ref="U2424">HLOOKUP($J2424,'Type Chart'!$C$2:$T$20,2,false)*HLOOKUP($K2424,'Type Chart'!$C$2:$U$20,2,false)</f>
        <v>1</v>
      </c>
      <c r="V2424" s="960">
        <f t="array" ref="V2424">HLOOKUP($J2424,'Type Chart'!$C$2:$T$20,3,false)*HLOOKUP($K2424,'Type Chart'!$C$2:$U$20,3,false)</f>
        <v>1</v>
      </c>
      <c r="W2424" s="960">
        <f t="array" ref="W2424">HLOOKUP($J2424,'Type Chart'!$C$2:$T$20,4,false)*HLOOKUP($K2424,'Type Chart'!$C$2:$U$20,4,false)</f>
        <v>1</v>
      </c>
      <c r="X2424" s="960">
        <f t="array" ref="X2424">HLOOKUP($J2424,'Type Chart'!$C$2:$T$20,5,false)*HLOOKUP($K2424,'Type Chart'!$C$2:$U$20,5,false)</f>
        <v>1</v>
      </c>
      <c r="Y2424" s="960">
        <f t="array" ref="Y2424">HLOOKUP($J2424,'Type Chart'!$C$2:$T$20,6,false)*HLOOKUP($K2424,'Type Chart'!$C$2:$U$20,6,false)</f>
        <v>1</v>
      </c>
      <c r="Z2424" s="960">
        <f t="array" ref="Z2424">HLOOKUP($J2424,'Type Chart'!$C$2:$T$20,7,false)*HLOOKUP($K2424,'Type Chart'!$C$2:$U$20,7,false)</f>
        <v>1</v>
      </c>
      <c r="AA2424" s="960">
        <f t="array" ref="AA2424">HLOOKUP($J2424,'Type Chart'!$C$2:$T$20,8,false)*HLOOKUP($K2424,'Type Chart'!$C$2:$U$20,8,false)</f>
        <v>1</v>
      </c>
      <c r="AB2424" s="960">
        <f t="array" ref="AB2424">HLOOKUP($J2424,'Type Chart'!$C$2:$T$20,9,false)*HLOOKUP($K2424,'Type Chart'!$C$2:$U$20,9,false)</f>
        <v>1</v>
      </c>
      <c r="AC2424" s="960">
        <f t="array" ref="AC2424">HLOOKUP($J2424,'Type Chart'!$C$2:$T$20,10,false)*HLOOKUP($K2424,'Type Chart'!$C$2:$U$20,10,false)</f>
        <v>0.5</v>
      </c>
      <c r="AD2424" s="960">
        <f t="array" ref="AD2424">HLOOKUP($J2424,'Type Chart'!$C$2:$T$20,11,false)*HLOOKUP($K2424,'Type Chart'!$C$2:$U$20,11,false)</f>
        <v>0.5</v>
      </c>
      <c r="AE2424" s="960">
        <f t="array" ref="AE2424">HLOOKUP($J2424,'Type Chart'!$C$2:$T$20,12,false)*HLOOKUP($K2424,'Type Chart'!$C$2:$U$20,12,false)</f>
        <v>0.5</v>
      </c>
      <c r="AF2424" s="960">
        <f t="array" ref="AF2424">HLOOKUP($J2424,'Type Chart'!$C$2:$T$20,13,false)*HLOOKUP($K2424,'Type Chart'!$C$2:$U$20,13,false)</f>
        <v>2</v>
      </c>
      <c r="AG2424" s="960">
        <f t="array" ref="AG2424">HLOOKUP($J2424,'Type Chart'!$C$2:$T$20,14,false)*HLOOKUP($K2424,'Type Chart'!$C$2:$U$20,14,false)</f>
        <v>2</v>
      </c>
      <c r="AH2424" s="960">
        <f t="array" ref="AH2424">HLOOKUP($J2424,'Type Chart'!$C$2:$T$20,15,false)*HLOOKUP($K2424,'Type Chart'!$C$2:$U$20,15,false)</f>
        <v>1</v>
      </c>
      <c r="AI2424" s="960">
        <f t="array" ref="AI2424">HLOOKUP($J2424,'Type Chart'!$C$2:$T$20,16,false)*HLOOKUP($K2424,'Type Chart'!$C$2:$U$20,16,false)</f>
        <v>0.5</v>
      </c>
      <c r="AJ2424" s="960">
        <f t="array" ref="AJ2424">HLOOKUP($J2424,'Type Chart'!$C$2:$T$20,17,false)*HLOOKUP($K2424,'Type Chart'!$C$2:$U$20,17,false)</f>
        <v>1</v>
      </c>
      <c r="AK2424" s="960">
        <f t="array" ref="AK2424">HLOOKUP($J2424,'Type Chart'!$C$2:$T$20,18,false)*HLOOKUP($K2424,'Type Chart'!$C$2:$U$20,18,false)</f>
        <v>1</v>
      </c>
      <c r="AL2424" s="960">
        <f t="array" ref="AL2424">HLOOKUP($J2424,'Type Chart'!$C$2:$T$20,19,false)*HLOOKUP($K2424,'Type Chart'!$C$2:$U$20,19,false)</f>
        <v>1</v>
      </c>
      <c r="AM2424" s="964" t="s">
        <v>3434</v>
      </c>
      <c r="AN2424" s="964" t="s">
        <v>1243</v>
      </c>
      <c r="AO2424" s="966" t="s">
        <v>1129</v>
      </c>
      <c r="AP2424" s="936"/>
      <c r="AQ2424" s="1245"/>
      <c r="AR2424" s="1245"/>
      <c r="AS2424" s="936"/>
    </row>
    <row r="2425" ht="15.75" customHeight="1">
      <c r="A2425" s="1099"/>
      <c r="B2425" s="948">
        <v>931.0</v>
      </c>
      <c r="C2425" s="1197" t="s">
        <v>4196</v>
      </c>
      <c r="D2425" s="1197" t="s">
        <v>4196</v>
      </c>
      <c r="E2425" s="1147" t="s">
        <v>4196</v>
      </c>
      <c r="F2425" s="940"/>
      <c r="G2425" s="953"/>
      <c r="H2425" s="969"/>
      <c r="I2425" s="998" t="s">
        <v>5517</v>
      </c>
      <c r="J2425" s="1056" t="s">
        <v>81</v>
      </c>
      <c r="K2425" s="1235" t="s">
        <v>216</v>
      </c>
      <c r="L2425" s="959">
        <v>150.0</v>
      </c>
      <c r="M2425" s="960">
        <v>100.0</v>
      </c>
      <c r="N2425" s="960">
        <v>115.0</v>
      </c>
      <c r="O2425" s="960">
        <v>65.0</v>
      </c>
      <c r="P2425" s="960">
        <v>65.0</v>
      </c>
      <c r="Q2425" s="960">
        <v>35.0</v>
      </c>
      <c r="R2425" s="960">
        <v>106.0</v>
      </c>
      <c r="S2425" s="960">
        <v>169.0</v>
      </c>
      <c r="T2425" s="960">
        <v>185.0</v>
      </c>
      <c r="U2425" s="960">
        <f t="array" ref="U2425">HLOOKUP($J2425,'Type Chart'!$C$2:$T$20,2,false)*HLOOKUP($K2425,'Type Chart'!$C$2:$U$20,2,false)</f>
        <v>1</v>
      </c>
      <c r="V2425" s="960">
        <f t="array" ref="V2425">HLOOKUP($J2425,'Type Chart'!$C$2:$T$20,3,false)*HLOOKUP($K2425,'Type Chart'!$C$2:$U$20,3,false)</f>
        <v>1</v>
      </c>
      <c r="W2425" s="960">
        <f t="array" ref="W2425">HLOOKUP($J2425,'Type Chart'!$C$2:$T$20,4,false)*HLOOKUP($K2425,'Type Chart'!$C$2:$U$20,4,false)</f>
        <v>1</v>
      </c>
      <c r="X2425" s="960">
        <f t="array" ref="X2425">HLOOKUP($J2425,'Type Chart'!$C$2:$T$20,5,false)*HLOOKUP($K2425,'Type Chart'!$C$2:$U$20,5,false)</f>
        <v>1</v>
      </c>
      <c r="Y2425" s="960">
        <f t="array" ref="Y2425">HLOOKUP($J2425,'Type Chart'!$C$2:$T$20,6,false)*HLOOKUP($K2425,'Type Chart'!$C$2:$U$20,6,false)</f>
        <v>1</v>
      </c>
      <c r="Z2425" s="960">
        <f t="array" ref="Z2425">HLOOKUP($J2425,'Type Chart'!$C$2:$T$20,7,false)*HLOOKUP($K2425,'Type Chart'!$C$2:$U$20,7,false)</f>
        <v>1</v>
      </c>
      <c r="AA2425" s="960">
        <f t="array" ref="AA2425">HLOOKUP($J2425,'Type Chart'!$C$2:$T$20,8,false)*HLOOKUP($K2425,'Type Chart'!$C$2:$U$20,8,false)</f>
        <v>1</v>
      </c>
      <c r="AB2425" s="960">
        <f t="array" ref="AB2425">HLOOKUP($J2425,'Type Chart'!$C$2:$T$20,9,false)*HLOOKUP($K2425,'Type Chart'!$C$2:$U$20,9,false)</f>
        <v>1</v>
      </c>
      <c r="AC2425" s="960">
        <f t="array" ref="AC2425">HLOOKUP($J2425,'Type Chart'!$C$2:$T$20,10,false)*HLOOKUP($K2425,'Type Chart'!$C$2:$U$20,10,false)</f>
        <v>0.5</v>
      </c>
      <c r="AD2425" s="960">
        <f t="array" ref="AD2425">HLOOKUP($J2425,'Type Chart'!$C$2:$T$20,11,false)*HLOOKUP($K2425,'Type Chart'!$C$2:$U$20,11,false)</f>
        <v>0.5</v>
      </c>
      <c r="AE2425" s="960">
        <f t="array" ref="AE2425">HLOOKUP($J2425,'Type Chart'!$C$2:$T$20,12,false)*HLOOKUP($K2425,'Type Chart'!$C$2:$U$20,12,false)</f>
        <v>0.5</v>
      </c>
      <c r="AF2425" s="960">
        <f t="array" ref="AF2425">HLOOKUP($J2425,'Type Chart'!$C$2:$T$20,13,false)*HLOOKUP($K2425,'Type Chart'!$C$2:$U$20,13,false)</f>
        <v>2</v>
      </c>
      <c r="AG2425" s="960">
        <f t="array" ref="AG2425">HLOOKUP($J2425,'Type Chart'!$C$2:$T$20,14,false)*HLOOKUP($K2425,'Type Chart'!$C$2:$U$20,14,false)</f>
        <v>2</v>
      </c>
      <c r="AH2425" s="960">
        <f t="array" ref="AH2425">HLOOKUP($J2425,'Type Chart'!$C$2:$T$20,15,false)*HLOOKUP($K2425,'Type Chart'!$C$2:$U$20,15,false)</f>
        <v>1</v>
      </c>
      <c r="AI2425" s="960">
        <f t="array" ref="AI2425">HLOOKUP($J2425,'Type Chart'!$C$2:$T$20,16,false)*HLOOKUP($K2425,'Type Chart'!$C$2:$U$20,16,false)</f>
        <v>0.5</v>
      </c>
      <c r="AJ2425" s="960">
        <f t="array" ref="AJ2425">HLOOKUP($J2425,'Type Chart'!$C$2:$T$20,17,false)*HLOOKUP($K2425,'Type Chart'!$C$2:$U$20,17,false)</f>
        <v>1</v>
      </c>
      <c r="AK2425" s="960">
        <f t="array" ref="AK2425">HLOOKUP($J2425,'Type Chart'!$C$2:$T$20,18,false)*HLOOKUP($K2425,'Type Chart'!$C$2:$U$20,18,false)</f>
        <v>1</v>
      </c>
      <c r="AL2425" s="960">
        <f t="array" ref="AL2425">HLOOKUP($J2425,'Type Chart'!$C$2:$T$20,19,false)*HLOOKUP($K2425,'Type Chart'!$C$2:$U$20,19,false)</f>
        <v>1</v>
      </c>
      <c r="AM2425" s="964" t="s">
        <v>1169</v>
      </c>
      <c r="AN2425" s="964" t="s">
        <v>1369</v>
      </c>
      <c r="AO2425" s="966" t="s">
        <v>1542</v>
      </c>
      <c r="AP2425" s="936"/>
      <c r="AQ2425" s="1245"/>
      <c r="AR2425" s="1245"/>
      <c r="AS2425" s="936"/>
    </row>
    <row r="2426" ht="15.75" customHeight="1">
      <c r="A2426" s="1099"/>
      <c r="B2426" s="948">
        <v>932.0</v>
      </c>
      <c r="C2426" s="1197" t="s">
        <v>4197</v>
      </c>
      <c r="D2426" s="1197" t="s">
        <v>4197</v>
      </c>
      <c r="E2426" s="1147" t="s">
        <v>4197</v>
      </c>
      <c r="F2426" s="940"/>
      <c r="G2426" s="953"/>
      <c r="H2426" s="969"/>
      <c r="I2426" s="998" t="s">
        <v>5518</v>
      </c>
      <c r="J2426" s="1056" t="s">
        <v>81</v>
      </c>
      <c r="K2426" s="1203" t="s">
        <v>344</v>
      </c>
      <c r="L2426" s="959">
        <v>90.0</v>
      </c>
      <c r="M2426" s="960">
        <v>102.0</v>
      </c>
      <c r="N2426" s="960">
        <v>73.0</v>
      </c>
      <c r="O2426" s="960">
        <v>78.0</v>
      </c>
      <c r="P2426" s="960">
        <v>65.0</v>
      </c>
      <c r="Q2426" s="960">
        <v>70.0</v>
      </c>
      <c r="R2426" s="960">
        <v>176.0</v>
      </c>
      <c r="S2426" s="960">
        <v>239.0</v>
      </c>
      <c r="T2426" s="960">
        <v>262.0</v>
      </c>
      <c r="U2426" s="960">
        <f t="array" ref="U2426">HLOOKUP($J2426,'Type Chart'!$C$2:$T$20,2,false)*HLOOKUP($K2426,'Type Chart'!$C$2:$U$20,2,false)</f>
        <v>1</v>
      </c>
      <c r="V2426" s="960">
        <f t="array" ref="V2426">HLOOKUP($J2426,'Type Chart'!$C$2:$T$20,3,false)*HLOOKUP($K2426,'Type Chart'!$C$2:$U$20,3,false)</f>
        <v>0.5</v>
      </c>
      <c r="W2426" s="960">
        <f t="array" ref="W2426">HLOOKUP($J2426,'Type Chart'!$C$2:$T$20,4,false)*HLOOKUP($K2426,'Type Chart'!$C$2:$U$20,4,false)</f>
        <v>1</v>
      </c>
      <c r="X2426" s="960">
        <f t="array" ref="X2426">HLOOKUP($J2426,'Type Chart'!$C$2:$T$20,5,false)*HLOOKUP($K2426,'Type Chart'!$C$2:$U$20,5,false)</f>
        <v>1</v>
      </c>
      <c r="Y2426" s="960">
        <f t="array" ref="Y2426">HLOOKUP($J2426,'Type Chart'!$C$2:$T$20,6,false)*HLOOKUP($K2426,'Type Chart'!$C$2:$U$20,6,false)</f>
        <v>1</v>
      </c>
      <c r="Z2426" s="960">
        <f t="array" ref="Z2426">HLOOKUP($J2426,'Type Chart'!$C$2:$T$20,7,false)*HLOOKUP($K2426,'Type Chart'!$C$2:$U$20,7,false)</f>
        <v>1</v>
      </c>
      <c r="AA2426" s="960">
        <f t="array" ref="AA2426">HLOOKUP($J2426,'Type Chart'!$C$2:$T$20,8,false)*HLOOKUP($K2426,'Type Chart'!$C$2:$U$20,8,false)</f>
        <v>2</v>
      </c>
      <c r="AB2426" s="960">
        <f t="array" ref="AB2426">HLOOKUP($J2426,'Type Chart'!$C$2:$T$20,9,false)*HLOOKUP($K2426,'Type Chart'!$C$2:$U$20,9,false)</f>
        <v>2</v>
      </c>
      <c r="AC2426" s="960">
        <f t="array" ref="AC2426">HLOOKUP($J2426,'Type Chart'!$C$2:$T$20,10,false)*HLOOKUP($K2426,'Type Chart'!$C$2:$U$20,10,false)</f>
        <v>0.5</v>
      </c>
      <c r="AD2426" s="960">
        <f t="array" ref="AD2426">HLOOKUP($J2426,'Type Chart'!$C$2:$T$20,11,false)*HLOOKUP($K2426,'Type Chart'!$C$2:$U$20,11,false)</f>
        <v>0.5</v>
      </c>
      <c r="AE2426" s="960">
        <f t="array" ref="AE2426">HLOOKUP($J2426,'Type Chart'!$C$2:$T$20,12,false)*HLOOKUP($K2426,'Type Chart'!$C$2:$U$20,12,false)</f>
        <v>0.5</v>
      </c>
      <c r="AF2426" s="960">
        <f t="array" ref="AF2426">HLOOKUP($J2426,'Type Chart'!$C$2:$T$20,13,false)*HLOOKUP($K2426,'Type Chart'!$C$2:$U$20,13,false)</f>
        <v>2</v>
      </c>
      <c r="AG2426" s="960">
        <f t="array" ref="AG2426">HLOOKUP($J2426,'Type Chart'!$C$2:$T$20,14,false)*HLOOKUP($K2426,'Type Chart'!$C$2:$U$20,14,false)</f>
        <v>2</v>
      </c>
      <c r="AH2426" s="960">
        <f t="array" ref="AH2426">HLOOKUP($J2426,'Type Chart'!$C$2:$T$20,15,false)*HLOOKUP($K2426,'Type Chart'!$C$2:$U$20,15,false)</f>
        <v>0.5</v>
      </c>
      <c r="AI2426" s="960">
        <f t="array" ref="AI2426">HLOOKUP($J2426,'Type Chart'!$C$2:$T$20,16,false)*HLOOKUP($K2426,'Type Chart'!$C$2:$U$20,16,false)</f>
        <v>0.5</v>
      </c>
      <c r="AJ2426" s="960">
        <f t="array" ref="AJ2426">HLOOKUP($J2426,'Type Chart'!$C$2:$T$20,17,false)*HLOOKUP($K2426,'Type Chart'!$C$2:$U$20,17,false)</f>
        <v>1</v>
      </c>
      <c r="AK2426" s="960">
        <f t="array" ref="AK2426">HLOOKUP($J2426,'Type Chart'!$C$2:$T$20,18,false)*HLOOKUP($K2426,'Type Chart'!$C$2:$U$20,18,false)</f>
        <v>2</v>
      </c>
      <c r="AL2426" s="960">
        <f t="array" ref="AL2426">HLOOKUP($J2426,'Type Chart'!$C$2:$T$20,19,false)*HLOOKUP($K2426,'Type Chart'!$C$2:$U$20,19,false)</f>
        <v>1</v>
      </c>
      <c r="AM2426" s="964" t="s">
        <v>1576</v>
      </c>
      <c r="AN2426" s="964"/>
      <c r="AO2426" s="966" t="s">
        <v>4198</v>
      </c>
      <c r="AP2426" s="936"/>
      <c r="AQ2426" s="1245"/>
      <c r="AR2426" s="1245"/>
      <c r="AS2426" s="936"/>
    </row>
    <row r="2427" ht="15.75" customHeight="1">
      <c r="A2427" s="1099"/>
      <c r="B2427" s="948">
        <v>933.0</v>
      </c>
      <c r="C2427" s="1197" t="s">
        <v>4199</v>
      </c>
      <c r="D2427" s="1197" t="s">
        <v>4199</v>
      </c>
      <c r="E2427" s="1147" t="s">
        <v>4199</v>
      </c>
      <c r="F2427" s="940"/>
      <c r="G2427" s="953"/>
      <c r="H2427" s="969"/>
      <c r="I2427" s="998" t="s">
        <v>5519</v>
      </c>
      <c r="J2427" s="1056" t="s">
        <v>81</v>
      </c>
      <c r="K2427" s="1235" t="s">
        <v>216</v>
      </c>
      <c r="L2427" s="959">
        <v>70.0</v>
      </c>
      <c r="M2427" s="960">
        <v>45.0</v>
      </c>
      <c r="N2427" s="960">
        <v>40.0</v>
      </c>
      <c r="O2427" s="960">
        <v>45.0</v>
      </c>
      <c r="P2427" s="960">
        <v>40.0</v>
      </c>
      <c r="Q2427" s="960">
        <v>75.0</v>
      </c>
      <c r="R2427" s="960">
        <v>186.0</v>
      </c>
      <c r="S2427" s="960">
        <v>249.0</v>
      </c>
      <c r="T2427" s="960">
        <v>273.0</v>
      </c>
      <c r="U2427" s="960">
        <f t="array" ref="U2427">HLOOKUP($J2427,'Type Chart'!$C$2:$T$20,2,false)*HLOOKUP($K2427,'Type Chart'!$C$2:$U$20,2,false)</f>
        <v>1</v>
      </c>
      <c r="V2427" s="960">
        <f t="array" ref="V2427">HLOOKUP($J2427,'Type Chart'!$C$2:$T$20,3,false)*HLOOKUP($K2427,'Type Chart'!$C$2:$U$20,3,false)</f>
        <v>1</v>
      </c>
      <c r="W2427" s="960">
        <f t="array" ref="W2427">HLOOKUP($J2427,'Type Chart'!$C$2:$T$20,4,false)*HLOOKUP($K2427,'Type Chart'!$C$2:$U$20,4,false)</f>
        <v>1</v>
      </c>
      <c r="X2427" s="960">
        <f t="array" ref="X2427">HLOOKUP($J2427,'Type Chart'!$C$2:$T$20,5,false)*HLOOKUP($K2427,'Type Chart'!$C$2:$U$20,5,false)</f>
        <v>1</v>
      </c>
      <c r="Y2427" s="960">
        <f t="array" ref="Y2427">HLOOKUP($J2427,'Type Chart'!$C$2:$T$20,6,false)*HLOOKUP($K2427,'Type Chart'!$C$2:$U$20,6,false)</f>
        <v>1</v>
      </c>
      <c r="Z2427" s="960">
        <f t="array" ref="Z2427">HLOOKUP($J2427,'Type Chart'!$C$2:$T$20,7,false)*HLOOKUP($K2427,'Type Chart'!$C$2:$U$20,7,false)</f>
        <v>1</v>
      </c>
      <c r="AA2427" s="960">
        <f t="array" ref="AA2427">HLOOKUP($J2427,'Type Chart'!$C$2:$T$20,8,false)*HLOOKUP($K2427,'Type Chart'!$C$2:$U$20,8,false)</f>
        <v>1</v>
      </c>
      <c r="AB2427" s="960">
        <f t="array" ref="AB2427">HLOOKUP($J2427,'Type Chart'!$C$2:$T$20,9,false)*HLOOKUP($K2427,'Type Chart'!$C$2:$U$20,9,false)</f>
        <v>1</v>
      </c>
      <c r="AC2427" s="960">
        <f t="array" ref="AC2427">HLOOKUP($J2427,'Type Chart'!$C$2:$T$20,10,false)*HLOOKUP($K2427,'Type Chart'!$C$2:$U$20,10,false)</f>
        <v>0.5</v>
      </c>
      <c r="AD2427" s="960">
        <f t="array" ref="AD2427">HLOOKUP($J2427,'Type Chart'!$C$2:$T$20,11,false)*HLOOKUP($K2427,'Type Chart'!$C$2:$U$20,11,false)</f>
        <v>0.5</v>
      </c>
      <c r="AE2427" s="960">
        <f t="array" ref="AE2427">HLOOKUP($J2427,'Type Chart'!$C$2:$T$20,12,false)*HLOOKUP($K2427,'Type Chart'!$C$2:$U$20,12,false)</f>
        <v>0.5</v>
      </c>
      <c r="AF2427" s="960">
        <f t="array" ref="AF2427">HLOOKUP($J2427,'Type Chart'!$C$2:$T$20,13,false)*HLOOKUP($K2427,'Type Chart'!$C$2:$U$20,13,false)</f>
        <v>2</v>
      </c>
      <c r="AG2427" s="960">
        <f t="array" ref="AG2427">HLOOKUP($J2427,'Type Chart'!$C$2:$T$20,14,false)*HLOOKUP($K2427,'Type Chart'!$C$2:$U$20,14,false)</f>
        <v>2</v>
      </c>
      <c r="AH2427" s="960">
        <f t="array" ref="AH2427">HLOOKUP($J2427,'Type Chart'!$C$2:$T$20,15,false)*HLOOKUP($K2427,'Type Chart'!$C$2:$U$20,15,false)</f>
        <v>1</v>
      </c>
      <c r="AI2427" s="960">
        <f t="array" ref="AI2427">HLOOKUP($J2427,'Type Chart'!$C$2:$T$20,16,false)*HLOOKUP($K2427,'Type Chart'!$C$2:$U$20,16,false)</f>
        <v>0.5</v>
      </c>
      <c r="AJ2427" s="960">
        <f t="array" ref="AJ2427">HLOOKUP($J2427,'Type Chart'!$C$2:$T$20,17,false)*HLOOKUP($K2427,'Type Chart'!$C$2:$U$20,17,false)</f>
        <v>1</v>
      </c>
      <c r="AK2427" s="960">
        <f t="array" ref="AK2427">HLOOKUP($J2427,'Type Chart'!$C$2:$T$20,18,false)*HLOOKUP($K2427,'Type Chart'!$C$2:$U$20,18,false)</f>
        <v>1</v>
      </c>
      <c r="AL2427" s="960">
        <f t="array" ref="AL2427">HLOOKUP($J2427,'Type Chart'!$C$2:$T$20,19,false)*HLOOKUP($K2427,'Type Chart'!$C$2:$U$20,19,false)</f>
        <v>1</v>
      </c>
      <c r="AM2427" s="964" t="s">
        <v>1542</v>
      </c>
      <c r="AN2427" s="964"/>
      <c r="AO2427" s="966"/>
      <c r="AP2427" s="936"/>
      <c r="AQ2427" s="1245"/>
      <c r="AR2427" s="1245"/>
      <c r="AS2427" s="936"/>
    </row>
    <row r="2428" ht="15.75" customHeight="1">
      <c r="A2428" s="1099"/>
      <c r="B2428" s="948">
        <v>934.0</v>
      </c>
      <c r="C2428" s="1197" t="s">
        <v>125</v>
      </c>
      <c r="D2428" s="1197" t="s">
        <v>125</v>
      </c>
      <c r="E2428" s="1147" t="s">
        <v>125</v>
      </c>
      <c r="F2428" s="940"/>
      <c r="G2428" s="953"/>
      <c r="H2428" s="969"/>
      <c r="I2428" s="998" t="s">
        <v>5520</v>
      </c>
      <c r="J2428" s="1056" t="s">
        <v>81</v>
      </c>
      <c r="K2428" s="1235" t="s">
        <v>216</v>
      </c>
      <c r="L2428" s="959">
        <v>100.0</v>
      </c>
      <c r="M2428" s="960">
        <v>70.0</v>
      </c>
      <c r="N2428" s="960">
        <v>72.0</v>
      </c>
      <c r="O2428" s="960">
        <v>53.0</v>
      </c>
      <c r="P2428" s="960">
        <v>62.0</v>
      </c>
      <c r="Q2428" s="960">
        <v>100.0</v>
      </c>
      <c r="R2428" s="960">
        <v>236.0</v>
      </c>
      <c r="S2428" s="960">
        <v>299.0</v>
      </c>
      <c r="T2428" s="960">
        <v>328.0</v>
      </c>
      <c r="U2428" s="960">
        <f t="array" ref="U2428">HLOOKUP($J2428,'Type Chart'!$C$2:$T$20,2,false)*HLOOKUP($K2428,'Type Chart'!$C$2:$U$20,2,false)</f>
        <v>1</v>
      </c>
      <c r="V2428" s="960">
        <f t="array" ref="V2428">HLOOKUP($J2428,'Type Chart'!$C$2:$T$20,3,false)*HLOOKUP($K2428,'Type Chart'!$C$2:$U$20,3,false)</f>
        <v>1</v>
      </c>
      <c r="W2428" s="960">
        <f t="array" ref="W2428">HLOOKUP($J2428,'Type Chart'!$C$2:$T$20,4,false)*HLOOKUP($K2428,'Type Chart'!$C$2:$U$20,4,false)</f>
        <v>1</v>
      </c>
      <c r="X2428" s="960">
        <f t="array" ref="X2428">HLOOKUP($J2428,'Type Chart'!$C$2:$T$20,5,false)*HLOOKUP($K2428,'Type Chart'!$C$2:$U$20,5,false)</f>
        <v>1</v>
      </c>
      <c r="Y2428" s="960">
        <f t="array" ref="Y2428">HLOOKUP($J2428,'Type Chart'!$C$2:$T$20,6,false)*HLOOKUP($K2428,'Type Chart'!$C$2:$U$20,6,false)</f>
        <v>1</v>
      </c>
      <c r="Z2428" s="960">
        <f t="array" ref="Z2428">HLOOKUP($J2428,'Type Chart'!$C$2:$T$20,7,false)*HLOOKUP($K2428,'Type Chart'!$C$2:$U$20,7,false)</f>
        <v>1</v>
      </c>
      <c r="AA2428" s="960">
        <f t="array" ref="AA2428">HLOOKUP($J2428,'Type Chart'!$C$2:$T$20,8,false)*HLOOKUP($K2428,'Type Chart'!$C$2:$U$20,8,false)</f>
        <v>1</v>
      </c>
      <c r="AB2428" s="960">
        <f t="array" ref="AB2428">HLOOKUP($J2428,'Type Chart'!$C$2:$T$20,9,false)*HLOOKUP($K2428,'Type Chart'!$C$2:$U$20,9,false)</f>
        <v>1</v>
      </c>
      <c r="AC2428" s="960">
        <f t="array" ref="AC2428">HLOOKUP($J2428,'Type Chart'!$C$2:$T$20,10,false)*HLOOKUP($K2428,'Type Chart'!$C$2:$U$20,10,false)</f>
        <v>0.5</v>
      </c>
      <c r="AD2428" s="960">
        <f t="array" ref="AD2428">HLOOKUP($J2428,'Type Chart'!$C$2:$T$20,11,false)*HLOOKUP($K2428,'Type Chart'!$C$2:$U$20,11,false)</f>
        <v>0.5</v>
      </c>
      <c r="AE2428" s="960">
        <f t="array" ref="AE2428">HLOOKUP($J2428,'Type Chart'!$C$2:$T$20,12,false)*HLOOKUP($K2428,'Type Chart'!$C$2:$U$20,12,false)</f>
        <v>0.5</v>
      </c>
      <c r="AF2428" s="960">
        <f t="array" ref="AF2428">HLOOKUP($J2428,'Type Chart'!$C$2:$T$20,13,false)*HLOOKUP($K2428,'Type Chart'!$C$2:$U$20,13,false)</f>
        <v>2</v>
      </c>
      <c r="AG2428" s="960">
        <f t="array" ref="AG2428">HLOOKUP($J2428,'Type Chart'!$C$2:$T$20,14,false)*HLOOKUP($K2428,'Type Chart'!$C$2:$U$20,14,false)</f>
        <v>2</v>
      </c>
      <c r="AH2428" s="960">
        <f t="array" ref="AH2428">HLOOKUP($J2428,'Type Chart'!$C$2:$T$20,15,false)*HLOOKUP($K2428,'Type Chart'!$C$2:$U$20,15,false)</f>
        <v>1</v>
      </c>
      <c r="AI2428" s="960">
        <f t="array" ref="AI2428">HLOOKUP($J2428,'Type Chart'!$C$2:$T$20,16,false)*HLOOKUP($K2428,'Type Chart'!$C$2:$U$20,16,false)</f>
        <v>0.5</v>
      </c>
      <c r="AJ2428" s="960">
        <f t="array" ref="AJ2428">HLOOKUP($J2428,'Type Chart'!$C$2:$T$20,17,false)*HLOOKUP($K2428,'Type Chart'!$C$2:$U$20,17,false)</f>
        <v>1</v>
      </c>
      <c r="AK2428" s="960">
        <f t="array" ref="AK2428">HLOOKUP($J2428,'Type Chart'!$C$2:$T$20,18,false)*HLOOKUP($K2428,'Type Chart'!$C$2:$U$20,18,false)</f>
        <v>1</v>
      </c>
      <c r="AL2428" s="960">
        <f t="array" ref="AL2428">HLOOKUP($J2428,'Type Chart'!$C$2:$T$20,19,false)*HLOOKUP($K2428,'Type Chart'!$C$2:$U$20,19,false)</f>
        <v>1</v>
      </c>
      <c r="AM2428" s="964" t="s">
        <v>4201</v>
      </c>
      <c r="AN2428" s="965"/>
      <c r="AO2428" s="966"/>
      <c r="AP2428" s="936"/>
      <c r="AQ2428" s="1245"/>
      <c r="AR2428" s="1245"/>
      <c r="AS2428" s="936"/>
    </row>
    <row r="2429" ht="15.75" customHeight="1">
      <c r="A2429" s="1099"/>
      <c r="B2429" s="948" t="s">
        <v>4202</v>
      </c>
      <c r="C2429" s="1197" t="s">
        <v>125</v>
      </c>
      <c r="D2429" s="1197" t="s">
        <v>4203</v>
      </c>
      <c r="E2429" s="1147" t="s">
        <v>4203</v>
      </c>
      <c r="F2429" s="940"/>
      <c r="G2429" s="953"/>
      <c r="H2429" s="969"/>
      <c r="I2429" s="998" t="s">
        <v>5521</v>
      </c>
      <c r="J2429" s="1056" t="s">
        <v>81</v>
      </c>
      <c r="K2429" s="1235" t="s">
        <v>216</v>
      </c>
      <c r="L2429" s="959">
        <v>100.0</v>
      </c>
      <c r="M2429" s="960">
        <v>160.0</v>
      </c>
      <c r="N2429" s="960">
        <v>97.0</v>
      </c>
      <c r="O2429" s="960">
        <v>106.0</v>
      </c>
      <c r="P2429" s="960">
        <v>87.0</v>
      </c>
      <c r="Q2429" s="960">
        <v>100.0</v>
      </c>
      <c r="R2429" s="960">
        <v>236.0</v>
      </c>
      <c r="S2429" s="960">
        <v>299.0</v>
      </c>
      <c r="T2429" s="960">
        <v>328.0</v>
      </c>
      <c r="U2429" s="960">
        <f t="array" ref="U2429">HLOOKUP($J2429,'Type Chart'!$C$2:$T$20,2,false)*HLOOKUP($K2429,'Type Chart'!$C$2:$U$20,2,false)</f>
        <v>1</v>
      </c>
      <c r="V2429" s="960">
        <f t="array" ref="V2429">HLOOKUP($J2429,'Type Chart'!$C$2:$T$20,3,false)*HLOOKUP($K2429,'Type Chart'!$C$2:$U$20,3,false)</f>
        <v>1</v>
      </c>
      <c r="W2429" s="960">
        <f t="array" ref="W2429">HLOOKUP($J2429,'Type Chart'!$C$2:$T$20,4,false)*HLOOKUP($K2429,'Type Chart'!$C$2:$U$20,4,false)</f>
        <v>1</v>
      </c>
      <c r="X2429" s="960">
        <f t="array" ref="X2429">HLOOKUP($J2429,'Type Chart'!$C$2:$T$20,5,false)*HLOOKUP($K2429,'Type Chart'!$C$2:$U$20,5,false)</f>
        <v>1</v>
      </c>
      <c r="Y2429" s="960">
        <f t="array" ref="Y2429">HLOOKUP($J2429,'Type Chart'!$C$2:$T$20,6,false)*HLOOKUP($K2429,'Type Chart'!$C$2:$U$20,6,false)</f>
        <v>1</v>
      </c>
      <c r="Z2429" s="960">
        <f t="array" ref="Z2429">HLOOKUP($J2429,'Type Chart'!$C$2:$T$20,7,false)*HLOOKUP($K2429,'Type Chart'!$C$2:$U$20,7,false)</f>
        <v>1</v>
      </c>
      <c r="AA2429" s="960">
        <f t="array" ref="AA2429">HLOOKUP($J2429,'Type Chart'!$C$2:$T$20,8,false)*HLOOKUP($K2429,'Type Chart'!$C$2:$U$20,8,false)</f>
        <v>1</v>
      </c>
      <c r="AB2429" s="960">
        <f t="array" ref="AB2429">HLOOKUP($J2429,'Type Chart'!$C$2:$T$20,9,false)*HLOOKUP($K2429,'Type Chart'!$C$2:$U$20,9,false)</f>
        <v>1</v>
      </c>
      <c r="AC2429" s="960">
        <f t="array" ref="AC2429">HLOOKUP($J2429,'Type Chart'!$C$2:$T$20,10,false)*HLOOKUP($K2429,'Type Chart'!$C$2:$U$20,10,false)</f>
        <v>0.5</v>
      </c>
      <c r="AD2429" s="960">
        <f t="array" ref="AD2429">HLOOKUP($J2429,'Type Chart'!$C$2:$T$20,11,false)*HLOOKUP($K2429,'Type Chart'!$C$2:$U$20,11,false)</f>
        <v>0.5</v>
      </c>
      <c r="AE2429" s="960">
        <f t="array" ref="AE2429">HLOOKUP($J2429,'Type Chart'!$C$2:$T$20,12,false)*HLOOKUP($K2429,'Type Chart'!$C$2:$U$20,12,false)</f>
        <v>0.5</v>
      </c>
      <c r="AF2429" s="960">
        <f t="array" ref="AF2429">HLOOKUP($J2429,'Type Chart'!$C$2:$T$20,13,false)*HLOOKUP($K2429,'Type Chart'!$C$2:$U$20,13,false)</f>
        <v>2</v>
      </c>
      <c r="AG2429" s="960">
        <f t="array" ref="AG2429">HLOOKUP($J2429,'Type Chart'!$C$2:$T$20,14,false)*HLOOKUP($K2429,'Type Chart'!$C$2:$U$20,14,false)</f>
        <v>2</v>
      </c>
      <c r="AH2429" s="960">
        <f t="array" ref="AH2429">HLOOKUP($J2429,'Type Chart'!$C$2:$T$20,15,false)*HLOOKUP($K2429,'Type Chart'!$C$2:$U$20,15,false)</f>
        <v>1</v>
      </c>
      <c r="AI2429" s="960">
        <f t="array" ref="AI2429">HLOOKUP($J2429,'Type Chart'!$C$2:$T$20,16,false)*HLOOKUP($K2429,'Type Chart'!$C$2:$U$20,16,false)</f>
        <v>0.5</v>
      </c>
      <c r="AJ2429" s="960">
        <f t="array" ref="AJ2429">HLOOKUP($J2429,'Type Chart'!$C$2:$T$20,17,false)*HLOOKUP($K2429,'Type Chart'!$C$2:$U$20,17,false)</f>
        <v>1</v>
      </c>
      <c r="AK2429" s="960">
        <f t="array" ref="AK2429">HLOOKUP($J2429,'Type Chart'!$C$2:$T$20,18,false)*HLOOKUP($K2429,'Type Chart'!$C$2:$U$20,18,false)</f>
        <v>1</v>
      </c>
      <c r="AL2429" s="960">
        <f t="array" ref="AL2429">HLOOKUP($J2429,'Type Chart'!$C$2:$T$20,19,false)*HLOOKUP($K2429,'Type Chart'!$C$2:$U$20,19,false)</f>
        <v>1</v>
      </c>
      <c r="AM2429" s="964" t="s">
        <v>4201</v>
      </c>
      <c r="AN2429" s="965"/>
      <c r="AO2429" s="966"/>
      <c r="AP2429" s="936"/>
      <c r="AQ2429" s="1245"/>
      <c r="AR2429" s="1245"/>
      <c r="AS2429" s="936"/>
    </row>
    <row r="2430" ht="15.75" customHeight="1">
      <c r="A2430" s="1099"/>
      <c r="B2430" s="948" t="s">
        <v>4204</v>
      </c>
      <c r="C2430" s="1197" t="s">
        <v>4205</v>
      </c>
      <c r="D2430" s="1197" t="s">
        <v>4205</v>
      </c>
      <c r="E2430" s="1147" t="s">
        <v>4205</v>
      </c>
      <c r="F2430" s="940"/>
      <c r="G2430" s="953"/>
      <c r="H2430" s="969"/>
      <c r="I2430" s="998" t="s">
        <v>5522</v>
      </c>
      <c r="J2430" s="957" t="s">
        <v>209</v>
      </c>
      <c r="K2430" s="1194" t="s">
        <v>136</v>
      </c>
      <c r="L2430" s="959">
        <v>41.0</v>
      </c>
      <c r="M2430" s="960">
        <v>35.0</v>
      </c>
      <c r="N2430" s="960">
        <v>45.0</v>
      </c>
      <c r="O2430" s="960">
        <v>58.0</v>
      </c>
      <c r="P2430" s="960">
        <v>51.0</v>
      </c>
      <c r="Q2430" s="960">
        <v>30.0</v>
      </c>
      <c r="R2430" s="960">
        <v>96.0</v>
      </c>
      <c r="S2430" s="960">
        <v>159.0</v>
      </c>
      <c r="T2430" s="960">
        <v>174.0</v>
      </c>
      <c r="U2430" s="960">
        <f t="array" ref="U2430">HLOOKUP($J2430,'Type Chart'!$C$2:$T$20,2,false)*HLOOKUP($K2430,'Type Chart'!$C$2:$U$20,2,false)</f>
        <v>1</v>
      </c>
      <c r="V2430" s="960">
        <f t="array" ref="V2430">HLOOKUP($J2430,'Type Chart'!$C$2:$T$20,3,false)*HLOOKUP($K2430,'Type Chart'!$C$2:$U$20,3,false)</f>
        <v>2</v>
      </c>
      <c r="W2430" s="960">
        <f t="array" ref="W2430">HLOOKUP($J2430,'Type Chart'!$C$2:$T$20,4,false)*HLOOKUP($K2430,'Type Chart'!$C$2:$U$20,4,false)</f>
        <v>2</v>
      </c>
      <c r="X2430" s="960">
        <f t="array" ref="X2430">HLOOKUP($J2430,'Type Chart'!$C$2:$T$20,5,false)*HLOOKUP($K2430,'Type Chart'!$C$2:$U$20,5,false)</f>
        <v>2</v>
      </c>
      <c r="Y2430" s="960">
        <f t="array" ref="Y2430">HLOOKUP($J2430,'Type Chart'!$C$2:$T$20,6,false)*HLOOKUP($K2430,'Type Chart'!$C$2:$U$20,6,false)</f>
        <v>0.5</v>
      </c>
      <c r="Z2430" s="960">
        <f t="array" ref="Z2430">HLOOKUP($J2430,'Type Chart'!$C$2:$T$20,7,false)*HLOOKUP($K2430,'Type Chart'!$C$2:$U$20,7,false)</f>
        <v>1</v>
      </c>
      <c r="AA2430" s="960">
        <f t="array" ref="AA2430">HLOOKUP($J2430,'Type Chart'!$C$2:$T$20,8,false)*HLOOKUP($K2430,'Type Chart'!$C$2:$U$20,8,false)</f>
        <v>2</v>
      </c>
      <c r="AB2430" s="960">
        <f t="array" ref="AB2430">HLOOKUP($J2430,'Type Chart'!$C$2:$T$20,9,false)*HLOOKUP($K2430,'Type Chart'!$C$2:$U$20,9,false)</f>
        <v>0</v>
      </c>
      <c r="AC2430" s="960">
        <f t="array" ref="AC2430">HLOOKUP($J2430,'Type Chart'!$C$2:$T$20,10,false)*HLOOKUP($K2430,'Type Chart'!$C$2:$U$20,10,false)</f>
        <v>1</v>
      </c>
      <c r="AD2430" s="960">
        <f t="array" ref="AD2430">HLOOKUP($J2430,'Type Chart'!$C$2:$T$20,11,false)*HLOOKUP($K2430,'Type Chart'!$C$2:$U$20,11,false)</f>
        <v>2</v>
      </c>
      <c r="AE2430" s="960">
        <f t="array" ref="AE2430">HLOOKUP($J2430,'Type Chart'!$C$2:$T$20,12,false)*HLOOKUP($K2430,'Type Chart'!$C$2:$U$20,12,false)</f>
        <v>0.5</v>
      </c>
      <c r="AF2430" s="960">
        <f t="array" ref="AF2430">HLOOKUP($J2430,'Type Chart'!$C$2:$T$20,13,false)*HLOOKUP($K2430,'Type Chart'!$C$2:$U$20,13,false)</f>
        <v>0.5</v>
      </c>
      <c r="AG2430" s="960">
        <f t="array" ref="AG2430">HLOOKUP($J2430,'Type Chart'!$C$2:$T$20,14,false)*HLOOKUP($K2430,'Type Chart'!$C$2:$U$20,14,false)</f>
        <v>0.5</v>
      </c>
      <c r="AH2430" s="960">
        <f t="array" ref="AH2430">HLOOKUP($J2430,'Type Chart'!$C$2:$T$20,15,false)*HLOOKUP($K2430,'Type Chart'!$C$2:$U$20,15,false)</f>
        <v>1</v>
      </c>
      <c r="AI2430" s="960">
        <f t="array" ref="AI2430">HLOOKUP($J2430,'Type Chart'!$C$2:$T$20,16,false)*HLOOKUP($K2430,'Type Chart'!$C$2:$U$20,16,false)</f>
        <v>2</v>
      </c>
      <c r="AJ2430" s="960">
        <f t="array" ref="AJ2430">HLOOKUP($J2430,'Type Chart'!$C$2:$T$20,17,false)*HLOOKUP($K2430,'Type Chart'!$C$2:$U$20,17,false)</f>
        <v>1</v>
      </c>
      <c r="AK2430" s="960">
        <f t="array" ref="AK2430">HLOOKUP($J2430,'Type Chart'!$C$2:$T$20,18,false)*HLOOKUP($K2430,'Type Chart'!$C$2:$U$20,18,false)</f>
        <v>1</v>
      </c>
      <c r="AL2430" s="960">
        <f t="array" ref="AL2430">HLOOKUP($J2430,'Type Chart'!$C$2:$T$20,19,false)*HLOOKUP($K2430,'Type Chart'!$C$2:$U$20,19,false)</f>
        <v>1</v>
      </c>
      <c r="AM2430" s="964" t="s">
        <v>1403</v>
      </c>
      <c r="AN2430" s="965"/>
      <c r="AO2430" s="966" t="s">
        <v>1478</v>
      </c>
      <c r="AP2430" s="936"/>
      <c r="AQ2430" s="1245"/>
      <c r="AR2430" s="1245"/>
      <c r="AS2430" s="936"/>
    </row>
    <row r="2431" ht="15.75" customHeight="1">
      <c r="A2431" s="1099"/>
      <c r="B2431" s="948">
        <v>936.0</v>
      </c>
      <c r="C2431" s="1197" t="s">
        <v>4207</v>
      </c>
      <c r="D2431" s="1197" t="s">
        <v>4207</v>
      </c>
      <c r="E2431" s="1147" t="s">
        <v>4207</v>
      </c>
      <c r="F2431" s="940"/>
      <c r="G2431" s="953"/>
      <c r="H2431" s="969"/>
      <c r="I2431" s="998" t="s">
        <v>5523</v>
      </c>
      <c r="J2431" s="957" t="s">
        <v>209</v>
      </c>
      <c r="K2431" s="1194" t="s">
        <v>136</v>
      </c>
      <c r="L2431" s="959">
        <v>52.0</v>
      </c>
      <c r="M2431" s="960">
        <v>53.0</v>
      </c>
      <c r="N2431" s="960">
        <v>60.0</v>
      </c>
      <c r="O2431" s="960">
        <v>78.0</v>
      </c>
      <c r="P2431" s="960">
        <v>78.0</v>
      </c>
      <c r="Q2431" s="960">
        <v>33.0</v>
      </c>
      <c r="R2431" s="960">
        <v>102.0</v>
      </c>
      <c r="S2431" s="960">
        <v>165.0</v>
      </c>
      <c r="T2431" s="960">
        <v>181.0</v>
      </c>
      <c r="U2431" s="960">
        <f t="array" ref="U2431">HLOOKUP($J2431,'Type Chart'!$C$2:$T$20,2,false)*HLOOKUP($K2431,'Type Chart'!$C$2:$U$20,2,false)</f>
        <v>1</v>
      </c>
      <c r="V2431" s="960">
        <f t="array" ref="V2431">HLOOKUP($J2431,'Type Chart'!$C$2:$T$20,3,false)*HLOOKUP($K2431,'Type Chart'!$C$2:$U$20,3,false)</f>
        <v>2</v>
      </c>
      <c r="W2431" s="960">
        <f t="array" ref="W2431">HLOOKUP($J2431,'Type Chart'!$C$2:$T$20,4,false)*HLOOKUP($K2431,'Type Chart'!$C$2:$U$20,4,false)</f>
        <v>2</v>
      </c>
      <c r="X2431" s="960">
        <f t="array" ref="X2431">HLOOKUP($J2431,'Type Chart'!$C$2:$T$20,5,false)*HLOOKUP($K2431,'Type Chart'!$C$2:$U$20,5,false)</f>
        <v>2</v>
      </c>
      <c r="Y2431" s="960">
        <f t="array" ref="Y2431">HLOOKUP($J2431,'Type Chart'!$C$2:$T$20,6,false)*HLOOKUP($K2431,'Type Chart'!$C$2:$U$20,6,false)</f>
        <v>0.5</v>
      </c>
      <c r="Z2431" s="960">
        <f t="array" ref="Z2431">HLOOKUP($J2431,'Type Chart'!$C$2:$T$20,7,false)*HLOOKUP($K2431,'Type Chart'!$C$2:$U$20,7,false)</f>
        <v>1</v>
      </c>
      <c r="AA2431" s="960">
        <f t="array" ref="AA2431">HLOOKUP($J2431,'Type Chart'!$C$2:$T$20,8,false)*HLOOKUP($K2431,'Type Chart'!$C$2:$U$20,8,false)</f>
        <v>2</v>
      </c>
      <c r="AB2431" s="960">
        <f t="array" ref="AB2431">HLOOKUP($J2431,'Type Chart'!$C$2:$T$20,9,false)*HLOOKUP($K2431,'Type Chart'!$C$2:$U$20,9,false)</f>
        <v>0</v>
      </c>
      <c r="AC2431" s="960">
        <f t="array" ref="AC2431">HLOOKUP($J2431,'Type Chart'!$C$2:$T$20,10,false)*HLOOKUP($K2431,'Type Chart'!$C$2:$U$20,10,false)</f>
        <v>1</v>
      </c>
      <c r="AD2431" s="960">
        <f t="array" ref="AD2431">HLOOKUP($J2431,'Type Chart'!$C$2:$T$20,11,false)*HLOOKUP($K2431,'Type Chart'!$C$2:$U$20,11,false)</f>
        <v>2</v>
      </c>
      <c r="AE2431" s="960">
        <f t="array" ref="AE2431">HLOOKUP($J2431,'Type Chart'!$C$2:$T$20,12,false)*HLOOKUP($K2431,'Type Chart'!$C$2:$U$20,12,false)</f>
        <v>0.5</v>
      </c>
      <c r="AF2431" s="960">
        <f t="array" ref="AF2431">HLOOKUP($J2431,'Type Chart'!$C$2:$T$20,13,false)*HLOOKUP($K2431,'Type Chart'!$C$2:$U$20,13,false)</f>
        <v>0.5</v>
      </c>
      <c r="AG2431" s="960">
        <f t="array" ref="AG2431">HLOOKUP($J2431,'Type Chart'!$C$2:$T$20,14,false)*HLOOKUP($K2431,'Type Chart'!$C$2:$U$20,14,false)</f>
        <v>0.5</v>
      </c>
      <c r="AH2431" s="960">
        <f t="array" ref="AH2431">HLOOKUP($J2431,'Type Chart'!$C$2:$T$20,15,false)*HLOOKUP($K2431,'Type Chart'!$C$2:$U$20,15,false)</f>
        <v>1</v>
      </c>
      <c r="AI2431" s="960">
        <f t="array" ref="AI2431">HLOOKUP($J2431,'Type Chart'!$C$2:$T$20,16,false)*HLOOKUP($K2431,'Type Chart'!$C$2:$U$20,16,false)</f>
        <v>2</v>
      </c>
      <c r="AJ2431" s="960">
        <f t="array" ref="AJ2431">HLOOKUP($J2431,'Type Chart'!$C$2:$T$20,17,false)*HLOOKUP($K2431,'Type Chart'!$C$2:$U$20,17,false)</f>
        <v>1</v>
      </c>
      <c r="AK2431" s="960">
        <f t="array" ref="AK2431">HLOOKUP($J2431,'Type Chart'!$C$2:$T$20,18,false)*HLOOKUP($K2431,'Type Chart'!$C$2:$U$20,18,false)</f>
        <v>1</v>
      </c>
      <c r="AL2431" s="960">
        <f t="array" ref="AL2431">HLOOKUP($J2431,'Type Chart'!$C$2:$T$20,19,false)*HLOOKUP($K2431,'Type Chart'!$C$2:$U$20,19,false)</f>
        <v>1</v>
      </c>
      <c r="AM2431" s="964" t="s">
        <v>1403</v>
      </c>
      <c r="AN2431" s="965"/>
      <c r="AO2431" s="966" t="s">
        <v>1478</v>
      </c>
      <c r="AP2431" s="936"/>
      <c r="AQ2431" s="1245"/>
      <c r="AR2431" s="1245"/>
      <c r="AS2431" s="936"/>
    </row>
    <row r="2432" ht="15.75" customHeight="1">
      <c r="A2432" s="1099"/>
      <c r="B2432" s="948">
        <v>937.0</v>
      </c>
      <c r="C2432" s="1197" t="s">
        <v>4209</v>
      </c>
      <c r="D2432" s="1197" t="s">
        <v>4209</v>
      </c>
      <c r="E2432" s="1147" t="s">
        <v>4209</v>
      </c>
      <c r="F2432" s="940"/>
      <c r="G2432" s="953"/>
      <c r="H2432" s="969"/>
      <c r="I2432" s="998" t="s">
        <v>5524</v>
      </c>
      <c r="J2432" s="957" t="s">
        <v>209</v>
      </c>
      <c r="K2432" s="1194" t="s">
        <v>136</v>
      </c>
      <c r="L2432" s="959">
        <v>78.0</v>
      </c>
      <c r="M2432" s="960">
        <v>69.0</v>
      </c>
      <c r="N2432" s="960">
        <v>90.0</v>
      </c>
      <c r="O2432" s="960">
        <v>125.0</v>
      </c>
      <c r="P2432" s="960">
        <v>109.0</v>
      </c>
      <c r="Q2432" s="960">
        <v>39.0</v>
      </c>
      <c r="R2432" s="960">
        <v>114.0</v>
      </c>
      <c r="S2432" s="960">
        <v>177.0</v>
      </c>
      <c r="T2432" s="960">
        <v>194.0</v>
      </c>
      <c r="U2432" s="960">
        <f t="array" ref="U2432">HLOOKUP($J2432,'Type Chart'!$C$2:$T$20,2,false)*HLOOKUP($K2432,'Type Chart'!$C$2:$U$20,2,false)</f>
        <v>1</v>
      </c>
      <c r="V2432" s="960">
        <f t="array" ref="V2432">HLOOKUP($J2432,'Type Chart'!$C$2:$T$20,3,false)*HLOOKUP($K2432,'Type Chart'!$C$2:$U$20,3,false)</f>
        <v>2</v>
      </c>
      <c r="W2432" s="960">
        <f t="array" ref="W2432">HLOOKUP($J2432,'Type Chart'!$C$2:$T$20,4,false)*HLOOKUP($K2432,'Type Chart'!$C$2:$U$20,4,false)</f>
        <v>2</v>
      </c>
      <c r="X2432" s="960">
        <f t="array" ref="X2432">HLOOKUP($J2432,'Type Chart'!$C$2:$T$20,5,false)*HLOOKUP($K2432,'Type Chart'!$C$2:$U$20,5,false)</f>
        <v>2</v>
      </c>
      <c r="Y2432" s="960">
        <f t="array" ref="Y2432">HLOOKUP($J2432,'Type Chart'!$C$2:$T$20,6,false)*HLOOKUP($K2432,'Type Chart'!$C$2:$U$20,6,false)</f>
        <v>0.5</v>
      </c>
      <c r="Z2432" s="960">
        <f t="array" ref="Z2432">HLOOKUP($J2432,'Type Chart'!$C$2:$T$20,7,false)*HLOOKUP($K2432,'Type Chart'!$C$2:$U$20,7,false)</f>
        <v>1</v>
      </c>
      <c r="AA2432" s="960">
        <f t="array" ref="AA2432">HLOOKUP($J2432,'Type Chart'!$C$2:$T$20,8,false)*HLOOKUP($K2432,'Type Chart'!$C$2:$U$20,8,false)</f>
        <v>2</v>
      </c>
      <c r="AB2432" s="960">
        <f t="array" ref="AB2432">HLOOKUP($J2432,'Type Chart'!$C$2:$T$20,9,false)*HLOOKUP($K2432,'Type Chart'!$C$2:$U$20,9,false)</f>
        <v>0</v>
      </c>
      <c r="AC2432" s="960">
        <f t="array" ref="AC2432">HLOOKUP($J2432,'Type Chart'!$C$2:$T$20,10,false)*HLOOKUP($K2432,'Type Chart'!$C$2:$U$20,10,false)</f>
        <v>1</v>
      </c>
      <c r="AD2432" s="960">
        <f t="array" ref="AD2432">HLOOKUP($J2432,'Type Chart'!$C$2:$T$20,11,false)*HLOOKUP($K2432,'Type Chart'!$C$2:$U$20,11,false)</f>
        <v>2</v>
      </c>
      <c r="AE2432" s="960">
        <f t="array" ref="AE2432">HLOOKUP($J2432,'Type Chart'!$C$2:$T$20,12,false)*HLOOKUP($K2432,'Type Chart'!$C$2:$U$20,12,false)</f>
        <v>0.5</v>
      </c>
      <c r="AF2432" s="960">
        <f t="array" ref="AF2432">HLOOKUP($J2432,'Type Chart'!$C$2:$T$20,13,false)*HLOOKUP($K2432,'Type Chart'!$C$2:$U$20,13,false)</f>
        <v>0.5</v>
      </c>
      <c r="AG2432" s="960">
        <f t="array" ref="AG2432">HLOOKUP($J2432,'Type Chart'!$C$2:$T$20,14,false)*HLOOKUP($K2432,'Type Chart'!$C$2:$U$20,14,false)</f>
        <v>0.5</v>
      </c>
      <c r="AH2432" s="960">
        <f t="array" ref="AH2432">HLOOKUP($J2432,'Type Chart'!$C$2:$T$20,15,false)*HLOOKUP($K2432,'Type Chart'!$C$2:$U$20,15,false)</f>
        <v>1</v>
      </c>
      <c r="AI2432" s="960">
        <f t="array" ref="AI2432">HLOOKUP($J2432,'Type Chart'!$C$2:$T$20,16,false)*HLOOKUP($K2432,'Type Chart'!$C$2:$U$20,16,false)</f>
        <v>2</v>
      </c>
      <c r="AJ2432" s="960">
        <f t="array" ref="AJ2432">HLOOKUP($J2432,'Type Chart'!$C$2:$T$20,17,false)*HLOOKUP($K2432,'Type Chart'!$C$2:$U$20,17,false)</f>
        <v>1</v>
      </c>
      <c r="AK2432" s="960">
        <f t="array" ref="AK2432">HLOOKUP($J2432,'Type Chart'!$C$2:$T$20,18,false)*HLOOKUP($K2432,'Type Chart'!$C$2:$U$20,18,false)</f>
        <v>1</v>
      </c>
      <c r="AL2432" s="960">
        <f t="array" ref="AL2432">HLOOKUP($J2432,'Type Chart'!$C$2:$T$20,19,false)*HLOOKUP($K2432,'Type Chart'!$C$2:$U$20,19,false)</f>
        <v>1</v>
      </c>
      <c r="AM2432" s="964" t="s">
        <v>4210</v>
      </c>
      <c r="AN2432" s="965"/>
      <c r="AO2432" s="966" t="s">
        <v>1478</v>
      </c>
      <c r="AP2432" s="936"/>
      <c r="AQ2432" s="1245"/>
      <c r="AR2432" s="1245"/>
      <c r="AS2432" s="936"/>
    </row>
    <row r="2433" ht="15.75" customHeight="1">
      <c r="A2433" s="1099"/>
      <c r="B2433" s="948">
        <v>938.0</v>
      </c>
      <c r="C2433" s="1197" t="s">
        <v>4211</v>
      </c>
      <c r="D2433" s="1197" t="s">
        <v>4211</v>
      </c>
      <c r="E2433" s="1147" t="s">
        <v>4211</v>
      </c>
      <c r="F2433" s="940"/>
      <c r="G2433" s="953"/>
      <c r="H2433" s="969"/>
      <c r="I2433" s="998" t="s">
        <v>5525</v>
      </c>
      <c r="J2433" s="957" t="s">
        <v>209</v>
      </c>
      <c r="K2433" s="1235" t="s">
        <v>216</v>
      </c>
      <c r="L2433" s="959">
        <v>52.0</v>
      </c>
      <c r="M2433" s="960">
        <v>62.0</v>
      </c>
      <c r="N2433" s="960">
        <v>40.0</v>
      </c>
      <c r="O2433" s="960">
        <v>62.0</v>
      </c>
      <c r="P2433" s="960">
        <v>40.0</v>
      </c>
      <c r="Q2433" s="960">
        <v>50.0</v>
      </c>
      <c r="R2433" s="960">
        <v>136.0</v>
      </c>
      <c r="S2433" s="960">
        <v>199.0</v>
      </c>
      <c r="T2433" s="960">
        <v>218.0</v>
      </c>
      <c r="U2433" s="960">
        <f t="array" ref="U2433">HLOOKUP($J2433,'Type Chart'!$C$2:$T$20,2,false)*HLOOKUP($K2433,'Type Chart'!$C$2:$U$20,2,false)</f>
        <v>1</v>
      </c>
      <c r="V2433" s="960">
        <f t="array" ref="V2433">HLOOKUP($J2433,'Type Chart'!$C$2:$T$20,3,false)*HLOOKUP($K2433,'Type Chart'!$C$2:$U$20,3,false)</f>
        <v>1</v>
      </c>
      <c r="W2433" s="960">
        <f t="array" ref="W2433">HLOOKUP($J2433,'Type Chart'!$C$2:$T$20,4,false)*HLOOKUP($K2433,'Type Chart'!$C$2:$U$20,4,false)</f>
        <v>2</v>
      </c>
      <c r="X2433" s="960">
        <f t="array" ref="X2433">HLOOKUP($J2433,'Type Chart'!$C$2:$T$20,5,false)*HLOOKUP($K2433,'Type Chart'!$C$2:$U$20,5,false)</f>
        <v>2</v>
      </c>
      <c r="Y2433" s="960">
        <f t="array" ref="Y2433">HLOOKUP($J2433,'Type Chart'!$C$2:$T$20,6,false)*HLOOKUP($K2433,'Type Chart'!$C$2:$U$20,6,false)</f>
        <v>0.5</v>
      </c>
      <c r="Z2433" s="960">
        <f t="array" ref="Z2433">HLOOKUP($J2433,'Type Chart'!$C$2:$T$20,7,false)*HLOOKUP($K2433,'Type Chart'!$C$2:$U$20,7,false)</f>
        <v>1</v>
      </c>
      <c r="AA2433" s="960">
        <f t="array" ref="AA2433">HLOOKUP($J2433,'Type Chart'!$C$2:$T$20,8,false)*HLOOKUP($K2433,'Type Chart'!$C$2:$U$20,8,false)</f>
        <v>2</v>
      </c>
      <c r="AB2433" s="960">
        <f t="array" ref="AB2433">HLOOKUP($J2433,'Type Chart'!$C$2:$T$20,9,false)*HLOOKUP($K2433,'Type Chart'!$C$2:$U$20,9,false)</f>
        <v>1</v>
      </c>
      <c r="AC2433" s="960">
        <f t="array" ref="AC2433">HLOOKUP($J2433,'Type Chart'!$C$2:$T$20,10,false)*HLOOKUP($K2433,'Type Chart'!$C$2:$U$20,10,false)</f>
        <v>1</v>
      </c>
      <c r="AD2433" s="960">
        <f t="array" ref="AD2433">HLOOKUP($J2433,'Type Chart'!$C$2:$T$20,11,false)*HLOOKUP($K2433,'Type Chart'!$C$2:$U$20,11,false)</f>
        <v>2</v>
      </c>
      <c r="AE2433" s="960">
        <f t="array" ref="AE2433">HLOOKUP($J2433,'Type Chart'!$C$2:$T$20,12,false)*HLOOKUP($K2433,'Type Chart'!$C$2:$U$20,12,false)</f>
        <v>0.5</v>
      </c>
      <c r="AF2433" s="960">
        <f t="array" ref="AF2433">HLOOKUP($J2433,'Type Chart'!$C$2:$T$20,13,false)*HLOOKUP($K2433,'Type Chart'!$C$2:$U$20,13,false)</f>
        <v>0.5</v>
      </c>
      <c r="AG2433" s="960">
        <f t="array" ref="AG2433">HLOOKUP($J2433,'Type Chart'!$C$2:$T$20,14,false)*HLOOKUP($K2433,'Type Chart'!$C$2:$U$20,14,false)</f>
        <v>0.5</v>
      </c>
      <c r="AH2433" s="960">
        <f t="array" ref="AH2433">HLOOKUP($J2433,'Type Chart'!$C$2:$T$20,15,false)*HLOOKUP($K2433,'Type Chart'!$C$2:$U$20,15,false)</f>
        <v>1</v>
      </c>
      <c r="AI2433" s="960">
        <f t="array" ref="AI2433">HLOOKUP($J2433,'Type Chart'!$C$2:$T$20,16,false)*HLOOKUP($K2433,'Type Chart'!$C$2:$U$20,16,false)</f>
        <v>2</v>
      </c>
      <c r="AJ2433" s="960">
        <f t="array" ref="AJ2433">HLOOKUP($J2433,'Type Chart'!$C$2:$T$20,17,false)*HLOOKUP($K2433,'Type Chart'!$C$2:$U$20,17,false)</f>
        <v>1</v>
      </c>
      <c r="AK2433" s="960">
        <f t="array" ref="AK2433">HLOOKUP($J2433,'Type Chart'!$C$2:$T$20,18,false)*HLOOKUP($K2433,'Type Chart'!$C$2:$U$20,18,false)</f>
        <v>1</v>
      </c>
      <c r="AL2433" s="960">
        <f t="array" ref="AL2433">HLOOKUP($J2433,'Type Chart'!$C$2:$T$20,19,false)*HLOOKUP($K2433,'Type Chart'!$C$2:$U$20,19,false)</f>
        <v>1</v>
      </c>
      <c r="AM2433" s="964" t="s">
        <v>524</v>
      </c>
      <c r="AN2433" s="964" t="s">
        <v>1454</v>
      </c>
      <c r="AO2433" s="966" t="s">
        <v>2552</v>
      </c>
      <c r="AP2433" s="936"/>
      <c r="AQ2433" s="1245"/>
      <c r="AR2433" s="1245"/>
      <c r="AS2433" s="936"/>
    </row>
    <row r="2434" ht="15.75" customHeight="1">
      <c r="A2434" s="1099"/>
      <c r="B2434" s="948">
        <v>939.0</v>
      </c>
      <c r="C2434" s="1197" t="s">
        <v>4213</v>
      </c>
      <c r="D2434" s="1197" t="s">
        <v>4213</v>
      </c>
      <c r="E2434" s="1147" t="s">
        <v>4213</v>
      </c>
      <c r="F2434" s="940"/>
      <c r="G2434" s="953"/>
      <c r="H2434" s="969"/>
      <c r="I2434" s="998" t="s">
        <v>5526</v>
      </c>
      <c r="J2434" s="957" t="s">
        <v>209</v>
      </c>
      <c r="K2434" s="982" t="s">
        <v>150</v>
      </c>
      <c r="L2434" s="959">
        <v>65.0</v>
      </c>
      <c r="M2434" s="960">
        <v>108.0</v>
      </c>
      <c r="N2434" s="960">
        <v>65.0</v>
      </c>
      <c r="O2434" s="960">
        <v>108.0</v>
      </c>
      <c r="P2434" s="960">
        <v>65.0</v>
      </c>
      <c r="Q2434" s="960">
        <v>75.0</v>
      </c>
      <c r="R2434" s="960">
        <v>186.0</v>
      </c>
      <c r="S2434" s="960">
        <v>249.0</v>
      </c>
      <c r="T2434" s="960">
        <v>273.0</v>
      </c>
      <c r="U2434" s="960">
        <f t="array" ref="U2434">HLOOKUP($J2434,'Type Chart'!$C$2:$T$20,2,false)*HLOOKUP($K2434,'Type Chart'!$C$2:$U$20,2,false)</f>
        <v>1</v>
      </c>
      <c r="V2434" s="960">
        <f t="array" ref="V2434">HLOOKUP($J2434,'Type Chart'!$C$2:$T$20,3,false)*HLOOKUP($K2434,'Type Chart'!$C$2:$U$20,3,false)</f>
        <v>1</v>
      </c>
      <c r="W2434" s="960">
        <f t="array" ref="W2434">HLOOKUP($J2434,'Type Chart'!$C$2:$T$20,4,false)*HLOOKUP($K2434,'Type Chart'!$C$2:$U$20,4,false)</f>
        <v>2</v>
      </c>
      <c r="X2434" s="960">
        <f t="array" ref="X2434">HLOOKUP($J2434,'Type Chart'!$C$2:$T$20,5,false)*HLOOKUP($K2434,'Type Chart'!$C$2:$U$20,5,false)</f>
        <v>2</v>
      </c>
      <c r="Y2434" s="960">
        <f t="array" ref="Y2434">HLOOKUP($J2434,'Type Chart'!$C$2:$T$20,6,false)*HLOOKUP($K2434,'Type Chart'!$C$2:$U$20,6,false)</f>
        <v>1</v>
      </c>
      <c r="Z2434" s="960">
        <f t="array" ref="Z2434">HLOOKUP($J2434,'Type Chart'!$C$2:$T$20,7,false)*HLOOKUP($K2434,'Type Chart'!$C$2:$U$20,7,false)</f>
        <v>2</v>
      </c>
      <c r="AA2434" s="960">
        <f t="array" ref="AA2434">HLOOKUP($J2434,'Type Chart'!$C$2:$T$20,8,false)*HLOOKUP($K2434,'Type Chart'!$C$2:$U$20,8,false)</f>
        <v>1</v>
      </c>
      <c r="AB2434" s="960">
        <f t="array" ref="AB2434">HLOOKUP($J2434,'Type Chart'!$C$2:$T$20,9,false)*HLOOKUP($K2434,'Type Chart'!$C$2:$U$20,9,false)</f>
        <v>1</v>
      </c>
      <c r="AC2434" s="960">
        <f t="array" ref="AC2434">HLOOKUP($J2434,'Type Chart'!$C$2:$T$20,10,false)*HLOOKUP($K2434,'Type Chart'!$C$2:$U$20,10,false)</f>
        <v>0.5</v>
      </c>
      <c r="AD2434" s="960">
        <f t="array" ref="AD2434">HLOOKUP($J2434,'Type Chart'!$C$2:$T$20,11,false)*HLOOKUP($K2434,'Type Chart'!$C$2:$U$20,11,false)</f>
        <v>1</v>
      </c>
      <c r="AE2434" s="960">
        <f t="array" ref="AE2434">HLOOKUP($J2434,'Type Chart'!$C$2:$T$20,12,false)*HLOOKUP($K2434,'Type Chart'!$C$2:$U$20,12,false)</f>
        <v>1</v>
      </c>
      <c r="AF2434" s="960">
        <f t="array" ref="AF2434">HLOOKUP($J2434,'Type Chart'!$C$2:$T$20,13,false)*HLOOKUP($K2434,'Type Chart'!$C$2:$U$20,13,false)</f>
        <v>0.25</v>
      </c>
      <c r="AG2434" s="960">
        <f t="array" ref="AG2434">HLOOKUP($J2434,'Type Chart'!$C$2:$T$20,14,false)*HLOOKUP($K2434,'Type Chart'!$C$2:$U$20,14,false)</f>
        <v>0.5</v>
      </c>
      <c r="AH2434" s="960">
        <f t="array" ref="AH2434">HLOOKUP($J2434,'Type Chart'!$C$2:$T$20,15,false)*HLOOKUP($K2434,'Type Chart'!$C$2:$U$20,15,false)</f>
        <v>1</v>
      </c>
      <c r="AI2434" s="960">
        <f t="array" ref="AI2434">HLOOKUP($J2434,'Type Chart'!$C$2:$T$20,16,false)*HLOOKUP($K2434,'Type Chart'!$C$2:$U$20,16,false)</f>
        <v>1</v>
      </c>
      <c r="AJ2434" s="960">
        <f t="array" ref="AJ2434">HLOOKUP($J2434,'Type Chart'!$C$2:$T$20,17,false)*HLOOKUP($K2434,'Type Chart'!$C$2:$U$20,17,false)</f>
        <v>1</v>
      </c>
      <c r="AK2434" s="960">
        <f t="array" ref="AK2434">HLOOKUP($J2434,'Type Chart'!$C$2:$T$20,18,false)*HLOOKUP($K2434,'Type Chart'!$C$2:$U$20,18,false)</f>
        <v>1</v>
      </c>
      <c r="AL2434" s="960">
        <f t="array" ref="AL2434">HLOOKUP($J2434,'Type Chart'!$C$2:$T$20,19,false)*HLOOKUP($K2434,'Type Chart'!$C$2:$U$20,19,false)</f>
        <v>0.5</v>
      </c>
      <c r="AM2434" s="964" t="s">
        <v>524</v>
      </c>
      <c r="AN2434" s="964" t="s">
        <v>1454</v>
      </c>
      <c r="AO2434" s="966" t="s">
        <v>1898</v>
      </c>
      <c r="AP2434" s="936"/>
      <c r="AQ2434" s="1245"/>
      <c r="AR2434" s="1245"/>
      <c r="AS2434" s="936"/>
    </row>
    <row r="2435" ht="15.75" customHeight="1">
      <c r="A2435" s="1099"/>
      <c r="B2435" s="948">
        <v>940.0</v>
      </c>
      <c r="C2435" s="1197" t="s">
        <v>4214</v>
      </c>
      <c r="D2435" s="1197" t="s">
        <v>4214</v>
      </c>
      <c r="E2435" s="1147" t="s">
        <v>4214</v>
      </c>
      <c r="F2435" s="940"/>
      <c r="G2435" s="953"/>
      <c r="H2435" s="969"/>
      <c r="I2435" s="998" t="s">
        <v>5527</v>
      </c>
      <c r="J2435" s="1196" t="s">
        <v>203</v>
      </c>
      <c r="K2435" s="1235" t="s">
        <v>216</v>
      </c>
      <c r="L2435" s="959">
        <v>61.0</v>
      </c>
      <c r="M2435" s="960">
        <v>31.0</v>
      </c>
      <c r="N2435" s="960">
        <v>41.0</v>
      </c>
      <c r="O2435" s="960">
        <v>59.0</v>
      </c>
      <c r="P2435" s="960">
        <v>35.0</v>
      </c>
      <c r="Q2435" s="960">
        <v>45.0</v>
      </c>
      <c r="R2435" s="960">
        <v>126.0</v>
      </c>
      <c r="S2435" s="960">
        <v>189.0</v>
      </c>
      <c r="T2435" s="960">
        <v>207.0</v>
      </c>
      <c r="U2435" s="960">
        <f t="array" ref="U2435">HLOOKUP($J2435,'Type Chart'!$C$2:$T$20,2,false)*HLOOKUP($K2435,'Type Chart'!$C$2:$U$20,2,false)</f>
        <v>1</v>
      </c>
      <c r="V2435" s="960">
        <f t="array" ref="V2435">HLOOKUP($J2435,'Type Chart'!$C$2:$T$20,3,false)*HLOOKUP($K2435,'Type Chart'!$C$2:$U$20,3,false)</f>
        <v>1</v>
      </c>
      <c r="W2435" s="960">
        <f t="array" ref="W2435">HLOOKUP($J2435,'Type Chart'!$C$2:$T$20,4,false)*HLOOKUP($K2435,'Type Chart'!$C$2:$U$20,4,false)</f>
        <v>0.5</v>
      </c>
      <c r="X2435" s="960">
        <f t="array" ref="X2435">HLOOKUP($J2435,'Type Chart'!$C$2:$T$20,5,false)*HLOOKUP($K2435,'Type Chart'!$C$2:$U$20,5,false)</f>
        <v>1</v>
      </c>
      <c r="Y2435" s="960">
        <f t="array" ref="Y2435">HLOOKUP($J2435,'Type Chart'!$C$2:$T$20,6,false)*HLOOKUP($K2435,'Type Chart'!$C$2:$U$20,6,false)</f>
        <v>2</v>
      </c>
      <c r="Z2435" s="960">
        <f t="array" ref="Z2435">HLOOKUP($J2435,'Type Chart'!$C$2:$T$20,7,false)*HLOOKUP($K2435,'Type Chart'!$C$2:$U$20,7,false)</f>
        <v>1</v>
      </c>
      <c r="AA2435" s="960">
        <f t="array" ref="AA2435">HLOOKUP($J2435,'Type Chart'!$C$2:$T$20,8,false)*HLOOKUP($K2435,'Type Chart'!$C$2:$U$20,8,false)</f>
        <v>1</v>
      </c>
      <c r="AB2435" s="960">
        <f t="array" ref="AB2435">HLOOKUP($J2435,'Type Chart'!$C$2:$T$20,9,false)*HLOOKUP($K2435,'Type Chart'!$C$2:$U$20,9,false)</f>
        <v>1</v>
      </c>
      <c r="AC2435" s="960">
        <f t="array" ref="AC2435">HLOOKUP($J2435,'Type Chart'!$C$2:$T$20,10,false)*HLOOKUP($K2435,'Type Chart'!$C$2:$U$20,10,false)</f>
        <v>0.5</v>
      </c>
      <c r="AD2435" s="960">
        <f t="array" ref="AD2435">HLOOKUP($J2435,'Type Chart'!$C$2:$T$20,11,false)*HLOOKUP($K2435,'Type Chart'!$C$2:$U$20,11,false)</f>
        <v>1</v>
      </c>
      <c r="AE2435" s="960">
        <f t="array" ref="AE2435">HLOOKUP($J2435,'Type Chart'!$C$2:$T$20,12,false)*HLOOKUP($K2435,'Type Chart'!$C$2:$U$20,12,false)</f>
        <v>1</v>
      </c>
      <c r="AF2435" s="960">
        <f t="array" ref="AF2435">HLOOKUP($J2435,'Type Chart'!$C$2:$T$20,13,false)*HLOOKUP($K2435,'Type Chart'!$C$2:$U$20,13,false)</f>
        <v>1</v>
      </c>
      <c r="AG2435" s="960">
        <f t="array" ref="AG2435">HLOOKUP($J2435,'Type Chart'!$C$2:$T$20,14,false)*HLOOKUP($K2435,'Type Chart'!$C$2:$U$20,14,false)</f>
        <v>0.5</v>
      </c>
      <c r="AH2435" s="960">
        <f t="array" ref="AH2435">HLOOKUP($J2435,'Type Chart'!$C$2:$T$20,15,false)*HLOOKUP($K2435,'Type Chart'!$C$2:$U$20,15,false)</f>
        <v>1</v>
      </c>
      <c r="AI2435" s="960">
        <f t="array" ref="AI2435">HLOOKUP($J2435,'Type Chart'!$C$2:$T$20,16,false)*HLOOKUP($K2435,'Type Chart'!$C$2:$U$20,16,false)</f>
        <v>1</v>
      </c>
      <c r="AJ2435" s="960">
        <f t="array" ref="AJ2435">HLOOKUP($J2435,'Type Chart'!$C$2:$T$20,17,false)*HLOOKUP($K2435,'Type Chart'!$C$2:$U$20,17,false)</f>
        <v>1</v>
      </c>
      <c r="AK2435" s="960">
        <f t="array" ref="AK2435">HLOOKUP($J2435,'Type Chart'!$C$2:$T$20,18,false)*HLOOKUP($K2435,'Type Chart'!$C$2:$U$20,18,false)</f>
        <v>1</v>
      </c>
      <c r="AL2435" s="960">
        <f t="array" ref="AL2435">HLOOKUP($J2435,'Type Chart'!$C$2:$T$20,19,false)*HLOOKUP($K2435,'Type Chart'!$C$2:$U$20,19,false)</f>
        <v>1</v>
      </c>
      <c r="AM2435" s="964" t="s">
        <v>1370</v>
      </c>
      <c r="AN2435" s="964" t="s">
        <v>1067</v>
      </c>
      <c r="AO2435" s="966" t="s">
        <v>1211</v>
      </c>
      <c r="AP2435" s="936"/>
      <c r="AQ2435" s="1245"/>
      <c r="AR2435" s="1245"/>
      <c r="AS2435" s="936"/>
    </row>
    <row r="2436" ht="15.75" customHeight="1">
      <c r="A2436" s="1099"/>
      <c r="B2436" s="948">
        <v>941.0</v>
      </c>
      <c r="C2436" s="1197" t="s">
        <v>4216</v>
      </c>
      <c r="D2436" s="1197" t="s">
        <v>4216</v>
      </c>
      <c r="E2436" s="1147" t="s">
        <v>4216</v>
      </c>
      <c r="F2436" s="940"/>
      <c r="G2436" s="953"/>
      <c r="H2436" s="969"/>
      <c r="I2436" s="998" t="s">
        <v>5528</v>
      </c>
      <c r="J2436" s="1196" t="s">
        <v>203</v>
      </c>
      <c r="K2436" s="1235" t="s">
        <v>216</v>
      </c>
      <c r="L2436" s="959">
        <v>109.0</v>
      </c>
      <c r="M2436" s="960">
        <v>64.0</v>
      </c>
      <c r="N2436" s="960">
        <v>91.0</v>
      </c>
      <c r="O2436" s="960">
        <v>103.0</v>
      </c>
      <c r="P2436" s="960">
        <v>83.0</v>
      </c>
      <c r="Q2436" s="960">
        <v>45.0</v>
      </c>
      <c r="R2436" s="960">
        <v>126.0</v>
      </c>
      <c r="S2436" s="960">
        <v>189.0</v>
      </c>
      <c r="T2436" s="960">
        <v>207.0</v>
      </c>
      <c r="U2436" s="960">
        <f t="array" ref="U2436">HLOOKUP($J2436,'Type Chart'!$C$2:$T$20,2,false)*HLOOKUP($K2436,'Type Chart'!$C$2:$U$20,2,false)</f>
        <v>1</v>
      </c>
      <c r="V2436" s="960">
        <f t="array" ref="V2436">HLOOKUP($J2436,'Type Chart'!$C$2:$T$20,3,false)*HLOOKUP($K2436,'Type Chart'!$C$2:$U$20,3,false)</f>
        <v>1</v>
      </c>
      <c r="W2436" s="960">
        <f t="array" ref="W2436">HLOOKUP($J2436,'Type Chart'!$C$2:$T$20,4,false)*HLOOKUP($K2436,'Type Chart'!$C$2:$U$20,4,false)</f>
        <v>0.5</v>
      </c>
      <c r="X2436" s="960">
        <f t="array" ref="X2436">HLOOKUP($J2436,'Type Chart'!$C$2:$T$20,5,false)*HLOOKUP($K2436,'Type Chart'!$C$2:$U$20,5,false)</f>
        <v>1</v>
      </c>
      <c r="Y2436" s="960">
        <f t="array" ref="Y2436">HLOOKUP($J2436,'Type Chart'!$C$2:$T$20,6,false)*HLOOKUP($K2436,'Type Chart'!$C$2:$U$20,6,false)</f>
        <v>2</v>
      </c>
      <c r="Z2436" s="960">
        <f t="array" ref="Z2436">HLOOKUP($J2436,'Type Chart'!$C$2:$T$20,7,false)*HLOOKUP($K2436,'Type Chart'!$C$2:$U$20,7,false)</f>
        <v>1</v>
      </c>
      <c r="AA2436" s="960">
        <f t="array" ref="AA2436">HLOOKUP($J2436,'Type Chart'!$C$2:$T$20,8,false)*HLOOKUP($K2436,'Type Chart'!$C$2:$U$20,8,false)</f>
        <v>1</v>
      </c>
      <c r="AB2436" s="960">
        <f t="array" ref="AB2436">HLOOKUP($J2436,'Type Chart'!$C$2:$T$20,9,false)*HLOOKUP($K2436,'Type Chart'!$C$2:$U$20,9,false)</f>
        <v>1</v>
      </c>
      <c r="AC2436" s="960">
        <f t="array" ref="AC2436">HLOOKUP($J2436,'Type Chart'!$C$2:$T$20,10,false)*HLOOKUP($K2436,'Type Chart'!$C$2:$U$20,10,false)</f>
        <v>0.5</v>
      </c>
      <c r="AD2436" s="960">
        <f t="array" ref="AD2436">HLOOKUP($J2436,'Type Chart'!$C$2:$T$20,11,false)*HLOOKUP($K2436,'Type Chart'!$C$2:$U$20,11,false)</f>
        <v>1</v>
      </c>
      <c r="AE2436" s="960">
        <f t="array" ref="AE2436">HLOOKUP($J2436,'Type Chart'!$C$2:$T$20,12,false)*HLOOKUP($K2436,'Type Chart'!$C$2:$U$20,12,false)</f>
        <v>1</v>
      </c>
      <c r="AF2436" s="960">
        <f t="array" ref="AF2436">HLOOKUP($J2436,'Type Chart'!$C$2:$T$20,13,false)*HLOOKUP($K2436,'Type Chart'!$C$2:$U$20,13,false)</f>
        <v>1</v>
      </c>
      <c r="AG2436" s="960">
        <f t="array" ref="AG2436">HLOOKUP($J2436,'Type Chart'!$C$2:$T$20,14,false)*HLOOKUP($K2436,'Type Chart'!$C$2:$U$20,14,false)</f>
        <v>0.5</v>
      </c>
      <c r="AH2436" s="960">
        <f t="array" ref="AH2436">HLOOKUP($J2436,'Type Chart'!$C$2:$T$20,15,false)*HLOOKUP($K2436,'Type Chart'!$C$2:$U$20,15,false)</f>
        <v>1</v>
      </c>
      <c r="AI2436" s="960">
        <f t="array" ref="AI2436">HLOOKUP($J2436,'Type Chart'!$C$2:$T$20,16,false)*HLOOKUP($K2436,'Type Chart'!$C$2:$U$20,16,false)</f>
        <v>1</v>
      </c>
      <c r="AJ2436" s="960">
        <f t="array" ref="AJ2436">HLOOKUP($J2436,'Type Chart'!$C$2:$T$20,17,false)*HLOOKUP($K2436,'Type Chart'!$C$2:$U$20,17,false)</f>
        <v>1</v>
      </c>
      <c r="AK2436" s="960">
        <f t="array" ref="AK2436">HLOOKUP($J2436,'Type Chart'!$C$2:$T$20,18,false)*HLOOKUP($K2436,'Type Chart'!$C$2:$U$20,18,false)</f>
        <v>1</v>
      </c>
      <c r="AL2436" s="960">
        <f t="array" ref="AL2436">HLOOKUP($J2436,'Type Chart'!$C$2:$T$20,19,false)*HLOOKUP($K2436,'Type Chart'!$C$2:$U$20,19,false)</f>
        <v>1</v>
      </c>
      <c r="AM2436" s="964" t="s">
        <v>4217</v>
      </c>
      <c r="AN2436" s="964" t="s">
        <v>1067</v>
      </c>
      <c r="AO2436" s="966" t="s">
        <v>1211</v>
      </c>
      <c r="AP2436" s="936"/>
      <c r="AQ2436" s="1245"/>
      <c r="AR2436" s="1245"/>
      <c r="AS2436" s="936"/>
    </row>
    <row r="2437" ht="15.75" customHeight="1">
      <c r="A2437" s="1099"/>
      <c r="B2437" s="948">
        <v>942.0</v>
      </c>
      <c r="C2437" s="1197" t="s">
        <v>4218</v>
      </c>
      <c r="D2437" s="1197" t="s">
        <v>4218</v>
      </c>
      <c r="E2437" s="1147" t="s">
        <v>4218</v>
      </c>
      <c r="F2437" s="940"/>
      <c r="G2437" s="953"/>
      <c r="H2437" s="969"/>
      <c r="I2437" s="998" t="s">
        <v>5529</v>
      </c>
      <c r="J2437" s="1206" t="s">
        <v>82</v>
      </c>
      <c r="K2437" s="958" t="s">
        <v>178</v>
      </c>
      <c r="L2437" s="959">
        <v>45.0</v>
      </c>
      <c r="M2437" s="960">
        <v>70.0</v>
      </c>
      <c r="N2437" s="960">
        <v>63.0</v>
      </c>
      <c r="O2437" s="960">
        <v>30.0</v>
      </c>
      <c r="P2437" s="960">
        <v>45.0</v>
      </c>
      <c r="Q2437" s="960">
        <v>47.0</v>
      </c>
      <c r="R2437" s="960">
        <v>130.0</v>
      </c>
      <c r="S2437" s="960">
        <v>193.0</v>
      </c>
      <c r="T2437" s="960">
        <v>212.0</v>
      </c>
      <c r="U2437" s="960">
        <f t="array" ref="U2437">HLOOKUP($J2437,'Type Chart'!$C$2:$T$20,2,false)*HLOOKUP($K2437,'Type Chart'!$C$2:$U$20,2,false)</f>
        <v>0.5</v>
      </c>
      <c r="V2437" s="960">
        <f t="array" ref="V2437">HLOOKUP($J2437,'Type Chart'!$C$2:$T$20,3,false)*HLOOKUP($K2437,'Type Chart'!$C$2:$U$20,3,false)</f>
        <v>1</v>
      </c>
      <c r="W2437" s="960">
        <f t="array" ref="W2437">HLOOKUP($J2437,'Type Chart'!$C$2:$T$20,4,false)*HLOOKUP($K2437,'Type Chart'!$C$2:$U$20,4,false)</f>
        <v>0.5</v>
      </c>
      <c r="X2437" s="960">
        <f t="array" ref="X2437">HLOOKUP($J2437,'Type Chart'!$C$2:$T$20,5,false)*HLOOKUP($K2437,'Type Chart'!$C$2:$U$20,5,false)</f>
        <v>0</v>
      </c>
      <c r="Y2437" s="960">
        <f t="array" ref="Y2437">HLOOKUP($J2437,'Type Chart'!$C$2:$T$20,6,false)*HLOOKUP($K2437,'Type Chart'!$C$2:$U$20,6,false)</f>
        <v>4</v>
      </c>
      <c r="Z2437" s="960">
        <f t="array" ref="Z2437">HLOOKUP($J2437,'Type Chart'!$C$2:$T$20,7,false)*HLOOKUP($K2437,'Type Chart'!$C$2:$U$20,7,false)</f>
        <v>0.5</v>
      </c>
      <c r="AA2437" s="960">
        <f t="array" ref="AA2437">HLOOKUP($J2437,'Type Chart'!$C$2:$T$20,8,false)*HLOOKUP($K2437,'Type Chart'!$C$2:$U$20,8,false)</f>
        <v>0.25</v>
      </c>
      <c r="AB2437" s="960">
        <f t="array" ref="AB2437">HLOOKUP($J2437,'Type Chart'!$C$2:$T$20,9,false)*HLOOKUP($K2437,'Type Chart'!$C$2:$U$20,9,false)</f>
        <v>1</v>
      </c>
      <c r="AC2437" s="960">
        <f t="array" ref="AC2437">HLOOKUP($J2437,'Type Chart'!$C$2:$T$20,10,false)*HLOOKUP($K2437,'Type Chart'!$C$2:$U$20,10,false)</f>
        <v>0.5</v>
      </c>
      <c r="AD2437" s="960">
        <f t="array" ref="AD2437">HLOOKUP($J2437,'Type Chart'!$C$2:$T$20,11,false)*HLOOKUP($K2437,'Type Chart'!$C$2:$U$20,11,false)</f>
        <v>2</v>
      </c>
      <c r="AE2437" s="960">
        <f t="array" ref="AE2437">HLOOKUP($J2437,'Type Chart'!$C$2:$T$20,12,false)*HLOOKUP($K2437,'Type Chart'!$C$2:$U$20,12,false)</f>
        <v>1</v>
      </c>
      <c r="AF2437" s="960">
        <f t="array" ref="AF2437">HLOOKUP($J2437,'Type Chart'!$C$2:$T$20,13,false)*HLOOKUP($K2437,'Type Chart'!$C$2:$U$20,13,false)</f>
        <v>0.25</v>
      </c>
      <c r="AG2437" s="960">
        <f t="array" ref="AG2437">HLOOKUP($J2437,'Type Chart'!$C$2:$T$20,14,false)*HLOOKUP($K2437,'Type Chart'!$C$2:$U$20,14,false)</f>
        <v>1</v>
      </c>
      <c r="AH2437" s="960">
        <f t="array" ref="AH2437">HLOOKUP($J2437,'Type Chart'!$C$2:$T$20,15,false)*HLOOKUP($K2437,'Type Chart'!$C$2:$U$20,15,false)</f>
        <v>1</v>
      </c>
      <c r="AI2437" s="960">
        <f t="array" ref="AI2437">HLOOKUP($J2437,'Type Chart'!$C$2:$T$20,16,false)*HLOOKUP($K2437,'Type Chart'!$C$2:$U$20,16,false)</f>
        <v>0.5</v>
      </c>
      <c r="AJ2437" s="960">
        <f t="array" ref="AJ2437">HLOOKUP($J2437,'Type Chart'!$C$2:$T$20,17,false)*HLOOKUP($K2437,'Type Chart'!$C$2:$U$20,17,false)</f>
        <v>0.5</v>
      </c>
      <c r="AK2437" s="960">
        <f t="array" ref="AK2437">HLOOKUP($J2437,'Type Chart'!$C$2:$T$20,18,false)*HLOOKUP($K2437,'Type Chart'!$C$2:$U$20,18,false)</f>
        <v>1</v>
      </c>
      <c r="AL2437" s="960">
        <f t="array" ref="AL2437">HLOOKUP($J2437,'Type Chart'!$C$2:$T$20,19,false)*HLOOKUP($K2437,'Type Chart'!$C$2:$U$20,19,false)</f>
        <v>0.25</v>
      </c>
      <c r="AM2437" s="964" t="s">
        <v>1431</v>
      </c>
      <c r="AN2437" s="964"/>
      <c r="AO2437" s="966" t="s">
        <v>2722</v>
      </c>
      <c r="AP2437" s="936"/>
      <c r="AQ2437" s="1245"/>
      <c r="AR2437" s="1245"/>
      <c r="AS2437" s="936"/>
    </row>
    <row r="2438" ht="15.75" customHeight="1">
      <c r="A2438" s="1099"/>
      <c r="B2438" s="948">
        <v>943.0</v>
      </c>
      <c r="C2438" s="1197" t="s">
        <v>4220</v>
      </c>
      <c r="D2438" s="1197" t="s">
        <v>4220</v>
      </c>
      <c r="E2438" s="1147" t="s">
        <v>4220</v>
      </c>
      <c r="F2438" s="940"/>
      <c r="G2438" s="953"/>
      <c r="H2438" s="969"/>
      <c r="I2438" s="998" t="s">
        <v>5530</v>
      </c>
      <c r="J2438" s="1206" t="s">
        <v>82</v>
      </c>
      <c r="K2438" s="958" t="s">
        <v>178</v>
      </c>
      <c r="L2438" s="959">
        <v>80.0</v>
      </c>
      <c r="M2438" s="960">
        <v>119.0</v>
      </c>
      <c r="N2438" s="960">
        <v>90.0</v>
      </c>
      <c r="O2438" s="960">
        <v>54.0</v>
      </c>
      <c r="P2438" s="960">
        <v>67.0</v>
      </c>
      <c r="Q2438" s="960">
        <v>90.0</v>
      </c>
      <c r="R2438" s="960">
        <v>216.0</v>
      </c>
      <c r="S2438" s="960">
        <v>279.0</v>
      </c>
      <c r="T2438" s="960">
        <v>306.0</v>
      </c>
      <c r="U2438" s="960">
        <f t="array" ref="U2438">HLOOKUP($J2438,'Type Chart'!$C$2:$T$20,2,false)*HLOOKUP($K2438,'Type Chart'!$C$2:$U$20,2,false)</f>
        <v>0.5</v>
      </c>
      <c r="V2438" s="960">
        <f t="array" ref="V2438">HLOOKUP($J2438,'Type Chart'!$C$2:$T$20,3,false)*HLOOKUP($K2438,'Type Chart'!$C$2:$U$20,3,false)</f>
        <v>1</v>
      </c>
      <c r="W2438" s="960">
        <f t="array" ref="W2438">HLOOKUP($J2438,'Type Chart'!$C$2:$T$20,4,false)*HLOOKUP($K2438,'Type Chart'!$C$2:$U$20,4,false)</f>
        <v>0.5</v>
      </c>
      <c r="X2438" s="960">
        <f t="array" ref="X2438">HLOOKUP($J2438,'Type Chart'!$C$2:$T$20,5,false)*HLOOKUP($K2438,'Type Chart'!$C$2:$U$20,5,false)</f>
        <v>0</v>
      </c>
      <c r="Y2438" s="960">
        <f t="array" ref="Y2438">HLOOKUP($J2438,'Type Chart'!$C$2:$T$20,6,false)*HLOOKUP($K2438,'Type Chart'!$C$2:$U$20,6,false)</f>
        <v>4</v>
      </c>
      <c r="Z2438" s="960">
        <f t="array" ref="Z2438">HLOOKUP($J2438,'Type Chart'!$C$2:$T$20,7,false)*HLOOKUP($K2438,'Type Chart'!$C$2:$U$20,7,false)</f>
        <v>0.5</v>
      </c>
      <c r="AA2438" s="960">
        <f t="array" ref="AA2438">HLOOKUP($J2438,'Type Chart'!$C$2:$T$20,8,false)*HLOOKUP($K2438,'Type Chart'!$C$2:$U$20,8,false)</f>
        <v>0.25</v>
      </c>
      <c r="AB2438" s="960">
        <f t="array" ref="AB2438">HLOOKUP($J2438,'Type Chart'!$C$2:$T$20,9,false)*HLOOKUP($K2438,'Type Chart'!$C$2:$U$20,9,false)</f>
        <v>1</v>
      </c>
      <c r="AC2438" s="960">
        <f t="array" ref="AC2438">HLOOKUP($J2438,'Type Chart'!$C$2:$T$20,10,false)*HLOOKUP($K2438,'Type Chart'!$C$2:$U$20,10,false)</f>
        <v>0.5</v>
      </c>
      <c r="AD2438" s="960">
        <f t="array" ref="AD2438">HLOOKUP($J2438,'Type Chart'!$C$2:$T$20,11,false)*HLOOKUP($K2438,'Type Chart'!$C$2:$U$20,11,false)</f>
        <v>2</v>
      </c>
      <c r="AE2438" s="960">
        <f t="array" ref="AE2438">HLOOKUP($J2438,'Type Chart'!$C$2:$T$20,12,false)*HLOOKUP($K2438,'Type Chart'!$C$2:$U$20,12,false)</f>
        <v>1</v>
      </c>
      <c r="AF2438" s="960">
        <f t="array" ref="AF2438">HLOOKUP($J2438,'Type Chart'!$C$2:$T$20,13,false)*HLOOKUP($K2438,'Type Chart'!$C$2:$U$20,13,false)</f>
        <v>0.25</v>
      </c>
      <c r="AG2438" s="960">
        <f t="array" ref="AG2438">HLOOKUP($J2438,'Type Chart'!$C$2:$T$20,14,false)*HLOOKUP($K2438,'Type Chart'!$C$2:$U$20,14,false)</f>
        <v>1</v>
      </c>
      <c r="AH2438" s="960">
        <f t="array" ref="AH2438">HLOOKUP($J2438,'Type Chart'!$C$2:$T$20,15,false)*HLOOKUP($K2438,'Type Chart'!$C$2:$U$20,15,false)</f>
        <v>1</v>
      </c>
      <c r="AI2438" s="960">
        <f t="array" ref="AI2438">HLOOKUP($J2438,'Type Chart'!$C$2:$T$20,16,false)*HLOOKUP($K2438,'Type Chart'!$C$2:$U$20,16,false)</f>
        <v>0.5</v>
      </c>
      <c r="AJ2438" s="960">
        <f t="array" ref="AJ2438">HLOOKUP($J2438,'Type Chart'!$C$2:$T$20,17,false)*HLOOKUP($K2438,'Type Chart'!$C$2:$U$20,17,false)</f>
        <v>0.5</v>
      </c>
      <c r="AK2438" s="960">
        <f t="array" ref="AK2438">HLOOKUP($J2438,'Type Chart'!$C$2:$T$20,18,false)*HLOOKUP($K2438,'Type Chart'!$C$2:$U$20,18,false)</f>
        <v>1</v>
      </c>
      <c r="AL2438" s="960">
        <f t="array" ref="AL2438">HLOOKUP($J2438,'Type Chart'!$C$2:$T$20,19,false)*HLOOKUP($K2438,'Type Chart'!$C$2:$U$20,19,false)</f>
        <v>0.25</v>
      </c>
      <c r="AM2438" s="964" t="s">
        <v>1431</v>
      </c>
      <c r="AN2438" s="964"/>
      <c r="AO2438" s="966" t="s">
        <v>1557</v>
      </c>
      <c r="AP2438" s="936"/>
      <c r="AQ2438" s="1245"/>
      <c r="AR2438" s="1245"/>
      <c r="AS2438" s="936"/>
    </row>
    <row r="2439" ht="15.75" customHeight="1">
      <c r="A2439" s="1099"/>
      <c r="B2439" s="948">
        <v>944.0</v>
      </c>
      <c r="C2439" s="1197" t="s">
        <v>4221</v>
      </c>
      <c r="D2439" s="1197" t="s">
        <v>4221</v>
      </c>
      <c r="E2439" s="1147" t="s">
        <v>4221</v>
      </c>
      <c r="F2439" s="940"/>
      <c r="G2439" s="953"/>
      <c r="H2439" s="969"/>
      <c r="I2439" s="998" t="s">
        <v>5531</v>
      </c>
      <c r="J2439" s="1206" t="s">
        <v>82</v>
      </c>
      <c r="K2439" s="1235" t="s">
        <v>216</v>
      </c>
      <c r="L2439" s="959">
        <v>70.0</v>
      </c>
      <c r="M2439" s="960">
        <v>85.0</v>
      </c>
      <c r="N2439" s="960">
        <v>145.0</v>
      </c>
      <c r="O2439" s="960">
        <v>60.0</v>
      </c>
      <c r="P2439" s="960">
        <v>55.0</v>
      </c>
      <c r="Q2439" s="960">
        <v>65.0</v>
      </c>
      <c r="R2439" s="960">
        <v>166.0</v>
      </c>
      <c r="S2439" s="960">
        <v>229.0</v>
      </c>
      <c r="T2439" s="960">
        <v>251.0</v>
      </c>
      <c r="U2439" s="960">
        <f t="array" ref="U2439">HLOOKUP($J2439,'Type Chart'!$C$2:$T$20,2,false)*HLOOKUP($K2439,'Type Chart'!$C$2:$U$20,2,false)</f>
        <v>0.5</v>
      </c>
      <c r="V2439" s="960">
        <f t="array" ref="V2439">HLOOKUP($J2439,'Type Chart'!$C$2:$T$20,3,false)*HLOOKUP($K2439,'Type Chart'!$C$2:$U$20,3,false)</f>
        <v>2</v>
      </c>
      <c r="W2439" s="960">
        <f t="array" ref="W2439">HLOOKUP($J2439,'Type Chart'!$C$2:$T$20,4,false)*HLOOKUP($K2439,'Type Chart'!$C$2:$U$20,4,false)</f>
        <v>0.5</v>
      </c>
      <c r="X2439" s="960">
        <f t="array" ref="X2439">HLOOKUP($J2439,'Type Chart'!$C$2:$T$20,5,false)*HLOOKUP($K2439,'Type Chart'!$C$2:$U$20,5,false)</f>
        <v>0</v>
      </c>
      <c r="Y2439" s="960">
        <f t="array" ref="Y2439">HLOOKUP($J2439,'Type Chart'!$C$2:$T$20,6,false)*HLOOKUP($K2439,'Type Chart'!$C$2:$U$20,6,false)</f>
        <v>2</v>
      </c>
      <c r="Z2439" s="960">
        <f t="array" ref="Z2439">HLOOKUP($J2439,'Type Chart'!$C$2:$T$20,7,false)*HLOOKUP($K2439,'Type Chart'!$C$2:$U$20,7,false)</f>
        <v>0.5</v>
      </c>
      <c r="AA2439" s="960">
        <f t="array" ref="AA2439">HLOOKUP($J2439,'Type Chart'!$C$2:$T$20,8,false)*HLOOKUP($K2439,'Type Chart'!$C$2:$U$20,8,false)</f>
        <v>0.5</v>
      </c>
      <c r="AB2439" s="960">
        <f t="array" ref="AB2439">HLOOKUP($J2439,'Type Chart'!$C$2:$T$20,9,false)*HLOOKUP($K2439,'Type Chart'!$C$2:$U$20,9,false)</f>
        <v>1</v>
      </c>
      <c r="AC2439" s="960">
        <f t="array" ref="AC2439">HLOOKUP($J2439,'Type Chart'!$C$2:$T$20,10,false)*HLOOKUP($K2439,'Type Chart'!$C$2:$U$20,10,false)</f>
        <v>0.5</v>
      </c>
      <c r="AD2439" s="960">
        <f t="array" ref="AD2439">HLOOKUP($J2439,'Type Chart'!$C$2:$T$20,11,false)*HLOOKUP($K2439,'Type Chart'!$C$2:$U$20,11,false)</f>
        <v>2</v>
      </c>
      <c r="AE2439" s="960">
        <f t="array" ref="AE2439">HLOOKUP($J2439,'Type Chart'!$C$2:$T$20,12,false)*HLOOKUP($K2439,'Type Chart'!$C$2:$U$20,12,false)</f>
        <v>1</v>
      </c>
      <c r="AF2439" s="960">
        <f t="array" ref="AF2439">HLOOKUP($J2439,'Type Chart'!$C$2:$T$20,13,false)*HLOOKUP($K2439,'Type Chart'!$C$2:$U$20,13,false)</f>
        <v>0.5</v>
      </c>
      <c r="AG2439" s="960">
        <f t="array" ref="AG2439">HLOOKUP($J2439,'Type Chart'!$C$2:$T$20,14,false)*HLOOKUP($K2439,'Type Chart'!$C$2:$U$20,14,false)</f>
        <v>1</v>
      </c>
      <c r="AH2439" s="960">
        <f t="array" ref="AH2439">HLOOKUP($J2439,'Type Chart'!$C$2:$T$20,15,false)*HLOOKUP($K2439,'Type Chart'!$C$2:$U$20,15,false)</f>
        <v>0.5</v>
      </c>
      <c r="AI2439" s="960">
        <f t="array" ref="AI2439">HLOOKUP($J2439,'Type Chart'!$C$2:$T$20,16,false)*HLOOKUP($K2439,'Type Chart'!$C$2:$U$20,16,false)</f>
        <v>0.5</v>
      </c>
      <c r="AJ2439" s="960">
        <f t="array" ref="AJ2439">HLOOKUP($J2439,'Type Chart'!$C$2:$T$20,17,false)*HLOOKUP($K2439,'Type Chart'!$C$2:$U$20,17,false)</f>
        <v>0.5</v>
      </c>
      <c r="AK2439" s="960">
        <f t="array" ref="AK2439">HLOOKUP($J2439,'Type Chart'!$C$2:$T$20,18,false)*HLOOKUP($K2439,'Type Chart'!$C$2:$U$20,18,false)</f>
        <v>1</v>
      </c>
      <c r="AL2439" s="960">
        <f t="array" ref="AL2439">HLOOKUP($J2439,'Type Chart'!$C$2:$T$20,19,false)*HLOOKUP($K2439,'Type Chart'!$C$2:$U$20,19,false)</f>
        <v>0.5</v>
      </c>
      <c r="AM2439" s="964" t="s">
        <v>4222</v>
      </c>
      <c r="AN2439" s="965"/>
      <c r="AO2439" s="966" t="s">
        <v>1129</v>
      </c>
      <c r="AP2439" s="936"/>
      <c r="AQ2439" s="1245"/>
      <c r="AR2439" s="1245"/>
      <c r="AS2439" s="936"/>
    </row>
    <row r="2440" ht="15.75" customHeight="1">
      <c r="A2440" s="1099"/>
      <c r="B2440" s="948">
        <v>945.0</v>
      </c>
      <c r="C2440" s="1197" t="s">
        <v>4223</v>
      </c>
      <c r="D2440" s="1197" t="s">
        <v>4223</v>
      </c>
      <c r="E2440" s="1147" t="s">
        <v>4223</v>
      </c>
      <c r="F2440" s="940"/>
      <c r="G2440" s="953"/>
      <c r="H2440" s="969"/>
      <c r="I2440" s="998" t="s">
        <v>5532</v>
      </c>
      <c r="J2440" s="1194" t="s">
        <v>136</v>
      </c>
      <c r="K2440" s="1235" t="s">
        <v>216</v>
      </c>
      <c r="L2440" s="959">
        <v>50.0</v>
      </c>
      <c r="M2440" s="960">
        <v>50.0</v>
      </c>
      <c r="N2440" s="960">
        <v>45.0</v>
      </c>
      <c r="O2440" s="960">
        <v>40.0</v>
      </c>
      <c r="P2440" s="960">
        <v>45.0</v>
      </c>
      <c r="Q2440" s="960">
        <v>75.0</v>
      </c>
      <c r="R2440" s="960">
        <v>186.0</v>
      </c>
      <c r="S2440" s="960">
        <v>249.0</v>
      </c>
      <c r="T2440" s="960">
        <v>273.0</v>
      </c>
      <c r="U2440" s="960">
        <f t="array" ref="U2440">HLOOKUP($J2440,'Type Chart'!$C$2:$T$20,2,false)*HLOOKUP($K2440,'Type Chart'!$C$2:$U$20,2,false)</f>
        <v>1</v>
      </c>
      <c r="V2440" s="960">
        <f t="array" ref="V2440">HLOOKUP($J2440,'Type Chart'!$C$2:$T$20,3,false)*HLOOKUP($K2440,'Type Chart'!$C$2:$U$20,3,false)</f>
        <v>2</v>
      </c>
      <c r="W2440" s="960">
        <f t="array" ref="W2440">HLOOKUP($J2440,'Type Chart'!$C$2:$T$20,4,false)*HLOOKUP($K2440,'Type Chart'!$C$2:$U$20,4,false)</f>
        <v>1</v>
      </c>
      <c r="X2440" s="960">
        <f t="array" ref="X2440">HLOOKUP($J2440,'Type Chart'!$C$2:$T$20,5,false)*HLOOKUP($K2440,'Type Chart'!$C$2:$U$20,5,false)</f>
        <v>1</v>
      </c>
      <c r="Y2440" s="960">
        <f t="array" ref="Y2440">HLOOKUP($J2440,'Type Chart'!$C$2:$T$20,6,false)*HLOOKUP($K2440,'Type Chart'!$C$2:$U$20,6,false)</f>
        <v>1</v>
      </c>
      <c r="Z2440" s="960">
        <f t="array" ref="Z2440">HLOOKUP($J2440,'Type Chart'!$C$2:$T$20,7,false)*HLOOKUP($K2440,'Type Chart'!$C$2:$U$20,7,false)</f>
        <v>1</v>
      </c>
      <c r="AA2440" s="960">
        <f t="array" ref="AA2440">HLOOKUP($J2440,'Type Chart'!$C$2:$T$20,8,false)*HLOOKUP($K2440,'Type Chart'!$C$2:$U$20,8,false)</f>
        <v>1</v>
      </c>
      <c r="AB2440" s="960">
        <f t="array" ref="AB2440">HLOOKUP($J2440,'Type Chart'!$C$2:$T$20,9,false)*HLOOKUP($K2440,'Type Chart'!$C$2:$U$20,9,false)</f>
        <v>0</v>
      </c>
      <c r="AC2440" s="960">
        <f t="array" ref="AC2440">HLOOKUP($J2440,'Type Chart'!$C$2:$T$20,10,false)*HLOOKUP($K2440,'Type Chart'!$C$2:$U$20,10,false)</f>
        <v>1</v>
      </c>
      <c r="AD2440" s="960">
        <f t="array" ref="AD2440">HLOOKUP($J2440,'Type Chart'!$C$2:$T$20,11,false)*HLOOKUP($K2440,'Type Chart'!$C$2:$U$20,11,false)</f>
        <v>1</v>
      </c>
      <c r="AE2440" s="960">
        <f t="array" ref="AE2440">HLOOKUP($J2440,'Type Chart'!$C$2:$T$20,12,false)*HLOOKUP($K2440,'Type Chart'!$C$2:$U$20,12,false)</f>
        <v>1</v>
      </c>
      <c r="AF2440" s="960">
        <f t="array" ref="AF2440">HLOOKUP($J2440,'Type Chart'!$C$2:$T$20,13,false)*HLOOKUP($K2440,'Type Chart'!$C$2:$U$20,13,false)</f>
        <v>1</v>
      </c>
      <c r="AG2440" s="960">
        <f t="array" ref="AG2440">HLOOKUP($J2440,'Type Chart'!$C$2:$T$20,14,false)*HLOOKUP($K2440,'Type Chart'!$C$2:$U$20,14,false)</f>
        <v>1</v>
      </c>
      <c r="AH2440" s="960">
        <f t="array" ref="AH2440">HLOOKUP($J2440,'Type Chart'!$C$2:$T$20,15,false)*HLOOKUP($K2440,'Type Chart'!$C$2:$U$20,15,false)</f>
        <v>1</v>
      </c>
      <c r="AI2440" s="960">
        <f t="array" ref="AI2440">HLOOKUP($J2440,'Type Chart'!$C$2:$T$20,16,false)*HLOOKUP($K2440,'Type Chart'!$C$2:$U$20,16,false)</f>
        <v>1</v>
      </c>
      <c r="AJ2440" s="960">
        <f t="array" ref="AJ2440">HLOOKUP($J2440,'Type Chart'!$C$2:$T$20,17,false)*HLOOKUP($K2440,'Type Chart'!$C$2:$U$20,17,false)</f>
        <v>1</v>
      </c>
      <c r="AK2440" s="960">
        <f t="array" ref="AK2440">HLOOKUP($J2440,'Type Chart'!$C$2:$T$20,18,false)*HLOOKUP($K2440,'Type Chart'!$C$2:$U$20,18,false)</f>
        <v>1</v>
      </c>
      <c r="AL2440" s="960">
        <f t="array" ref="AL2440">HLOOKUP($J2440,'Type Chart'!$C$2:$T$20,19,false)*HLOOKUP($K2440,'Type Chart'!$C$2:$U$20,19,false)</f>
        <v>1</v>
      </c>
      <c r="AM2440" s="964" t="s">
        <v>988</v>
      </c>
      <c r="AN2440" s="964" t="s">
        <v>1238</v>
      </c>
      <c r="AO2440" s="966" t="s">
        <v>1370</v>
      </c>
      <c r="AP2440" s="936"/>
      <c r="AQ2440" s="1245"/>
      <c r="AR2440" s="1245"/>
      <c r="AS2440" s="936"/>
    </row>
    <row r="2441" ht="15.75" customHeight="1">
      <c r="A2441" s="1099"/>
      <c r="B2441" s="948">
        <v>946.0</v>
      </c>
      <c r="C2441" s="1197" t="s">
        <v>4225</v>
      </c>
      <c r="D2441" s="1197" t="s">
        <v>4225</v>
      </c>
      <c r="E2441" s="1147" t="s">
        <v>4225</v>
      </c>
      <c r="F2441" s="940"/>
      <c r="G2441" s="953"/>
      <c r="H2441" s="969"/>
      <c r="I2441" s="998" t="s">
        <v>5533</v>
      </c>
      <c r="J2441" s="1194" t="s">
        <v>136</v>
      </c>
      <c r="K2441" s="1235" t="s">
        <v>216</v>
      </c>
      <c r="L2441" s="959">
        <v>74.0</v>
      </c>
      <c r="M2441" s="960">
        <v>75.0</v>
      </c>
      <c r="N2441" s="960">
        <v>70.0</v>
      </c>
      <c r="O2441" s="960">
        <v>65.0</v>
      </c>
      <c r="P2441" s="960">
        <v>75.0</v>
      </c>
      <c r="Q2441" s="960">
        <v>111.0</v>
      </c>
      <c r="R2441" s="960">
        <v>258.0</v>
      </c>
      <c r="S2441" s="960">
        <v>321.0</v>
      </c>
      <c r="T2441" s="960">
        <v>353.0</v>
      </c>
      <c r="U2441" s="960">
        <f t="array" ref="U2441">HLOOKUP($J2441,'Type Chart'!$C$2:$T$20,2,false)*HLOOKUP($K2441,'Type Chart'!$C$2:$U$20,2,false)</f>
        <v>1</v>
      </c>
      <c r="V2441" s="960">
        <f t="array" ref="V2441">HLOOKUP($J2441,'Type Chart'!$C$2:$T$20,3,false)*HLOOKUP($K2441,'Type Chart'!$C$2:$U$20,3,false)</f>
        <v>2</v>
      </c>
      <c r="W2441" s="960">
        <f t="array" ref="W2441">HLOOKUP($J2441,'Type Chart'!$C$2:$T$20,4,false)*HLOOKUP($K2441,'Type Chart'!$C$2:$U$20,4,false)</f>
        <v>1</v>
      </c>
      <c r="X2441" s="960">
        <f t="array" ref="X2441">HLOOKUP($J2441,'Type Chart'!$C$2:$T$20,5,false)*HLOOKUP($K2441,'Type Chart'!$C$2:$U$20,5,false)</f>
        <v>1</v>
      </c>
      <c r="Y2441" s="960">
        <f t="array" ref="Y2441">HLOOKUP($J2441,'Type Chart'!$C$2:$T$20,6,false)*HLOOKUP($K2441,'Type Chart'!$C$2:$U$20,6,false)</f>
        <v>1</v>
      </c>
      <c r="Z2441" s="960">
        <f t="array" ref="Z2441">HLOOKUP($J2441,'Type Chart'!$C$2:$T$20,7,false)*HLOOKUP($K2441,'Type Chart'!$C$2:$U$20,7,false)</f>
        <v>1</v>
      </c>
      <c r="AA2441" s="960">
        <f t="array" ref="AA2441">HLOOKUP($J2441,'Type Chart'!$C$2:$T$20,8,false)*HLOOKUP($K2441,'Type Chart'!$C$2:$U$20,8,false)</f>
        <v>1</v>
      </c>
      <c r="AB2441" s="960">
        <f t="array" ref="AB2441">HLOOKUP($J2441,'Type Chart'!$C$2:$T$20,9,false)*HLOOKUP($K2441,'Type Chart'!$C$2:$U$20,9,false)</f>
        <v>0</v>
      </c>
      <c r="AC2441" s="960">
        <f t="array" ref="AC2441">HLOOKUP($J2441,'Type Chart'!$C$2:$T$20,10,false)*HLOOKUP($K2441,'Type Chart'!$C$2:$U$20,10,false)</f>
        <v>1</v>
      </c>
      <c r="AD2441" s="960">
        <f t="array" ref="AD2441">HLOOKUP($J2441,'Type Chart'!$C$2:$T$20,11,false)*HLOOKUP($K2441,'Type Chart'!$C$2:$U$20,11,false)</f>
        <v>1</v>
      </c>
      <c r="AE2441" s="960">
        <f t="array" ref="AE2441">HLOOKUP($J2441,'Type Chart'!$C$2:$T$20,12,false)*HLOOKUP($K2441,'Type Chart'!$C$2:$U$20,12,false)</f>
        <v>1</v>
      </c>
      <c r="AF2441" s="960">
        <f t="array" ref="AF2441">HLOOKUP($J2441,'Type Chart'!$C$2:$T$20,13,false)*HLOOKUP($K2441,'Type Chart'!$C$2:$U$20,13,false)</f>
        <v>1</v>
      </c>
      <c r="AG2441" s="960">
        <f t="array" ref="AG2441">HLOOKUP($J2441,'Type Chart'!$C$2:$T$20,14,false)*HLOOKUP($K2441,'Type Chart'!$C$2:$U$20,14,false)</f>
        <v>1</v>
      </c>
      <c r="AH2441" s="960">
        <f t="array" ref="AH2441">HLOOKUP($J2441,'Type Chart'!$C$2:$T$20,15,false)*HLOOKUP($K2441,'Type Chart'!$C$2:$U$20,15,false)</f>
        <v>1</v>
      </c>
      <c r="AI2441" s="960">
        <f t="array" ref="AI2441">HLOOKUP($J2441,'Type Chart'!$C$2:$T$20,16,false)*HLOOKUP($K2441,'Type Chart'!$C$2:$U$20,16,false)</f>
        <v>1</v>
      </c>
      <c r="AJ2441" s="960">
        <f t="array" ref="AJ2441">HLOOKUP($J2441,'Type Chart'!$C$2:$T$20,17,false)*HLOOKUP($K2441,'Type Chart'!$C$2:$U$20,17,false)</f>
        <v>1</v>
      </c>
      <c r="AK2441" s="960">
        <f t="array" ref="AK2441">HLOOKUP($J2441,'Type Chart'!$C$2:$T$20,18,false)*HLOOKUP($K2441,'Type Chart'!$C$2:$U$20,18,false)</f>
        <v>1</v>
      </c>
      <c r="AL2441" s="960">
        <f t="array" ref="AL2441">HLOOKUP($J2441,'Type Chart'!$C$2:$T$20,19,false)*HLOOKUP($K2441,'Type Chart'!$C$2:$U$20,19,false)</f>
        <v>1</v>
      </c>
      <c r="AM2441" s="964" t="s">
        <v>1167</v>
      </c>
      <c r="AN2441" s="964" t="s">
        <v>3286</v>
      </c>
      <c r="AO2441" s="966" t="s">
        <v>1239</v>
      </c>
      <c r="AP2441" s="936"/>
      <c r="AQ2441" s="1245"/>
      <c r="AR2441" s="1245"/>
      <c r="AS2441" s="936"/>
    </row>
    <row r="2442" ht="15.75" customHeight="1">
      <c r="A2442" s="1099"/>
      <c r="B2442" s="948">
        <v>947.0</v>
      </c>
      <c r="C2442" s="1197" t="s">
        <v>4226</v>
      </c>
      <c r="D2442" s="1197" t="s">
        <v>4226</v>
      </c>
      <c r="E2442" s="1147" t="s">
        <v>4226</v>
      </c>
      <c r="F2442" s="940"/>
      <c r="G2442" s="953"/>
      <c r="H2442" s="969"/>
      <c r="I2442" s="998" t="s">
        <v>5534</v>
      </c>
      <c r="J2442" s="1205" t="s">
        <v>345</v>
      </c>
      <c r="K2442" s="1235" t="s">
        <v>216</v>
      </c>
      <c r="L2442" s="959">
        <v>108.0</v>
      </c>
      <c r="M2442" s="960">
        <v>68.0</v>
      </c>
      <c r="N2442" s="960">
        <v>45.0</v>
      </c>
      <c r="O2442" s="960">
        <v>30.0</v>
      </c>
      <c r="P2442" s="960">
        <v>40.0</v>
      </c>
      <c r="Q2442" s="960">
        <v>43.0</v>
      </c>
      <c r="R2442" s="960">
        <v>122.0</v>
      </c>
      <c r="S2442" s="960">
        <v>185.0</v>
      </c>
      <c r="T2442" s="960">
        <v>203.0</v>
      </c>
      <c r="U2442" s="960">
        <f t="array" ref="U2442">HLOOKUP($J2442,'Type Chart'!$C$2:$T$20,2,false)*HLOOKUP($K2442,'Type Chart'!$C$2:$U$20,2,false)</f>
        <v>1</v>
      </c>
      <c r="V2442" s="960">
        <f t="array" ref="V2442">HLOOKUP($J2442,'Type Chart'!$C$2:$T$20,3,false)*HLOOKUP($K2442,'Type Chart'!$C$2:$U$20,3,false)</f>
        <v>2</v>
      </c>
      <c r="W2442" s="960">
        <f t="array" ref="W2442">HLOOKUP($J2442,'Type Chart'!$C$2:$T$20,4,false)*HLOOKUP($K2442,'Type Chart'!$C$2:$U$20,4,false)</f>
        <v>1</v>
      </c>
      <c r="X2442" s="960">
        <f t="array" ref="X2442">HLOOKUP($J2442,'Type Chart'!$C$2:$T$20,5,false)*HLOOKUP($K2442,'Type Chart'!$C$2:$U$20,5,false)</f>
        <v>1</v>
      </c>
      <c r="Y2442" s="960">
        <f t="array" ref="Y2442">HLOOKUP($J2442,'Type Chart'!$C$2:$T$20,6,false)*HLOOKUP($K2442,'Type Chart'!$C$2:$U$20,6,false)</f>
        <v>1</v>
      </c>
      <c r="Z2442" s="960">
        <f t="array" ref="Z2442">HLOOKUP($J2442,'Type Chart'!$C$2:$T$20,7,false)*HLOOKUP($K2442,'Type Chart'!$C$2:$U$20,7,false)</f>
        <v>2</v>
      </c>
      <c r="AA2442" s="960">
        <f t="array" ref="AA2442">HLOOKUP($J2442,'Type Chart'!$C$2:$T$20,8,false)*HLOOKUP($K2442,'Type Chart'!$C$2:$U$20,8,false)</f>
        <v>1</v>
      </c>
      <c r="AB2442" s="960">
        <f t="array" ref="AB2442">HLOOKUP($J2442,'Type Chart'!$C$2:$T$20,9,false)*HLOOKUP($K2442,'Type Chart'!$C$2:$U$20,9,false)</f>
        <v>1</v>
      </c>
      <c r="AC2442" s="960">
        <f t="array" ref="AC2442">HLOOKUP($J2442,'Type Chart'!$C$2:$T$20,10,false)*HLOOKUP($K2442,'Type Chart'!$C$2:$U$20,10,false)</f>
        <v>2</v>
      </c>
      <c r="AD2442" s="960">
        <f t="array" ref="AD2442">HLOOKUP($J2442,'Type Chart'!$C$2:$T$20,11,false)*HLOOKUP($K2442,'Type Chart'!$C$2:$U$20,11,false)</f>
        <v>2</v>
      </c>
      <c r="AE2442" s="960">
        <f t="array" ref="AE2442">HLOOKUP($J2442,'Type Chart'!$C$2:$T$20,12,false)*HLOOKUP($K2442,'Type Chart'!$C$2:$U$20,12,false)</f>
        <v>1</v>
      </c>
      <c r="AF2442" s="960">
        <f t="array" ref="AF2442">HLOOKUP($J2442,'Type Chart'!$C$2:$T$20,13,false)*HLOOKUP($K2442,'Type Chart'!$C$2:$U$20,13,false)</f>
        <v>1</v>
      </c>
      <c r="AG2442" s="960">
        <f t="array" ref="AG2442">HLOOKUP($J2442,'Type Chart'!$C$2:$T$20,14,false)*HLOOKUP($K2442,'Type Chart'!$C$2:$U$20,14,false)</f>
        <v>1</v>
      </c>
      <c r="AH2442" s="960">
        <f t="array" ref="AH2442">HLOOKUP($J2442,'Type Chart'!$C$2:$T$20,15,false)*HLOOKUP($K2442,'Type Chart'!$C$2:$U$20,15,false)</f>
        <v>1</v>
      </c>
      <c r="AI2442" s="960">
        <f t="array" ref="AI2442">HLOOKUP($J2442,'Type Chart'!$C$2:$T$20,16,false)*HLOOKUP($K2442,'Type Chart'!$C$2:$U$20,16,false)</f>
        <v>0.5</v>
      </c>
      <c r="AJ2442" s="960">
        <f t="array" ref="AJ2442">HLOOKUP($J2442,'Type Chart'!$C$2:$T$20,17,false)*HLOOKUP($K2442,'Type Chart'!$C$2:$U$20,17,false)</f>
        <v>1</v>
      </c>
      <c r="AK2442" s="960">
        <f t="array" ref="AK2442">HLOOKUP($J2442,'Type Chart'!$C$2:$T$20,18,false)*HLOOKUP($K2442,'Type Chart'!$C$2:$U$20,18,false)</f>
        <v>1</v>
      </c>
      <c r="AL2442" s="960">
        <f t="array" ref="AL2442">HLOOKUP($J2442,'Type Chart'!$C$2:$T$20,19,false)*HLOOKUP($K2442,'Type Chart'!$C$2:$U$20,19,false)</f>
        <v>1</v>
      </c>
      <c r="AM2442" s="964" t="s">
        <v>760</v>
      </c>
      <c r="AN2442" s="964" t="s">
        <v>1135</v>
      </c>
      <c r="AO2442" s="966" t="s">
        <v>1153</v>
      </c>
      <c r="AP2442" s="936"/>
      <c r="AQ2442" s="1245"/>
      <c r="AR2442" s="1245"/>
      <c r="AS2442" s="936"/>
    </row>
    <row r="2443" ht="15.75" customHeight="1">
      <c r="A2443" s="1099"/>
      <c r="B2443" s="948">
        <v>948.0</v>
      </c>
      <c r="C2443" s="1197" t="s">
        <v>4228</v>
      </c>
      <c r="D2443" s="1197" t="s">
        <v>4228</v>
      </c>
      <c r="E2443" s="1147" t="s">
        <v>4228</v>
      </c>
      <c r="F2443" s="940"/>
      <c r="G2443" s="953"/>
      <c r="H2443" s="969"/>
      <c r="I2443" s="998" t="s">
        <v>5535</v>
      </c>
      <c r="J2443" s="1205" t="s">
        <v>345</v>
      </c>
      <c r="K2443" s="1235" t="s">
        <v>216</v>
      </c>
      <c r="L2443" s="959">
        <v>170.0</v>
      </c>
      <c r="M2443" s="960">
        <v>113.0</v>
      </c>
      <c r="N2443" s="960">
        <v>65.0</v>
      </c>
      <c r="O2443" s="960">
        <v>45.0</v>
      </c>
      <c r="P2443" s="960">
        <v>55.0</v>
      </c>
      <c r="Q2443" s="960">
        <v>73.0</v>
      </c>
      <c r="R2443" s="960">
        <v>182.0</v>
      </c>
      <c r="S2443" s="960">
        <v>245.0</v>
      </c>
      <c r="T2443" s="960">
        <v>269.0</v>
      </c>
      <c r="U2443" s="960">
        <f t="array" ref="U2443">HLOOKUP($J2443,'Type Chart'!$C$2:$T$20,2,false)*HLOOKUP($K2443,'Type Chart'!$C$2:$U$20,2,false)</f>
        <v>1</v>
      </c>
      <c r="V2443" s="960">
        <f t="array" ref="V2443">HLOOKUP($J2443,'Type Chart'!$C$2:$T$20,3,false)*HLOOKUP($K2443,'Type Chart'!$C$2:$U$20,3,false)</f>
        <v>2</v>
      </c>
      <c r="W2443" s="960">
        <f t="array" ref="W2443">HLOOKUP($J2443,'Type Chart'!$C$2:$T$20,4,false)*HLOOKUP($K2443,'Type Chart'!$C$2:$U$20,4,false)</f>
        <v>1</v>
      </c>
      <c r="X2443" s="960">
        <f t="array" ref="X2443">HLOOKUP($J2443,'Type Chart'!$C$2:$T$20,5,false)*HLOOKUP($K2443,'Type Chart'!$C$2:$U$20,5,false)</f>
        <v>1</v>
      </c>
      <c r="Y2443" s="960">
        <f t="array" ref="Y2443">HLOOKUP($J2443,'Type Chart'!$C$2:$T$20,6,false)*HLOOKUP($K2443,'Type Chart'!$C$2:$U$20,6,false)</f>
        <v>1</v>
      </c>
      <c r="Z2443" s="960">
        <f t="array" ref="Z2443">HLOOKUP($J2443,'Type Chart'!$C$2:$T$20,7,false)*HLOOKUP($K2443,'Type Chart'!$C$2:$U$20,7,false)</f>
        <v>2</v>
      </c>
      <c r="AA2443" s="960">
        <f t="array" ref="AA2443">HLOOKUP($J2443,'Type Chart'!$C$2:$T$20,8,false)*HLOOKUP($K2443,'Type Chart'!$C$2:$U$20,8,false)</f>
        <v>1</v>
      </c>
      <c r="AB2443" s="960">
        <f t="array" ref="AB2443">HLOOKUP($J2443,'Type Chart'!$C$2:$T$20,9,false)*HLOOKUP($K2443,'Type Chart'!$C$2:$U$20,9,false)</f>
        <v>1</v>
      </c>
      <c r="AC2443" s="960">
        <f t="array" ref="AC2443">HLOOKUP($J2443,'Type Chart'!$C$2:$T$20,10,false)*HLOOKUP($K2443,'Type Chart'!$C$2:$U$20,10,false)</f>
        <v>2</v>
      </c>
      <c r="AD2443" s="960">
        <f t="array" ref="AD2443">HLOOKUP($J2443,'Type Chart'!$C$2:$T$20,11,false)*HLOOKUP($K2443,'Type Chart'!$C$2:$U$20,11,false)</f>
        <v>2</v>
      </c>
      <c r="AE2443" s="960">
        <f t="array" ref="AE2443">HLOOKUP($J2443,'Type Chart'!$C$2:$T$20,12,false)*HLOOKUP($K2443,'Type Chart'!$C$2:$U$20,12,false)</f>
        <v>1</v>
      </c>
      <c r="AF2443" s="960">
        <f t="array" ref="AF2443">HLOOKUP($J2443,'Type Chart'!$C$2:$T$20,13,false)*HLOOKUP($K2443,'Type Chart'!$C$2:$U$20,13,false)</f>
        <v>1</v>
      </c>
      <c r="AG2443" s="960">
        <f t="array" ref="AG2443">HLOOKUP($J2443,'Type Chart'!$C$2:$T$20,14,false)*HLOOKUP($K2443,'Type Chart'!$C$2:$U$20,14,false)</f>
        <v>1</v>
      </c>
      <c r="AH2443" s="960">
        <f t="array" ref="AH2443">HLOOKUP($J2443,'Type Chart'!$C$2:$T$20,15,false)*HLOOKUP($K2443,'Type Chart'!$C$2:$U$20,15,false)</f>
        <v>1</v>
      </c>
      <c r="AI2443" s="960">
        <f t="array" ref="AI2443">HLOOKUP($J2443,'Type Chart'!$C$2:$T$20,16,false)*HLOOKUP($K2443,'Type Chart'!$C$2:$U$20,16,false)</f>
        <v>0.5</v>
      </c>
      <c r="AJ2443" s="960">
        <f t="array" ref="AJ2443">HLOOKUP($J2443,'Type Chart'!$C$2:$T$20,17,false)*HLOOKUP($K2443,'Type Chart'!$C$2:$U$20,17,false)</f>
        <v>1</v>
      </c>
      <c r="AK2443" s="960">
        <f t="array" ref="AK2443">HLOOKUP($J2443,'Type Chart'!$C$2:$T$20,18,false)*HLOOKUP($K2443,'Type Chart'!$C$2:$U$20,18,false)</f>
        <v>1</v>
      </c>
      <c r="AL2443" s="960">
        <f t="array" ref="AL2443">HLOOKUP($J2443,'Type Chart'!$C$2:$T$20,19,false)*HLOOKUP($K2443,'Type Chart'!$C$2:$U$20,19,false)</f>
        <v>1</v>
      </c>
      <c r="AM2443" s="964" t="s">
        <v>760</v>
      </c>
      <c r="AN2443" s="964" t="s">
        <v>1136</v>
      </c>
      <c r="AO2443" s="966" t="s">
        <v>1153</v>
      </c>
      <c r="AP2443" s="936"/>
      <c r="AQ2443" s="1245"/>
      <c r="AR2443" s="1245"/>
      <c r="AS2443" s="936"/>
    </row>
    <row r="2444" ht="15.75" customHeight="1">
      <c r="A2444" s="1099"/>
      <c r="B2444" s="948">
        <v>949.0</v>
      </c>
      <c r="C2444" s="1197" t="s">
        <v>4229</v>
      </c>
      <c r="D2444" s="1197" t="s">
        <v>4229</v>
      </c>
      <c r="E2444" s="1147" t="s">
        <v>4229</v>
      </c>
      <c r="F2444" s="940"/>
      <c r="G2444" s="953"/>
      <c r="H2444" s="969"/>
      <c r="I2444" s="998" t="s">
        <v>5536</v>
      </c>
      <c r="J2444" s="1006" t="s">
        <v>346</v>
      </c>
      <c r="K2444" s="1205" t="s">
        <v>345</v>
      </c>
      <c r="L2444" s="959">
        <v>65.0</v>
      </c>
      <c r="M2444" s="960">
        <v>75.0</v>
      </c>
      <c r="N2444" s="960">
        <v>45.0</v>
      </c>
      <c r="O2444" s="960">
        <v>35.0</v>
      </c>
      <c r="P2444" s="960">
        <v>45.0</v>
      </c>
      <c r="Q2444" s="960">
        <v>55.0</v>
      </c>
      <c r="R2444" s="960">
        <v>146.0</v>
      </c>
      <c r="S2444" s="960">
        <v>209.0</v>
      </c>
      <c r="T2444" s="960">
        <v>229.0</v>
      </c>
      <c r="U2444" s="960">
        <f t="array" ref="U2444">HLOOKUP($J2444,'Type Chart'!$C$2:$T$20,2,false)*HLOOKUP($K2444,'Type Chart'!$C$2:$U$20,2,false)</f>
        <v>1</v>
      </c>
      <c r="V2444" s="960">
        <f t="array" ref="V2444">HLOOKUP($J2444,'Type Chart'!$C$2:$T$20,3,false)*HLOOKUP($K2444,'Type Chart'!$C$2:$U$20,3,false)</f>
        <v>2</v>
      </c>
      <c r="W2444" s="960">
        <f t="array" ref="W2444">HLOOKUP($J2444,'Type Chart'!$C$2:$T$20,4,false)*HLOOKUP($K2444,'Type Chart'!$C$2:$U$20,4,false)</f>
        <v>1</v>
      </c>
      <c r="X2444" s="960">
        <f t="array" ref="X2444">HLOOKUP($J2444,'Type Chart'!$C$2:$T$20,5,false)*HLOOKUP($K2444,'Type Chart'!$C$2:$U$20,5,false)</f>
        <v>1</v>
      </c>
      <c r="Y2444" s="960">
        <f t="array" ref="Y2444">HLOOKUP($J2444,'Type Chart'!$C$2:$T$20,6,false)*HLOOKUP($K2444,'Type Chart'!$C$2:$U$20,6,false)</f>
        <v>1</v>
      </c>
      <c r="Z2444" s="960">
        <f t="array" ref="Z2444">HLOOKUP($J2444,'Type Chart'!$C$2:$T$20,7,false)*HLOOKUP($K2444,'Type Chart'!$C$2:$U$20,7,false)</f>
        <v>2</v>
      </c>
      <c r="AA2444" s="960">
        <f t="array" ref="AA2444">HLOOKUP($J2444,'Type Chart'!$C$2:$T$20,8,false)*HLOOKUP($K2444,'Type Chart'!$C$2:$U$20,8,false)</f>
        <v>1</v>
      </c>
      <c r="AB2444" s="960">
        <f t="array" ref="AB2444">HLOOKUP($J2444,'Type Chart'!$C$2:$T$20,9,false)*HLOOKUP($K2444,'Type Chart'!$C$2:$U$20,9,false)</f>
        <v>1</v>
      </c>
      <c r="AC2444" s="960">
        <f t="array" ref="AC2444">HLOOKUP($J2444,'Type Chart'!$C$2:$T$20,10,false)*HLOOKUP($K2444,'Type Chart'!$C$2:$U$20,10,false)</f>
        <v>2</v>
      </c>
      <c r="AD2444" s="960">
        <f t="array" ref="AD2444">HLOOKUP($J2444,'Type Chart'!$C$2:$T$20,11,false)*HLOOKUP($K2444,'Type Chart'!$C$2:$U$20,11,false)</f>
        <v>1</v>
      </c>
      <c r="AE2444" s="960">
        <f t="array" ref="AE2444">HLOOKUP($J2444,'Type Chart'!$C$2:$T$20,12,false)*HLOOKUP($K2444,'Type Chart'!$C$2:$U$20,12,false)</f>
        <v>0.5</v>
      </c>
      <c r="AF2444" s="960">
        <f t="array" ref="AF2444">HLOOKUP($J2444,'Type Chart'!$C$2:$T$20,13,false)*HLOOKUP($K2444,'Type Chart'!$C$2:$U$20,13,false)</f>
        <v>0.5</v>
      </c>
      <c r="AG2444" s="960">
        <f t="array" ref="AG2444">HLOOKUP($J2444,'Type Chart'!$C$2:$T$20,14,false)*HLOOKUP($K2444,'Type Chart'!$C$2:$U$20,14,false)</f>
        <v>0.5</v>
      </c>
      <c r="AH2444" s="960">
        <f t="array" ref="AH2444">HLOOKUP($J2444,'Type Chart'!$C$2:$T$20,15,false)*HLOOKUP($K2444,'Type Chart'!$C$2:$U$20,15,false)</f>
        <v>1</v>
      </c>
      <c r="AI2444" s="960">
        <f t="array" ref="AI2444">HLOOKUP($J2444,'Type Chart'!$C$2:$T$20,16,false)*HLOOKUP($K2444,'Type Chart'!$C$2:$U$20,16,false)</f>
        <v>1</v>
      </c>
      <c r="AJ2444" s="960">
        <f t="array" ref="AJ2444">HLOOKUP($J2444,'Type Chart'!$C$2:$T$20,17,false)*HLOOKUP($K2444,'Type Chart'!$C$2:$U$20,17,false)</f>
        <v>2</v>
      </c>
      <c r="AK2444" s="960">
        <f t="array" ref="AK2444">HLOOKUP($J2444,'Type Chart'!$C$2:$T$20,18,false)*HLOOKUP($K2444,'Type Chart'!$C$2:$U$20,18,false)</f>
        <v>1</v>
      </c>
      <c r="AL2444" s="960">
        <f t="array" ref="AL2444">HLOOKUP($J2444,'Type Chart'!$C$2:$T$20,19,false)*HLOOKUP($K2444,'Type Chart'!$C$2:$U$20,19,false)</f>
        <v>2</v>
      </c>
      <c r="AM2444" s="964" t="s">
        <v>4231</v>
      </c>
      <c r="AN2444" s="964"/>
      <c r="AO2444" s="966" t="s">
        <v>1410</v>
      </c>
      <c r="AP2444" s="936"/>
      <c r="AQ2444" s="1245"/>
      <c r="AR2444" s="1245"/>
      <c r="AS2444" s="936"/>
    </row>
    <row r="2445" ht="15.75" customHeight="1">
      <c r="A2445" s="1099"/>
      <c r="B2445" s="948">
        <v>950.0</v>
      </c>
      <c r="C2445" s="1197" t="s">
        <v>4232</v>
      </c>
      <c r="D2445" s="1197" t="s">
        <v>4232</v>
      </c>
      <c r="E2445" s="1147" t="s">
        <v>4232</v>
      </c>
      <c r="F2445" s="940"/>
      <c r="G2445" s="953"/>
      <c r="H2445" s="969"/>
      <c r="I2445" s="998" t="s">
        <v>5537</v>
      </c>
      <c r="J2445" s="1006" t="s">
        <v>346</v>
      </c>
      <c r="K2445" s="1205" t="s">
        <v>345</v>
      </c>
      <c r="L2445" s="959">
        <v>90.0</v>
      </c>
      <c r="M2445" s="960">
        <v>95.0</v>
      </c>
      <c r="N2445" s="960">
        <v>66.0</v>
      </c>
      <c r="O2445" s="960">
        <v>45.0</v>
      </c>
      <c r="P2445" s="960">
        <v>65.0</v>
      </c>
      <c r="Q2445" s="960">
        <v>62.0</v>
      </c>
      <c r="R2445" s="960">
        <v>160.0</v>
      </c>
      <c r="S2445" s="960">
        <v>223.0</v>
      </c>
      <c r="T2445" s="960">
        <v>245.0</v>
      </c>
      <c r="U2445" s="960">
        <f t="array" ref="U2445">HLOOKUP($J2445,'Type Chart'!$C$2:$T$20,2,false)*HLOOKUP($K2445,'Type Chart'!$C$2:$U$20,2,false)</f>
        <v>1</v>
      </c>
      <c r="V2445" s="960">
        <f t="array" ref="V2445">HLOOKUP($J2445,'Type Chart'!$C$2:$T$20,3,false)*HLOOKUP($K2445,'Type Chart'!$C$2:$U$20,3,false)</f>
        <v>2</v>
      </c>
      <c r="W2445" s="960">
        <f t="array" ref="W2445">HLOOKUP($J2445,'Type Chart'!$C$2:$T$20,4,false)*HLOOKUP($K2445,'Type Chart'!$C$2:$U$20,4,false)</f>
        <v>1</v>
      </c>
      <c r="X2445" s="960">
        <f t="array" ref="X2445">HLOOKUP($J2445,'Type Chart'!$C$2:$T$20,5,false)*HLOOKUP($K2445,'Type Chart'!$C$2:$U$20,5,false)</f>
        <v>1</v>
      </c>
      <c r="Y2445" s="960">
        <f t="array" ref="Y2445">HLOOKUP($J2445,'Type Chart'!$C$2:$T$20,6,false)*HLOOKUP($K2445,'Type Chart'!$C$2:$U$20,6,false)</f>
        <v>1</v>
      </c>
      <c r="Z2445" s="960">
        <f t="array" ref="Z2445">HLOOKUP($J2445,'Type Chart'!$C$2:$T$20,7,false)*HLOOKUP($K2445,'Type Chart'!$C$2:$U$20,7,false)</f>
        <v>2</v>
      </c>
      <c r="AA2445" s="960">
        <f t="array" ref="AA2445">HLOOKUP($J2445,'Type Chart'!$C$2:$T$20,8,false)*HLOOKUP($K2445,'Type Chart'!$C$2:$U$20,8,false)</f>
        <v>1</v>
      </c>
      <c r="AB2445" s="960">
        <f t="array" ref="AB2445">HLOOKUP($J2445,'Type Chart'!$C$2:$T$20,9,false)*HLOOKUP($K2445,'Type Chart'!$C$2:$U$20,9,false)</f>
        <v>1</v>
      </c>
      <c r="AC2445" s="960">
        <f t="array" ref="AC2445">HLOOKUP($J2445,'Type Chart'!$C$2:$T$20,10,false)*HLOOKUP($K2445,'Type Chart'!$C$2:$U$20,10,false)</f>
        <v>2</v>
      </c>
      <c r="AD2445" s="960">
        <f t="array" ref="AD2445">HLOOKUP($J2445,'Type Chart'!$C$2:$T$20,11,false)*HLOOKUP($K2445,'Type Chart'!$C$2:$U$20,11,false)</f>
        <v>1</v>
      </c>
      <c r="AE2445" s="960">
        <f t="array" ref="AE2445">HLOOKUP($J2445,'Type Chart'!$C$2:$T$20,12,false)*HLOOKUP($K2445,'Type Chart'!$C$2:$U$20,12,false)</f>
        <v>0.5</v>
      </c>
      <c r="AF2445" s="960">
        <f t="array" ref="AF2445">HLOOKUP($J2445,'Type Chart'!$C$2:$T$20,13,false)*HLOOKUP($K2445,'Type Chart'!$C$2:$U$20,13,false)</f>
        <v>0.5</v>
      </c>
      <c r="AG2445" s="960">
        <f t="array" ref="AG2445">HLOOKUP($J2445,'Type Chart'!$C$2:$T$20,14,false)*HLOOKUP($K2445,'Type Chart'!$C$2:$U$20,14,false)</f>
        <v>0.5</v>
      </c>
      <c r="AH2445" s="960">
        <f t="array" ref="AH2445">HLOOKUP($J2445,'Type Chart'!$C$2:$T$20,15,false)*HLOOKUP($K2445,'Type Chart'!$C$2:$U$20,15,false)</f>
        <v>1</v>
      </c>
      <c r="AI2445" s="960">
        <f t="array" ref="AI2445">HLOOKUP($J2445,'Type Chart'!$C$2:$T$20,16,false)*HLOOKUP($K2445,'Type Chart'!$C$2:$U$20,16,false)</f>
        <v>1</v>
      </c>
      <c r="AJ2445" s="960">
        <f t="array" ref="AJ2445">HLOOKUP($J2445,'Type Chart'!$C$2:$T$20,17,false)*HLOOKUP($K2445,'Type Chart'!$C$2:$U$20,17,false)</f>
        <v>2</v>
      </c>
      <c r="AK2445" s="960">
        <f t="array" ref="AK2445">HLOOKUP($J2445,'Type Chart'!$C$2:$T$20,18,false)*HLOOKUP($K2445,'Type Chart'!$C$2:$U$20,18,false)</f>
        <v>1</v>
      </c>
      <c r="AL2445" s="960">
        <f t="array" ref="AL2445">HLOOKUP($J2445,'Type Chart'!$C$2:$T$20,19,false)*HLOOKUP($K2445,'Type Chart'!$C$2:$U$20,19,false)</f>
        <v>2</v>
      </c>
      <c r="AM2445" s="964" t="s">
        <v>4231</v>
      </c>
      <c r="AN2445" s="964"/>
      <c r="AO2445" s="966" t="s">
        <v>1410</v>
      </c>
      <c r="AP2445" s="936"/>
      <c r="AQ2445" s="1245"/>
      <c r="AR2445" s="1245"/>
      <c r="AS2445" s="936"/>
    </row>
    <row r="2446" ht="15.75" customHeight="1">
      <c r="A2446" s="1099"/>
      <c r="B2446" s="948">
        <v>951.0</v>
      </c>
      <c r="C2446" s="1197" t="s">
        <v>4234</v>
      </c>
      <c r="D2446" s="1197" t="s">
        <v>4234</v>
      </c>
      <c r="E2446" s="1147" t="s">
        <v>4234</v>
      </c>
      <c r="F2446" s="940"/>
      <c r="G2446" s="953"/>
      <c r="H2446" s="969"/>
      <c r="I2446" s="998" t="s">
        <v>5538</v>
      </c>
      <c r="J2446" s="1006" t="s">
        <v>346</v>
      </c>
      <c r="K2446" s="1205" t="s">
        <v>345</v>
      </c>
      <c r="L2446" s="959">
        <v>115.0</v>
      </c>
      <c r="M2446" s="960">
        <v>145.0</v>
      </c>
      <c r="N2446" s="960">
        <v>92.0</v>
      </c>
      <c r="O2446" s="960">
        <v>75.0</v>
      </c>
      <c r="P2446" s="960">
        <v>86.0</v>
      </c>
      <c r="Q2446" s="960">
        <v>87.0</v>
      </c>
      <c r="R2446" s="960">
        <v>210.0</v>
      </c>
      <c r="S2446" s="960">
        <v>273.0</v>
      </c>
      <c r="T2446" s="960">
        <v>300.0</v>
      </c>
      <c r="U2446" s="960">
        <f t="array" ref="U2446">HLOOKUP($J2446,'Type Chart'!$C$2:$T$20,2,false)*HLOOKUP($K2446,'Type Chart'!$C$2:$U$20,2,false)</f>
        <v>1</v>
      </c>
      <c r="V2446" s="960">
        <f t="array" ref="V2446">HLOOKUP($J2446,'Type Chart'!$C$2:$T$20,3,false)*HLOOKUP($K2446,'Type Chart'!$C$2:$U$20,3,false)</f>
        <v>2</v>
      </c>
      <c r="W2446" s="960">
        <f t="array" ref="W2446">HLOOKUP($J2446,'Type Chart'!$C$2:$T$20,4,false)*HLOOKUP($K2446,'Type Chart'!$C$2:$U$20,4,false)</f>
        <v>1</v>
      </c>
      <c r="X2446" s="960">
        <f t="array" ref="X2446">HLOOKUP($J2446,'Type Chart'!$C$2:$T$20,5,false)*HLOOKUP($K2446,'Type Chart'!$C$2:$U$20,5,false)</f>
        <v>1</v>
      </c>
      <c r="Y2446" s="960">
        <f t="array" ref="Y2446">HLOOKUP($J2446,'Type Chart'!$C$2:$T$20,6,false)*HLOOKUP($K2446,'Type Chart'!$C$2:$U$20,6,false)</f>
        <v>1</v>
      </c>
      <c r="Z2446" s="960">
        <f t="array" ref="Z2446">HLOOKUP($J2446,'Type Chart'!$C$2:$T$20,7,false)*HLOOKUP($K2446,'Type Chart'!$C$2:$U$20,7,false)</f>
        <v>2</v>
      </c>
      <c r="AA2446" s="960">
        <f t="array" ref="AA2446">HLOOKUP($J2446,'Type Chart'!$C$2:$T$20,8,false)*HLOOKUP($K2446,'Type Chart'!$C$2:$U$20,8,false)</f>
        <v>1</v>
      </c>
      <c r="AB2446" s="960">
        <f t="array" ref="AB2446">HLOOKUP($J2446,'Type Chart'!$C$2:$T$20,9,false)*HLOOKUP($K2446,'Type Chart'!$C$2:$U$20,9,false)</f>
        <v>1</v>
      </c>
      <c r="AC2446" s="960">
        <f t="array" ref="AC2446">HLOOKUP($J2446,'Type Chart'!$C$2:$T$20,10,false)*HLOOKUP($K2446,'Type Chart'!$C$2:$U$20,10,false)</f>
        <v>2</v>
      </c>
      <c r="AD2446" s="960">
        <f t="array" ref="AD2446">HLOOKUP($J2446,'Type Chart'!$C$2:$T$20,11,false)*HLOOKUP($K2446,'Type Chart'!$C$2:$U$20,11,false)</f>
        <v>1</v>
      </c>
      <c r="AE2446" s="960">
        <f t="array" ref="AE2446">HLOOKUP($J2446,'Type Chart'!$C$2:$T$20,12,false)*HLOOKUP($K2446,'Type Chart'!$C$2:$U$20,12,false)</f>
        <v>0.5</v>
      </c>
      <c r="AF2446" s="960">
        <f t="array" ref="AF2446">HLOOKUP($J2446,'Type Chart'!$C$2:$T$20,13,false)*HLOOKUP($K2446,'Type Chart'!$C$2:$U$20,13,false)</f>
        <v>0.5</v>
      </c>
      <c r="AG2446" s="960">
        <f t="array" ref="AG2446">HLOOKUP($J2446,'Type Chart'!$C$2:$T$20,14,false)*HLOOKUP($K2446,'Type Chart'!$C$2:$U$20,14,false)</f>
        <v>0.5</v>
      </c>
      <c r="AH2446" s="960">
        <f t="array" ref="AH2446">HLOOKUP($J2446,'Type Chart'!$C$2:$T$20,15,false)*HLOOKUP($K2446,'Type Chart'!$C$2:$U$20,15,false)</f>
        <v>1</v>
      </c>
      <c r="AI2446" s="960">
        <f t="array" ref="AI2446">HLOOKUP($J2446,'Type Chart'!$C$2:$T$20,16,false)*HLOOKUP($K2446,'Type Chart'!$C$2:$U$20,16,false)</f>
        <v>1</v>
      </c>
      <c r="AJ2446" s="960">
        <f t="array" ref="AJ2446">HLOOKUP($J2446,'Type Chart'!$C$2:$T$20,17,false)*HLOOKUP($K2446,'Type Chart'!$C$2:$U$20,17,false)</f>
        <v>2</v>
      </c>
      <c r="AK2446" s="960">
        <f t="array" ref="AK2446">HLOOKUP($J2446,'Type Chart'!$C$2:$T$20,18,false)*HLOOKUP($K2446,'Type Chart'!$C$2:$U$20,18,false)</f>
        <v>1</v>
      </c>
      <c r="AL2446" s="960">
        <f t="array" ref="AL2446">HLOOKUP($J2446,'Type Chart'!$C$2:$T$20,19,false)*HLOOKUP($K2446,'Type Chart'!$C$2:$U$20,19,false)</f>
        <v>2</v>
      </c>
      <c r="AM2446" s="964" t="s">
        <v>4231</v>
      </c>
      <c r="AN2446" s="965"/>
      <c r="AO2446" s="966" t="s">
        <v>1410</v>
      </c>
      <c r="AP2446" s="936"/>
      <c r="AQ2446" s="1245"/>
      <c r="AR2446" s="1245"/>
      <c r="AS2446" s="936"/>
    </row>
    <row r="2447" ht="15.75" customHeight="1">
      <c r="A2447" s="1099"/>
      <c r="B2447" s="948">
        <v>952.0</v>
      </c>
      <c r="C2447" s="1197" t="s">
        <v>4235</v>
      </c>
      <c r="D2447" s="1197" t="s">
        <v>4235</v>
      </c>
      <c r="E2447" s="1147" t="s">
        <v>4235</v>
      </c>
      <c r="F2447" s="940"/>
      <c r="G2447" s="953"/>
      <c r="H2447" s="969"/>
      <c r="I2447" s="998" t="s">
        <v>5539</v>
      </c>
      <c r="J2447" s="1006" t="s">
        <v>346</v>
      </c>
      <c r="K2447" s="1056" t="s">
        <v>81</v>
      </c>
      <c r="L2447" s="959">
        <v>68.0</v>
      </c>
      <c r="M2447" s="960">
        <v>50.0</v>
      </c>
      <c r="N2447" s="960">
        <v>60.0</v>
      </c>
      <c r="O2447" s="960">
        <v>120.0</v>
      </c>
      <c r="P2447" s="960">
        <v>95.0</v>
      </c>
      <c r="Q2447" s="960">
        <v>82.0</v>
      </c>
      <c r="R2447" s="960">
        <v>200.0</v>
      </c>
      <c r="S2447" s="960">
        <v>263.0</v>
      </c>
      <c r="T2447" s="960">
        <v>289.0</v>
      </c>
      <c r="U2447" s="960">
        <f t="array" ref="U2447">HLOOKUP($J2447,'Type Chart'!$C$2:$T$20,2,false)*HLOOKUP($K2447,'Type Chart'!$C$2:$U$20,2,false)</f>
        <v>1</v>
      </c>
      <c r="V2447" s="960">
        <f t="array" ref="V2447">HLOOKUP($J2447,'Type Chart'!$C$2:$T$20,3,false)*HLOOKUP($K2447,'Type Chart'!$C$2:$U$20,3,false)</f>
        <v>1</v>
      </c>
      <c r="W2447" s="960">
        <f t="array" ref="W2447">HLOOKUP($J2447,'Type Chart'!$C$2:$T$20,4,false)*HLOOKUP($K2447,'Type Chart'!$C$2:$U$20,4,false)</f>
        <v>1</v>
      </c>
      <c r="X2447" s="960">
        <f t="array" ref="X2447">HLOOKUP($J2447,'Type Chart'!$C$2:$T$20,5,false)*HLOOKUP($K2447,'Type Chart'!$C$2:$U$20,5,false)</f>
        <v>1</v>
      </c>
      <c r="Y2447" s="960">
        <f t="array" ref="Y2447">HLOOKUP($J2447,'Type Chart'!$C$2:$T$20,6,false)*HLOOKUP($K2447,'Type Chart'!$C$2:$U$20,6,false)</f>
        <v>1</v>
      </c>
      <c r="Z2447" s="960">
        <f t="array" ref="Z2447">HLOOKUP($J2447,'Type Chart'!$C$2:$T$20,7,false)*HLOOKUP($K2447,'Type Chart'!$C$2:$U$20,7,false)</f>
        <v>1</v>
      </c>
      <c r="AA2447" s="960">
        <f t="array" ref="AA2447">HLOOKUP($J2447,'Type Chart'!$C$2:$T$20,8,false)*HLOOKUP($K2447,'Type Chart'!$C$2:$U$20,8,false)</f>
        <v>1</v>
      </c>
      <c r="AB2447" s="960">
        <f t="array" ref="AB2447">HLOOKUP($J2447,'Type Chart'!$C$2:$T$20,9,false)*HLOOKUP($K2447,'Type Chart'!$C$2:$U$20,9,false)</f>
        <v>1</v>
      </c>
      <c r="AC2447" s="960">
        <f t="array" ref="AC2447">HLOOKUP($J2447,'Type Chart'!$C$2:$T$20,10,false)*HLOOKUP($K2447,'Type Chart'!$C$2:$U$20,10,false)</f>
        <v>0.5</v>
      </c>
      <c r="AD2447" s="960">
        <f t="array" ref="AD2447">HLOOKUP($J2447,'Type Chart'!$C$2:$T$20,11,false)*HLOOKUP($K2447,'Type Chart'!$C$2:$U$20,11,false)</f>
        <v>0.25</v>
      </c>
      <c r="AE2447" s="960">
        <f t="array" ref="AE2447">HLOOKUP($J2447,'Type Chart'!$C$2:$T$20,12,false)*HLOOKUP($K2447,'Type Chart'!$C$2:$U$20,12,false)</f>
        <v>0.25</v>
      </c>
      <c r="AF2447" s="960">
        <f t="array" ref="AF2447">HLOOKUP($J2447,'Type Chart'!$C$2:$T$20,13,false)*HLOOKUP($K2447,'Type Chart'!$C$2:$U$20,13,false)</f>
        <v>1</v>
      </c>
      <c r="AG2447" s="960">
        <f t="array" ref="AG2447">HLOOKUP($J2447,'Type Chart'!$C$2:$T$20,14,false)*HLOOKUP($K2447,'Type Chart'!$C$2:$U$20,14,false)</f>
        <v>1</v>
      </c>
      <c r="AH2447" s="960">
        <f t="array" ref="AH2447">HLOOKUP($J2447,'Type Chart'!$C$2:$T$20,15,false)*HLOOKUP($K2447,'Type Chart'!$C$2:$U$20,15,false)</f>
        <v>1</v>
      </c>
      <c r="AI2447" s="960">
        <f t="array" ref="AI2447">HLOOKUP($J2447,'Type Chart'!$C$2:$T$20,16,false)*HLOOKUP($K2447,'Type Chart'!$C$2:$U$20,16,false)</f>
        <v>1</v>
      </c>
      <c r="AJ2447" s="960">
        <f t="array" ref="AJ2447">HLOOKUP($J2447,'Type Chart'!$C$2:$T$20,17,false)*HLOOKUP($K2447,'Type Chart'!$C$2:$U$20,17,false)</f>
        <v>2</v>
      </c>
      <c r="AK2447" s="960">
        <f t="array" ref="AK2447">HLOOKUP($J2447,'Type Chart'!$C$2:$T$20,18,false)*HLOOKUP($K2447,'Type Chart'!$C$2:$U$20,18,false)</f>
        <v>1</v>
      </c>
      <c r="AL2447" s="960">
        <f t="array" ref="AL2447">HLOOKUP($J2447,'Type Chart'!$C$2:$T$20,19,false)*HLOOKUP($K2447,'Type Chart'!$C$2:$U$20,19,false)</f>
        <v>2</v>
      </c>
      <c r="AM2447" s="964" t="s">
        <v>4236</v>
      </c>
      <c r="AN2447" s="965"/>
      <c r="AO2447" s="966" t="s">
        <v>2282</v>
      </c>
      <c r="AP2447" s="936"/>
      <c r="AQ2447" s="1245"/>
      <c r="AR2447" s="1245"/>
      <c r="AS2447" s="936"/>
    </row>
    <row r="2448" ht="15.75" customHeight="1">
      <c r="A2448" s="1099"/>
      <c r="B2448" s="948">
        <v>953.0</v>
      </c>
      <c r="C2448" s="1197" t="s">
        <v>4237</v>
      </c>
      <c r="D2448" s="1197" t="s">
        <v>4237</v>
      </c>
      <c r="E2448" s="1147" t="s">
        <v>4237</v>
      </c>
      <c r="F2448" s="940"/>
      <c r="G2448" s="953"/>
      <c r="H2448" s="969"/>
      <c r="I2448" s="998" t="s">
        <v>5540</v>
      </c>
      <c r="J2448" s="1006" t="s">
        <v>346</v>
      </c>
      <c r="K2448" s="1194" t="s">
        <v>136</v>
      </c>
      <c r="L2448" s="959">
        <v>70.0</v>
      </c>
      <c r="M2448" s="960">
        <v>95.0</v>
      </c>
      <c r="N2448" s="960">
        <v>65.0</v>
      </c>
      <c r="O2448" s="960">
        <v>85.0</v>
      </c>
      <c r="P2448" s="960">
        <v>65.0</v>
      </c>
      <c r="Q2448" s="960">
        <v>121.0</v>
      </c>
      <c r="R2448" s="960">
        <v>278.0</v>
      </c>
      <c r="S2448" s="960">
        <v>341.0</v>
      </c>
      <c r="T2448" s="960">
        <v>375.0</v>
      </c>
      <c r="U2448" s="960">
        <f t="array" ref="U2448">HLOOKUP($J2448,'Type Chart'!$C$2:$T$20,2,false)*HLOOKUP($K2448,'Type Chart'!$C$2:$U$20,2,false)</f>
        <v>1</v>
      </c>
      <c r="V2448" s="960">
        <f t="array" ref="V2448">HLOOKUP($J2448,'Type Chart'!$C$2:$T$20,3,false)*HLOOKUP($K2448,'Type Chart'!$C$2:$U$20,3,false)</f>
        <v>2</v>
      </c>
      <c r="W2448" s="960">
        <f t="array" ref="W2448">HLOOKUP($J2448,'Type Chart'!$C$2:$T$20,4,false)*HLOOKUP($K2448,'Type Chart'!$C$2:$U$20,4,false)</f>
        <v>1</v>
      </c>
      <c r="X2448" s="960">
        <f t="array" ref="X2448">HLOOKUP($J2448,'Type Chart'!$C$2:$T$20,5,false)*HLOOKUP($K2448,'Type Chart'!$C$2:$U$20,5,false)</f>
        <v>1</v>
      </c>
      <c r="Y2448" s="960">
        <f t="array" ref="Y2448">HLOOKUP($J2448,'Type Chart'!$C$2:$T$20,6,false)*HLOOKUP($K2448,'Type Chart'!$C$2:$U$20,6,false)</f>
        <v>1</v>
      </c>
      <c r="Z2448" s="960">
        <f t="array" ref="Z2448">HLOOKUP($J2448,'Type Chart'!$C$2:$T$20,7,false)*HLOOKUP($K2448,'Type Chart'!$C$2:$U$20,7,false)</f>
        <v>1</v>
      </c>
      <c r="AA2448" s="960">
        <f t="array" ref="AA2448">HLOOKUP($J2448,'Type Chart'!$C$2:$T$20,8,false)*HLOOKUP($K2448,'Type Chart'!$C$2:$U$20,8,false)</f>
        <v>1</v>
      </c>
      <c r="AB2448" s="960">
        <f t="array" ref="AB2448">HLOOKUP($J2448,'Type Chart'!$C$2:$T$20,9,false)*HLOOKUP($K2448,'Type Chart'!$C$2:$U$20,9,false)</f>
        <v>0</v>
      </c>
      <c r="AC2448" s="960">
        <f t="array" ref="AC2448">HLOOKUP($J2448,'Type Chart'!$C$2:$T$20,10,false)*HLOOKUP($K2448,'Type Chart'!$C$2:$U$20,10,false)</f>
        <v>1</v>
      </c>
      <c r="AD2448" s="960">
        <f t="array" ref="AD2448">HLOOKUP($J2448,'Type Chart'!$C$2:$T$20,11,false)*HLOOKUP($K2448,'Type Chart'!$C$2:$U$20,11,false)</f>
        <v>0.5</v>
      </c>
      <c r="AE2448" s="960">
        <f t="array" ref="AE2448">HLOOKUP($J2448,'Type Chart'!$C$2:$T$20,12,false)*HLOOKUP($K2448,'Type Chart'!$C$2:$U$20,12,false)</f>
        <v>0.5</v>
      </c>
      <c r="AF2448" s="960">
        <f t="array" ref="AF2448">HLOOKUP($J2448,'Type Chart'!$C$2:$T$20,13,false)*HLOOKUP($K2448,'Type Chart'!$C$2:$U$20,13,false)</f>
        <v>0.5</v>
      </c>
      <c r="AG2448" s="960">
        <f t="array" ref="AG2448">HLOOKUP($J2448,'Type Chart'!$C$2:$T$20,14,false)*HLOOKUP($K2448,'Type Chart'!$C$2:$U$20,14,false)</f>
        <v>0.5</v>
      </c>
      <c r="AH2448" s="960">
        <f t="array" ref="AH2448">HLOOKUP($J2448,'Type Chart'!$C$2:$T$20,15,false)*HLOOKUP($K2448,'Type Chart'!$C$2:$U$20,15,false)</f>
        <v>1</v>
      </c>
      <c r="AI2448" s="960">
        <f t="array" ref="AI2448">HLOOKUP($J2448,'Type Chart'!$C$2:$T$20,16,false)*HLOOKUP($K2448,'Type Chart'!$C$2:$U$20,16,false)</f>
        <v>2</v>
      </c>
      <c r="AJ2448" s="960">
        <f t="array" ref="AJ2448">HLOOKUP($J2448,'Type Chart'!$C$2:$T$20,17,false)*HLOOKUP($K2448,'Type Chart'!$C$2:$U$20,17,false)</f>
        <v>2</v>
      </c>
      <c r="AK2448" s="960">
        <f t="array" ref="AK2448">HLOOKUP($J2448,'Type Chart'!$C$2:$T$20,18,false)*HLOOKUP($K2448,'Type Chart'!$C$2:$U$20,18,false)</f>
        <v>1</v>
      </c>
      <c r="AL2448" s="960">
        <f t="array" ref="AL2448">HLOOKUP($J2448,'Type Chart'!$C$2:$T$20,19,false)*HLOOKUP($K2448,'Type Chart'!$C$2:$U$20,19,false)</f>
        <v>2</v>
      </c>
      <c r="AM2448" s="964" t="s">
        <v>998</v>
      </c>
      <c r="AN2448" s="965"/>
      <c r="AO2448" s="966" t="s">
        <v>1371</v>
      </c>
      <c r="AP2448" s="936"/>
      <c r="AQ2448" s="1245"/>
      <c r="AR2448" s="1245"/>
      <c r="AS2448" s="936"/>
    </row>
    <row r="2449" ht="15.75" customHeight="1">
      <c r="A2449" s="1099"/>
      <c r="B2449" s="948">
        <v>954.0</v>
      </c>
      <c r="C2449" s="1197" t="s">
        <v>4238</v>
      </c>
      <c r="D2449" s="1197" t="s">
        <v>4238</v>
      </c>
      <c r="E2449" s="1147" t="s">
        <v>4238</v>
      </c>
      <c r="F2449" s="940"/>
      <c r="G2449" s="953"/>
      <c r="H2449" s="969"/>
      <c r="I2449" s="998" t="s">
        <v>5541</v>
      </c>
      <c r="J2449" s="1198" t="s">
        <v>203</v>
      </c>
      <c r="K2449" s="1235" t="s">
        <v>216</v>
      </c>
      <c r="L2449" s="1200">
        <v>45.0</v>
      </c>
      <c r="M2449" s="1201">
        <v>50.0</v>
      </c>
      <c r="N2449" s="1201">
        <v>20.0</v>
      </c>
      <c r="O2449" s="1201">
        <v>40.0</v>
      </c>
      <c r="P2449" s="1201">
        <v>25.0</v>
      </c>
      <c r="Q2449" s="1201">
        <v>60.0</v>
      </c>
      <c r="R2449" s="960">
        <v>156.0</v>
      </c>
      <c r="S2449" s="960">
        <v>219.0</v>
      </c>
      <c r="T2449" s="960">
        <v>240.0</v>
      </c>
      <c r="U2449" s="960">
        <f t="array" ref="U2449">HLOOKUP($J2449,'Type Chart'!$C$2:$T$20,2,false)*HLOOKUP($K2449,'Type Chart'!$C$2:$U$20,2,false)</f>
        <v>1</v>
      </c>
      <c r="V2449" s="960">
        <f t="array" ref="V2449">HLOOKUP($J2449,'Type Chart'!$C$2:$T$20,3,false)*HLOOKUP($K2449,'Type Chart'!$C$2:$U$20,3,false)</f>
        <v>1</v>
      </c>
      <c r="W2449" s="960">
        <f t="array" ref="W2449">HLOOKUP($J2449,'Type Chart'!$C$2:$T$20,4,false)*HLOOKUP($K2449,'Type Chart'!$C$2:$U$20,4,false)</f>
        <v>0.5</v>
      </c>
      <c r="X2449" s="960">
        <f t="array" ref="X2449">HLOOKUP($J2449,'Type Chart'!$C$2:$T$20,5,false)*HLOOKUP($K2449,'Type Chart'!$C$2:$U$20,5,false)</f>
        <v>1</v>
      </c>
      <c r="Y2449" s="960">
        <f t="array" ref="Y2449">HLOOKUP($J2449,'Type Chart'!$C$2:$T$20,6,false)*HLOOKUP($K2449,'Type Chart'!$C$2:$U$20,6,false)</f>
        <v>2</v>
      </c>
      <c r="Z2449" s="960">
        <f t="array" ref="Z2449">HLOOKUP($J2449,'Type Chart'!$C$2:$T$20,7,false)*HLOOKUP($K2449,'Type Chart'!$C$2:$U$20,7,false)</f>
        <v>1</v>
      </c>
      <c r="AA2449" s="960">
        <f t="array" ref="AA2449">HLOOKUP($J2449,'Type Chart'!$C$2:$T$20,8,false)*HLOOKUP($K2449,'Type Chart'!$C$2:$U$20,8,false)</f>
        <v>1</v>
      </c>
      <c r="AB2449" s="960">
        <f t="array" ref="AB2449">HLOOKUP($J2449,'Type Chart'!$C$2:$T$20,9,false)*HLOOKUP($K2449,'Type Chart'!$C$2:$U$20,9,false)</f>
        <v>1</v>
      </c>
      <c r="AC2449" s="960">
        <f t="array" ref="AC2449">HLOOKUP($J2449,'Type Chart'!$C$2:$T$20,10,false)*HLOOKUP($K2449,'Type Chart'!$C$2:$U$20,10,false)</f>
        <v>0.5</v>
      </c>
      <c r="AD2449" s="960">
        <f t="array" ref="AD2449">HLOOKUP($J2449,'Type Chart'!$C$2:$T$20,11,false)*HLOOKUP($K2449,'Type Chart'!$C$2:$U$20,11,false)</f>
        <v>1</v>
      </c>
      <c r="AE2449" s="960">
        <f t="array" ref="AE2449">HLOOKUP($J2449,'Type Chart'!$C$2:$T$20,12,false)*HLOOKUP($K2449,'Type Chart'!$C$2:$U$20,12,false)</f>
        <v>1</v>
      </c>
      <c r="AF2449" s="960">
        <f t="array" ref="AF2449">HLOOKUP($J2449,'Type Chart'!$C$2:$T$20,13,false)*HLOOKUP($K2449,'Type Chart'!$C$2:$U$20,13,false)</f>
        <v>1</v>
      </c>
      <c r="AG2449" s="960">
        <f t="array" ref="AG2449">HLOOKUP($J2449,'Type Chart'!$C$2:$T$20,14,false)*HLOOKUP($K2449,'Type Chart'!$C$2:$U$20,14,false)</f>
        <v>0.5</v>
      </c>
      <c r="AH2449" s="960">
        <f t="array" ref="AH2449">HLOOKUP($J2449,'Type Chart'!$C$2:$T$20,15,false)*HLOOKUP($K2449,'Type Chart'!$C$2:$U$20,15,false)</f>
        <v>1</v>
      </c>
      <c r="AI2449" s="960">
        <f t="array" ref="AI2449">HLOOKUP($J2449,'Type Chart'!$C$2:$T$20,16,false)*HLOOKUP($K2449,'Type Chart'!$C$2:$U$20,16,false)</f>
        <v>1</v>
      </c>
      <c r="AJ2449" s="960">
        <f t="array" ref="AJ2449">HLOOKUP($J2449,'Type Chart'!$C$2:$T$20,17,false)*HLOOKUP($K2449,'Type Chart'!$C$2:$U$20,17,false)</f>
        <v>1</v>
      </c>
      <c r="AK2449" s="960">
        <f t="array" ref="AK2449">HLOOKUP($J2449,'Type Chart'!$C$2:$T$20,18,false)*HLOOKUP($K2449,'Type Chart'!$C$2:$U$20,18,false)</f>
        <v>1</v>
      </c>
      <c r="AL2449" s="960">
        <f t="array" ref="AL2449">HLOOKUP($J2449,'Type Chart'!$C$2:$T$20,19,false)*HLOOKUP($K2449,'Type Chart'!$C$2:$U$20,19,false)</f>
        <v>1</v>
      </c>
      <c r="AM2449" s="1145" t="s">
        <v>1067</v>
      </c>
      <c r="AN2449" s="1145" t="s">
        <v>1520</v>
      </c>
      <c r="AO2449" s="1146" t="s">
        <v>1501</v>
      </c>
      <c r="AP2449" s="936"/>
      <c r="AQ2449" s="1245"/>
      <c r="AR2449" s="1245"/>
      <c r="AS2449" s="936"/>
    </row>
    <row r="2450" ht="15.75" customHeight="1">
      <c r="A2450" s="1099"/>
      <c r="B2450" s="948">
        <v>955.0</v>
      </c>
      <c r="C2450" s="1197" t="s">
        <v>4240</v>
      </c>
      <c r="D2450" s="1197" t="s">
        <v>4240</v>
      </c>
      <c r="E2450" s="1147" t="s">
        <v>4240</v>
      </c>
      <c r="F2450" s="940"/>
      <c r="G2450" s="953"/>
      <c r="H2450" s="969"/>
      <c r="I2450" s="998" t="s">
        <v>5542</v>
      </c>
      <c r="J2450" s="1196" t="s">
        <v>203</v>
      </c>
      <c r="K2450" s="1213" t="s">
        <v>341</v>
      </c>
      <c r="L2450" s="959">
        <v>60.0</v>
      </c>
      <c r="M2450" s="960">
        <v>75.0</v>
      </c>
      <c r="N2450" s="960">
        <v>40.0</v>
      </c>
      <c r="O2450" s="960">
        <v>50.0</v>
      </c>
      <c r="P2450" s="960">
        <v>40.0</v>
      </c>
      <c r="Q2450" s="960">
        <v>85.0</v>
      </c>
      <c r="R2450" s="960">
        <v>206.0</v>
      </c>
      <c r="S2450" s="960">
        <v>269.0</v>
      </c>
      <c r="T2450" s="960">
        <v>295.0</v>
      </c>
      <c r="U2450" s="960">
        <f t="array" ref="U2450">HLOOKUP($J2450,'Type Chart'!$C$2:$T$20,2,false)*HLOOKUP($K2450,'Type Chart'!$C$2:$U$20,2,false)</f>
        <v>1</v>
      </c>
      <c r="V2450" s="960">
        <f t="array" ref="V2450">HLOOKUP($J2450,'Type Chart'!$C$2:$T$20,3,false)*HLOOKUP($K2450,'Type Chart'!$C$2:$U$20,3,false)</f>
        <v>1</v>
      </c>
      <c r="W2450" s="960">
        <f t="array" ref="W2450">HLOOKUP($J2450,'Type Chart'!$C$2:$T$20,4,false)*HLOOKUP($K2450,'Type Chart'!$C$2:$U$20,4,false)</f>
        <v>1</v>
      </c>
      <c r="X2450" s="960">
        <f t="array" ref="X2450">HLOOKUP($J2450,'Type Chart'!$C$2:$T$20,5,false)*HLOOKUP($K2450,'Type Chart'!$C$2:$U$20,5,false)</f>
        <v>1</v>
      </c>
      <c r="Y2450" s="960">
        <f t="array" ref="Y2450">HLOOKUP($J2450,'Type Chart'!$C$2:$T$20,6,false)*HLOOKUP($K2450,'Type Chart'!$C$2:$U$20,6,false)</f>
        <v>2</v>
      </c>
      <c r="Z2450" s="960">
        <f t="array" ref="Z2450">HLOOKUP($J2450,'Type Chart'!$C$2:$T$20,7,false)*HLOOKUP($K2450,'Type Chart'!$C$2:$U$20,7,false)</f>
        <v>0.5</v>
      </c>
      <c r="AA2450" s="960">
        <f t="array" ref="AA2450">HLOOKUP($J2450,'Type Chart'!$C$2:$T$20,8,false)*HLOOKUP($K2450,'Type Chart'!$C$2:$U$20,8,false)</f>
        <v>0.5</v>
      </c>
      <c r="AB2450" s="960">
        <f t="array" ref="AB2450">HLOOKUP($J2450,'Type Chart'!$C$2:$T$20,9,false)*HLOOKUP($K2450,'Type Chart'!$C$2:$U$20,9,false)</f>
        <v>1</v>
      </c>
      <c r="AC2450" s="960">
        <f t="array" ref="AC2450">HLOOKUP($J2450,'Type Chart'!$C$2:$T$20,10,false)*HLOOKUP($K2450,'Type Chart'!$C$2:$U$20,10,false)</f>
        <v>0.5</v>
      </c>
      <c r="AD2450" s="960">
        <f t="array" ref="AD2450">HLOOKUP($J2450,'Type Chart'!$C$2:$T$20,11,false)*HLOOKUP($K2450,'Type Chart'!$C$2:$U$20,11,false)</f>
        <v>1</v>
      </c>
      <c r="AE2450" s="960">
        <f t="array" ref="AE2450">HLOOKUP($J2450,'Type Chart'!$C$2:$T$20,12,false)*HLOOKUP($K2450,'Type Chart'!$C$2:$U$20,12,false)</f>
        <v>1</v>
      </c>
      <c r="AF2450" s="960">
        <f t="array" ref="AF2450">HLOOKUP($J2450,'Type Chart'!$C$2:$T$20,13,false)*HLOOKUP($K2450,'Type Chart'!$C$2:$U$20,13,false)</f>
        <v>1</v>
      </c>
      <c r="AG2450" s="960">
        <f t="array" ref="AG2450">HLOOKUP($J2450,'Type Chart'!$C$2:$T$20,14,false)*HLOOKUP($K2450,'Type Chart'!$C$2:$U$20,14,false)</f>
        <v>0.5</v>
      </c>
      <c r="AH2450" s="960">
        <f t="array" ref="AH2450">HLOOKUP($J2450,'Type Chart'!$C$2:$T$20,15,false)*HLOOKUP($K2450,'Type Chart'!$C$2:$U$20,15,false)</f>
        <v>2</v>
      </c>
      <c r="AI2450" s="960">
        <f t="array" ref="AI2450">HLOOKUP($J2450,'Type Chart'!$C$2:$T$20,16,false)*HLOOKUP($K2450,'Type Chart'!$C$2:$U$20,16,false)</f>
        <v>1</v>
      </c>
      <c r="AJ2450" s="960">
        <f t="array" ref="AJ2450">HLOOKUP($J2450,'Type Chart'!$C$2:$T$20,17,false)*HLOOKUP($K2450,'Type Chart'!$C$2:$U$20,17,false)</f>
        <v>1</v>
      </c>
      <c r="AK2450" s="960">
        <f t="array" ref="AK2450">HLOOKUP($J2450,'Type Chart'!$C$2:$T$20,18,false)*HLOOKUP($K2450,'Type Chart'!$C$2:$U$20,18,false)</f>
        <v>0.5</v>
      </c>
      <c r="AL2450" s="960">
        <f t="array" ref="AL2450">HLOOKUP($J2450,'Type Chart'!$C$2:$T$20,19,false)*HLOOKUP($K2450,'Type Chart'!$C$2:$U$20,19,false)</f>
        <v>2</v>
      </c>
      <c r="AM2450" s="964" t="s">
        <v>1614</v>
      </c>
      <c r="AN2450" s="964" t="s">
        <v>1520</v>
      </c>
      <c r="AO2450" s="966" t="s">
        <v>1501</v>
      </c>
      <c r="AP2450" s="936"/>
      <c r="AQ2450" s="1245"/>
      <c r="AR2450" s="1245"/>
      <c r="AS2450" s="936"/>
    </row>
    <row r="2451" ht="15.75" customHeight="1">
      <c r="A2451" s="1099"/>
      <c r="B2451" s="948">
        <v>956.0</v>
      </c>
      <c r="C2451" s="1197" t="s">
        <v>4242</v>
      </c>
      <c r="D2451" s="1197" t="s">
        <v>4242</v>
      </c>
      <c r="E2451" s="1147" t="s">
        <v>4242</v>
      </c>
      <c r="F2451" s="940"/>
      <c r="G2451" s="953"/>
      <c r="H2451" s="969"/>
      <c r="I2451" s="998" t="s">
        <v>5543</v>
      </c>
      <c r="J2451" s="1196" t="s">
        <v>203</v>
      </c>
      <c r="K2451" s="1213" t="s">
        <v>341</v>
      </c>
      <c r="L2451" s="959">
        <v>70.0</v>
      </c>
      <c r="M2451" s="960">
        <v>115.0</v>
      </c>
      <c r="N2451" s="960">
        <v>70.0</v>
      </c>
      <c r="O2451" s="960">
        <v>70.0</v>
      </c>
      <c r="P2451" s="960">
        <v>60.0</v>
      </c>
      <c r="Q2451" s="960">
        <v>105.0</v>
      </c>
      <c r="R2451" s="960">
        <v>246.0</v>
      </c>
      <c r="S2451" s="960">
        <v>309.0</v>
      </c>
      <c r="T2451" s="960">
        <v>339.0</v>
      </c>
      <c r="U2451" s="960">
        <f t="array" ref="U2451">HLOOKUP($J2451,'Type Chart'!$C$2:$T$20,2,false)*HLOOKUP($K2451,'Type Chart'!$C$2:$U$20,2,false)</f>
        <v>1</v>
      </c>
      <c r="V2451" s="960">
        <f t="array" ref="V2451">HLOOKUP($J2451,'Type Chart'!$C$2:$T$20,3,false)*HLOOKUP($K2451,'Type Chart'!$C$2:$U$20,3,false)</f>
        <v>1</v>
      </c>
      <c r="W2451" s="960">
        <f t="array" ref="W2451">HLOOKUP($J2451,'Type Chart'!$C$2:$T$20,4,false)*HLOOKUP($K2451,'Type Chart'!$C$2:$U$20,4,false)</f>
        <v>1</v>
      </c>
      <c r="X2451" s="960">
        <f t="array" ref="X2451">HLOOKUP($J2451,'Type Chart'!$C$2:$T$20,5,false)*HLOOKUP($K2451,'Type Chart'!$C$2:$U$20,5,false)</f>
        <v>1</v>
      </c>
      <c r="Y2451" s="960">
        <f t="array" ref="Y2451">HLOOKUP($J2451,'Type Chart'!$C$2:$T$20,6,false)*HLOOKUP($K2451,'Type Chart'!$C$2:$U$20,6,false)</f>
        <v>2</v>
      </c>
      <c r="Z2451" s="960">
        <f t="array" ref="Z2451">HLOOKUP($J2451,'Type Chart'!$C$2:$T$20,7,false)*HLOOKUP($K2451,'Type Chart'!$C$2:$U$20,7,false)</f>
        <v>0.5</v>
      </c>
      <c r="AA2451" s="960">
        <f t="array" ref="AA2451">HLOOKUP($J2451,'Type Chart'!$C$2:$T$20,8,false)*HLOOKUP($K2451,'Type Chart'!$C$2:$U$20,8,false)</f>
        <v>0.5</v>
      </c>
      <c r="AB2451" s="960">
        <f t="array" ref="AB2451">HLOOKUP($J2451,'Type Chart'!$C$2:$T$20,9,false)*HLOOKUP($K2451,'Type Chart'!$C$2:$U$20,9,false)</f>
        <v>1</v>
      </c>
      <c r="AC2451" s="960">
        <f t="array" ref="AC2451">HLOOKUP($J2451,'Type Chart'!$C$2:$T$20,10,false)*HLOOKUP($K2451,'Type Chart'!$C$2:$U$20,10,false)</f>
        <v>0.5</v>
      </c>
      <c r="AD2451" s="960">
        <f t="array" ref="AD2451">HLOOKUP($J2451,'Type Chart'!$C$2:$T$20,11,false)*HLOOKUP($K2451,'Type Chart'!$C$2:$U$20,11,false)</f>
        <v>1</v>
      </c>
      <c r="AE2451" s="960">
        <f t="array" ref="AE2451">HLOOKUP($J2451,'Type Chart'!$C$2:$T$20,12,false)*HLOOKUP($K2451,'Type Chart'!$C$2:$U$20,12,false)</f>
        <v>1</v>
      </c>
      <c r="AF2451" s="960">
        <f t="array" ref="AF2451">HLOOKUP($J2451,'Type Chart'!$C$2:$T$20,13,false)*HLOOKUP($K2451,'Type Chart'!$C$2:$U$20,13,false)</f>
        <v>1</v>
      </c>
      <c r="AG2451" s="960">
        <f t="array" ref="AG2451">HLOOKUP($J2451,'Type Chart'!$C$2:$T$20,14,false)*HLOOKUP($K2451,'Type Chart'!$C$2:$U$20,14,false)</f>
        <v>0.5</v>
      </c>
      <c r="AH2451" s="960">
        <f t="array" ref="AH2451">HLOOKUP($J2451,'Type Chart'!$C$2:$T$20,15,false)*HLOOKUP($K2451,'Type Chart'!$C$2:$U$20,15,false)</f>
        <v>2</v>
      </c>
      <c r="AI2451" s="960">
        <f t="array" ref="AI2451">HLOOKUP($J2451,'Type Chart'!$C$2:$T$20,16,false)*HLOOKUP($K2451,'Type Chart'!$C$2:$U$20,16,false)</f>
        <v>1</v>
      </c>
      <c r="AJ2451" s="960">
        <f t="array" ref="AJ2451">HLOOKUP($J2451,'Type Chart'!$C$2:$T$20,17,false)*HLOOKUP($K2451,'Type Chart'!$C$2:$U$20,17,false)</f>
        <v>1</v>
      </c>
      <c r="AK2451" s="960">
        <f t="array" ref="AK2451">HLOOKUP($J2451,'Type Chart'!$C$2:$T$20,18,false)*HLOOKUP($K2451,'Type Chart'!$C$2:$U$20,18,false)</f>
        <v>0.5</v>
      </c>
      <c r="AL2451" s="960">
        <f t="array" ref="AL2451">HLOOKUP($J2451,'Type Chart'!$C$2:$T$20,19,false)*HLOOKUP($K2451,'Type Chart'!$C$2:$U$20,19,false)</f>
        <v>2</v>
      </c>
      <c r="AM2451" s="964" t="s">
        <v>1614</v>
      </c>
      <c r="AN2451" s="964" t="s">
        <v>1520</v>
      </c>
      <c r="AO2451" s="966" t="s">
        <v>1501</v>
      </c>
      <c r="AP2451" s="936"/>
      <c r="AQ2451" s="1245"/>
      <c r="AR2451" s="1245"/>
      <c r="AS2451" s="936"/>
    </row>
    <row r="2452" ht="15.75" customHeight="1">
      <c r="A2452" s="1099"/>
      <c r="B2452" s="948">
        <v>957.0</v>
      </c>
      <c r="C2452" s="1197" t="s">
        <v>4243</v>
      </c>
      <c r="D2452" s="1197" t="s">
        <v>4243</v>
      </c>
      <c r="E2452" s="1147" t="s">
        <v>4243</v>
      </c>
      <c r="F2452" s="940"/>
      <c r="G2452" s="953"/>
      <c r="H2452" s="969"/>
      <c r="I2452" s="998" t="s">
        <v>5544</v>
      </c>
      <c r="J2452" s="1196" t="s">
        <v>203</v>
      </c>
      <c r="K2452" s="1001" t="s">
        <v>128</v>
      </c>
      <c r="L2452" s="959">
        <v>40.0</v>
      </c>
      <c r="M2452" s="960">
        <v>40.0</v>
      </c>
      <c r="N2452" s="960">
        <v>35.0</v>
      </c>
      <c r="O2452" s="960">
        <v>55.0</v>
      </c>
      <c r="P2452" s="960">
        <v>40.0</v>
      </c>
      <c r="Q2452" s="960">
        <v>70.0</v>
      </c>
      <c r="R2452" s="960">
        <v>176.0</v>
      </c>
      <c r="S2452" s="960">
        <v>239.0</v>
      </c>
      <c r="T2452" s="960">
        <v>262.0</v>
      </c>
      <c r="U2452" s="960">
        <f t="array" ref="U2452">HLOOKUP($J2452,'Type Chart'!$C$2:$T$20,2,false)*HLOOKUP($K2452,'Type Chart'!$C$2:$U$20,2,false)</f>
        <v>1</v>
      </c>
      <c r="V2452" s="960">
        <f t="array" ref="V2452">HLOOKUP($J2452,'Type Chart'!$C$2:$T$20,3,false)*HLOOKUP($K2452,'Type Chart'!$C$2:$U$20,3,false)</f>
        <v>0.5</v>
      </c>
      <c r="W2452" s="960">
        <f t="array" ref="W2452">HLOOKUP($J2452,'Type Chart'!$C$2:$T$20,4,false)*HLOOKUP($K2452,'Type Chart'!$C$2:$U$20,4,false)</f>
        <v>0.5</v>
      </c>
      <c r="X2452" s="960">
        <f t="array" ref="X2452">HLOOKUP($J2452,'Type Chart'!$C$2:$T$20,5,false)*HLOOKUP($K2452,'Type Chart'!$C$2:$U$20,5,false)</f>
        <v>1</v>
      </c>
      <c r="Y2452" s="960">
        <f t="array" ref="Y2452">HLOOKUP($J2452,'Type Chart'!$C$2:$T$20,6,false)*HLOOKUP($K2452,'Type Chart'!$C$2:$U$20,6,false)</f>
        <v>0</v>
      </c>
      <c r="Z2452" s="960">
        <f t="array" ref="Z2452">HLOOKUP($J2452,'Type Chart'!$C$2:$T$20,7,false)*HLOOKUP($K2452,'Type Chart'!$C$2:$U$20,7,false)</f>
        <v>2</v>
      </c>
      <c r="AA2452" s="960">
        <f t="array" ref="AA2452">HLOOKUP($J2452,'Type Chart'!$C$2:$T$20,8,false)*HLOOKUP($K2452,'Type Chart'!$C$2:$U$20,8,false)</f>
        <v>0.5</v>
      </c>
      <c r="AB2452" s="960">
        <f t="array" ref="AB2452">HLOOKUP($J2452,'Type Chart'!$C$2:$T$20,9,false)*HLOOKUP($K2452,'Type Chart'!$C$2:$U$20,9,false)</f>
        <v>1</v>
      </c>
      <c r="AC2452" s="960">
        <f t="array" ref="AC2452">HLOOKUP($J2452,'Type Chart'!$C$2:$T$20,10,false)*HLOOKUP($K2452,'Type Chart'!$C$2:$U$20,10,false)</f>
        <v>0.5</v>
      </c>
      <c r="AD2452" s="960">
        <f t="array" ref="AD2452">HLOOKUP($J2452,'Type Chart'!$C$2:$T$20,11,false)*HLOOKUP($K2452,'Type Chart'!$C$2:$U$20,11,false)</f>
        <v>1</v>
      </c>
      <c r="AE2452" s="960">
        <f t="array" ref="AE2452">HLOOKUP($J2452,'Type Chart'!$C$2:$T$20,12,false)*HLOOKUP($K2452,'Type Chart'!$C$2:$U$20,12,false)</f>
        <v>1</v>
      </c>
      <c r="AF2452" s="960">
        <f t="array" ref="AF2452">HLOOKUP($J2452,'Type Chart'!$C$2:$T$20,13,false)*HLOOKUP($K2452,'Type Chart'!$C$2:$U$20,13,false)</f>
        <v>0.5</v>
      </c>
      <c r="AG2452" s="960">
        <f t="array" ref="AG2452">HLOOKUP($J2452,'Type Chart'!$C$2:$T$20,14,false)*HLOOKUP($K2452,'Type Chart'!$C$2:$U$20,14,false)</f>
        <v>1</v>
      </c>
      <c r="AH2452" s="960">
        <f t="array" ref="AH2452">HLOOKUP($J2452,'Type Chart'!$C$2:$T$20,15,false)*HLOOKUP($K2452,'Type Chart'!$C$2:$U$20,15,false)</f>
        <v>1</v>
      </c>
      <c r="AI2452" s="960">
        <f t="array" ref="AI2452">HLOOKUP($J2452,'Type Chart'!$C$2:$T$20,16,false)*HLOOKUP($K2452,'Type Chart'!$C$2:$U$20,16,false)</f>
        <v>2</v>
      </c>
      <c r="AJ2452" s="960">
        <f t="array" ref="AJ2452">HLOOKUP($J2452,'Type Chart'!$C$2:$T$20,17,false)*HLOOKUP($K2452,'Type Chart'!$C$2:$U$20,17,false)</f>
        <v>1</v>
      </c>
      <c r="AK2452" s="960">
        <f t="array" ref="AK2452">HLOOKUP($J2452,'Type Chart'!$C$2:$T$20,18,false)*HLOOKUP($K2452,'Type Chart'!$C$2:$U$20,18,false)</f>
        <v>1</v>
      </c>
      <c r="AL2452" s="960">
        <f t="array" ref="AL2452">HLOOKUP($J2452,'Type Chart'!$C$2:$T$20,19,false)*HLOOKUP($K2452,'Type Chart'!$C$2:$U$20,19,false)</f>
        <v>1</v>
      </c>
      <c r="AM2452" s="964" t="s">
        <v>4245</v>
      </c>
      <c r="AN2452" s="964" t="s">
        <v>1614</v>
      </c>
      <c r="AO2452" s="966" t="s">
        <v>1185</v>
      </c>
      <c r="AP2452" s="936"/>
      <c r="AQ2452" s="1245"/>
      <c r="AR2452" s="1245"/>
      <c r="AS2452" s="936"/>
    </row>
    <row r="2453" ht="15.75" customHeight="1">
      <c r="A2453" s="1099"/>
      <c r="B2453" s="948">
        <v>958.0</v>
      </c>
      <c r="C2453" s="1197" t="s">
        <v>4246</v>
      </c>
      <c r="D2453" s="1197" t="s">
        <v>4246</v>
      </c>
      <c r="E2453" s="1147" t="s">
        <v>4246</v>
      </c>
      <c r="F2453" s="940"/>
      <c r="G2453" s="953"/>
      <c r="H2453" s="969"/>
      <c r="I2453" s="998" t="s">
        <v>5545</v>
      </c>
      <c r="J2453" s="1196" t="s">
        <v>203</v>
      </c>
      <c r="K2453" s="1001" t="s">
        <v>128</v>
      </c>
      <c r="L2453" s="959">
        <v>70.0</v>
      </c>
      <c r="M2453" s="960">
        <v>70.0</v>
      </c>
      <c r="N2453" s="960">
        <v>60.0</v>
      </c>
      <c r="O2453" s="960">
        <v>105.0</v>
      </c>
      <c r="P2453" s="960">
        <v>60.0</v>
      </c>
      <c r="Q2453" s="960">
        <v>125.0</v>
      </c>
      <c r="R2453" s="960">
        <v>286.0</v>
      </c>
      <c r="S2453" s="960">
        <v>349.0</v>
      </c>
      <c r="T2453" s="960">
        <v>383.0</v>
      </c>
      <c r="U2453" s="960">
        <f t="array" ref="U2453">HLOOKUP($J2453,'Type Chart'!$C$2:$T$20,2,false)*HLOOKUP($K2453,'Type Chart'!$C$2:$U$20,2,false)</f>
        <v>1</v>
      </c>
      <c r="V2453" s="960">
        <f t="array" ref="V2453">HLOOKUP($J2453,'Type Chart'!$C$2:$T$20,3,false)*HLOOKUP($K2453,'Type Chart'!$C$2:$U$20,3,false)</f>
        <v>0.5</v>
      </c>
      <c r="W2453" s="960">
        <f t="array" ref="W2453">HLOOKUP($J2453,'Type Chart'!$C$2:$T$20,4,false)*HLOOKUP($K2453,'Type Chart'!$C$2:$U$20,4,false)</f>
        <v>0.5</v>
      </c>
      <c r="X2453" s="960">
        <f t="array" ref="X2453">HLOOKUP($J2453,'Type Chart'!$C$2:$T$20,5,false)*HLOOKUP($K2453,'Type Chart'!$C$2:$U$20,5,false)</f>
        <v>1</v>
      </c>
      <c r="Y2453" s="960">
        <f t="array" ref="Y2453">HLOOKUP($J2453,'Type Chart'!$C$2:$T$20,6,false)*HLOOKUP($K2453,'Type Chart'!$C$2:$U$20,6,false)</f>
        <v>0</v>
      </c>
      <c r="Z2453" s="960">
        <f t="array" ref="Z2453">HLOOKUP($J2453,'Type Chart'!$C$2:$T$20,7,false)*HLOOKUP($K2453,'Type Chart'!$C$2:$U$20,7,false)</f>
        <v>2</v>
      </c>
      <c r="AA2453" s="960">
        <f t="array" ref="AA2453">HLOOKUP($J2453,'Type Chart'!$C$2:$T$20,8,false)*HLOOKUP($K2453,'Type Chart'!$C$2:$U$20,8,false)</f>
        <v>0.5</v>
      </c>
      <c r="AB2453" s="960">
        <f t="array" ref="AB2453">HLOOKUP($J2453,'Type Chart'!$C$2:$T$20,9,false)*HLOOKUP($K2453,'Type Chart'!$C$2:$U$20,9,false)</f>
        <v>1</v>
      </c>
      <c r="AC2453" s="960">
        <f t="array" ref="AC2453">HLOOKUP($J2453,'Type Chart'!$C$2:$T$20,10,false)*HLOOKUP($K2453,'Type Chart'!$C$2:$U$20,10,false)</f>
        <v>0.5</v>
      </c>
      <c r="AD2453" s="960">
        <f t="array" ref="AD2453">HLOOKUP($J2453,'Type Chart'!$C$2:$T$20,11,false)*HLOOKUP($K2453,'Type Chart'!$C$2:$U$20,11,false)</f>
        <v>1</v>
      </c>
      <c r="AE2453" s="960">
        <f t="array" ref="AE2453">HLOOKUP($J2453,'Type Chart'!$C$2:$T$20,12,false)*HLOOKUP($K2453,'Type Chart'!$C$2:$U$20,12,false)</f>
        <v>1</v>
      </c>
      <c r="AF2453" s="960">
        <f t="array" ref="AF2453">HLOOKUP($J2453,'Type Chart'!$C$2:$T$20,13,false)*HLOOKUP($K2453,'Type Chart'!$C$2:$U$20,13,false)</f>
        <v>0.5</v>
      </c>
      <c r="AG2453" s="960">
        <f t="array" ref="AG2453">HLOOKUP($J2453,'Type Chart'!$C$2:$T$20,14,false)*HLOOKUP($K2453,'Type Chart'!$C$2:$U$20,14,false)</f>
        <v>1</v>
      </c>
      <c r="AH2453" s="960">
        <f t="array" ref="AH2453">HLOOKUP($J2453,'Type Chart'!$C$2:$T$20,15,false)*HLOOKUP($K2453,'Type Chart'!$C$2:$U$20,15,false)</f>
        <v>1</v>
      </c>
      <c r="AI2453" s="960">
        <f t="array" ref="AI2453">HLOOKUP($J2453,'Type Chart'!$C$2:$T$20,16,false)*HLOOKUP($K2453,'Type Chart'!$C$2:$U$20,16,false)</f>
        <v>2</v>
      </c>
      <c r="AJ2453" s="960">
        <f t="array" ref="AJ2453">HLOOKUP($J2453,'Type Chart'!$C$2:$T$20,17,false)*HLOOKUP($K2453,'Type Chart'!$C$2:$U$20,17,false)</f>
        <v>1</v>
      </c>
      <c r="AK2453" s="960">
        <f t="array" ref="AK2453">HLOOKUP($J2453,'Type Chart'!$C$2:$T$20,18,false)*HLOOKUP($K2453,'Type Chart'!$C$2:$U$20,18,false)</f>
        <v>1</v>
      </c>
      <c r="AL2453" s="960">
        <f t="array" ref="AL2453">HLOOKUP($J2453,'Type Chart'!$C$2:$T$20,19,false)*HLOOKUP($K2453,'Type Chart'!$C$2:$U$20,19,false)</f>
        <v>1</v>
      </c>
      <c r="AM2453" s="964" t="s">
        <v>4245</v>
      </c>
      <c r="AN2453" s="1145" t="s">
        <v>1614</v>
      </c>
      <c r="AO2453" s="1146" t="s">
        <v>1185</v>
      </c>
      <c r="AP2453" s="936"/>
      <c r="AQ2453" s="1245"/>
      <c r="AR2453" s="1245"/>
      <c r="AS2453" s="936"/>
    </row>
    <row r="2454" ht="15.75" customHeight="1">
      <c r="A2454" s="1099"/>
      <c r="B2454" s="948">
        <v>959.0</v>
      </c>
      <c r="C2454" s="1197" t="s">
        <v>4247</v>
      </c>
      <c r="D2454" s="1197" t="s">
        <v>4247</v>
      </c>
      <c r="E2454" s="1147" t="s">
        <v>4247</v>
      </c>
      <c r="F2454" s="940"/>
      <c r="G2454" s="953"/>
      <c r="H2454" s="969"/>
      <c r="I2454" s="998" t="s">
        <v>5546</v>
      </c>
      <c r="J2454" s="1001" t="s">
        <v>128</v>
      </c>
      <c r="K2454" s="1195" t="s">
        <v>193</v>
      </c>
      <c r="L2454" s="959">
        <v>70.0</v>
      </c>
      <c r="M2454" s="960">
        <v>103.0</v>
      </c>
      <c r="N2454" s="960">
        <v>85.0</v>
      </c>
      <c r="O2454" s="960">
        <v>60.0</v>
      </c>
      <c r="P2454" s="960">
        <v>85.0</v>
      </c>
      <c r="Q2454" s="960">
        <v>82.0</v>
      </c>
      <c r="R2454" s="960">
        <v>200.0</v>
      </c>
      <c r="S2454" s="960">
        <v>263.0</v>
      </c>
      <c r="T2454" s="960">
        <v>289.0</v>
      </c>
      <c r="U2454" s="960">
        <f t="array" ref="U2454">HLOOKUP($J2454,'Type Chart'!$C$2:$T$20,2,false)*HLOOKUP($K2454,'Type Chart'!$C$2:$U$20,2,false)</f>
        <v>1</v>
      </c>
      <c r="V2454" s="960">
        <f t="array" ref="V2454">HLOOKUP($J2454,'Type Chart'!$C$2:$T$20,3,false)*HLOOKUP($K2454,'Type Chart'!$C$2:$U$20,3,false)</f>
        <v>1</v>
      </c>
      <c r="W2454" s="960">
        <f t="array" ref="W2454">HLOOKUP($J2454,'Type Chart'!$C$2:$T$20,4,false)*HLOOKUP($K2454,'Type Chart'!$C$2:$U$20,4,false)</f>
        <v>1</v>
      </c>
      <c r="X2454" s="960">
        <f t="array" ref="X2454">HLOOKUP($J2454,'Type Chart'!$C$2:$T$20,5,false)*HLOOKUP($K2454,'Type Chart'!$C$2:$U$20,5,false)</f>
        <v>1</v>
      </c>
      <c r="Y2454" s="960">
        <f t="array" ref="Y2454">HLOOKUP($J2454,'Type Chart'!$C$2:$T$20,6,false)*HLOOKUP($K2454,'Type Chart'!$C$2:$U$20,6,false)</f>
        <v>0</v>
      </c>
      <c r="Z2454" s="960">
        <f t="array" ref="Z2454">HLOOKUP($J2454,'Type Chart'!$C$2:$T$20,7,false)*HLOOKUP($K2454,'Type Chart'!$C$2:$U$20,7,false)</f>
        <v>2</v>
      </c>
      <c r="AA2454" s="960">
        <f t="array" ref="AA2454">HLOOKUP($J2454,'Type Chart'!$C$2:$T$20,8,false)*HLOOKUP($K2454,'Type Chart'!$C$2:$U$20,8,false)</f>
        <v>1</v>
      </c>
      <c r="AB2454" s="960">
        <f t="array" ref="AB2454">HLOOKUP($J2454,'Type Chart'!$C$2:$T$20,9,false)*HLOOKUP($K2454,'Type Chart'!$C$2:$U$20,9,false)</f>
        <v>0.5</v>
      </c>
      <c r="AC2454" s="960">
        <f t="array" ref="AC2454">HLOOKUP($J2454,'Type Chart'!$C$2:$T$20,10,false)*HLOOKUP($K2454,'Type Chart'!$C$2:$U$20,10,false)</f>
        <v>1</v>
      </c>
      <c r="AD2454" s="960">
        <f t="array" ref="AD2454">HLOOKUP($J2454,'Type Chart'!$C$2:$T$20,11,false)*HLOOKUP($K2454,'Type Chart'!$C$2:$U$20,11,false)</f>
        <v>1</v>
      </c>
      <c r="AE2454" s="960">
        <f t="array" ref="AE2454">HLOOKUP($J2454,'Type Chart'!$C$2:$T$20,12,false)*HLOOKUP($K2454,'Type Chart'!$C$2:$U$20,12,false)</f>
        <v>1</v>
      </c>
      <c r="AF2454" s="960">
        <f t="array" ref="AF2454">HLOOKUP($J2454,'Type Chart'!$C$2:$T$20,13,false)*HLOOKUP($K2454,'Type Chart'!$C$2:$U$20,13,false)</f>
        <v>0.5</v>
      </c>
      <c r="AG2454" s="960">
        <f t="array" ref="AG2454">HLOOKUP($J2454,'Type Chart'!$C$2:$T$20,14,false)*HLOOKUP($K2454,'Type Chart'!$C$2:$U$20,14,false)</f>
        <v>2</v>
      </c>
      <c r="AH2454" s="960">
        <f t="array" ref="AH2454">HLOOKUP($J2454,'Type Chart'!$C$2:$T$20,15,false)*HLOOKUP($K2454,'Type Chart'!$C$2:$U$20,15,false)</f>
        <v>0</v>
      </c>
      <c r="AI2454" s="960">
        <f t="array" ref="AI2454">HLOOKUP($J2454,'Type Chart'!$C$2:$T$20,16,false)*HLOOKUP($K2454,'Type Chart'!$C$2:$U$20,16,false)</f>
        <v>2</v>
      </c>
      <c r="AJ2454" s="960">
        <f t="array" ref="AJ2454">HLOOKUP($J2454,'Type Chart'!$C$2:$T$20,17,false)*HLOOKUP($K2454,'Type Chart'!$C$2:$U$20,17,false)</f>
        <v>1</v>
      </c>
      <c r="AK2454" s="960">
        <f t="array" ref="AK2454">HLOOKUP($J2454,'Type Chart'!$C$2:$T$20,18,false)*HLOOKUP($K2454,'Type Chart'!$C$2:$U$20,18,false)</f>
        <v>0.5</v>
      </c>
      <c r="AL2454" s="960">
        <f t="array" ref="AL2454">HLOOKUP($J2454,'Type Chart'!$C$2:$T$20,19,false)*HLOOKUP($K2454,'Type Chart'!$C$2:$U$20,19,false)</f>
        <v>2</v>
      </c>
      <c r="AM2454" s="964" t="s">
        <v>1024</v>
      </c>
      <c r="AN2454" s="964" t="s">
        <v>1022</v>
      </c>
      <c r="AO2454" s="966" t="s">
        <v>4248</v>
      </c>
      <c r="AP2454" s="936"/>
      <c r="AQ2454" s="1245"/>
      <c r="AR2454" s="1245"/>
      <c r="AS2454" s="936"/>
    </row>
    <row r="2455" ht="15.75" customHeight="1">
      <c r="A2455" s="1099"/>
      <c r="B2455" s="948">
        <v>960.0</v>
      </c>
      <c r="C2455" s="1197" t="s">
        <v>4249</v>
      </c>
      <c r="D2455" s="1197" t="s">
        <v>4249</v>
      </c>
      <c r="E2455" s="1147" t="s">
        <v>4249</v>
      </c>
      <c r="F2455" s="940"/>
      <c r="G2455" s="953"/>
      <c r="H2455" s="969"/>
      <c r="I2455" s="998" t="s">
        <v>5547</v>
      </c>
      <c r="J2455" s="1194" t="s">
        <v>136</v>
      </c>
      <c r="K2455" s="1001" t="s">
        <v>128</v>
      </c>
      <c r="L2455" s="959">
        <v>82.0</v>
      </c>
      <c r="M2455" s="960">
        <v>96.0</v>
      </c>
      <c r="N2455" s="960">
        <v>51.0</v>
      </c>
      <c r="O2455" s="960">
        <v>45.0</v>
      </c>
      <c r="P2455" s="960">
        <v>51.0</v>
      </c>
      <c r="Q2455" s="960">
        <v>92.0</v>
      </c>
      <c r="R2455" s="960">
        <v>220.0</v>
      </c>
      <c r="S2455" s="960">
        <v>283.0</v>
      </c>
      <c r="T2455" s="960">
        <v>311.0</v>
      </c>
      <c r="U2455" s="960">
        <f t="array" ref="U2455">HLOOKUP($J2455,'Type Chart'!$C$2:$T$20,2,false)*HLOOKUP($K2455,'Type Chart'!$C$2:$U$20,2,false)</f>
        <v>1</v>
      </c>
      <c r="V2455" s="960">
        <f t="array" ref="V2455">HLOOKUP($J2455,'Type Chart'!$C$2:$T$20,3,false)*HLOOKUP($K2455,'Type Chart'!$C$2:$U$20,3,false)</f>
        <v>1</v>
      </c>
      <c r="W2455" s="960">
        <f t="array" ref="W2455">HLOOKUP($J2455,'Type Chart'!$C$2:$T$20,4,false)*HLOOKUP($K2455,'Type Chart'!$C$2:$U$20,4,false)</f>
        <v>1</v>
      </c>
      <c r="X2455" s="960">
        <f t="array" ref="X2455">HLOOKUP($J2455,'Type Chart'!$C$2:$T$20,5,false)*HLOOKUP($K2455,'Type Chart'!$C$2:$U$20,5,false)</f>
        <v>1</v>
      </c>
      <c r="Y2455" s="960">
        <f t="array" ref="Y2455">HLOOKUP($J2455,'Type Chart'!$C$2:$T$20,6,false)*HLOOKUP($K2455,'Type Chart'!$C$2:$U$20,6,false)</f>
        <v>0</v>
      </c>
      <c r="Z2455" s="960">
        <f t="array" ref="Z2455">HLOOKUP($J2455,'Type Chart'!$C$2:$T$20,7,false)*HLOOKUP($K2455,'Type Chart'!$C$2:$U$20,7,false)</f>
        <v>2</v>
      </c>
      <c r="AA2455" s="960">
        <f t="array" ref="AA2455">HLOOKUP($J2455,'Type Chart'!$C$2:$T$20,8,false)*HLOOKUP($K2455,'Type Chart'!$C$2:$U$20,8,false)</f>
        <v>0.5</v>
      </c>
      <c r="AB2455" s="960">
        <f t="array" ref="AB2455">HLOOKUP($J2455,'Type Chart'!$C$2:$T$20,9,false)*HLOOKUP($K2455,'Type Chart'!$C$2:$U$20,9,false)</f>
        <v>0</v>
      </c>
      <c r="AC2455" s="960">
        <f t="array" ref="AC2455">HLOOKUP($J2455,'Type Chart'!$C$2:$T$20,10,false)*HLOOKUP($K2455,'Type Chart'!$C$2:$U$20,10,false)</f>
        <v>1</v>
      </c>
      <c r="AD2455" s="960">
        <f t="array" ref="AD2455">HLOOKUP($J2455,'Type Chart'!$C$2:$T$20,11,false)*HLOOKUP($K2455,'Type Chart'!$C$2:$U$20,11,false)</f>
        <v>1</v>
      </c>
      <c r="AE2455" s="960">
        <f t="array" ref="AE2455">HLOOKUP($J2455,'Type Chart'!$C$2:$T$20,12,false)*HLOOKUP($K2455,'Type Chart'!$C$2:$U$20,12,false)</f>
        <v>1</v>
      </c>
      <c r="AF2455" s="960">
        <f t="array" ref="AF2455">HLOOKUP($J2455,'Type Chart'!$C$2:$T$20,13,false)*HLOOKUP($K2455,'Type Chart'!$C$2:$U$20,13,false)</f>
        <v>0.5</v>
      </c>
      <c r="AG2455" s="960">
        <f t="array" ref="AG2455">HLOOKUP($J2455,'Type Chart'!$C$2:$T$20,14,false)*HLOOKUP($K2455,'Type Chart'!$C$2:$U$20,14,false)</f>
        <v>2</v>
      </c>
      <c r="AH2455" s="960">
        <f t="array" ref="AH2455">HLOOKUP($J2455,'Type Chart'!$C$2:$T$20,15,false)*HLOOKUP($K2455,'Type Chart'!$C$2:$U$20,15,false)</f>
        <v>1</v>
      </c>
      <c r="AI2455" s="960">
        <f t="array" ref="AI2455">HLOOKUP($J2455,'Type Chart'!$C$2:$T$20,16,false)*HLOOKUP($K2455,'Type Chart'!$C$2:$U$20,16,false)</f>
        <v>2</v>
      </c>
      <c r="AJ2455" s="960">
        <f t="array" ref="AJ2455">HLOOKUP($J2455,'Type Chart'!$C$2:$T$20,17,false)*HLOOKUP($K2455,'Type Chart'!$C$2:$U$20,17,false)</f>
        <v>1</v>
      </c>
      <c r="AK2455" s="960">
        <f t="array" ref="AK2455">HLOOKUP($J2455,'Type Chart'!$C$2:$T$20,18,false)*HLOOKUP($K2455,'Type Chart'!$C$2:$U$20,18,false)</f>
        <v>1</v>
      </c>
      <c r="AL2455" s="960">
        <f t="array" ref="AL2455">HLOOKUP($J2455,'Type Chart'!$C$2:$T$20,19,false)*HLOOKUP($K2455,'Type Chart'!$C$2:$U$20,19,false)</f>
        <v>1</v>
      </c>
      <c r="AM2455" s="964" t="s">
        <v>1061</v>
      </c>
      <c r="AN2455" s="964" t="s">
        <v>1039</v>
      </c>
      <c r="AO2455" s="966" t="s">
        <v>1038</v>
      </c>
      <c r="AP2455" s="936"/>
      <c r="AQ2455" s="1245"/>
      <c r="AR2455" s="1245"/>
      <c r="AS2455" s="936"/>
    </row>
    <row r="2456" ht="15.75" customHeight="1">
      <c r="A2456" s="1099"/>
      <c r="B2456" s="948">
        <v>961.0</v>
      </c>
      <c r="C2456" s="1197" t="s">
        <v>4250</v>
      </c>
      <c r="D2456" s="1197" t="s">
        <v>4250</v>
      </c>
      <c r="E2456" s="1147" t="s">
        <v>4250</v>
      </c>
      <c r="F2456" s="940"/>
      <c r="G2456" s="953"/>
      <c r="H2456" s="969"/>
      <c r="I2456" s="998" t="s">
        <v>5548</v>
      </c>
      <c r="J2456" s="1001" t="s">
        <v>128</v>
      </c>
      <c r="K2456" s="1213" t="s">
        <v>341</v>
      </c>
      <c r="L2456" s="959">
        <v>82.0</v>
      </c>
      <c r="M2456" s="960">
        <v>115.0</v>
      </c>
      <c r="N2456" s="960">
        <v>74.0</v>
      </c>
      <c r="O2456" s="960">
        <v>75.0</v>
      </c>
      <c r="P2456" s="960">
        <v>64.0</v>
      </c>
      <c r="Q2456" s="960">
        <v>90.0</v>
      </c>
      <c r="R2456" s="960">
        <v>216.0</v>
      </c>
      <c r="S2456" s="960">
        <v>279.0</v>
      </c>
      <c r="T2456" s="960">
        <v>306.0</v>
      </c>
      <c r="U2456" s="960">
        <f t="array" ref="U2456">HLOOKUP($J2456,'Type Chart'!$C$2:$T$20,2,false)*HLOOKUP($K2456,'Type Chart'!$C$2:$U$20,2,false)</f>
        <v>1</v>
      </c>
      <c r="V2456" s="960">
        <f t="array" ref="V2456">HLOOKUP($J2456,'Type Chart'!$C$2:$T$20,3,false)*HLOOKUP($K2456,'Type Chart'!$C$2:$U$20,3,false)</f>
        <v>0.5</v>
      </c>
      <c r="W2456" s="960">
        <f t="array" ref="W2456">HLOOKUP($J2456,'Type Chart'!$C$2:$T$20,4,false)*HLOOKUP($K2456,'Type Chart'!$C$2:$U$20,4,false)</f>
        <v>2</v>
      </c>
      <c r="X2456" s="960">
        <f t="array" ref="X2456">HLOOKUP($J2456,'Type Chart'!$C$2:$T$20,5,false)*HLOOKUP($K2456,'Type Chart'!$C$2:$U$20,5,false)</f>
        <v>1</v>
      </c>
      <c r="Y2456" s="960">
        <f t="array" ref="Y2456">HLOOKUP($J2456,'Type Chart'!$C$2:$T$20,6,false)*HLOOKUP($K2456,'Type Chart'!$C$2:$U$20,6,false)</f>
        <v>0</v>
      </c>
      <c r="Z2456" s="960">
        <f t="array" ref="Z2456">HLOOKUP($J2456,'Type Chart'!$C$2:$T$20,7,false)*HLOOKUP($K2456,'Type Chart'!$C$2:$U$20,7,false)</f>
        <v>1</v>
      </c>
      <c r="AA2456" s="960">
        <f t="array" ref="AA2456">HLOOKUP($J2456,'Type Chart'!$C$2:$T$20,8,false)*HLOOKUP($K2456,'Type Chart'!$C$2:$U$20,8,false)</f>
        <v>0.25</v>
      </c>
      <c r="AB2456" s="960">
        <f t="array" ref="AB2456">HLOOKUP($J2456,'Type Chart'!$C$2:$T$20,9,false)*HLOOKUP($K2456,'Type Chart'!$C$2:$U$20,9,false)</f>
        <v>1</v>
      </c>
      <c r="AC2456" s="960">
        <f t="array" ref="AC2456">HLOOKUP($J2456,'Type Chart'!$C$2:$T$20,10,false)*HLOOKUP($K2456,'Type Chart'!$C$2:$U$20,10,false)</f>
        <v>1</v>
      </c>
      <c r="AD2456" s="960">
        <f t="array" ref="AD2456">HLOOKUP($J2456,'Type Chart'!$C$2:$T$20,11,false)*HLOOKUP($K2456,'Type Chart'!$C$2:$U$20,11,false)</f>
        <v>1</v>
      </c>
      <c r="AE2456" s="960">
        <f t="array" ref="AE2456">HLOOKUP($J2456,'Type Chart'!$C$2:$T$20,12,false)*HLOOKUP($K2456,'Type Chart'!$C$2:$U$20,12,false)</f>
        <v>1</v>
      </c>
      <c r="AF2456" s="960">
        <f t="array" ref="AF2456">HLOOKUP($J2456,'Type Chart'!$C$2:$T$20,13,false)*HLOOKUP($K2456,'Type Chart'!$C$2:$U$20,13,false)</f>
        <v>0.5</v>
      </c>
      <c r="AG2456" s="960">
        <f t="array" ref="AG2456">HLOOKUP($J2456,'Type Chart'!$C$2:$T$20,14,false)*HLOOKUP($K2456,'Type Chart'!$C$2:$U$20,14,false)</f>
        <v>2</v>
      </c>
      <c r="AH2456" s="960">
        <f t="array" ref="AH2456">HLOOKUP($J2456,'Type Chart'!$C$2:$T$20,15,false)*HLOOKUP($K2456,'Type Chart'!$C$2:$U$20,15,false)</f>
        <v>2</v>
      </c>
      <c r="AI2456" s="960">
        <f t="array" ref="AI2456">HLOOKUP($J2456,'Type Chart'!$C$2:$T$20,16,false)*HLOOKUP($K2456,'Type Chart'!$C$2:$U$20,16,false)</f>
        <v>2</v>
      </c>
      <c r="AJ2456" s="960">
        <f t="array" ref="AJ2456">HLOOKUP($J2456,'Type Chart'!$C$2:$T$20,17,false)*HLOOKUP($K2456,'Type Chart'!$C$2:$U$20,17,false)</f>
        <v>1</v>
      </c>
      <c r="AK2456" s="960">
        <f t="array" ref="AK2456">HLOOKUP($J2456,'Type Chart'!$C$2:$T$20,18,false)*HLOOKUP($K2456,'Type Chart'!$C$2:$U$20,18,false)</f>
        <v>0.5</v>
      </c>
      <c r="AL2456" s="960">
        <f t="array" ref="AL2456">HLOOKUP($J2456,'Type Chart'!$C$2:$T$20,19,false)*HLOOKUP($K2456,'Type Chart'!$C$2:$U$20,19,false)</f>
        <v>2</v>
      </c>
      <c r="AM2456" s="964" t="s">
        <v>1399</v>
      </c>
      <c r="AN2456" s="964" t="s">
        <v>1023</v>
      </c>
      <c r="AO2456" s="966" t="s">
        <v>4251</v>
      </c>
      <c r="AP2456" s="936"/>
      <c r="AQ2456" s="1245"/>
      <c r="AR2456" s="1245"/>
      <c r="AS2456" s="936"/>
    </row>
    <row r="2457" ht="15.75" customHeight="1">
      <c r="A2457" s="1099"/>
      <c r="B2457" s="948">
        <v>962.0</v>
      </c>
      <c r="C2457" s="1197" t="s">
        <v>4252</v>
      </c>
      <c r="D2457" s="1197" t="s">
        <v>4252</v>
      </c>
      <c r="E2457" s="1147" t="s">
        <v>4252</v>
      </c>
      <c r="F2457" s="940"/>
      <c r="G2457" s="953"/>
      <c r="H2457" s="969"/>
      <c r="I2457" s="998" t="s">
        <v>5549</v>
      </c>
      <c r="J2457" s="1214" t="s">
        <v>342</v>
      </c>
      <c r="K2457" s="1235" t="s">
        <v>216</v>
      </c>
      <c r="L2457" s="959">
        <v>70.0</v>
      </c>
      <c r="M2457" s="960">
        <v>100.0</v>
      </c>
      <c r="N2457" s="960">
        <v>115.0</v>
      </c>
      <c r="O2457" s="960">
        <v>35.0</v>
      </c>
      <c r="P2457" s="960">
        <v>55.0</v>
      </c>
      <c r="Q2457" s="960">
        <v>75.0</v>
      </c>
      <c r="R2457" s="960">
        <v>186.0</v>
      </c>
      <c r="S2457" s="960">
        <v>249.0</v>
      </c>
      <c r="T2457" s="960">
        <v>273.0</v>
      </c>
      <c r="U2457" s="960">
        <f t="array" ref="U2457">HLOOKUP($J2457,'Type Chart'!$C$2:$T$20,2,false)*HLOOKUP($K2457,'Type Chart'!$C$2:$U$20,2,false)</f>
        <v>0.5</v>
      </c>
      <c r="V2457" s="960">
        <f t="array" ref="V2457">HLOOKUP($J2457,'Type Chart'!$C$2:$T$20,3,false)*HLOOKUP($K2457,'Type Chart'!$C$2:$U$20,3,false)</f>
        <v>2</v>
      </c>
      <c r="W2457" s="960">
        <f t="array" ref="W2457">HLOOKUP($J2457,'Type Chart'!$C$2:$T$20,4,false)*HLOOKUP($K2457,'Type Chart'!$C$2:$U$20,4,false)</f>
        <v>0.5</v>
      </c>
      <c r="X2457" s="960">
        <f t="array" ref="X2457">HLOOKUP($J2457,'Type Chart'!$C$2:$T$20,5,false)*HLOOKUP($K2457,'Type Chart'!$C$2:$U$20,5,false)</f>
        <v>0.5</v>
      </c>
      <c r="Y2457" s="960">
        <f t="array" ref="Y2457">HLOOKUP($J2457,'Type Chart'!$C$2:$T$20,6,false)*HLOOKUP($K2457,'Type Chart'!$C$2:$U$20,6,false)</f>
        <v>2</v>
      </c>
      <c r="Z2457" s="960">
        <f t="array" ref="Z2457">HLOOKUP($J2457,'Type Chart'!$C$2:$T$20,7,false)*HLOOKUP($K2457,'Type Chart'!$C$2:$U$20,7,false)</f>
        <v>1</v>
      </c>
      <c r="AA2457" s="960">
        <f t="array" ref="AA2457">HLOOKUP($J2457,'Type Chart'!$C$2:$T$20,8,false)*HLOOKUP($K2457,'Type Chart'!$C$2:$U$20,8,false)</f>
        <v>1</v>
      </c>
      <c r="AB2457" s="960">
        <f t="array" ref="AB2457">HLOOKUP($J2457,'Type Chart'!$C$2:$T$20,9,false)*HLOOKUP($K2457,'Type Chart'!$C$2:$U$20,9,false)</f>
        <v>1</v>
      </c>
      <c r="AC2457" s="960">
        <f t="array" ref="AC2457">HLOOKUP($J2457,'Type Chart'!$C$2:$T$20,10,false)*HLOOKUP($K2457,'Type Chart'!$C$2:$U$20,10,false)</f>
        <v>2</v>
      </c>
      <c r="AD2457" s="960">
        <f t="array" ref="AD2457">HLOOKUP($J2457,'Type Chart'!$C$2:$T$20,11,false)*HLOOKUP($K2457,'Type Chart'!$C$2:$U$20,11,false)</f>
        <v>0.5</v>
      </c>
      <c r="AE2457" s="960">
        <f t="array" ref="AE2457">HLOOKUP($J2457,'Type Chart'!$C$2:$T$20,12,false)*HLOOKUP($K2457,'Type Chart'!$C$2:$U$20,12,false)</f>
        <v>2</v>
      </c>
      <c r="AF2457" s="960">
        <f t="array" ref="AF2457">HLOOKUP($J2457,'Type Chart'!$C$2:$T$20,13,false)*HLOOKUP($K2457,'Type Chart'!$C$2:$U$20,13,false)</f>
        <v>2</v>
      </c>
      <c r="AG2457" s="960">
        <f t="array" ref="AG2457">HLOOKUP($J2457,'Type Chart'!$C$2:$T$20,14,false)*HLOOKUP($K2457,'Type Chart'!$C$2:$U$20,14,false)</f>
        <v>1</v>
      </c>
      <c r="AH2457" s="960">
        <f t="array" ref="AH2457">HLOOKUP($J2457,'Type Chart'!$C$2:$T$20,15,false)*HLOOKUP($K2457,'Type Chart'!$C$2:$U$20,15,false)</f>
        <v>1</v>
      </c>
      <c r="AI2457" s="960">
        <f t="array" ref="AI2457">HLOOKUP($J2457,'Type Chart'!$C$2:$T$20,16,false)*HLOOKUP($K2457,'Type Chart'!$C$2:$U$20,16,false)</f>
        <v>1</v>
      </c>
      <c r="AJ2457" s="960">
        <f t="array" ref="AJ2457">HLOOKUP($J2457,'Type Chart'!$C$2:$T$20,17,false)*HLOOKUP($K2457,'Type Chart'!$C$2:$U$20,17,false)</f>
        <v>1</v>
      </c>
      <c r="AK2457" s="960">
        <f t="array" ref="AK2457">HLOOKUP($J2457,'Type Chart'!$C$2:$T$20,18,false)*HLOOKUP($K2457,'Type Chart'!$C$2:$U$20,18,false)</f>
        <v>1</v>
      </c>
      <c r="AL2457" s="960">
        <f t="array" ref="AL2457">HLOOKUP($J2457,'Type Chart'!$C$2:$T$20,19,false)*HLOOKUP($K2457,'Type Chart'!$C$2:$U$20,19,false)</f>
        <v>1</v>
      </c>
      <c r="AM2457" s="964" t="s">
        <v>4253</v>
      </c>
      <c r="AN2457" s="964" t="s">
        <v>1385</v>
      </c>
      <c r="AO2457" s="966" t="s">
        <v>1371</v>
      </c>
      <c r="AP2457" s="936"/>
      <c r="AQ2457" s="1245"/>
      <c r="AR2457" s="1245"/>
      <c r="AS2457" s="936"/>
    </row>
    <row r="2458" ht="15.75" customHeight="1">
      <c r="A2458" s="1099"/>
      <c r="B2458" s="948">
        <v>963.0</v>
      </c>
      <c r="C2458" s="1197" t="s">
        <v>4254</v>
      </c>
      <c r="D2458" s="1197" t="s">
        <v>4254</v>
      </c>
      <c r="E2458" s="1147" t="s">
        <v>4254</v>
      </c>
      <c r="F2458" s="940"/>
      <c r="G2458" s="953"/>
      <c r="H2458" s="969"/>
      <c r="I2458" s="998" t="s">
        <v>5550</v>
      </c>
      <c r="J2458" s="1214" t="s">
        <v>342</v>
      </c>
      <c r="K2458" s="1235" t="s">
        <v>216</v>
      </c>
      <c r="L2458" s="959">
        <v>55.0</v>
      </c>
      <c r="M2458" s="960">
        <v>55.0</v>
      </c>
      <c r="N2458" s="960">
        <v>75.0</v>
      </c>
      <c r="O2458" s="960">
        <v>35.0</v>
      </c>
      <c r="P2458" s="960">
        <v>35.0</v>
      </c>
      <c r="Q2458" s="960">
        <v>25.0</v>
      </c>
      <c r="R2458" s="960">
        <v>86.0</v>
      </c>
      <c r="S2458" s="960">
        <v>149.0</v>
      </c>
      <c r="T2458" s="960">
        <v>163.0</v>
      </c>
      <c r="U2458" s="960">
        <f t="array" ref="U2458">HLOOKUP($J2458,'Type Chart'!$C$2:$T$20,2,false)*HLOOKUP($K2458,'Type Chart'!$C$2:$U$20,2,false)</f>
        <v>0.5</v>
      </c>
      <c r="V2458" s="960">
        <f t="array" ref="V2458">HLOOKUP($J2458,'Type Chart'!$C$2:$T$20,3,false)*HLOOKUP($K2458,'Type Chart'!$C$2:$U$20,3,false)</f>
        <v>2</v>
      </c>
      <c r="W2458" s="960">
        <f t="array" ref="W2458">HLOOKUP($J2458,'Type Chart'!$C$2:$T$20,4,false)*HLOOKUP($K2458,'Type Chart'!$C$2:$U$20,4,false)</f>
        <v>0.5</v>
      </c>
      <c r="X2458" s="960">
        <f t="array" ref="X2458">HLOOKUP($J2458,'Type Chart'!$C$2:$T$20,5,false)*HLOOKUP($K2458,'Type Chart'!$C$2:$U$20,5,false)</f>
        <v>0.5</v>
      </c>
      <c r="Y2458" s="960">
        <f t="array" ref="Y2458">HLOOKUP($J2458,'Type Chart'!$C$2:$T$20,6,false)*HLOOKUP($K2458,'Type Chart'!$C$2:$U$20,6,false)</f>
        <v>2</v>
      </c>
      <c r="Z2458" s="960">
        <f t="array" ref="Z2458">HLOOKUP($J2458,'Type Chart'!$C$2:$T$20,7,false)*HLOOKUP($K2458,'Type Chart'!$C$2:$U$20,7,false)</f>
        <v>1</v>
      </c>
      <c r="AA2458" s="960">
        <f t="array" ref="AA2458">HLOOKUP($J2458,'Type Chart'!$C$2:$T$20,8,false)*HLOOKUP($K2458,'Type Chart'!$C$2:$U$20,8,false)</f>
        <v>1</v>
      </c>
      <c r="AB2458" s="960">
        <f t="array" ref="AB2458">HLOOKUP($J2458,'Type Chart'!$C$2:$T$20,9,false)*HLOOKUP($K2458,'Type Chart'!$C$2:$U$20,9,false)</f>
        <v>1</v>
      </c>
      <c r="AC2458" s="960">
        <f t="array" ref="AC2458">HLOOKUP($J2458,'Type Chart'!$C$2:$T$20,10,false)*HLOOKUP($K2458,'Type Chart'!$C$2:$U$20,10,false)</f>
        <v>2</v>
      </c>
      <c r="AD2458" s="960">
        <f t="array" ref="AD2458">HLOOKUP($J2458,'Type Chart'!$C$2:$T$20,11,false)*HLOOKUP($K2458,'Type Chart'!$C$2:$U$20,11,false)</f>
        <v>0.5</v>
      </c>
      <c r="AE2458" s="960">
        <f t="array" ref="AE2458">HLOOKUP($J2458,'Type Chart'!$C$2:$T$20,12,false)*HLOOKUP($K2458,'Type Chart'!$C$2:$U$20,12,false)</f>
        <v>2</v>
      </c>
      <c r="AF2458" s="960">
        <f t="array" ref="AF2458">HLOOKUP($J2458,'Type Chart'!$C$2:$T$20,13,false)*HLOOKUP($K2458,'Type Chart'!$C$2:$U$20,13,false)</f>
        <v>2</v>
      </c>
      <c r="AG2458" s="960">
        <f t="array" ref="AG2458">HLOOKUP($J2458,'Type Chart'!$C$2:$T$20,14,false)*HLOOKUP($K2458,'Type Chart'!$C$2:$U$20,14,false)</f>
        <v>1</v>
      </c>
      <c r="AH2458" s="960">
        <f t="array" ref="AH2458">HLOOKUP($J2458,'Type Chart'!$C$2:$T$20,15,false)*HLOOKUP($K2458,'Type Chart'!$C$2:$U$20,15,false)</f>
        <v>1</v>
      </c>
      <c r="AI2458" s="960">
        <f t="array" ref="AI2458">HLOOKUP($J2458,'Type Chart'!$C$2:$T$20,16,false)*HLOOKUP($K2458,'Type Chart'!$C$2:$U$20,16,false)</f>
        <v>1</v>
      </c>
      <c r="AJ2458" s="960">
        <f t="array" ref="AJ2458">HLOOKUP($J2458,'Type Chart'!$C$2:$T$20,17,false)*HLOOKUP($K2458,'Type Chart'!$C$2:$U$20,17,false)</f>
        <v>1</v>
      </c>
      <c r="AK2458" s="960">
        <f t="array" ref="AK2458">HLOOKUP($J2458,'Type Chart'!$C$2:$T$20,18,false)*HLOOKUP($K2458,'Type Chart'!$C$2:$U$20,18,false)</f>
        <v>1</v>
      </c>
      <c r="AL2458" s="960">
        <f t="array" ref="AL2458">HLOOKUP($J2458,'Type Chart'!$C$2:$T$20,19,false)*HLOOKUP($K2458,'Type Chart'!$C$2:$U$20,19,false)</f>
        <v>1</v>
      </c>
      <c r="AM2458" s="964" t="s">
        <v>4256</v>
      </c>
      <c r="AN2458" s="964" t="s">
        <v>1331</v>
      </c>
      <c r="AO2458" s="966" t="s">
        <v>1324</v>
      </c>
      <c r="AP2458" s="936"/>
      <c r="AQ2458" s="1245"/>
      <c r="AR2458" s="1245"/>
      <c r="AS2458" s="936"/>
    </row>
    <row r="2459" ht="15.75" customHeight="1">
      <c r="A2459" s="1099"/>
      <c r="B2459" s="948">
        <v>964.0</v>
      </c>
      <c r="C2459" s="1197" t="s">
        <v>4257</v>
      </c>
      <c r="D2459" s="1197" t="s">
        <v>4257</v>
      </c>
      <c r="E2459" s="1147" t="s">
        <v>4257</v>
      </c>
      <c r="F2459" s="940"/>
      <c r="G2459" s="953"/>
      <c r="H2459" s="969"/>
      <c r="I2459" s="998" t="s">
        <v>5551</v>
      </c>
      <c r="J2459" s="1222" t="s">
        <v>342</v>
      </c>
      <c r="K2459" s="1235" t="s">
        <v>216</v>
      </c>
      <c r="L2459" s="1200">
        <v>60.0</v>
      </c>
      <c r="M2459" s="1201">
        <v>60.0</v>
      </c>
      <c r="N2459" s="1201">
        <v>100.0</v>
      </c>
      <c r="O2459" s="1201">
        <v>35.0</v>
      </c>
      <c r="P2459" s="1201">
        <v>65.0</v>
      </c>
      <c r="Q2459" s="1201">
        <v>35.0</v>
      </c>
      <c r="R2459" s="960">
        <v>106.0</v>
      </c>
      <c r="S2459" s="960">
        <v>169.0</v>
      </c>
      <c r="T2459" s="960">
        <v>185.0</v>
      </c>
      <c r="U2459" s="960">
        <f t="array" ref="U2459">HLOOKUP($J2459,'Type Chart'!$C$2:$T$20,2,false)*HLOOKUP($K2459,'Type Chart'!$C$2:$U$20,2,false)</f>
        <v>0.5</v>
      </c>
      <c r="V2459" s="960">
        <f t="array" ref="V2459">HLOOKUP($J2459,'Type Chart'!$C$2:$T$20,3,false)*HLOOKUP($K2459,'Type Chart'!$C$2:$U$20,3,false)</f>
        <v>2</v>
      </c>
      <c r="W2459" s="960">
        <f t="array" ref="W2459">HLOOKUP($J2459,'Type Chart'!$C$2:$T$20,4,false)*HLOOKUP($K2459,'Type Chart'!$C$2:$U$20,4,false)</f>
        <v>0.5</v>
      </c>
      <c r="X2459" s="960">
        <f t="array" ref="X2459">HLOOKUP($J2459,'Type Chart'!$C$2:$T$20,5,false)*HLOOKUP($K2459,'Type Chart'!$C$2:$U$20,5,false)</f>
        <v>0.5</v>
      </c>
      <c r="Y2459" s="960">
        <f t="array" ref="Y2459">HLOOKUP($J2459,'Type Chart'!$C$2:$T$20,6,false)*HLOOKUP($K2459,'Type Chart'!$C$2:$U$20,6,false)</f>
        <v>2</v>
      </c>
      <c r="Z2459" s="960">
        <f t="array" ref="Z2459">HLOOKUP($J2459,'Type Chart'!$C$2:$T$20,7,false)*HLOOKUP($K2459,'Type Chart'!$C$2:$U$20,7,false)</f>
        <v>1</v>
      </c>
      <c r="AA2459" s="960">
        <f t="array" ref="AA2459">HLOOKUP($J2459,'Type Chart'!$C$2:$T$20,8,false)*HLOOKUP($K2459,'Type Chart'!$C$2:$U$20,8,false)</f>
        <v>1</v>
      </c>
      <c r="AB2459" s="960">
        <f t="array" ref="AB2459">HLOOKUP($J2459,'Type Chart'!$C$2:$T$20,9,false)*HLOOKUP($K2459,'Type Chart'!$C$2:$U$20,9,false)</f>
        <v>1</v>
      </c>
      <c r="AC2459" s="960">
        <f t="array" ref="AC2459">HLOOKUP($J2459,'Type Chart'!$C$2:$T$20,10,false)*HLOOKUP($K2459,'Type Chart'!$C$2:$U$20,10,false)</f>
        <v>2</v>
      </c>
      <c r="AD2459" s="960">
        <f t="array" ref="AD2459">HLOOKUP($J2459,'Type Chart'!$C$2:$T$20,11,false)*HLOOKUP($K2459,'Type Chart'!$C$2:$U$20,11,false)</f>
        <v>0.5</v>
      </c>
      <c r="AE2459" s="960">
        <f t="array" ref="AE2459">HLOOKUP($J2459,'Type Chart'!$C$2:$T$20,12,false)*HLOOKUP($K2459,'Type Chart'!$C$2:$U$20,12,false)</f>
        <v>2</v>
      </c>
      <c r="AF2459" s="960">
        <f t="array" ref="AF2459">HLOOKUP($J2459,'Type Chart'!$C$2:$T$20,13,false)*HLOOKUP($K2459,'Type Chart'!$C$2:$U$20,13,false)</f>
        <v>2</v>
      </c>
      <c r="AG2459" s="960">
        <f t="array" ref="AG2459">HLOOKUP($J2459,'Type Chart'!$C$2:$T$20,14,false)*HLOOKUP($K2459,'Type Chart'!$C$2:$U$20,14,false)</f>
        <v>1</v>
      </c>
      <c r="AH2459" s="960">
        <f t="array" ref="AH2459">HLOOKUP($J2459,'Type Chart'!$C$2:$T$20,15,false)*HLOOKUP($K2459,'Type Chart'!$C$2:$U$20,15,false)</f>
        <v>1</v>
      </c>
      <c r="AI2459" s="960">
        <f t="array" ref="AI2459">HLOOKUP($J2459,'Type Chart'!$C$2:$T$20,16,false)*HLOOKUP($K2459,'Type Chart'!$C$2:$U$20,16,false)</f>
        <v>1</v>
      </c>
      <c r="AJ2459" s="960">
        <f t="array" ref="AJ2459">HLOOKUP($J2459,'Type Chart'!$C$2:$T$20,17,false)*HLOOKUP($K2459,'Type Chart'!$C$2:$U$20,17,false)</f>
        <v>1</v>
      </c>
      <c r="AK2459" s="960">
        <f t="array" ref="AK2459">HLOOKUP($J2459,'Type Chart'!$C$2:$T$20,18,false)*HLOOKUP($K2459,'Type Chart'!$C$2:$U$20,18,false)</f>
        <v>1</v>
      </c>
      <c r="AL2459" s="960">
        <f t="array" ref="AL2459">HLOOKUP($J2459,'Type Chart'!$C$2:$T$20,19,false)*HLOOKUP($K2459,'Type Chart'!$C$2:$U$20,19,false)</f>
        <v>1</v>
      </c>
      <c r="AM2459" s="1145" t="s">
        <v>4256</v>
      </c>
      <c r="AN2459" s="1145" t="s">
        <v>1331</v>
      </c>
      <c r="AO2459" s="1146" t="s">
        <v>1324</v>
      </c>
      <c r="AP2459" s="936"/>
      <c r="AQ2459" s="1245"/>
      <c r="AR2459" s="1245"/>
      <c r="AS2459" s="936"/>
    </row>
    <row r="2460" ht="15.75" customHeight="1">
      <c r="A2460" s="1099"/>
      <c r="B2460" s="948">
        <v>965.0</v>
      </c>
      <c r="C2460" s="1197" t="s">
        <v>4258</v>
      </c>
      <c r="D2460" s="1197" t="s">
        <v>4258</v>
      </c>
      <c r="E2460" s="1147" t="s">
        <v>4258</v>
      </c>
      <c r="F2460" s="940"/>
      <c r="G2460" s="953"/>
      <c r="H2460" s="969"/>
      <c r="I2460" s="998" t="s">
        <v>5552</v>
      </c>
      <c r="J2460" s="1214" t="s">
        <v>342</v>
      </c>
      <c r="K2460" s="1235" t="s">
        <v>216</v>
      </c>
      <c r="L2460" s="959">
        <v>100.0</v>
      </c>
      <c r="M2460" s="960">
        <v>100.0</v>
      </c>
      <c r="N2460" s="960">
        <v>130.0</v>
      </c>
      <c r="O2460" s="960">
        <v>45.0</v>
      </c>
      <c r="P2460" s="960">
        <v>90.0</v>
      </c>
      <c r="Q2460" s="960">
        <v>35.0</v>
      </c>
      <c r="R2460" s="960">
        <v>106.0</v>
      </c>
      <c r="S2460" s="960">
        <v>169.0</v>
      </c>
      <c r="T2460" s="960">
        <v>185.0</v>
      </c>
      <c r="U2460" s="960">
        <f t="array" ref="U2460">HLOOKUP($J2460,'Type Chart'!$C$2:$T$20,2,false)*HLOOKUP($K2460,'Type Chart'!$C$2:$U$20,2,false)</f>
        <v>0.5</v>
      </c>
      <c r="V2460" s="960">
        <f t="array" ref="V2460">HLOOKUP($J2460,'Type Chart'!$C$2:$T$20,3,false)*HLOOKUP($K2460,'Type Chart'!$C$2:$U$20,3,false)</f>
        <v>2</v>
      </c>
      <c r="W2460" s="960">
        <f t="array" ref="W2460">HLOOKUP($J2460,'Type Chart'!$C$2:$T$20,4,false)*HLOOKUP($K2460,'Type Chart'!$C$2:$U$20,4,false)</f>
        <v>0.5</v>
      </c>
      <c r="X2460" s="960">
        <f t="array" ref="X2460">HLOOKUP($J2460,'Type Chart'!$C$2:$T$20,5,false)*HLOOKUP($K2460,'Type Chart'!$C$2:$U$20,5,false)</f>
        <v>0.5</v>
      </c>
      <c r="Y2460" s="960">
        <f t="array" ref="Y2460">HLOOKUP($J2460,'Type Chart'!$C$2:$T$20,6,false)*HLOOKUP($K2460,'Type Chart'!$C$2:$U$20,6,false)</f>
        <v>2</v>
      </c>
      <c r="Z2460" s="960">
        <f t="array" ref="Z2460">HLOOKUP($J2460,'Type Chart'!$C$2:$T$20,7,false)*HLOOKUP($K2460,'Type Chart'!$C$2:$U$20,7,false)</f>
        <v>1</v>
      </c>
      <c r="AA2460" s="960">
        <f t="array" ref="AA2460">HLOOKUP($J2460,'Type Chart'!$C$2:$T$20,8,false)*HLOOKUP($K2460,'Type Chart'!$C$2:$U$20,8,false)</f>
        <v>1</v>
      </c>
      <c r="AB2460" s="960">
        <f t="array" ref="AB2460">HLOOKUP($J2460,'Type Chart'!$C$2:$T$20,9,false)*HLOOKUP($K2460,'Type Chart'!$C$2:$U$20,9,false)</f>
        <v>1</v>
      </c>
      <c r="AC2460" s="960">
        <f t="array" ref="AC2460">HLOOKUP($J2460,'Type Chart'!$C$2:$T$20,10,false)*HLOOKUP($K2460,'Type Chart'!$C$2:$U$20,10,false)</f>
        <v>2</v>
      </c>
      <c r="AD2460" s="960">
        <f t="array" ref="AD2460">HLOOKUP($J2460,'Type Chart'!$C$2:$T$20,11,false)*HLOOKUP($K2460,'Type Chart'!$C$2:$U$20,11,false)</f>
        <v>0.5</v>
      </c>
      <c r="AE2460" s="960">
        <f t="array" ref="AE2460">HLOOKUP($J2460,'Type Chart'!$C$2:$T$20,12,false)*HLOOKUP($K2460,'Type Chart'!$C$2:$U$20,12,false)</f>
        <v>2</v>
      </c>
      <c r="AF2460" s="960">
        <f t="array" ref="AF2460">HLOOKUP($J2460,'Type Chart'!$C$2:$T$20,13,false)*HLOOKUP($K2460,'Type Chart'!$C$2:$U$20,13,false)</f>
        <v>2</v>
      </c>
      <c r="AG2460" s="960">
        <f t="array" ref="AG2460">HLOOKUP($J2460,'Type Chart'!$C$2:$T$20,14,false)*HLOOKUP($K2460,'Type Chart'!$C$2:$U$20,14,false)</f>
        <v>1</v>
      </c>
      <c r="AH2460" s="960">
        <f t="array" ref="AH2460">HLOOKUP($J2460,'Type Chart'!$C$2:$T$20,15,false)*HLOOKUP($K2460,'Type Chart'!$C$2:$U$20,15,false)</f>
        <v>1</v>
      </c>
      <c r="AI2460" s="960">
        <f t="array" ref="AI2460">HLOOKUP($J2460,'Type Chart'!$C$2:$T$20,16,false)*HLOOKUP($K2460,'Type Chart'!$C$2:$U$20,16,false)</f>
        <v>1</v>
      </c>
      <c r="AJ2460" s="960">
        <f t="array" ref="AJ2460">HLOOKUP($J2460,'Type Chart'!$C$2:$T$20,17,false)*HLOOKUP($K2460,'Type Chart'!$C$2:$U$20,17,false)</f>
        <v>1</v>
      </c>
      <c r="AK2460" s="960">
        <f t="array" ref="AK2460">HLOOKUP($J2460,'Type Chart'!$C$2:$T$20,18,false)*HLOOKUP($K2460,'Type Chart'!$C$2:$U$20,18,false)</f>
        <v>1</v>
      </c>
      <c r="AL2460" s="960">
        <f t="array" ref="AL2460">HLOOKUP($J2460,'Type Chart'!$C$2:$T$20,19,false)*HLOOKUP($K2460,'Type Chart'!$C$2:$U$20,19,false)</f>
        <v>1</v>
      </c>
      <c r="AM2460" s="964" t="s">
        <v>4256</v>
      </c>
      <c r="AN2460" s="964" t="s">
        <v>1331</v>
      </c>
      <c r="AO2460" s="966" t="s">
        <v>1324</v>
      </c>
      <c r="AP2460" s="936"/>
      <c r="AQ2460" s="1245"/>
      <c r="AR2460" s="1245"/>
      <c r="AS2460" s="936"/>
    </row>
    <row r="2461" ht="15.75" customHeight="1">
      <c r="A2461" s="1099"/>
      <c r="B2461" s="948">
        <v>966.0</v>
      </c>
      <c r="C2461" s="1197" t="s">
        <v>4259</v>
      </c>
      <c r="D2461" s="1197" t="s">
        <v>4259</v>
      </c>
      <c r="E2461" s="1147" t="s">
        <v>4259</v>
      </c>
      <c r="F2461" s="940"/>
      <c r="G2461" s="953"/>
      <c r="H2461" s="969"/>
      <c r="I2461" s="998" t="s">
        <v>5553</v>
      </c>
      <c r="J2461" s="1214" t="s">
        <v>342</v>
      </c>
      <c r="K2461" s="958" t="s">
        <v>178</v>
      </c>
      <c r="L2461" s="959">
        <v>48.0</v>
      </c>
      <c r="M2461" s="960">
        <v>35.0</v>
      </c>
      <c r="N2461" s="960">
        <v>42.0</v>
      </c>
      <c r="O2461" s="960">
        <v>105.0</v>
      </c>
      <c r="P2461" s="960">
        <v>60.0</v>
      </c>
      <c r="Q2461" s="960">
        <v>60.0</v>
      </c>
      <c r="R2461" s="960">
        <v>156.0</v>
      </c>
      <c r="S2461" s="960">
        <v>219.0</v>
      </c>
      <c r="T2461" s="960">
        <v>240.0</v>
      </c>
      <c r="U2461" s="960">
        <f t="array" ref="U2461">HLOOKUP($J2461,'Type Chart'!$C$2:$T$20,2,false)*HLOOKUP($K2461,'Type Chart'!$C$2:$U$20,2,false)</f>
        <v>0.5</v>
      </c>
      <c r="V2461" s="960">
        <f t="array" ref="V2461">HLOOKUP($J2461,'Type Chart'!$C$2:$T$20,3,false)*HLOOKUP($K2461,'Type Chart'!$C$2:$U$20,3,false)</f>
        <v>1</v>
      </c>
      <c r="W2461" s="960">
        <f t="array" ref="W2461">HLOOKUP($J2461,'Type Chart'!$C$2:$T$20,4,false)*HLOOKUP($K2461,'Type Chart'!$C$2:$U$20,4,false)</f>
        <v>0.5</v>
      </c>
      <c r="X2461" s="960">
        <f t="array" ref="X2461">HLOOKUP($J2461,'Type Chart'!$C$2:$T$20,5,false)*HLOOKUP($K2461,'Type Chart'!$C$2:$U$20,5,false)</f>
        <v>0.25</v>
      </c>
      <c r="Y2461" s="960">
        <f t="array" ref="Y2461">HLOOKUP($J2461,'Type Chart'!$C$2:$T$20,6,false)*HLOOKUP($K2461,'Type Chart'!$C$2:$U$20,6,false)</f>
        <v>4</v>
      </c>
      <c r="Z2461" s="960">
        <f t="array" ref="Z2461">HLOOKUP($J2461,'Type Chart'!$C$2:$T$20,7,false)*HLOOKUP($K2461,'Type Chart'!$C$2:$U$20,7,false)</f>
        <v>1</v>
      </c>
      <c r="AA2461" s="960">
        <f t="array" ref="AA2461">HLOOKUP($J2461,'Type Chart'!$C$2:$T$20,8,false)*HLOOKUP($K2461,'Type Chart'!$C$2:$U$20,8,false)</f>
        <v>0.5</v>
      </c>
      <c r="AB2461" s="960">
        <f t="array" ref="AB2461">HLOOKUP($J2461,'Type Chart'!$C$2:$T$20,9,false)*HLOOKUP($K2461,'Type Chart'!$C$2:$U$20,9,false)</f>
        <v>1</v>
      </c>
      <c r="AC2461" s="960">
        <f t="array" ref="AC2461">HLOOKUP($J2461,'Type Chart'!$C$2:$T$20,10,false)*HLOOKUP($K2461,'Type Chart'!$C$2:$U$20,10,false)</f>
        <v>2</v>
      </c>
      <c r="AD2461" s="960">
        <f t="array" ref="AD2461">HLOOKUP($J2461,'Type Chart'!$C$2:$T$20,11,false)*HLOOKUP($K2461,'Type Chart'!$C$2:$U$20,11,false)</f>
        <v>0.5</v>
      </c>
      <c r="AE2461" s="960">
        <f t="array" ref="AE2461">HLOOKUP($J2461,'Type Chart'!$C$2:$T$20,12,false)*HLOOKUP($K2461,'Type Chart'!$C$2:$U$20,12,false)</f>
        <v>2</v>
      </c>
      <c r="AF2461" s="960">
        <f t="array" ref="AF2461">HLOOKUP($J2461,'Type Chart'!$C$2:$T$20,13,false)*HLOOKUP($K2461,'Type Chart'!$C$2:$U$20,13,false)</f>
        <v>1</v>
      </c>
      <c r="AG2461" s="960">
        <f t="array" ref="AG2461">HLOOKUP($J2461,'Type Chart'!$C$2:$T$20,14,false)*HLOOKUP($K2461,'Type Chart'!$C$2:$U$20,14,false)</f>
        <v>1</v>
      </c>
      <c r="AH2461" s="960">
        <f t="array" ref="AH2461">HLOOKUP($J2461,'Type Chart'!$C$2:$T$20,15,false)*HLOOKUP($K2461,'Type Chart'!$C$2:$U$20,15,false)</f>
        <v>2</v>
      </c>
      <c r="AI2461" s="960">
        <f t="array" ref="AI2461">HLOOKUP($J2461,'Type Chart'!$C$2:$T$20,16,false)*HLOOKUP($K2461,'Type Chart'!$C$2:$U$20,16,false)</f>
        <v>1</v>
      </c>
      <c r="AJ2461" s="960">
        <f t="array" ref="AJ2461">HLOOKUP($J2461,'Type Chart'!$C$2:$T$20,17,false)*HLOOKUP($K2461,'Type Chart'!$C$2:$U$20,17,false)</f>
        <v>1</v>
      </c>
      <c r="AK2461" s="960">
        <f t="array" ref="AK2461">HLOOKUP($J2461,'Type Chart'!$C$2:$T$20,18,false)*HLOOKUP($K2461,'Type Chart'!$C$2:$U$20,18,false)</f>
        <v>1</v>
      </c>
      <c r="AL2461" s="960">
        <f t="array" ref="AL2461">HLOOKUP($J2461,'Type Chart'!$C$2:$T$20,19,false)*HLOOKUP($K2461,'Type Chart'!$C$2:$U$20,19,false)</f>
        <v>0.5</v>
      </c>
      <c r="AM2461" s="964" t="s">
        <v>4260</v>
      </c>
      <c r="AN2461" s="964"/>
      <c r="AO2461" s="966" t="s">
        <v>3627</v>
      </c>
      <c r="AP2461" s="936"/>
      <c r="AQ2461" s="1245"/>
      <c r="AR2461" s="1245"/>
      <c r="AS2461" s="936"/>
    </row>
    <row r="2462" ht="15.75" customHeight="1">
      <c r="A2462" s="1099"/>
      <c r="B2462" s="948">
        <v>967.0</v>
      </c>
      <c r="C2462" s="1197" t="s">
        <v>4261</v>
      </c>
      <c r="D2462" s="1197" t="s">
        <v>4261</v>
      </c>
      <c r="E2462" s="1147" t="s">
        <v>4261</v>
      </c>
      <c r="F2462" s="940"/>
      <c r="G2462" s="953"/>
      <c r="H2462" s="969"/>
      <c r="I2462" s="998" t="s">
        <v>5554</v>
      </c>
      <c r="J2462" s="1214" t="s">
        <v>342</v>
      </c>
      <c r="K2462" s="958" t="s">
        <v>178</v>
      </c>
      <c r="L2462" s="959">
        <v>83.0</v>
      </c>
      <c r="M2462" s="960">
        <v>55.0</v>
      </c>
      <c r="N2462" s="960">
        <v>90.0</v>
      </c>
      <c r="O2462" s="960">
        <v>130.0</v>
      </c>
      <c r="P2462" s="960">
        <v>81.0</v>
      </c>
      <c r="Q2462" s="960">
        <v>86.0</v>
      </c>
      <c r="R2462" s="960">
        <v>208.0</v>
      </c>
      <c r="S2462" s="960">
        <v>271.0</v>
      </c>
      <c r="T2462" s="960">
        <v>298.0</v>
      </c>
      <c r="U2462" s="960">
        <f t="array" ref="U2462">HLOOKUP($J2462,'Type Chart'!$C$2:$T$20,2,false)*HLOOKUP($K2462,'Type Chart'!$C$2:$U$20,2,false)</f>
        <v>0.5</v>
      </c>
      <c r="V2462" s="960">
        <f t="array" ref="V2462">HLOOKUP($J2462,'Type Chart'!$C$2:$T$20,3,false)*HLOOKUP($K2462,'Type Chart'!$C$2:$U$20,3,false)</f>
        <v>1</v>
      </c>
      <c r="W2462" s="960">
        <f t="array" ref="W2462">HLOOKUP($J2462,'Type Chart'!$C$2:$T$20,4,false)*HLOOKUP($K2462,'Type Chart'!$C$2:$U$20,4,false)</f>
        <v>0.5</v>
      </c>
      <c r="X2462" s="960">
        <f t="array" ref="X2462">HLOOKUP($J2462,'Type Chart'!$C$2:$T$20,5,false)*HLOOKUP($K2462,'Type Chart'!$C$2:$U$20,5,false)</f>
        <v>0.25</v>
      </c>
      <c r="Y2462" s="960">
        <f t="array" ref="Y2462">HLOOKUP($J2462,'Type Chart'!$C$2:$T$20,6,false)*HLOOKUP($K2462,'Type Chart'!$C$2:$U$20,6,false)</f>
        <v>4</v>
      </c>
      <c r="Z2462" s="960">
        <f t="array" ref="Z2462">HLOOKUP($J2462,'Type Chart'!$C$2:$T$20,7,false)*HLOOKUP($K2462,'Type Chart'!$C$2:$U$20,7,false)</f>
        <v>1</v>
      </c>
      <c r="AA2462" s="960">
        <f t="array" ref="AA2462">HLOOKUP($J2462,'Type Chart'!$C$2:$T$20,8,false)*HLOOKUP($K2462,'Type Chart'!$C$2:$U$20,8,false)</f>
        <v>0.5</v>
      </c>
      <c r="AB2462" s="960">
        <f t="array" ref="AB2462">HLOOKUP($J2462,'Type Chart'!$C$2:$T$20,9,false)*HLOOKUP($K2462,'Type Chart'!$C$2:$U$20,9,false)</f>
        <v>1</v>
      </c>
      <c r="AC2462" s="960">
        <f t="array" ref="AC2462">HLOOKUP($J2462,'Type Chart'!$C$2:$T$20,10,false)*HLOOKUP($K2462,'Type Chart'!$C$2:$U$20,10,false)</f>
        <v>2</v>
      </c>
      <c r="AD2462" s="960">
        <f t="array" ref="AD2462">HLOOKUP($J2462,'Type Chart'!$C$2:$T$20,11,false)*HLOOKUP($K2462,'Type Chart'!$C$2:$U$20,11,false)</f>
        <v>0.5</v>
      </c>
      <c r="AE2462" s="960">
        <f t="array" ref="AE2462">HLOOKUP($J2462,'Type Chart'!$C$2:$T$20,12,false)*HLOOKUP($K2462,'Type Chart'!$C$2:$U$20,12,false)</f>
        <v>2</v>
      </c>
      <c r="AF2462" s="960">
        <f t="array" ref="AF2462">HLOOKUP($J2462,'Type Chart'!$C$2:$T$20,13,false)*HLOOKUP($K2462,'Type Chart'!$C$2:$U$20,13,false)</f>
        <v>1</v>
      </c>
      <c r="AG2462" s="960">
        <f t="array" ref="AG2462">HLOOKUP($J2462,'Type Chart'!$C$2:$T$20,14,false)*HLOOKUP($K2462,'Type Chart'!$C$2:$U$20,14,false)</f>
        <v>1</v>
      </c>
      <c r="AH2462" s="960">
        <f t="array" ref="AH2462">HLOOKUP($J2462,'Type Chart'!$C$2:$T$20,15,false)*HLOOKUP($K2462,'Type Chart'!$C$2:$U$20,15,false)</f>
        <v>2</v>
      </c>
      <c r="AI2462" s="960">
        <f t="array" ref="AI2462">HLOOKUP($J2462,'Type Chart'!$C$2:$T$20,16,false)*HLOOKUP($K2462,'Type Chart'!$C$2:$U$20,16,false)</f>
        <v>1</v>
      </c>
      <c r="AJ2462" s="960">
        <f t="array" ref="AJ2462">HLOOKUP($J2462,'Type Chart'!$C$2:$T$20,17,false)*HLOOKUP($K2462,'Type Chart'!$C$2:$U$20,17,false)</f>
        <v>1</v>
      </c>
      <c r="AK2462" s="960">
        <f t="array" ref="AK2462">HLOOKUP($J2462,'Type Chart'!$C$2:$T$20,18,false)*HLOOKUP($K2462,'Type Chart'!$C$2:$U$20,18,false)</f>
        <v>1</v>
      </c>
      <c r="AL2462" s="960">
        <f t="array" ref="AL2462">HLOOKUP($J2462,'Type Chart'!$C$2:$T$20,19,false)*HLOOKUP($K2462,'Type Chart'!$C$2:$U$20,19,false)</f>
        <v>0.5</v>
      </c>
      <c r="AM2462" s="964" t="s">
        <v>4260</v>
      </c>
      <c r="AN2462" s="964"/>
      <c r="AO2462" s="966" t="s">
        <v>3627</v>
      </c>
      <c r="AP2462" s="936"/>
      <c r="AQ2462" s="1245"/>
      <c r="AR2462" s="1245"/>
      <c r="AS2462" s="936"/>
    </row>
    <row r="2463" ht="15.75" customHeight="1">
      <c r="A2463" s="1099"/>
      <c r="B2463" s="948">
        <v>968.0</v>
      </c>
      <c r="C2463" s="1197" t="s">
        <v>4262</v>
      </c>
      <c r="D2463" s="1197" t="s">
        <v>4262</v>
      </c>
      <c r="E2463" s="1147" t="s">
        <v>4262</v>
      </c>
      <c r="F2463" s="940"/>
      <c r="G2463" s="953"/>
      <c r="H2463" s="969"/>
      <c r="I2463" s="998" t="s">
        <v>5555</v>
      </c>
      <c r="J2463" s="958" t="s">
        <v>178</v>
      </c>
      <c r="K2463" s="1194" t="s">
        <v>136</v>
      </c>
      <c r="L2463" s="959">
        <v>40.0</v>
      </c>
      <c r="M2463" s="960">
        <v>65.0</v>
      </c>
      <c r="N2463" s="960">
        <v>35.0</v>
      </c>
      <c r="O2463" s="960">
        <v>40.0</v>
      </c>
      <c r="P2463" s="960">
        <v>35.0</v>
      </c>
      <c r="Q2463" s="960">
        <v>75.0</v>
      </c>
      <c r="R2463" s="960">
        <v>186.0</v>
      </c>
      <c r="S2463" s="960">
        <v>249.0</v>
      </c>
      <c r="T2463" s="960">
        <v>273.0</v>
      </c>
      <c r="U2463" s="960">
        <f t="array" ref="U2463">HLOOKUP($J2463,'Type Chart'!$C$2:$T$20,2,false)*HLOOKUP($K2463,'Type Chart'!$C$2:$U$20,2,false)</f>
        <v>1</v>
      </c>
      <c r="V2463" s="960">
        <f t="array" ref="V2463">HLOOKUP($J2463,'Type Chart'!$C$2:$T$20,3,false)*HLOOKUP($K2463,'Type Chart'!$C$2:$U$20,3,false)</f>
        <v>1</v>
      </c>
      <c r="W2463" s="960">
        <f t="array" ref="W2463">HLOOKUP($J2463,'Type Chart'!$C$2:$T$20,4,false)*HLOOKUP($K2463,'Type Chart'!$C$2:$U$20,4,false)</f>
        <v>1</v>
      </c>
      <c r="X2463" s="960">
        <f t="array" ref="X2463">HLOOKUP($J2463,'Type Chart'!$C$2:$T$20,5,false)*HLOOKUP($K2463,'Type Chart'!$C$2:$U$20,5,false)</f>
        <v>0.5</v>
      </c>
      <c r="Y2463" s="960">
        <f t="array" ref="Y2463">HLOOKUP($J2463,'Type Chart'!$C$2:$T$20,6,false)*HLOOKUP($K2463,'Type Chart'!$C$2:$U$20,6,false)</f>
        <v>2</v>
      </c>
      <c r="Z2463" s="960">
        <f t="array" ref="Z2463">HLOOKUP($J2463,'Type Chart'!$C$2:$T$20,7,false)*HLOOKUP($K2463,'Type Chart'!$C$2:$U$20,7,false)</f>
        <v>1</v>
      </c>
      <c r="AA2463" s="960">
        <f t="array" ref="AA2463">HLOOKUP($J2463,'Type Chart'!$C$2:$T$20,8,false)*HLOOKUP($K2463,'Type Chart'!$C$2:$U$20,8,false)</f>
        <v>0.5</v>
      </c>
      <c r="AB2463" s="960">
        <f t="array" ref="AB2463">HLOOKUP($J2463,'Type Chart'!$C$2:$T$20,9,false)*HLOOKUP($K2463,'Type Chart'!$C$2:$U$20,9,false)</f>
        <v>0</v>
      </c>
      <c r="AC2463" s="960">
        <f t="array" ref="AC2463">HLOOKUP($J2463,'Type Chart'!$C$2:$T$20,10,false)*HLOOKUP($K2463,'Type Chart'!$C$2:$U$20,10,false)</f>
        <v>1</v>
      </c>
      <c r="AD2463" s="960">
        <f t="array" ref="AD2463">HLOOKUP($J2463,'Type Chart'!$C$2:$T$20,11,false)*HLOOKUP($K2463,'Type Chart'!$C$2:$U$20,11,false)</f>
        <v>1</v>
      </c>
      <c r="AE2463" s="960">
        <f t="array" ref="AE2463">HLOOKUP($J2463,'Type Chart'!$C$2:$T$20,12,false)*HLOOKUP($K2463,'Type Chart'!$C$2:$U$20,12,false)</f>
        <v>1</v>
      </c>
      <c r="AF2463" s="960">
        <f t="array" ref="AF2463">HLOOKUP($J2463,'Type Chart'!$C$2:$T$20,13,false)*HLOOKUP($K2463,'Type Chart'!$C$2:$U$20,13,false)</f>
        <v>0.5</v>
      </c>
      <c r="AG2463" s="960">
        <f t="array" ref="AG2463">HLOOKUP($J2463,'Type Chart'!$C$2:$T$20,14,false)*HLOOKUP($K2463,'Type Chart'!$C$2:$U$20,14,false)</f>
        <v>1</v>
      </c>
      <c r="AH2463" s="960">
        <f t="array" ref="AH2463">HLOOKUP($J2463,'Type Chart'!$C$2:$T$20,15,false)*HLOOKUP($K2463,'Type Chart'!$C$2:$U$20,15,false)</f>
        <v>2</v>
      </c>
      <c r="AI2463" s="960">
        <f t="array" ref="AI2463">HLOOKUP($J2463,'Type Chart'!$C$2:$T$20,16,false)*HLOOKUP($K2463,'Type Chart'!$C$2:$U$20,16,false)</f>
        <v>1</v>
      </c>
      <c r="AJ2463" s="960">
        <f t="array" ref="AJ2463">HLOOKUP($J2463,'Type Chart'!$C$2:$T$20,17,false)*HLOOKUP($K2463,'Type Chart'!$C$2:$U$20,17,false)</f>
        <v>1</v>
      </c>
      <c r="AK2463" s="960">
        <f t="array" ref="AK2463">HLOOKUP($J2463,'Type Chart'!$C$2:$T$20,18,false)*HLOOKUP($K2463,'Type Chart'!$C$2:$U$20,18,false)</f>
        <v>1</v>
      </c>
      <c r="AL2463" s="960">
        <f t="array" ref="AL2463">HLOOKUP($J2463,'Type Chart'!$C$2:$T$20,19,false)*HLOOKUP($K2463,'Type Chart'!$C$2:$U$20,19,false)</f>
        <v>0.5</v>
      </c>
      <c r="AM2463" s="964" t="s">
        <v>1498</v>
      </c>
      <c r="AN2463" s="964" t="s">
        <v>1869</v>
      </c>
      <c r="AO2463" s="966" t="s">
        <v>1813</v>
      </c>
      <c r="AP2463" s="936"/>
      <c r="AQ2463" s="1245"/>
      <c r="AR2463" s="1245"/>
      <c r="AS2463" s="936"/>
    </row>
    <row r="2464" ht="15.75" customHeight="1">
      <c r="A2464" s="1099"/>
      <c r="B2464" s="948">
        <v>969.0</v>
      </c>
      <c r="C2464" s="1197" t="s">
        <v>4264</v>
      </c>
      <c r="D2464" s="1197" t="s">
        <v>4264</v>
      </c>
      <c r="E2464" s="1147" t="s">
        <v>4264</v>
      </c>
      <c r="F2464" s="940"/>
      <c r="G2464" s="953"/>
      <c r="H2464" s="969"/>
      <c r="I2464" s="998" t="s">
        <v>5556</v>
      </c>
      <c r="J2464" s="1209" t="s">
        <v>178</v>
      </c>
      <c r="K2464" s="1216" t="s">
        <v>136</v>
      </c>
      <c r="L2464" s="1200">
        <v>63.0</v>
      </c>
      <c r="M2464" s="1201">
        <v>95.0</v>
      </c>
      <c r="N2464" s="1201">
        <v>65.0</v>
      </c>
      <c r="O2464" s="1201">
        <v>80.0</v>
      </c>
      <c r="P2464" s="1201">
        <v>72.0</v>
      </c>
      <c r="Q2464" s="1201">
        <v>110.0</v>
      </c>
      <c r="R2464" s="960">
        <v>256.0</v>
      </c>
      <c r="S2464" s="960">
        <v>319.0</v>
      </c>
      <c r="T2464" s="960">
        <v>350.0</v>
      </c>
      <c r="U2464" s="960">
        <f t="array" ref="U2464">HLOOKUP($J2464,'Type Chart'!$C$2:$T$20,2,false)*HLOOKUP($K2464,'Type Chart'!$C$2:$U$20,2,false)</f>
        <v>1</v>
      </c>
      <c r="V2464" s="960">
        <f t="array" ref="V2464">HLOOKUP($J2464,'Type Chart'!$C$2:$T$20,3,false)*HLOOKUP($K2464,'Type Chart'!$C$2:$U$20,3,false)</f>
        <v>1</v>
      </c>
      <c r="W2464" s="960">
        <f t="array" ref="W2464">HLOOKUP($J2464,'Type Chart'!$C$2:$T$20,4,false)*HLOOKUP($K2464,'Type Chart'!$C$2:$U$20,4,false)</f>
        <v>1</v>
      </c>
      <c r="X2464" s="960">
        <f t="array" ref="X2464">HLOOKUP($J2464,'Type Chart'!$C$2:$T$20,5,false)*HLOOKUP($K2464,'Type Chart'!$C$2:$U$20,5,false)</f>
        <v>0.5</v>
      </c>
      <c r="Y2464" s="960">
        <f t="array" ref="Y2464">HLOOKUP($J2464,'Type Chart'!$C$2:$T$20,6,false)*HLOOKUP($K2464,'Type Chart'!$C$2:$U$20,6,false)</f>
        <v>2</v>
      </c>
      <c r="Z2464" s="960">
        <f t="array" ref="Z2464">HLOOKUP($J2464,'Type Chart'!$C$2:$T$20,7,false)*HLOOKUP($K2464,'Type Chart'!$C$2:$U$20,7,false)</f>
        <v>1</v>
      </c>
      <c r="AA2464" s="960">
        <f t="array" ref="AA2464">HLOOKUP($J2464,'Type Chart'!$C$2:$T$20,8,false)*HLOOKUP($K2464,'Type Chart'!$C$2:$U$20,8,false)</f>
        <v>0.5</v>
      </c>
      <c r="AB2464" s="960">
        <f t="array" ref="AB2464">HLOOKUP($J2464,'Type Chart'!$C$2:$T$20,9,false)*HLOOKUP($K2464,'Type Chart'!$C$2:$U$20,9,false)</f>
        <v>0</v>
      </c>
      <c r="AC2464" s="960">
        <f t="array" ref="AC2464">HLOOKUP($J2464,'Type Chart'!$C$2:$T$20,10,false)*HLOOKUP($K2464,'Type Chart'!$C$2:$U$20,10,false)</f>
        <v>1</v>
      </c>
      <c r="AD2464" s="960">
        <f t="array" ref="AD2464">HLOOKUP($J2464,'Type Chart'!$C$2:$T$20,11,false)*HLOOKUP($K2464,'Type Chart'!$C$2:$U$20,11,false)</f>
        <v>1</v>
      </c>
      <c r="AE2464" s="960">
        <f t="array" ref="AE2464">HLOOKUP($J2464,'Type Chart'!$C$2:$T$20,12,false)*HLOOKUP($K2464,'Type Chart'!$C$2:$U$20,12,false)</f>
        <v>1</v>
      </c>
      <c r="AF2464" s="960">
        <f t="array" ref="AF2464">HLOOKUP($J2464,'Type Chart'!$C$2:$T$20,13,false)*HLOOKUP($K2464,'Type Chart'!$C$2:$U$20,13,false)</f>
        <v>0.5</v>
      </c>
      <c r="AG2464" s="960">
        <f t="array" ref="AG2464">HLOOKUP($J2464,'Type Chart'!$C$2:$T$20,14,false)*HLOOKUP($K2464,'Type Chart'!$C$2:$U$20,14,false)</f>
        <v>1</v>
      </c>
      <c r="AH2464" s="960">
        <f t="array" ref="AH2464">HLOOKUP($J2464,'Type Chart'!$C$2:$T$20,15,false)*HLOOKUP($K2464,'Type Chart'!$C$2:$U$20,15,false)</f>
        <v>2</v>
      </c>
      <c r="AI2464" s="960">
        <f t="array" ref="AI2464">HLOOKUP($J2464,'Type Chart'!$C$2:$T$20,16,false)*HLOOKUP($K2464,'Type Chart'!$C$2:$U$20,16,false)</f>
        <v>1</v>
      </c>
      <c r="AJ2464" s="960">
        <f t="array" ref="AJ2464">HLOOKUP($J2464,'Type Chart'!$C$2:$T$20,17,false)*HLOOKUP($K2464,'Type Chart'!$C$2:$U$20,17,false)</f>
        <v>1</v>
      </c>
      <c r="AK2464" s="960">
        <f t="array" ref="AK2464">HLOOKUP($J2464,'Type Chart'!$C$2:$T$20,18,false)*HLOOKUP($K2464,'Type Chart'!$C$2:$U$20,18,false)</f>
        <v>1</v>
      </c>
      <c r="AL2464" s="960">
        <f t="array" ref="AL2464">HLOOKUP($J2464,'Type Chart'!$C$2:$T$20,19,false)*HLOOKUP($K2464,'Type Chart'!$C$2:$U$20,19,false)</f>
        <v>0.5</v>
      </c>
      <c r="AM2464" s="1145" t="s">
        <v>1498</v>
      </c>
      <c r="AN2464" s="964" t="s">
        <v>1417</v>
      </c>
      <c r="AO2464" s="966" t="s">
        <v>1813</v>
      </c>
      <c r="AP2464" s="936"/>
      <c r="AQ2464" s="1245"/>
      <c r="AR2464" s="1245"/>
      <c r="AS2464" s="936"/>
    </row>
    <row r="2465" ht="15.75" customHeight="1">
      <c r="A2465" s="1099"/>
      <c r="B2465" s="948">
        <v>970.0</v>
      </c>
      <c r="C2465" s="1197" t="s">
        <v>4265</v>
      </c>
      <c r="D2465" s="1197" t="s">
        <v>4265</v>
      </c>
      <c r="E2465" s="1147" t="s">
        <v>4265</v>
      </c>
      <c r="F2465" s="940"/>
      <c r="G2465" s="953"/>
      <c r="H2465" s="969"/>
      <c r="I2465" s="998" t="s">
        <v>5557</v>
      </c>
      <c r="J2465" s="1207" t="s">
        <v>127</v>
      </c>
      <c r="K2465" s="1235" t="s">
        <v>216</v>
      </c>
      <c r="L2465" s="959">
        <v>37.0</v>
      </c>
      <c r="M2465" s="960">
        <v>55.0</v>
      </c>
      <c r="N2465" s="960">
        <v>70.0</v>
      </c>
      <c r="O2465" s="960">
        <v>30.0</v>
      </c>
      <c r="P2465" s="960">
        <v>55.0</v>
      </c>
      <c r="Q2465" s="960">
        <v>65.0</v>
      </c>
      <c r="R2465" s="960">
        <v>166.0</v>
      </c>
      <c r="S2465" s="960">
        <v>229.0</v>
      </c>
      <c r="T2465" s="960">
        <v>251.0</v>
      </c>
      <c r="U2465" s="960">
        <f t="array" ref="U2465">HLOOKUP($J2465,'Type Chart'!$C$2:$T$20,2,false)*HLOOKUP($K2465,'Type Chart'!$C$2:$U$20,2,false)</f>
        <v>1</v>
      </c>
      <c r="V2465" s="960">
        <f t="array" ref="V2465">HLOOKUP($J2465,'Type Chart'!$C$2:$T$20,3,false)*HLOOKUP($K2465,'Type Chart'!$C$2:$U$20,3,false)</f>
        <v>0.5</v>
      </c>
      <c r="W2465" s="960">
        <f t="array" ref="W2465">HLOOKUP($J2465,'Type Chart'!$C$2:$T$20,4,false)*HLOOKUP($K2465,'Type Chart'!$C$2:$U$20,4,false)</f>
        <v>1</v>
      </c>
      <c r="X2465" s="960">
        <f t="array" ref="X2465">HLOOKUP($J2465,'Type Chart'!$C$2:$T$20,5,false)*HLOOKUP($K2465,'Type Chart'!$C$2:$U$20,5,false)</f>
        <v>2</v>
      </c>
      <c r="Y2465" s="960">
        <f t="array" ref="Y2465">HLOOKUP($J2465,'Type Chart'!$C$2:$T$20,6,false)*HLOOKUP($K2465,'Type Chart'!$C$2:$U$20,6,false)</f>
        <v>1</v>
      </c>
      <c r="Z2465" s="960">
        <f t="array" ref="Z2465">HLOOKUP($J2465,'Type Chart'!$C$2:$T$20,7,false)*HLOOKUP($K2465,'Type Chart'!$C$2:$U$20,7,false)</f>
        <v>1</v>
      </c>
      <c r="AA2465" s="960">
        <f t="array" ref="AA2465">HLOOKUP($J2465,'Type Chart'!$C$2:$T$20,8,false)*HLOOKUP($K2465,'Type Chart'!$C$2:$U$20,8,false)</f>
        <v>0.5</v>
      </c>
      <c r="AB2465" s="960">
        <f t="array" ref="AB2465">HLOOKUP($J2465,'Type Chart'!$C$2:$T$20,9,false)*HLOOKUP($K2465,'Type Chart'!$C$2:$U$20,9,false)</f>
        <v>1</v>
      </c>
      <c r="AC2465" s="960">
        <f t="array" ref="AC2465">HLOOKUP($J2465,'Type Chart'!$C$2:$T$20,10,false)*HLOOKUP($K2465,'Type Chart'!$C$2:$U$20,10,false)</f>
        <v>2</v>
      </c>
      <c r="AD2465" s="960">
        <f t="array" ref="AD2465">HLOOKUP($J2465,'Type Chart'!$C$2:$T$20,11,false)*HLOOKUP($K2465,'Type Chart'!$C$2:$U$20,11,false)</f>
        <v>1</v>
      </c>
      <c r="AE2465" s="960">
        <f t="array" ref="AE2465">HLOOKUP($J2465,'Type Chart'!$C$2:$T$20,12,false)*HLOOKUP($K2465,'Type Chart'!$C$2:$U$20,12,false)</f>
        <v>1</v>
      </c>
      <c r="AF2465" s="960">
        <f t="array" ref="AF2465">HLOOKUP($J2465,'Type Chart'!$C$2:$T$20,13,false)*HLOOKUP($K2465,'Type Chart'!$C$2:$U$20,13,false)</f>
        <v>1</v>
      </c>
      <c r="AG2465" s="960">
        <f t="array" ref="AG2465">HLOOKUP($J2465,'Type Chart'!$C$2:$T$20,14,false)*HLOOKUP($K2465,'Type Chart'!$C$2:$U$20,14,false)</f>
        <v>1</v>
      </c>
      <c r="AH2465" s="960">
        <f t="array" ref="AH2465">HLOOKUP($J2465,'Type Chart'!$C$2:$T$20,15,false)*HLOOKUP($K2465,'Type Chart'!$C$2:$U$20,15,false)</f>
        <v>1</v>
      </c>
      <c r="AI2465" s="960">
        <f t="array" ref="AI2465">HLOOKUP($J2465,'Type Chart'!$C$2:$T$20,16,false)*HLOOKUP($K2465,'Type Chart'!$C$2:$U$20,16,false)</f>
        <v>1</v>
      </c>
      <c r="AJ2465" s="960">
        <f t="array" ref="AJ2465">HLOOKUP($J2465,'Type Chart'!$C$2:$T$20,17,false)*HLOOKUP($K2465,'Type Chart'!$C$2:$U$20,17,false)</f>
        <v>0</v>
      </c>
      <c r="AK2465" s="960">
        <f t="array" ref="AK2465">HLOOKUP($J2465,'Type Chart'!$C$2:$T$20,18,false)*HLOOKUP($K2465,'Type Chart'!$C$2:$U$20,18,false)</f>
        <v>0.5</v>
      </c>
      <c r="AL2465" s="960">
        <f t="array" ref="AL2465">HLOOKUP($J2465,'Type Chart'!$C$2:$T$20,19,false)*HLOOKUP($K2465,'Type Chart'!$C$2:$U$20,19,false)</f>
        <v>1</v>
      </c>
      <c r="AM2465" s="964" t="s">
        <v>1370</v>
      </c>
      <c r="AN2465" s="964"/>
      <c r="AO2465" s="966" t="s">
        <v>2552</v>
      </c>
      <c r="AP2465" s="936"/>
      <c r="AQ2465" s="1245"/>
      <c r="AR2465" s="1245"/>
      <c r="AS2465" s="936"/>
    </row>
    <row r="2466" ht="15.75" customHeight="1">
      <c r="A2466" s="1099"/>
      <c r="B2466" s="948">
        <v>971.0</v>
      </c>
      <c r="C2466" s="1197" t="s">
        <v>4267</v>
      </c>
      <c r="D2466" s="1197" t="s">
        <v>4267</v>
      </c>
      <c r="E2466" s="1147" t="s">
        <v>4267</v>
      </c>
      <c r="F2466" s="940"/>
      <c r="G2466" s="953"/>
      <c r="H2466" s="969"/>
      <c r="I2466" s="998" t="s">
        <v>5558</v>
      </c>
      <c r="J2466" s="1207" t="s">
        <v>127</v>
      </c>
      <c r="K2466" s="1235" t="s">
        <v>216</v>
      </c>
      <c r="L2466" s="959">
        <v>57.0</v>
      </c>
      <c r="M2466" s="960">
        <v>80.0</v>
      </c>
      <c r="N2466" s="960">
        <v>115.0</v>
      </c>
      <c r="O2466" s="960">
        <v>50.0</v>
      </c>
      <c r="P2466" s="960">
        <v>80.0</v>
      </c>
      <c r="Q2466" s="960">
        <v>95.0</v>
      </c>
      <c r="R2466" s="960">
        <v>226.0</v>
      </c>
      <c r="S2466" s="960">
        <v>289.0</v>
      </c>
      <c r="T2466" s="960">
        <v>317.0</v>
      </c>
      <c r="U2466" s="960">
        <f t="array" ref="U2466">HLOOKUP($J2466,'Type Chart'!$C$2:$T$20,2,false)*HLOOKUP($K2466,'Type Chart'!$C$2:$U$20,2,false)</f>
        <v>1</v>
      </c>
      <c r="V2466" s="960">
        <f t="array" ref="V2466">HLOOKUP($J2466,'Type Chart'!$C$2:$T$20,3,false)*HLOOKUP($K2466,'Type Chart'!$C$2:$U$20,3,false)</f>
        <v>0.5</v>
      </c>
      <c r="W2466" s="960">
        <f t="array" ref="W2466">HLOOKUP($J2466,'Type Chart'!$C$2:$T$20,4,false)*HLOOKUP($K2466,'Type Chart'!$C$2:$U$20,4,false)</f>
        <v>1</v>
      </c>
      <c r="X2466" s="960">
        <f t="array" ref="X2466">HLOOKUP($J2466,'Type Chart'!$C$2:$T$20,5,false)*HLOOKUP($K2466,'Type Chart'!$C$2:$U$20,5,false)</f>
        <v>2</v>
      </c>
      <c r="Y2466" s="960">
        <f t="array" ref="Y2466">HLOOKUP($J2466,'Type Chart'!$C$2:$T$20,6,false)*HLOOKUP($K2466,'Type Chart'!$C$2:$U$20,6,false)</f>
        <v>1</v>
      </c>
      <c r="Z2466" s="960">
        <f t="array" ref="Z2466">HLOOKUP($J2466,'Type Chart'!$C$2:$T$20,7,false)*HLOOKUP($K2466,'Type Chart'!$C$2:$U$20,7,false)</f>
        <v>1</v>
      </c>
      <c r="AA2466" s="960">
        <f t="array" ref="AA2466">HLOOKUP($J2466,'Type Chart'!$C$2:$T$20,8,false)*HLOOKUP($K2466,'Type Chart'!$C$2:$U$20,8,false)</f>
        <v>0.5</v>
      </c>
      <c r="AB2466" s="960">
        <f t="array" ref="AB2466">HLOOKUP($J2466,'Type Chart'!$C$2:$T$20,9,false)*HLOOKUP($K2466,'Type Chart'!$C$2:$U$20,9,false)</f>
        <v>1</v>
      </c>
      <c r="AC2466" s="960">
        <f t="array" ref="AC2466">HLOOKUP($J2466,'Type Chart'!$C$2:$T$20,10,false)*HLOOKUP($K2466,'Type Chart'!$C$2:$U$20,10,false)</f>
        <v>2</v>
      </c>
      <c r="AD2466" s="960">
        <f t="array" ref="AD2466">HLOOKUP($J2466,'Type Chart'!$C$2:$T$20,11,false)*HLOOKUP($K2466,'Type Chart'!$C$2:$U$20,11,false)</f>
        <v>1</v>
      </c>
      <c r="AE2466" s="960">
        <f t="array" ref="AE2466">HLOOKUP($J2466,'Type Chart'!$C$2:$T$20,12,false)*HLOOKUP($K2466,'Type Chart'!$C$2:$U$20,12,false)</f>
        <v>1</v>
      </c>
      <c r="AF2466" s="960">
        <f t="array" ref="AF2466">HLOOKUP($J2466,'Type Chart'!$C$2:$T$20,13,false)*HLOOKUP($K2466,'Type Chart'!$C$2:$U$20,13,false)</f>
        <v>1</v>
      </c>
      <c r="AG2466" s="960">
        <f t="array" ref="AG2466">HLOOKUP($J2466,'Type Chart'!$C$2:$T$20,14,false)*HLOOKUP($K2466,'Type Chart'!$C$2:$U$20,14,false)</f>
        <v>1</v>
      </c>
      <c r="AH2466" s="960">
        <f t="array" ref="AH2466">HLOOKUP($J2466,'Type Chart'!$C$2:$T$20,15,false)*HLOOKUP($K2466,'Type Chart'!$C$2:$U$20,15,false)</f>
        <v>1</v>
      </c>
      <c r="AI2466" s="960">
        <f t="array" ref="AI2466">HLOOKUP($J2466,'Type Chart'!$C$2:$T$20,16,false)*HLOOKUP($K2466,'Type Chart'!$C$2:$U$20,16,false)</f>
        <v>1</v>
      </c>
      <c r="AJ2466" s="960">
        <f t="array" ref="AJ2466">HLOOKUP($J2466,'Type Chart'!$C$2:$T$20,17,false)*HLOOKUP($K2466,'Type Chart'!$C$2:$U$20,17,false)</f>
        <v>0</v>
      </c>
      <c r="AK2466" s="960">
        <f t="array" ref="AK2466">HLOOKUP($J2466,'Type Chart'!$C$2:$T$20,18,false)*HLOOKUP($K2466,'Type Chart'!$C$2:$U$20,18,false)</f>
        <v>0.5</v>
      </c>
      <c r="AL2466" s="960">
        <f t="array" ref="AL2466">HLOOKUP($J2466,'Type Chart'!$C$2:$T$20,19,false)*HLOOKUP($K2466,'Type Chart'!$C$2:$U$20,19,false)</f>
        <v>1</v>
      </c>
      <c r="AM2466" s="964" t="s">
        <v>4268</v>
      </c>
      <c r="AN2466" s="964"/>
      <c r="AO2466" s="966" t="s">
        <v>3373</v>
      </c>
      <c r="AP2466" s="936"/>
      <c r="AQ2466" s="1245"/>
      <c r="AR2466" s="1245"/>
      <c r="AS2466" s="936"/>
    </row>
    <row r="2467" ht="15.75" customHeight="1">
      <c r="A2467" s="1099"/>
      <c r="B2467" s="948">
        <v>972.0</v>
      </c>
      <c r="C2467" s="1197" t="s">
        <v>4269</v>
      </c>
      <c r="D2467" s="1197" t="s">
        <v>4269</v>
      </c>
      <c r="E2467" s="1147" t="s">
        <v>4269</v>
      </c>
      <c r="F2467" s="940"/>
      <c r="G2467" s="953"/>
      <c r="H2467" s="969"/>
      <c r="I2467" s="998" t="s">
        <v>5559</v>
      </c>
      <c r="J2467" s="1195" t="s">
        <v>193</v>
      </c>
      <c r="K2467" s="1235" t="s">
        <v>216</v>
      </c>
      <c r="L2467" s="959">
        <v>60.0</v>
      </c>
      <c r="M2467" s="960">
        <v>78.0</v>
      </c>
      <c r="N2467" s="960">
        <v>60.0</v>
      </c>
      <c r="O2467" s="960">
        <v>40.0</v>
      </c>
      <c r="P2467" s="960">
        <v>51.0</v>
      </c>
      <c r="Q2467" s="960">
        <v>51.0</v>
      </c>
      <c r="R2467" s="960">
        <v>138.0</v>
      </c>
      <c r="S2467" s="960">
        <v>201.0</v>
      </c>
      <c r="T2467" s="960">
        <v>221.0</v>
      </c>
      <c r="U2467" s="960">
        <f t="array" ref="U2467">HLOOKUP($J2467,'Type Chart'!$C$2:$T$20,2,false)*HLOOKUP($K2467,'Type Chart'!$C$2:$U$20,2,false)</f>
        <v>1</v>
      </c>
      <c r="V2467" s="960">
        <f t="array" ref="V2467">HLOOKUP($J2467,'Type Chart'!$C$2:$T$20,3,false)*HLOOKUP($K2467,'Type Chart'!$C$2:$U$20,3,false)</f>
        <v>2</v>
      </c>
      <c r="W2467" s="960">
        <f t="array" ref="W2467">HLOOKUP($J2467,'Type Chart'!$C$2:$T$20,4,false)*HLOOKUP($K2467,'Type Chart'!$C$2:$U$20,4,false)</f>
        <v>1</v>
      </c>
      <c r="X2467" s="960">
        <f t="array" ref="X2467">HLOOKUP($J2467,'Type Chart'!$C$2:$T$20,5,false)*HLOOKUP($K2467,'Type Chart'!$C$2:$U$20,5,false)</f>
        <v>1</v>
      </c>
      <c r="Y2467" s="960">
        <f t="array" ref="Y2467">HLOOKUP($J2467,'Type Chart'!$C$2:$T$20,6,false)*HLOOKUP($K2467,'Type Chart'!$C$2:$U$20,6,false)</f>
        <v>1</v>
      </c>
      <c r="Z2467" s="960">
        <f t="array" ref="Z2467">HLOOKUP($J2467,'Type Chart'!$C$2:$T$20,7,false)*HLOOKUP($K2467,'Type Chart'!$C$2:$U$20,7,false)</f>
        <v>1</v>
      </c>
      <c r="AA2467" s="960">
        <f t="array" ref="AA2467">HLOOKUP($J2467,'Type Chart'!$C$2:$T$20,8,false)*HLOOKUP($K2467,'Type Chart'!$C$2:$U$20,8,false)</f>
        <v>2</v>
      </c>
      <c r="AB2467" s="960">
        <f t="array" ref="AB2467">HLOOKUP($J2467,'Type Chart'!$C$2:$T$20,9,false)*HLOOKUP($K2467,'Type Chart'!$C$2:$U$20,9,false)</f>
        <v>0.5</v>
      </c>
      <c r="AC2467" s="960">
        <f t="array" ref="AC2467">HLOOKUP($J2467,'Type Chart'!$C$2:$T$20,10,false)*HLOOKUP($K2467,'Type Chart'!$C$2:$U$20,10,false)</f>
        <v>1</v>
      </c>
      <c r="AD2467" s="960">
        <f t="array" ref="AD2467">HLOOKUP($J2467,'Type Chart'!$C$2:$T$20,11,false)*HLOOKUP($K2467,'Type Chart'!$C$2:$U$20,11,false)</f>
        <v>1</v>
      </c>
      <c r="AE2467" s="960">
        <f t="array" ref="AE2467">HLOOKUP($J2467,'Type Chart'!$C$2:$T$20,12,false)*HLOOKUP($K2467,'Type Chart'!$C$2:$U$20,12,false)</f>
        <v>1</v>
      </c>
      <c r="AF2467" s="960">
        <f t="array" ref="AF2467">HLOOKUP($J2467,'Type Chart'!$C$2:$T$20,13,false)*HLOOKUP($K2467,'Type Chart'!$C$2:$U$20,13,false)</f>
        <v>1</v>
      </c>
      <c r="AG2467" s="960">
        <f t="array" ref="AG2467">HLOOKUP($J2467,'Type Chart'!$C$2:$T$20,14,false)*HLOOKUP($K2467,'Type Chart'!$C$2:$U$20,14,false)</f>
        <v>1</v>
      </c>
      <c r="AH2467" s="960">
        <f t="array" ref="AH2467">HLOOKUP($J2467,'Type Chart'!$C$2:$T$20,15,false)*HLOOKUP($K2467,'Type Chart'!$C$2:$U$20,15,false)</f>
        <v>0</v>
      </c>
      <c r="AI2467" s="960">
        <f t="array" ref="AI2467">HLOOKUP($J2467,'Type Chart'!$C$2:$T$20,16,false)*HLOOKUP($K2467,'Type Chart'!$C$2:$U$20,16,false)</f>
        <v>1</v>
      </c>
      <c r="AJ2467" s="960">
        <f t="array" ref="AJ2467">HLOOKUP($J2467,'Type Chart'!$C$2:$T$20,17,false)*HLOOKUP($K2467,'Type Chart'!$C$2:$U$20,17,false)</f>
        <v>1</v>
      </c>
      <c r="AK2467" s="960">
        <f t="array" ref="AK2467">HLOOKUP($J2467,'Type Chart'!$C$2:$T$20,18,false)*HLOOKUP($K2467,'Type Chart'!$C$2:$U$20,18,false)</f>
        <v>0.5</v>
      </c>
      <c r="AL2467" s="960">
        <f t="array" ref="AL2467">HLOOKUP($J2467,'Type Chart'!$C$2:$T$20,19,false)*HLOOKUP($K2467,'Type Chart'!$C$2:$U$20,19,false)</f>
        <v>2</v>
      </c>
      <c r="AM2467" s="1145" t="s">
        <v>1061</v>
      </c>
      <c r="AN2467" s="1145" t="s">
        <v>988</v>
      </c>
      <c r="AO2467" s="1146" t="s">
        <v>3548</v>
      </c>
      <c r="AP2467" s="936"/>
      <c r="AQ2467" s="1245"/>
      <c r="AR2467" s="1245"/>
      <c r="AS2467" s="936"/>
    </row>
    <row r="2468" ht="15.75" customHeight="1">
      <c r="A2468" s="1099"/>
      <c r="B2468" s="948">
        <v>973.0</v>
      </c>
      <c r="C2468" s="1197" t="s">
        <v>4271</v>
      </c>
      <c r="D2468" s="1197" t="s">
        <v>4271</v>
      </c>
      <c r="E2468" s="1147" t="s">
        <v>4271</v>
      </c>
      <c r="F2468" s="940"/>
      <c r="G2468" s="953"/>
      <c r="H2468" s="969"/>
      <c r="I2468" s="998" t="s">
        <v>5560</v>
      </c>
      <c r="J2468" s="1195" t="s">
        <v>193</v>
      </c>
      <c r="K2468" s="1235" t="s">
        <v>216</v>
      </c>
      <c r="L2468" s="959">
        <v>80.0</v>
      </c>
      <c r="M2468" s="960">
        <v>120.0</v>
      </c>
      <c r="N2468" s="960">
        <v>90.0</v>
      </c>
      <c r="O2468" s="960">
        <v>60.0</v>
      </c>
      <c r="P2468" s="960">
        <v>70.0</v>
      </c>
      <c r="Q2468" s="960">
        <v>85.0</v>
      </c>
      <c r="R2468" s="960">
        <v>206.0</v>
      </c>
      <c r="S2468" s="960">
        <v>269.0</v>
      </c>
      <c r="T2468" s="960">
        <v>295.0</v>
      </c>
      <c r="U2468" s="960">
        <f t="array" ref="U2468">HLOOKUP($J2468,'Type Chart'!$C$2:$T$20,2,false)*HLOOKUP($K2468,'Type Chart'!$C$2:$U$20,2,false)</f>
        <v>1</v>
      </c>
      <c r="V2468" s="960">
        <f t="array" ref="V2468">HLOOKUP($J2468,'Type Chart'!$C$2:$T$20,3,false)*HLOOKUP($K2468,'Type Chart'!$C$2:$U$20,3,false)</f>
        <v>2</v>
      </c>
      <c r="W2468" s="960">
        <f t="array" ref="W2468">HLOOKUP($J2468,'Type Chart'!$C$2:$T$20,4,false)*HLOOKUP($K2468,'Type Chart'!$C$2:$U$20,4,false)</f>
        <v>1</v>
      </c>
      <c r="X2468" s="960">
        <f t="array" ref="X2468">HLOOKUP($J2468,'Type Chart'!$C$2:$T$20,5,false)*HLOOKUP($K2468,'Type Chart'!$C$2:$U$20,5,false)</f>
        <v>1</v>
      </c>
      <c r="Y2468" s="960">
        <f t="array" ref="Y2468">HLOOKUP($J2468,'Type Chart'!$C$2:$T$20,6,false)*HLOOKUP($K2468,'Type Chart'!$C$2:$U$20,6,false)</f>
        <v>1</v>
      </c>
      <c r="Z2468" s="960">
        <f t="array" ref="Z2468">HLOOKUP($J2468,'Type Chart'!$C$2:$T$20,7,false)*HLOOKUP($K2468,'Type Chart'!$C$2:$U$20,7,false)</f>
        <v>1</v>
      </c>
      <c r="AA2468" s="960">
        <f t="array" ref="AA2468">HLOOKUP($J2468,'Type Chart'!$C$2:$T$20,8,false)*HLOOKUP($K2468,'Type Chart'!$C$2:$U$20,8,false)</f>
        <v>2</v>
      </c>
      <c r="AB2468" s="960">
        <f t="array" ref="AB2468">HLOOKUP($J2468,'Type Chart'!$C$2:$T$20,9,false)*HLOOKUP($K2468,'Type Chart'!$C$2:$U$20,9,false)</f>
        <v>0.5</v>
      </c>
      <c r="AC2468" s="960">
        <f t="array" ref="AC2468">HLOOKUP($J2468,'Type Chart'!$C$2:$T$20,10,false)*HLOOKUP($K2468,'Type Chart'!$C$2:$U$20,10,false)</f>
        <v>1</v>
      </c>
      <c r="AD2468" s="960">
        <f t="array" ref="AD2468">HLOOKUP($J2468,'Type Chart'!$C$2:$T$20,11,false)*HLOOKUP($K2468,'Type Chart'!$C$2:$U$20,11,false)</f>
        <v>1</v>
      </c>
      <c r="AE2468" s="960">
        <f t="array" ref="AE2468">HLOOKUP($J2468,'Type Chart'!$C$2:$T$20,12,false)*HLOOKUP($K2468,'Type Chart'!$C$2:$U$20,12,false)</f>
        <v>1</v>
      </c>
      <c r="AF2468" s="960">
        <f t="array" ref="AF2468">HLOOKUP($J2468,'Type Chart'!$C$2:$T$20,13,false)*HLOOKUP($K2468,'Type Chart'!$C$2:$U$20,13,false)</f>
        <v>1</v>
      </c>
      <c r="AG2468" s="960">
        <f t="array" ref="AG2468">HLOOKUP($J2468,'Type Chart'!$C$2:$T$20,14,false)*HLOOKUP($K2468,'Type Chart'!$C$2:$U$20,14,false)</f>
        <v>1</v>
      </c>
      <c r="AH2468" s="960">
        <f t="array" ref="AH2468">HLOOKUP($J2468,'Type Chart'!$C$2:$T$20,15,false)*HLOOKUP($K2468,'Type Chart'!$C$2:$U$20,15,false)</f>
        <v>0</v>
      </c>
      <c r="AI2468" s="960">
        <f t="array" ref="AI2468">HLOOKUP($J2468,'Type Chart'!$C$2:$T$20,16,false)*HLOOKUP($K2468,'Type Chart'!$C$2:$U$20,16,false)</f>
        <v>1</v>
      </c>
      <c r="AJ2468" s="960">
        <f t="array" ref="AJ2468">HLOOKUP($J2468,'Type Chart'!$C$2:$T$20,17,false)*HLOOKUP($K2468,'Type Chart'!$C$2:$U$20,17,false)</f>
        <v>1</v>
      </c>
      <c r="AK2468" s="960">
        <f t="array" ref="AK2468">HLOOKUP($J2468,'Type Chart'!$C$2:$T$20,18,false)*HLOOKUP($K2468,'Type Chart'!$C$2:$U$20,18,false)</f>
        <v>0.5</v>
      </c>
      <c r="AL2468" s="960">
        <f t="array" ref="AL2468">HLOOKUP($J2468,'Type Chart'!$C$2:$T$20,19,false)*HLOOKUP($K2468,'Type Chart'!$C$2:$U$20,19,false)</f>
        <v>2</v>
      </c>
      <c r="AM2468" s="964" t="s">
        <v>1061</v>
      </c>
      <c r="AN2468" s="964" t="s">
        <v>4272</v>
      </c>
      <c r="AO2468" s="966" t="s">
        <v>3548</v>
      </c>
      <c r="AP2468" s="936"/>
      <c r="AQ2468" s="1245"/>
      <c r="AR2468" s="1245"/>
      <c r="AS2468" s="936"/>
    </row>
    <row r="2469" ht="15.75" customHeight="1">
      <c r="A2469" s="1099"/>
      <c r="B2469" s="948">
        <v>974.0</v>
      </c>
      <c r="C2469" s="1197" t="s">
        <v>4273</v>
      </c>
      <c r="D2469" s="1197" t="s">
        <v>4273</v>
      </c>
      <c r="E2469" s="1147" t="s">
        <v>4273</v>
      </c>
      <c r="F2469" s="940"/>
      <c r="G2469" s="953"/>
      <c r="H2469" s="969"/>
      <c r="I2469" s="998" t="s">
        <v>5561</v>
      </c>
      <c r="J2469" s="957" t="s">
        <v>209</v>
      </c>
      <c r="K2469" s="1220" t="s">
        <v>215</v>
      </c>
      <c r="L2469" s="959">
        <v>40.0</v>
      </c>
      <c r="M2469" s="960">
        <v>65.0</v>
      </c>
      <c r="N2469" s="960">
        <v>30.0</v>
      </c>
      <c r="O2469" s="960">
        <v>45.0</v>
      </c>
      <c r="P2469" s="960">
        <v>35.0</v>
      </c>
      <c r="Q2469" s="960">
        <v>60.0</v>
      </c>
      <c r="R2469" s="960">
        <v>156.0</v>
      </c>
      <c r="S2469" s="960">
        <v>219.0</v>
      </c>
      <c r="T2469" s="960">
        <v>240.0</v>
      </c>
      <c r="U2469" s="960">
        <f t="array" ref="U2469">HLOOKUP($J2469,'Type Chart'!$C$2:$T$20,2,false)*HLOOKUP($K2469,'Type Chart'!$C$2:$U$20,2,false)</f>
        <v>0</v>
      </c>
      <c r="V2469" s="960">
        <f t="array" ref="V2469">HLOOKUP($J2469,'Type Chart'!$C$2:$T$20,3,false)*HLOOKUP($K2469,'Type Chart'!$C$2:$U$20,3,false)</f>
        <v>0</v>
      </c>
      <c r="W2469" s="960">
        <f t="array" ref="W2469">HLOOKUP($J2469,'Type Chart'!$C$2:$T$20,4,false)*HLOOKUP($K2469,'Type Chart'!$C$2:$U$20,4,false)</f>
        <v>2</v>
      </c>
      <c r="X2469" s="960">
        <f t="array" ref="X2469">HLOOKUP($J2469,'Type Chart'!$C$2:$T$20,5,false)*HLOOKUP($K2469,'Type Chart'!$C$2:$U$20,5,false)</f>
        <v>1</v>
      </c>
      <c r="Y2469" s="960">
        <f t="array" ref="Y2469">HLOOKUP($J2469,'Type Chart'!$C$2:$T$20,6,false)*HLOOKUP($K2469,'Type Chart'!$C$2:$U$20,6,false)</f>
        <v>0.5</v>
      </c>
      <c r="Z2469" s="960">
        <f t="array" ref="Z2469">HLOOKUP($J2469,'Type Chart'!$C$2:$T$20,7,false)*HLOOKUP($K2469,'Type Chart'!$C$2:$U$20,7,false)</f>
        <v>1</v>
      </c>
      <c r="AA2469" s="960">
        <f t="array" ref="AA2469">HLOOKUP($J2469,'Type Chart'!$C$2:$T$20,8,false)*HLOOKUP($K2469,'Type Chart'!$C$2:$U$20,8,false)</f>
        <v>1</v>
      </c>
      <c r="AB2469" s="960">
        <f t="array" ref="AB2469">HLOOKUP($J2469,'Type Chart'!$C$2:$T$20,9,false)*HLOOKUP($K2469,'Type Chart'!$C$2:$U$20,9,false)</f>
        <v>2</v>
      </c>
      <c r="AC2469" s="960">
        <f t="array" ref="AC2469">HLOOKUP($J2469,'Type Chart'!$C$2:$T$20,10,false)*HLOOKUP($K2469,'Type Chart'!$C$2:$U$20,10,false)</f>
        <v>1</v>
      </c>
      <c r="AD2469" s="960">
        <f t="array" ref="AD2469">HLOOKUP($J2469,'Type Chart'!$C$2:$T$20,11,false)*HLOOKUP($K2469,'Type Chart'!$C$2:$U$20,11,false)</f>
        <v>2</v>
      </c>
      <c r="AE2469" s="960">
        <f t="array" ref="AE2469">HLOOKUP($J2469,'Type Chart'!$C$2:$T$20,12,false)*HLOOKUP($K2469,'Type Chart'!$C$2:$U$20,12,false)</f>
        <v>0.5</v>
      </c>
      <c r="AF2469" s="960">
        <f t="array" ref="AF2469">HLOOKUP($J2469,'Type Chart'!$C$2:$T$20,13,false)*HLOOKUP($K2469,'Type Chart'!$C$2:$U$20,13,false)</f>
        <v>0.5</v>
      </c>
      <c r="AG2469" s="960">
        <f t="array" ref="AG2469">HLOOKUP($J2469,'Type Chart'!$C$2:$T$20,14,false)*HLOOKUP($K2469,'Type Chart'!$C$2:$U$20,14,false)</f>
        <v>0.5</v>
      </c>
      <c r="AH2469" s="960">
        <f t="array" ref="AH2469">HLOOKUP($J2469,'Type Chart'!$C$2:$T$20,15,false)*HLOOKUP($K2469,'Type Chart'!$C$2:$U$20,15,false)</f>
        <v>1</v>
      </c>
      <c r="AI2469" s="960">
        <f t="array" ref="AI2469">HLOOKUP($J2469,'Type Chart'!$C$2:$T$20,16,false)*HLOOKUP($K2469,'Type Chart'!$C$2:$U$20,16,false)</f>
        <v>2</v>
      </c>
      <c r="AJ2469" s="960">
        <f t="array" ref="AJ2469">HLOOKUP($J2469,'Type Chart'!$C$2:$T$20,17,false)*HLOOKUP($K2469,'Type Chart'!$C$2:$U$20,17,false)</f>
        <v>1</v>
      </c>
      <c r="AK2469" s="960">
        <f t="array" ref="AK2469">HLOOKUP($J2469,'Type Chart'!$C$2:$T$20,18,false)*HLOOKUP($K2469,'Type Chart'!$C$2:$U$20,18,false)</f>
        <v>2</v>
      </c>
      <c r="AL2469" s="960">
        <f t="array" ref="AL2469">HLOOKUP($J2469,'Type Chart'!$C$2:$T$20,19,false)*HLOOKUP($K2469,'Type Chart'!$C$2:$U$20,19,false)</f>
        <v>1</v>
      </c>
      <c r="AM2469" s="964" t="s">
        <v>4275</v>
      </c>
      <c r="AN2469" s="964"/>
      <c r="AO2469" s="966" t="s">
        <v>1193</v>
      </c>
      <c r="AP2469" s="936"/>
      <c r="AQ2469" s="1245"/>
      <c r="AR2469" s="1245"/>
      <c r="AS2469" s="936"/>
    </row>
    <row r="2470" ht="15.75" customHeight="1">
      <c r="A2470" s="1099"/>
      <c r="B2470" s="948">
        <v>975.0</v>
      </c>
      <c r="C2470" s="1197" t="s">
        <v>4276</v>
      </c>
      <c r="D2470" s="1197" t="s">
        <v>4276</v>
      </c>
      <c r="E2470" s="1147" t="s">
        <v>4276</v>
      </c>
      <c r="F2470" s="940"/>
      <c r="G2470" s="953"/>
      <c r="H2470" s="969"/>
      <c r="I2470" s="998" t="s">
        <v>5562</v>
      </c>
      <c r="J2470" s="957" t="s">
        <v>209</v>
      </c>
      <c r="K2470" s="1220" t="s">
        <v>215</v>
      </c>
      <c r="L2470" s="959">
        <v>55.0</v>
      </c>
      <c r="M2470" s="960">
        <v>115.0</v>
      </c>
      <c r="N2470" s="960">
        <v>70.0</v>
      </c>
      <c r="O2470" s="960">
        <v>80.0</v>
      </c>
      <c r="P2470" s="960">
        <v>70.0</v>
      </c>
      <c r="Q2470" s="960">
        <v>90.0</v>
      </c>
      <c r="R2470" s="960">
        <v>216.0</v>
      </c>
      <c r="S2470" s="960">
        <v>279.0</v>
      </c>
      <c r="T2470" s="960">
        <v>306.0</v>
      </c>
      <c r="U2470" s="960">
        <f t="array" ref="U2470">HLOOKUP($J2470,'Type Chart'!$C$2:$T$20,2,false)*HLOOKUP($K2470,'Type Chart'!$C$2:$U$20,2,false)</f>
        <v>0</v>
      </c>
      <c r="V2470" s="960">
        <f t="array" ref="V2470">HLOOKUP($J2470,'Type Chart'!$C$2:$T$20,3,false)*HLOOKUP($K2470,'Type Chart'!$C$2:$U$20,3,false)</f>
        <v>0</v>
      </c>
      <c r="W2470" s="960">
        <f t="array" ref="W2470">HLOOKUP($J2470,'Type Chart'!$C$2:$T$20,4,false)*HLOOKUP($K2470,'Type Chart'!$C$2:$U$20,4,false)</f>
        <v>2</v>
      </c>
      <c r="X2470" s="960">
        <f t="array" ref="X2470">HLOOKUP($J2470,'Type Chart'!$C$2:$T$20,5,false)*HLOOKUP($K2470,'Type Chart'!$C$2:$U$20,5,false)</f>
        <v>1</v>
      </c>
      <c r="Y2470" s="960">
        <f t="array" ref="Y2470">HLOOKUP($J2470,'Type Chart'!$C$2:$T$20,6,false)*HLOOKUP($K2470,'Type Chart'!$C$2:$U$20,6,false)</f>
        <v>0.5</v>
      </c>
      <c r="Z2470" s="960">
        <f t="array" ref="Z2470">HLOOKUP($J2470,'Type Chart'!$C$2:$T$20,7,false)*HLOOKUP($K2470,'Type Chart'!$C$2:$U$20,7,false)</f>
        <v>1</v>
      </c>
      <c r="AA2470" s="960">
        <f t="array" ref="AA2470">HLOOKUP($J2470,'Type Chart'!$C$2:$T$20,8,false)*HLOOKUP($K2470,'Type Chart'!$C$2:$U$20,8,false)</f>
        <v>1</v>
      </c>
      <c r="AB2470" s="960">
        <f t="array" ref="AB2470">HLOOKUP($J2470,'Type Chart'!$C$2:$T$20,9,false)*HLOOKUP($K2470,'Type Chart'!$C$2:$U$20,9,false)</f>
        <v>2</v>
      </c>
      <c r="AC2470" s="960">
        <f t="array" ref="AC2470">HLOOKUP($J2470,'Type Chart'!$C$2:$T$20,10,false)*HLOOKUP($K2470,'Type Chart'!$C$2:$U$20,10,false)</f>
        <v>1</v>
      </c>
      <c r="AD2470" s="960">
        <f t="array" ref="AD2470">HLOOKUP($J2470,'Type Chart'!$C$2:$T$20,11,false)*HLOOKUP($K2470,'Type Chart'!$C$2:$U$20,11,false)</f>
        <v>2</v>
      </c>
      <c r="AE2470" s="960">
        <f t="array" ref="AE2470">HLOOKUP($J2470,'Type Chart'!$C$2:$T$20,12,false)*HLOOKUP($K2470,'Type Chart'!$C$2:$U$20,12,false)</f>
        <v>0.5</v>
      </c>
      <c r="AF2470" s="960">
        <f t="array" ref="AF2470">HLOOKUP($J2470,'Type Chart'!$C$2:$T$20,13,false)*HLOOKUP($K2470,'Type Chart'!$C$2:$U$20,13,false)</f>
        <v>0.5</v>
      </c>
      <c r="AG2470" s="960">
        <f t="array" ref="AG2470">HLOOKUP($J2470,'Type Chart'!$C$2:$T$20,14,false)*HLOOKUP($K2470,'Type Chart'!$C$2:$U$20,14,false)</f>
        <v>0.5</v>
      </c>
      <c r="AH2470" s="960">
        <f t="array" ref="AH2470">HLOOKUP($J2470,'Type Chart'!$C$2:$T$20,15,false)*HLOOKUP($K2470,'Type Chart'!$C$2:$U$20,15,false)</f>
        <v>1</v>
      </c>
      <c r="AI2470" s="960">
        <f t="array" ref="AI2470">HLOOKUP($J2470,'Type Chart'!$C$2:$T$20,16,false)*HLOOKUP($K2470,'Type Chart'!$C$2:$U$20,16,false)</f>
        <v>2</v>
      </c>
      <c r="AJ2470" s="960">
        <f t="array" ref="AJ2470">HLOOKUP($J2470,'Type Chart'!$C$2:$T$20,17,false)*HLOOKUP($K2470,'Type Chart'!$C$2:$U$20,17,false)</f>
        <v>1</v>
      </c>
      <c r="AK2470" s="960">
        <f t="array" ref="AK2470">HLOOKUP($J2470,'Type Chart'!$C$2:$T$20,18,false)*HLOOKUP($K2470,'Type Chart'!$C$2:$U$20,18,false)</f>
        <v>2</v>
      </c>
      <c r="AL2470" s="960">
        <f t="array" ref="AL2470">HLOOKUP($J2470,'Type Chart'!$C$2:$T$20,19,false)*HLOOKUP($K2470,'Type Chart'!$C$2:$U$20,19,false)</f>
        <v>1</v>
      </c>
      <c r="AM2470" s="964" t="s">
        <v>4275</v>
      </c>
      <c r="AN2470" s="964"/>
      <c r="AO2470" s="966" t="s">
        <v>1193</v>
      </c>
      <c r="AP2470" s="936"/>
      <c r="AQ2470" s="1245"/>
      <c r="AR2470" s="1245"/>
      <c r="AS2470" s="936"/>
    </row>
    <row r="2471" ht="15.75" customHeight="1">
      <c r="A2471" s="1099"/>
      <c r="B2471" s="948">
        <v>976.0</v>
      </c>
      <c r="C2471" s="1197" t="s">
        <v>4277</v>
      </c>
      <c r="D2471" s="1197" t="s">
        <v>4277</v>
      </c>
      <c r="E2471" s="1147" t="s">
        <v>4277</v>
      </c>
      <c r="F2471" s="940"/>
      <c r="G2471" s="953"/>
      <c r="H2471" s="969"/>
      <c r="I2471" s="998" t="s">
        <v>5563</v>
      </c>
      <c r="J2471" s="1220" t="s">
        <v>215</v>
      </c>
      <c r="K2471" s="1235" t="s">
        <v>216</v>
      </c>
      <c r="L2471" s="959">
        <v>45.0</v>
      </c>
      <c r="M2471" s="960">
        <v>30.0</v>
      </c>
      <c r="N2471" s="960">
        <v>70.0</v>
      </c>
      <c r="O2471" s="960">
        <v>75.0</v>
      </c>
      <c r="P2471" s="960">
        <v>70.0</v>
      </c>
      <c r="Q2471" s="960">
        <v>10.0</v>
      </c>
      <c r="R2471" s="960">
        <v>56.0</v>
      </c>
      <c r="S2471" s="960">
        <v>119.0</v>
      </c>
      <c r="T2471" s="960">
        <v>130.0</v>
      </c>
      <c r="U2471" s="960">
        <f t="array" ref="U2471">HLOOKUP($J2471,'Type Chart'!$C$2:$T$20,2,false)*HLOOKUP($K2471,'Type Chart'!$C$2:$U$20,2,false)</f>
        <v>0</v>
      </c>
      <c r="V2471" s="960">
        <f t="array" ref="V2471">HLOOKUP($J2471,'Type Chart'!$C$2:$T$20,3,false)*HLOOKUP($K2471,'Type Chart'!$C$2:$U$20,3,false)</f>
        <v>0</v>
      </c>
      <c r="W2471" s="960">
        <f t="array" ref="W2471">HLOOKUP($J2471,'Type Chart'!$C$2:$T$20,4,false)*HLOOKUP($K2471,'Type Chart'!$C$2:$U$20,4,false)</f>
        <v>1</v>
      </c>
      <c r="X2471" s="960">
        <f t="array" ref="X2471">HLOOKUP($J2471,'Type Chart'!$C$2:$T$20,5,false)*HLOOKUP($K2471,'Type Chart'!$C$2:$U$20,5,false)</f>
        <v>0.5</v>
      </c>
      <c r="Y2471" s="960">
        <f t="array" ref="Y2471">HLOOKUP($J2471,'Type Chart'!$C$2:$T$20,6,false)*HLOOKUP($K2471,'Type Chart'!$C$2:$U$20,6,false)</f>
        <v>1</v>
      </c>
      <c r="Z2471" s="960">
        <f t="array" ref="Z2471">HLOOKUP($J2471,'Type Chart'!$C$2:$T$20,7,false)*HLOOKUP($K2471,'Type Chart'!$C$2:$U$20,7,false)</f>
        <v>1</v>
      </c>
      <c r="AA2471" s="960">
        <f t="array" ref="AA2471">HLOOKUP($J2471,'Type Chart'!$C$2:$T$20,8,false)*HLOOKUP($K2471,'Type Chart'!$C$2:$U$20,8,false)</f>
        <v>0.5</v>
      </c>
      <c r="AB2471" s="960">
        <f t="array" ref="AB2471">HLOOKUP($J2471,'Type Chart'!$C$2:$T$20,9,false)*HLOOKUP($K2471,'Type Chart'!$C$2:$U$20,9,false)</f>
        <v>2</v>
      </c>
      <c r="AC2471" s="960">
        <f t="array" ref="AC2471">HLOOKUP($J2471,'Type Chart'!$C$2:$T$20,10,false)*HLOOKUP($K2471,'Type Chart'!$C$2:$U$20,10,false)</f>
        <v>1</v>
      </c>
      <c r="AD2471" s="960">
        <f t="array" ref="AD2471">HLOOKUP($J2471,'Type Chart'!$C$2:$T$20,11,false)*HLOOKUP($K2471,'Type Chart'!$C$2:$U$20,11,false)</f>
        <v>1</v>
      </c>
      <c r="AE2471" s="960">
        <f t="array" ref="AE2471">HLOOKUP($J2471,'Type Chart'!$C$2:$T$20,12,false)*HLOOKUP($K2471,'Type Chart'!$C$2:$U$20,12,false)</f>
        <v>1</v>
      </c>
      <c r="AF2471" s="960">
        <f t="array" ref="AF2471">HLOOKUP($J2471,'Type Chart'!$C$2:$T$20,13,false)*HLOOKUP($K2471,'Type Chart'!$C$2:$U$20,13,false)</f>
        <v>1</v>
      </c>
      <c r="AG2471" s="960">
        <f t="array" ref="AG2471">HLOOKUP($J2471,'Type Chart'!$C$2:$T$20,14,false)*HLOOKUP($K2471,'Type Chart'!$C$2:$U$20,14,false)</f>
        <v>1</v>
      </c>
      <c r="AH2471" s="960">
        <f t="array" ref="AH2471">HLOOKUP($J2471,'Type Chart'!$C$2:$T$20,15,false)*HLOOKUP($K2471,'Type Chart'!$C$2:$U$20,15,false)</f>
        <v>1</v>
      </c>
      <c r="AI2471" s="960">
        <f t="array" ref="AI2471">HLOOKUP($J2471,'Type Chart'!$C$2:$T$20,16,false)*HLOOKUP($K2471,'Type Chart'!$C$2:$U$20,16,false)</f>
        <v>1</v>
      </c>
      <c r="AJ2471" s="960">
        <f t="array" ref="AJ2471">HLOOKUP($J2471,'Type Chart'!$C$2:$T$20,17,false)*HLOOKUP($K2471,'Type Chart'!$C$2:$U$20,17,false)</f>
        <v>1</v>
      </c>
      <c r="AK2471" s="960">
        <f t="array" ref="AK2471">HLOOKUP($J2471,'Type Chart'!$C$2:$T$20,18,false)*HLOOKUP($K2471,'Type Chart'!$C$2:$U$20,18,false)</f>
        <v>2</v>
      </c>
      <c r="AL2471" s="960">
        <f t="array" ref="AL2471">HLOOKUP($J2471,'Type Chart'!$C$2:$T$20,19,false)*HLOOKUP($K2471,'Type Chart'!$C$2:$U$20,19,false)</f>
        <v>1</v>
      </c>
      <c r="AM2471" s="964" t="s">
        <v>1243</v>
      </c>
      <c r="AN2471" s="965"/>
      <c r="AO2471" s="966"/>
      <c r="AP2471" s="936"/>
      <c r="AQ2471" s="1245"/>
      <c r="AR2471" s="1245"/>
      <c r="AS2471" s="936"/>
    </row>
    <row r="2472" ht="15.75" customHeight="1">
      <c r="A2472" s="1099"/>
      <c r="B2472" s="948">
        <v>977.0</v>
      </c>
      <c r="C2472" s="1197" t="s">
        <v>4279</v>
      </c>
      <c r="D2472" s="1197" t="s">
        <v>4279</v>
      </c>
      <c r="E2472" s="1147" t="s">
        <v>4279</v>
      </c>
      <c r="F2472" s="940"/>
      <c r="G2472" s="953"/>
      <c r="H2472" s="969"/>
      <c r="I2472" s="998" t="s">
        <v>5564</v>
      </c>
      <c r="J2472" s="1221" t="s">
        <v>215</v>
      </c>
      <c r="K2472" s="1233" t="s">
        <v>82</v>
      </c>
      <c r="L2472" s="1200">
        <v>87.0</v>
      </c>
      <c r="M2472" s="1201">
        <v>60.0</v>
      </c>
      <c r="N2472" s="1201">
        <v>95.0</v>
      </c>
      <c r="O2472" s="1201">
        <v>133.0</v>
      </c>
      <c r="P2472" s="1201">
        <v>91.0</v>
      </c>
      <c r="Q2472" s="1201">
        <v>84.0</v>
      </c>
      <c r="R2472" s="960">
        <v>204.0</v>
      </c>
      <c r="S2472" s="960">
        <v>267.0</v>
      </c>
      <c r="T2472" s="960">
        <v>293.0</v>
      </c>
      <c r="U2472" s="960">
        <f t="array" ref="U2472">HLOOKUP($J2472,'Type Chart'!$C$2:$T$20,2,false)*HLOOKUP($K2472,'Type Chart'!$C$2:$U$20,2,false)</f>
        <v>0</v>
      </c>
      <c r="V2472" s="960">
        <f t="array" ref="V2472">HLOOKUP($J2472,'Type Chart'!$C$2:$T$20,3,false)*HLOOKUP($K2472,'Type Chart'!$C$2:$U$20,3,false)</f>
        <v>0</v>
      </c>
      <c r="W2472" s="960">
        <f t="array" ref="W2472">HLOOKUP($J2472,'Type Chart'!$C$2:$T$20,4,false)*HLOOKUP($K2472,'Type Chart'!$C$2:$U$20,4,false)</f>
        <v>0.5</v>
      </c>
      <c r="X2472" s="960">
        <f t="array" ref="X2472">HLOOKUP($J2472,'Type Chart'!$C$2:$T$20,5,false)*HLOOKUP($K2472,'Type Chart'!$C$2:$U$20,5,false)</f>
        <v>0</v>
      </c>
      <c r="Y2472" s="960">
        <f t="array" ref="Y2472">HLOOKUP($J2472,'Type Chart'!$C$2:$T$20,6,false)*HLOOKUP($K2472,'Type Chart'!$C$2:$U$20,6,false)</f>
        <v>2</v>
      </c>
      <c r="Z2472" s="960">
        <f t="array" ref="Z2472">HLOOKUP($J2472,'Type Chart'!$C$2:$T$20,7,false)*HLOOKUP($K2472,'Type Chart'!$C$2:$U$20,7,false)</f>
        <v>0.5</v>
      </c>
      <c r="AA2472" s="960">
        <f t="array" ref="AA2472">HLOOKUP($J2472,'Type Chart'!$C$2:$T$20,8,false)*HLOOKUP($K2472,'Type Chart'!$C$2:$U$20,8,false)</f>
        <v>0.25</v>
      </c>
      <c r="AB2472" s="960">
        <f t="array" ref="AB2472">HLOOKUP($J2472,'Type Chart'!$C$2:$T$20,9,false)*HLOOKUP($K2472,'Type Chart'!$C$2:$U$20,9,false)</f>
        <v>2</v>
      </c>
      <c r="AC2472" s="960">
        <f t="array" ref="AC2472">HLOOKUP($J2472,'Type Chart'!$C$2:$T$20,10,false)*HLOOKUP($K2472,'Type Chart'!$C$2:$U$20,10,false)</f>
        <v>0.5</v>
      </c>
      <c r="AD2472" s="960">
        <f t="array" ref="AD2472">HLOOKUP($J2472,'Type Chart'!$C$2:$T$20,11,false)*HLOOKUP($K2472,'Type Chart'!$C$2:$U$20,11,false)</f>
        <v>2</v>
      </c>
      <c r="AE2472" s="960">
        <f t="array" ref="AE2472">HLOOKUP($J2472,'Type Chart'!$C$2:$T$20,12,false)*HLOOKUP($K2472,'Type Chart'!$C$2:$U$20,12,false)</f>
        <v>1</v>
      </c>
      <c r="AF2472" s="960">
        <f t="array" ref="AF2472">HLOOKUP($J2472,'Type Chart'!$C$2:$T$20,13,false)*HLOOKUP($K2472,'Type Chart'!$C$2:$U$20,13,false)</f>
        <v>0.5</v>
      </c>
      <c r="AG2472" s="960">
        <f t="array" ref="AG2472">HLOOKUP($J2472,'Type Chart'!$C$2:$T$20,14,false)*HLOOKUP($K2472,'Type Chart'!$C$2:$U$20,14,false)</f>
        <v>1</v>
      </c>
      <c r="AH2472" s="960">
        <f t="array" ref="AH2472">HLOOKUP($J2472,'Type Chart'!$C$2:$T$20,15,false)*HLOOKUP($K2472,'Type Chart'!$C$2:$U$20,15,false)</f>
        <v>0.5</v>
      </c>
      <c r="AI2472" s="960">
        <f t="array" ref="AI2472">HLOOKUP($J2472,'Type Chart'!$C$2:$T$20,16,false)*HLOOKUP($K2472,'Type Chart'!$C$2:$U$20,16,false)</f>
        <v>0.5</v>
      </c>
      <c r="AJ2472" s="960">
        <f t="array" ref="AJ2472">HLOOKUP($J2472,'Type Chart'!$C$2:$T$20,17,false)*HLOOKUP($K2472,'Type Chart'!$C$2:$U$20,17,false)</f>
        <v>0.5</v>
      </c>
      <c r="AK2472" s="960">
        <f t="array" ref="AK2472">HLOOKUP($J2472,'Type Chart'!$C$2:$T$20,18,false)*HLOOKUP($K2472,'Type Chart'!$C$2:$U$20,18,false)</f>
        <v>2</v>
      </c>
      <c r="AL2472" s="960">
        <f t="array" ref="AL2472">HLOOKUP($J2472,'Type Chart'!$C$2:$T$20,19,false)*HLOOKUP($K2472,'Type Chart'!$C$2:$U$20,19,false)</f>
        <v>0.5</v>
      </c>
      <c r="AM2472" s="1145" t="s">
        <v>4280</v>
      </c>
      <c r="AN2472" s="1202"/>
      <c r="AO2472" s="1146"/>
      <c r="AP2472" s="936"/>
      <c r="AQ2472" s="1245"/>
      <c r="AR2472" s="1245"/>
      <c r="AS2472" s="936"/>
    </row>
    <row r="2473" ht="15.75" customHeight="1">
      <c r="A2473" s="1099"/>
      <c r="B2473" s="948">
        <v>978.0</v>
      </c>
      <c r="C2473" s="1197" t="s">
        <v>4281</v>
      </c>
      <c r="D2473" s="1197" t="s">
        <v>4282</v>
      </c>
      <c r="E2473" s="1147" t="s">
        <v>4281</v>
      </c>
      <c r="F2473" s="940"/>
      <c r="G2473" s="953"/>
      <c r="H2473" s="969"/>
      <c r="I2473" s="998" t="s">
        <v>5565</v>
      </c>
      <c r="J2473" s="1204" t="s">
        <v>80</v>
      </c>
      <c r="K2473" s="1213" t="s">
        <v>341</v>
      </c>
      <c r="L2473" s="959">
        <v>115.0</v>
      </c>
      <c r="M2473" s="960">
        <v>131.0</v>
      </c>
      <c r="N2473" s="960">
        <v>131.0</v>
      </c>
      <c r="O2473" s="960">
        <v>53.0</v>
      </c>
      <c r="P2473" s="960">
        <v>53.0</v>
      </c>
      <c r="Q2473" s="960">
        <v>87.0</v>
      </c>
      <c r="R2473" s="960">
        <v>210.0</v>
      </c>
      <c r="S2473" s="960">
        <v>273.0</v>
      </c>
      <c r="T2473" s="960">
        <v>300.0</v>
      </c>
      <c r="U2473" s="960">
        <f t="array" ref="U2473">HLOOKUP($J2473,'Type Chart'!$C$2:$T$20,2,false)*HLOOKUP($K2473,'Type Chart'!$C$2:$U$20,2,false)</f>
        <v>1</v>
      </c>
      <c r="V2473" s="960">
        <f t="array" ref="V2473">HLOOKUP($J2473,'Type Chart'!$C$2:$T$20,3,false)*HLOOKUP($K2473,'Type Chart'!$C$2:$U$20,3,false)</f>
        <v>1</v>
      </c>
      <c r="W2473" s="960">
        <f t="array" ref="W2473">HLOOKUP($J2473,'Type Chart'!$C$2:$T$20,4,false)*HLOOKUP($K2473,'Type Chart'!$C$2:$U$20,4,false)</f>
        <v>2</v>
      </c>
      <c r="X2473" s="960">
        <f t="array" ref="X2473">HLOOKUP($J2473,'Type Chart'!$C$2:$T$20,5,false)*HLOOKUP($K2473,'Type Chart'!$C$2:$U$20,5,false)</f>
        <v>0.5</v>
      </c>
      <c r="Y2473" s="960">
        <f t="array" ref="Y2473">HLOOKUP($J2473,'Type Chart'!$C$2:$T$20,6,false)*HLOOKUP($K2473,'Type Chart'!$C$2:$U$20,6,false)</f>
        <v>1</v>
      </c>
      <c r="Z2473" s="960">
        <f t="array" ref="Z2473">HLOOKUP($J2473,'Type Chart'!$C$2:$T$20,7,false)*HLOOKUP($K2473,'Type Chart'!$C$2:$U$20,7,false)</f>
        <v>0.25</v>
      </c>
      <c r="AA2473" s="960">
        <f t="array" ref="AA2473">HLOOKUP($J2473,'Type Chart'!$C$2:$T$20,8,false)*HLOOKUP($K2473,'Type Chart'!$C$2:$U$20,8,false)</f>
        <v>0.5</v>
      </c>
      <c r="AB2473" s="960">
        <f t="array" ref="AB2473">HLOOKUP($J2473,'Type Chart'!$C$2:$T$20,9,false)*HLOOKUP($K2473,'Type Chart'!$C$2:$U$20,9,false)</f>
        <v>1</v>
      </c>
      <c r="AC2473" s="960">
        <f t="array" ref="AC2473">HLOOKUP($J2473,'Type Chart'!$C$2:$T$20,10,false)*HLOOKUP($K2473,'Type Chart'!$C$2:$U$20,10,false)</f>
        <v>1</v>
      </c>
      <c r="AD2473" s="960">
        <f t="array" ref="AD2473">HLOOKUP($J2473,'Type Chart'!$C$2:$T$20,11,false)*HLOOKUP($K2473,'Type Chart'!$C$2:$U$20,11,false)</f>
        <v>1</v>
      </c>
      <c r="AE2473" s="960">
        <f t="array" ref="AE2473">HLOOKUP($J2473,'Type Chart'!$C$2:$T$20,12,false)*HLOOKUP($K2473,'Type Chart'!$C$2:$U$20,12,false)</f>
        <v>2</v>
      </c>
      <c r="AF2473" s="960">
        <f t="array" ref="AF2473">HLOOKUP($J2473,'Type Chart'!$C$2:$T$20,13,false)*HLOOKUP($K2473,'Type Chart'!$C$2:$U$20,13,false)</f>
        <v>2</v>
      </c>
      <c r="AG2473" s="960">
        <f t="array" ref="AG2473">HLOOKUP($J2473,'Type Chart'!$C$2:$T$20,14,false)*HLOOKUP($K2473,'Type Chart'!$C$2:$U$20,14,false)</f>
        <v>0</v>
      </c>
      <c r="AH2473" s="960">
        <f t="array" ref="AH2473">HLOOKUP($J2473,'Type Chart'!$C$2:$T$20,15,false)*HLOOKUP($K2473,'Type Chart'!$C$2:$U$20,15,false)</f>
        <v>2</v>
      </c>
      <c r="AI2473" s="960">
        <f t="array" ref="AI2473">HLOOKUP($J2473,'Type Chart'!$C$2:$T$20,16,false)*HLOOKUP($K2473,'Type Chart'!$C$2:$U$20,16,false)</f>
        <v>2</v>
      </c>
      <c r="AJ2473" s="960">
        <f t="array" ref="AJ2473">HLOOKUP($J2473,'Type Chart'!$C$2:$T$20,17,false)*HLOOKUP($K2473,'Type Chart'!$C$2:$U$20,17,false)</f>
        <v>1</v>
      </c>
      <c r="AK2473" s="960">
        <f t="array" ref="AK2473">HLOOKUP($J2473,'Type Chart'!$C$2:$T$20,18,false)*HLOOKUP($K2473,'Type Chart'!$C$2:$U$20,18,false)</f>
        <v>0.5</v>
      </c>
      <c r="AL2473" s="960">
        <f t="array" ref="AL2473">HLOOKUP($J2473,'Type Chart'!$C$2:$T$20,19,false)*HLOOKUP($K2473,'Type Chart'!$C$2:$U$20,19,false)</f>
        <v>2</v>
      </c>
      <c r="AM2473" s="964" t="s">
        <v>4283</v>
      </c>
      <c r="AN2473" s="965"/>
      <c r="AO2473" s="966"/>
      <c r="AP2473" s="936"/>
      <c r="AQ2473" s="1245"/>
      <c r="AR2473" s="1245"/>
      <c r="AS2473" s="936"/>
    </row>
    <row r="2474" ht="15.75" customHeight="1">
      <c r="A2474" s="1099"/>
      <c r="B2474" s="948">
        <v>979.0</v>
      </c>
      <c r="C2474" s="1197" t="s">
        <v>4284</v>
      </c>
      <c r="D2474" s="1197" t="s">
        <v>4285</v>
      </c>
      <c r="E2474" s="1147" t="s">
        <v>4284</v>
      </c>
      <c r="F2474" s="940"/>
      <c r="G2474" s="953"/>
      <c r="H2474" s="969"/>
      <c r="I2474" s="998" t="s">
        <v>5566</v>
      </c>
      <c r="J2474" s="957" t="s">
        <v>209</v>
      </c>
      <c r="K2474" s="1195" t="s">
        <v>193</v>
      </c>
      <c r="L2474" s="959">
        <v>115.0</v>
      </c>
      <c r="M2474" s="960">
        <v>127.0</v>
      </c>
      <c r="N2474" s="960">
        <v>99.0</v>
      </c>
      <c r="O2474" s="960">
        <v>79.0</v>
      </c>
      <c r="P2474" s="960">
        <v>99.0</v>
      </c>
      <c r="Q2474" s="960">
        <v>55.0</v>
      </c>
      <c r="R2474" s="960">
        <v>146.0</v>
      </c>
      <c r="S2474" s="960">
        <v>209.0</v>
      </c>
      <c r="T2474" s="960">
        <v>229.0</v>
      </c>
      <c r="U2474" s="960">
        <f t="array" ref="U2474">HLOOKUP($J2474,'Type Chart'!$C$2:$T$20,2,false)*HLOOKUP($K2474,'Type Chart'!$C$2:$U$20,2,false)</f>
        <v>1</v>
      </c>
      <c r="V2474" s="960">
        <f t="array" ref="V2474">HLOOKUP($J2474,'Type Chart'!$C$2:$T$20,3,false)*HLOOKUP($K2474,'Type Chart'!$C$2:$U$20,3,false)</f>
        <v>2</v>
      </c>
      <c r="W2474" s="960">
        <f t="array" ref="W2474">HLOOKUP($J2474,'Type Chart'!$C$2:$T$20,4,false)*HLOOKUP($K2474,'Type Chart'!$C$2:$U$20,4,false)</f>
        <v>2</v>
      </c>
      <c r="X2474" s="960">
        <f t="array" ref="X2474">HLOOKUP($J2474,'Type Chart'!$C$2:$T$20,5,false)*HLOOKUP($K2474,'Type Chart'!$C$2:$U$20,5,false)</f>
        <v>2</v>
      </c>
      <c r="Y2474" s="960">
        <f t="array" ref="Y2474">HLOOKUP($J2474,'Type Chart'!$C$2:$T$20,6,false)*HLOOKUP($K2474,'Type Chart'!$C$2:$U$20,6,false)</f>
        <v>0.5</v>
      </c>
      <c r="Z2474" s="960">
        <f t="array" ref="Z2474">HLOOKUP($J2474,'Type Chart'!$C$2:$T$20,7,false)*HLOOKUP($K2474,'Type Chart'!$C$2:$U$20,7,false)</f>
        <v>1</v>
      </c>
      <c r="AA2474" s="960">
        <f t="array" ref="AA2474">HLOOKUP($J2474,'Type Chart'!$C$2:$T$20,8,false)*HLOOKUP($K2474,'Type Chart'!$C$2:$U$20,8,false)</f>
        <v>4</v>
      </c>
      <c r="AB2474" s="960">
        <f t="array" ref="AB2474">HLOOKUP($J2474,'Type Chart'!$C$2:$T$20,9,false)*HLOOKUP($K2474,'Type Chart'!$C$2:$U$20,9,false)</f>
        <v>0.5</v>
      </c>
      <c r="AC2474" s="960">
        <f t="array" ref="AC2474">HLOOKUP($J2474,'Type Chart'!$C$2:$T$20,10,false)*HLOOKUP($K2474,'Type Chart'!$C$2:$U$20,10,false)</f>
        <v>1</v>
      </c>
      <c r="AD2474" s="960">
        <f t="array" ref="AD2474">HLOOKUP($J2474,'Type Chart'!$C$2:$T$20,11,false)*HLOOKUP($K2474,'Type Chart'!$C$2:$U$20,11,false)</f>
        <v>2</v>
      </c>
      <c r="AE2474" s="960">
        <f t="array" ref="AE2474">HLOOKUP($J2474,'Type Chart'!$C$2:$T$20,12,false)*HLOOKUP($K2474,'Type Chart'!$C$2:$U$20,12,false)</f>
        <v>0.5</v>
      </c>
      <c r="AF2474" s="960">
        <f t="array" ref="AF2474">HLOOKUP($J2474,'Type Chart'!$C$2:$T$20,13,false)*HLOOKUP($K2474,'Type Chart'!$C$2:$U$20,13,false)</f>
        <v>0.5</v>
      </c>
      <c r="AG2474" s="960">
        <f t="array" ref="AG2474">HLOOKUP($J2474,'Type Chart'!$C$2:$T$20,14,false)*HLOOKUP($K2474,'Type Chart'!$C$2:$U$20,14,false)</f>
        <v>0.5</v>
      </c>
      <c r="AH2474" s="960">
        <f t="array" ref="AH2474">HLOOKUP($J2474,'Type Chart'!$C$2:$T$20,15,false)*HLOOKUP($K2474,'Type Chart'!$C$2:$U$20,15,false)</f>
        <v>0</v>
      </c>
      <c r="AI2474" s="960">
        <f t="array" ref="AI2474">HLOOKUP($J2474,'Type Chart'!$C$2:$T$20,16,false)*HLOOKUP($K2474,'Type Chart'!$C$2:$U$20,16,false)</f>
        <v>2</v>
      </c>
      <c r="AJ2474" s="960">
        <f t="array" ref="AJ2474">HLOOKUP($J2474,'Type Chart'!$C$2:$T$20,17,false)*HLOOKUP($K2474,'Type Chart'!$C$2:$U$20,17,false)</f>
        <v>1</v>
      </c>
      <c r="AK2474" s="960">
        <f t="array" ref="AK2474">HLOOKUP($J2474,'Type Chart'!$C$2:$T$20,18,false)*HLOOKUP($K2474,'Type Chart'!$C$2:$U$20,18,false)</f>
        <v>0.5</v>
      </c>
      <c r="AL2474" s="960">
        <f t="array" ref="AL2474">HLOOKUP($J2474,'Type Chart'!$C$2:$T$20,19,false)*HLOOKUP($K2474,'Type Chart'!$C$2:$U$20,19,false)</f>
        <v>2</v>
      </c>
      <c r="AM2474" s="964" t="s">
        <v>4283</v>
      </c>
      <c r="AN2474" s="965"/>
      <c r="AO2474" s="966"/>
      <c r="AP2474" s="936"/>
      <c r="AQ2474" s="1245"/>
      <c r="AR2474" s="1245"/>
      <c r="AS2474" s="936"/>
    </row>
    <row r="2475" ht="15.75" customHeight="1">
      <c r="A2475" s="1099"/>
      <c r="B2475" s="948">
        <v>980.0</v>
      </c>
      <c r="C2475" s="1197" t="s">
        <v>4286</v>
      </c>
      <c r="D2475" s="1197" t="s">
        <v>4287</v>
      </c>
      <c r="E2475" s="1147" t="s">
        <v>4286</v>
      </c>
      <c r="F2475" s="940"/>
      <c r="G2475" s="953"/>
      <c r="H2475" s="969"/>
      <c r="I2475" s="998" t="s">
        <v>5567</v>
      </c>
      <c r="J2475" s="1235" t="s">
        <v>81</v>
      </c>
      <c r="K2475" s="1006" t="s">
        <v>346</v>
      </c>
      <c r="L2475" s="1237">
        <v>99.0</v>
      </c>
      <c r="M2475" s="1238">
        <v>83.0</v>
      </c>
      <c r="N2475" s="1238">
        <v>91.0</v>
      </c>
      <c r="O2475" s="1238">
        <v>125.0</v>
      </c>
      <c r="P2475" s="1238">
        <v>83.0</v>
      </c>
      <c r="Q2475" s="1238">
        <v>109.0</v>
      </c>
      <c r="R2475" s="960">
        <v>254.0</v>
      </c>
      <c r="S2475" s="960">
        <v>317.0</v>
      </c>
      <c r="T2475" s="960">
        <v>348.0</v>
      </c>
      <c r="U2475" s="960">
        <f t="array" ref="U2475">HLOOKUP($J2475,'Type Chart'!$C$2:$T$20,2,false)*HLOOKUP($K2475,'Type Chart'!$C$2:$U$20,2,false)</f>
        <v>1</v>
      </c>
      <c r="V2475" s="960">
        <f t="array" ref="V2475">HLOOKUP($J2475,'Type Chart'!$C$2:$T$20,3,false)*HLOOKUP($K2475,'Type Chart'!$C$2:$U$20,3,false)</f>
        <v>1</v>
      </c>
      <c r="W2475" s="960">
        <f t="array" ref="W2475">HLOOKUP($J2475,'Type Chart'!$C$2:$T$20,4,false)*HLOOKUP($K2475,'Type Chart'!$C$2:$U$20,4,false)</f>
        <v>1</v>
      </c>
      <c r="X2475" s="960">
        <f t="array" ref="X2475">HLOOKUP($J2475,'Type Chart'!$C$2:$T$20,5,false)*HLOOKUP($K2475,'Type Chart'!$C$2:$U$20,5,false)</f>
        <v>1</v>
      </c>
      <c r="Y2475" s="960">
        <f t="array" ref="Y2475">HLOOKUP($J2475,'Type Chart'!$C$2:$T$20,6,false)*HLOOKUP($K2475,'Type Chart'!$C$2:$U$20,6,false)</f>
        <v>1</v>
      </c>
      <c r="Z2475" s="960">
        <f t="array" ref="Z2475">HLOOKUP($J2475,'Type Chart'!$C$2:$T$20,7,false)*HLOOKUP($K2475,'Type Chart'!$C$2:$U$20,7,false)</f>
        <v>1</v>
      </c>
      <c r="AA2475" s="960">
        <f t="array" ref="AA2475">HLOOKUP($J2475,'Type Chart'!$C$2:$T$20,8,false)*HLOOKUP($K2475,'Type Chart'!$C$2:$U$20,8,false)</f>
        <v>1</v>
      </c>
      <c r="AB2475" s="960">
        <f t="array" ref="AB2475">HLOOKUP($J2475,'Type Chart'!$C$2:$T$20,9,false)*HLOOKUP($K2475,'Type Chart'!$C$2:$U$20,9,false)</f>
        <v>1</v>
      </c>
      <c r="AC2475" s="960">
        <f t="array" ref="AC2475">HLOOKUP($J2475,'Type Chart'!$C$2:$T$20,10,false)*HLOOKUP($K2475,'Type Chart'!$C$2:$U$20,10,false)</f>
        <v>0.5</v>
      </c>
      <c r="AD2475" s="960">
        <f t="array" ref="AD2475">HLOOKUP($J2475,'Type Chart'!$C$2:$T$20,11,false)*HLOOKUP($K2475,'Type Chart'!$C$2:$U$20,11,false)</f>
        <v>0.25</v>
      </c>
      <c r="AE2475" s="960">
        <f t="array" ref="AE2475">HLOOKUP($J2475,'Type Chart'!$C$2:$T$20,12,false)*HLOOKUP($K2475,'Type Chart'!$C$2:$U$20,12,false)</f>
        <v>0.25</v>
      </c>
      <c r="AF2475" s="960">
        <f t="array" ref="AF2475">HLOOKUP($J2475,'Type Chart'!$C$2:$T$20,13,false)*HLOOKUP($K2475,'Type Chart'!$C$2:$U$20,13,false)</f>
        <v>1</v>
      </c>
      <c r="AG2475" s="960">
        <f t="array" ref="AG2475">HLOOKUP($J2475,'Type Chart'!$C$2:$T$20,14,false)*HLOOKUP($K2475,'Type Chart'!$C$2:$U$20,14,false)</f>
        <v>1</v>
      </c>
      <c r="AH2475" s="960">
        <f t="array" ref="AH2475">HLOOKUP($J2475,'Type Chart'!$C$2:$T$20,15,false)*HLOOKUP($K2475,'Type Chart'!$C$2:$U$20,15,false)</f>
        <v>1</v>
      </c>
      <c r="AI2475" s="960">
        <f t="array" ref="AI2475">HLOOKUP($J2475,'Type Chart'!$C$2:$T$20,16,false)*HLOOKUP($K2475,'Type Chart'!$C$2:$U$20,16,false)</f>
        <v>1</v>
      </c>
      <c r="AJ2475" s="960">
        <f t="array" ref="AJ2475">HLOOKUP($J2475,'Type Chart'!$C$2:$T$20,17,false)*HLOOKUP($K2475,'Type Chart'!$C$2:$U$20,17,false)</f>
        <v>2</v>
      </c>
      <c r="AK2475" s="960">
        <f t="array" ref="AK2475">HLOOKUP($J2475,'Type Chart'!$C$2:$T$20,18,false)*HLOOKUP($K2475,'Type Chart'!$C$2:$U$20,18,false)</f>
        <v>1</v>
      </c>
      <c r="AL2475" s="960">
        <f t="array" ref="AL2475">HLOOKUP($J2475,'Type Chart'!$C$2:$T$20,19,false)*HLOOKUP($K2475,'Type Chart'!$C$2:$U$20,19,false)</f>
        <v>2</v>
      </c>
      <c r="AM2475" s="1145"/>
      <c r="AN2475" s="1202"/>
      <c r="AO2475" s="1146"/>
      <c r="AP2475" s="936"/>
      <c r="AQ2475" s="1245"/>
      <c r="AR2475" s="1245"/>
      <c r="AS2475" s="936"/>
    </row>
    <row r="2476" ht="15.75" customHeight="1">
      <c r="A2476" s="1099"/>
      <c r="B2476" s="948">
        <v>981.0</v>
      </c>
      <c r="C2476" s="1197" t="s">
        <v>4288</v>
      </c>
      <c r="D2476" s="1197" t="s">
        <v>4289</v>
      </c>
      <c r="E2476" s="1147" t="s">
        <v>4288</v>
      </c>
      <c r="F2476" s="940"/>
      <c r="G2476" s="953"/>
      <c r="H2476" s="969"/>
      <c r="I2476" s="998" t="s">
        <v>5568</v>
      </c>
      <c r="J2476" s="1196" t="s">
        <v>203</v>
      </c>
      <c r="K2476" s="1204" t="s">
        <v>80</v>
      </c>
      <c r="L2476" s="959">
        <v>85.0</v>
      </c>
      <c r="M2476" s="960">
        <v>81.0</v>
      </c>
      <c r="N2476" s="960">
        <v>97.0</v>
      </c>
      <c r="O2476" s="960">
        <v>121.0</v>
      </c>
      <c r="P2476" s="960">
        <v>85.0</v>
      </c>
      <c r="Q2476" s="960">
        <v>101.0</v>
      </c>
      <c r="R2476" s="960">
        <v>238.0</v>
      </c>
      <c r="S2476" s="960">
        <v>301.0</v>
      </c>
      <c r="T2476" s="960">
        <v>331.0</v>
      </c>
      <c r="U2476" s="960">
        <f t="array" ref="U2476">HLOOKUP($J2476,'Type Chart'!$C$2:$T$20,2,false)*HLOOKUP($K2476,'Type Chart'!$C$2:$U$20,2,false)</f>
        <v>1</v>
      </c>
      <c r="V2476" s="960">
        <f t="array" ref="V2476">HLOOKUP($J2476,'Type Chart'!$C$2:$T$20,3,false)*HLOOKUP($K2476,'Type Chart'!$C$2:$U$20,3,false)</f>
        <v>1</v>
      </c>
      <c r="W2476" s="960">
        <f t="array" ref="W2476">HLOOKUP($J2476,'Type Chart'!$C$2:$T$20,4,false)*HLOOKUP($K2476,'Type Chart'!$C$2:$U$20,4,false)</f>
        <v>0.5</v>
      </c>
      <c r="X2476" s="960">
        <f t="array" ref="X2476">HLOOKUP($J2476,'Type Chart'!$C$2:$T$20,5,false)*HLOOKUP($K2476,'Type Chart'!$C$2:$U$20,5,false)</f>
        <v>0.5</v>
      </c>
      <c r="Y2476" s="960">
        <f t="array" ref="Y2476">HLOOKUP($J2476,'Type Chart'!$C$2:$T$20,6,false)*HLOOKUP($K2476,'Type Chart'!$C$2:$U$20,6,false)</f>
        <v>2</v>
      </c>
      <c r="Z2476" s="960">
        <f t="array" ref="Z2476">HLOOKUP($J2476,'Type Chart'!$C$2:$T$20,7,false)*HLOOKUP($K2476,'Type Chart'!$C$2:$U$20,7,false)</f>
        <v>0.5</v>
      </c>
      <c r="AA2476" s="960">
        <f t="array" ref="AA2476">HLOOKUP($J2476,'Type Chart'!$C$2:$T$20,8,false)*HLOOKUP($K2476,'Type Chart'!$C$2:$U$20,8,false)</f>
        <v>1</v>
      </c>
      <c r="AB2476" s="960">
        <f t="array" ref="AB2476">HLOOKUP($J2476,'Type Chart'!$C$2:$T$20,9,false)*HLOOKUP($K2476,'Type Chart'!$C$2:$U$20,9,false)</f>
        <v>1</v>
      </c>
      <c r="AC2476" s="960">
        <f t="array" ref="AC2476">HLOOKUP($J2476,'Type Chart'!$C$2:$T$20,10,false)*HLOOKUP($K2476,'Type Chart'!$C$2:$U$20,10,false)</f>
        <v>0.5</v>
      </c>
      <c r="AD2476" s="960">
        <f t="array" ref="AD2476">HLOOKUP($J2476,'Type Chart'!$C$2:$T$20,11,false)*HLOOKUP($K2476,'Type Chart'!$C$2:$U$20,11,false)</f>
        <v>1</v>
      </c>
      <c r="AE2476" s="960">
        <f t="array" ref="AE2476">HLOOKUP($J2476,'Type Chart'!$C$2:$T$20,12,false)*HLOOKUP($K2476,'Type Chart'!$C$2:$U$20,12,false)</f>
        <v>2</v>
      </c>
      <c r="AF2476" s="960">
        <f t="array" ref="AF2476">HLOOKUP($J2476,'Type Chart'!$C$2:$T$20,13,false)*HLOOKUP($K2476,'Type Chart'!$C$2:$U$20,13,false)</f>
        <v>2</v>
      </c>
      <c r="AG2476" s="960">
        <f t="array" ref="AG2476">HLOOKUP($J2476,'Type Chart'!$C$2:$T$20,14,false)*HLOOKUP($K2476,'Type Chart'!$C$2:$U$20,14,false)</f>
        <v>0</v>
      </c>
      <c r="AH2476" s="960">
        <f t="array" ref="AH2476">HLOOKUP($J2476,'Type Chart'!$C$2:$T$20,15,false)*HLOOKUP($K2476,'Type Chart'!$C$2:$U$20,15,false)</f>
        <v>1</v>
      </c>
      <c r="AI2476" s="960">
        <f t="array" ref="AI2476">HLOOKUP($J2476,'Type Chart'!$C$2:$T$20,16,false)*HLOOKUP($K2476,'Type Chart'!$C$2:$U$20,16,false)</f>
        <v>2</v>
      </c>
      <c r="AJ2476" s="960">
        <f t="array" ref="AJ2476">HLOOKUP($J2476,'Type Chart'!$C$2:$T$20,17,false)*HLOOKUP($K2476,'Type Chart'!$C$2:$U$20,17,false)</f>
        <v>1</v>
      </c>
      <c r="AK2476" s="960">
        <f t="array" ref="AK2476">HLOOKUP($J2476,'Type Chart'!$C$2:$T$20,18,false)*HLOOKUP($K2476,'Type Chart'!$C$2:$U$20,18,false)</f>
        <v>1</v>
      </c>
      <c r="AL2476" s="960">
        <f t="array" ref="AL2476">HLOOKUP($J2476,'Type Chart'!$C$2:$T$20,19,false)*HLOOKUP($K2476,'Type Chart'!$C$2:$U$20,19,false)</f>
        <v>1</v>
      </c>
      <c r="AM2476" s="964" t="s">
        <v>4283</v>
      </c>
      <c r="AN2476" s="965"/>
      <c r="AO2476" s="966"/>
      <c r="AP2476" s="936"/>
      <c r="AQ2476" s="1245"/>
      <c r="AR2476" s="1245"/>
      <c r="AS2476" s="936"/>
    </row>
    <row r="2477" ht="15.75" customHeight="1">
      <c r="A2477" s="1099"/>
      <c r="B2477" s="948">
        <v>982.0</v>
      </c>
      <c r="C2477" s="1197" t="s">
        <v>4290</v>
      </c>
      <c r="D2477" s="1197" t="s">
        <v>4291</v>
      </c>
      <c r="E2477" s="1147" t="s">
        <v>4290</v>
      </c>
      <c r="F2477" s="940"/>
      <c r="G2477" s="953"/>
      <c r="H2477" s="969"/>
      <c r="I2477" s="998" t="s">
        <v>5569</v>
      </c>
      <c r="J2477" s="1207" t="s">
        <v>127</v>
      </c>
      <c r="K2477" s="1203" t="s">
        <v>344</v>
      </c>
      <c r="L2477" s="959">
        <v>115.0</v>
      </c>
      <c r="M2477" s="960">
        <v>65.0</v>
      </c>
      <c r="N2477" s="960">
        <v>99.0</v>
      </c>
      <c r="O2477" s="960">
        <v>65.0</v>
      </c>
      <c r="P2477" s="960">
        <v>115.0</v>
      </c>
      <c r="Q2477" s="960">
        <v>111.0</v>
      </c>
      <c r="R2477" s="960">
        <v>258.0</v>
      </c>
      <c r="S2477" s="960">
        <v>321.0</v>
      </c>
      <c r="T2477" s="960">
        <v>353.0</v>
      </c>
      <c r="U2477" s="960">
        <f t="array" ref="U2477">HLOOKUP($J2477,'Type Chart'!$C$2:$T$20,2,false)*HLOOKUP($K2477,'Type Chart'!$C$2:$U$20,2,false)</f>
        <v>1</v>
      </c>
      <c r="V2477" s="960">
        <f t="array" ref="V2477">HLOOKUP($J2477,'Type Chart'!$C$2:$T$20,3,false)*HLOOKUP($K2477,'Type Chart'!$C$2:$U$20,3,false)</f>
        <v>0.25</v>
      </c>
      <c r="W2477" s="960">
        <f t="array" ref="W2477">HLOOKUP($J2477,'Type Chart'!$C$2:$T$20,4,false)*HLOOKUP($K2477,'Type Chart'!$C$2:$U$20,4,false)</f>
        <v>1</v>
      </c>
      <c r="X2477" s="960">
        <f t="array" ref="X2477">HLOOKUP($J2477,'Type Chart'!$C$2:$T$20,5,false)*HLOOKUP($K2477,'Type Chart'!$C$2:$U$20,5,false)</f>
        <v>2</v>
      </c>
      <c r="Y2477" s="960">
        <f t="array" ref="Y2477">HLOOKUP($J2477,'Type Chart'!$C$2:$T$20,6,false)*HLOOKUP($K2477,'Type Chart'!$C$2:$U$20,6,false)</f>
        <v>1</v>
      </c>
      <c r="Z2477" s="960">
        <f t="array" ref="Z2477">HLOOKUP($J2477,'Type Chart'!$C$2:$T$20,7,false)*HLOOKUP($K2477,'Type Chart'!$C$2:$U$20,7,false)</f>
        <v>1</v>
      </c>
      <c r="AA2477" s="960">
        <f t="array" ref="AA2477">HLOOKUP($J2477,'Type Chart'!$C$2:$T$20,8,false)*HLOOKUP($K2477,'Type Chart'!$C$2:$U$20,8,false)</f>
        <v>1</v>
      </c>
      <c r="AB2477" s="960">
        <f t="array" ref="AB2477">HLOOKUP($J2477,'Type Chart'!$C$2:$T$20,9,false)*HLOOKUP($K2477,'Type Chart'!$C$2:$U$20,9,false)</f>
        <v>2</v>
      </c>
      <c r="AC2477" s="960">
        <f t="array" ref="AC2477">HLOOKUP($J2477,'Type Chart'!$C$2:$T$20,10,false)*HLOOKUP($K2477,'Type Chart'!$C$2:$U$20,10,false)</f>
        <v>2</v>
      </c>
      <c r="AD2477" s="960">
        <f t="array" ref="AD2477">HLOOKUP($J2477,'Type Chart'!$C$2:$T$20,11,false)*HLOOKUP($K2477,'Type Chart'!$C$2:$U$20,11,false)</f>
        <v>1</v>
      </c>
      <c r="AE2477" s="960">
        <f t="array" ref="AE2477">HLOOKUP($J2477,'Type Chart'!$C$2:$T$20,12,false)*HLOOKUP($K2477,'Type Chart'!$C$2:$U$20,12,false)</f>
        <v>1</v>
      </c>
      <c r="AF2477" s="960">
        <f t="array" ref="AF2477">HLOOKUP($J2477,'Type Chart'!$C$2:$T$20,13,false)*HLOOKUP($K2477,'Type Chart'!$C$2:$U$20,13,false)</f>
        <v>1</v>
      </c>
      <c r="AG2477" s="960">
        <f t="array" ref="AG2477">HLOOKUP($J2477,'Type Chart'!$C$2:$T$20,14,false)*HLOOKUP($K2477,'Type Chart'!$C$2:$U$20,14,false)</f>
        <v>1</v>
      </c>
      <c r="AH2477" s="960">
        <f t="array" ref="AH2477">HLOOKUP($J2477,'Type Chart'!$C$2:$T$20,15,false)*HLOOKUP($K2477,'Type Chart'!$C$2:$U$20,15,false)</f>
        <v>0.5</v>
      </c>
      <c r="AI2477" s="960">
        <f t="array" ref="AI2477">HLOOKUP($J2477,'Type Chart'!$C$2:$T$20,16,false)*HLOOKUP($K2477,'Type Chart'!$C$2:$U$20,16,false)</f>
        <v>1</v>
      </c>
      <c r="AJ2477" s="960">
        <f t="array" ref="AJ2477">HLOOKUP($J2477,'Type Chart'!$C$2:$T$20,17,false)*HLOOKUP($K2477,'Type Chart'!$C$2:$U$20,17,false)</f>
        <v>0</v>
      </c>
      <c r="AK2477" s="960">
        <f t="array" ref="AK2477">HLOOKUP($J2477,'Type Chart'!$C$2:$T$20,18,false)*HLOOKUP($K2477,'Type Chart'!$C$2:$U$20,18,false)</f>
        <v>1</v>
      </c>
      <c r="AL2477" s="960">
        <f t="array" ref="AL2477">HLOOKUP($J2477,'Type Chart'!$C$2:$T$20,19,false)*HLOOKUP($K2477,'Type Chart'!$C$2:$U$20,19,false)</f>
        <v>1</v>
      </c>
      <c r="AM2477" s="964" t="s">
        <v>4283</v>
      </c>
      <c r="AN2477" s="965"/>
      <c r="AO2477" s="966"/>
      <c r="AP2477" s="936"/>
      <c r="AQ2477" s="1245"/>
      <c r="AR2477" s="1245"/>
      <c r="AS2477" s="936"/>
    </row>
    <row r="2478" ht="15.75" customHeight="1">
      <c r="A2478" s="1099"/>
      <c r="B2478" s="948">
        <v>983.0</v>
      </c>
      <c r="C2478" s="1197" t="s">
        <v>4292</v>
      </c>
      <c r="D2478" s="1197" t="s">
        <v>4293</v>
      </c>
      <c r="E2478" s="1147" t="s">
        <v>4292</v>
      </c>
      <c r="F2478" s="940"/>
      <c r="G2478" s="953"/>
      <c r="H2478" s="969"/>
      <c r="I2478" s="998" t="s">
        <v>5570</v>
      </c>
      <c r="J2478" s="1220" t="s">
        <v>215</v>
      </c>
      <c r="K2478" s="1207" t="s">
        <v>127</v>
      </c>
      <c r="L2478" s="959">
        <v>55.0</v>
      </c>
      <c r="M2478" s="960">
        <v>55.0</v>
      </c>
      <c r="N2478" s="960">
        <v>55.0</v>
      </c>
      <c r="O2478" s="960">
        <v>135.0</v>
      </c>
      <c r="P2478" s="960">
        <v>135.0</v>
      </c>
      <c r="Q2478" s="960">
        <v>135.0</v>
      </c>
      <c r="R2478" s="960">
        <v>306.0</v>
      </c>
      <c r="S2478" s="960">
        <v>369.0</v>
      </c>
      <c r="T2478" s="960">
        <v>405.0</v>
      </c>
      <c r="U2478" s="960">
        <f t="array" ref="U2478">HLOOKUP($J2478,'Type Chart'!$C$2:$T$20,2,false)*HLOOKUP($K2478,'Type Chart'!$C$2:$U$20,2,false)</f>
        <v>0</v>
      </c>
      <c r="V2478" s="960">
        <f t="array" ref="V2478">HLOOKUP($J2478,'Type Chart'!$C$2:$T$20,3,false)*HLOOKUP($K2478,'Type Chart'!$C$2:$U$20,3,false)</f>
        <v>0</v>
      </c>
      <c r="W2478" s="960">
        <f t="array" ref="W2478">HLOOKUP($J2478,'Type Chart'!$C$2:$T$20,4,false)*HLOOKUP($K2478,'Type Chart'!$C$2:$U$20,4,false)</f>
        <v>1</v>
      </c>
      <c r="X2478" s="960">
        <f t="array" ref="X2478">HLOOKUP($J2478,'Type Chart'!$C$2:$T$20,5,false)*HLOOKUP($K2478,'Type Chart'!$C$2:$U$20,5,false)</f>
        <v>1</v>
      </c>
      <c r="Y2478" s="960">
        <f t="array" ref="Y2478">HLOOKUP($J2478,'Type Chart'!$C$2:$T$20,6,false)*HLOOKUP($K2478,'Type Chart'!$C$2:$U$20,6,false)</f>
        <v>1</v>
      </c>
      <c r="Z2478" s="960">
        <f t="array" ref="Z2478">HLOOKUP($J2478,'Type Chart'!$C$2:$T$20,7,false)*HLOOKUP($K2478,'Type Chart'!$C$2:$U$20,7,false)</f>
        <v>1</v>
      </c>
      <c r="AA2478" s="960">
        <f t="array" ref="AA2478">HLOOKUP($J2478,'Type Chart'!$C$2:$T$20,8,false)*HLOOKUP($K2478,'Type Chart'!$C$2:$U$20,8,false)</f>
        <v>0.25</v>
      </c>
      <c r="AB2478" s="960">
        <f t="array" ref="AB2478">HLOOKUP($J2478,'Type Chart'!$C$2:$T$20,9,false)*HLOOKUP($K2478,'Type Chart'!$C$2:$U$20,9,false)</f>
        <v>2</v>
      </c>
      <c r="AC2478" s="960">
        <f t="array" ref="AC2478">HLOOKUP($J2478,'Type Chart'!$C$2:$T$20,10,false)*HLOOKUP($K2478,'Type Chart'!$C$2:$U$20,10,false)</f>
        <v>2</v>
      </c>
      <c r="AD2478" s="960">
        <f t="array" ref="AD2478">HLOOKUP($J2478,'Type Chart'!$C$2:$T$20,11,false)*HLOOKUP($K2478,'Type Chart'!$C$2:$U$20,11,false)</f>
        <v>1</v>
      </c>
      <c r="AE2478" s="960">
        <f t="array" ref="AE2478">HLOOKUP($J2478,'Type Chart'!$C$2:$T$20,12,false)*HLOOKUP($K2478,'Type Chart'!$C$2:$U$20,12,false)</f>
        <v>1</v>
      </c>
      <c r="AF2478" s="960">
        <f t="array" ref="AF2478">HLOOKUP($J2478,'Type Chart'!$C$2:$T$20,13,false)*HLOOKUP($K2478,'Type Chart'!$C$2:$U$20,13,false)</f>
        <v>1</v>
      </c>
      <c r="AG2478" s="960">
        <f t="array" ref="AG2478">HLOOKUP($J2478,'Type Chart'!$C$2:$T$20,14,false)*HLOOKUP($K2478,'Type Chart'!$C$2:$U$20,14,false)</f>
        <v>1</v>
      </c>
      <c r="AH2478" s="960">
        <f t="array" ref="AH2478">HLOOKUP($J2478,'Type Chart'!$C$2:$T$20,15,false)*HLOOKUP($K2478,'Type Chart'!$C$2:$U$20,15,false)</f>
        <v>1</v>
      </c>
      <c r="AI2478" s="960">
        <f t="array" ref="AI2478">HLOOKUP($J2478,'Type Chart'!$C$2:$T$20,16,false)*HLOOKUP($K2478,'Type Chart'!$C$2:$U$20,16,false)</f>
        <v>1</v>
      </c>
      <c r="AJ2478" s="960">
        <f t="array" ref="AJ2478">HLOOKUP($J2478,'Type Chart'!$C$2:$T$20,17,false)*HLOOKUP($K2478,'Type Chart'!$C$2:$U$20,17,false)</f>
        <v>0</v>
      </c>
      <c r="AK2478" s="960">
        <f t="array" ref="AK2478">HLOOKUP($J2478,'Type Chart'!$C$2:$T$20,18,false)*HLOOKUP($K2478,'Type Chart'!$C$2:$U$20,18,false)</f>
        <v>1</v>
      </c>
      <c r="AL2478" s="960">
        <f t="array" ref="AL2478">HLOOKUP($J2478,'Type Chart'!$C$2:$T$20,19,false)*HLOOKUP($K2478,'Type Chart'!$C$2:$U$20,19,false)</f>
        <v>1</v>
      </c>
      <c r="AM2478" s="964" t="s">
        <v>4283</v>
      </c>
      <c r="AN2478" s="965"/>
      <c r="AO2478" s="966"/>
      <c r="AP2478" s="936"/>
      <c r="AQ2478" s="1245"/>
      <c r="AR2478" s="1245"/>
      <c r="AS2478" s="936"/>
    </row>
    <row r="2479" ht="15.75" customHeight="1">
      <c r="A2479" s="1099"/>
      <c r="B2479" s="948">
        <v>984.0</v>
      </c>
      <c r="C2479" s="1197" t="s">
        <v>4295</v>
      </c>
      <c r="D2479" s="1197" t="s">
        <v>4296</v>
      </c>
      <c r="E2479" s="1147" t="s">
        <v>4295</v>
      </c>
      <c r="F2479" s="940"/>
      <c r="G2479" s="953"/>
      <c r="H2479" s="969"/>
      <c r="I2479" s="998" t="s">
        <v>5571</v>
      </c>
      <c r="J2479" s="1180" t="s">
        <v>343</v>
      </c>
      <c r="K2479" s="1213" t="s">
        <v>341</v>
      </c>
      <c r="L2479" s="959">
        <v>85.0</v>
      </c>
      <c r="M2479" s="960">
        <v>135.0</v>
      </c>
      <c r="N2479" s="960">
        <v>79.0</v>
      </c>
      <c r="O2479" s="960">
        <v>85.0</v>
      </c>
      <c r="P2479" s="960">
        <v>105.0</v>
      </c>
      <c r="Q2479" s="960">
        <v>81.0</v>
      </c>
      <c r="R2479" s="960">
        <v>198.0</v>
      </c>
      <c r="S2479" s="960">
        <v>261.0</v>
      </c>
      <c r="T2479" s="960">
        <v>287.0</v>
      </c>
      <c r="U2479" s="960">
        <f t="array" ref="U2479">HLOOKUP($J2479,'Type Chart'!$C$2:$T$20,2,false)*HLOOKUP($K2479,'Type Chart'!$C$2:$U$20,2,false)</f>
        <v>1</v>
      </c>
      <c r="V2479" s="960">
        <f t="array" ref="V2479">HLOOKUP($J2479,'Type Chart'!$C$2:$T$20,3,false)*HLOOKUP($K2479,'Type Chart'!$C$2:$U$20,3,false)</f>
        <v>0.5</v>
      </c>
      <c r="W2479" s="960">
        <f t="array" ref="W2479">HLOOKUP($J2479,'Type Chart'!$C$2:$T$20,4,false)*HLOOKUP($K2479,'Type Chart'!$C$2:$U$20,4,false)</f>
        <v>4</v>
      </c>
      <c r="X2479" s="960">
        <f t="array" ref="X2479">HLOOKUP($J2479,'Type Chart'!$C$2:$T$20,5,false)*HLOOKUP($K2479,'Type Chart'!$C$2:$U$20,5,false)</f>
        <v>1</v>
      </c>
      <c r="Y2479" s="960">
        <f t="array" ref="Y2479">HLOOKUP($J2479,'Type Chart'!$C$2:$T$20,6,false)*HLOOKUP($K2479,'Type Chart'!$C$2:$U$20,6,false)</f>
        <v>0.5</v>
      </c>
      <c r="Z2479" s="960">
        <f t="array" ref="Z2479">HLOOKUP($J2479,'Type Chart'!$C$2:$T$20,7,false)*HLOOKUP($K2479,'Type Chart'!$C$2:$U$20,7,false)</f>
        <v>1</v>
      </c>
      <c r="AA2479" s="960">
        <f t="array" ref="AA2479">HLOOKUP($J2479,'Type Chart'!$C$2:$T$20,8,false)*HLOOKUP($K2479,'Type Chart'!$C$2:$U$20,8,false)</f>
        <v>0.5</v>
      </c>
      <c r="AB2479" s="960">
        <f t="array" ref="AB2479">HLOOKUP($J2479,'Type Chart'!$C$2:$T$20,9,false)*HLOOKUP($K2479,'Type Chart'!$C$2:$U$20,9,false)</f>
        <v>1</v>
      </c>
      <c r="AC2479" s="960">
        <f t="array" ref="AC2479">HLOOKUP($J2479,'Type Chart'!$C$2:$T$20,10,false)*HLOOKUP($K2479,'Type Chart'!$C$2:$U$20,10,false)</f>
        <v>1</v>
      </c>
      <c r="AD2479" s="960">
        <f t="array" ref="AD2479">HLOOKUP($J2479,'Type Chart'!$C$2:$T$20,11,false)*HLOOKUP($K2479,'Type Chart'!$C$2:$U$20,11,false)</f>
        <v>2</v>
      </c>
      <c r="AE2479" s="960">
        <f t="array" ref="AE2479">HLOOKUP($J2479,'Type Chart'!$C$2:$T$20,12,false)*HLOOKUP($K2479,'Type Chart'!$C$2:$U$20,12,false)</f>
        <v>1</v>
      </c>
      <c r="AF2479" s="960">
        <f t="array" ref="AF2479">HLOOKUP($J2479,'Type Chart'!$C$2:$T$20,13,false)*HLOOKUP($K2479,'Type Chart'!$C$2:$U$20,13,false)</f>
        <v>0.5</v>
      </c>
      <c r="AG2479" s="960">
        <f t="array" ref="AG2479">HLOOKUP($J2479,'Type Chart'!$C$2:$T$20,14,false)*HLOOKUP($K2479,'Type Chart'!$C$2:$U$20,14,false)</f>
        <v>1</v>
      </c>
      <c r="AH2479" s="960">
        <f t="array" ref="AH2479">HLOOKUP($J2479,'Type Chart'!$C$2:$T$20,15,false)*HLOOKUP($K2479,'Type Chart'!$C$2:$U$20,15,false)</f>
        <v>2</v>
      </c>
      <c r="AI2479" s="960">
        <f t="array" ref="AI2479">HLOOKUP($J2479,'Type Chart'!$C$2:$T$20,16,false)*HLOOKUP($K2479,'Type Chart'!$C$2:$U$20,16,false)</f>
        <v>1</v>
      </c>
      <c r="AJ2479" s="960">
        <f t="array" ref="AJ2479">HLOOKUP($J2479,'Type Chart'!$C$2:$T$20,17,false)*HLOOKUP($K2479,'Type Chart'!$C$2:$U$20,17,false)</f>
        <v>1</v>
      </c>
      <c r="AK2479" s="960">
        <f t="array" ref="AK2479">HLOOKUP($J2479,'Type Chart'!$C$2:$T$20,18,false)*HLOOKUP($K2479,'Type Chart'!$C$2:$U$20,18,false)</f>
        <v>0.5</v>
      </c>
      <c r="AL2479" s="960">
        <f t="array" ref="AL2479">HLOOKUP($J2479,'Type Chart'!$C$2:$T$20,19,false)*HLOOKUP($K2479,'Type Chart'!$C$2:$U$20,19,false)</f>
        <v>2</v>
      </c>
      <c r="AM2479" s="964" t="s">
        <v>4283</v>
      </c>
      <c r="AN2479" s="965"/>
      <c r="AO2479" s="966"/>
      <c r="AP2479" s="936"/>
      <c r="AQ2479" s="1245"/>
      <c r="AR2479" s="1245"/>
      <c r="AS2479" s="936"/>
    </row>
    <row r="2480" ht="15.75" customHeight="1">
      <c r="A2480" s="1099"/>
      <c r="B2480" s="948">
        <v>985.0</v>
      </c>
      <c r="C2480" s="1197" t="s">
        <v>4297</v>
      </c>
      <c r="D2480" s="1197" t="s">
        <v>4298</v>
      </c>
      <c r="E2480" s="1147" t="s">
        <v>4297</v>
      </c>
      <c r="F2480" s="940"/>
      <c r="G2480" s="953"/>
      <c r="H2480" s="969"/>
      <c r="I2480" s="998" t="s">
        <v>5572</v>
      </c>
      <c r="J2480" s="1006" t="s">
        <v>346</v>
      </c>
      <c r="K2480" s="1195" t="s">
        <v>193</v>
      </c>
      <c r="L2480" s="959">
        <v>105.0</v>
      </c>
      <c r="M2480" s="960">
        <v>139.0</v>
      </c>
      <c r="N2480" s="960">
        <v>71.0</v>
      </c>
      <c r="O2480" s="960">
        <v>55.0</v>
      </c>
      <c r="P2480" s="960">
        <v>101.0</v>
      </c>
      <c r="Q2480" s="960">
        <v>119.0</v>
      </c>
      <c r="R2480" s="960">
        <v>274.0</v>
      </c>
      <c r="S2480" s="960">
        <v>337.0</v>
      </c>
      <c r="T2480" s="960">
        <v>370.0</v>
      </c>
      <c r="U2480" s="960">
        <f t="array" ref="U2480">HLOOKUP($J2480,'Type Chart'!$C$2:$T$20,2,false)*HLOOKUP($K2480,'Type Chart'!$C$2:$U$20,2,false)</f>
        <v>1</v>
      </c>
      <c r="V2480" s="960">
        <f t="array" ref="V2480">HLOOKUP($J2480,'Type Chart'!$C$2:$T$20,3,false)*HLOOKUP($K2480,'Type Chart'!$C$2:$U$20,3,false)</f>
        <v>2</v>
      </c>
      <c r="W2480" s="960">
        <f t="array" ref="W2480">HLOOKUP($J2480,'Type Chart'!$C$2:$T$20,4,false)*HLOOKUP($K2480,'Type Chart'!$C$2:$U$20,4,false)</f>
        <v>1</v>
      </c>
      <c r="X2480" s="960">
        <f t="array" ref="X2480">HLOOKUP($J2480,'Type Chart'!$C$2:$T$20,5,false)*HLOOKUP($K2480,'Type Chart'!$C$2:$U$20,5,false)</f>
        <v>1</v>
      </c>
      <c r="Y2480" s="960">
        <f t="array" ref="Y2480">HLOOKUP($J2480,'Type Chart'!$C$2:$T$20,6,false)*HLOOKUP($K2480,'Type Chart'!$C$2:$U$20,6,false)</f>
        <v>1</v>
      </c>
      <c r="Z2480" s="960">
        <f t="array" ref="Z2480">HLOOKUP($J2480,'Type Chart'!$C$2:$T$20,7,false)*HLOOKUP($K2480,'Type Chart'!$C$2:$U$20,7,false)</f>
        <v>1</v>
      </c>
      <c r="AA2480" s="960">
        <f t="array" ref="AA2480">HLOOKUP($J2480,'Type Chart'!$C$2:$T$20,8,false)*HLOOKUP($K2480,'Type Chart'!$C$2:$U$20,8,false)</f>
        <v>2</v>
      </c>
      <c r="AB2480" s="960">
        <f t="array" ref="AB2480">HLOOKUP($J2480,'Type Chart'!$C$2:$T$20,9,false)*HLOOKUP($K2480,'Type Chart'!$C$2:$U$20,9,false)</f>
        <v>0.5</v>
      </c>
      <c r="AC2480" s="960">
        <f t="array" ref="AC2480">HLOOKUP($J2480,'Type Chart'!$C$2:$T$20,10,false)*HLOOKUP($K2480,'Type Chart'!$C$2:$U$20,10,false)</f>
        <v>1</v>
      </c>
      <c r="AD2480" s="960">
        <f t="array" ref="AD2480">HLOOKUP($J2480,'Type Chart'!$C$2:$T$20,11,false)*HLOOKUP($K2480,'Type Chart'!$C$2:$U$20,11,false)</f>
        <v>0.5</v>
      </c>
      <c r="AE2480" s="960">
        <f t="array" ref="AE2480">HLOOKUP($J2480,'Type Chart'!$C$2:$T$20,12,false)*HLOOKUP($K2480,'Type Chart'!$C$2:$U$20,12,false)</f>
        <v>0.5</v>
      </c>
      <c r="AF2480" s="960">
        <f t="array" ref="AF2480">HLOOKUP($J2480,'Type Chart'!$C$2:$T$20,13,false)*HLOOKUP($K2480,'Type Chart'!$C$2:$U$20,13,false)</f>
        <v>0.5</v>
      </c>
      <c r="AG2480" s="960">
        <f t="array" ref="AG2480">HLOOKUP($J2480,'Type Chart'!$C$2:$T$20,14,false)*HLOOKUP($K2480,'Type Chart'!$C$2:$U$20,14,false)</f>
        <v>0.5</v>
      </c>
      <c r="AH2480" s="960">
        <f t="array" ref="AH2480">HLOOKUP($J2480,'Type Chart'!$C$2:$T$20,15,false)*HLOOKUP($K2480,'Type Chart'!$C$2:$U$20,15,false)</f>
        <v>0</v>
      </c>
      <c r="AI2480" s="960">
        <f t="array" ref="AI2480">HLOOKUP($J2480,'Type Chart'!$C$2:$T$20,16,false)*HLOOKUP($K2480,'Type Chart'!$C$2:$U$20,16,false)</f>
        <v>2</v>
      </c>
      <c r="AJ2480" s="960">
        <f t="array" ref="AJ2480">HLOOKUP($J2480,'Type Chart'!$C$2:$T$20,17,false)*HLOOKUP($K2480,'Type Chart'!$C$2:$U$20,17,false)</f>
        <v>2</v>
      </c>
      <c r="AK2480" s="960">
        <f t="array" ref="AK2480">HLOOKUP($J2480,'Type Chart'!$C$2:$T$20,18,false)*HLOOKUP($K2480,'Type Chart'!$C$2:$U$20,18,false)</f>
        <v>0.5</v>
      </c>
      <c r="AL2480" s="960">
        <f t="array" ref="AL2480">HLOOKUP($J2480,'Type Chart'!$C$2:$T$20,19,false)*HLOOKUP($K2480,'Type Chart'!$C$2:$U$20,19,false)</f>
        <v>4</v>
      </c>
      <c r="AM2480" s="1145" t="s">
        <v>4283</v>
      </c>
      <c r="AN2480" s="965"/>
      <c r="AO2480" s="1146"/>
      <c r="AP2480" s="936"/>
      <c r="AQ2480" s="1245"/>
      <c r="AR2480" s="1245"/>
      <c r="AS2480" s="936"/>
    </row>
    <row r="2481" ht="15.75" customHeight="1">
      <c r="A2481" s="1099"/>
      <c r="B2481" s="948">
        <v>986.0</v>
      </c>
      <c r="C2481" s="1197" t="s">
        <v>4299</v>
      </c>
      <c r="D2481" s="1197" t="s">
        <v>4300</v>
      </c>
      <c r="E2481" s="1147" t="s">
        <v>4299</v>
      </c>
      <c r="F2481" s="940"/>
      <c r="G2481" s="953"/>
      <c r="H2481" s="969"/>
      <c r="I2481" s="998" t="s">
        <v>5573</v>
      </c>
      <c r="J2481" s="1204" t="s">
        <v>80</v>
      </c>
      <c r="K2481" s="1206" t="s">
        <v>82</v>
      </c>
      <c r="L2481" s="959">
        <v>90.0</v>
      </c>
      <c r="M2481" s="960">
        <v>112.0</v>
      </c>
      <c r="N2481" s="960">
        <v>120.0</v>
      </c>
      <c r="O2481" s="960">
        <v>72.0</v>
      </c>
      <c r="P2481" s="960">
        <v>70.0</v>
      </c>
      <c r="Q2481" s="960">
        <v>106.0</v>
      </c>
      <c r="R2481" s="960">
        <v>248.0</v>
      </c>
      <c r="S2481" s="960">
        <v>311.0</v>
      </c>
      <c r="T2481" s="960">
        <v>342.0</v>
      </c>
      <c r="U2481" s="960">
        <f t="array" ref="U2481">HLOOKUP($J2481,'Type Chart'!$C$2:$T$20,2,false)*HLOOKUP($K2481,'Type Chart'!$C$2:$U$20,2,false)</f>
        <v>0.5</v>
      </c>
      <c r="V2481" s="960">
        <f t="array" ref="V2481">HLOOKUP($J2481,'Type Chart'!$C$2:$T$20,3,false)*HLOOKUP($K2481,'Type Chart'!$C$2:$U$20,3,false)</f>
        <v>2</v>
      </c>
      <c r="W2481" s="960">
        <f t="array" ref="W2481">HLOOKUP($J2481,'Type Chart'!$C$2:$T$20,4,false)*HLOOKUP($K2481,'Type Chart'!$C$2:$U$20,4,false)</f>
        <v>0.5</v>
      </c>
      <c r="X2481" s="960">
        <f t="array" ref="X2481">HLOOKUP($J2481,'Type Chart'!$C$2:$T$20,5,false)*HLOOKUP($K2481,'Type Chart'!$C$2:$U$20,5,false)</f>
        <v>0</v>
      </c>
      <c r="Y2481" s="960">
        <f t="array" ref="Y2481">HLOOKUP($J2481,'Type Chart'!$C$2:$T$20,6,false)*HLOOKUP($K2481,'Type Chart'!$C$2:$U$20,6,false)</f>
        <v>2</v>
      </c>
      <c r="Z2481" s="960">
        <f t="array" ref="Z2481">HLOOKUP($J2481,'Type Chart'!$C$2:$T$20,7,false)*HLOOKUP($K2481,'Type Chart'!$C$2:$U$20,7,false)</f>
        <v>0.25</v>
      </c>
      <c r="AA2481" s="960">
        <f t="array" ref="AA2481">HLOOKUP($J2481,'Type Chart'!$C$2:$T$20,8,false)*HLOOKUP($K2481,'Type Chart'!$C$2:$U$20,8,false)</f>
        <v>0.5</v>
      </c>
      <c r="AB2481" s="960">
        <f t="array" ref="AB2481">HLOOKUP($J2481,'Type Chart'!$C$2:$T$20,9,false)*HLOOKUP($K2481,'Type Chart'!$C$2:$U$20,9,false)</f>
        <v>1</v>
      </c>
      <c r="AC2481" s="960">
        <f t="array" ref="AC2481">HLOOKUP($J2481,'Type Chart'!$C$2:$T$20,10,false)*HLOOKUP($K2481,'Type Chart'!$C$2:$U$20,10,false)</f>
        <v>0.5</v>
      </c>
      <c r="AD2481" s="960">
        <f t="array" ref="AD2481">HLOOKUP($J2481,'Type Chart'!$C$2:$T$20,11,false)*HLOOKUP($K2481,'Type Chart'!$C$2:$U$20,11,false)</f>
        <v>2</v>
      </c>
      <c r="AE2481" s="960">
        <f t="array" ref="AE2481">HLOOKUP($J2481,'Type Chart'!$C$2:$T$20,12,false)*HLOOKUP($K2481,'Type Chart'!$C$2:$U$20,12,false)</f>
        <v>2</v>
      </c>
      <c r="AF2481" s="960">
        <f t="array" ref="AF2481">HLOOKUP($J2481,'Type Chart'!$C$2:$T$20,13,false)*HLOOKUP($K2481,'Type Chart'!$C$2:$U$20,13,false)</f>
        <v>1</v>
      </c>
      <c r="AG2481" s="960">
        <f t="array" ref="AG2481">HLOOKUP($J2481,'Type Chart'!$C$2:$T$20,14,false)*HLOOKUP($K2481,'Type Chart'!$C$2:$U$20,14,false)</f>
        <v>0</v>
      </c>
      <c r="AH2481" s="960">
        <f t="array" ref="AH2481">HLOOKUP($J2481,'Type Chart'!$C$2:$T$20,15,false)*HLOOKUP($K2481,'Type Chart'!$C$2:$U$20,15,false)</f>
        <v>0.5</v>
      </c>
      <c r="AI2481" s="960">
        <f t="array" ref="AI2481">HLOOKUP($J2481,'Type Chart'!$C$2:$T$20,16,false)*HLOOKUP($K2481,'Type Chart'!$C$2:$U$20,16,false)</f>
        <v>1</v>
      </c>
      <c r="AJ2481" s="960">
        <f t="array" ref="AJ2481">HLOOKUP($J2481,'Type Chart'!$C$2:$T$20,17,false)*HLOOKUP($K2481,'Type Chart'!$C$2:$U$20,17,false)</f>
        <v>0.5</v>
      </c>
      <c r="AK2481" s="960">
        <f t="array" ref="AK2481">HLOOKUP($J2481,'Type Chart'!$C$2:$T$20,18,false)*HLOOKUP($K2481,'Type Chart'!$C$2:$U$20,18,false)</f>
        <v>1</v>
      </c>
      <c r="AL2481" s="960">
        <f t="array" ref="AL2481">HLOOKUP($J2481,'Type Chart'!$C$2:$T$20,19,false)*HLOOKUP($K2481,'Type Chart'!$C$2:$U$20,19,false)</f>
        <v>0.5</v>
      </c>
      <c r="AM2481" s="964" t="s">
        <v>4301</v>
      </c>
      <c r="AN2481" s="965"/>
      <c r="AO2481" s="966"/>
      <c r="AP2481" s="936"/>
      <c r="AQ2481" s="1245"/>
      <c r="AR2481" s="1245"/>
      <c r="AS2481" s="936"/>
    </row>
    <row r="2482" ht="15.75" customHeight="1">
      <c r="A2482" s="1099"/>
      <c r="B2482" s="948">
        <v>987.0</v>
      </c>
      <c r="C2482" s="1197" t="s">
        <v>4302</v>
      </c>
      <c r="D2482" s="1197" t="s">
        <v>4303</v>
      </c>
      <c r="E2482" s="1147" t="s">
        <v>4286</v>
      </c>
      <c r="F2482" s="940"/>
      <c r="G2482" s="953"/>
      <c r="H2482" s="969"/>
      <c r="I2482" s="998" t="s">
        <v>5574</v>
      </c>
      <c r="J2482" s="1228" t="s">
        <v>209</v>
      </c>
      <c r="K2482" s="1239" t="s">
        <v>344</v>
      </c>
      <c r="L2482" s="1237">
        <v>90.0</v>
      </c>
      <c r="M2482" s="1238">
        <v>130.0</v>
      </c>
      <c r="N2482" s="1238">
        <v>88.0</v>
      </c>
      <c r="O2482" s="1238">
        <v>70.0</v>
      </c>
      <c r="P2482" s="1238">
        <v>108.0</v>
      </c>
      <c r="Q2482" s="1238">
        <v>104.0</v>
      </c>
      <c r="R2482" s="960">
        <v>244.0</v>
      </c>
      <c r="S2482" s="960">
        <v>307.0</v>
      </c>
      <c r="T2482" s="960">
        <v>337.0</v>
      </c>
      <c r="U2482" s="960">
        <f t="array" ref="U2482">HLOOKUP($J2482,'Type Chart'!$C$2:$T$20,2,false)*HLOOKUP($K2482,'Type Chart'!$C$2:$U$20,2,false)</f>
        <v>1</v>
      </c>
      <c r="V2482" s="960">
        <f t="array" ref="V2482">HLOOKUP($J2482,'Type Chart'!$C$2:$T$20,3,false)*HLOOKUP($K2482,'Type Chart'!$C$2:$U$20,3,false)</f>
        <v>0.5</v>
      </c>
      <c r="W2482" s="960">
        <f t="array" ref="W2482">HLOOKUP($J2482,'Type Chart'!$C$2:$T$20,4,false)*HLOOKUP($K2482,'Type Chart'!$C$2:$U$20,4,false)</f>
        <v>2</v>
      </c>
      <c r="X2482" s="960">
        <f t="array" ref="X2482">HLOOKUP($J2482,'Type Chart'!$C$2:$T$20,5,false)*HLOOKUP($K2482,'Type Chart'!$C$2:$U$20,5,false)</f>
        <v>2</v>
      </c>
      <c r="Y2482" s="960">
        <f t="array" ref="Y2482">HLOOKUP($J2482,'Type Chart'!$C$2:$T$20,6,false)*HLOOKUP($K2482,'Type Chart'!$C$2:$U$20,6,false)</f>
        <v>0.5</v>
      </c>
      <c r="Z2482" s="960">
        <f t="array" ref="Z2482">HLOOKUP($J2482,'Type Chart'!$C$2:$T$20,7,false)*HLOOKUP($K2482,'Type Chart'!$C$2:$U$20,7,false)</f>
        <v>1</v>
      </c>
      <c r="AA2482" s="960">
        <f t="array" ref="AA2482">HLOOKUP($J2482,'Type Chart'!$C$2:$T$20,8,false)*HLOOKUP($K2482,'Type Chart'!$C$2:$U$20,8,false)</f>
        <v>4</v>
      </c>
      <c r="AB2482" s="960">
        <f t="array" ref="AB2482">HLOOKUP($J2482,'Type Chart'!$C$2:$T$20,9,false)*HLOOKUP($K2482,'Type Chart'!$C$2:$U$20,9,false)</f>
        <v>2</v>
      </c>
      <c r="AC2482" s="960">
        <f t="array" ref="AC2482">HLOOKUP($J2482,'Type Chart'!$C$2:$T$20,10,false)*HLOOKUP($K2482,'Type Chart'!$C$2:$U$20,10,false)</f>
        <v>1</v>
      </c>
      <c r="AD2482" s="960">
        <f t="array" ref="AD2482">HLOOKUP($J2482,'Type Chart'!$C$2:$T$20,11,false)*HLOOKUP($K2482,'Type Chart'!$C$2:$U$20,11,false)</f>
        <v>2</v>
      </c>
      <c r="AE2482" s="960">
        <f t="array" ref="AE2482">HLOOKUP($J2482,'Type Chart'!$C$2:$T$20,12,false)*HLOOKUP($K2482,'Type Chart'!$C$2:$U$20,12,false)</f>
        <v>0.5</v>
      </c>
      <c r="AF2482" s="960">
        <f t="array" ref="AF2482">HLOOKUP($J2482,'Type Chart'!$C$2:$T$20,13,false)*HLOOKUP($K2482,'Type Chart'!$C$2:$U$20,13,false)</f>
        <v>0.5</v>
      </c>
      <c r="AG2482" s="960">
        <f t="array" ref="AG2482">HLOOKUP($J2482,'Type Chart'!$C$2:$T$20,14,false)*HLOOKUP($K2482,'Type Chart'!$C$2:$U$20,14,false)</f>
        <v>0.5</v>
      </c>
      <c r="AH2482" s="960">
        <f t="array" ref="AH2482">HLOOKUP($J2482,'Type Chart'!$C$2:$T$20,15,false)*HLOOKUP($K2482,'Type Chart'!$C$2:$U$20,15,false)</f>
        <v>0.5</v>
      </c>
      <c r="AI2482" s="960">
        <f t="array" ref="AI2482">HLOOKUP($J2482,'Type Chart'!$C$2:$T$20,16,false)*HLOOKUP($K2482,'Type Chart'!$C$2:$U$20,16,false)</f>
        <v>2</v>
      </c>
      <c r="AJ2482" s="960">
        <f t="array" ref="AJ2482">HLOOKUP($J2482,'Type Chart'!$C$2:$T$20,17,false)*HLOOKUP($K2482,'Type Chart'!$C$2:$U$20,17,false)</f>
        <v>1</v>
      </c>
      <c r="AK2482" s="960">
        <f t="array" ref="AK2482">HLOOKUP($J2482,'Type Chart'!$C$2:$T$20,18,false)*HLOOKUP($K2482,'Type Chart'!$C$2:$U$20,18,false)</f>
        <v>2</v>
      </c>
      <c r="AL2482" s="960">
        <f t="array" ref="AL2482">HLOOKUP($J2482,'Type Chart'!$C$2:$T$20,19,false)*HLOOKUP($K2482,'Type Chart'!$C$2:$U$20,19,false)</f>
        <v>1</v>
      </c>
      <c r="AM2482" s="964"/>
      <c r="AN2482" s="965"/>
      <c r="AO2482" s="966"/>
      <c r="AP2482" s="936"/>
      <c r="AQ2482" s="1245"/>
      <c r="AR2482" s="1245"/>
      <c r="AS2482" s="936"/>
    </row>
    <row r="2483" ht="15.75" customHeight="1">
      <c r="A2483" s="1099"/>
      <c r="B2483" s="948">
        <v>988.0</v>
      </c>
      <c r="C2483" s="1197" t="s">
        <v>4304</v>
      </c>
      <c r="D2483" s="1197" t="s">
        <v>4305</v>
      </c>
      <c r="E2483" s="1147" t="s">
        <v>4304</v>
      </c>
      <c r="F2483" s="940"/>
      <c r="G2483" s="953"/>
      <c r="H2483" s="969"/>
      <c r="I2483" s="998" t="s">
        <v>5575</v>
      </c>
      <c r="J2483" s="982" t="s">
        <v>150</v>
      </c>
      <c r="K2483" s="958" t="s">
        <v>178</v>
      </c>
      <c r="L2483" s="959">
        <v>80.0</v>
      </c>
      <c r="M2483" s="960">
        <v>70.0</v>
      </c>
      <c r="N2483" s="960">
        <v>60.0</v>
      </c>
      <c r="O2483" s="960">
        <v>140.0</v>
      </c>
      <c r="P2483" s="960">
        <v>110.0</v>
      </c>
      <c r="Q2483" s="960">
        <v>110.0</v>
      </c>
      <c r="R2483" s="960">
        <v>256.0</v>
      </c>
      <c r="S2483" s="960">
        <v>319.0</v>
      </c>
      <c r="T2483" s="960">
        <v>350.0</v>
      </c>
      <c r="U2483" s="960">
        <f t="array" ref="U2483">HLOOKUP($J2483,'Type Chart'!$C$2:$T$20,2,false)*HLOOKUP($K2483,'Type Chart'!$C$2:$U$20,2,false)</f>
        <v>1</v>
      </c>
      <c r="V2483" s="960">
        <f t="array" ref="V2483">HLOOKUP($J2483,'Type Chart'!$C$2:$T$20,3,false)*HLOOKUP($K2483,'Type Chart'!$C$2:$U$20,3,false)</f>
        <v>0.5</v>
      </c>
      <c r="W2483" s="960">
        <f t="array" ref="W2483">HLOOKUP($J2483,'Type Chart'!$C$2:$T$20,4,false)*HLOOKUP($K2483,'Type Chart'!$C$2:$U$20,4,false)</f>
        <v>1</v>
      </c>
      <c r="X2483" s="960">
        <f t="array" ref="X2483">HLOOKUP($J2483,'Type Chart'!$C$2:$T$20,5,false)*HLOOKUP($K2483,'Type Chart'!$C$2:$U$20,5,false)</f>
        <v>0.5</v>
      </c>
      <c r="Y2483" s="960">
        <f t="array" ref="Y2483">HLOOKUP($J2483,'Type Chart'!$C$2:$T$20,6,false)*HLOOKUP($K2483,'Type Chart'!$C$2:$U$20,6,false)</f>
        <v>4</v>
      </c>
      <c r="Z2483" s="960">
        <f t="array" ref="Z2483">HLOOKUP($J2483,'Type Chart'!$C$2:$T$20,7,false)*HLOOKUP($K2483,'Type Chart'!$C$2:$U$20,7,false)</f>
        <v>2</v>
      </c>
      <c r="AA2483" s="960">
        <f t="array" ref="AA2483">HLOOKUP($J2483,'Type Chart'!$C$2:$T$20,8,false)*HLOOKUP($K2483,'Type Chart'!$C$2:$U$20,8,false)</f>
        <v>0.25</v>
      </c>
      <c r="AB2483" s="960">
        <f t="array" ref="AB2483">HLOOKUP($J2483,'Type Chart'!$C$2:$T$20,9,false)*HLOOKUP($K2483,'Type Chart'!$C$2:$U$20,9,false)</f>
        <v>1</v>
      </c>
      <c r="AC2483" s="960">
        <f t="array" ref="AC2483">HLOOKUP($J2483,'Type Chart'!$C$2:$T$20,10,false)*HLOOKUP($K2483,'Type Chart'!$C$2:$U$20,10,false)</f>
        <v>0.5</v>
      </c>
      <c r="AD2483" s="960">
        <f t="array" ref="AD2483">HLOOKUP($J2483,'Type Chart'!$C$2:$T$20,11,false)*HLOOKUP($K2483,'Type Chart'!$C$2:$U$20,11,false)</f>
        <v>0.5</v>
      </c>
      <c r="AE2483" s="960">
        <f t="array" ref="AE2483">HLOOKUP($J2483,'Type Chart'!$C$2:$T$20,12,false)*HLOOKUP($K2483,'Type Chart'!$C$2:$U$20,12,false)</f>
        <v>2</v>
      </c>
      <c r="AF2483" s="960">
        <f t="array" ref="AF2483">HLOOKUP($J2483,'Type Chart'!$C$2:$T$20,13,false)*HLOOKUP($K2483,'Type Chart'!$C$2:$U$20,13,false)</f>
        <v>0.25</v>
      </c>
      <c r="AG2483" s="960">
        <f t="array" ref="AG2483">HLOOKUP($J2483,'Type Chart'!$C$2:$T$20,14,false)*HLOOKUP($K2483,'Type Chart'!$C$2:$U$20,14,false)</f>
        <v>1</v>
      </c>
      <c r="AH2483" s="960">
        <f t="array" ref="AH2483">HLOOKUP($J2483,'Type Chart'!$C$2:$T$20,15,false)*HLOOKUP($K2483,'Type Chart'!$C$2:$U$20,15,false)</f>
        <v>2</v>
      </c>
      <c r="AI2483" s="960">
        <f t="array" ref="AI2483">HLOOKUP($J2483,'Type Chart'!$C$2:$T$20,16,false)*HLOOKUP($K2483,'Type Chart'!$C$2:$U$20,16,false)</f>
        <v>0.5</v>
      </c>
      <c r="AJ2483" s="960">
        <f t="array" ref="AJ2483">HLOOKUP($J2483,'Type Chart'!$C$2:$T$20,17,false)*HLOOKUP($K2483,'Type Chart'!$C$2:$U$20,17,false)</f>
        <v>1</v>
      </c>
      <c r="AK2483" s="960">
        <f t="array" ref="AK2483">HLOOKUP($J2483,'Type Chart'!$C$2:$T$20,18,false)*HLOOKUP($K2483,'Type Chart'!$C$2:$U$20,18,false)</f>
        <v>1</v>
      </c>
      <c r="AL2483" s="960">
        <f t="array" ref="AL2483">HLOOKUP($J2483,'Type Chart'!$C$2:$T$20,19,false)*HLOOKUP($K2483,'Type Chart'!$C$2:$U$20,19,false)</f>
        <v>0.25</v>
      </c>
      <c r="AM2483" s="964" t="s">
        <v>4301</v>
      </c>
      <c r="AN2483" s="965"/>
      <c r="AO2483" s="966"/>
      <c r="AP2483" s="936"/>
      <c r="AQ2483" s="1245"/>
      <c r="AR2483" s="1245"/>
      <c r="AS2483" s="936"/>
    </row>
    <row r="2484" ht="15.75" customHeight="1">
      <c r="A2484" s="1099"/>
      <c r="B2484" s="948">
        <v>989.0</v>
      </c>
      <c r="C2484" s="1197" t="s">
        <v>4306</v>
      </c>
      <c r="D2484" s="1197" t="s">
        <v>4307</v>
      </c>
      <c r="E2484" s="1147" t="s">
        <v>4306</v>
      </c>
      <c r="F2484" s="940"/>
      <c r="G2484" s="953"/>
      <c r="H2484" s="969"/>
      <c r="I2484" s="998" t="s">
        <v>5576</v>
      </c>
      <c r="J2484" s="1213" t="s">
        <v>341</v>
      </c>
      <c r="K2484" s="1196" t="s">
        <v>203</v>
      </c>
      <c r="L2484" s="959">
        <v>154.0</v>
      </c>
      <c r="M2484" s="960">
        <v>140.0</v>
      </c>
      <c r="N2484" s="960">
        <v>108.0</v>
      </c>
      <c r="O2484" s="960">
        <v>50.0</v>
      </c>
      <c r="P2484" s="960">
        <v>68.0</v>
      </c>
      <c r="Q2484" s="960">
        <v>50.0</v>
      </c>
      <c r="R2484" s="960">
        <v>136.0</v>
      </c>
      <c r="S2484" s="960">
        <v>199.0</v>
      </c>
      <c r="T2484" s="960">
        <v>218.0</v>
      </c>
      <c r="U2484" s="960">
        <f t="array" ref="U2484">HLOOKUP($J2484,'Type Chart'!$C$2:$T$20,2,false)*HLOOKUP($K2484,'Type Chart'!$C$2:$U$20,2,false)</f>
        <v>1</v>
      </c>
      <c r="V2484" s="960">
        <f t="array" ref="V2484">HLOOKUP($J2484,'Type Chart'!$C$2:$T$20,3,false)*HLOOKUP($K2484,'Type Chart'!$C$2:$U$20,3,false)</f>
        <v>1</v>
      </c>
      <c r="W2484" s="960">
        <f t="array" ref="W2484">HLOOKUP($J2484,'Type Chart'!$C$2:$T$20,4,false)*HLOOKUP($K2484,'Type Chart'!$C$2:$U$20,4,false)</f>
        <v>1</v>
      </c>
      <c r="X2484" s="960">
        <f t="array" ref="X2484">HLOOKUP($J2484,'Type Chart'!$C$2:$T$20,5,false)*HLOOKUP($K2484,'Type Chart'!$C$2:$U$20,5,false)</f>
        <v>1</v>
      </c>
      <c r="Y2484" s="960">
        <f t="array" ref="Y2484">HLOOKUP($J2484,'Type Chart'!$C$2:$T$20,6,false)*HLOOKUP($K2484,'Type Chart'!$C$2:$U$20,6,false)</f>
        <v>2</v>
      </c>
      <c r="Z2484" s="960">
        <f t="array" ref="Z2484">HLOOKUP($J2484,'Type Chart'!$C$2:$T$20,7,false)*HLOOKUP($K2484,'Type Chart'!$C$2:$U$20,7,false)</f>
        <v>0.5</v>
      </c>
      <c r="AA2484" s="960">
        <f t="array" ref="AA2484">HLOOKUP($J2484,'Type Chart'!$C$2:$T$20,8,false)*HLOOKUP($K2484,'Type Chart'!$C$2:$U$20,8,false)</f>
        <v>0.5</v>
      </c>
      <c r="AB2484" s="960">
        <f t="array" ref="AB2484">HLOOKUP($J2484,'Type Chart'!$C$2:$T$20,9,false)*HLOOKUP($K2484,'Type Chart'!$C$2:$U$20,9,false)</f>
        <v>1</v>
      </c>
      <c r="AC2484" s="960">
        <f t="array" ref="AC2484">HLOOKUP($J2484,'Type Chart'!$C$2:$T$20,10,false)*HLOOKUP($K2484,'Type Chart'!$C$2:$U$20,10,false)</f>
        <v>0.5</v>
      </c>
      <c r="AD2484" s="960">
        <f t="array" ref="AD2484">HLOOKUP($J2484,'Type Chart'!$C$2:$T$20,11,false)*HLOOKUP($K2484,'Type Chart'!$C$2:$U$20,11,false)</f>
        <v>1</v>
      </c>
      <c r="AE2484" s="960">
        <f t="array" ref="AE2484">HLOOKUP($J2484,'Type Chart'!$C$2:$T$20,12,false)*HLOOKUP($K2484,'Type Chart'!$C$2:$U$20,12,false)</f>
        <v>1</v>
      </c>
      <c r="AF2484" s="960">
        <f t="array" ref="AF2484">HLOOKUP($J2484,'Type Chart'!$C$2:$T$20,13,false)*HLOOKUP($K2484,'Type Chart'!$C$2:$U$20,13,false)</f>
        <v>1</v>
      </c>
      <c r="AG2484" s="960">
        <f t="array" ref="AG2484">HLOOKUP($J2484,'Type Chart'!$C$2:$T$20,14,false)*HLOOKUP($K2484,'Type Chart'!$C$2:$U$20,14,false)</f>
        <v>0.5</v>
      </c>
      <c r="AH2484" s="960">
        <f t="array" ref="AH2484">HLOOKUP($J2484,'Type Chart'!$C$2:$T$20,15,false)*HLOOKUP($K2484,'Type Chart'!$C$2:$U$20,15,false)</f>
        <v>2</v>
      </c>
      <c r="AI2484" s="960">
        <f t="array" ref="AI2484">HLOOKUP($J2484,'Type Chart'!$C$2:$T$20,16,false)*HLOOKUP($K2484,'Type Chart'!$C$2:$U$20,16,false)</f>
        <v>1</v>
      </c>
      <c r="AJ2484" s="960">
        <f t="array" ref="AJ2484">HLOOKUP($J2484,'Type Chart'!$C$2:$T$20,17,false)*HLOOKUP($K2484,'Type Chart'!$C$2:$U$20,17,false)</f>
        <v>1</v>
      </c>
      <c r="AK2484" s="960">
        <f t="array" ref="AK2484">HLOOKUP($J2484,'Type Chart'!$C$2:$T$20,18,false)*HLOOKUP($K2484,'Type Chart'!$C$2:$U$20,18,false)</f>
        <v>0.5</v>
      </c>
      <c r="AL2484" s="960">
        <f t="array" ref="AL2484">HLOOKUP($J2484,'Type Chart'!$C$2:$T$20,19,false)*HLOOKUP($K2484,'Type Chart'!$C$2:$U$20,19,false)</f>
        <v>2</v>
      </c>
      <c r="AM2484" s="964" t="s">
        <v>4301</v>
      </c>
      <c r="AN2484" s="965"/>
      <c r="AO2484" s="966"/>
      <c r="AP2484" s="936"/>
      <c r="AQ2484" s="1245"/>
      <c r="AR2484" s="1245"/>
      <c r="AS2484" s="936"/>
    </row>
    <row r="2485" ht="15.75" customHeight="1">
      <c r="A2485" s="1099"/>
      <c r="B2485" s="948">
        <v>990.0</v>
      </c>
      <c r="C2485" s="1197" t="s">
        <v>4308</v>
      </c>
      <c r="D2485" s="1197" t="s">
        <v>4309</v>
      </c>
      <c r="E2485" s="1147" t="s">
        <v>4308</v>
      </c>
      <c r="F2485" s="940"/>
      <c r="G2485" s="953"/>
      <c r="H2485" s="969"/>
      <c r="I2485" s="998" t="s">
        <v>5577</v>
      </c>
      <c r="J2485" s="1195" t="s">
        <v>193</v>
      </c>
      <c r="K2485" s="1001" t="s">
        <v>128</v>
      </c>
      <c r="L2485" s="959">
        <v>94.0</v>
      </c>
      <c r="M2485" s="960">
        <v>80.0</v>
      </c>
      <c r="N2485" s="960">
        <v>86.0</v>
      </c>
      <c r="O2485" s="960">
        <v>122.0</v>
      </c>
      <c r="P2485" s="960">
        <v>80.0</v>
      </c>
      <c r="Q2485" s="960">
        <v>108.0</v>
      </c>
      <c r="R2485" s="960">
        <v>252.0</v>
      </c>
      <c r="S2485" s="960">
        <v>315.0</v>
      </c>
      <c r="T2485" s="960">
        <v>346.0</v>
      </c>
      <c r="U2485" s="960">
        <f t="array" ref="U2485">HLOOKUP($J2485,'Type Chart'!$C$2:$T$20,2,false)*HLOOKUP($K2485,'Type Chart'!$C$2:$U$20,2,false)</f>
        <v>1</v>
      </c>
      <c r="V2485" s="960">
        <f t="array" ref="V2485">HLOOKUP($J2485,'Type Chart'!$C$2:$T$20,3,false)*HLOOKUP($K2485,'Type Chart'!$C$2:$U$20,3,false)</f>
        <v>1</v>
      </c>
      <c r="W2485" s="960">
        <f t="array" ref="W2485">HLOOKUP($J2485,'Type Chart'!$C$2:$T$20,4,false)*HLOOKUP($K2485,'Type Chart'!$C$2:$U$20,4,false)</f>
        <v>1</v>
      </c>
      <c r="X2485" s="960">
        <f t="array" ref="X2485">HLOOKUP($J2485,'Type Chart'!$C$2:$T$20,5,false)*HLOOKUP($K2485,'Type Chart'!$C$2:$U$20,5,false)</f>
        <v>1</v>
      </c>
      <c r="Y2485" s="960">
        <f t="array" ref="Y2485">HLOOKUP($J2485,'Type Chart'!$C$2:$T$20,6,false)*HLOOKUP($K2485,'Type Chart'!$C$2:$U$20,6,false)</f>
        <v>0</v>
      </c>
      <c r="Z2485" s="960">
        <f t="array" ref="Z2485">HLOOKUP($J2485,'Type Chart'!$C$2:$T$20,7,false)*HLOOKUP($K2485,'Type Chart'!$C$2:$U$20,7,false)</f>
        <v>2</v>
      </c>
      <c r="AA2485" s="960">
        <f t="array" ref="AA2485">HLOOKUP($J2485,'Type Chart'!$C$2:$T$20,8,false)*HLOOKUP($K2485,'Type Chart'!$C$2:$U$20,8,false)</f>
        <v>1</v>
      </c>
      <c r="AB2485" s="960">
        <f t="array" ref="AB2485">HLOOKUP($J2485,'Type Chart'!$C$2:$T$20,9,false)*HLOOKUP($K2485,'Type Chart'!$C$2:$U$20,9,false)</f>
        <v>0.5</v>
      </c>
      <c r="AC2485" s="960">
        <f t="array" ref="AC2485">HLOOKUP($J2485,'Type Chart'!$C$2:$T$20,10,false)*HLOOKUP($K2485,'Type Chart'!$C$2:$U$20,10,false)</f>
        <v>1</v>
      </c>
      <c r="AD2485" s="960">
        <f t="array" ref="AD2485">HLOOKUP($J2485,'Type Chart'!$C$2:$T$20,11,false)*HLOOKUP($K2485,'Type Chart'!$C$2:$U$20,11,false)</f>
        <v>1</v>
      </c>
      <c r="AE2485" s="960">
        <f t="array" ref="AE2485">HLOOKUP($J2485,'Type Chart'!$C$2:$T$20,12,false)*HLOOKUP($K2485,'Type Chart'!$C$2:$U$20,12,false)</f>
        <v>1</v>
      </c>
      <c r="AF2485" s="960">
        <f t="array" ref="AF2485">HLOOKUP($J2485,'Type Chart'!$C$2:$T$20,13,false)*HLOOKUP($K2485,'Type Chart'!$C$2:$U$20,13,false)</f>
        <v>0.5</v>
      </c>
      <c r="AG2485" s="960">
        <f t="array" ref="AG2485">HLOOKUP($J2485,'Type Chart'!$C$2:$T$20,14,false)*HLOOKUP($K2485,'Type Chart'!$C$2:$U$20,14,false)</f>
        <v>2</v>
      </c>
      <c r="AH2485" s="960">
        <f t="array" ref="AH2485">HLOOKUP($J2485,'Type Chart'!$C$2:$T$20,15,false)*HLOOKUP($K2485,'Type Chart'!$C$2:$U$20,15,false)</f>
        <v>0</v>
      </c>
      <c r="AI2485" s="960">
        <f t="array" ref="AI2485">HLOOKUP($J2485,'Type Chart'!$C$2:$T$20,16,false)*HLOOKUP($K2485,'Type Chart'!$C$2:$U$20,16,false)</f>
        <v>2</v>
      </c>
      <c r="AJ2485" s="960">
        <f t="array" ref="AJ2485">HLOOKUP($J2485,'Type Chart'!$C$2:$T$20,17,false)*HLOOKUP($K2485,'Type Chart'!$C$2:$U$20,17,false)</f>
        <v>1</v>
      </c>
      <c r="AK2485" s="960">
        <f t="array" ref="AK2485">HLOOKUP($J2485,'Type Chart'!$C$2:$T$20,18,false)*HLOOKUP($K2485,'Type Chart'!$C$2:$U$20,18,false)</f>
        <v>0.5</v>
      </c>
      <c r="AL2485" s="960">
        <f t="array" ref="AL2485">HLOOKUP($J2485,'Type Chart'!$C$2:$T$20,19,false)*HLOOKUP($K2485,'Type Chart'!$C$2:$U$20,19,false)</f>
        <v>2</v>
      </c>
      <c r="AM2485" s="1145" t="s">
        <v>4301</v>
      </c>
      <c r="AN2485" s="965"/>
      <c r="AO2485" s="966"/>
      <c r="AP2485" s="936"/>
      <c r="AQ2485" s="1245"/>
      <c r="AR2485" s="1245"/>
      <c r="AS2485" s="936"/>
    </row>
    <row r="2486" ht="15.75" customHeight="1">
      <c r="A2486" s="1099"/>
      <c r="B2486" s="948">
        <v>991.0</v>
      </c>
      <c r="C2486" s="1197" t="s">
        <v>4310</v>
      </c>
      <c r="D2486" s="1197" t="s">
        <v>4311</v>
      </c>
      <c r="E2486" s="1147" t="s">
        <v>4310</v>
      </c>
      <c r="F2486" s="940"/>
      <c r="G2486" s="953"/>
      <c r="H2486" s="969"/>
      <c r="I2486" s="998" t="s">
        <v>5578</v>
      </c>
      <c r="J2486" s="1214" t="s">
        <v>342</v>
      </c>
      <c r="K2486" s="1196" t="s">
        <v>203</v>
      </c>
      <c r="L2486" s="959">
        <v>100.0</v>
      </c>
      <c r="M2486" s="960">
        <v>134.0</v>
      </c>
      <c r="N2486" s="960">
        <v>110.0</v>
      </c>
      <c r="O2486" s="960">
        <v>70.0</v>
      </c>
      <c r="P2486" s="960">
        <v>84.0</v>
      </c>
      <c r="Q2486" s="960">
        <v>72.0</v>
      </c>
      <c r="R2486" s="960">
        <v>180.0</v>
      </c>
      <c r="S2486" s="960">
        <v>243.0</v>
      </c>
      <c r="T2486" s="960">
        <v>267.0</v>
      </c>
      <c r="U2486" s="960">
        <f t="array" ref="U2486">HLOOKUP($J2486,'Type Chart'!$C$2:$T$20,2,false)*HLOOKUP($K2486,'Type Chart'!$C$2:$U$20,2,false)</f>
        <v>0.5</v>
      </c>
      <c r="V2486" s="960">
        <f t="array" ref="V2486">HLOOKUP($J2486,'Type Chart'!$C$2:$T$20,3,false)*HLOOKUP($K2486,'Type Chart'!$C$2:$U$20,3,false)</f>
        <v>2</v>
      </c>
      <c r="W2486" s="960">
        <f t="array" ref="W2486">HLOOKUP($J2486,'Type Chart'!$C$2:$T$20,4,false)*HLOOKUP($K2486,'Type Chart'!$C$2:$U$20,4,false)</f>
        <v>0.25</v>
      </c>
      <c r="X2486" s="960">
        <f t="array" ref="X2486">HLOOKUP($J2486,'Type Chart'!$C$2:$T$20,5,false)*HLOOKUP($K2486,'Type Chart'!$C$2:$U$20,5,false)</f>
        <v>0.5</v>
      </c>
      <c r="Y2486" s="960">
        <f t="array" ref="Y2486">HLOOKUP($J2486,'Type Chart'!$C$2:$T$20,6,false)*HLOOKUP($K2486,'Type Chart'!$C$2:$U$20,6,false)</f>
        <v>4</v>
      </c>
      <c r="Z2486" s="960">
        <f t="array" ref="Z2486">HLOOKUP($J2486,'Type Chart'!$C$2:$T$20,7,false)*HLOOKUP($K2486,'Type Chart'!$C$2:$U$20,7,false)</f>
        <v>1</v>
      </c>
      <c r="AA2486" s="960">
        <f t="array" ref="AA2486">HLOOKUP($J2486,'Type Chart'!$C$2:$T$20,8,false)*HLOOKUP($K2486,'Type Chart'!$C$2:$U$20,8,false)</f>
        <v>1</v>
      </c>
      <c r="AB2486" s="960">
        <f t="array" ref="AB2486">HLOOKUP($J2486,'Type Chart'!$C$2:$T$20,9,false)*HLOOKUP($K2486,'Type Chart'!$C$2:$U$20,9,false)</f>
        <v>1</v>
      </c>
      <c r="AC2486" s="960">
        <f t="array" ref="AC2486">HLOOKUP($J2486,'Type Chart'!$C$2:$T$20,10,false)*HLOOKUP($K2486,'Type Chart'!$C$2:$U$20,10,false)</f>
        <v>1</v>
      </c>
      <c r="AD2486" s="960">
        <f t="array" ref="AD2486">HLOOKUP($J2486,'Type Chart'!$C$2:$T$20,11,false)*HLOOKUP($K2486,'Type Chart'!$C$2:$U$20,11,false)</f>
        <v>0.5</v>
      </c>
      <c r="AE2486" s="960">
        <f t="array" ref="AE2486">HLOOKUP($J2486,'Type Chart'!$C$2:$T$20,12,false)*HLOOKUP($K2486,'Type Chart'!$C$2:$U$20,12,false)</f>
        <v>2</v>
      </c>
      <c r="AF2486" s="960">
        <f t="array" ref="AF2486">HLOOKUP($J2486,'Type Chart'!$C$2:$T$20,13,false)*HLOOKUP($K2486,'Type Chart'!$C$2:$U$20,13,false)</f>
        <v>2</v>
      </c>
      <c r="AG2486" s="960">
        <f t="array" ref="AG2486">HLOOKUP($J2486,'Type Chart'!$C$2:$T$20,14,false)*HLOOKUP($K2486,'Type Chart'!$C$2:$U$20,14,false)</f>
        <v>0.5</v>
      </c>
      <c r="AH2486" s="960">
        <f t="array" ref="AH2486">HLOOKUP($J2486,'Type Chart'!$C$2:$T$20,15,false)*HLOOKUP($K2486,'Type Chart'!$C$2:$U$20,15,false)</f>
        <v>1</v>
      </c>
      <c r="AI2486" s="960">
        <f t="array" ref="AI2486">HLOOKUP($J2486,'Type Chart'!$C$2:$T$20,16,false)*HLOOKUP($K2486,'Type Chart'!$C$2:$U$20,16,false)</f>
        <v>1</v>
      </c>
      <c r="AJ2486" s="960">
        <f t="array" ref="AJ2486">HLOOKUP($J2486,'Type Chart'!$C$2:$T$20,17,false)*HLOOKUP($K2486,'Type Chart'!$C$2:$U$20,17,false)</f>
        <v>1</v>
      </c>
      <c r="AK2486" s="960">
        <f t="array" ref="AK2486">HLOOKUP($J2486,'Type Chart'!$C$2:$T$20,18,false)*HLOOKUP($K2486,'Type Chart'!$C$2:$U$20,18,false)</f>
        <v>1</v>
      </c>
      <c r="AL2486" s="960">
        <f t="array" ref="AL2486">HLOOKUP($J2486,'Type Chart'!$C$2:$T$20,19,false)*HLOOKUP($K2486,'Type Chart'!$C$2:$U$20,19,false)</f>
        <v>1</v>
      </c>
      <c r="AM2486" s="1145" t="s">
        <v>4301</v>
      </c>
      <c r="AN2486" s="965"/>
      <c r="AO2486" s="966"/>
      <c r="AP2486" s="936"/>
      <c r="AQ2486" s="1245"/>
      <c r="AR2486" s="1245"/>
      <c r="AS2486" s="936"/>
    </row>
    <row r="2487" ht="15.75" customHeight="1">
      <c r="A2487" s="1099"/>
      <c r="B2487" s="948">
        <v>992.0</v>
      </c>
      <c r="C2487" s="1197" t="s">
        <v>4312</v>
      </c>
      <c r="D2487" s="1197" t="s">
        <v>4313</v>
      </c>
      <c r="E2487" s="1147" t="s">
        <v>4312</v>
      </c>
      <c r="F2487" s="940"/>
      <c r="G2487" s="953"/>
      <c r="H2487" s="969"/>
      <c r="I2487" s="998" t="s">
        <v>5579</v>
      </c>
      <c r="J2487" s="1205" t="s">
        <v>345</v>
      </c>
      <c r="K2487" s="1056" t="s">
        <v>81</v>
      </c>
      <c r="L2487" s="959">
        <v>56.0</v>
      </c>
      <c r="M2487" s="960">
        <v>80.0</v>
      </c>
      <c r="N2487" s="960">
        <v>114.0</v>
      </c>
      <c r="O2487" s="960">
        <v>124.0</v>
      </c>
      <c r="P2487" s="960">
        <v>60.0</v>
      </c>
      <c r="Q2487" s="960">
        <v>136.0</v>
      </c>
      <c r="R2487" s="960">
        <v>308.0</v>
      </c>
      <c r="S2487" s="960">
        <v>371.0</v>
      </c>
      <c r="T2487" s="960">
        <v>408.0</v>
      </c>
      <c r="U2487" s="960">
        <f t="array" ref="U2487">HLOOKUP($J2487,'Type Chart'!$C$2:$T$20,2,false)*HLOOKUP($K2487,'Type Chart'!$C$2:$U$20,2,false)</f>
        <v>1</v>
      </c>
      <c r="V2487" s="960">
        <f t="array" ref="V2487">HLOOKUP($J2487,'Type Chart'!$C$2:$T$20,3,false)*HLOOKUP($K2487,'Type Chart'!$C$2:$U$20,3,false)</f>
        <v>2</v>
      </c>
      <c r="W2487" s="960">
        <f t="array" ref="W2487">HLOOKUP($J2487,'Type Chart'!$C$2:$T$20,4,false)*HLOOKUP($K2487,'Type Chart'!$C$2:$U$20,4,false)</f>
        <v>1</v>
      </c>
      <c r="X2487" s="960">
        <f t="array" ref="X2487">HLOOKUP($J2487,'Type Chart'!$C$2:$T$20,5,false)*HLOOKUP($K2487,'Type Chart'!$C$2:$U$20,5,false)</f>
        <v>1</v>
      </c>
      <c r="Y2487" s="960">
        <f t="array" ref="Y2487">HLOOKUP($J2487,'Type Chart'!$C$2:$T$20,6,false)*HLOOKUP($K2487,'Type Chart'!$C$2:$U$20,6,false)</f>
        <v>1</v>
      </c>
      <c r="Z2487" s="960">
        <f t="array" ref="Z2487">HLOOKUP($J2487,'Type Chart'!$C$2:$T$20,7,false)*HLOOKUP($K2487,'Type Chart'!$C$2:$U$20,7,false)</f>
        <v>2</v>
      </c>
      <c r="AA2487" s="960">
        <f t="array" ref="AA2487">HLOOKUP($J2487,'Type Chart'!$C$2:$T$20,8,false)*HLOOKUP($K2487,'Type Chart'!$C$2:$U$20,8,false)</f>
        <v>1</v>
      </c>
      <c r="AB2487" s="960">
        <f t="array" ref="AB2487">HLOOKUP($J2487,'Type Chart'!$C$2:$T$20,9,false)*HLOOKUP($K2487,'Type Chart'!$C$2:$U$20,9,false)</f>
        <v>1</v>
      </c>
      <c r="AC2487" s="960">
        <f t="array" ref="AC2487">HLOOKUP($J2487,'Type Chart'!$C$2:$T$20,10,false)*HLOOKUP($K2487,'Type Chart'!$C$2:$U$20,10,false)</f>
        <v>1</v>
      </c>
      <c r="AD2487" s="960">
        <f t="array" ref="AD2487">HLOOKUP($J2487,'Type Chart'!$C$2:$T$20,11,false)*HLOOKUP($K2487,'Type Chart'!$C$2:$U$20,11,false)</f>
        <v>1</v>
      </c>
      <c r="AE2487" s="960">
        <f t="array" ref="AE2487">HLOOKUP($J2487,'Type Chart'!$C$2:$T$20,12,false)*HLOOKUP($K2487,'Type Chart'!$C$2:$U$20,12,false)</f>
        <v>0.5</v>
      </c>
      <c r="AF2487" s="960">
        <f t="array" ref="AF2487">HLOOKUP($J2487,'Type Chart'!$C$2:$T$20,13,false)*HLOOKUP($K2487,'Type Chart'!$C$2:$U$20,13,false)</f>
        <v>2</v>
      </c>
      <c r="AG2487" s="960">
        <f t="array" ref="AG2487">HLOOKUP($J2487,'Type Chart'!$C$2:$T$20,14,false)*HLOOKUP($K2487,'Type Chart'!$C$2:$U$20,14,false)</f>
        <v>2</v>
      </c>
      <c r="AH2487" s="960">
        <f t="array" ref="AH2487">HLOOKUP($J2487,'Type Chart'!$C$2:$T$20,15,false)*HLOOKUP($K2487,'Type Chart'!$C$2:$U$20,15,false)</f>
        <v>1</v>
      </c>
      <c r="AI2487" s="960">
        <f t="array" ref="AI2487">HLOOKUP($J2487,'Type Chart'!$C$2:$T$20,16,false)*HLOOKUP($K2487,'Type Chart'!$C$2:$U$20,16,false)</f>
        <v>0.25</v>
      </c>
      <c r="AJ2487" s="960">
        <f t="array" ref="AJ2487">HLOOKUP($J2487,'Type Chart'!$C$2:$T$20,17,false)*HLOOKUP($K2487,'Type Chart'!$C$2:$U$20,17,false)</f>
        <v>1</v>
      </c>
      <c r="AK2487" s="960">
        <f t="array" ref="AK2487">HLOOKUP($J2487,'Type Chart'!$C$2:$T$20,18,false)*HLOOKUP($K2487,'Type Chart'!$C$2:$U$20,18,false)</f>
        <v>1</v>
      </c>
      <c r="AL2487" s="960">
        <f t="array" ref="AL2487">HLOOKUP($J2487,'Type Chart'!$C$2:$T$20,19,false)*HLOOKUP($K2487,'Type Chart'!$C$2:$U$20,19,false)</f>
        <v>1</v>
      </c>
      <c r="AM2487" s="1145" t="s">
        <v>4301</v>
      </c>
      <c r="AN2487" s="965"/>
      <c r="AO2487" s="966"/>
      <c r="AP2487" s="936"/>
      <c r="AQ2487" s="1245"/>
      <c r="AR2487" s="1245"/>
      <c r="AS2487" s="936"/>
    </row>
    <row r="2488" ht="15.75" customHeight="1">
      <c r="A2488" s="1099"/>
      <c r="B2488" s="948">
        <v>993.0</v>
      </c>
      <c r="C2488" s="1197" t="s">
        <v>4314</v>
      </c>
      <c r="D2488" s="1197" t="s">
        <v>4315</v>
      </c>
      <c r="E2488" s="1147" t="s">
        <v>4314</v>
      </c>
      <c r="F2488" s="940"/>
      <c r="G2488" s="953"/>
      <c r="H2488" s="969"/>
      <c r="I2488" s="998" t="s">
        <v>5580</v>
      </c>
      <c r="J2488" s="1207" t="s">
        <v>127</v>
      </c>
      <c r="K2488" s="1213" t="s">
        <v>341</v>
      </c>
      <c r="L2488" s="959">
        <v>74.0</v>
      </c>
      <c r="M2488" s="960">
        <v>130.0</v>
      </c>
      <c r="N2488" s="960">
        <v>90.0</v>
      </c>
      <c r="O2488" s="960">
        <v>120.0</v>
      </c>
      <c r="P2488" s="960">
        <v>60.0</v>
      </c>
      <c r="Q2488" s="960">
        <v>116.0</v>
      </c>
      <c r="R2488" s="960">
        <v>268.0</v>
      </c>
      <c r="S2488" s="960">
        <v>331.0</v>
      </c>
      <c r="T2488" s="960">
        <v>364.0</v>
      </c>
      <c r="U2488" s="960">
        <f t="array" ref="U2488">HLOOKUP($J2488,'Type Chart'!$C$2:$T$20,2,false)*HLOOKUP($K2488,'Type Chart'!$C$2:$U$20,2,false)</f>
        <v>1</v>
      </c>
      <c r="V2488" s="960">
        <f t="array" ref="V2488">HLOOKUP($J2488,'Type Chart'!$C$2:$T$20,3,false)*HLOOKUP($K2488,'Type Chart'!$C$2:$U$20,3,false)</f>
        <v>0.5</v>
      </c>
      <c r="W2488" s="960">
        <f t="array" ref="W2488">HLOOKUP($J2488,'Type Chart'!$C$2:$T$20,4,false)*HLOOKUP($K2488,'Type Chart'!$C$2:$U$20,4,false)</f>
        <v>2</v>
      </c>
      <c r="X2488" s="960">
        <f t="array" ref="X2488">HLOOKUP($J2488,'Type Chart'!$C$2:$T$20,5,false)*HLOOKUP($K2488,'Type Chart'!$C$2:$U$20,5,false)</f>
        <v>2</v>
      </c>
      <c r="Y2488" s="960">
        <f t="array" ref="Y2488">HLOOKUP($J2488,'Type Chart'!$C$2:$T$20,6,false)*HLOOKUP($K2488,'Type Chart'!$C$2:$U$20,6,false)</f>
        <v>1</v>
      </c>
      <c r="Z2488" s="960">
        <f t="array" ref="Z2488">HLOOKUP($J2488,'Type Chart'!$C$2:$T$20,7,false)*HLOOKUP($K2488,'Type Chart'!$C$2:$U$20,7,false)</f>
        <v>0.5</v>
      </c>
      <c r="AA2488" s="960">
        <f t="array" ref="AA2488">HLOOKUP($J2488,'Type Chart'!$C$2:$T$20,8,false)*HLOOKUP($K2488,'Type Chart'!$C$2:$U$20,8,false)</f>
        <v>0.25</v>
      </c>
      <c r="AB2488" s="960">
        <f t="array" ref="AB2488">HLOOKUP($J2488,'Type Chart'!$C$2:$T$20,9,false)*HLOOKUP($K2488,'Type Chart'!$C$2:$U$20,9,false)</f>
        <v>1</v>
      </c>
      <c r="AC2488" s="960">
        <f t="array" ref="AC2488">HLOOKUP($J2488,'Type Chart'!$C$2:$T$20,10,false)*HLOOKUP($K2488,'Type Chart'!$C$2:$U$20,10,false)</f>
        <v>2</v>
      </c>
      <c r="AD2488" s="960">
        <f t="array" ref="AD2488">HLOOKUP($J2488,'Type Chart'!$C$2:$T$20,11,false)*HLOOKUP($K2488,'Type Chart'!$C$2:$U$20,11,false)</f>
        <v>1</v>
      </c>
      <c r="AE2488" s="960">
        <f t="array" ref="AE2488">HLOOKUP($J2488,'Type Chart'!$C$2:$T$20,12,false)*HLOOKUP($K2488,'Type Chart'!$C$2:$U$20,12,false)</f>
        <v>1</v>
      </c>
      <c r="AF2488" s="960">
        <f t="array" ref="AF2488">HLOOKUP($J2488,'Type Chart'!$C$2:$T$20,13,false)*HLOOKUP($K2488,'Type Chart'!$C$2:$U$20,13,false)</f>
        <v>1</v>
      </c>
      <c r="AG2488" s="960">
        <f t="array" ref="AG2488">HLOOKUP($J2488,'Type Chart'!$C$2:$T$20,14,false)*HLOOKUP($K2488,'Type Chart'!$C$2:$U$20,14,false)</f>
        <v>1</v>
      </c>
      <c r="AH2488" s="960">
        <f t="array" ref="AH2488">HLOOKUP($J2488,'Type Chart'!$C$2:$T$20,15,false)*HLOOKUP($K2488,'Type Chart'!$C$2:$U$20,15,false)</f>
        <v>2</v>
      </c>
      <c r="AI2488" s="960">
        <f t="array" ref="AI2488">HLOOKUP($J2488,'Type Chart'!$C$2:$T$20,16,false)*HLOOKUP($K2488,'Type Chart'!$C$2:$U$20,16,false)</f>
        <v>1</v>
      </c>
      <c r="AJ2488" s="960">
        <f t="array" ref="AJ2488">HLOOKUP($J2488,'Type Chart'!$C$2:$T$20,17,false)*HLOOKUP($K2488,'Type Chart'!$C$2:$U$20,17,false)</f>
        <v>0</v>
      </c>
      <c r="AK2488" s="960">
        <f t="array" ref="AK2488">HLOOKUP($J2488,'Type Chart'!$C$2:$T$20,18,false)*HLOOKUP($K2488,'Type Chart'!$C$2:$U$20,18,false)</f>
        <v>0.25</v>
      </c>
      <c r="AL2488" s="960">
        <f t="array" ref="AL2488">HLOOKUP($J2488,'Type Chart'!$C$2:$T$20,19,false)*HLOOKUP($K2488,'Type Chart'!$C$2:$U$20,19,false)</f>
        <v>2</v>
      </c>
      <c r="AM2488" s="1145" t="s">
        <v>4301</v>
      </c>
      <c r="AN2488" s="965"/>
      <c r="AO2488" s="966"/>
      <c r="AP2488" s="936"/>
      <c r="AQ2488" s="1245"/>
      <c r="AR2488" s="1245"/>
      <c r="AS2488" s="936"/>
    </row>
    <row r="2489" ht="15.75" customHeight="1">
      <c r="A2489" s="1099"/>
      <c r="B2489" s="948">
        <v>994.0</v>
      </c>
      <c r="C2489" s="1197" t="s">
        <v>4316</v>
      </c>
      <c r="D2489" s="1197" t="s">
        <v>4317</v>
      </c>
      <c r="E2489" s="1147" t="s">
        <v>4316</v>
      </c>
      <c r="F2489" s="940"/>
      <c r="G2489" s="953"/>
      <c r="H2489" s="969"/>
      <c r="I2489" s="998" t="s">
        <v>5581</v>
      </c>
      <c r="J2489" s="1195" t="s">
        <v>193</v>
      </c>
      <c r="K2489" s="1204" t="s">
        <v>80</v>
      </c>
      <c r="L2489" s="959">
        <v>155.0</v>
      </c>
      <c r="M2489" s="960">
        <v>110.0</v>
      </c>
      <c r="N2489" s="960">
        <v>130.0</v>
      </c>
      <c r="O2489" s="960">
        <v>50.0</v>
      </c>
      <c r="P2489" s="960">
        <v>80.0</v>
      </c>
      <c r="Q2489" s="960">
        <v>45.0</v>
      </c>
      <c r="R2489" s="960">
        <v>126.0</v>
      </c>
      <c r="S2489" s="960">
        <v>189.0</v>
      </c>
      <c r="T2489" s="960">
        <v>207.0</v>
      </c>
      <c r="U2489" s="960">
        <f t="array" ref="U2489">HLOOKUP($J2489,'Type Chart'!$C$2:$T$20,2,false)*HLOOKUP($K2489,'Type Chart'!$C$2:$U$20,2,false)</f>
        <v>1</v>
      </c>
      <c r="V2489" s="960">
        <f t="array" ref="V2489">HLOOKUP($J2489,'Type Chart'!$C$2:$T$20,3,false)*HLOOKUP($K2489,'Type Chart'!$C$2:$U$20,3,false)</f>
        <v>2</v>
      </c>
      <c r="W2489" s="960">
        <f t="array" ref="W2489">HLOOKUP($J2489,'Type Chart'!$C$2:$T$20,4,false)*HLOOKUP($K2489,'Type Chart'!$C$2:$U$20,4,false)</f>
        <v>1</v>
      </c>
      <c r="X2489" s="960">
        <f t="array" ref="X2489">HLOOKUP($J2489,'Type Chart'!$C$2:$T$20,5,false)*HLOOKUP($K2489,'Type Chart'!$C$2:$U$20,5,false)</f>
        <v>0.5</v>
      </c>
      <c r="Y2489" s="960">
        <f t="array" ref="Y2489">HLOOKUP($J2489,'Type Chart'!$C$2:$T$20,6,false)*HLOOKUP($K2489,'Type Chart'!$C$2:$U$20,6,false)</f>
        <v>1</v>
      </c>
      <c r="Z2489" s="960">
        <f t="array" ref="Z2489">HLOOKUP($J2489,'Type Chart'!$C$2:$T$20,7,false)*HLOOKUP($K2489,'Type Chart'!$C$2:$U$20,7,false)</f>
        <v>0.5</v>
      </c>
      <c r="AA2489" s="960">
        <f t="array" ref="AA2489">HLOOKUP($J2489,'Type Chart'!$C$2:$T$20,8,false)*HLOOKUP($K2489,'Type Chart'!$C$2:$U$20,8,false)</f>
        <v>2</v>
      </c>
      <c r="AB2489" s="960">
        <f t="array" ref="AB2489">HLOOKUP($J2489,'Type Chart'!$C$2:$T$20,9,false)*HLOOKUP($K2489,'Type Chart'!$C$2:$U$20,9,false)</f>
        <v>0.5</v>
      </c>
      <c r="AC2489" s="960">
        <f t="array" ref="AC2489">HLOOKUP($J2489,'Type Chart'!$C$2:$T$20,10,false)*HLOOKUP($K2489,'Type Chart'!$C$2:$U$20,10,false)</f>
        <v>1</v>
      </c>
      <c r="AD2489" s="960">
        <f t="array" ref="AD2489">HLOOKUP($J2489,'Type Chart'!$C$2:$T$20,11,false)*HLOOKUP($K2489,'Type Chart'!$C$2:$U$20,11,false)</f>
        <v>1</v>
      </c>
      <c r="AE2489" s="960">
        <f t="array" ref="AE2489">HLOOKUP($J2489,'Type Chart'!$C$2:$T$20,12,false)*HLOOKUP($K2489,'Type Chart'!$C$2:$U$20,12,false)</f>
        <v>2</v>
      </c>
      <c r="AF2489" s="960">
        <f t="array" ref="AF2489">HLOOKUP($J2489,'Type Chart'!$C$2:$T$20,13,false)*HLOOKUP($K2489,'Type Chart'!$C$2:$U$20,13,false)</f>
        <v>2</v>
      </c>
      <c r="AG2489" s="960">
        <f t="array" ref="AG2489">HLOOKUP($J2489,'Type Chart'!$C$2:$T$20,14,false)*HLOOKUP($K2489,'Type Chart'!$C$2:$U$20,14,false)</f>
        <v>0</v>
      </c>
      <c r="AH2489" s="960">
        <f t="array" ref="AH2489">HLOOKUP($J2489,'Type Chart'!$C$2:$T$20,15,false)*HLOOKUP($K2489,'Type Chart'!$C$2:$U$20,15,false)</f>
        <v>0</v>
      </c>
      <c r="AI2489" s="960">
        <f t="array" ref="AI2489">HLOOKUP($J2489,'Type Chart'!$C$2:$T$20,16,false)*HLOOKUP($K2489,'Type Chart'!$C$2:$U$20,16,false)</f>
        <v>2</v>
      </c>
      <c r="AJ2489" s="960">
        <f t="array" ref="AJ2489">HLOOKUP($J2489,'Type Chart'!$C$2:$T$20,17,false)*HLOOKUP($K2489,'Type Chart'!$C$2:$U$20,17,false)</f>
        <v>1</v>
      </c>
      <c r="AK2489" s="960">
        <f t="array" ref="AK2489">HLOOKUP($J2489,'Type Chart'!$C$2:$T$20,18,false)*HLOOKUP($K2489,'Type Chart'!$C$2:$U$20,18,false)</f>
        <v>0.5</v>
      </c>
      <c r="AL2489" s="960">
        <f t="array" ref="AL2489">HLOOKUP($J2489,'Type Chart'!$C$2:$T$20,19,false)*HLOOKUP($K2489,'Type Chart'!$C$2:$U$20,19,false)</f>
        <v>2</v>
      </c>
      <c r="AM2489" s="964" t="s">
        <v>4318</v>
      </c>
      <c r="AN2489" s="965"/>
      <c r="AO2489" s="966"/>
      <c r="AP2489" s="936"/>
      <c r="AQ2489" s="1245"/>
      <c r="AR2489" s="1245"/>
      <c r="AS2489" s="936"/>
    </row>
    <row r="2490" ht="15.75" customHeight="1">
      <c r="A2490" s="1099"/>
      <c r="B2490" s="948">
        <v>995.0</v>
      </c>
      <c r="C2490" s="1197" t="s">
        <v>4319</v>
      </c>
      <c r="D2490" s="1197" t="s">
        <v>4320</v>
      </c>
      <c r="E2490" s="1147" t="s">
        <v>4319</v>
      </c>
      <c r="F2490" s="940"/>
      <c r="G2490" s="953"/>
      <c r="H2490" s="969"/>
      <c r="I2490" s="998" t="s">
        <v>5582</v>
      </c>
      <c r="J2490" s="1195" t="s">
        <v>193</v>
      </c>
      <c r="K2490" s="1205" t="s">
        <v>345</v>
      </c>
      <c r="L2490" s="959">
        <v>80.0</v>
      </c>
      <c r="M2490" s="960">
        <v>120.0</v>
      </c>
      <c r="N2490" s="960">
        <v>80.0</v>
      </c>
      <c r="O2490" s="960">
        <v>90.0</v>
      </c>
      <c r="P2490" s="960">
        <v>65.0</v>
      </c>
      <c r="Q2490" s="960">
        <v>135.0</v>
      </c>
      <c r="R2490" s="960">
        <v>306.0</v>
      </c>
      <c r="S2490" s="960">
        <v>369.0</v>
      </c>
      <c r="T2490" s="960">
        <v>405.0</v>
      </c>
      <c r="U2490" s="960">
        <f t="array" ref="U2490">HLOOKUP($J2490,'Type Chart'!$C$2:$T$20,2,false)*HLOOKUP($K2490,'Type Chart'!$C$2:$U$20,2,false)</f>
        <v>1</v>
      </c>
      <c r="V2490" s="960">
        <f t="array" ref="V2490">HLOOKUP($J2490,'Type Chart'!$C$2:$T$20,3,false)*HLOOKUP($K2490,'Type Chart'!$C$2:$U$20,3,false)</f>
        <v>4</v>
      </c>
      <c r="W2490" s="960">
        <f t="array" ref="W2490">HLOOKUP($J2490,'Type Chart'!$C$2:$T$20,4,false)*HLOOKUP($K2490,'Type Chart'!$C$2:$U$20,4,false)</f>
        <v>1</v>
      </c>
      <c r="X2490" s="960">
        <f t="array" ref="X2490">HLOOKUP($J2490,'Type Chart'!$C$2:$T$20,5,false)*HLOOKUP($K2490,'Type Chart'!$C$2:$U$20,5,false)</f>
        <v>1</v>
      </c>
      <c r="Y2490" s="960">
        <f t="array" ref="Y2490">HLOOKUP($J2490,'Type Chart'!$C$2:$T$20,6,false)*HLOOKUP($K2490,'Type Chart'!$C$2:$U$20,6,false)</f>
        <v>1</v>
      </c>
      <c r="Z2490" s="960">
        <f t="array" ref="Z2490">HLOOKUP($J2490,'Type Chart'!$C$2:$T$20,7,false)*HLOOKUP($K2490,'Type Chart'!$C$2:$U$20,7,false)</f>
        <v>2</v>
      </c>
      <c r="AA2490" s="960">
        <f t="array" ref="AA2490">HLOOKUP($J2490,'Type Chart'!$C$2:$T$20,8,false)*HLOOKUP($K2490,'Type Chart'!$C$2:$U$20,8,false)</f>
        <v>2</v>
      </c>
      <c r="AB2490" s="960">
        <f t="array" ref="AB2490">HLOOKUP($J2490,'Type Chart'!$C$2:$T$20,9,false)*HLOOKUP($K2490,'Type Chart'!$C$2:$U$20,9,false)</f>
        <v>0.5</v>
      </c>
      <c r="AC2490" s="960">
        <f t="array" ref="AC2490">HLOOKUP($J2490,'Type Chart'!$C$2:$T$20,10,false)*HLOOKUP($K2490,'Type Chart'!$C$2:$U$20,10,false)</f>
        <v>2</v>
      </c>
      <c r="AD2490" s="960">
        <f t="array" ref="AD2490">HLOOKUP($J2490,'Type Chart'!$C$2:$T$20,11,false)*HLOOKUP($K2490,'Type Chart'!$C$2:$U$20,11,false)</f>
        <v>2</v>
      </c>
      <c r="AE2490" s="960">
        <f t="array" ref="AE2490">HLOOKUP($J2490,'Type Chart'!$C$2:$T$20,12,false)*HLOOKUP($K2490,'Type Chart'!$C$2:$U$20,12,false)</f>
        <v>1</v>
      </c>
      <c r="AF2490" s="960">
        <f t="array" ref="AF2490">HLOOKUP($J2490,'Type Chart'!$C$2:$T$20,13,false)*HLOOKUP($K2490,'Type Chart'!$C$2:$U$20,13,false)</f>
        <v>1</v>
      </c>
      <c r="AG2490" s="960">
        <f t="array" ref="AG2490">HLOOKUP($J2490,'Type Chart'!$C$2:$T$20,14,false)*HLOOKUP($K2490,'Type Chart'!$C$2:$U$20,14,false)</f>
        <v>1</v>
      </c>
      <c r="AH2490" s="960">
        <f t="array" ref="AH2490">HLOOKUP($J2490,'Type Chart'!$C$2:$T$20,15,false)*HLOOKUP($K2490,'Type Chart'!$C$2:$U$20,15,false)</f>
        <v>0</v>
      </c>
      <c r="AI2490" s="960">
        <f t="array" ref="AI2490">HLOOKUP($J2490,'Type Chart'!$C$2:$T$20,16,false)*HLOOKUP($K2490,'Type Chart'!$C$2:$U$20,16,false)</f>
        <v>0.5</v>
      </c>
      <c r="AJ2490" s="960">
        <f t="array" ref="AJ2490">HLOOKUP($J2490,'Type Chart'!$C$2:$T$20,17,false)*HLOOKUP($K2490,'Type Chart'!$C$2:$U$20,17,false)</f>
        <v>1</v>
      </c>
      <c r="AK2490" s="960">
        <f t="array" ref="AK2490">HLOOKUP($J2490,'Type Chart'!$C$2:$T$20,18,false)*HLOOKUP($K2490,'Type Chart'!$C$2:$U$20,18,false)</f>
        <v>0.5</v>
      </c>
      <c r="AL2490" s="960">
        <f t="array" ref="AL2490">HLOOKUP($J2490,'Type Chart'!$C$2:$T$20,19,false)*HLOOKUP($K2490,'Type Chart'!$C$2:$U$20,19,false)</f>
        <v>2</v>
      </c>
      <c r="AM2490" s="964" t="s">
        <v>4321</v>
      </c>
      <c r="AN2490" s="965"/>
      <c r="AO2490" s="966"/>
      <c r="AP2490" s="936"/>
      <c r="AQ2490" s="1245"/>
      <c r="AR2490" s="1245"/>
      <c r="AS2490" s="936"/>
    </row>
    <row r="2491" ht="15.75" customHeight="1">
      <c r="A2491" s="1099"/>
      <c r="B2491" s="948">
        <v>996.0</v>
      </c>
      <c r="C2491" s="1197" t="s">
        <v>4322</v>
      </c>
      <c r="D2491" s="1197" t="s">
        <v>4323</v>
      </c>
      <c r="E2491" s="1147" t="s">
        <v>4322</v>
      </c>
      <c r="F2491" s="940"/>
      <c r="G2491" s="953"/>
      <c r="H2491" s="969"/>
      <c r="I2491" s="998" t="s">
        <v>5583</v>
      </c>
      <c r="J2491" s="1229" t="s">
        <v>193</v>
      </c>
      <c r="K2491" s="1228" t="s">
        <v>209</v>
      </c>
      <c r="L2491" s="1200">
        <v>85.0</v>
      </c>
      <c r="M2491" s="1201">
        <v>85.0</v>
      </c>
      <c r="N2491" s="1201">
        <v>100.0</v>
      </c>
      <c r="O2491" s="1201">
        <v>95.0</v>
      </c>
      <c r="P2491" s="1201">
        <v>135.0</v>
      </c>
      <c r="Q2491" s="1201">
        <v>70.0</v>
      </c>
      <c r="R2491" s="960">
        <v>176.0</v>
      </c>
      <c r="S2491" s="960">
        <v>239.0</v>
      </c>
      <c r="T2491" s="960">
        <v>262.0</v>
      </c>
      <c r="U2491" s="960">
        <f t="array" ref="U2491">HLOOKUP($J2491,'Type Chart'!$C$2:$T$20,2,false)*HLOOKUP($K2491,'Type Chart'!$C$2:$U$20,2,false)</f>
        <v>1</v>
      </c>
      <c r="V2491" s="960">
        <f t="array" ref="V2491">HLOOKUP($J2491,'Type Chart'!$C$2:$T$20,3,false)*HLOOKUP($K2491,'Type Chart'!$C$2:$U$20,3,false)</f>
        <v>2</v>
      </c>
      <c r="W2491" s="960">
        <f t="array" ref="W2491">HLOOKUP($J2491,'Type Chart'!$C$2:$T$20,4,false)*HLOOKUP($K2491,'Type Chart'!$C$2:$U$20,4,false)</f>
        <v>2</v>
      </c>
      <c r="X2491" s="960">
        <f t="array" ref="X2491">HLOOKUP($J2491,'Type Chart'!$C$2:$T$20,5,false)*HLOOKUP($K2491,'Type Chart'!$C$2:$U$20,5,false)</f>
        <v>2</v>
      </c>
      <c r="Y2491" s="960">
        <f t="array" ref="Y2491">HLOOKUP($J2491,'Type Chart'!$C$2:$T$20,6,false)*HLOOKUP($K2491,'Type Chart'!$C$2:$U$20,6,false)</f>
        <v>0.5</v>
      </c>
      <c r="Z2491" s="960">
        <f t="array" ref="Z2491">HLOOKUP($J2491,'Type Chart'!$C$2:$T$20,7,false)*HLOOKUP($K2491,'Type Chart'!$C$2:$U$20,7,false)</f>
        <v>1</v>
      </c>
      <c r="AA2491" s="960">
        <f t="array" ref="AA2491">HLOOKUP($J2491,'Type Chart'!$C$2:$T$20,8,false)*HLOOKUP($K2491,'Type Chart'!$C$2:$U$20,8,false)</f>
        <v>4</v>
      </c>
      <c r="AB2491" s="960">
        <f t="array" ref="AB2491">HLOOKUP($J2491,'Type Chart'!$C$2:$T$20,9,false)*HLOOKUP($K2491,'Type Chart'!$C$2:$U$20,9,false)</f>
        <v>0.5</v>
      </c>
      <c r="AC2491" s="960">
        <f t="array" ref="AC2491">HLOOKUP($J2491,'Type Chart'!$C$2:$T$20,10,false)*HLOOKUP($K2491,'Type Chart'!$C$2:$U$20,10,false)</f>
        <v>1</v>
      </c>
      <c r="AD2491" s="960">
        <f t="array" ref="AD2491">HLOOKUP($J2491,'Type Chart'!$C$2:$T$20,11,false)*HLOOKUP($K2491,'Type Chart'!$C$2:$U$20,11,false)</f>
        <v>2</v>
      </c>
      <c r="AE2491" s="960">
        <f t="array" ref="AE2491">HLOOKUP($J2491,'Type Chart'!$C$2:$T$20,12,false)*HLOOKUP($K2491,'Type Chart'!$C$2:$U$20,12,false)</f>
        <v>0.5</v>
      </c>
      <c r="AF2491" s="960">
        <f t="array" ref="AF2491">HLOOKUP($J2491,'Type Chart'!$C$2:$T$20,13,false)*HLOOKUP($K2491,'Type Chart'!$C$2:$U$20,13,false)</f>
        <v>0.5</v>
      </c>
      <c r="AG2491" s="960">
        <f t="array" ref="AG2491">HLOOKUP($J2491,'Type Chart'!$C$2:$T$20,14,false)*HLOOKUP($K2491,'Type Chart'!$C$2:$U$20,14,false)</f>
        <v>0.5</v>
      </c>
      <c r="AH2491" s="960">
        <f t="array" ref="AH2491">HLOOKUP($J2491,'Type Chart'!$C$2:$T$20,15,false)*HLOOKUP($K2491,'Type Chart'!$C$2:$U$20,15,false)</f>
        <v>0</v>
      </c>
      <c r="AI2491" s="960">
        <f t="array" ref="AI2491">HLOOKUP($J2491,'Type Chart'!$C$2:$T$20,16,false)*HLOOKUP($K2491,'Type Chart'!$C$2:$U$20,16,false)</f>
        <v>2</v>
      </c>
      <c r="AJ2491" s="960">
        <f t="array" ref="AJ2491">HLOOKUP($J2491,'Type Chart'!$C$2:$T$20,17,false)*HLOOKUP($K2491,'Type Chart'!$C$2:$U$20,17,false)</f>
        <v>1</v>
      </c>
      <c r="AK2491" s="960">
        <f t="array" ref="AK2491">HLOOKUP($J2491,'Type Chart'!$C$2:$T$20,18,false)*HLOOKUP($K2491,'Type Chart'!$C$2:$U$20,18,false)</f>
        <v>0.5</v>
      </c>
      <c r="AL2491" s="960">
        <f t="array" ref="AL2491">HLOOKUP($J2491,'Type Chart'!$C$2:$T$20,19,false)*HLOOKUP($K2491,'Type Chart'!$C$2:$U$20,19,false)</f>
        <v>2</v>
      </c>
      <c r="AM2491" s="1145" t="s">
        <v>4324</v>
      </c>
      <c r="AN2491" s="965"/>
      <c r="AO2491" s="966"/>
      <c r="AP2491" s="936"/>
      <c r="AQ2491" s="1245"/>
      <c r="AR2491" s="1245"/>
      <c r="AS2491" s="936"/>
    </row>
    <row r="2492" ht="15.75" customHeight="1">
      <c r="A2492" s="1099"/>
      <c r="B2492" s="948">
        <v>997.0</v>
      </c>
      <c r="C2492" s="1197" t="s">
        <v>4325</v>
      </c>
      <c r="D2492" s="1197" t="s">
        <v>4326</v>
      </c>
      <c r="E2492" s="1147" t="s">
        <v>4325</v>
      </c>
      <c r="F2492" s="940"/>
      <c r="G2492" s="953"/>
      <c r="H2492" s="969"/>
      <c r="I2492" s="998" t="s">
        <v>5584</v>
      </c>
      <c r="J2492" s="1229" t="s">
        <v>193</v>
      </c>
      <c r="K2492" s="1208" t="s">
        <v>150</v>
      </c>
      <c r="L2492" s="1200">
        <v>55.0</v>
      </c>
      <c r="M2492" s="1201">
        <v>80.0</v>
      </c>
      <c r="N2492" s="1201">
        <v>80.0</v>
      </c>
      <c r="O2492" s="1201">
        <v>135.0</v>
      </c>
      <c r="P2492" s="1201">
        <v>120.0</v>
      </c>
      <c r="Q2492" s="1201">
        <v>100.0</v>
      </c>
      <c r="R2492" s="960">
        <v>236.0</v>
      </c>
      <c r="S2492" s="960">
        <v>299.0</v>
      </c>
      <c r="T2492" s="960">
        <v>328.0</v>
      </c>
      <c r="U2492" s="960">
        <f t="array" ref="U2492">HLOOKUP($J2492,'Type Chart'!$C$2:$T$20,2,false)*HLOOKUP($K2492,'Type Chart'!$C$2:$U$20,2,false)</f>
        <v>1</v>
      </c>
      <c r="V2492" s="960">
        <f t="array" ref="V2492">HLOOKUP($J2492,'Type Chart'!$C$2:$T$20,3,false)*HLOOKUP($K2492,'Type Chart'!$C$2:$U$20,3,false)</f>
        <v>2</v>
      </c>
      <c r="W2492" s="960">
        <f t="array" ref="W2492">HLOOKUP($J2492,'Type Chart'!$C$2:$T$20,4,false)*HLOOKUP($K2492,'Type Chart'!$C$2:$U$20,4,false)</f>
        <v>1</v>
      </c>
      <c r="X2492" s="960">
        <f t="array" ref="X2492">HLOOKUP($J2492,'Type Chart'!$C$2:$T$20,5,false)*HLOOKUP($K2492,'Type Chart'!$C$2:$U$20,5,false)</f>
        <v>1</v>
      </c>
      <c r="Y2492" s="960">
        <f t="array" ref="Y2492">HLOOKUP($J2492,'Type Chart'!$C$2:$T$20,6,false)*HLOOKUP($K2492,'Type Chart'!$C$2:$U$20,6,false)</f>
        <v>2</v>
      </c>
      <c r="Z2492" s="960">
        <f t="array" ref="Z2492">HLOOKUP($J2492,'Type Chart'!$C$2:$T$20,7,false)*HLOOKUP($K2492,'Type Chart'!$C$2:$U$20,7,false)</f>
        <v>2</v>
      </c>
      <c r="AA2492" s="960">
        <f t="array" ref="AA2492">HLOOKUP($J2492,'Type Chart'!$C$2:$T$20,8,false)*HLOOKUP($K2492,'Type Chart'!$C$2:$U$20,8,false)</f>
        <v>1</v>
      </c>
      <c r="AB2492" s="960">
        <f t="array" ref="AB2492">HLOOKUP($J2492,'Type Chart'!$C$2:$T$20,9,false)*HLOOKUP($K2492,'Type Chart'!$C$2:$U$20,9,false)</f>
        <v>0.5</v>
      </c>
      <c r="AC2492" s="960">
        <f t="array" ref="AC2492">HLOOKUP($J2492,'Type Chart'!$C$2:$T$20,10,false)*HLOOKUP($K2492,'Type Chart'!$C$2:$U$20,10,false)</f>
        <v>0.5</v>
      </c>
      <c r="AD2492" s="960">
        <f t="array" ref="AD2492">HLOOKUP($J2492,'Type Chart'!$C$2:$T$20,11,false)*HLOOKUP($K2492,'Type Chart'!$C$2:$U$20,11,false)</f>
        <v>0.5</v>
      </c>
      <c r="AE2492" s="960">
        <f t="array" ref="AE2492">HLOOKUP($J2492,'Type Chart'!$C$2:$T$20,12,false)*HLOOKUP($K2492,'Type Chart'!$C$2:$U$20,12,false)</f>
        <v>2</v>
      </c>
      <c r="AF2492" s="960">
        <f t="array" ref="AF2492">HLOOKUP($J2492,'Type Chart'!$C$2:$T$20,13,false)*HLOOKUP($K2492,'Type Chart'!$C$2:$U$20,13,false)</f>
        <v>0.5</v>
      </c>
      <c r="AG2492" s="960">
        <f t="array" ref="AG2492">HLOOKUP($J2492,'Type Chart'!$C$2:$T$20,14,false)*HLOOKUP($K2492,'Type Chart'!$C$2:$U$20,14,false)</f>
        <v>1</v>
      </c>
      <c r="AH2492" s="960">
        <f t="array" ref="AH2492">HLOOKUP($J2492,'Type Chart'!$C$2:$T$20,15,false)*HLOOKUP($K2492,'Type Chart'!$C$2:$U$20,15,false)</f>
        <v>0</v>
      </c>
      <c r="AI2492" s="960">
        <f t="array" ref="AI2492">HLOOKUP($J2492,'Type Chart'!$C$2:$T$20,16,false)*HLOOKUP($K2492,'Type Chart'!$C$2:$U$20,16,false)</f>
        <v>0.5</v>
      </c>
      <c r="AJ2492" s="960">
        <f t="array" ref="AJ2492">HLOOKUP($J2492,'Type Chart'!$C$2:$T$20,17,false)*HLOOKUP($K2492,'Type Chart'!$C$2:$U$20,17,false)</f>
        <v>1</v>
      </c>
      <c r="AK2492" s="960">
        <f t="array" ref="AK2492">HLOOKUP($J2492,'Type Chart'!$C$2:$T$20,18,false)*HLOOKUP($K2492,'Type Chart'!$C$2:$U$20,18,false)</f>
        <v>0.5</v>
      </c>
      <c r="AL2492" s="960">
        <f t="array" ref="AL2492">HLOOKUP($J2492,'Type Chart'!$C$2:$T$20,19,false)*HLOOKUP($K2492,'Type Chart'!$C$2:$U$20,19,false)</f>
        <v>1</v>
      </c>
      <c r="AM2492" s="1145" t="s">
        <v>4327</v>
      </c>
      <c r="AN2492" s="965"/>
      <c r="AO2492" s="966"/>
      <c r="AP2492" s="936"/>
      <c r="AQ2492" s="1245"/>
      <c r="AR2492" s="1245"/>
      <c r="AS2492" s="936"/>
    </row>
    <row r="2493" ht="15.75" customHeight="1">
      <c r="A2493" s="1099"/>
      <c r="B2493" s="948">
        <v>998.0</v>
      </c>
      <c r="C2493" s="1197" t="s">
        <v>4328</v>
      </c>
      <c r="D2493" s="1197" t="s">
        <v>4328</v>
      </c>
      <c r="E2493" s="1147" t="s">
        <v>4328</v>
      </c>
      <c r="F2493" s="940"/>
      <c r="G2493" s="953"/>
      <c r="H2493" s="969"/>
      <c r="I2493" s="998" t="s">
        <v>5585</v>
      </c>
      <c r="J2493" s="1213" t="s">
        <v>341</v>
      </c>
      <c r="K2493" s="1006" t="s">
        <v>346</v>
      </c>
      <c r="L2493" s="959">
        <v>100.0</v>
      </c>
      <c r="M2493" s="960">
        <v>135.0</v>
      </c>
      <c r="N2493" s="960">
        <v>115.0</v>
      </c>
      <c r="O2493" s="960">
        <v>85.0</v>
      </c>
      <c r="P2493" s="960">
        <v>100.0</v>
      </c>
      <c r="Q2493" s="960">
        <v>135.0</v>
      </c>
      <c r="R2493" s="960">
        <v>306.0</v>
      </c>
      <c r="S2493" s="960">
        <v>369.0</v>
      </c>
      <c r="T2493" s="960">
        <v>405.0</v>
      </c>
      <c r="U2493" s="960">
        <f t="array" ref="U2493">HLOOKUP($J2493,'Type Chart'!$C$2:$T$20,2,false)*HLOOKUP($K2493,'Type Chart'!$C$2:$U$20,2,false)</f>
        <v>1</v>
      </c>
      <c r="V2493" s="960">
        <f t="array" ref="V2493">HLOOKUP($J2493,'Type Chart'!$C$2:$T$20,3,false)*HLOOKUP($K2493,'Type Chart'!$C$2:$U$20,3,false)</f>
        <v>1</v>
      </c>
      <c r="W2493" s="960">
        <f t="array" ref="W2493">HLOOKUP($J2493,'Type Chart'!$C$2:$T$20,4,false)*HLOOKUP($K2493,'Type Chart'!$C$2:$U$20,4,false)</f>
        <v>2</v>
      </c>
      <c r="X2493" s="960">
        <f t="array" ref="X2493">HLOOKUP($J2493,'Type Chart'!$C$2:$T$20,5,false)*HLOOKUP($K2493,'Type Chart'!$C$2:$U$20,5,false)</f>
        <v>1</v>
      </c>
      <c r="Y2493" s="960">
        <f t="array" ref="Y2493">HLOOKUP($J2493,'Type Chart'!$C$2:$T$20,6,false)*HLOOKUP($K2493,'Type Chart'!$C$2:$U$20,6,false)</f>
        <v>1</v>
      </c>
      <c r="Z2493" s="960">
        <f t="array" ref="Z2493">HLOOKUP($J2493,'Type Chart'!$C$2:$T$20,7,false)*HLOOKUP($K2493,'Type Chart'!$C$2:$U$20,7,false)</f>
        <v>0.5</v>
      </c>
      <c r="AA2493" s="960">
        <f t="array" ref="AA2493">HLOOKUP($J2493,'Type Chart'!$C$2:$T$20,8,false)*HLOOKUP($K2493,'Type Chart'!$C$2:$U$20,8,false)</f>
        <v>0.5</v>
      </c>
      <c r="AB2493" s="960">
        <f t="array" ref="AB2493">HLOOKUP($J2493,'Type Chart'!$C$2:$T$20,9,false)*HLOOKUP($K2493,'Type Chart'!$C$2:$U$20,9,false)</f>
        <v>1</v>
      </c>
      <c r="AC2493" s="960">
        <f t="array" ref="AC2493">HLOOKUP($J2493,'Type Chart'!$C$2:$T$20,10,false)*HLOOKUP($K2493,'Type Chart'!$C$2:$U$20,10,false)</f>
        <v>1</v>
      </c>
      <c r="AD2493" s="960">
        <f t="array" ref="AD2493">HLOOKUP($J2493,'Type Chart'!$C$2:$T$20,11,false)*HLOOKUP($K2493,'Type Chart'!$C$2:$U$20,11,false)</f>
        <v>0.5</v>
      </c>
      <c r="AE2493" s="960">
        <f t="array" ref="AE2493">HLOOKUP($J2493,'Type Chart'!$C$2:$T$20,12,false)*HLOOKUP($K2493,'Type Chart'!$C$2:$U$20,12,false)</f>
        <v>0.5</v>
      </c>
      <c r="AF2493" s="960">
        <f t="array" ref="AF2493">HLOOKUP($J2493,'Type Chart'!$C$2:$T$20,13,false)*HLOOKUP($K2493,'Type Chart'!$C$2:$U$20,13,false)</f>
        <v>0.5</v>
      </c>
      <c r="AG2493" s="960">
        <f t="array" ref="AG2493">HLOOKUP($J2493,'Type Chart'!$C$2:$T$20,14,false)*HLOOKUP($K2493,'Type Chart'!$C$2:$U$20,14,false)</f>
        <v>0.5</v>
      </c>
      <c r="AH2493" s="960">
        <f t="array" ref="AH2493">HLOOKUP($J2493,'Type Chart'!$C$2:$T$20,15,false)*HLOOKUP($K2493,'Type Chart'!$C$2:$U$20,15,false)</f>
        <v>2</v>
      </c>
      <c r="AI2493" s="960">
        <f t="array" ref="AI2493">HLOOKUP($J2493,'Type Chart'!$C$2:$T$20,16,false)*HLOOKUP($K2493,'Type Chart'!$C$2:$U$20,16,false)</f>
        <v>2</v>
      </c>
      <c r="AJ2493" s="960">
        <f t="array" ref="AJ2493">HLOOKUP($J2493,'Type Chart'!$C$2:$T$20,17,false)*HLOOKUP($K2493,'Type Chart'!$C$2:$U$20,17,false)</f>
        <v>2</v>
      </c>
      <c r="AK2493" s="960">
        <f t="array" ref="AK2493">HLOOKUP($J2493,'Type Chart'!$C$2:$T$20,18,false)*HLOOKUP($K2493,'Type Chart'!$C$2:$U$20,18,false)</f>
        <v>0.5</v>
      </c>
      <c r="AL2493" s="960">
        <f t="array" ref="AL2493">HLOOKUP($J2493,'Type Chart'!$C$2:$T$20,19,false)*HLOOKUP($K2493,'Type Chart'!$C$2:$U$20,19,false)</f>
        <v>4</v>
      </c>
      <c r="AM2493" s="964" t="s">
        <v>4330</v>
      </c>
      <c r="AN2493" s="965"/>
      <c r="AO2493" s="966"/>
      <c r="AP2493" s="936"/>
      <c r="AQ2493" s="1245"/>
      <c r="AR2493" s="1245"/>
      <c r="AS2493" s="936"/>
    </row>
    <row r="2494" ht="15.75" customHeight="1">
      <c r="A2494" s="1099"/>
      <c r="B2494" s="948">
        <v>999.0</v>
      </c>
      <c r="C2494" s="1197" t="s">
        <v>4331</v>
      </c>
      <c r="D2494" s="1197" t="s">
        <v>4331</v>
      </c>
      <c r="E2494" s="1147" t="s">
        <v>4331</v>
      </c>
      <c r="F2494" s="940"/>
      <c r="G2494" s="953"/>
      <c r="H2494" s="969"/>
      <c r="I2494" s="998" t="s">
        <v>5586</v>
      </c>
      <c r="J2494" s="1196" t="s">
        <v>203</v>
      </c>
      <c r="K2494" s="1006" t="s">
        <v>346</v>
      </c>
      <c r="L2494" s="959">
        <v>100.0</v>
      </c>
      <c r="M2494" s="960">
        <v>85.0</v>
      </c>
      <c r="N2494" s="960">
        <v>100.0</v>
      </c>
      <c r="O2494" s="960">
        <v>135.0</v>
      </c>
      <c r="P2494" s="960">
        <v>115.0</v>
      </c>
      <c r="Q2494" s="960">
        <v>135.0</v>
      </c>
      <c r="R2494" s="960">
        <v>306.0</v>
      </c>
      <c r="S2494" s="960">
        <v>369.0</v>
      </c>
      <c r="T2494" s="960">
        <v>405.0</v>
      </c>
      <c r="U2494" s="960">
        <f t="array" ref="U2494">HLOOKUP($J2494,'Type Chart'!$C$2:$T$20,2,false)*HLOOKUP($K2494,'Type Chart'!$C$2:$U$20,2,false)</f>
        <v>1</v>
      </c>
      <c r="V2494" s="960">
        <f t="array" ref="V2494">HLOOKUP($J2494,'Type Chart'!$C$2:$T$20,3,false)*HLOOKUP($K2494,'Type Chart'!$C$2:$U$20,3,false)</f>
        <v>1</v>
      </c>
      <c r="W2494" s="960">
        <f t="array" ref="W2494">HLOOKUP($J2494,'Type Chart'!$C$2:$T$20,4,false)*HLOOKUP($K2494,'Type Chart'!$C$2:$U$20,4,false)</f>
        <v>0.5</v>
      </c>
      <c r="X2494" s="960">
        <f t="array" ref="X2494">HLOOKUP($J2494,'Type Chart'!$C$2:$T$20,5,false)*HLOOKUP($K2494,'Type Chart'!$C$2:$U$20,5,false)</f>
        <v>1</v>
      </c>
      <c r="Y2494" s="960">
        <f t="array" ref="Y2494">HLOOKUP($J2494,'Type Chart'!$C$2:$T$20,6,false)*HLOOKUP($K2494,'Type Chart'!$C$2:$U$20,6,false)</f>
        <v>2</v>
      </c>
      <c r="Z2494" s="960">
        <f t="array" ref="Z2494">HLOOKUP($J2494,'Type Chart'!$C$2:$T$20,7,false)*HLOOKUP($K2494,'Type Chart'!$C$2:$U$20,7,false)</f>
        <v>1</v>
      </c>
      <c r="AA2494" s="960">
        <f t="array" ref="AA2494">HLOOKUP($J2494,'Type Chart'!$C$2:$T$20,8,false)*HLOOKUP($K2494,'Type Chart'!$C$2:$U$20,8,false)</f>
        <v>1</v>
      </c>
      <c r="AB2494" s="960">
        <f t="array" ref="AB2494">HLOOKUP($J2494,'Type Chart'!$C$2:$T$20,9,false)*HLOOKUP($K2494,'Type Chart'!$C$2:$U$20,9,false)</f>
        <v>1</v>
      </c>
      <c r="AC2494" s="960">
        <f t="array" ref="AC2494">HLOOKUP($J2494,'Type Chart'!$C$2:$T$20,10,false)*HLOOKUP($K2494,'Type Chart'!$C$2:$U$20,10,false)</f>
        <v>0.5</v>
      </c>
      <c r="AD2494" s="960">
        <f t="array" ref="AD2494">HLOOKUP($J2494,'Type Chart'!$C$2:$T$20,11,false)*HLOOKUP($K2494,'Type Chart'!$C$2:$U$20,11,false)</f>
        <v>0.5</v>
      </c>
      <c r="AE2494" s="960">
        <f t="array" ref="AE2494">HLOOKUP($J2494,'Type Chart'!$C$2:$T$20,12,false)*HLOOKUP($K2494,'Type Chart'!$C$2:$U$20,12,false)</f>
        <v>0.5</v>
      </c>
      <c r="AF2494" s="960">
        <f t="array" ref="AF2494">HLOOKUP($J2494,'Type Chart'!$C$2:$T$20,13,false)*HLOOKUP($K2494,'Type Chart'!$C$2:$U$20,13,false)</f>
        <v>0.5</v>
      </c>
      <c r="AG2494" s="960">
        <f t="array" ref="AG2494">HLOOKUP($J2494,'Type Chart'!$C$2:$T$20,14,false)*HLOOKUP($K2494,'Type Chart'!$C$2:$U$20,14,false)</f>
        <v>0.25</v>
      </c>
      <c r="AH2494" s="960">
        <f t="array" ref="AH2494">HLOOKUP($J2494,'Type Chart'!$C$2:$T$20,15,false)*HLOOKUP($K2494,'Type Chart'!$C$2:$U$20,15,false)</f>
        <v>1</v>
      </c>
      <c r="AI2494" s="960">
        <f t="array" ref="AI2494">HLOOKUP($J2494,'Type Chart'!$C$2:$T$20,16,false)*HLOOKUP($K2494,'Type Chart'!$C$2:$U$20,16,false)</f>
        <v>2</v>
      </c>
      <c r="AJ2494" s="960">
        <f t="array" ref="AJ2494">HLOOKUP($J2494,'Type Chart'!$C$2:$T$20,17,false)*HLOOKUP($K2494,'Type Chart'!$C$2:$U$20,17,false)</f>
        <v>2</v>
      </c>
      <c r="AK2494" s="960">
        <f t="array" ref="AK2494">HLOOKUP($J2494,'Type Chart'!$C$2:$T$20,18,false)*HLOOKUP($K2494,'Type Chart'!$C$2:$U$20,18,false)</f>
        <v>1</v>
      </c>
      <c r="AL2494" s="960">
        <f t="array" ref="AL2494">HLOOKUP($J2494,'Type Chart'!$C$2:$T$20,19,false)*HLOOKUP($K2494,'Type Chart'!$C$2:$U$20,19,false)</f>
        <v>2</v>
      </c>
      <c r="AM2494" s="964" t="s">
        <v>4333</v>
      </c>
      <c r="AN2494" s="965"/>
      <c r="AO2494" s="966"/>
      <c r="AP2494" s="936"/>
      <c r="AQ2494" s="1245"/>
      <c r="AR2494" s="1245"/>
      <c r="AS2494" s="936"/>
    </row>
    <row r="2495" ht="15.75" customHeight="1">
      <c r="A2495" s="1099"/>
      <c r="B2495" s="948">
        <v>1000.0</v>
      </c>
      <c r="C2495" s="1197" t="s">
        <v>4334</v>
      </c>
      <c r="D2495" s="1197" t="s">
        <v>4334</v>
      </c>
      <c r="E2495" s="1147" t="s">
        <v>4334</v>
      </c>
      <c r="F2495" s="940"/>
      <c r="G2495" s="953"/>
      <c r="H2495" s="969"/>
      <c r="I2495" s="998" t="s">
        <v>5587</v>
      </c>
      <c r="J2495" s="1207" t="s">
        <v>127</v>
      </c>
      <c r="K2495" s="1206" t="s">
        <v>82</v>
      </c>
      <c r="L2495" s="959">
        <v>50.0</v>
      </c>
      <c r="M2495" s="960">
        <v>45.0</v>
      </c>
      <c r="N2495" s="960">
        <v>45.0</v>
      </c>
      <c r="O2495" s="960">
        <v>35.0</v>
      </c>
      <c r="P2495" s="960">
        <v>64.0</v>
      </c>
      <c r="Q2495" s="960">
        <v>58.0</v>
      </c>
      <c r="R2495" s="960">
        <v>152.0</v>
      </c>
      <c r="S2495" s="960">
        <v>215.0</v>
      </c>
      <c r="T2495" s="960">
        <v>236.0</v>
      </c>
      <c r="U2495" s="960">
        <f t="array" ref="U2495">HLOOKUP($J2495,'Type Chart'!$C$2:$T$20,2,false)*HLOOKUP($K2495,'Type Chart'!$C$2:$U$20,2,false)</f>
        <v>0.5</v>
      </c>
      <c r="V2495" s="960">
        <f t="array" ref="V2495">HLOOKUP($J2495,'Type Chart'!$C$2:$T$20,3,false)*HLOOKUP($K2495,'Type Chart'!$C$2:$U$20,3,false)</f>
        <v>1</v>
      </c>
      <c r="W2495" s="960">
        <f t="array" ref="W2495">HLOOKUP($J2495,'Type Chart'!$C$2:$T$20,4,false)*HLOOKUP($K2495,'Type Chart'!$C$2:$U$20,4,false)</f>
        <v>0.5</v>
      </c>
      <c r="X2495" s="960">
        <f t="array" ref="X2495">HLOOKUP($J2495,'Type Chart'!$C$2:$T$20,5,false)*HLOOKUP($K2495,'Type Chart'!$C$2:$U$20,5,false)</f>
        <v>0</v>
      </c>
      <c r="Y2495" s="960">
        <f t="array" ref="Y2495">HLOOKUP($J2495,'Type Chart'!$C$2:$T$20,6,false)*HLOOKUP($K2495,'Type Chart'!$C$2:$U$20,6,false)</f>
        <v>2</v>
      </c>
      <c r="Z2495" s="960">
        <f t="array" ref="Z2495">HLOOKUP($J2495,'Type Chart'!$C$2:$T$20,7,false)*HLOOKUP($K2495,'Type Chart'!$C$2:$U$20,7,false)</f>
        <v>0.5</v>
      </c>
      <c r="AA2495" s="960">
        <f t="array" ref="AA2495">HLOOKUP($J2495,'Type Chart'!$C$2:$T$20,8,false)*HLOOKUP($K2495,'Type Chart'!$C$2:$U$20,8,false)</f>
        <v>0.25</v>
      </c>
      <c r="AB2495" s="960">
        <f t="array" ref="AB2495">HLOOKUP($J2495,'Type Chart'!$C$2:$T$20,9,false)*HLOOKUP($K2495,'Type Chart'!$C$2:$U$20,9,false)</f>
        <v>1</v>
      </c>
      <c r="AC2495" s="960">
        <f t="array" ref="AC2495">HLOOKUP($J2495,'Type Chart'!$C$2:$T$20,10,false)*HLOOKUP($K2495,'Type Chart'!$C$2:$U$20,10,false)</f>
        <v>1</v>
      </c>
      <c r="AD2495" s="960">
        <f t="array" ref="AD2495">HLOOKUP($J2495,'Type Chart'!$C$2:$T$20,11,false)*HLOOKUP($K2495,'Type Chart'!$C$2:$U$20,11,false)</f>
        <v>2</v>
      </c>
      <c r="AE2495" s="960">
        <f t="array" ref="AE2495">HLOOKUP($J2495,'Type Chart'!$C$2:$T$20,12,false)*HLOOKUP($K2495,'Type Chart'!$C$2:$U$20,12,false)</f>
        <v>1</v>
      </c>
      <c r="AF2495" s="960">
        <f t="array" ref="AF2495">HLOOKUP($J2495,'Type Chart'!$C$2:$T$20,13,false)*HLOOKUP($K2495,'Type Chart'!$C$2:$U$20,13,false)</f>
        <v>0.5</v>
      </c>
      <c r="AG2495" s="960">
        <f t="array" ref="AG2495">HLOOKUP($J2495,'Type Chart'!$C$2:$T$20,14,false)*HLOOKUP($K2495,'Type Chart'!$C$2:$U$20,14,false)</f>
        <v>1</v>
      </c>
      <c r="AH2495" s="960">
        <f t="array" ref="AH2495">HLOOKUP($J2495,'Type Chart'!$C$2:$T$20,15,false)*HLOOKUP($K2495,'Type Chart'!$C$2:$U$20,15,false)</f>
        <v>0.5</v>
      </c>
      <c r="AI2495" s="960">
        <f t="array" ref="AI2495">HLOOKUP($J2495,'Type Chart'!$C$2:$T$20,16,false)*HLOOKUP($K2495,'Type Chart'!$C$2:$U$20,16,false)</f>
        <v>0.5</v>
      </c>
      <c r="AJ2495" s="960">
        <f t="array" ref="AJ2495">HLOOKUP($J2495,'Type Chart'!$C$2:$T$20,17,false)*HLOOKUP($K2495,'Type Chart'!$C$2:$U$20,17,false)</f>
        <v>0</v>
      </c>
      <c r="AK2495" s="960">
        <f t="array" ref="AK2495">HLOOKUP($J2495,'Type Chart'!$C$2:$T$20,18,false)*HLOOKUP($K2495,'Type Chart'!$C$2:$U$20,18,false)</f>
        <v>0.5</v>
      </c>
      <c r="AL2495" s="960">
        <f t="array" ref="AL2495">HLOOKUP($J2495,'Type Chart'!$C$2:$T$20,19,false)*HLOOKUP($K2495,'Type Chart'!$C$2:$U$20,19,false)</f>
        <v>0.5</v>
      </c>
      <c r="AM2495" s="964" t="s">
        <v>1576</v>
      </c>
      <c r="AN2495" s="964" t="s">
        <v>1370</v>
      </c>
      <c r="AO2495" s="966" t="s">
        <v>1869</v>
      </c>
      <c r="AP2495" s="936"/>
      <c r="AQ2495" s="1245"/>
      <c r="AR2495" s="1245"/>
      <c r="AS2495" s="936"/>
    </row>
    <row r="2496" ht="15.75" customHeight="1">
      <c r="A2496" s="1099"/>
      <c r="B2496" s="948">
        <v>1001.0</v>
      </c>
      <c r="C2496" s="1197" t="s">
        <v>4336</v>
      </c>
      <c r="D2496" s="1197" t="s">
        <v>4336</v>
      </c>
      <c r="E2496" s="1147" t="s">
        <v>4336</v>
      </c>
      <c r="F2496" s="940"/>
      <c r="G2496" s="953"/>
      <c r="H2496" s="969"/>
      <c r="I2496" s="998" t="s">
        <v>5588</v>
      </c>
      <c r="J2496" s="1207" t="s">
        <v>127</v>
      </c>
      <c r="K2496" s="1206" t="s">
        <v>82</v>
      </c>
      <c r="L2496" s="959">
        <v>65.0</v>
      </c>
      <c r="M2496" s="960">
        <v>55.0</v>
      </c>
      <c r="N2496" s="960">
        <v>55.0</v>
      </c>
      <c r="O2496" s="960">
        <v>45.0</v>
      </c>
      <c r="P2496" s="960">
        <v>82.0</v>
      </c>
      <c r="Q2496" s="960">
        <v>78.0</v>
      </c>
      <c r="R2496" s="960">
        <v>192.0</v>
      </c>
      <c r="S2496" s="960">
        <v>255.0</v>
      </c>
      <c r="T2496" s="960">
        <v>280.0</v>
      </c>
      <c r="U2496" s="960">
        <f t="array" ref="U2496">HLOOKUP($J2496,'Type Chart'!$C$2:$T$20,2,false)*HLOOKUP($K2496,'Type Chart'!$C$2:$U$20,2,false)</f>
        <v>0.5</v>
      </c>
      <c r="V2496" s="960">
        <f t="array" ref="V2496">HLOOKUP($J2496,'Type Chart'!$C$2:$T$20,3,false)*HLOOKUP($K2496,'Type Chart'!$C$2:$U$20,3,false)</f>
        <v>1</v>
      </c>
      <c r="W2496" s="960">
        <f t="array" ref="W2496">HLOOKUP($J2496,'Type Chart'!$C$2:$T$20,4,false)*HLOOKUP($K2496,'Type Chart'!$C$2:$U$20,4,false)</f>
        <v>0.5</v>
      </c>
      <c r="X2496" s="960">
        <f t="array" ref="X2496">HLOOKUP($J2496,'Type Chart'!$C$2:$T$20,5,false)*HLOOKUP($K2496,'Type Chart'!$C$2:$U$20,5,false)</f>
        <v>0</v>
      </c>
      <c r="Y2496" s="960">
        <f t="array" ref="Y2496">HLOOKUP($J2496,'Type Chart'!$C$2:$T$20,6,false)*HLOOKUP($K2496,'Type Chart'!$C$2:$U$20,6,false)</f>
        <v>2</v>
      </c>
      <c r="Z2496" s="960">
        <f t="array" ref="Z2496">HLOOKUP($J2496,'Type Chart'!$C$2:$T$20,7,false)*HLOOKUP($K2496,'Type Chart'!$C$2:$U$20,7,false)</f>
        <v>0.5</v>
      </c>
      <c r="AA2496" s="960">
        <f t="array" ref="AA2496">HLOOKUP($J2496,'Type Chart'!$C$2:$T$20,8,false)*HLOOKUP($K2496,'Type Chart'!$C$2:$U$20,8,false)</f>
        <v>0.25</v>
      </c>
      <c r="AB2496" s="960">
        <f t="array" ref="AB2496">HLOOKUP($J2496,'Type Chart'!$C$2:$T$20,9,false)*HLOOKUP($K2496,'Type Chart'!$C$2:$U$20,9,false)</f>
        <v>1</v>
      </c>
      <c r="AC2496" s="960">
        <f t="array" ref="AC2496">HLOOKUP($J2496,'Type Chart'!$C$2:$T$20,10,false)*HLOOKUP($K2496,'Type Chart'!$C$2:$U$20,10,false)</f>
        <v>1</v>
      </c>
      <c r="AD2496" s="960">
        <f t="array" ref="AD2496">HLOOKUP($J2496,'Type Chart'!$C$2:$T$20,11,false)*HLOOKUP($K2496,'Type Chart'!$C$2:$U$20,11,false)</f>
        <v>2</v>
      </c>
      <c r="AE2496" s="960">
        <f t="array" ref="AE2496">HLOOKUP($J2496,'Type Chart'!$C$2:$T$20,12,false)*HLOOKUP($K2496,'Type Chart'!$C$2:$U$20,12,false)</f>
        <v>1</v>
      </c>
      <c r="AF2496" s="960">
        <f t="array" ref="AF2496">HLOOKUP($J2496,'Type Chart'!$C$2:$T$20,13,false)*HLOOKUP($K2496,'Type Chart'!$C$2:$U$20,13,false)</f>
        <v>0.5</v>
      </c>
      <c r="AG2496" s="960">
        <f t="array" ref="AG2496">HLOOKUP($J2496,'Type Chart'!$C$2:$T$20,14,false)*HLOOKUP($K2496,'Type Chart'!$C$2:$U$20,14,false)</f>
        <v>1</v>
      </c>
      <c r="AH2496" s="960">
        <f t="array" ref="AH2496">HLOOKUP($J2496,'Type Chart'!$C$2:$T$20,15,false)*HLOOKUP($K2496,'Type Chart'!$C$2:$U$20,15,false)</f>
        <v>0.5</v>
      </c>
      <c r="AI2496" s="960">
        <f t="array" ref="AI2496">HLOOKUP($J2496,'Type Chart'!$C$2:$T$20,16,false)*HLOOKUP($K2496,'Type Chart'!$C$2:$U$20,16,false)</f>
        <v>0.5</v>
      </c>
      <c r="AJ2496" s="960">
        <f t="array" ref="AJ2496">HLOOKUP($J2496,'Type Chart'!$C$2:$T$20,17,false)*HLOOKUP($K2496,'Type Chart'!$C$2:$U$20,17,false)</f>
        <v>0</v>
      </c>
      <c r="AK2496" s="960">
        <f t="array" ref="AK2496">HLOOKUP($J2496,'Type Chart'!$C$2:$T$20,18,false)*HLOOKUP($K2496,'Type Chart'!$C$2:$U$20,18,false)</f>
        <v>0.5</v>
      </c>
      <c r="AL2496" s="960">
        <f t="array" ref="AL2496">HLOOKUP($J2496,'Type Chart'!$C$2:$T$20,19,false)*HLOOKUP($K2496,'Type Chart'!$C$2:$U$20,19,false)</f>
        <v>0.5</v>
      </c>
      <c r="AM2496" s="964" t="s">
        <v>1576</v>
      </c>
      <c r="AN2496" s="964" t="s">
        <v>1370</v>
      </c>
      <c r="AO2496" s="966" t="s">
        <v>1869</v>
      </c>
      <c r="AP2496" s="936"/>
      <c r="AQ2496" s="1245"/>
      <c r="AR2496" s="1245"/>
      <c r="AS2496" s="936"/>
    </row>
    <row r="2497" ht="15.75" customHeight="1">
      <c r="A2497" s="1099"/>
      <c r="B2497" s="948">
        <v>1002.0</v>
      </c>
      <c r="C2497" s="1197" t="s">
        <v>4337</v>
      </c>
      <c r="D2497" s="1197" t="s">
        <v>4337</v>
      </c>
      <c r="E2497" s="1147" t="s">
        <v>4337</v>
      </c>
      <c r="F2497" s="940"/>
      <c r="G2497" s="953"/>
      <c r="H2497" s="969"/>
      <c r="I2497" s="998" t="s">
        <v>5589</v>
      </c>
      <c r="J2497" s="1207" t="s">
        <v>127</v>
      </c>
      <c r="K2497" s="1206" t="s">
        <v>82</v>
      </c>
      <c r="L2497" s="959">
        <v>85.0</v>
      </c>
      <c r="M2497" s="960">
        <v>75.0</v>
      </c>
      <c r="N2497" s="960">
        <v>77.0</v>
      </c>
      <c r="O2497" s="960">
        <v>70.0</v>
      </c>
      <c r="P2497" s="960">
        <v>105.0</v>
      </c>
      <c r="Q2497" s="960">
        <v>94.0</v>
      </c>
      <c r="R2497" s="960">
        <v>224.0</v>
      </c>
      <c r="S2497" s="960">
        <v>287.0</v>
      </c>
      <c r="T2497" s="960">
        <v>315.0</v>
      </c>
      <c r="U2497" s="960">
        <f t="array" ref="U2497">HLOOKUP($J2497,'Type Chart'!$C$2:$T$20,2,false)*HLOOKUP($K2497,'Type Chart'!$C$2:$U$20,2,false)</f>
        <v>0.5</v>
      </c>
      <c r="V2497" s="960">
        <f t="array" ref="V2497">HLOOKUP($J2497,'Type Chart'!$C$2:$T$20,3,false)*HLOOKUP($K2497,'Type Chart'!$C$2:$U$20,3,false)</f>
        <v>1</v>
      </c>
      <c r="W2497" s="960">
        <f t="array" ref="W2497">HLOOKUP($J2497,'Type Chart'!$C$2:$T$20,4,false)*HLOOKUP($K2497,'Type Chart'!$C$2:$U$20,4,false)</f>
        <v>0.5</v>
      </c>
      <c r="X2497" s="960">
        <f t="array" ref="X2497">HLOOKUP($J2497,'Type Chart'!$C$2:$T$20,5,false)*HLOOKUP($K2497,'Type Chart'!$C$2:$U$20,5,false)</f>
        <v>0</v>
      </c>
      <c r="Y2497" s="960">
        <f t="array" ref="Y2497">HLOOKUP($J2497,'Type Chart'!$C$2:$T$20,6,false)*HLOOKUP($K2497,'Type Chart'!$C$2:$U$20,6,false)</f>
        <v>2</v>
      </c>
      <c r="Z2497" s="960">
        <f t="array" ref="Z2497">HLOOKUP($J2497,'Type Chart'!$C$2:$T$20,7,false)*HLOOKUP($K2497,'Type Chart'!$C$2:$U$20,7,false)</f>
        <v>0.5</v>
      </c>
      <c r="AA2497" s="960">
        <f t="array" ref="AA2497">HLOOKUP($J2497,'Type Chart'!$C$2:$T$20,8,false)*HLOOKUP($K2497,'Type Chart'!$C$2:$U$20,8,false)</f>
        <v>0.25</v>
      </c>
      <c r="AB2497" s="960">
        <f t="array" ref="AB2497">HLOOKUP($J2497,'Type Chart'!$C$2:$T$20,9,false)*HLOOKUP($K2497,'Type Chart'!$C$2:$U$20,9,false)</f>
        <v>1</v>
      </c>
      <c r="AC2497" s="960">
        <f t="array" ref="AC2497">HLOOKUP($J2497,'Type Chart'!$C$2:$T$20,10,false)*HLOOKUP($K2497,'Type Chart'!$C$2:$U$20,10,false)</f>
        <v>1</v>
      </c>
      <c r="AD2497" s="960">
        <f t="array" ref="AD2497">HLOOKUP($J2497,'Type Chart'!$C$2:$T$20,11,false)*HLOOKUP($K2497,'Type Chart'!$C$2:$U$20,11,false)</f>
        <v>2</v>
      </c>
      <c r="AE2497" s="960">
        <f t="array" ref="AE2497">HLOOKUP($J2497,'Type Chart'!$C$2:$T$20,12,false)*HLOOKUP($K2497,'Type Chart'!$C$2:$U$20,12,false)</f>
        <v>1</v>
      </c>
      <c r="AF2497" s="960">
        <f t="array" ref="AF2497">HLOOKUP($J2497,'Type Chart'!$C$2:$T$20,13,false)*HLOOKUP($K2497,'Type Chart'!$C$2:$U$20,13,false)</f>
        <v>0.5</v>
      </c>
      <c r="AG2497" s="960">
        <f t="array" ref="AG2497">HLOOKUP($J2497,'Type Chart'!$C$2:$T$20,14,false)*HLOOKUP($K2497,'Type Chart'!$C$2:$U$20,14,false)</f>
        <v>1</v>
      </c>
      <c r="AH2497" s="960">
        <f t="array" ref="AH2497">HLOOKUP($J2497,'Type Chart'!$C$2:$T$20,15,false)*HLOOKUP($K2497,'Type Chart'!$C$2:$U$20,15,false)</f>
        <v>0.5</v>
      </c>
      <c r="AI2497" s="960">
        <f t="array" ref="AI2497">HLOOKUP($J2497,'Type Chart'!$C$2:$T$20,16,false)*HLOOKUP($K2497,'Type Chart'!$C$2:$U$20,16,false)</f>
        <v>0.5</v>
      </c>
      <c r="AJ2497" s="960">
        <f t="array" ref="AJ2497">HLOOKUP($J2497,'Type Chart'!$C$2:$T$20,17,false)*HLOOKUP($K2497,'Type Chart'!$C$2:$U$20,17,false)</f>
        <v>0</v>
      </c>
      <c r="AK2497" s="960">
        <f t="array" ref="AK2497">HLOOKUP($J2497,'Type Chart'!$C$2:$T$20,18,false)*HLOOKUP($K2497,'Type Chart'!$C$2:$U$20,18,false)</f>
        <v>0.5</v>
      </c>
      <c r="AL2497" s="960">
        <f t="array" ref="AL2497">HLOOKUP($J2497,'Type Chart'!$C$2:$T$20,19,false)*HLOOKUP($K2497,'Type Chart'!$C$2:$U$20,19,false)</f>
        <v>0.5</v>
      </c>
      <c r="AM2497" s="964" t="s">
        <v>1576</v>
      </c>
      <c r="AN2497" s="964" t="s">
        <v>1370</v>
      </c>
      <c r="AO2497" s="966" t="s">
        <v>1869</v>
      </c>
      <c r="AP2497" s="936"/>
      <c r="AQ2497" s="1245"/>
      <c r="AR2497" s="1245"/>
      <c r="AS2497" s="936"/>
    </row>
    <row r="2498" ht="15.75" customHeight="1">
      <c r="A2498" s="1099"/>
      <c r="B2498" s="948">
        <v>1003.0</v>
      </c>
      <c r="C2498" s="1197" t="s">
        <v>4338</v>
      </c>
      <c r="D2498" s="1197" t="s">
        <v>4338</v>
      </c>
      <c r="E2498" s="1147" t="s">
        <v>4338</v>
      </c>
      <c r="F2498" s="940"/>
      <c r="G2498" s="953"/>
      <c r="H2498" s="969"/>
      <c r="I2498" s="998" t="s">
        <v>5590</v>
      </c>
      <c r="J2498" s="982" t="s">
        <v>150</v>
      </c>
      <c r="K2498" s="1235" t="s">
        <v>216</v>
      </c>
      <c r="L2498" s="959">
        <v>40.0</v>
      </c>
      <c r="M2498" s="960">
        <v>50.0</v>
      </c>
      <c r="N2498" s="960">
        <v>40.0</v>
      </c>
      <c r="O2498" s="960">
        <v>50.0</v>
      </c>
      <c r="P2498" s="960">
        <v>40.0</v>
      </c>
      <c r="Q2498" s="960">
        <v>30.0</v>
      </c>
      <c r="R2498" s="960">
        <v>96.0</v>
      </c>
      <c r="S2498" s="960">
        <v>159.0</v>
      </c>
      <c r="T2498" s="960">
        <v>174.0</v>
      </c>
      <c r="U2498" s="960">
        <f t="array" ref="U2498">HLOOKUP($J2498,'Type Chart'!$C$2:$T$20,2,false)*HLOOKUP($K2498,'Type Chart'!$C$2:$U$20,2,false)</f>
        <v>1</v>
      </c>
      <c r="V2498" s="960">
        <f t="array" ref="V2498">HLOOKUP($J2498,'Type Chart'!$C$2:$T$20,3,false)*HLOOKUP($K2498,'Type Chart'!$C$2:$U$20,3,false)</f>
        <v>1</v>
      </c>
      <c r="W2498" s="960">
        <f t="array" ref="W2498">HLOOKUP($J2498,'Type Chart'!$C$2:$T$20,4,false)*HLOOKUP($K2498,'Type Chart'!$C$2:$U$20,4,false)</f>
        <v>1</v>
      </c>
      <c r="X2498" s="960">
        <f t="array" ref="X2498">HLOOKUP($J2498,'Type Chart'!$C$2:$T$20,5,false)*HLOOKUP($K2498,'Type Chart'!$C$2:$U$20,5,false)</f>
        <v>1</v>
      </c>
      <c r="Y2498" s="960">
        <f t="array" ref="Y2498">HLOOKUP($J2498,'Type Chart'!$C$2:$T$20,6,false)*HLOOKUP($K2498,'Type Chart'!$C$2:$U$20,6,false)</f>
        <v>2</v>
      </c>
      <c r="Z2498" s="960">
        <f t="array" ref="Z2498">HLOOKUP($J2498,'Type Chart'!$C$2:$T$20,7,false)*HLOOKUP($K2498,'Type Chart'!$C$2:$U$20,7,false)</f>
        <v>2</v>
      </c>
      <c r="AA2498" s="960">
        <f t="array" ref="AA2498">HLOOKUP($J2498,'Type Chart'!$C$2:$T$20,8,false)*HLOOKUP($K2498,'Type Chart'!$C$2:$U$20,8,false)</f>
        <v>0.5</v>
      </c>
      <c r="AB2498" s="960">
        <f t="array" ref="AB2498">HLOOKUP($J2498,'Type Chart'!$C$2:$T$20,9,false)*HLOOKUP($K2498,'Type Chart'!$C$2:$U$20,9,false)</f>
        <v>1</v>
      </c>
      <c r="AC2498" s="960">
        <f t="array" ref="AC2498">HLOOKUP($J2498,'Type Chart'!$C$2:$T$20,10,false)*HLOOKUP($K2498,'Type Chart'!$C$2:$U$20,10,false)</f>
        <v>0.5</v>
      </c>
      <c r="AD2498" s="960">
        <f t="array" ref="AD2498">HLOOKUP($J2498,'Type Chart'!$C$2:$T$20,11,false)*HLOOKUP($K2498,'Type Chart'!$C$2:$U$20,11,false)</f>
        <v>0.5</v>
      </c>
      <c r="AE2498" s="960">
        <f t="array" ref="AE2498">HLOOKUP($J2498,'Type Chart'!$C$2:$T$20,12,false)*HLOOKUP($K2498,'Type Chart'!$C$2:$U$20,12,false)</f>
        <v>2</v>
      </c>
      <c r="AF2498" s="960">
        <f t="array" ref="AF2498">HLOOKUP($J2498,'Type Chart'!$C$2:$T$20,13,false)*HLOOKUP($K2498,'Type Chart'!$C$2:$U$20,13,false)</f>
        <v>0.5</v>
      </c>
      <c r="AG2498" s="960">
        <f t="array" ref="AG2498">HLOOKUP($J2498,'Type Chart'!$C$2:$T$20,14,false)*HLOOKUP($K2498,'Type Chart'!$C$2:$U$20,14,false)</f>
        <v>1</v>
      </c>
      <c r="AH2498" s="960">
        <f t="array" ref="AH2498">HLOOKUP($J2498,'Type Chart'!$C$2:$T$20,15,false)*HLOOKUP($K2498,'Type Chart'!$C$2:$U$20,15,false)</f>
        <v>1</v>
      </c>
      <c r="AI2498" s="960">
        <f t="array" ref="AI2498">HLOOKUP($J2498,'Type Chart'!$C$2:$T$20,16,false)*HLOOKUP($K2498,'Type Chart'!$C$2:$U$20,16,false)</f>
        <v>0.5</v>
      </c>
      <c r="AJ2498" s="960">
        <f t="array" ref="AJ2498">HLOOKUP($J2498,'Type Chart'!$C$2:$T$20,17,false)*HLOOKUP($K2498,'Type Chart'!$C$2:$U$20,17,false)</f>
        <v>1</v>
      </c>
      <c r="AK2498" s="960">
        <f t="array" ref="AK2498">HLOOKUP($J2498,'Type Chart'!$C$2:$T$20,18,false)*HLOOKUP($K2498,'Type Chart'!$C$2:$U$20,18,false)</f>
        <v>1</v>
      </c>
      <c r="AL2498" s="960">
        <f t="array" ref="AL2498">HLOOKUP($J2498,'Type Chart'!$C$2:$T$20,19,false)*HLOOKUP($K2498,'Type Chart'!$C$2:$U$20,19,false)</f>
        <v>0.5</v>
      </c>
      <c r="AM2498" s="964" t="s">
        <v>1172</v>
      </c>
      <c r="AN2498" s="965"/>
      <c r="AO2498" s="966" t="s">
        <v>1353</v>
      </c>
      <c r="AP2498" s="936"/>
      <c r="AQ2498" s="1245"/>
      <c r="AR2498" s="1245"/>
      <c r="AS2498" s="936"/>
    </row>
    <row r="2499" ht="15.75" customHeight="1">
      <c r="A2499" s="1099"/>
      <c r="B2499" s="948">
        <v>1004.0</v>
      </c>
      <c r="C2499" s="1197" t="s">
        <v>4340</v>
      </c>
      <c r="D2499" s="1197" t="s">
        <v>4340</v>
      </c>
      <c r="E2499" s="1147" t="s">
        <v>4340</v>
      </c>
      <c r="F2499" s="940"/>
      <c r="G2499" s="953"/>
      <c r="H2499" s="969"/>
      <c r="I2499" s="998" t="s">
        <v>5591</v>
      </c>
      <c r="J2499" s="982" t="s">
        <v>150</v>
      </c>
      <c r="K2499" s="1203" t="s">
        <v>344</v>
      </c>
      <c r="L2499" s="959">
        <v>85.0</v>
      </c>
      <c r="M2499" s="960">
        <v>60.0</v>
      </c>
      <c r="N2499" s="960">
        <v>100.0</v>
      </c>
      <c r="O2499" s="960">
        <v>125.0</v>
      </c>
      <c r="P2499" s="960">
        <v>80.0</v>
      </c>
      <c r="Q2499" s="960">
        <v>75.0</v>
      </c>
      <c r="R2499" s="960">
        <v>186.0</v>
      </c>
      <c r="S2499" s="960">
        <v>249.0</v>
      </c>
      <c r="T2499" s="960">
        <v>273.0</v>
      </c>
      <c r="U2499" s="960">
        <f t="array" ref="U2499">HLOOKUP($J2499,'Type Chart'!$C$2:$T$20,2,false)*HLOOKUP($K2499,'Type Chart'!$C$2:$U$20,2,false)</f>
        <v>1</v>
      </c>
      <c r="V2499" s="960">
        <f t="array" ref="V2499">HLOOKUP($J2499,'Type Chart'!$C$2:$T$20,3,false)*HLOOKUP($K2499,'Type Chart'!$C$2:$U$20,3,false)</f>
        <v>0.5</v>
      </c>
      <c r="W2499" s="960">
        <f t="array" ref="W2499">HLOOKUP($J2499,'Type Chart'!$C$2:$T$20,4,false)*HLOOKUP($K2499,'Type Chart'!$C$2:$U$20,4,false)</f>
        <v>1</v>
      </c>
      <c r="X2499" s="960">
        <f t="array" ref="X2499">HLOOKUP($J2499,'Type Chart'!$C$2:$T$20,5,false)*HLOOKUP($K2499,'Type Chart'!$C$2:$U$20,5,false)</f>
        <v>1</v>
      </c>
      <c r="Y2499" s="960">
        <f t="array" ref="Y2499">HLOOKUP($J2499,'Type Chart'!$C$2:$T$20,6,false)*HLOOKUP($K2499,'Type Chart'!$C$2:$U$20,6,false)</f>
        <v>2</v>
      </c>
      <c r="Z2499" s="960">
        <f t="array" ref="Z2499">HLOOKUP($J2499,'Type Chart'!$C$2:$T$20,7,false)*HLOOKUP($K2499,'Type Chart'!$C$2:$U$20,7,false)</f>
        <v>2</v>
      </c>
      <c r="AA2499" s="960">
        <f t="array" ref="AA2499">HLOOKUP($J2499,'Type Chart'!$C$2:$T$20,8,false)*HLOOKUP($K2499,'Type Chart'!$C$2:$U$20,8,false)</f>
        <v>1</v>
      </c>
      <c r="AB2499" s="960">
        <f t="array" ref="AB2499">HLOOKUP($J2499,'Type Chart'!$C$2:$T$20,9,false)*HLOOKUP($K2499,'Type Chart'!$C$2:$U$20,9,false)</f>
        <v>2</v>
      </c>
      <c r="AC2499" s="960">
        <f t="array" ref="AC2499">HLOOKUP($J2499,'Type Chart'!$C$2:$T$20,10,false)*HLOOKUP($K2499,'Type Chart'!$C$2:$U$20,10,false)</f>
        <v>0.5</v>
      </c>
      <c r="AD2499" s="960">
        <f t="array" ref="AD2499">HLOOKUP($J2499,'Type Chart'!$C$2:$T$20,11,false)*HLOOKUP($K2499,'Type Chart'!$C$2:$U$20,11,false)</f>
        <v>0.5</v>
      </c>
      <c r="AE2499" s="960">
        <f t="array" ref="AE2499">HLOOKUP($J2499,'Type Chart'!$C$2:$T$20,12,false)*HLOOKUP($K2499,'Type Chart'!$C$2:$U$20,12,false)</f>
        <v>2</v>
      </c>
      <c r="AF2499" s="960">
        <f t="array" ref="AF2499">HLOOKUP($J2499,'Type Chart'!$C$2:$T$20,13,false)*HLOOKUP($K2499,'Type Chart'!$C$2:$U$20,13,false)</f>
        <v>0.5</v>
      </c>
      <c r="AG2499" s="960">
        <f t="array" ref="AG2499">HLOOKUP($J2499,'Type Chart'!$C$2:$T$20,14,false)*HLOOKUP($K2499,'Type Chart'!$C$2:$U$20,14,false)</f>
        <v>1</v>
      </c>
      <c r="AH2499" s="960">
        <f t="array" ref="AH2499">HLOOKUP($J2499,'Type Chart'!$C$2:$T$20,15,false)*HLOOKUP($K2499,'Type Chart'!$C$2:$U$20,15,false)</f>
        <v>0.5</v>
      </c>
      <c r="AI2499" s="960">
        <f t="array" ref="AI2499">HLOOKUP($J2499,'Type Chart'!$C$2:$T$20,16,false)*HLOOKUP($K2499,'Type Chart'!$C$2:$U$20,16,false)</f>
        <v>0.5</v>
      </c>
      <c r="AJ2499" s="960">
        <f t="array" ref="AJ2499">HLOOKUP($J2499,'Type Chart'!$C$2:$T$20,17,false)*HLOOKUP($K2499,'Type Chart'!$C$2:$U$20,17,false)</f>
        <v>1</v>
      </c>
      <c r="AK2499" s="960">
        <f t="array" ref="AK2499">HLOOKUP($J2499,'Type Chart'!$C$2:$T$20,18,false)*HLOOKUP($K2499,'Type Chart'!$C$2:$U$20,18,false)</f>
        <v>2</v>
      </c>
      <c r="AL2499" s="960">
        <f t="array" ref="AL2499">HLOOKUP($J2499,'Type Chart'!$C$2:$T$20,19,false)*HLOOKUP($K2499,'Type Chart'!$C$2:$U$20,19,false)</f>
        <v>0.5</v>
      </c>
      <c r="AM2499" s="964" t="s">
        <v>1172</v>
      </c>
      <c r="AN2499" s="965"/>
      <c r="AO2499" s="966" t="s">
        <v>1450</v>
      </c>
      <c r="AP2499" s="936"/>
      <c r="AQ2499" s="1245"/>
      <c r="AR2499" s="1245"/>
      <c r="AS2499" s="936"/>
    </row>
    <row r="2500" ht="15.75" customHeight="1">
      <c r="A2500" s="1099"/>
      <c r="B2500" s="948">
        <v>1005.0</v>
      </c>
      <c r="C2500" s="1197" t="s">
        <v>4341</v>
      </c>
      <c r="D2500" s="1197" t="s">
        <v>4341</v>
      </c>
      <c r="E2500" s="1147" t="s">
        <v>4341</v>
      </c>
      <c r="F2500" s="940"/>
      <c r="G2500" s="953"/>
      <c r="H2500" s="969"/>
      <c r="I2500" s="998" t="s">
        <v>5592</v>
      </c>
      <c r="J2500" s="982" t="s">
        <v>150</v>
      </c>
      <c r="K2500" s="1220" t="s">
        <v>215</v>
      </c>
      <c r="L2500" s="959">
        <v>75.0</v>
      </c>
      <c r="M2500" s="960">
        <v>125.0</v>
      </c>
      <c r="N2500" s="960">
        <v>80.0</v>
      </c>
      <c r="O2500" s="960">
        <v>60.0</v>
      </c>
      <c r="P2500" s="960">
        <v>100.0</v>
      </c>
      <c r="Q2500" s="960">
        <v>85.0</v>
      </c>
      <c r="R2500" s="960">
        <v>206.0</v>
      </c>
      <c r="S2500" s="960">
        <v>269.0</v>
      </c>
      <c r="T2500" s="960">
        <v>295.0</v>
      </c>
      <c r="U2500" s="960">
        <f t="array" ref="U2500">HLOOKUP($J2500,'Type Chart'!$C$2:$T$20,2,false)*HLOOKUP($K2500,'Type Chart'!$C$2:$U$20,2,false)</f>
        <v>0</v>
      </c>
      <c r="V2500" s="960">
        <f t="array" ref="V2500">HLOOKUP($J2500,'Type Chart'!$C$2:$T$20,3,false)*HLOOKUP($K2500,'Type Chart'!$C$2:$U$20,3,false)</f>
        <v>0</v>
      </c>
      <c r="W2500" s="960">
        <f t="array" ref="W2500">HLOOKUP($J2500,'Type Chart'!$C$2:$T$20,4,false)*HLOOKUP($K2500,'Type Chart'!$C$2:$U$20,4,false)</f>
        <v>1</v>
      </c>
      <c r="X2500" s="960">
        <f t="array" ref="X2500">HLOOKUP($J2500,'Type Chart'!$C$2:$T$20,5,false)*HLOOKUP($K2500,'Type Chart'!$C$2:$U$20,5,false)</f>
        <v>0.5</v>
      </c>
      <c r="Y2500" s="960">
        <f t="array" ref="Y2500">HLOOKUP($J2500,'Type Chart'!$C$2:$T$20,6,false)*HLOOKUP($K2500,'Type Chart'!$C$2:$U$20,6,false)</f>
        <v>2</v>
      </c>
      <c r="Z2500" s="960">
        <f t="array" ref="Z2500">HLOOKUP($J2500,'Type Chart'!$C$2:$T$20,7,false)*HLOOKUP($K2500,'Type Chart'!$C$2:$U$20,7,false)</f>
        <v>2</v>
      </c>
      <c r="AA2500" s="960">
        <f t="array" ref="AA2500">HLOOKUP($J2500,'Type Chart'!$C$2:$T$20,8,false)*HLOOKUP($K2500,'Type Chart'!$C$2:$U$20,8,false)</f>
        <v>0.25</v>
      </c>
      <c r="AB2500" s="960">
        <f t="array" ref="AB2500">HLOOKUP($J2500,'Type Chart'!$C$2:$T$20,9,false)*HLOOKUP($K2500,'Type Chart'!$C$2:$U$20,9,false)</f>
        <v>2</v>
      </c>
      <c r="AC2500" s="960">
        <f t="array" ref="AC2500">HLOOKUP($J2500,'Type Chart'!$C$2:$T$20,10,false)*HLOOKUP($K2500,'Type Chart'!$C$2:$U$20,10,false)</f>
        <v>0.5</v>
      </c>
      <c r="AD2500" s="960">
        <f t="array" ref="AD2500">HLOOKUP($J2500,'Type Chart'!$C$2:$T$20,11,false)*HLOOKUP($K2500,'Type Chart'!$C$2:$U$20,11,false)</f>
        <v>0.5</v>
      </c>
      <c r="AE2500" s="960">
        <f t="array" ref="AE2500">HLOOKUP($J2500,'Type Chart'!$C$2:$T$20,12,false)*HLOOKUP($K2500,'Type Chart'!$C$2:$U$20,12,false)</f>
        <v>2</v>
      </c>
      <c r="AF2500" s="960">
        <f t="array" ref="AF2500">HLOOKUP($J2500,'Type Chart'!$C$2:$T$20,13,false)*HLOOKUP($K2500,'Type Chart'!$C$2:$U$20,13,false)</f>
        <v>0.5</v>
      </c>
      <c r="AG2500" s="960">
        <f t="array" ref="AG2500">HLOOKUP($J2500,'Type Chart'!$C$2:$T$20,14,false)*HLOOKUP($K2500,'Type Chart'!$C$2:$U$20,14,false)</f>
        <v>1</v>
      </c>
      <c r="AH2500" s="960">
        <f t="array" ref="AH2500">HLOOKUP($J2500,'Type Chart'!$C$2:$T$20,15,false)*HLOOKUP($K2500,'Type Chart'!$C$2:$U$20,15,false)</f>
        <v>1</v>
      </c>
      <c r="AI2500" s="960">
        <f t="array" ref="AI2500">HLOOKUP($J2500,'Type Chart'!$C$2:$T$20,16,false)*HLOOKUP($K2500,'Type Chart'!$C$2:$U$20,16,false)</f>
        <v>0.5</v>
      </c>
      <c r="AJ2500" s="960">
        <f t="array" ref="AJ2500">HLOOKUP($J2500,'Type Chart'!$C$2:$T$20,17,false)*HLOOKUP($K2500,'Type Chart'!$C$2:$U$20,17,false)</f>
        <v>1</v>
      </c>
      <c r="AK2500" s="960">
        <f t="array" ref="AK2500">HLOOKUP($J2500,'Type Chart'!$C$2:$T$20,18,false)*HLOOKUP($K2500,'Type Chart'!$C$2:$U$20,18,false)</f>
        <v>2</v>
      </c>
      <c r="AL2500" s="960">
        <f t="array" ref="AL2500">HLOOKUP($J2500,'Type Chart'!$C$2:$T$20,19,false)*HLOOKUP($K2500,'Type Chart'!$C$2:$U$20,19,false)</f>
        <v>0.5</v>
      </c>
      <c r="AM2500" s="964" t="s">
        <v>1172</v>
      </c>
      <c r="AN2500" s="965"/>
      <c r="AO2500" s="966" t="s">
        <v>1450</v>
      </c>
      <c r="AP2500" s="936"/>
      <c r="AQ2500" s="1245"/>
      <c r="AR2500" s="1245"/>
      <c r="AS2500" s="936"/>
    </row>
    <row r="2501" ht="15.75" customHeight="1">
      <c r="A2501" s="1099"/>
      <c r="B2501" s="948">
        <v>1006.0</v>
      </c>
      <c r="C2501" s="1197" t="s">
        <v>4342</v>
      </c>
      <c r="D2501" s="1197" t="s">
        <v>4342</v>
      </c>
      <c r="E2501" s="1147" t="s">
        <v>4342</v>
      </c>
      <c r="F2501" s="940"/>
      <c r="G2501" s="953"/>
      <c r="H2501" s="969"/>
      <c r="I2501" s="998" t="s">
        <v>5593</v>
      </c>
      <c r="J2501" s="1204" t="s">
        <v>80</v>
      </c>
      <c r="K2501" s="957" t="s">
        <v>209</v>
      </c>
      <c r="L2501" s="959">
        <v>40.0</v>
      </c>
      <c r="M2501" s="960">
        <v>40.0</v>
      </c>
      <c r="N2501" s="960">
        <v>35.0</v>
      </c>
      <c r="O2501" s="960">
        <v>50.0</v>
      </c>
      <c r="P2501" s="960">
        <v>100.0</v>
      </c>
      <c r="Q2501" s="960">
        <v>70.0</v>
      </c>
      <c r="R2501" s="960">
        <v>176.0</v>
      </c>
      <c r="S2501" s="960">
        <v>239.0</v>
      </c>
      <c r="T2501" s="960">
        <v>262.0</v>
      </c>
      <c r="U2501" s="960">
        <f t="array" ref="U2501">HLOOKUP($J2501,'Type Chart'!$C$2:$T$20,2,false)*HLOOKUP($K2501,'Type Chart'!$C$2:$U$20,2,false)</f>
        <v>1</v>
      </c>
      <c r="V2501" s="960">
        <f t="array" ref="V2501">HLOOKUP($J2501,'Type Chart'!$C$2:$T$20,3,false)*HLOOKUP($K2501,'Type Chart'!$C$2:$U$20,3,false)</f>
        <v>1</v>
      </c>
      <c r="W2501" s="960">
        <f t="array" ref="W2501">HLOOKUP($J2501,'Type Chart'!$C$2:$T$20,4,false)*HLOOKUP($K2501,'Type Chart'!$C$2:$U$20,4,false)</f>
        <v>2</v>
      </c>
      <c r="X2501" s="960">
        <f t="array" ref="X2501">HLOOKUP($J2501,'Type Chart'!$C$2:$T$20,5,false)*HLOOKUP($K2501,'Type Chart'!$C$2:$U$20,5,false)</f>
        <v>1</v>
      </c>
      <c r="Y2501" s="960">
        <f t="array" ref="Y2501">HLOOKUP($J2501,'Type Chart'!$C$2:$T$20,6,false)*HLOOKUP($K2501,'Type Chart'!$C$2:$U$20,6,false)</f>
        <v>0.5</v>
      </c>
      <c r="Z2501" s="960">
        <f t="array" ref="Z2501">HLOOKUP($J2501,'Type Chart'!$C$2:$T$20,7,false)*HLOOKUP($K2501,'Type Chart'!$C$2:$U$20,7,false)</f>
        <v>0.5</v>
      </c>
      <c r="AA2501" s="960">
        <f t="array" ref="AA2501">HLOOKUP($J2501,'Type Chart'!$C$2:$T$20,8,false)*HLOOKUP($K2501,'Type Chart'!$C$2:$U$20,8,false)</f>
        <v>2</v>
      </c>
      <c r="AB2501" s="960">
        <f t="array" ref="AB2501">HLOOKUP($J2501,'Type Chart'!$C$2:$T$20,9,false)*HLOOKUP($K2501,'Type Chart'!$C$2:$U$20,9,false)</f>
        <v>1</v>
      </c>
      <c r="AC2501" s="960">
        <f t="array" ref="AC2501">HLOOKUP($J2501,'Type Chart'!$C$2:$T$20,10,false)*HLOOKUP($K2501,'Type Chart'!$C$2:$U$20,10,false)</f>
        <v>1</v>
      </c>
      <c r="AD2501" s="960">
        <f t="array" ref="AD2501">HLOOKUP($J2501,'Type Chart'!$C$2:$T$20,11,false)*HLOOKUP($K2501,'Type Chart'!$C$2:$U$20,11,false)</f>
        <v>2</v>
      </c>
      <c r="AE2501" s="960">
        <f t="array" ref="AE2501">HLOOKUP($J2501,'Type Chart'!$C$2:$T$20,12,false)*HLOOKUP($K2501,'Type Chart'!$C$2:$U$20,12,false)</f>
        <v>1</v>
      </c>
      <c r="AF2501" s="960">
        <f t="array" ref="AF2501">HLOOKUP($J2501,'Type Chart'!$C$2:$T$20,13,false)*HLOOKUP($K2501,'Type Chart'!$C$2:$U$20,13,false)</f>
        <v>1</v>
      </c>
      <c r="AG2501" s="960">
        <f t="array" ref="AG2501">HLOOKUP($J2501,'Type Chart'!$C$2:$T$20,14,false)*HLOOKUP($K2501,'Type Chart'!$C$2:$U$20,14,false)</f>
        <v>0</v>
      </c>
      <c r="AH2501" s="960">
        <f t="array" ref="AH2501">HLOOKUP($J2501,'Type Chart'!$C$2:$T$20,15,false)*HLOOKUP($K2501,'Type Chart'!$C$2:$U$20,15,false)</f>
        <v>1</v>
      </c>
      <c r="AI2501" s="960">
        <f t="array" ref="AI2501">HLOOKUP($J2501,'Type Chart'!$C$2:$T$20,16,false)*HLOOKUP($K2501,'Type Chart'!$C$2:$U$20,16,false)</f>
        <v>4</v>
      </c>
      <c r="AJ2501" s="960">
        <f t="array" ref="AJ2501">HLOOKUP($J2501,'Type Chart'!$C$2:$T$20,17,false)*HLOOKUP($K2501,'Type Chart'!$C$2:$U$20,17,false)</f>
        <v>1</v>
      </c>
      <c r="AK2501" s="960">
        <f t="array" ref="AK2501">HLOOKUP($J2501,'Type Chart'!$C$2:$T$20,18,false)*HLOOKUP($K2501,'Type Chart'!$C$2:$U$20,18,false)</f>
        <v>1</v>
      </c>
      <c r="AL2501" s="960">
        <f t="array" ref="AL2501">HLOOKUP($J2501,'Type Chart'!$C$2:$T$20,19,false)*HLOOKUP($K2501,'Type Chart'!$C$2:$U$20,19,false)</f>
        <v>1</v>
      </c>
      <c r="AM2501" s="964" t="s">
        <v>4344</v>
      </c>
      <c r="AN2501" s="965"/>
      <c r="AO2501" s="966"/>
      <c r="AP2501" s="936"/>
      <c r="AQ2501" s="1245"/>
      <c r="AR2501" s="1245"/>
      <c r="AS2501" s="936"/>
    </row>
    <row r="2502" ht="15.75" customHeight="1">
      <c r="A2502" s="1099"/>
      <c r="B2502" s="948">
        <v>1007.0</v>
      </c>
      <c r="C2502" s="1197" t="s">
        <v>4345</v>
      </c>
      <c r="D2502" s="1197" t="s">
        <v>4345</v>
      </c>
      <c r="E2502" s="1147" t="s">
        <v>4345</v>
      </c>
      <c r="F2502" s="940"/>
      <c r="G2502" s="953"/>
      <c r="H2502" s="969"/>
      <c r="I2502" s="998" t="s">
        <v>5594</v>
      </c>
      <c r="J2502" s="1204" t="s">
        <v>80</v>
      </c>
      <c r="K2502" s="957" t="s">
        <v>209</v>
      </c>
      <c r="L2502" s="959">
        <v>80.0</v>
      </c>
      <c r="M2502" s="960">
        <v>70.0</v>
      </c>
      <c r="N2502" s="960">
        <v>65.0</v>
      </c>
      <c r="O2502" s="960">
        <v>80.0</v>
      </c>
      <c r="P2502" s="960">
        <v>120.0</v>
      </c>
      <c r="Q2502" s="960">
        <v>100.0</v>
      </c>
      <c r="R2502" s="960">
        <v>236.0</v>
      </c>
      <c r="S2502" s="960">
        <v>299.0</v>
      </c>
      <c r="T2502" s="960">
        <v>328.0</v>
      </c>
      <c r="U2502" s="960">
        <f t="array" ref="U2502">HLOOKUP($J2502,'Type Chart'!$C$2:$T$20,2,false)*HLOOKUP($K2502,'Type Chart'!$C$2:$U$20,2,false)</f>
        <v>1</v>
      </c>
      <c r="V2502" s="960">
        <f t="array" ref="V2502">HLOOKUP($J2502,'Type Chart'!$C$2:$T$20,3,false)*HLOOKUP($K2502,'Type Chart'!$C$2:$U$20,3,false)</f>
        <v>1</v>
      </c>
      <c r="W2502" s="960">
        <f t="array" ref="W2502">HLOOKUP($J2502,'Type Chart'!$C$2:$T$20,4,false)*HLOOKUP($K2502,'Type Chart'!$C$2:$U$20,4,false)</f>
        <v>2</v>
      </c>
      <c r="X2502" s="960">
        <f t="array" ref="X2502">HLOOKUP($J2502,'Type Chart'!$C$2:$T$20,5,false)*HLOOKUP($K2502,'Type Chart'!$C$2:$U$20,5,false)</f>
        <v>1</v>
      </c>
      <c r="Y2502" s="960">
        <f t="array" ref="Y2502">HLOOKUP($J2502,'Type Chart'!$C$2:$T$20,6,false)*HLOOKUP($K2502,'Type Chart'!$C$2:$U$20,6,false)</f>
        <v>0.5</v>
      </c>
      <c r="Z2502" s="960">
        <f t="array" ref="Z2502">HLOOKUP($J2502,'Type Chart'!$C$2:$T$20,7,false)*HLOOKUP($K2502,'Type Chart'!$C$2:$U$20,7,false)</f>
        <v>0.5</v>
      </c>
      <c r="AA2502" s="960">
        <f t="array" ref="AA2502">HLOOKUP($J2502,'Type Chart'!$C$2:$T$20,8,false)*HLOOKUP($K2502,'Type Chart'!$C$2:$U$20,8,false)</f>
        <v>2</v>
      </c>
      <c r="AB2502" s="960">
        <f t="array" ref="AB2502">HLOOKUP($J2502,'Type Chart'!$C$2:$T$20,9,false)*HLOOKUP($K2502,'Type Chart'!$C$2:$U$20,9,false)</f>
        <v>1</v>
      </c>
      <c r="AC2502" s="960">
        <f t="array" ref="AC2502">HLOOKUP($J2502,'Type Chart'!$C$2:$T$20,10,false)*HLOOKUP($K2502,'Type Chart'!$C$2:$U$20,10,false)</f>
        <v>1</v>
      </c>
      <c r="AD2502" s="960">
        <f t="array" ref="AD2502">HLOOKUP($J2502,'Type Chart'!$C$2:$T$20,11,false)*HLOOKUP($K2502,'Type Chart'!$C$2:$U$20,11,false)</f>
        <v>2</v>
      </c>
      <c r="AE2502" s="960">
        <f t="array" ref="AE2502">HLOOKUP($J2502,'Type Chart'!$C$2:$T$20,12,false)*HLOOKUP($K2502,'Type Chart'!$C$2:$U$20,12,false)</f>
        <v>1</v>
      </c>
      <c r="AF2502" s="960">
        <f t="array" ref="AF2502">HLOOKUP($J2502,'Type Chart'!$C$2:$T$20,13,false)*HLOOKUP($K2502,'Type Chart'!$C$2:$U$20,13,false)</f>
        <v>1</v>
      </c>
      <c r="AG2502" s="960">
        <f t="array" ref="AG2502">HLOOKUP($J2502,'Type Chart'!$C$2:$T$20,14,false)*HLOOKUP($K2502,'Type Chart'!$C$2:$U$20,14,false)</f>
        <v>0</v>
      </c>
      <c r="AH2502" s="960">
        <f t="array" ref="AH2502">HLOOKUP($J2502,'Type Chart'!$C$2:$T$20,15,false)*HLOOKUP($K2502,'Type Chart'!$C$2:$U$20,15,false)</f>
        <v>1</v>
      </c>
      <c r="AI2502" s="960">
        <f t="array" ref="AI2502">HLOOKUP($J2502,'Type Chart'!$C$2:$T$20,16,false)*HLOOKUP($K2502,'Type Chart'!$C$2:$U$20,16,false)</f>
        <v>4</v>
      </c>
      <c r="AJ2502" s="960">
        <f t="array" ref="AJ2502">HLOOKUP($J2502,'Type Chart'!$C$2:$T$20,17,false)*HLOOKUP($K2502,'Type Chart'!$C$2:$U$20,17,false)</f>
        <v>1</v>
      </c>
      <c r="AK2502" s="960">
        <f t="array" ref="AK2502">HLOOKUP($J2502,'Type Chart'!$C$2:$T$20,18,false)*HLOOKUP($K2502,'Type Chart'!$C$2:$U$20,18,false)</f>
        <v>1</v>
      </c>
      <c r="AL2502" s="960">
        <f t="array" ref="AL2502">HLOOKUP($J2502,'Type Chart'!$C$2:$T$20,19,false)*HLOOKUP($K2502,'Type Chart'!$C$2:$U$20,19,false)</f>
        <v>1</v>
      </c>
      <c r="AM2502" s="964" t="s">
        <v>4344</v>
      </c>
      <c r="AN2502" s="965"/>
      <c r="AO2502" s="966"/>
      <c r="AP2502" s="936"/>
      <c r="AQ2502" s="1245"/>
      <c r="AR2502" s="1245"/>
      <c r="AS2502" s="936"/>
    </row>
    <row r="2503" ht="15.75" customHeight="1">
      <c r="A2503" s="1099"/>
      <c r="B2503" s="948">
        <v>1008.0</v>
      </c>
      <c r="C2503" s="1197" t="s">
        <v>4346</v>
      </c>
      <c r="D2503" s="1197" t="s">
        <v>4346</v>
      </c>
      <c r="E2503" s="1147" t="s">
        <v>4346</v>
      </c>
      <c r="F2503" s="940"/>
      <c r="G2503" s="953"/>
      <c r="H2503" s="969"/>
      <c r="I2503" s="998" t="s">
        <v>5595</v>
      </c>
      <c r="J2503" s="1195" t="s">
        <v>193</v>
      </c>
      <c r="K2503" s="1206" t="s">
        <v>82</v>
      </c>
      <c r="L2503" s="959">
        <v>100.0</v>
      </c>
      <c r="M2503" s="960">
        <v>135.0</v>
      </c>
      <c r="N2503" s="960">
        <v>120.0</v>
      </c>
      <c r="O2503" s="960">
        <v>60.0</v>
      </c>
      <c r="P2503" s="960">
        <v>85.0</v>
      </c>
      <c r="Q2503" s="960">
        <v>50.0</v>
      </c>
      <c r="R2503" s="960">
        <v>136.0</v>
      </c>
      <c r="S2503" s="960">
        <v>199.0</v>
      </c>
      <c r="T2503" s="960">
        <v>218.0</v>
      </c>
      <c r="U2503" s="960">
        <f t="array" ref="U2503">HLOOKUP($J2503,'Type Chart'!$C$2:$T$20,2,false)*HLOOKUP($K2503,'Type Chart'!$C$2:$U$20,2,false)</f>
        <v>0.5</v>
      </c>
      <c r="V2503" s="960">
        <f t="array" ref="V2503">HLOOKUP($J2503,'Type Chart'!$C$2:$T$20,3,false)*HLOOKUP($K2503,'Type Chart'!$C$2:$U$20,3,false)</f>
        <v>4</v>
      </c>
      <c r="W2503" s="960">
        <f t="array" ref="W2503">HLOOKUP($J2503,'Type Chart'!$C$2:$T$20,4,false)*HLOOKUP($K2503,'Type Chart'!$C$2:$U$20,4,false)</f>
        <v>0.5</v>
      </c>
      <c r="X2503" s="960">
        <f t="array" ref="X2503">HLOOKUP($J2503,'Type Chart'!$C$2:$T$20,5,false)*HLOOKUP($K2503,'Type Chart'!$C$2:$U$20,5,false)</f>
        <v>0</v>
      </c>
      <c r="Y2503" s="960">
        <f t="array" ref="Y2503">HLOOKUP($J2503,'Type Chart'!$C$2:$T$20,6,false)*HLOOKUP($K2503,'Type Chart'!$C$2:$U$20,6,false)</f>
        <v>2</v>
      </c>
      <c r="Z2503" s="960">
        <f t="array" ref="Z2503">HLOOKUP($J2503,'Type Chart'!$C$2:$T$20,7,false)*HLOOKUP($K2503,'Type Chart'!$C$2:$U$20,7,false)</f>
        <v>0.5</v>
      </c>
      <c r="AA2503" s="960">
        <f t="array" ref="AA2503">HLOOKUP($J2503,'Type Chart'!$C$2:$T$20,8,false)*HLOOKUP($K2503,'Type Chart'!$C$2:$U$20,8,false)</f>
        <v>1</v>
      </c>
      <c r="AB2503" s="960">
        <f t="array" ref="AB2503">HLOOKUP($J2503,'Type Chart'!$C$2:$T$20,9,false)*HLOOKUP($K2503,'Type Chart'!$C$2:$U$20,9,false)</f>
        <v>0.5</v>
      </c>
      <c r="AC2503" s="960">
        <f t="array" ref="AC2503">HLOOKUP($J2503,'Type Chart'!$C$2:$T$20,10,false)*HLOOKUP($K2503,'Type Chart'!$C$2:$U$20,10,false)</f>
        <v>0.5</v>
      </c>
      <c r="AD2503" s="960">
        <f t="array" ref="AD2503">HLOOKUP($J2503,'Type Chart'!$C$2:$T$20,11,false)*HLOOKUP($K2503,'Type Chart'!$C$2:$U$20,11,false)</f>
        <v>2</v>
      </c>
      <c r="AE2503" s="960">
        <f t="array" ref="AE2503">HLOOKUP($J2503,'Type Chart'!$C$2:$T$20,12,false)*HLOOKUP($K2503,'Type Chart'!$C$2:$U$20,12,false)</f>
        <v>1</v>
      </c>
      <c r="AF2503" s="960">
        <f t="array" ref="AF2503">HLOOKUP($J2503,'Type Chart'!$C$2:$T$20,13,false)*HLOOKUP($K2503,'Type Chart'!$C$2:$U$20,13,false)</f>
        <v>0.5</v>
      </c>
      <c r="AG2503" s="960">
        <f t="array" ref="AG2503">HLOOKUP($J2503,'Type Chart'!$C$2:$T$20,14,false)*HLOOKUP($K2503,'Type Chart'!$C$2:$U$20,14,false)</f>
        <v>1</v>
      </c>
      <c r="AH2503" s="960">
        <f t="array" ref="AH2503">HLOOKUP($J2503,'Type Chart'!$C$2:$T$20,15,false)*HLOOKUP($K2503,'Type Chart'!$C$2:$U$20,15,false)</f>
        <v>0</v>
      </c>
      <c r="AI2503" s="960">
        <f t="array" ref="AI2503">HLOOKUP($J2503,'Type Chart'!$C$2:$T$20,16,false)*HLOOKUP($K2503,'Type Chart'!$C$2:$U$20,16,false)</f>
        <v>0.5</v>
      </c>
      <c r="AJ2503" s="960">
        <f t="array" ref="AJ2503">HLOOKUP($J2503,'Type Chart'!$C$2:$T$20,17,false)*HLOOKUP($K2503,'Type Chart'!$C$2:$U$20,17,false)</f>
        <v>0.5</v>
      </c>
      <c r="AK2503" s="960">
        <f t="array" ref="AK2503">HLOOKUP($J2503,'Type Chart'!$C$2:$T$20,18,false)*HLOOKUP($K2503,'Type Chart'!$C$2:$U$20,18,false)</f>
        <v>0.5</v>
      </c>
      <c r="AL2503" s="960">
        <f t="array" ref="AL2503">HLOOKUP($J2503,'Type Chart'!$C$2:$T$20,19,false)*HLOOKUP($K2503,'Type Chart'!$C$2:$U$20,19,false)</f>
        <v>1</v>
      </c>
      <c r="AM2503" s="964" t="s">
        <v>1267</v>
      </c>
      <c r="AN2503" s="964" t="s">
        <v>4347</v>
      </c>
      <c r="AO2503" s="966" t="s">
        <v>1636</v>
      </c>
      <c r="AP2503" s="936"/>
      <c r="AQ2503" s="1245"/>
      <c r="AR2503" s="1245"/>
      <c r="AS2503" s="936"/>
    </row>
    <row r="2504" ht="15.75" customHeight="1">
      <c r="A2504" s="1099"/>
      <c r="B2504" s="948">
        <v>1009.0</v>
      </c>
      <c r="C2504" s="1197" t="s">
        <v>4348</v>
      </c>
      <c r="D2504" s="1197" t="s">
        <v>4348</v>
      </c>
      <c r="E2504" s="1147" t="s">
        <v>4348</v>
      </c>
      <c r="F2504" s="940"/>
      <c r="G2504" s="953"/>
      <c r="H2504" s="969"/>
      <c r="I2504" s="998" t="s">
        <v>5596</v>
      </c>
      <c r="J2504" s="1209" t="s">
        <v>178</v>
      </c>
      <c r="K2504" s="1223" t="s">
        <v>80</v>
      </c>
      <c r="L2504" s="1200">
        <v>130.0</v>
      </c>
      <c r="M2504" s="1201">
        <v>75.0</v>
      </c>
      <c r="N2504" s="1201">
        <v>60.0</v>
      </c>
      <c r="O2504" s="1201">
        <v>45.0</v>
      </c>
      <c r="P2504" s="1201">
        <v>100.0</v>
      </c>
      <c r="Q2504" s="1201">
        <v>20.0</v>
      </c>
      <c r="R2504" s="960">
        <v>76.0</v>
      </c>
      <c r="S2504" s="960">
        <v>139.0</v>
      </c>
      <c r="T2504" s="960">
        <v>152.0</v>
      </c>
      <c r="U2504" s="960">
        <f t="array" ref="U2504">HLOOKUP($J2504,'Type Chart'!$C$2:$T$20,2,false)*HLOOKUP($K2504,'Type Chart'!$C$2:$U$20,2,false)</f>
        <v>1</v>
      </c>
      <c r="V2504" s="960">
        <f t="array" ref="V2504">HLOOKUP($J2504,'Type Chart'!$C$2:$T$20,3,false)*HLOOKUP($K2504,'Type Chart'!$C$2:$U$20,3,false)</f>
        <v>0.5</v>
      </c>
      <c r="W2504" s="960">
        <f t="array" ref="W2504">HLOOKUP($J2504,'Type Chart'!$C$2:$T$20,4,false)*HLOOKUP($K2504,'Type Chart'!$C$2:$U$20,4,false)</f>
        <v>1</v>
      </c>
      <c r="X2504" s="960">
        <f t="array" ref="X2504">HLOOKUP($J2504,'Type Chart'!$C$2:$T$20,5,false)*HLOOKUP($K2504,'Type Chart'!$C$2:$U$20,5,false)</f>
        <v>0.25</v>
      </c>
      <c r="Y2504" s="960">
        <f t="array" ref="Y2504">HLOOKUP($J2504,'Type Chart'!$C$2:$T$20,6,false)*HLOOKUP($K2504,'Type Chart'!$C$2:$U$20,6,false)</f>
        <v>2</v>
      </c>
      <c r="Z2504" s="960">
        <f t="array" ref="Z2504">HLOOKUP($J2504,'Type Chart'!$C$2:$T$20,7,false)*HLOOKUP($K2504,'Type Chart'!$C$2:$U$20,7,false)</f>
        <v>0.5</v>
      </c>
      <c r="AA2504" s="960">
        <f t="array" ref="AA2504">HLOOKUP($J2504,'Type Chart'!$C$2:$T$20,8,false)*HLOOKUP($K2504,'Type Chart'!$C$2:$U$20,8,false)</f>
        <v>0.5</v>
      </c>
      <c r="AB2504" s="960">
        <f t="array" ref="AB2504">HLOOKUP($J2504,'Type Chart'!$C$2:$T$20,9,false)*HLOOKUP($K2504,'Type Chart'!$C$2:$U$20,9,false)</f>
        <v>1</v>
      </c>
      <c r="AC2504" s="960">
        <f t="array" ref="AC2504">HLOOKUP($J2504,'Type Chart'!$C$2:$T$20,10,false)*HLOOKUP($K2504,'Type Chart'!$C$2:$U$20,10,false)</f>
        <v>1</v>
      </c>
      <c r="AD2504" s="960">
        <f t="array" ref="AD2504">HLOOKUP($J2504,'Type Chart'!$C$2:$T$20,11,false)*HLOOKUP($K2504,'Type Chart'!$C$2:$U$20,11,false)</f>
        <v>1</v>
      </c>
      <c r="AE2504" s="960">
        <f t="array" ref="AE2504">HLOOKUP($J2504,'Type Chart'!$C$2:$T$20,12,false)*HLOOKUP($K2504,'Type Chart'!$C$2:$U$20,12,false)</f>
        <v>2</v>
      </c>
      <c r="AF2504" s="960">
        <f t="array" ref="AF2504">HLOOKUP($J2504,'Type Chart'!$C$2:$T$20,13,false)*HLOOKUP($K2504,'Type Chart'!$C$2:$U$20,13,false)</f>
        <v>1</v>
      </c>
      <c r="AG2504" s="960">
        <f t="array" ref="AG2504">HLOOKUP($J2504,'Type Chart'!$C$2:$T$20,14,false)*HLOOKUP($K2504,'Type Chart'!$C$2:$U$20,14,false)</f>
        <v>0</v>
      </c>
      <c r="AH2504" s="960">
        <f t="array" ref="AH2504">HLOOKUP($J2504,'Type Chart'!$C$2:$T$20,15,false)*HLOOKUP($K2504,'Type Chart'!$C$2:$U$20,15,false)</f>
        <v>2</v>
      </c>
      <c r="AI2504" s="960">
        <f t="array" ref="AI2504">HLOOKUP($J2504,'Type Chart'!$C$2:$T$20,16,false)*HLOOKUP($K2504,'Type Chart'!$C$2:$U$20,16,false)</f>
        <v>2</v>
      </c>
      <c r="AJ2504" s="960">
        <f t="array" ref="AJ2504">HLOOKUP($J2504,'Type Chart'!$C$2:$T$20,17,false)*HLOOKUP($K2504,'Type Chart'!$C$2:$U$20,17,false)</f>
        <v>1</v>
      </c>
      <c r="AK2504" s="960">
        <f t="array" ref="AK2504">HLOOKUP($J2504,'Type Chart'!$C$2:$T$20,18,false)*HLOOKUP($K2504,'Type Chart'!$C$2:$U$20,18,false)</f>
        <v>1</v>
      </c>
      <c r="AL2504" s="960">
        <f t="array" ref="AL2504">HLOOKUP($J2504,'Type Chart'!$C$2:$T$20,19,false)*HLOOKUP($K2504,'Type Chart'!$C$2:$U$20,19,false)</f>
        <v>0.5</v>
      </c>
      <c r="AM2504" s="1145" t="s">
        <v>1146</v>
      </c>
      <c r="AN2504" s="964" t="s">
        <v>1283</v>
      </c>
      <c r="AO2504" s="966" t="s">
        <v>1169</v>
      </c>
      <c r="AP2504" s="936"/>
      <c r="AQ2504" s="1245"/>
      <c r="AR2504" s="1245"/>
      <c r="AS2504" s="936"/>
    </row>
    <row r="2505" ht="15.75" customHeight="1">
      <c r="A2505" s="1099"/>
      <c r="B2505" s="948">
        <v>1010.0</v>
      </c>
      <c r="C2505" s="1197" t="s">
        <v>122</v>
      </c>
      <c r="D2505" s="1197" t="s">
        <v>122</v>
      </c>
      <c r="E2505" s="1147" t="s">
        <v>122</v>
      </c>
      <c r="F2505" s="940"/>
      <c r="G2505" s="953"/>
      <c r="H2505" s="969"/>
      <c r="I2505" s="998" t="s">
        <v>5597</v>
      </c>
      <c r="J2505" s="1212" t="s">
        <v>341</v>
      </c>
      <c r="K2505" s="1221" t="s">
        <v>215</v>
      </c>
      <c r="L2505" s="1200">
        <v>110.0</v>
      </c>
      <c r="M2505" s="1201">
        <v>115.0</v>
      </c>
      <c r="N2505" s="1201">
        <v>80.0</v>
      </c>
      <c r="O2505" s="1201">
        <v>50.0</v>
      </c>
      <c r="P2505" s="1201">
        <v>90.0</v>
      </c>
      <c r="Q2505" s="1201">
        <v>90.0</v>
      </c>
      <c r="R2505" s="960">
        <v>216.0</v>
      </c>
      <c r="S2505" s="960">
        <v>279.0</v>
      </c>
      <c r="T2505" s="960">
        <v>306.0</v>
      </c>
      <c r="U2505" s="960">
        <f t="array" ref="U2505">HLOOKUP($J2505,'Type Chart'!$C$2:$T$20,2,false)*HLOOKUP($K2505,'Type Chart'!$C$2:$U$20,2,false)</f>
        <v>0</v>
      </c>
      <c r="V2505" s="960">
        <f t="array" ref="V2505">HLOOKUP($J2505,'Type Chart'!$C$2:$T$20,3,false)*HLOOKUP($K2505,'Type Chart'!$C$2:$U$20,3,false)</f>
        <v>0</v>
      </c>
      <c r="W2505" s="960">
        <f t="array" ref="W2505">HLOOKUP($J2505,'Type Chart'!$C$2:$T$20,4,false)*HLOOKUP($K2505,'Type Chart'!$C$2:$U$20,4,false)</f>
        <v>2</v>
      </c>
      <c r="X2505" s="960">
        <f t="array" ref="X2505">HLOOKUP($J2505,'Type Chart'!$C$2:$T$20,5,false)*HLOOKUP($K2505,'Type Chart'!$C$2:$U$20,5,false)</f>
        <v>0.5</v>
      </c>
      <c r="Y2505" s="960">
        <f t="array" ref="Y2505">HLOOKUP($J2505,'Type Chart'!$C$2:$T$20,6,false)*HLOOKUP($K2505,'Type Chart'!$C$2:$U$20,6,false)</f>
        <v>1</v>
      </c>
      <c r="Z2505" s="960">
        <f t="array" ref="Z2505">HLOOKUP($J2505,'Type Chart'!$C$2:$T$20,7,false)*HLOOKUP($K2505,'Type Chart'!$C$2:$U$20,7,false)</f>
        <v>0.5</v>
      </c>
      <c r="AA2505" s="960">
        <f t="array" ref="AA2505">HLOOKUP($J2505,'Type Chart'!$C$2:$T$20,8,false)*HLOOKUP($K2505,'Type Chart'!$C$2:$U$20,8,false)</f>
        <v>0.25</v>
      </c>
      <c r="AB2505" s="960">
        <f t="array" ref="AB2505">HLOOKUP($J2505,'Type Chart'!$C$2:$T$20,9,false)*HLOOKUP($K2505,'Type Chart'!$C$2:$U$20,9,false)</f>
        <v>2</v>
      </c>
      <c r="AC2505" s="960">
        <f t="array" ref="AC2505">HLOOKUP($J2505,'Type Chart'!$C$2:$T$20,10,false)*HLOOKUP($K2505,'Type Chart'!$C$2:$U$20,10,false)</f>
        <v>1</v>
      </c>
      <c r="AD2505" s="960">
        <f t="array" ref="AD2505">HLOOKUP($J2505,'Type Chart'!$C$2:$T$20,11,false)*HLOOKUP($K2505,'Type Chart'!$C$2:$U$20,11,false)</f>
        <v>1</v>
      </c>
      <c r="AE2505" s="960">
        <f t="array" ref="AE2505">HLOOKUP($J2505,'Type Chart'!$C$2:$T$20,12,false)*HLOOKUP($K2505,'Type Chart'!$C$2:$U$20,12,false)</f>
        <v>1</v>
      </c>
      <c r="AF2505" s="960">
        <f t="array" ref="AF2505">HLOOKUP($J2505,'Type Chart'!$C$2:$T$20,13,false)*HLOOKUP($K2505,'Type Chart'!$C$2:$U$20,13,false)</f>
        <v>1</v>
      </c>
      <c r="AG2505" s="960">
        <f t="array" ref="AG2505">HLOOKUP($J2505,'Type Chart'!$C$2:$T$20,14,false)*HLOOKUP($K2505,'Type Chart'!$C$2:$U$20,14,false)</f>
        <v>1</v>
      </c>
      <c r="AH2505" s="960">
        <f t="array" ref="AH2505">HLOOKUP($J2505,'Type Chart'!$C$2:$T$20,15,false)*HLOOKUP($K2505,'Type Chart'!$C$2:$U$20,15,false)</f>
        <v>2</v>
      </c>
      <c r="AI2505" s="960">
        <f t="array" ref="AI2505">HLOOKUP($J2505,'Type Chart'!$C$2:$T$20,16,false)*HLOOKUP($K2505,'Type Chart'!$C$2:$U$20,16,false)</f>
        <v>1</v>
      </c>
      <c r="AJ2505" s="960">
        <f t="array" ref="AJ2505">HLOOKUP($J2505,'Type Chart'!$C$2:$T$20,17,false)*HLOOKUP($K2505,'Type Chart'!$C$2:$U$20,17,false)</f>
        <v>1</v>
      </c>
      <c r="AK2505" s="960">
        <f t="array" ref="AK2505">HLOOKUP($J2505,'Type Chart'!$C$2:$T$20,18,false)*HLOOKUP($K2505,'Type Chart'!$C$2:$U$20,18,false)</f>
        <v>1</v>
      </c>
      <c r="AL2505" s="960">
        <f t="array" ref="AL2505">HLOOKUP($J2505,'Type Chart'!$C$2:$T$20,19,false)*HLOOKUP($K2505,'Type Chart'!$C$2:$U$20,19,false)</f>
        <v>2</v>
      </c>
      <c r="AM2505" s="1145" t="s">
        <v>1265</v>
      </c>
      <c r="AN2505" s="964" t="s">
        <v>1192</v>
      </c>
      <c r="AO2505" s="966" t="s">
        <v>1267</v>
      </c>
      <c r="AP2505" s="936"/>
      <c r="AQ2505" s="1245"/>
      <c r="AR2505" s="1245"/>
      <c r="AS2505" s="936"/>
    </row>
    <row r="2506" ht="15.75" customHeight="1">
      <c r="A2506" s="1099"/>
      <c r="B2506" s="1240"/>
      <c r="C2506" s="1197" t="s">
        <v>176</v>
      </c>
      <c r="D2506" s="1197" t="s">
        <v>176</v>
      </c>
      <c r="E2506" s="1147" t="s">
        <v>176</v>
      </c>
      <c r="F2506" s="940"/>
      <c r="G2506" s="953"/>
      <c r="H2506" s="969"/>
      <c r="I2506" s="998" t="s">
        <v>5598</v>
      </c>
      <c r="J2506" s="1239" t="s">
        <v>80</v>
      </c>
      <c r="K2506" s="1239" t="s">
        <v>136</v>
      </c>
      <c r="L2506" s="1237">
        <v>113.0</v>
      </c>
      <c r="M2506" s="1238">
        <v>70.0</v>
      </c>
      <c r="N2506" s="1238">
        <v>120.0</v>
      </c>
      <c r="O2506" s="1238">
        <v>135.0</v>
      </c>
      <c r="P2506" s="1238">
        <v>65.0</v>
      </c>
      <c r="Q2506" s="1238">
        <v>52.0</v>
      </c>
      <c r="R2506" s="960">
        <v>140.0</v>
      </c>
      <c r="S2506" s="960">
        <v>203.0</v>
      </c>
      <c r="T2506" s="960">
        <v>223.0</v>
      </c>
      <c r="U2506" s="960">
        <f t="array" ref="U2506">HLOOKUP($J2506,'Type Chart'!$C$2:$T$20,2,false)*HLOOKUP($K2506,'Type Chart'!$C$2:$U$20,2,false)</f>
        <v>1</v>
      </c>
      <c r="V2506" s="960">
        <f t="array" ref="V2506">HLOOKUP($J2506,'Type Chart'!$C$2:$T$20,3,false)*HLOOKUP($K2506,'Type Chart'!$C$2:$U$20,3,false)</f>
        <v>2</v>
      </c>
      <c r="W2506" s="960">
        <f t="array" ref="W2506">HLOOKUP($J2506,'Type Chart'!$C$2:$T$20,4,false)*HLOOKUP($K2506,'Type Chart'!$C$2:$U$20,4,false)</f>
        <v>1</v>
      </c>
      <c r="X2506" s="960">
        <f t="array" ref="X2506">HLOOKUP($J2506,'Type Chart'!$C$2:$T$20,5,false)*HLOOKUP($K2506,'Type Chart'!$C$2:$U$20,5,false)</f>
        <v>0.5</v>
      </c>
      <c r="Y2506" s="960">
        <f t="array" ref="Y2506">HLOOKUP($J2506,'Type Chart'!$C$2:$T$20,6,false)*HLOOKUP($K2506,'Type Chart'!$C$2:$U$20,6,false)</f>
        <v>1</v>
      </c>
      <c r="Z2506" s="960">
        <f t="array" ref="Z2506">HLOOKUP($J2506,'Type Chart'!$C$2:$T$20,7,false)*HLOOKUP($K2506,'Type Chart'!$C$2:$U$20,7,false)</f>
        <v>0.5</v>
      </c>
      <c r="AA2506" s="960">
        <f t="array" ref="AA2506">HLOOKUP($J2506,'Type Chart'!$C$2:$T$20,8,false)*HLOOKUP($K2506,'Type Chart'!$C$2:$U$20,8,false)</f>
        <v>1</v>
      </c>
      <c r="AB2506" s="960">
        <f t="array" ref="AB2506">HLOOKUP($J2506,'Type Chart'!$C$2:$T$20,9,false)*HLOOKUP($K2506,'Type Chart'!$C$2:$U$20,9,false)</f>
        <v>0</v>
      </c>
      <c r="AC2506" s="960">
        <f t="array" ref="AC2506">HLOOKUP($J2506,'Type Chart'!$C$2:$T$20,10,false)*HLOOKUP($K2506,'Type Chart'!$C$2:$U$20,10,false)</f>
        <v>1</v>
      </c>
      <c r="AD2506" s="960">
        <f t="array" ref="AD2506">HLOOKUP($J2506,'Type Chart'!$C$2:$T$20,11,false)*HLOOKUP($K2506,'Type Chart'!$C$2:$U$20,11,false)</f>
        <v>1</v>
      </c>
      <c r="AE2506" s="960">
        <f t="array" ref="AE2506">HLOOKUP($J2506,'Type Chart'!$C$2:$T$20,12,false)*HLOOKUP($K2506,'Type Chart'!$C$2:$U$20,12,false)</f>
        <v>2</v>
      </c>
      <c r="AF2506" s="960">
        <f t="array" ref="AF2506">HLOOKUP($J2506,'Type Chart'!$C$2:$T$20,13,false)*HLOOKUP($K2506,'Type Chart'!$C$2:$U$20,13,false)</f>
        <v>2</v>
      </c>
      <c r="AG2506" s="960">
        <f t="array" ref="AG2506">HLOOKUP($J2506,'Type Chart'!$C$2:$T$20,14,false)*HLOOKUP($K2506,'Type Chart'!$C$2:$U$20,14,false)</f>
        <v>0</v>
      </c>
      <c r="AH2506" s="960">
        <f t="array" ref="AH2506">HLOOKUP($J2506,'Type Chart'!$C$2:$T$20,15,false)*HLOOKUP($K2506,'Type Chart'!$C$2:$U$20,15,false)</f>
        <v>1</v>
      </c>
      <c r="AI2506" s="960">
        <f t="array" ref="AI2506">HLOOKUP($J2506,'Type Chart'!$C$2:$T$20,16,false)*HLOOKUP($K2506,'Type Chart'!$C$2:$U$20,16,false)</f>
        <v>2</v>
      </c>
      <c r="AJ2506" s="960">
        <f t="array" ref="AJ2506">HLOOKUP($J2506,'Type Chart'!$C$2:$T$20,17,false)*HLOOKUP($K2506,'Type Chart'!$C$2:$U$20,17,false)</f>
        <v>1</v>
      </c>
      <c r="AK2506" s="960">
        <f t="array" ref="AK2506">HLOOKUP($J2506,'Type Chart'!$C$2:$T$20,18,false)*HLOOKUP($K2506,'Type Chart'!$C$2:$U$20,18,false)</f>
        <v>1</v>
      </c>
      <c r="AL2506" s="960">
        <f t="array" ref="AL2506">HLOOKUP($J2506,'Type Chart'!$C$2:$T$20,19,false)*HLOOKUP($K2506,'Type Chart'!$C$2:$U$20,19,false)</f>
        <v>1</v>
      </c>
      <c r="AM2506" s="1243"/>
      <c r="AN2506" s="1244"/>
      <c r="AO2506" s="1244"/>
      <c r="AP2506" s="936"/>
      <c r="AQ2506" s="1245"/>
      <c r="AR2506" s="1245"/>
      <c r="AS2506" s="936"/>
    </row>
    <row r="2507" ht="15.75" customHeight="1">
      <c r="A2507" s="1099"/>
      <c r="B2507" s="1240"/>
      <c r="C2507" s="1197" t="s">
        <v>4349</v>
      </c>
      <c r="D2507" s="1197" t="s">
        <v>4349</v>
      </c>
      <c r="E2507" s="1147" t="s">
        <v>4349</v>
      </c>
      <c r="F2507" s="940"/>
      <c r="G2507" s="953"/>
      <c r="H2507" s="969"/>
      <c r="I2507" s="998" t="s">
        <v>5599</v>
      </c>
      <c r="J2507" s="1239" t="s">
        <v>209</v>
      </c>
      <c r="K2507" s="1239" t="s">
        <v>346</v>
      </c>
      <c r="L2507" s="1237">
        <v>80.0</v>
      </c>
      <c r="M2507" s="1238">
        <v>80.0</v>
      </c>
      <c r="N2507" s="1238">
        <v>110.0</v>
      </c>
      <c r="O2507" s="1238">
        <v>95.0</v>
      </c>
      <c r="P2507" s="1238">
        <v>80.0</v>
      </c>
      <c r="Q2507" s="1238">
        <v>40.0</v>
      </c>
      <c r="R2507" s="960">
        <v>116.0</v>
      </c>
      <c r="S2507" s="960">
        <v>179.0</v>
      </c>
      <c r="T2507" s="960">
        <v>196.0</v>
      </c>
      <c r="U2507" s="960">
        <f t="array" ref="U2507">HLOOKUP($J2507,'Type Chart'!$C$2:$T$20,2,false)*HLOOKUP($K2507,'Type Chart'!$C$2:$U$20,2,false)</f>
        <v>1</v>
      </c>
      <c r="V2507" s="960">
        <f t="array" ref="V2507">HLOOKUP($J2507,'Type Chart'!$C$2:$T$20,3,false)*HLOOKUP($K2507,'Type Chart'!$C$2:$U$20,3,false)</f>
        <v>1</v>
      </c>
      <c r="W2507" s="960">
        <f t="array" ref="W2507">HLOOKUP($J2507,'Type Chart'!$C$2:$T$20,4,false)*HLOOKUP($K2507,'Type Chart'!$C$2:$U$20,4,false)</f>
        <v>2</v>
      </c>
      <c r="X2507" s="960">
        <f t="array" ref="X2507">HLOOKUP($J2507,'Type Chart'!$C$2:$T$20,5,false)*HLOOKUP($K2507,'Type Chart'!$C$2:$U$20,5,false)</f>
        <v>2</v>
      </c>
      <c r="Y2507" s="960">
        <f t="array" ref="Y2507">HLOOKUP($J2507,'Type Chart'!$C$2:$T$20,6,false)*HLOOKUP($K2507,'Type Chart'!$C$2:$U$20,6,false)</f>
        <v>0.5</v>
      </c>
      <c r="Z2507" s="960">
        <f t="array" ref="Z2507">HLOOKUP($J2507,'Type Chart'!$C$2:$T$20,7,false)*HLOOKUP($K2507,'Type Chart'!$C$2:$U$20,7,false)</f>
        <v>1</v>
      </c>
      <c r="AA2507" s="960">
        <f t="array" ref="AA2507">HLOOKUP($J2507,'Type Chart'!$C$2:$T$20,8,false)*HLOOKUP($K2507,'Type Chart'!$C$2:$U$20,8,false)</f>
        <v>2</v>
      </c>
      <c r="AB2507" s="960">
        <f t="array" ref="AB2507">HLOOKUP($J2507,'Type Chart'!$C$2:$T$20,9,false)*HLOOKUP($K2507,'Type Chart'!$C$2:$U$20,9,false)</f>
        <v>1</v>
      </c>
      <c r="AC2507" s="960">
        <f t="array" ref="AC2507">HLOOKUP($J2507,'Type Chart'!$C$2:$T$20,10,false)*HLOOKUP($K2507,'Type Chart'!$C$2:$U$20,10,false)</f>
        <v>1</v>
      </c>
      <c r="AD2507" s="960">
        <f t="array" ref="AD2507">HLOOKUP($J2507,'Type Chart'!$C$2:$T$20,11,false)*HLOOKUP($K2507,'Type Chart'!$C$2:$U$20,11,false)</f>
        <v>1</v>
      </c>
      <c r="AE2507" s="960">
        <f t="array" ref="AE2507">HLOOKUP($J2507,'Type Chart'!$C$2:$T$20,12,false)*HLOOKUP($K2507,'Type Chart'!$C$2:$U$20,12,false)</f>
        <v>0.25</v>
      </c>
      <c r="AF2507" s="960">
        <f t="array" ref="AF2507">HLOOKUP($J2507,'Type Chart'!$C$2:$T$20,13,false)*HLOOKUP($K2507,'Type Chart'!$C$2:$U$20,13,false)</f>
        <v>0.25</v>
      </c>
      <c r="AG2507" s="960">
        <f t="array" ref="AG2507">HLOOKUP($J2507,'Type Chart'!$C$2:$T$20,14,false)*HLOOKUP($K2507,'Type Chart'!$C$2:$U$20,14,false)</f>
        <v>0.25</v>
      </c>
      <c r="AH2507" s="960">
        <f t="array" ref="AH2507">HLOOKUP($J2507,'Type Chart'!$C$2:$T$20,15,false)*HLOOKUP($K2507,'Type Chart'!$C$2:$U$20,15,false)</f>
        <v>1</v>
      </c>
      <c r="AI2507" s="960">
        <f t="array" ref="AI2507">HLOOKUP($J2507,'Type Chart'!$C$2:$T$20,16,false)*HLOOKUP($K2507,'Type Chart'!$C$2:$U$20,16,false)</f>
        <v>4</v>
      </c>
      <c r="AJ2507" s="960">
        <f t="array" ref="AJ2507">HLOOKUP($J2507,'Type Chart'!$C$2:$T$20,17,false)*HLOOKUP($K2507,'Type Chart'!$C$2:$U$20,17,false)</f>
        <v>2</v>
      </c>
      <c r="AK2507" s="960">
        <f t="array" ref="AK2507">HLOOKUP($J2507,'Type Chart'!$C$2:$T$20,18,false)*HLOOKUP($K2507,'Type Chart'!$C$2:$U$20,18,false)</f>
        <v>1</v>
      </c>
      <c r="AL2507" s="960">
        <f t="array" ref="AL2507">HLOOKUP($J2507,'Type Chart'!$C$2:$T$20,19,false)*HLOOKUP($K2507,'Type Chart'!$C$2:$U$20,19,false)</f>
        <v>2</v>
      </c>
      <c r="AM2507" s="1243"/>
      <c r="AN2507" s="1244"/>
      <c r="AO2507" s="1244"/>
      <c r="AP2507" s="936"/>
      <c r="AQ2507" s="1245"/>
      <c r="AR2507" s="1245"/>
      <c r="AS2507" s="936"/>
    </row>
    <row r="2508" ht="15.75" customHeight="1">
      <c r="A2508" s="1099"/>
      <c r="B2508" s="1240"/>
      <c r="C2508" s="1197" t="s">
        <v>4350</v>
      </c>
      <c r="D2508" s="1197" t="s">
        <v>4350</v>
      </c>
      <c r="E2508" s="1147" t="s">
        <v>4350</v>
      </c>
      <c r="F2508" s="940"/>
      <c r="G2508" s="953"/>
      <c r="H2508" s="969"/>
      <c r="I2508" s="998" t="s">
        <v>5600</v>
      </c>
      <c r="J2508" s="1239" t="s">
        <v>209</v>
      </c>
      <c r="K2508" s="1239" t="s">
        <v>215</v>
      </c>
      <c r="L2508" s="1237">
        <v>40.0</v>
      </c>
      <c r="M2508" s="1238">
        <v>45.0</v>
      </c>
      <c r="N2508" s="1238">
        <v>45.0</v>
      </c>
      <c r="O2508" s="1238">
        <v>74.0</v>
      </c>
      <c r="P2508" s="1238">
        <v>54.0</v>
      </c>
      <c r="Q2508" s="1238">
        <v>50.0</v>
      </c>
      <c r="R2508" s="960">
        <v>136.0</v>
      </c>
      <c r="S2508" s="960">
        <v>199.0</v>
      </c>
      <c r="T2508" s="960">
        <v>218.0</v>
      </c>
      <c r="U2508" s="960">
        <f t="array" ref="U2508">HLOOKUP($J2508,'Type Chart'!$C$2:$T$20,2,false)*HLOOKUP($K2508,'Type Chart'!$C$2:$U$20,2,false)</f>
        <v>0</v>
      </c>
      <c r="V2508" s="960">
        <f t="array" ref="V2508">HLOOKUP($J2508,'Type Chart'!$C$2:$T$20,3,false)*HLOOKUP($K2508,'Type Chart'!$C$2:$U$20,3,false)</f>
        <v>0</v>
      </c>
      <c r="W2508" s="960">
        <f t="array" ref="W2508">HLOOKUP($J2508,'Type Chart'!$C$2:$T$20,4,false)*HLOOKUP($K2508,'Type Chart'!$C$2:$U$20,4,false)</f>
        <v>2</v>
      </c>
      <c r="X2508" s="960">
        <f t="array" ref="X2508">HLOOKUP($J2508,'Type Chart'!$C$2:$T$20,5,false)*HLOOKUP($K2508,'Type Chart'!$C$2:$U$20,5,false)</f>
        <v>1</v>
      </c>
      <c r="Y2508" s="960">
        <f t="array" ref="Y2508">HLOOKUP($J2508,'Type Chart'!$C$2:$T$20,6,false)*HLOOKUP($K2508,'Type Chart'!$C$2:$U$20,6,false)</f>
        <v>0.5</v>
      </c>
      <c r="Z2508" s="960">
        <f t="array" ref="Z2508">HLOOKUP($J2508,'Type Chart'!$C$2:$T$20,7,false)*HLOOKUP($K2508,'Type Chart'!$C$2:$U$20,7,false)</f>
        <v>1</v>
      </c>
      <c r="AA2508" s="960">
        <f t="array" ref="AA2508">HLOOKUP($J2508,'Type Chart'!$C$2:$T$20,8,false)*HLOOKUP($K2508,'Type Chart'!$C$2:$U$20,8,false)</f>
        <v>1</v>
      </c>
      <c r="AB2508" s="960">
        <f t="array" ref="AB2508">HLOOKUP($J2508,'Type Chart'!$C$2:$T$20,9,false)*HLOOKUP($K2508,'Type Chart'!$C$2:$U$20,9,false)</f>
        <v>2</v>
      </c>
      <c r="AC2508" s="960">
        <f t="array" ref="AC2508">HLOOKUP($J2508,'Type Chart'!$C$2:$T$20,10,false)*HLOOKUP($K2508,'Type Chart'!$C$2:$U$20,10,false)</f>
        <v>1</v>
      </c>
      <c r="AD2508" s="960">
        <f t="array" ref="AD2508">HLOOKUP($J2508,'Type Chart'!$C$2:$T$20,11,false)*HLOOKUP($K2508,'Type Chart'!$C$2:$U$20,11,false)</f>
        <v>2</v>
      </c>
      <c r="AE2508" s="960">
        <f t="array" ref="AE2508">HLOOKUP($J2508,'Type Chart'!$C$2:$T$20,12,false)*HLOOKUP($K2508,'Type Chart'!$C$2:$U$20,12,false)</f>
        <v>0.5</v>
      </c>
      <c r="AF2508" s="960">
        <f t="array" ref="AF2508">HLOOKUP($J2508,'Type Chart'!$C$2:$T$20,13,false)*HLOOKUP($K2508,'Type Chart'!$C$2:$U$20,13,false)</f>
        <v>0.5</v>
      </c>
      <c r="AG2508" s="960">
        <f t="array" ref="AG2508">HLOOKUP($J2508,'Type Chart'!$C$2:$T$20,14,false)*HLOOKUP($K2508,'Type Chart'!$C$2:$U$20,14,false)</f>
        <v>0.5</v>
      </c>
      <c r="AH2508" s="960">
        <f t="array" ref="AH2508">HLOOKUP($J2508,'Type Chart'!$C$2:$T$20,15,false)*HLOOKUP($K2508,'Type Chart'!$C$2:$U$20,15,false)</f>
        <v>1</v>
      </c>
      <c r="AI2508" s="960">
        <f t="array" ref="AI2508">HLOOKUP($J2508,'Type Chart'!$C$2:$T$20,16,false)*HLOOKUP($K2508,'Type Chart'!$C$2:$U$20,16,false)</f>
        <v>2</v>
      </c>
      <c r="AJ2508" s="960">
        <f t="array" ref="AJ2508">HLOOKUP($J2508,'Type Chart'!$C$2:$T$20,17,false)*HLOOKUP($K2508,'Type Chart'!$C$2:$U$20,17,false)</f>
        <v>1</v>
      </c>
      <c r="AK2508" s="960">
        <f t="array" ref="AK2508">HLOOKUP($J2508,'Type Chart'!$C$2:$T$20,18,false)*HLOOKUP($K2508,'Type Chart'!$C$2:$U$20,18,false)</f>
        <v>2</v>
      </c>
      <c r="AL2508" s="960">
        <f t="array" ref="AL2508">HLOOKUP($J2508,'Type Chart'!$C$2:$T$20,19,false)*HLOOKUP($K2508,'Type Chart'!$C$2:$U$20,19,false)</f>
        <v>1</v>
      </c>
      <c r="AM2508" s="1243"/>
      <c r="AN2508" s="1244"/>
      <c r="AO2508" s="1244"/>
      <c r="AP2508" s="936"/>
      <c r="AQ2508" s="1245"/>
      <c r="AR2508" s="1245"/>
      <c r="AS2508" s="936"/>
    </row>
    <row r="2509" ht="15.75" customHeight="1">
      <c r="A2509" s="1099"/>
      <c r="B2509" s="1240"/>
      <c r="C2509" s="1197" t="s">
        <v>4351</v>
      </c>
      <c r="D2509" s="1197" t="s">
        <v>4351</v>
      </c>
      <c r="E2509" s="1147" t="s">
        <v>4351</v>
      </c>
      <c r="F2509" s="940"/>
      <c r="G2509" s="953"/>
      <c r="H2509" s="969"/>
      <c r="I2509" s="998" t="s">
        <v>235</v>
      </c>
      <c r="J2509" s="1239" t="s">
        <v>209</v>
      </c>
      <c r="K2509" s="1239" t="s">
        <v>215</v>
      </c>
      <c r="L2509" s="1237">
        <v>71.0</v>
      </c>
      <c r="M2509" s="1238">
        <v>60.0</v>
      </c>
      <c r="N2509" s="1238">
        <v>106.0</v>
      </c>
      <c r="O2509" s="1238">
        <v>121.0</v>
      </c>
      <c r="P2509" s="1238">
        <v>80.0</v>
      </c>
      <c r="Q2509" s="1238">
        <v>70.0</v>
      </c>
      <c r="R2509" s="960">
        <v>176.0</v>
      </c>
      <c r="S2509" s="960">
        <v>239.0</v>
      </c>
      <c r="T2509" s="960">
        <v>262.0</v>
      </c>
      <c r="U2509" s="960">
        <f t="array" ref="U2509">HLOOKUP($J2509,'Type Chart'!$C$2:$T$20,2,false)*HLOOKUP($K2509,'Type Chart'!$C$2:$U$20,2,false)</f>
        <v>0</v>
      </c>
      <c r="V2509" s="960">
        <f t="array" ref="V2509">HLOOKUP($J2509,'Type Chart'!$C$2:$T$20,3,false)*HLOOKUP($K2509,'Type Chart'!$C$2:$U$20,3,false)</f>
        <v>0</v>
      </c>
      <c r="W2509" s="960">
        <f t="array" ref="W2509">HLOOKUP($J2509,'Type Chart'!$C$2:$T$20,4,false)*HLOOKUP($K2509,'Type Chart'!$C$2:$U$20,4,false)</f>
        <v>2</v>
      </c>
      <c r="X2509" s="960">
        <f t="array" ref="X2509">HLOOKUP($J2509,'Type Chart'!$C$2:$T$20,5,false)*HLOOKUP($K2509,'Type Chart'!$C$2:$U$20,5,false)</f>
        <v>1</v>
      </c>
      <c r="Y2509" s="960">
        <f t="array" ref="Y2509">HLOOKUP($J2509,'Type Chart'!$C$2:$T$20,6,false)*HLOOKUP($K2509,'Type Chart'!$C$2:$U$20,6,false)</f>
        <v>0.5</v>
      </c>
      <c r="Z2509" s="960">
        <f t="array" ref="Z2509">HLOOKUP($J2509,'Type Chart'!$C$2:$T$20,7,false)*HLOOKUP($K2509,'Type Chart'!$C$2:$U$20,7,false)</f>
        <v>1</v>
      </c>
      <c r="AA2509" s="960">
        <f t="array" ref="AA2509">HLOOKUP($J2509,'Type Chart'!$C$2:$T$20,8,false)*HLOOKUP($K2509,'Type Chart'!$C$2:$U$20,8,false)</f>
        <v>1</v>
      </c>
      <c r="AB2509" s="960">
        <f t="array" ref="AB2509">HLOOKUP($J2509,'Type Chart'!$C$2:$T$20,9,false)*HLOOKUP($K2509,'Type Chart'!$C$2:$U$20,9,false)</f>
        <v>2</v>
      </c>
      <c r="AC2509" s="960">
        <f t="array" ref="AC2509">HLOOKUP($J2509,'Type Chart'!$C$2:$T$20,10,false)*HLOOKUP($K2509,'Type Chart'!$C$2:$U$20,10,false)</f>
        <v>1</v>
      </c>
      <c r="AD2509" s="960">
        <f t="array" ref="AD2509">HLOOKUP($J2509,'Type Chart'!$C$2:$T$20,11,false)*HLOOKUP($K2509,'Type Chart'!$C$2:$U$20,11,false)</f>
        <v>2</v>
      </c>
      <c r="AE2509" s="960">
        <f t="array" ref="AE2509">HLOOKUP($J2509,'Type Chart'!$C$2:$T$20,12,false)*HLOOKUP($K2509,'Type Chart'!$C$2:$U$20,12,false)</f>
        <v>0.5</v>
      </c>
      <c r="AF2509" s="960">
        <f t="array" ref="AF2509">HLOOKUP($J2509,'Type Chart'!$C$2:$T$20,13,false)*HLOOKUP($K2509,'Type Chart'!$C$2:$U$20,13,false)</f>
        <v>0.5</v>
      </c>
      <c r="AG2509" s="960">
        <f t="array" ref="AG2509">HLOOKUP($J2509,'Type Chart'!$C$2:$T$20,14,false)*HLOOKUP($K2509,'Type Chart'!$C$2:$U$20,14,false)</f>
        <v>0.5</v>
      </c>
      <c r="AH2509" s="960">
        <f t="array" ref="AH2509">HLOOKUP($J2509,'Type Chart'!$C$2:$T$20,15,false)*HLOOKUP($K2509,'Type Chart'!$C$2:$U$20,15,false)</f>
        <v>1</v>
      </c>
      <c r="AI2509" s="960">
        <f t="array" ref="AI2509">HLOOKUP($J2509,'Type Chart'!$C$2:$T$20,16,false)*HLOOKUP($K2509,'Type Chart'!$C$2:$U$20,16,false)</f>
        <v>2</v>
      </c>
      <c r="AJ2509" s="960">
        <f t="array" ref="AJ2509">HLOOKUP($J2509,'Type Chart'!$C$2:$T$20,17,false)*HLOOKUP($K2509,'Type Chart'!$C$2:$U$20,17,false)</f>
        <v>1</v>
      </c>
      <c r="AK2509" s="960">
        <f t="array" ref="AK2509">HLOOKUP($J2509,'Type Chart'!$C$2:$T$20,18,false)*HLOOKUP($K2509,'Type Chart'!$C$2:$U$20,18,false)</f>
        <v>2</v>
      </c>
      <c r="AL2509" s="960">
        <f t="array" ref="AL2509">HLOOKUP($J2509,'Type Chart'!$C$2:$T$20,19,false)*HLOOKUP($K2509,'Type Chart'!$C$2:$U$20,19,false)</f>
        <v>1</v>
      </c>
      <c r="AM2509" s="1243"/>
      <c r="AN2509" s="1244"/>
      <c r="AO2509" s="1244"/>
      <c r="AP2509" s="936"/>
      <c r="AQ2509" s="1245"/>
      <c r="AR2509" s="1245"/>
      <c r="AS2509" s="936"/>
    </row>
    <row r="2510" ht="15.75" customHeight="1">
      <c r="A2510" s="1099"/>
      <c r="B2510" s="1240"/>
      <c r="C2510" s="1197" t="s">
        <v>4352</v>
      </c>
      <c r="D2510" s="1197" t="s">
        <v>4352</v>
      </c>
      <c r="E2510" s="1147" t="s">
        <v>4352</v>
      </c>
      <c r="F2510" s="940"/>
      <c r="G2510" s="953"/>
      <c r="H2510" s="969"/>
      <c r="I2510" s="998" t="s">
        <v>5601</v>
      </c>
      <c r="J2510" s="1239" t="s">
        <v>178</v>
      </c>
      <c r="K2510" s="1239" t="s">
        <v>341</v>
      </c>
      <c r="L2510" s="1237">
        <v>88.0</v>
      </c>
      <c r="M2510" s="1238">
        <v>128.0</v>
      </c>
      <c r="N2510" s="1238">
        <v>115.0</v>
      </c>
      <c r="O2510" s="1238">
        <v>58.0</v>
      </c>
      <c r="P2510" s="1238">
        <v>86.0</v>
      </c>
      <c r="Q2510" s="1238">
        <v>80.0</v>
      </c>
      <c r="R2510" s="960">
        <v>196.0</v>
      </c>
      <c r="S2510" s="960">
        <v>259.0</v>
      </c>
      <c r="T2510" s="960">
        <v>284.0</v>
      </c>
      <c r="U2510" s="960">
        <f t="array" ref="U2510">HLOOKUP($J2510,'Type Chart'!$C$2:$T$20,2,false)*HLOOKUP($K2510,'Type Chart'!$C$2:$U$20,2,false)</f>
        <v>1</v>
      </c>
      <c r="V2510" s="960">
        <f t="array" ref="V2510">HLOOKUP($J2510,'Type Chart'!$C$2:$T$20,3,false)*HLOOKUP($K2510,'Type Chart'!$C$2:$U$20,3,false)</f>
        <v>0.5</v>
      </c>
      <c r="W2510" s="960">
        <f t="array" ref="W2510">HLOOKUP($J2510,'Type Chart'!$C$2:$T$20,4,false)*HLOOKUP($K2510,'Type Chart'!$C$2:$U$20,4,false)</f>
        <v>2</v>
      </c>
      <c r="X2510" s="960">
        <f t="array" ref="X2510">HLOOKUP($J2510,'Type Chart'!$C$2:$T$20,5,false)*HLOOKUP($K2510,'Type Chart'!$C$2:$U$20,5,false)</f>
        <v>0.5</v>
      </c>
      <c r="Y2510" s="960">
        <f t="array" ref="Y2510">HLOOKUP($J2510,'Type Chart'!$C$2:$T$20,6,false)*HLOOKUP($K2510,'Type Chart'!$C$2:$U$20,6,false)</f>
        <v>2</v>
      </c>
      <c r="Z2510" s="960">
        <f t="array" ref="Z2510">HLOOKUP($J2510,'Type Chart'!$C$2:$T$20,7,false)*HLOOKUP($K2510,'Type Chart'!$C$2:$U$20,7,false)</f>
        <v>0.5</v>
      </c>
      <c r="AA2510" s="960">
        <f t="array" ref="AA2510">HLOOKUP($J2510,'Type Chart'!$C$2:$T$20,8,false)*HLOOKUP($K2510,'Type Chart'!$C$2:$U$20,8,false)</f>
        <v>0.25</v>
      </c>
      <c r="AB2510" s="960">
        <f t="array" ref="AB2510">HLOOKUP($J2510,'Type Chart'!$C$2:$T$20,9,false)*HLOOKUP($K2510,'Type Chart'!$C$2:$U$20,9,false)</f>
        <v>1</v>
      </c>
      <c r="AC2510" s="960">
        <f t="array" ref="AC2510">HLOOKUP($J2510,'Type Chart'!$C$2:$T$20,10,false)*HLOOKUP($K2510,'Type Chart'!$C$2:$U$20,10,false)</f>
        <v>1</v>
      </c>
      <c r="AD2510" s="960">
        <f t="array" ref="AD2510">HLOOKUP($J2510,'Type Chart'!$C$2:$T$20,11,false)*HLOOKUP($K2510,'Type Chart'!$C$2:$U$20,11,false)</f>
        <v>1</v>
      </c>
      <c r="AE2510" s="960">
        <f t="array" ref="AE2510">HLOOKUP($J2510,'Type Chart'!$C$2:$T$20,12,false)*HLOOKUP($K2510,'Type Chart'!$C$2:$U$20,12,false)</f>
        <v>1</v>
      </c>
      <c r="AF2510" s="960">
        <f t="array" ref="AF2510">HLOOKUP($J2510,'Type Chart'!$C$2:$T$20,13,false)*HLOOKUP($K2510,'Type Chart'!$C$2:$U$20,13,false)</f>
        <v>0.5</v>
      </c>
      <c r="AG2510" s="960">
        <f t="array" ref="AG2510">HLOOKUP($J2510,'Type Chart'!$C$2:$T$20,14,false)*HLOOKUP($K2510,'Type Chart'!$C$2:$U$20,14,false)</f>
        <v>1</v>
      </c>
      <c r="AH2510" s="960">
        <f t="array" ref="AH2510">HLOOKUP($J2510,'Type Chart'!$C$2:$T$20,15,false)*HLOOKUP($K2510,'Type Chart'!$C$2:$U$20,15,false)</f>
        <v>4</v>
      </c>
      <c r="AI2510" s="960">
        <f t="array" ref="AI2510">HLOOKUP($J2510,'Type Chart'!$C$2:$T$20,16,false)*HLOOKUP($K2510,'Type Chart'!$C$2:$U$20,16,false)</f>
        <v>1</v>
      </c>
      <c r="AJ2510" s="960">
        <f t="array" ref="AJ2510">HLOOKUP($J2510,'Type Chart'!$C$2:$T$20,17,false)*HLOOKUP($K2510,'Type Chart'!$C$2:$U$20,17,false)</f>
        <v>1</v>
      </c>
      <c r="AK2510" s="960">
        <f t="array" ref="AK2510">HLOOKUP($J2510,'Type Chart'!$C$2:$T$20,18,false)*HLOOKUP($K2510,'Type Chart'!$C$2:$U$20,18,false)</f>
        <v>0.5</v>
      </c>
      <c r="AL2510" s="960">
        <f t="array" ref="AL2510">HLOOKUP($J2510,'Type Chart'!$C$2:$T$20,19,false)*HLOOKUP($K2510,'Type Chart'!$C$2:$U$20,19,false)</f>
        <v>1</v>
      </c>
      <c r="AM2510" s="1243"/>
      <c r="AN2510" s="1244"/>
      <c r="AO2510" s="1244"/>
      <c r="AP2510" s="936"/>
      <c r="AQ2510" s="1245"/>
      <c r="AR2510" s="1245"/>
      <c r="AS2510" s="936"/>
    </row>
    <row r="2511" ht="15.75" customHeight="1">
      <c r="A2511" s="1099"/>
      <c r="B2511" s="1240"/>
      <c r="C2511" s="1197" t="s">
        <v>4353</v>
      </c>
      <c r="D2511" s="1197" t="s">
        <v>4353</v>
      </c>
      <c r="E2511" s="1147" t="s">
        <v>4353</v>
      </c>
      <c r="F2511" s="940"/>
      <c r="G2511" s="953"/>
      <c r="H2511" s="969"/>
      <c r="I2511" s="998" t="s">
        <v>5602</v>
      </c>
      <c r="J2511" s="1239" t="s">
        <v>178</v>
      </c>
      <c r="K2511" s="1239" t="s">
        <v>344</v>
      </c>
      <c r="L2511" s="1237">
        <v>88.0</v>
      </c>
      <c r="M2511" s="1238">
        <v>75.0</v>
      </c>
      <c r="N2511" s="1238">
        <v>66.0</v>
      </c>
      <c r="O2511" s="1238">
        <v>130.0</v>
      </c>
      <c r="P2511" s="1238">
        <v>90.0</v>
      </c>
      <c r="Q2511" s="1238">
        <v>106.0</v>
      </c>
      <c r="R2511" s="960">
        <v>248.0</v>
      </c>
      <c r="S2511" s="960">
        <v>311.0</v>
      </c>
      <c r="T2511" s="960">
        <v>342.0</v>
      </c>
      <c r="U2511" s="960">
        <f t="array" ref="U2511">HLOOKUP($J2511,'Type Chart'!$C$2:$T$20,2,false)*HLOOKUP($K2511,'Type Chart'!$C$2:$U$20,2,false)</f>
        <v>1</v>
      </c>
      <c r="V2511" s="960">
        <f t="array" ref="V2511">HLOOKUP($J2511,'Type Chart'!$C$2:$T$20,3,false)*HLOOKUP($K2511,'Type Chart'!$C$2:$U$20,3,false)</f>
        <v>0.25</v>
      </c>
      <c r="W2511" s="960">
        <f t="array" ref="W2511">HLOOKUP($J2511,'Type Chart'!$C$2:$T$20,4,false)*HLOOKUP($K2511,'Type Chart'!$C$2:$U$20,4,false)</f>
        <v>1</v>
      </c>
      <c r="X2511" s="960">
        <f t="array" ref="X2511">HLOOKUP($J2511,'Type Chart'!$C$2:$T$20,5,false)*HLOOKUP($K2511,'Type Chart'!$C$2:$U$20,5,false)</f>
        <v>0.5</v>
      </c>
      <c r="Y2511" s="960">
        <f t="array" ref="Y2511">HLOOKUP($J2511,'Type Chart'!$C$2:$T$20,6,false)*HLOOKUP($K2511,'Type Chart'!$C$2:$U$20,6,false)</f>
        <v>2</v>
      </c>
      <c r="Z2511" s="960">
        <f t="array" ref="Z2511">HLOOKUP($J2511,'Type Chart'!$C$2:$T$20,7,false)*HLOOKUP($K2511,'Type Chart'!$C$2:$U$20,7,false)</f>
        <v>1</v>
      </c>
      <c r="AA2511" s="960">
        <f t="array" ref="AA2511">HLOOKUP($J2511,'Type Chart'!$C$2:$T$20,8,false)*HLOOKUP($K2511,'Type Chart'!$C$2:$U$20,8,false)</f>
        <v>1</v>
      </c>
      <c r="AB2511" s="960">
        <f t="array" ref="AB2511">HLOOKUP($J2511,'Type Chart'!$C$2:$T$20,9,false)*HLOOKUP($K2511,'Type Chart'!$C$2:$U$20,9,false)</f>
        <v>2</v>
      </c>
      <c r="AC2511" s="960">
        <f t="array" ref="AC2511">HLOOKUP($J2511,'Type Chart'!$C$2:$T$20,10,false)*HLOOKUP($K2511,'Type Chart'!$C$2:$U$20,10,false)</f>
        <v>1</v>
      </c>
      <c r="AD2511" s="960">
        <f t="array" ref="AD2511">HLOOKUP($J2511,'Type Chart'!$C$2:$T$20,11,false)*HLOOKUP($K2511,'Type Chart'!$C$2:$U$20,11,false)</f>
        <v>1</v>
      </c>
      <c r="AE2511" s="960">
        <f t="array" ref="AE2511">HLOOKUP($J2511,'Type Chart'!$C$2:$T$20,12,false)*HLOOKUP($K2511,'Type Chart'!$C$2:$U$20,12,false)</f>
        <v>1</v>
      </c>
      <c r="AF2511" s="960">
        <f t="array" ref="AF2511">HLOOKUP($J2511,'Type Chart'!$C$2:$T$20,13,false)*HLOOKUP($K2511,'Type Chart'!$C$2:$U$20,13,false)</f>
        <v>0.5</v>
      </c>
      <c r="AG2511" s="960">
        <f t="array" ref="AG2511">HLOOKUP($J2511,'Type Chart'!$C$2:$T$20,14,false)*HLOOKUP($K2511,'Type Chart'!$C$2:$U$20,14,false)</f>
        <v>1</v>
      </c>
      <c r="AH2511" s="960">
        <f t="array" ref="AH2511">HLOOKUP($J2511,'Type Chart'!$C$2:$T$20,15,false)*HLOOKUP($K2511,'Type Chart'!$C$2:$U$20,15,false)</f>
        <v>1</v>
      </c>
      <c r="AI2511" s="960">
        <f t="array" ref="AI2511">HLOOKUP($J2511,'Type Chart'!$C$2:$T$20,16,false)*HLOOKUP($K2511,'Type Chart'!$C$2:$U$20,16,false)</f>
        <v>1</v>
      </c>
      <c r="AJ2511" s="960">
        <f t="array" ref="AJ2511">HLOOKUP($J2511,'Type Chart'!$C$2:$T$20,17,false)*HLOOKUP($K2511,'Type Chart'!$C$2:$U$20,17,false)</f>
        <v>1</v>
      </c>
      <c r="AK2511" s="960">
        <f t="array" ref="AK2511">HLOOKUP($J2511,'Type Chart'!$C$2:$T$20,18,false)*HLOOKUP($K2511,'Type Chart'!$C$2:$U$20,18,false)</f>
        <v>2</v>
      </c>
      <c r="AL2511" s="960">
        <f t="array" ref="AL2511">HLOOKUP($J2511,'Type Chart'!$C$2:$T$20,19,false)*HLOOKUP($K2511,'Type Chart'!$C$2:$U$20,19,false)</f>
        <v>0.5</v>
      </c>
      <c r="AM2511" s="1243"/>
      <c r="AN2511" s="1244"/>
      <c r="AO2511" s="1244"/>
      <c r="AP2511" s="936"/>
      <c r="AQ2511" s="1245"/>
      <c r="AR2511" s="1245"/>
      <c r="AS2511" s="936"/>
    </row>
    <row r="2512" ht="15.75" customHeight="1">
      <c r="A2512" s="1099"/>
      <c r="B2512" s="1240"/>
      <c r="C2512" s="1197" t="s">
        <v>4354</v>
      </c>
      <c r="D2512" s="1197" t="s">
        <v>4354</v>
      </c>
      <c r="E2512" s="1147" t="s">
        <v>4354</v>
      </c>
      <c r="F2512" s="940"/>
      <c r="G2512" s="953"/>
      <c r="H2512" s="969"/>
      <c r="I2512" s="998" t="s">
        <v>5603</v>
      </c>
      <c r="J2512" s="1239" t="s">
        <v>178</v>
      </c>
      <c r="K2512" s="1239" t="s">
        <v>127</v>
      </c>
      <c r="L2512" s="1237">
        <v>88.0</v>
      </c>
      <c r="M2512" s="1238">
        <v>91.0</v>
      </c>
      <c r="N2512" s="1238">
        <v>82.0</v>
      </c>
      <c r="O2512" s="1238">
        <v>70.0</v>
      </c>
      <c r="P2512" s="1238">
        <v>125.0</v>
      </c>
      <c r="Q2512" s="1238">
        <v>99.0</v>
      </c>
      <c r="R2512" s="960">
        <v>234.0</v>
      </c>
      <c r="S2512" s="960">
        <v>297.0</v>
      </c>
      <c r="T2512" s="960">
        <v>326.0</v>
      </c>
      <c r="U2512" s="960">
        <f t="array" ref="U2512">HLOOKUP($J2512,'Type Chart'!$C$2:$T$20,2,false)*HLOOKUP($K2512,'Type Chart'!$C$2:$U$20,2,false)</f>
        <v>1</v>
      </c>
      <c r="V2512" s="960">
        <f t="array" ref="V2512">HLOOKUP($J2512,'Type Chart'!$C$2:$T$20,3,false)*HLOOKUP($K2512,'Type Chart'!$C$2:$U$20,3,false)</f>
        <v>0.25</v>
      </c>
      <c r="W2512" s="960">
        <f t="array" ref="W2512">HLOOKUP($J2512,'Type Chart'!$C$2:$T$20,4,false)*HLOOKUP($K2512,'Type Chart'!$C$2:$U$20,4,false)</f>
        <v>1</v>
      </c>
      <c r="X2512" s="960">
        <f t="array" ref="X2512">HLOOKUP($J2512,'Type Chart'!$C$2:$T$20,5,false)*HLOOKUP($K2512,'Type Chart'!$C$2:$U$20,5,false)</f>
        <v>1</v>
      </c>
      <c r="Y2512" s="960">
        <f t="array" ref="Y2512">HLOOKUP($J2512,'Type Chart'!$C$2:$T$20,6,false)*HLOOKUP($K2512,'Type Chart'!$C$2:$U$20,6,false)</f>
        <v>2</v>
      </c>
      <c r="Z2512" s="960">
        <f t="array" ref="Z2512">HLOOKUP($J2512,'Type Chart'!$C$2:$T$20,7,false)*HLOOKUP($K2512,'Type Chart'!$C$2:$U$20,7,false)</f>
        <v>1</v>
      </c>
      <c r="AA2512" s="960">
        <f t="array" ref="AA2512">HLOOKUP($J2512,'Type Chart'!$C$2:$T$20,8,false)*HLOOKUP($K2512,'Type Chart'!$C$2:$U$20,8,false)</f>
        <v>0.25</v>
      </c>
      <c r="AB2512" s="960">
        <f t="array" ref="AB2512">HLOOKUP($J2512,'Type Chart'!$C$2:$T$20,9,false)*HLOOKUP($K2512,'Type Chart'!$C$2:$U$20,9,false)</f>
        <v>1</v>
      </c>
      <c r="AC2512" s="960">
        <f t="array" ref="AC2512">HLOOKUP($J2512,'Type Chart'!$C$2:$T$20,10,false)*HLOOKUP($K2512,'Type Chart'!$C$2:$U$20,10,false)</f>
        <v>2</v>
      </c>
      <c r="AD2512" s="960">
        <f t="array" ref="AD2512">HLOOKUP($J2512,'Type Chart'!$C$2:$T$20,11,false)*HLOOKUP($K2512,'Type Chart'!$C$2:$U$20,11,false)</f>
        <v>1</v>
      </c>
      <c r="AE2512" s="960">
        <f t="array" ref="AE2512">HLOOKUP($J2512,'Type Chart'!$C$2:$T$20,12,false)*HLOOKUP($K2512,'Type Chart'!$C$2:$U$20,12,false)</f>
        <v>1</v>
      </c>
      <c r="AF2512" s="960">
        <f t="array" ref="AF2512">HLOOKUP($J2512,'Type Chart'!$C$2:$T$20,13,false)*HLOOKUP($K2512,'Type Chart'!$C$2:$U$20,13,false)</f>
        <v>0.5</v>
      </c>
      <c r="AG2512" s="960">
        <f t="array" ref="AG2512">HLOOKUP($J2512,'Type Chart'!$C$2:$T$20,14,false)*HLOOKUP($K2512,'Type Chart'!$C$2:$U$20,14,false)</f>
        <v>1</v>
      </c>
      <c r="AH2512" s="960">
        <f t="array" ref="AH2512">HLOOKUP($J2512,'Type Chart'!$C$2:$T$20,15,false)*HLOOKUP($K2512,'Type Chart'!$C$2:$U$20,15,false)</f>
        <v>2</v>
      </c>
      <c r="AI2512" s="960">
        <f t="array" ref="AI2512">HLOOKUP($J2512,'Type Chart'!$C$2:$T$20,16,false)*HLOOKUP($K2512,'Type Chart'!$C$2:$U$20,16,false)</f>
        <v>1</v>
      </c>
      <c r="AJ2512" s="960">
        <f t="array" ref="AJ2512">HLOOKUP($J2512,'Type Chart'!$C$2:$T$20,17,false)*HLOOKUP($K2512,'Type Chart'!$C$2:$U$20,17,false)</f>
        <v>0</v>
      </c>
      <c r="AK2512" s="960">
        <f t="array" ref="AK2512">HLOOKUP($J2512,'Type Chart'!$C$2:$T$20,18,false)*HLOOKUP($K2512,'Type Chart'!$C$2:$U$20,18,false)</f>
        <v>0.5</v>
      </c>
      <c r="AL2512" s="960">
        <f t="array" ref="AL2512">HLOOKUP($J2512,'Type Chart'!$C$2:$T$20,19,false)*HLOOKUP($K2512,'Type Chart'!$C$2:$U$20,19,false)</f>
        <v>0.5</v>
      </c>
      <c r="AM2512" s="1243"/>
      <c r="AN2512" s="1244"/>
      <c r="AO2512" s="1244"/>
      <c r="AP2512" s="936"/>
      <c r="AQ2512" s="1245"/>
      <c r="AR2512" s="1245"/>
      <c r="AS2512" s="936"/>
    </row>
    <row r="2513" ht="15.75" customHeight="1">
      <c r="A2513" s="1099"/>
      <c r="B2513" s="1240"/>
      <c r="C2513" s="1197" t="s">
        <v>4355</v>
      </c>
      <c r="D2513" s="1197" t="s">
        <v>4355</v>
      </c>
      <c r="E2513" s="1147" t="s">
        <v>4355</v>
      </c>
      <c r="F2513" s="940"/>
      <c r="G2513" s="953"/>
      <c r="H2513" s="969"/>
      <c r="I2513" s="998" t="s">
        <v>5604</v>
      </c>
      <c r="J2513" s="1239" t="s">
        <v>209</v>
      </c>
      <c r="K2513" s="1239" t="s">
        <v>216</v>
      </c>
      <c r="L2513" s="1237">
        <v>80.0</v>
      </c>
      <c r="M2513" s="1238">
        <v>120.0</v>
      </c>
      <c r="N2513" s="1238">
        <v>84.0</v>
      </c>
      <c r="O2513" s="1238">
        <v>60.0</v>
      </c>
      <c r="P2513" s="1238">
        <v>96.0</v>
      </c>
      <c r="Q2513" s="1238">
        <v>110.0</v>
      </c>
      <c r="R2513" s="960">
        <v>256.0</v>
      </c>
      <c r="S2513" s="960">
        <v>319.0</v>
      </c>
      <c r="T2513" s="960">
        <v>350.0</v>
      </c>
      <c r="U2513" s="960">
        <f t="array" ref="U2513">HLOOKUP($J2513,'Type Chart'!$C$2:$T$20,2,false)*HLOOKUP($K2513,'Type Chart'!$C$2:$U$20,2,false)</f>
        <v>1</v>
      </c>
      <c r="V2513" s="960">
        <f t="array" ref="V2513">HLOOKUP($J2513,'Type Chart'!$C$2:$T$20,3,false)*HLOOKUP($K2513,'Type Chart'!$C$2:$U$20,3,false)</f>
        <v>1</v>
      </c>
      <c r="W2513" s="960">
        <f t="array" ref="W2513">HLOOKUP($J2513,'Type Chart'!$C$2:$T$20,4,false)*HLOOKUP($K2513,'Type Chart'!$C$2:$U$20,4,false)</f>
        <v>2</v>
      </c>
      <c r="X2513" s="960">
        <f t="array" ref="X2513">HLOOKUP($J2513,'Type Chart'!$C$2:$T$20,5,false)*HLOOKUP($K2513,'Type Chart'!$C$2:$U$20,5,false)</f>
        <v>2</v>
      </c>
      <c r="Y2513" s="960">
        <f t="array" ref="Y2513">HLOOKUP($J2513,'Type Chart'!$C$2:$T$20,6,false)*HLOOKUP($K2513,'Type Chart'!$C$2:$U$20,6,false)</f>
        <v>0.5</v>
      </c>
      <c r="Z2513" s="960">
        <f t="array" ref="Z2513">HLOOKUP($J2513,'Type Chart'!$C$2:$T$20,7,false)*HLOOKUP($K2513,'Type Chart'!$C$2:$U$20,7,false)</f>
        <v>1</v>
      </c>
      <c r="AA2513" s="960">
        <f t="array" ref="AA2513">HLOOKUP($J2513,'Type Chart'!$C$2:$T$20,8,false)*HLOOKUP($K2513,'Type Chart'!$C$2:$U$20,8,false)</f>
        <v>2</v>
      </c>
      <c r="AB2513" s="960">
        <f t="array" ref="AB2513">HLOOKUP($J2513,'Type Chart'!$C$2:$T$20,9,false)*HLOOKUP($K2513,'Type Chart'!$C$2:$U$20,9,false)</f>
        <v>1</v>
      </c>
      <c r="AC2513" s="960">
        <f t="array" ref="AC2513">HLOOKUP($J2513,'Type Chart'!$C$2:$T$20,10,false)*HLOOKUP($K2513,'Type Chart'!$C$2:$U$20,10,false)</f>
        <v>1</v>
      </c>
      <c r="AD2513" s="960">
        <f t="array" ref="AD2513">HLOOKUP($J2513,'Type Chart'!$C$2:$T$20,11,false)*HLOOKUP($K2513,'Type Chart'!$C$2:$U$20,11,false)</f>
        <v>2</v>
      </c>
      <c r="AE2513" s="960">
        <f t="array" ref="AE2513">HLOOKUP($J2513,'Type Chart'!$C$2:$T$20,12,false)*HLOOKUP($K2513,'Type Chart'!$C$2:$U$20,12,false)</f>
        <v>0.5</v>
      </c>
      <c r="AF2513" s="960">
        <f t="array" ref="AF2513">HLOOKUP($J2513,'Type Chart'!$C$2:$T$20,13,false)*HLOOKUP($K2513,'Type Chart'!$C$2:$U$20,13,false)</f>
        <v>0.5</v>
      </c>
      <c r="AG2513" s="960">
        <f t="array" ref="AG2513">HLOOKUP($J2513,'Type Chart'!$C$2:$T$20,14,false)*HLOOKUP($K2513,'Type Chart'!$C$2:$U$20,14,false)</f>
        <v>0.5</v>
      </c>
      <c r="AH2513" s="960">
        <f t="array" ref="AH2513">HLOOKUP($J2513,'Type Chart'!$C$2:$T$20,15,false)*HLOOKUP($K2513,'Type Chart'!$C$2:$U$20,15,false)</f>
        <v>1</v>
      </c>
      <c r="AI2513" s="960">
        <f t="array" ref="AI2513">HLOOKUP($J2513,'Type Chart'!$C$2:$T$20,16,false)*HLOOKUP($K2513,'Type Chart'!$C$2:$U$20,16,false)</f>
        <v>2</v>
      </c>
      <c r="AJ2513" s="960">
        <f t="array" ref="AJ2513">HLOOKUP($J2513,'Type Chart'!$C$2:$T$20,17,false)*HLOOKUP($K2513,'Type Chart'!$C$2:$U$20,17,false)</f>
        <v>1</v>
      </c>
      <c r="AK2513" s="960">
        <f t="array" ref="AK2513">HLOOKUP($J2513,'Type Chart'!$C$2:$T$20,18,false)*HLOOKUP($K2513,'Type Chart'!$C$2:$U$20,18,false)</f>
        <v>1</v>
      </c>
      <c r="AL2513" s="960">
        <f t="array" ref="AL2513">HLOOKUP($J2513,'Type Chart'!$C$2:$T$20,19,false)*HLOOKUP($K2513,'Type Chart'!$C$2:$U$20,19,false)</f>
        <v>1</v>
      </c>
      <c r="AM2513" s="1243"/>
      <c r="AN2513" s="1244"/>
      <c r="AO2513" s="1244"/>
      <c r="AP2513" s="936"/>
      <c r="AQ2513" s="1245"/>
      <c r="AR2513" s="1245"/>
      <c r="AS2513" s="936"/>
    </row>
    <row r="2514" ht="15.75" customHeight="1">
      <c r="A2514" s="1099"/>
      <c r="B2514" s="1240"/>
      <c r="C2514" s="1197" t="s">
        <v>129</v>
      </c>
      <c r="D2514" s="1197" t="s">
        <v>129</v>
      </c>
      <c r="E2514" s="1147" t="s">
        <v>129</v>
      </c>
      <c r="F2514" s="940"/>
      <c r="G2514" s="953"/>
      <c r="H2514" s="969"/>
      <c r="I2514" s="998" t="s">
        <v>5605</v>
      </c>
      <c r="J2514" s="1239" t="s">
        <v>209</v>
      </c>
      <c r="K2514" s="1239" t="s">
        <v>150</v>
      </c>
      <c r="L2514" s="1237">
        <v>80.0</v>
      </c>
      <c r="M2514" s="1238">
        <v>120.0</v>
      </c>
      <c r="N2514" s="1238">
        <v>84.0</v>
      </c>
      <c r="O2514" s="1238">
        <v>60.0</v>
      </c>
      <c r="P2514" s="1238">
        <v>96.0</v>
      </c>
      <c r="Q2514" s="1238">
        <v>110.0</v>
      </c>
      <c r="R2514" s="960">
        <v>256.0</v>
      </c>
      <c r="S2514" s="960">
        <v>319.0</v>
      </c>
      <c r="T2514" s="960">
        <v>350.0</v>
      </c>
      <c r="U2514" s="960">
        <f t="array" ref="U2514">HLOOKUP($J2514,'Type Chart'!$C$2:$T$20,2,false)*HLOOKUP($K2514,'Type Chart'!$C$2:$U$20,2,false)</f>
        <v>1</v>
      </c>
      <c r="V2514" s="960">
        <f t="array" ref="V2514">HLOOKUP($J2514,'Type Chart'!$C$2:$T$20,3,false)*HLOOKUP($K2514,'Type Chart'!$C$2:$U$20,3,false)</f>
        <v>1</v>
      </c>
      <c r="W2514" s="960">
        <f t="array" ref="W2514">HLOOKUP($J2514,'Type Chart'!$C$2:$T$20,4,false)*HLOOKUP($K2514,'Type Chart'!$C$2:$U$20,4,false)</f>
        <v>2</v>
      </c>
      <c r="X2514" s="960">
        <f t="array" ref="X2514">HLOOKUP($J2514,'Type Chart'!$C$2:$T$20,5,false)*HLOOKUP($K2514,'Type Chart'!$C$2:$U$20,5,false)</f>
        <v>2</v>
      </c>
      <c r="Y2514" s="960">
        <f t="array" ref="Y2514">HLOOKUP($J2514,'Type Chart'!$C$2:$T$20,6,false)*HLOOKUP($K2514,'Type Chart'!$C$2:$U$20,6,false)</f>
        <v>1</v>
      </c>
      <c r="Z2514" s="960">
        <f t="array" ref="Z2514">HLOOKUP($J2514,'Type Chart'!$C$2:$T$20,7,false)*HLOOKUP($K2514,'Type Chart'!$C$2:$U$20,7,false)</f>
        <v>2</v>
      </c>
      <c r="AA2514" s="960">
        <f t="array" ref="AA2514">HLOOKUP($J2514,'Type Chart'!$C$2:$T$20,8,false)*HLOOKUP($K2514,'Type Chart'!$C$2:$U$20,8,false)</f>
        <v>1</v>
      </c>
      <c r="AB2514" s="960">
        <f t="array" ref="AB2514">HLOOKUP($J2514,'Type Chart'!$C$2:$T$20,9,false)*HLOOKUP($K2514,'Type Chart'!$C$2:$U$20,9,false)</f>
        <v>1</v>
      </c>
      <c r="AC2514" s="960">
        <f t="array" ref="AC2514">HLOOKUP($J2514,'Type Chart'!$C$2:$T$20,10,false)*HLOOKUP($K2514,'Type Chart'!$C$2:$U$20,10,false)</f>
        <v>0.5</v>
      </c>
      <c r="AD2514" s="960">
        <f t="array" ref="AD2514">HLOOKUP($J2514,'Type Chart'!$C$2:$T$20,11,false)*HLOOKUP($K2514,'Type Chart'!$C$2:$U$20,11,false)</f>
        <v>1</v>
      </c>
      <c r="AE2514" s="960">
        <f t="array" ref="AE2514">HLOOKUP($J2514,'Type Chart'!$C$2:$T$20,12,false)*HLOOKUP($K2514,'Type Chart'!$C$2:$U$20,12,false)</f>
        <v>1</v>
      </c>
      <c r="AF2514" s="960">
        <f t="array" ref="AF2514">HLOOKUP($J2514,'Type Chart'!$C$2:$T$20,13,false)*HLOOKUP($K2514,'Type Chart'!$C$2:$U$20,13,false)</f>
        <v>0.25</v>
      </c>
      <c r="AG2514" s="960">
        <f t="array" ref="AG2514">HLOOKUP($J2514,'Type Chart'!$C$2:$T$20,14,false)*HLOOKUP($K2514,'Type Chart'!$C$2:$U$20,14,false)</f>
        <v>0.5</v>
      </c>
      <c r="AH2514" s="960">
        <f t="array" ref="AH2514">HLOOKUP($J2514,'Type Chart'!$C$2:$T$20,15,false)*HLOOKUP($K2514,'Type Chart'!$C$2:$U$20,15,false)</f>
        <v>1</v>
      </c>
      <c r="AI2514" s="960">
        <f t="array" ref="AI2514">HLOOKUP($J2514,'Type Chart'!$C$2:$T$20,16,false)*HLOOKUP($K2514,'Type Chart'!$C$2:$U$20,16,false)</f>
        <v>1</v>
      </c>
      <c r="AJ2514" s="960">
        <f t="array" ref="AJ2514">HLOOKUP($J2514,'Type Chart'!$C$2:$T$20,17,false)*HLOOKUP($K2514,'Type Chart'!$C$2:$U$20,17,false)</f>
        <v>1</v>
      </c>
      <c r="AK2514" s="960">
        <f t="array" ref="AK2514">HLOOKUP($J2514,'Type Chart'!$C$2:$T$20,18,false)*HLOOKUP($K2514,'Type Chart'!$C$2:$U$20,18,false)</f>
        <v>1</v>
      </c>
      <c r="AL2514" s="960">
        <f t="array" ref="AL2514">HLOOKUP($J2514,'Type Chart'!$C$2:$T$20,19,false)*HLOOKUP($K2514,'Type Chart'!$C$2:$U$20,19,false)</f>
        <v>0.5</v>
      </c>
      <c r="AM2514" s="1243"/>
      <c r="AN2514" s="1244"/>
      <c r="AO2514" s="1244"/>
      <c r="AP2514" s="936"/>
      <c r="AQ2514" s="1245"/>
      <c r="AR2514" s="1245"/>
      <c r="AS2514" s="936"/>
    </row>
    <row r="2515" ht="15.75" customHeight="1">
      <c r="A2515" s="1099"/>
      <c r="B2515" s="1240"/>
      <c r="C2515" s="1197" t="s">
        <v>166</v>
      </c>
      <c r="D2515" s="1197" t="s">
        <v>166</v>
      </c>
      <c r="E2515" s="1147" t="s">
        <v>166</v>
      </c>
      <c r="F2515" s="940"/>
      <c r="G2515" s="953"/>
      <c r="H2515" s="969"/>
      <c r="I2515" s="998" t="s">
        <v>5606</v>
      </c>
      <c r="J2515" s="1239" t="s">
        <v>209</v>
      </c>
      <c r="K2515" s="1239" t="s">
        <v>81</v>
      </c>
      <c r="L2515" s="1237">
        <v>80.0</v>
      </c>
      <c r="M2515" s="1238">
        <v>120.0</v>
      </c>
      <c r="N2515" s="1238">
        <v>84.0</v>
      </c>
      <c r="O2515" s="1238">
        <v>60.0</v>
      </c>
      <c r="P2515" s="1238">
        <v>96.0</v>
      </c>
      <c r="Q2515" s="1238">
        <v>110.0</v>
      </c>
      <c r="R2515" s="960">
        <v>256.0</v>
      </c>
      <c r="S2515" s="960">
        <v>319.0</v>
      </c>
      <c r="T2515" s="960">
        <v>350.0</v>
      </c>
      <c r="U2515" s="960">
        <f t="array" ref="U2515">HLOOKUP($J2515,'Type Chart'!$C$2:$T$20,2,false)*HLOOKUP($K2515,'Type Chart'!$C$2:$U$20,2,false)</f>
        <v>1</v>
      </c>
      <c r="V2515" s="960">
        <f t="array" ref="V2515">HLOOKUP($J2515,'Type Chart'!$C$2:$T$20,3,false)*HLOOKUP($K2515,'Type Chart'!$C$2:$U$20,3,false)</f>
        <v>1</v>
      </c>
      <c r="W2515" s="960">
        <f t="array" ref="W2515">HLOOKUP($J2515,'Type Chart'!$C$2:$T$20,4,false)*HLOOKUP($K2515,'Type Chart'!$C$2:$U$20,4,false)</f>
        <v>2</v>
      </c>
      <c r="X2515" s="960">
        <f t="array" ref="X2515">HLOOKUP($J2515,'Type Chart'!$C$2:$T$20,5,false)*HLOOKUP($K2515,'Type Chart'!$C$2:$U$20,5,false)</f>
        <v>2</v>
      </c>
      <c r="Y2515" s="960">
        <f t="array" ref="Y2515">HLOOKUP($J2515,'Type Chart'!$C$2:$T$20,6,false)*HLOOKUP($K2515,'Type Chart'!$C$2:$U$20,6,false)</f>
        <v>0.5</v>
      </c>
      <c r="Z2515" s="960">
        <f t="array" ref="Z2515">HLOOKUP($J2515,'Type Chart'!$C$2:$T$20,7,false)*HLOOKUP($K2515,'Type Chart'!$C$2:$U$20,7,false)</f>
        <v>1</v>
      </c>
      <c r="AA2515" s="960">
        <f t="array" ref="AA2515">HLOOKUP($J2515,'Type Chart'!$C$2:$T$20,8,false)*HLOOKUP($K2515,'Type Chart'!$C$2:$U$20,8,false)</f>
        <v>2</v>
      </c>
      <c r="AB2515" s="960">
        <f t="array" ref="AB2515">HLOOKUP($J2515,'Type Chart'!$C$2:$T$20,9,false)*HLOOKUP($K2515,'Type Chart'!$C$2:$U$20,9,false)</f>
        <v>1</v>
      </c>
      <c r="AC2515" s="960">
        <f t="array" ref="AC2515">HLOOKUP($J2515,'Type Chart'!$C$2:$T$20,10,false)*HLOOKUP($K2515,'Type Chart'!$C$2:$U$20,10,false)</f>
        <v>0.5</v>
      </c>
      <c r="AD2515" s="960">
        <f t="array" ref="AD2515">HLOOKUP($J2515,'Type Chart'!$C$2:$T$20,11,false)*HLOOKUP($K2515,'Type Chart'!$C$2:$U$20,11,false)</f>
        <v>1</v>
      </c>
      <c r="AE2515" s="960">
        <f t="array" ref="AE2515">HLOOKUP($J2515,'Type Chart'!$C$2:$T$20,12,false)*HLOOKUP($K2515,'Type Chart'!$C$2:$U$20,12,false)</f>
        <v>0.25</v>
      </c>
      <c r="AF2515" s="960">
        <f t="array" ref="AF2515">HLOOKUP($J2515,'Type Chart'!$C$2:$T$20,13,false)*HLOOKUP($K2515,'Type Chart'!$C$2:$U$20,13,false)</f>
        <v>1</v>
      </c>
      <c r="AG2515" s="960">
        <f t="array" ref="AG2515">HLOOKUP($J2515,'Type Chart'!$C$2:$T$20,14,false)*HLOOKUP($K2515,'Type Chart'!$C$2:$U$20,14,false)</f>
        <v>1</v>
      </c>
      <c r="AH2515" s="960">
        <f t="array" ref="AH2515">HLOOKUP($J2515,'Type Chart'!$C$2:$T$20,15,false)*HLOOKUP($K2515,'Type Chart'!$C$2:$U$20,15,false)</f>
        <v>1</v>
      </c>
      <c r="AI2515" s="960">
        <f t="array" ref="AI2515">HLOOKUP($J2515,'Type Chart'!$C$2:$T$20,16,false)*HLOOKUP($K2515,'Type Chart'!$C$2:$U$20,16,false)</f>
        <v>1</v>
      </c>
      <c r="AJ2515" s="960">
        <f t="array" ref="AJ2515">HLOOKUP($J2515,'Type Chart'!$C$2:$T$20,17,false)*HLOOKUP($K2515,'Type Chart'!$C$2:$U$20,17,false)</f>
        <v>1</v>
      </c>
      <c r="AK2515" s="960">
        <f t="array" ref="AK2515">HLOOKUP($J2515,'Type Chart'!$C$2:$T$20,18,false)*HLOOKUP($K2515,'Type Chart'!$C$2:$U$20,18,false)</f>
        <v>1</v>
      </c>
      <c r="AL2515" s="960">
        <f t="array" ref="AL2515">HLOOKUP($J2515,'Type Chart'!$C$2:$T$20,19,false)*HLOOKUP($K2515,'Type Chart'!$C$2:$U$20,19,false)</f>
        <v>1</v>
      </c>
      <c r="AM2515" s="1243"/>
      <c r="AN2515" s="1244"/>
      <c r="AO2515" s="1244"/>
      <c r="AP2515" s="936"/>
      <c r="AQ2515" s="1245"/>
      <c r="AR2515" s="1245"/>
      <c r="AS2515" s="936"/>
    </row>
    <row r="2516" ht="15.75" customHeight="1">
      <c r="A2516" s="1099"/>
      <c r="B2516" s="1240"/>
      <c r="C2516" s="1197" t="s">
        <v>4356</v>
      </c>
      <c r="D2516" s="1197" t="s">
        <v>4356</v>
      </c>
      <c r="E2516" s="1147" t="s">
        <v>4356</v>
      </c>
      <c r="F2516" s="940"/>
      <c r="G2516" s="953"/>
      <c r="H2516" s="969"/>
      <c r="I2516" s="998" t="s">
        <v>5607</v>
      </c>
      <c r="J2516" s="1239" t="s">
        <v>209</v>
      </c>
      <c r="K2516" s="1239" t="s">
        <v>342</v>
      </c>
      <c r="L2516" s="1237">
        <v>80.0</v>
      </c>
      <c r="M2516" s="1238">
        <v>120.0</v>
      </c>
      <c r="N2516" s="1238">
        <v>84.0</v>
      </c>
      <c r="O2516" s="1238">
        <v>60.0</v>
      </c>
      <c r="P2516" s="1238">
        <v>96.0</v>
      </c>
      <c r="Q2516" s="1238">
        <v>110.0</v>
      </c>
      <c r="R2516" s="960">
        <v>256.0</v>
      </c>
      <c r="S2516" s="960">
        <v>319.0</v>
      </c>
      <c r="T2516" s="960">
        <v>350.0</v>
      </c>
      <c r="U2516" s="960">
        <f t="array" ref="U2516">HLOOKUP($J2516,'Type Chart'!$C$2:$T$20,2,false)*HLOOKUP($K2516,'Type Chart'!$C$2:$U$20,2,false)</f>
        <v>0.5</v>
      </c>
      <c r="V2516" s="960">
        <f t="array" ref="V2516">HLOOKUP($J2516,'Type Chart'!$C$2:$T$20,3,false)*HLOOKUP($K2516,'Type Chart'!$C$2:$U$20,3,false)</f>
        <v>2</v>
      </c>
      <c r="W2516" s="960">
        <f t="array" ref="W2516">HLOOKUP($J2516,'Type Chart'!$C$2:$T$20,4,false)*HLOOKUP($K2516,'Type Chart'!$C$2:$U$20,4,false)</f>
        <v>1</v>
      </c>
      <c r="X2516" s="960">
        <f t="array" ref="X2516">HLOOKUP($J2516,'Type Chart'!$C$2:$T$20,5,false)*HLOOKUP($K2516,'Type Chart'!$C$2:$U$20,5,false)</f>
        <v>1</v>
      </c>
      <c r="Y2516" s="960">
        <f t="array" ref="Y2516">HLOOKUP($J2516,'Type Chart'!$C$2:$T$20,6,false)*HLOOKUP($K2516,'Type Chart'!$C$2:$U$20,6,false)</f>
        <v>1</v>
      </c>
      <c r="Z2516" s="960">
        <f t="array" ref="Z2516">HLOOKUP($J2516,'Type Chart'!$C$2:$T$20,7,false)*HLOOKUP($K2516,'Type Chart'!$C$2:$U$20,7,false)</f>
        <v>1</v>
      </c>
      <c r="AA2516" s="960">
        <f t="array" ref="AA2516">HLOOKUP($J2516,'Type Chart'!$C$2:$T$20,8,false)*HLOOKUP($K2516,'Type Chart'!$C$2:$U$20,8,false)</f>
        <v>2</v>
      </c>
      <c r="AB2516" s="960">
        <f t="array" ref="AB2516">HLOOKUP($J2516,'Type Chart'!$C$2:$T$20,9,false)*HLOOKUP($K2516,'Type Chart'!$C$2:$U$20,9,false)</f>
        <v>1</v>
      </c>
      <c r="AC2516" s="960">
        <f t="array" ref="AC2516">HLOOKUP($J2516,'Type Chart'!$C$2:$T$20,10,false)*HLOOKUP($K2516,'Type Chart'!$C$2:$U$20,10,false)</f>
        <v>2</v>
      </c>
      <c r="AD2516" s="960">
        <f t="array" ref="AD2516">HLOOKUP($J2516,'Type Chart'!$C$2:$T$20,11,false)*HLOOKUP($K2516,'Type Chart'!$C$2:$U$20,11,false)</f>
        <v>1</v>
      </c>
      <c r="AE2516" s="960">
        <f t="array" ref="AE2516">HLOOKUP($J2516,'Type Chart'!$C$2:$T$20,12,false)*HLOOKUP($K2516,'Type Chart'!$C$2:$U$20,12,false)</f>
        <v>1</v>
      </c>
      <c r="AF2516" s="960">
        <f t="array" ref="AF2516">HLOOKUP($J2516,'Type Chart'!$C$2:$T$20,13,false)*HLOOKUP($K2516,'Type Chart'!$C$2:$U$20,13,false)</f>
        <v>1</v>
      </c>
      <c r="AG2516" s="960">
        <f t="array" ref="AG2516">HLOOKUP($J2516,'Type Chart'!$C$2:$T$20,14,false)*HLOOKUP($K2516,'Type Chart'!$C$2:$U$20,14,false)</f>
        <v>0.5</v>
      </c>
      <c r="AH2516" s="960">
        <f t="array" ref="AH2516">HLOOKUP($J2516,'Type Chart'!$C$2:$T$20,15,false)*HLOOKUP($K2516,'Type Chart'!$C$2:$U$20,15,false)</f>
        <v>1</v>
      </c>
      <c r="AI2516" s="960">
        <f t="array" ref="AI2516">HLOOKUP($J2516,'Type Chart'!$C$2:$T$20,16,false)*HLOOKUP($K2516,'Type Chart'!$C$2:$U$20,16,false)</f>
        <v>2</v>
      </c>
      <c r="AJ2516" s="960">
        <f t="array" ref="AJ2516">HLOOKUP($J2516,'Type Chart'!$C$2:$T$20,17,false)*HLOOKUP($K2516,'Type Chart'!$C$2:$U$20,17,false)</f>
        <v>1</v>
      </c>
      <c r="AK2516" s="960">
        <f t="array" ref="AK2516">HLOOKUP($J2516,'Type Chart'!$C$2:$T$20,18,false)*HLOOKUP($K2516,'Type Chart'!$C$2:$U$20,18,false)</f>
        <v>1</v>
      </c>
      <c r="AL2516" s="960">
        <f t="array" ref="AL2516">HLOOKUP($J2516,'Type Chart'!$C$2:$T$20,19,false)*HLOOKUP($K2516,'Type Chart'!$C$2:$U$20,19,false)</f>
        <v>1</v>
      </c>
      <c r="AM2516" s="1243"/>
      <c r="AN2516" s="1244"/>
      <c r="AO2516" s="1244"/>
      <c r="AP2516" s="936"/>
      <c r="AQ2516" s="1245"/>
      <c r="AR2516" s="1245"/>
      <c r="AS2516" s="936"/>
    </row>
    <row r="2517" ht="15.75" customHeight="1">
      <c r="A2517" s="1099"/>
      <c r="B2517" s="1240"/>
      <c r="C2517" s="1197" t="s">
        <v>265</v>
      </c>
      <c r="D2517" s="1197" t="s">
        <v>265</v>
      </c>
      <c r="E2517" s="1147" t="s">
        <v>265</v>
      </c>
      <c r="F2517" s="940"/>
      <c r="G2517" s="953"/>
      <c r="H2517" s="969"/>
      <c r="I2517" s="998" t="s">
        <v>205</v>
      </c>
      <c r="J2517" s="1239" t="s">
        <v>82</v>
      </c>
      <c r="K2517" s="1239" t="s">
        <v>346</v>
      </c>
      <c r="L2517" s="1237">
        <v>90.0</v>
      </c>
      <c r="M2517" s="1238">
        <v>105.0</v>
      </c>
      <c r="N2517" s="1238">
        <v>130.0</v>
      </c>
      <c r="O2517" s="1238">
        <v>125.0</v>
      </c>
      <c r="P2517" s="1238">
        <v>65.0</v>
      </c>
      <c r="Q2517" s="1238">
        <v>85.0</v>
      </c>
      <c r="R2517" s="960">
        <v>206.0</v>
      </c>
      <c r="S2517" s="960">
        <v>269.0</v>
      </c>
      <c r="T2517" s="960">
        <v>295.0</v>
      </c>
      <c r="U2517" s="960">
        <f t="array" ref="U2517">HLOOKUP($J2517,'Type Chart'!$C$2:$T$20,2,false)*HLOOKUP($K2517,'Type Chart'!$C$2:$U$20,2,false)</f>
        <v>0.5</v>
      </c>
      <c r="V2517" s="960">
        <f t="array" ref="V2517">HLOOKUP($J2517,'Type Chart'!$C$2:$T$20,3,false)*HLOOKUP($K2517,'Type Chart'!$C$2:$U$20,3,false)</f>
        <v>2</v>
      </c>
      <c r="W2517" s="960">
        <f t="array" ref="W2517">HLOOKUP($J2517,'Type Chart'!$C$2:$T$20,4,false)*HLOOKUP($K2517,'Type Chart'!$C$2:$U$20,4,false)</f>
        <v>0.5</v>
      </c>
      <c r="X2517" s="960">
        <f t="array" ref="X2517">HLOOKUP($J2517,'Type Chart'!$C$2:$T$20,5,false)*HLOOKUP($K2517,'Type Chart'!$C$2:$U$20,5,false)</f>
        <v>0</v>
      </c>
      <c r="Y2517" s="960">
        <f t="array" ref="Y2517">HLOOKUP($J2517,'Type Chart'!$C$2:$T$20,6,false)*HLOOKUP($K2517,'Type Chart'!$C$2:$U$20,6,false)</f>
        <v>2</v>
      </c>
      <c r="Z2517" s="960">
        <f t="array" ref="Z2517">HLOOKUP($J2517,'Type Chart'!$C$2:$T$20,7,false)*HLOOKUP($K2517,'Type Chart'!$C$2:$U$20,7,false)</f>
        <v>0.5</v>
      </c>
      <c r="AA2517" s="960">
        <f t="array" ref="AA2517">HLOOKUP($J2517,'Type Chart'!$C$2:$T$20,8,false)*HLOOKUP($K2517,'Type Chart'!$C$2:$U$20,8,false)</f>
        <v>0.5</v>
      </c>
      <c r="AB2517" s="960">
        <f t="array" ref="AB2517">HLOOKUP($J2517,'Type Chart'!$C$2:$T$20,9,false)*HLOOKUP($K2517,'Type Chart'!$C$2:$U$20,9,false)</f>
        <v>1</v>
      </c>
      <c r="AC2517" s="960">
        <f t="array" ref="AC2517">HLOOKUP($J2517,'Type Chart'!$C$2:$T$20,10,false)*HLOOKUP($K2517,'Type Chart'!$C$2:$U$20,10,false)</f>
        <v>0.5</v>
      </c>
      <c r="AD2517" s="960">
        <f t="array" ref="AD2517">HLOOKUP($J2517,'Type Chart'!$C$2:$T$20,11,false)*HLOOKUP($K2517,'Type Chart'!$C$2:$U$20,11,false)</f>
        <v>1</v>
      </c>
      <c r="AE2517" s="960">
        <f t="array" ref="AE2517">HLOOKUP($J2517,'Type Chart'!$C$2:$T$20,12,false)*HLOOKUP($K2517,'Type Chart'!$C$2:$U$20,12,false)</f>
        <v>0.5</v>
      </c>
      <c r="AF2517" s="960">
        <f t="array" ref="AF2517">HLOOKUP($J2517,'Type Chart'!$C$2:$T$20,13,false)*HLOOKUP($K2517,'Type Chart'!$C$2:$U$20,13,false)</f>
        <v>0.25</v>
      </c>
      <c r="AG2517" s="960">
        <f t="array" ref="AG2517">HLOOKUP($J2517,'Type Chart'!$C$2:$T$20,14,false)*HLOOKUP($K2517,'Type Chart'!$C$2:$U$20,14,false)</f>
        <v>0.5</v>
      </c>
      <c r="AH2517" s="960">
        <f t="array" ref="AH2517">HLOOKUP($J2517,'Type Chart'!$C$2:$T$20,15,false)*HLOOKUP($K2517,'Type Chart'!$C$2:$U$20,15,false)</f>
        <v>0.5</v>
      </c>
      <c r="AI2517" s="960">
        <f t="array" ref="AI2517">HLOOKUP($J2517,'Type Chart'!$C$2:$T$20,16,false)*HLOOKUP($K2517,'Type Chart'!$C$2:$U$20,16,false)</f>
        <v>1</v>
      </c>
      <c r="AJ2517" s="960">
        <f t="array" ref="AJ2517">HLOOKUP($J2517,'Type Chart'!$C$2:$T$20,17,false)*HLOOKUP($K2517,'Type Chart'!$C$2:$U$20,17,false)</f>
        <v>1</v>
      </c>
      <c r="AK2517" s="960">
        <f t="array" ref="AK2517">HLOOKUP($J2517,'Type Chart'!$C$2:$T$20,18,false)*HLOOKUP($K2517,'Type Chart'!$C$2:$U$20,18,false)</f>
        <v>1</v>
      </c>
      <c r="AL2517" s="960">
        <f t="array" ref="AL2517">HLOOKUP($J2517,'Type Chart'!$C$2:$T$20,19,false)*HLOOKUP($K2517,'Type Chart'!$C$2:$U$20,19,false)</f>
        <v>1</v>
      </c>
      <c r="AM2517" s="1243"/>
      <c r="AN2517" s="1244"/>
      <c r="AO2517" s="1244"/>
      <c r="AP2517" s="936"/>
      <c r="AQ2517" s="1245"/>
      <c r="AR2517" s="1245"/>
      <c r="AS2517" s="936"/>
    </row>
    <row r="2518" ht="15.75" customHeight="1">
      <c r="A2518" s="1099"/>
      <c r="B2518" s="1240"/>
      <c r="C2518" s="1197" t="s">
        <v>4357</v>
      </c>
      <c r="D2518" s="1197" t="s">
        <v>4357</v>
      </c>
      <c r="E2518" s="1147" t="s">
        <v>4357</v>
      </c>
      <c r="F2518" s="940"/>
      <c r="G2518" s="953"/>
      <c r="H2518" s="969"/>
      <c r="I2518" s="998" t="s">
        <v>5608</v>
      </c>
      <c r="J2518" s="1239" t="s">
        <v>209</v>
      </c>
      <c r="K2518" s="1239" t="s">
        <v>346</v>
      </c>
      <c r="L2518" s="1237">
        <v>106.0</v>
      </c>
      <c r="M2518" s="1238">
        <v>80.0</v>
      </c>
      <c r="N2518" s="1238">
        <v>110.0</v>
      </c>
      <c r="O2518" s="1238">
        <v>120.0</v>
      </c>
      <c r="P2518" s="1238">
        <v>80.0</v>
      </c>
      <c r="Q2518" s="1238">
        <v>44.0</v>
      </c>
      <c r="R2518" s="960">
        <v>124.0</v>
      </c>
      <c r="S2518" s="960">
        <v>187.0</v>
      </c>
      <c r="T2518" s="960">
        <v>205.0</v>
      </c>
      <c r="U2518" s="960">
        <f t="array" ref="U2518">HLOOKUP($J2518,'Type Chart'!$C$2:$T$20,2,false)*HLOOKUP($K2518,'Type Chart'!$C$2:$U$20,2,false)</f>
        <v>1</v>
      </c>
      <c r="V2518" s="960">
        <f t="array" ref="V2518">HLOOKUP($J2518,'Type Chart'!$C$2:$T$20,3,false)*HLOOKUP($K2518,'Type Chart'!$C$2:$U$20,3,false)</f>
        <v>1</v>
      </c>
      <c r="W2518" s="960">
        <f t="array" ref="W2518">HLOOKUP($J2518,'Type Chart'!$C$2:$T$20,4,false)*HLOOKUP($K2518,'Type Chart'!$C$2:$U$20,4,false)</f>
        <v>2</v>
      </c>
      <c r="X2518" s="960">
        <f t="array" ref="X2518">HLOOKUP($J2518,'Type Chart'!$C$2:$T$20,5,false)*HLOOKUP($K2518,'Type Chart'!$C$2:$U$20,5,false)</f>
        <v>2</v>
      </c>
      <c r="Y2518" s="960">
        <f t="array" ref="Y2518">HLOOKUP($J2518,'Type Chart'!$C$2:$T$20,6,false)*HLOOKUP($K2518,'Type Chart'!$C$2:$U$20,6,false)</f>
        <v>0.5</v>
      </c>
      <c r="Z2518" s="960">
        <f t="array" ref="Z2518">HLOOKUP($J2518,'Type Chart'!$C$2:$T$20,7,false)*HLOOKUP($K2518,'Type Chart'!$C$2:$U$20,7,false)</f>
        <v>1</v>
      </c>
      <c r="AA2518" s="960">
        <f t="array" ref="AA2518">HLOOKUP($J2518,'Type Chart'!$C$2:$T$20,8,false)*HLOOKUP($K2518,'Type Chart'!$C$2:$U$20,8,false)</f>
        <v>2</v>
      </c>
      <c r="AB2518" s="960">
        <f t="array" ref="AB2518">HLOOKUP($J2518,'Type Chart'!$C$2:$T$20,9,false)*HLOOKUP($K2518,'Type Chart'!$C$2:$U$20,9,false)</f>
        <v>1</v>
      </c>
      <c r="AC2518" s="960">
        <f t="array" ref="AC2518">HLOOKUP($J2518,'Type Chart'!$C$2:$T$20,10,false)*HLOOKUP($K2518,'Type Chart'!$C$2:$U$20,10,false)</f>
        <v>1</v>
      </c>
      <c r="AD2518" s="960">
        <f t="array" ref="AD2518">HLOOKUP($J2518,'Type Chart'!$C$2:$T$20,11,false)*HLOOKUP($K2518,'Type Chart'!$C$2:$U$20,11,false)</f>
        <v>1</v>
      </c>
      <c r="AE2518" s="960">
        <f t="array" ref="AE2518">HLOOKUP($J2518,'Type Chart'!$C$2:$T$20,12,false)*HLOOKUP($K2518,'Type Chart'!$C$2:$U$20,12,false)</f>
        <v>0.25</v>
      </c>
      <c r="AF2518" s="960">
        <f t="array" ref="AF2518">HLOOKUP($J2518,'Type Chart'!$C$2:$T$20,13,false)*HLOOKUP($K2518,'Type Chart'!$C$2:$U$20,13,false)</f>
        <v>0.25</v>
      </c>
      <c r="AG2518" s="960">
        <f t="array" ref="AG2518">HLOOKUP($J2518,'Type Chart'!$C$2:$T$20,14,false)*HLOOKUP($K2518,'Type Chart'!$C$2:$U$20,14,false)</f>
        <v>0.25</v>
      </c>
      <c r="AH2518" s="960">
        <f t="array" ref="AH2518">HLOOKUP($J2518,'Type Chart'!$C$2:$T$20,15,false)*HLOOKUP($K2518,'Type Chart'!$C$2:$U$20,15,false)</f>
        <v>1</v>
      </c>
      <c r="AI2518" s="960">
        <f t="array" ref="AI2518">HLOOKUP($J2518,'Type Chart'!$C$2:$T$20,16,false)*HLOOKUP($K2518,'Type Chart'!$C$2:$U$20,16,false)</f>
        <v>4</v>
      </c>
      <c r="AJ2518" s="960">
        <f t="array" ref="AJ2518">HLOOKUP($J2518,'Type Chart'!$C$2:$T$20,17,false)*HLOOKUP($K2518,'Type Chart'!$C$2:$U$20,17,false)</f>
        <v>2</v>
      </c>
      <c r="AK2518" s="960">
        <f t="array" ref="AK2518">HLOOKUP($J2518,'Type Chart'!$C$2:$T$20,18,false)*HLOOKUP($K2518,'Type Chart'!$C$2:$U$20,18,false)</f>
        <v>1</v>
      </c>
      <c r="AL2518" s="960">
        <f t="array" ref="AL2518">HLOOKUP($J2518,'Type Chart'!$C$2:$T$20,19,false)*HLOOKUP($K2518,'Type Chart'!$C$2:$U$20,19,false)</f>
        <v>2</v>
      </c>
      <c r="AM2518" s="1243"/>
      <c r="AN2518" s="1244"/>
      <c r="AO2518" s="1244"/>
      <c r="AP2518" s="936"/>
      <c r="AQ2518" s="1245"/>
      <c r="AR2518" s="1245"/>
      <c r="AS2518" s="936"/>
    </row>
    <row r="2519" ht="15.75" customHeight="1">
      <c r="A2519" s="1099"/>
      <c r="B2519" s="1240"/>
      <c r="C2519" s="1197" t="s">
        <v>4358</v>
      </c>
      <c r="D2519" s="1197" t="s">
        <v>4358</v>
      </c>
      <c r="E2519" s="1147" t="s">
        <v>4358</v>
      </c>
      <c r="F2519" s="940"/>
      <c r="G2519" s="953"/>
      <c r="H2519" s="969"/>
      <c r="I2519" s="998" t="s">
        <v>5609</v>
      </c>
      <c r="J2519" s="1239" t="s">
        <v>150</v>
      </c>
      <c r="K2519" s="1239" t="s">
        <v>346</v>
      </c>
      <c r="L2519" s="1237">
        <v>105.0</v>
      </c>
      <c r="M2519" s="1238">
        <v>115.0</v>
      </c>
      <c r="N2519" s="1238">
        <v>121.0</v>
      </c>
      <c r="O2519" s="1238">
        <v>65.0</v>
      </c>
      <c r="P2519" s="1238">
        <v>93.0</v>
      </c>
      <c r="Q2519" s="1238">
        <v>91.0</v>
      </c>
      <c r="R2519" s="960">
        <v>218.0</v>
      </c>
      <c r="S2519" s="960">
        <v>281.0</v>
      </c>
      <c r="T2519" s="960">
        <v>309.0</v>
      </c>
      <c r="U2519" s="960">
        <f t="array" ref="U2519">HLOOKUP($J2519,'Type Chart'!$C$2:$T$20,2,false)*HLOOKUP($K2519,'Type Chart'!$C$2:$U$20,2,false)</f>
        <v>1</v>
      </c>
      <c r="V2519" s="960">
        <f t="array" ref="V2519">HLOOKUP($J2519,'Type Chart'!$C$2:$T$20,3,false)*HLOOKUP($K2519,'Type Chart'!$C$2:$U$20,3,false)</f>
        <v>1</v>
      </c>
      <c r="W2519" s="960">
        <f t="array" ref="W2519">HLOOKUP($J2519,'Type Chart'!$C$2:$T$20,4,false)*HLOOKUP($K2519,'Type Chart'!$C$2:$U$20,4,false)</f>
        <v>1</v>
      </c>
      <c r="X2519" s="960">
        <f t="array" ref="X2519">HLOOKUP($J2519,'Type Chart'!$C$2:$T$20,5,false)*HLOOKUP($K2519,'Type Chart'!$C$2:$U$20,5,false)</f>
        <v>1</v>
      </c>
      <c r="Y2519" s="960">
        <f t="array" ref="Y2519">HLOOKUP($J2519,'Type Chart'!$C$2:$T$20,6,false)*HLOOKUP($K2519,'Type Chart'!$C$2:$U$20,6,false)</f>
        <v>2</v>
      </c>
      <c r="Z2519" s="960">
        <f t="array" ref="Z2519">HLOOKUP($J2519,'Type Chart'!$C$2:$T$20,7,false)*HLOOKUP($K2519,'Type Chart'!$C$2:$U$20,7,false)</f>
        <v>2</v>
      </c>
      <c r="AA2519" s="960">
        <f t="array" ref="AA2519">HLOOKUP($J2519,'Type Chart'!$C$2:$T$20,8,false)*HLOOKUP($K2519,'Type Chart'!$C$2:$U$20,8,false)</f>
        <v>0.5</v>
      </c>
      <c r="AB2519" s="960">
        <f t="array" ref="AB2519">HLOOKUP($J2519,'Type Chart'!$C$2:$T$20,9,false)*HLOOKUP($K2519,'Type Chart'!$C$2:$U$20,9,false)</f>
        <v>1</v>
      </c>
      <c r="AC2519" s="960">
        <f t="array" ref="AC2519">HLOOKUP($J2519,'Type Chart'!$C$2:$T$20,10,false)*HLOOKUP($K2519,'Type Chart'!$C$2:$U$20,10,false)</f>
        <v>0.5</v>
      </c>
      <c r="AD2519" s="960">
        <f t="array" ref="AD2519">HLOOKUP($J2519,'Type Chart'!$C$2:$T$20,11,false)*HLOOKUP($K2519,'Type Chart'!$C$2:$U$20,11,false)</f>
        <v>0.25</v>
      </c>
      <c r="AE2519" s="960">
        <f t="array" ref="AE2519">HLOOKUP($J2519,'Type Chart'!$C$2:$T$20,12,false)*HLOOKUP($K2519,'Type Chart'!$C$2:$U$20,12,false)</f>
        <v>1</v>
      </c>
      <c r="AF2519" s="960">
        <f t="array" ref="AF2519">HLOOKUP($J2519,'Type Chart'!$C$2:$T$20,13,false)*HLOOKUP($K2519,'Type Chart'!$C$2:$U$20,13,false)</f>
        <v>0.25</v>
      </c>
      <c r="AG2519" s="960">
        <f t="array" ref="AG2519">HLOOKUP($J2519,'Type Chart'!$C$2:$T$20,14,false)*HLOOKUP($K2519,'Type Chart'!$C$2:$U$20,14,false)</f>
        <v>0.5</v>
      </c>
      <c r="AH2519" s="960">
        <f t="array" ref="AH2519">HLOOKUP($J2519,'Type Chart'!$C$2:$T$20,15,false)*HLOOKUP($K2519,'Type Chart'!$C$2:$U$20,15,false)</f>
        <v>1</v>
      </c>
      <c r="AI2519" s="960">
        <f t="array" ref="AI2519">HLOOKUP($J2519,'Type Chart'!$C$2:$T$20,16,false)*HLOOKUP($K2519,'Type Chart'!$C$2:$U$20,16,false)</f>
        <v>1</v>
      </c>
      <c r="AJ2519" s="960">
        <f t="array" ref="AJ2519">HLOOKUP($J2519,'Type Chart'!$C$2:$T$20,17,false)*HLOOKUP($K2519,'Type Chart'!$C$2:$U$20,17,false)</f>
        <v>2</v>
      </c>
      <c r="AK2519" s="960">
        <f t="array" ref="AK2519">HLOOKUP($J2519,'Type Chart'!$C$2:$T$20,18,false)*HLOOKUP($K2519,'Type Chart'!$C$2:$U$20,18,false)</f>
        <v>1</v>
      </c>
      <c r="AL2519" s="960">
        <f t="array" ref="AL2519">HLOOKUP($J2519,'Type Chart'!$C$2:$T$20,19,false)*HLOOKUP($K2519,'Type Chart'!$C$2:$U$20,19,false)</f>
        <v>1</v>
      </c>
      <c r="AM2519" s="1243"/>
      <c r="AN2519" s="1244"/>
      <c r="AO2519" s="1244"/>
      <c r="AP2519" s="936"/>
      <c r="AQ2519" s="1245"/>
      <c r="AR2519" s="1245"/>
      <c r="AS2519" s="936"/>
    </row>
    <row r="2520" ht="15.75" customHeight="1">
      <c r="A2520" s="1099"/>
      <c r="B2520" s="1240"/>
      <c r="C2520" s="1197" t="s">
        <v>4359</v>
      </c>
      <c r="D2520" s="1197" t="s">
        <v>4359</v>
      </c>
      <c r="E2520" s="1147" t="s">
        <v>4359</v>
      </c>
      <c r="F2520" s="940"/>
      <c r="G2520" s="953"/>
      <c r="H2520" s="969"/>
      <c r="I2520" s="998" t="s">
        <v>5610</v>
      </c>
      <c r="J2520" s="1196" t="s">
        <v>203</v>
      </c>
      <c r="K2520" s="1239" t="s">
        <v>346</v>
      </c>
      <c r="L2520" s="1237">
        <v>125.0</v>
      </c>
      <c r="M2520" s="1238">
        <v>73.0</v>
      </c>
      <c r="N2520" s="1238">
        <v>91.0</v>
      </c>
      <c r="O2520" s="1238">
        <v>137.0</v>
      </c>
      <c r="P2520" s="1238">
        <v>89.0</v>
      </c>
      <c r="Q2520" s="1238">
        <v>75.0</v>
      </c>
      <c r="R2520" s="960">
        <v>186.0</v>
      </c>
      <c r="S2520" s="960">
        <v>249.0</v>
      </c>
      <c r="T2520" s="960">
        <v>273.0</v>
      </c>
      <c r="U2520" s="960">
        <f t="array" ref="U2520">HLOOKUP($J2520,'Type Chart'!$C$2:$T$20,2,false)*HLOOKUP($K2520,'Type Chart'!$C$2:$U$20,2,false)</f>
        <v>1</v>
      </c>
      <c r="V2520" s="960">
        <f t="array" ref="V2520">HLOOKUP($J2520,'Type Chart'!$C$2:$T$20,3,false)*HLOOKUP($K2520,'Type Chart'!$C$2:$U$20,3,false)</f>
        <v>1</v>
      </c>
      <c r="W2520" s="960">
        <f t="array" ref="W2520">HLOOKUP($J2520,'Type Chart'!$C$2:$T$20,4,false)*HLOOKUP($K2520,'Type Chart'!$C$2:$U$20,4,false)</f>
        <v>0.5</v>
      </c>
      <c r="X2520" s="960">
        <f t="array" ref="X2520">HLOOKUP($J2520,'Type Chart'!$C$2:$T$20,5,false)*HLOOKUP($K2520,'Type Chart'!$C$2:$U$20,5,false)</f>
        <v>1</v>
      </c>
      <c r="Y2520" s="960">
        <f t="array" ref="Y2520">HLOOKUP($J2520,'Type Chart'!$C$2:$T$20,6,false)*HLOOKUP($K2520,'Type Chart'!$C$2:$U$20,6,false)</f>
        <v>2</v>
      </c>
      <c r="Z2520" s="960">
        <f t="array" ref="Z2520">HLOOKUP($J2520,'Type Chart'!$C$2:$T$20,7,false)*HLOOKUP($K2520,'Type Chart'!$C$2:$U$20,7,false)</f>
        <v>1</v>
      </c>
      <c r="AA2520" s="960">
        <f t="array" ref="AA2520">HLOOKUP($J2520,'Type Chart'!$C$2:$T$20,8,false)*HLOOKUP($K2520,'Type Chart'!$C$2:$U$20,8,false)</f>
        <v>1</v>
      </c>
      <c r="AB2520" s="960">
        <f t="array" ref="AB2520">HLOOKUP($J2520,'Type Chart'!$C$2:$T$20,9,false)*HLOOKUP($K2520,'Type Chart'!$C$2:$U$20,9,false)</f>
        <v>1</v>
      </c>
      <c r="AC2520" s="960">
        <f t="array" ref="AC2520">HLOOKUP($J2520,'Type Chart'!$C$2:$T$20,10,false)*HLOOKUP($K2520,'Type Chart'!$C$2:$U$20,10,false)</f>
        <v>0.5</v>
      </c>
      <c r="AD2520" s="960">
        <f t="array" ref="AD2520">HLOOKUP($J2520,'Type Chart'!$C$2:$T$20,11,false)*HLOOKUP($K2520,'Type Chart'!$C$2:$U$20,11,false)</f>
        <v>0.5</v>
      </c>
      <c r="AE2520" s="960">
        <f t="array" ref="AE2520">HLOOKUP($J2520,'Type Chart'!$C$2:$T$20,12,false)*HLOOKUP($K2520,'Type Chart'!$C$2:$U$20,12,false)</f>
        <v>0.5</v>
      </c>
      <c r="AF2520" s="960">
        <f t="array" ref="AF2520">HLOOKUP($J2520,'Type Chart'!$C$2:$T$20,13,false)*HLOOKUP($K2520,'Type Chart'!$C$2:$U$20,13,false)</f>
        <v>0.5</v>
      </c>
      <c r="AG2520" s="960">
        <f t="array" ref="AG2520">HLOOKUP($J2520,'Type Chart'!$C$2:$T$20,14,false)*HLOOKUP($K2520,'Type Chart'!$C$2:$U$20,14,false)</f>
        <v>0.25</v>
      </c>
      <c r="AH2520" s="960">
        <f t="array" ref="AH2520">HLOOKUP($J2520,'Type Chart'!$C$2:$T$20,15,false)*HLOOKUP($K2520,'Type Chart'!$C$2:$U$20,15,false)</f>
        <v>1</v>
      </c>
      <c r="AI2520" s="960">
        <f t="array" ref="AI2520">HLOOKUP($J2520,'Type Chart'!$C$2:$T$20,16,false)*HLOOKUP($K2520,'Type Chart'!$C$2:$U$20,16,false)</f>
        <v>2</v>
      </c>
      <c r="AJ2520" s="960">
        <f t="array" ref="AJ2520">HLOOKUP($J2520,'Type Chart'!$C$2:$T$20,17,false)*HLOOKUP($K2520,'Type Chart'!$C$2:$U$20,17,false)</f>
        <v>2</v>
      </c>
      <c r="AK2520" s="960">
        <f t="array" ref="AK2520">HLOOKUP($J2520,'Type Chart'!$C$2:$T$20,18,false)*HLOOKUP($K2520,'Type Chart'!$C$2:$U$20,18,false)</f>
        <v>1</v>
      </c>
      <c r="AL2520" s="960">
        <f t="array" ref="AL2520">HLOOKUP($J2520,'Type Chart'!$C$2:$T$20,19,false)*HLOOKUP($K2520,'Type Chart'!$C$2:$U$20,19,false)</f>
        <v>2</v>
      </c>
      <c r="AM2520" s="1243"/>
      <c r="AN2520" s="1244"/>
      <c r="AO2520" s="1244"/>
      <c r="AP2520" s="936"/>
      <c r="AQ2520" s="1245"/>
      <c r="AR2520" s="1245"/>
      <c r="AS2520" s="936"/>
    </row>
    <row r="2521" ht="15.75" customHeight="1">
      <c r="A2521" s="1099"/>
      <c r="B2521" s="1240"/>
      <c r="C2521" s="1197" t="s">
        <v>4360</v>
      </c>
      <c r="D2521" s="1197" t="s">
        <v>4360</v>
      </c>
      <c r="E2521" s="1147" t="s">
        <v>4360</v>
      </c>
      <c r="F2521" s="940"/>
      <c r="G2521" s="953"/>
      <c r="H2521" s="969"/>
      <c r="I2521" s="998" t="s">
        <v>5611</v>
      </c>
      <c r="J2521" s="1239" t="s">
        <v>342</v>
      </c>
      <c r="K2521" s="1239" t="s">
        <v>344</v>
      </c>
      <c r="L2521" s="1237">
        <v>90.0</v>
      </c>
      <c r="M2521" s="1238">
        <v>120.0</v>
      </c>
      <c r="N2521" s="1238">
        <v>80.0</v>
      </c>
      <c r="O2521" s="1238">
        <v>68.0</v>
      </c>
      <c r="P2521" s="1238">
        <v>108.0</v>
      </c>
      <c r="Q2521" s="1238">
        <v>124.0</v>
      </c>
      <c r="R2521" s="960">
        <v>284.0</v>
      </c>
      <c r="S2521" s="960">
        <v>347.0</v>
      </c>
      <c r="T2521" s="960">
        <v>381.0</v>
      </c>
      <c r="U2521" s="960">
        <f t="array" ref="U2521">HLOOKUP($J2521,'Type Chart'!$C$2:$T$20,2,false)*HLOOKUP($K2521,'Type Chart'!$C$2:$U$20,2,false)</f>
        <v>0.5</v>
      </c>
      <c r="V2521" s="960">
        <f t="array" ref="V2521">HLOOKUP($J2521,'Type Chart'!$C$2:$T$20,3,false)*HLOOKUP($K2521,'Type Chart'!$C$2:$U$20,3,false)</f>
        <v>1</v>
      </c>
      <c r="W2521" s="960">
        <f t="array" ref="W2521">HLOOKUP($J2521,'Type Chart'!$C$2:$T$20,4,false)*HLOOKUP($K2521,'Type Chart'!$C$2:$U$20,4,false)</f>
        <v>0.5</v>
      </c>
      <c r="X2521" s="960">
        <f t="array" ref="X2521">HLOOKUP($J2521,'Type Chart'!$C$2:$T$20,5,false)*HLOOKUP($K2521,'Type Chart'!$C$2:$U$20,5,false)</f>
        <v>0.5</v>
      </c>
      <c r="Y2521" s="960">
        <f t="array" ref="Y2521">HLOOKUP($J2521,'Type Chart'!$C$2:$T$20,6,false)*HLOOKUP($K2521,'Type Chart'!$C$2:$U$20,6,false)</f>
        <v>2</v>
      </c>
      <c r="Z2521" s="960">
        <f t="array" ref="Z2521">HLOOKUP($J2521,'Type Chart'!$C$2:$T$20,7,false)*HLOOKUP($K2521,'Type Chart'!$C$2:$U$20,7,false)</f>
        <v>1</v>
      </c>
      <c r="AA2521" s="960">
        <f t="array" ref="AA2521">HLOOKUP($J2521,'Type Chart'!$C$2:$T$20,8,false)*HLOOKUP($K2521,'Type Chart'!$C$2:$U$20,8,false)</f>
        <v>2</v>
      </c>
      <c r="AB2521" s="960">
        <f t="array" ref="AB2521">HLOOKUP($J2521,'Type Chart'!$C$2:$T$20,9,false)*HLOOKUP($K2521,'Type Chart'!$C$2:$U$20,9,false)</f>
        <v>2</v>
      </c>
      <c r="AC2521" s="960">
        <f t="array" ref="AC2521">HLOOKUP($J2521,'Type Chart'!$C$2:$T$20,10,false)*HLOOKUP($K2521,'Type Chart'!$C$2:$U$20,10,false)</f>
        <v>2</v>
      </c>
      <c r="AD2521" s="960">
        <f t="array" ref="AD2521">HLOOKUP($J2521,'Type Chart'!$C$2:$T$20,11,false)*HLOOKUP($K2521,'Type Chart'!$C$2:$U$20,11,false)</f>
        <v>0.5</v>
      </c>
      <c r="AE2521" s="960">
        <f t="array" ref="AE2521">HLOOKUP($J2521,'Type Chart'!$C$2:$T$20,12,false)*HLOOKUP($K2521,'Type Chart'!$C$2:$U$20,12,false)</f>
        <v>2</v>
      </c>
      <c r="AF2521" s="960">
        <f t="array" ref="AF2521">HLOOKUP($J2521,'Type Chart'!$C$2:$T$20,13,false)*HLOOKUP($K2521,'Type Chart'!$C$2:$U$20,13,false)</f>
        <v>2</v>
      </c>
      <c r="AG2521" s="960">
        <f t="array" ref="AG2521">HLOOKUP($J2521,'Type Chart'!$C$2:$T$20,14,false)*HLOOKUP($K2521,'Type Chart'!$C$2:$U$20,14,false)</f>
        <v>1</v>
      </c>
      <c r="AH2521" s="960">
        <f t="array" ref="AH2521">HLOOKUP($J2521,'Type Chart'!$C$2:$T$20,15,false)*HLOOKUP($K2521,'Type Chart'!$C$2:$U$20,15,false)</f>
        <v>0.5</v>
      </c>
      <c r="AI2521" s="960">
        <f t="array" ref="AI2521">HLOOKUP($J2521,'Type Chart'!$C$2:$T$20,16,false)*HLOOKUP($K2521,'Type Chart'!$C$2:$U$20,16,false)</f>
        <v>1</v>
      </c>
      <c r="AJ2521" s="960">
        <f t="array" ref="AJ2521">HLOOKUP($J2521,'Type Chart'!$C$2:$T$20,17,false)*HLOOKUP($K2521,'Type Chart'!$C$2:$U$20,17,false)</f>
        <v>1</v>
      </c>
      <c r="AK2521" s="960">
        <f t="array" ref="AK2521">HLOOKUP($J2521,'Type Chart'!$C$2:$T$20,18,false)*HLOOKUP($K2521,'Type Chart'!$C$2:$U$20,18,false)</f>
        <v>2</v>
      </c>
      <c r="AL2521" s="960">
        <f t="array" ref="AL2521">HLOOKUP($J2521,'Type Chart'!$C$2:$T$20,19,false)*HLOOKUP($K2521,'Type Chart'!$C$2:$U$20,19,false)</f>
        <v>1</v>
      </c>
      <c r="AM2521" s="1243"/>
      <c r="AN2521" s="1244"/>
      <c r="AO2521" s="1244"/>
      <c r="AP2521" s="936"/>
      <c r="AQ2521" s="1245"/>
      <c r="AR2521" s="1245"/>
      <c r="AS2521" s="936"/>
    </row>
    <row r="2522" ht="15.75" customHeight="1">
      <c r="A2522" s="1099"/>
      <c r="B2522" s="1240"/>
      <c r="C2522" s="1197" t="s">
        <v>4361</v>
      </c>
      <c r="D2522" s="1197" t="s">
        <v>4361</v>
      </c>
      <c r="E2522" s="1147" t="s">
        <v>4361</v>
      </c>
      <c r="F2522" s="940"/>
      <c r="G2522" s="953"/>
      <c r="H2522" s="969"/>
      <c r="I2522" s="998" t="s">
        <v>5612</v>
      </c>
      <c r="J2522" s="1206" t="s">
        <v>82</v>
      </c>
      <c r="K2522" s="1239" t="s">
        <v>344</v>
      </c>
      <c r="L2522" s="1237">
        <v>90.0</v>
      </c>
      <c r="M2522" s="1238">
        <v>72.0</v>
      </c>
      <c r="N2522" s="1238">
        <v>100.0</v>
      </c>
      <c r="O2522" s="1238">
        <v>122.0</v>
      </c>
      <c r="P2522" s="1238">
        <v>108.0</v>
      </c>
      <c r="Q2522" s="1238">
        <v>98.0</v>
      </c>
      <c r="R2522" s="960">
        <v>232.0</v>
      </c>
      <c r="S2522" s="960">
        <v>295.0</v>
      </c>
      <c r="T2522" s="960">
        <v>324.0</v>
      </c>
      <c r="U2522" s="960">
        <f t="array" ref="U2522">HLOOKUP($J2522,'Type Chart'!$C$2:$T$20,2,false)*HLOOKUP($K2522,'Type Chart'!$C$2:$U$20,2,false)</f>
        <v>0.5</v>
      </c>
      <c r="V2522" s="960">
        <f t="array" ref="V2522">HLOOKUP($J2522,'Type Chart'!$C$2:$T$20,3,false)*HLOOKUP($K2522,'Type Chart'!$C$2:$U$20,3,false)</f>
        <v>1</v>
      </c>
      <c r="W2522" s="960">
        <f t="array" ref="W2522">HLOOKUP($J2522,'Type Chart'!$C$2:$T$20,4,false)*HLOOKUP($K2522,'Type Chart'!$C$2:$U$20,4,false)</f>
        <v>0.5</v>
      </c>
      <c r="X2522" s="960">
        <f t="array" ref="X2522">HLOOKUP($J2522,'Type Chart'!$C$2:$T$20,5,false)*HLOOKUP($K2522,'Type Chart'!$C$2:$U$20,5,false)</f>
        <v>0</v>
      </c>
      <c r="Y2522" s="960">
        <f t="array" ref="Y2522">HLOOKUP($J2522,'Type Chart'!$C$2:$T$20,6,false)*HLOOKUP($K2522,'Type Chart'!$C$2:$U$20,6,false)</f>
        <v>2</v>
      </c>
      <c r="Z2522" s="960">
        <f t="array" ref="Z2522">HLOOKUP($J2522,'Type Chart'!$C$2:$T$20,7,false)*HLOOKUP($K2522,'Type Chart'!$C$2:$U$20,7,false)</f>
        <v>0.5</v>
      </c>
      <c r="AA2522" s="960">
        <f t="array" ref="AA2522">HLOOKUP($J2522,'Type Chart'!$C$2:$T$20,8,false)*HLOOKUP($K2522,'Type Chart'!$C$2:$U$20,8,false)</f>
        <v>1</v>
      </c>
      <c r="AB2522" s="960">
        <f t="array" ref="AB2522">HLOOKUP($J2522,'Type Chart'!$C$2:$T$20,9,false)*HLOOKUP($K2522,'Type Chart'!$C$2:$U$20,9,false)</f>
        <v>2</v>
      </c>
      <c r="AC2522" s="960">
        <f t="array" ref="AC2522">HLOOKUP($J2522,'Type Chart'!$C$2:$T$20,10,false)*HLOOKUP($K2522,'Type Chart'!$C$2:$U$20,10,false)</f>
        <v>0.5</v>
      </c>
      <c r="AD2522" s="960">
        <f t="array" ref="AD2522">HLOOKUP($J2522,'Type Chart'!$C$2:$T$20,11,false)*HLOOKUP($K2522,'Type Chart'!$C$2:$U$20,11,false)</f>
        <v>2</v>
      </c>
      <c r="AE2522" s="960">
        <f t="array" ref="AE2522">HLOOKUP($J2522,'Type Chart'!$C$2:$T$20,12,false)*HLOOKUP($K2522,'Type Chart'!$C$2:$U$20,12,false)</f>
        <v>1</v>
      </c>
      <c r="AF2522" s="960">
        <f t="array" ref="AF2522">HLOOKUP($J2522,'Type Chart'!$C$2:$T$20,13,false)*HLOOKUP($K2522,'Type Chart'!$C$2:$U$20,13,false)</f>
        <v>0.5</v>
      </c>
      <c r="AG2522" s="960">
        <f t="array" ref="AG2522">HLOOKUP($J2522,'Type Chart'!$C$2:$T$20,14,false)*HLOOKUP($K2522,'Type Chart'!$C$2:$U$20,14,false)</f>
        <v>1</v>
      </c>
      <c r="AH2522" s="960">
        <f t="array" ref="AH2522">HLOOKUP($J2522,'Type Chart'!$C$2:$T$20,15,false)*HLOOKUP($K2522,'Type Chart'!$C$2:$U$20,15,false)</f>
        <v>0.25</v>
      </c>
      <c r="AI2522" s="960">
        <f t="array" ref="AI2522">HLOOKUP($J2522,'Type Chart'!$C$2:$T$20,16,false)*HLOOKUP($K2522,'Type Chart'!$C$2:$U$20,16,false)</f>
        <v>0.5</v>
      </c>
      <c r="AJ2522" s="960">
        <f t="array" ref="AJ2522">HLOOKUP($J2522,'Type Chart'!$C$2:$T$20,17,false)*HLOOKUP($K2522,'Type Chart'!$C$2:$U$20,17,false)</f>
        <v>0.5</v>
      </c>
      <c r="AK2522" s="960">
        <f t="array" ref="AK2522">HLOOKUP($J2522,'Type Chart'!$C$2:$T$20,18,false)*HLOOKUP($K2522,'Type Chart'!$C$2:$U$20,18,false)</f>
        <v>2</v>
      </c>
      <c r="AL2522" s="960">
        <f t="array" ref="AL2522">HLOOKUP($J2522,'Type Chart'!$C$2:$T$20,19,false)*HLOOKUP($K2522,'Type Chart'!$C$2:$U$20,19,false)</f>
        <v>0.5</v>
      </c>
      <c r="AM2522" s="1243"/>
      <c r="AN2522" s="1244"/>
      <c r="AO2522" s="1244"/>
      <c r="AP2522" s="936"/>
      <c r="AQ2522" s="1245"/>
      <c r="AR2522" s="1245"/>
      <c r="AS2522" s="936"/>
    </row>
    <row r="2523" ht="15.75" customHeight="1">
      <c r="A2523" s="1099"/>
      <c r="B2523" s="1240"/>
      <c r="C2523" s="1197" t="s">
        <v>4363</v>
      </c>
      <c r="D2523" s="1197" t="s">
        <v>4363</v>
      </c>
      <c r="E2523" s="1147" t="s">
        <v>4363</v>
      </c>
      <c r="F2523" s="940"/>
      <c r="G2523" s="953"/>
      <c r="H2523" s="969"/>
      <c r="I2523" s="998" t="s">
        <v>5613</v>
      </c>
      <c r="J2523" s="1239" t="s">
        <v>136</v>
      </c>
      <c r="K2523" s="1239" t="s">
        <v>216</v>
      </c>
      <c r="L2523" s="1237">
        <v>90.0</v>
      </c>
      <c r="M2523" s="1238">
        <v>65.0</v>
      </c>
      <c r="N2523" s="1238">
        <v>85.0</v>
      </c>
      <c r="O2523" s="1238">
        <v>65.0</v>
      </c>
      <c r="P2523" s="1238">
        <v>85.0</v>
      </c>
      <c r="Q2523" s="1238">
        <v>60.0</v>
      </c>
      <c r="R2523" s="960">
        <v>156.0</v>
      </c>
      <c r="S2523" s="960">
        <v>219.0</v>
      </c>
      <c r="T2523" s="960">
        <v>240.0</v>
      </c>
      <c r="U2523" s="960">
        <f t="array" ref="U2523">HLOOKUP($J2523,'Type Chart'!$C$2:$T$20,2,false)*HLOOKUP($K2523,'Type Chart'!$C$2:$U$20,2,false)</f>
        <v>1</v>
      </c>
      <c r="V2523" s="960">
        <f t="array" ref="V2523">HLOOKUP($J2523,'Type Chart'!$C$2:$T$20,3,false)*HLOOKUP($K2523,'Type Chart'!$C$2:$U$20,3,false)</f>
        <v>2</v>
      </c>
      <c r="W2523" s="960">
        <f t="array" ref="W2523">HLOOKUP($J2523,'Type Chart'!$C$2:$T$20,4,false)*HLOOKUP($K2523,'Type Chart'!$C$2:$U$20,4,false)</f>
        <v>1</v>
      </c>
      <c r="X2523" s="960">
        <f t="array" ref="X2523">HLOOKUP($J2523,'Type Chart'!$C$2:$T$20,5,false)*HLOOKUP($K2523,'Type Chart'!$C$2:$U$20,5,false)</f>
        <v>1</v>
      </c>
      <c r="Y2523" s="960">
        <f t="array" ref="Y2523">HLOOKUP($J2523,'Type Chart'!$C$2:$T$20,6,false)*HLOOKUP($K2523,'Type Chart'!$C$2:$U$20,6,false)</f>
        <v>1</v>
      </c>
      <c r="Z2523" s="960">
        <f t="array" ref="Z2523">HLOOKUP($J2523,'Type Chart'!$C$2:$T$20,7,false)*HLOOKUP($K2523,'Type Chart'!$C$2:$U$20,7,false)</f>
        <v>1</v>
      </c>
      <c r="AA2523" s="960">
        <f t="array" ref="AA2523">HLOOKUP($J2523,'Type Chart'!$C$2:$T$20,8,false)*HLOOKUP($K2523,'Type Chart'!$C$2:$U$20,8,false)</f>
        <v>1</v>
      </c>
      <c r="AB2523" s="960">
        <f t="array" ref="AB2523">HLOOKUP($J2523,'Type Chart'!$C$2:$T$20,9,false)*HLOOKUP($K2523,'Type Chart'!$C$2:$U$20,9,false)</f>
        <v>0</v>
      </c>
      <c r="AC2523" s="960">
        <f t="array" ref="AC2523">HLOOKUP($J2523,'Type Chart'!$C$2:$T$20,10,false)*HLOOKUP($K2523,'Type Chart'!$C$2:$U$20,10,false)</f>
        <v>1</v>
      </c>
      <c r="AD2523" s="960">
        <f t="array" ref="AD2523">HLOOKUP($J2523,'Type Chart'!$C$2:$T$20,11,false)*HLOOKUP($K2523,'Type Chart'!$C$2:$U$20,11,false)</f>
        <v>1</v>
      </c>
      <c r="AE2523" s="960">
        <f t="array" ref="AE2523">HLOOKUP($J2523,'Type Chart'!$C$2:$T$20,12,false)*HLOOKUP($K2523,'Type Chart'!$C$2:$U$20,12,false)</f>
        <v>1</v>
      </c>
      <c r="AF2523" s="960">
        <f t="array" ref="AF2523">HLOOKUP($J2523,'Type Chart'!$C$2:$T$20,13,false)*HLOOKUP($K2523,'Type Chart'!$C$2:$U$20,13,false)</f>
        <v>1</v>
      </c>
      <c r="AG2523" s="960">
        <f t="array" ref="AG2523">HLOOKUP($J2523,'Type Chart'!$C$2:$T$20,14,false)*HLOOKUP($K2523,'Type Chart'!$C$2:$U$20,14,false)</f>
        <v>1</v>
      </c>
      <c r="AH2523" s="960">
        <f t="array" ref="AH2523">HLOOKUP($J2523,'Type Chart'!$C$2:$T$20,15,false)*HLOOKUP($K2523,'Type Chart'!$C$2:$U$20,15,false)</f>
        <v>1</v>
      </c>
      <c r="AI2523" s="960">
        <f t="array" ref="AI2523">HLOOKUP($J2523,'Type Chart'!$C$2:$T$20,16,false)*HLOOKUP($K2523,'Type Chart'!$C$2:$U$20,16,false)</f>
        <v>1</v>
      </c>
      <c r="AJ2523" s="960">
        <f t="array" ref="AJ2523">HLOOKUP($J2523,'Type Chart'!$C$2:$T$20,17,false)*HLOOKUP($K2523,'Type Chart'!$C$2:$U$20,17,false)</f>
        <v>1</v>
      </c>
      <c r="AK2523" s="960">
        <f t="array" ref="AK2523">HLOOKUP($J2523,'Type Chart'!$C$2:$T$20,18,false)*HLOOKUP($K2523,'Type Chart'!$C$2:$U$20,18,false)</f>
        <v>1</v>
      </c>
      <c r="AL2523" s="960">
        <f t="array" ref="AL2523">HLOOKUP($J2523,'Type Chart'!$C$2:$T$20,19,false)*HLOOKUP($K2523,'Type Chart'!$C$2:$U$20,19,false)</f>
        <v>1</v>
      </c>
      <c r="AM2523" s="1243"/>
      <c r="AN2523" s="1244"/>
      <c r="AO2523" s="1244"/>
      <c r="AP2523" s="936"/>
      <c r="AQ2523" s="1245"/>
      <c r="AR2523" s="1245"/>
      <c r="AS2523" s="936"/>
    </row>
    <row r="2524" ht="15.75" customHeight="1">
      <c r="A2524" s="1099"/>
      <c r="B2524" s="1240"/>
      <c r="C2524" s="1197" t="s">
        <v>4364</v>
      </c>
      <c r="D2524" s="1197" t="s">
        <v>4364</v>
      </c>
      <c r="E2524" s="1147" t="s">
        <v>4364</v>
      </c>
      <c r="F2524" s="940"/>
      <c r="G2524" s="953"/>
      <c r="H2524" s="969"/>
      <c r="I2524" s="998" t="s">
        <v>5614</v>
      </c>
      <c r="J2524" s="1239" t="s">
        <v>136</v>
      </c>
      <c r="K2524" s="1239" t="s">
        <v>216</v>
      </c>
      <c r="L2524" s="1237">
        <v>95.0</v>
      </c>
      <c r="M2524" s="1238">
        <v>95.0</v>
      </c>
      <c r="N2524" s="1238">
        <v>110.0</v>
      </c>
      <c r="O2524" s="1238">
        <v>105.0</v>
      </c>
      <c r="P2524" s="1238">
        <v>110.0</v>
      </c>
      <c r="Q2524" s="1238">
        <v>85.0</v>
      </c>
      <c r="R2524" s="960">
        <v>206.0</v>
      </c>
      <c r="S2524" s="960">
        <v>269.0</v>
      </c>
      <c r="T2524" s="960">
        <v>295.0</v>
      </c>
      <c r="U2524" s="960">
        <f t="array" ref="U2524">HLOOKUP($J2524,'Type Chart'!$C$2:$T$20,2,false)*HLOOKUP($K2524,'Type Chart'!$C$2:$U$20,2,false)</f>
        <v>1</v>
      </c>
      <c r="V2524" s="960">
        <f t="array" ref="V2524">HLOOKUP($J2524,'Type Chart'!$C$2:$T$20,3,false)*HLOOKUP($K2524,'Type Chart'!$C$2:$U$20,3,false)</f>
        <v>2</v>
      </c>
      <c r="W2524" s="960">
        <f t="array" ref="W2524">HLOOKUP($J2524,'Type Chart'!$C$2:$T$20,4,false)*HLOOKUP($K2524,'Type Chart'!$C$2:$U$20,4,false)</f>
        <v>1</v>
      </c>
      <c r="X2524" s="960">
        <f t="array" ref="X2524">HLOOKUP($J2524,'Type Chart'!$C$2:$T$20,5,false)*HLOOKUP($K2524,'Type Chart'!$C$2:$U$20,5,false)</f>
        <v>1</v>
      </c>
      <c r="Y2524" s="960">
        <f t="array" ref="Y2524">HLOOKUP($J2524,'Type Chart'!$C$2:$T$20,6,false)*HLOOKUP($K2524,'Type Chart'!$C$2:$U$20,6,false)</f>
        <v>1</v>
      </c>
      <c r="Z2524" s="960">
        <f t="array" ref="Z2524">HLOOKUP($J2524,'Type Chart'!$C$2:$T$20,7,false)*HLOOKUP($K2524,'Type Chart'!$C$2:$U$20,7,false)</f>
        <v>1</v>
      </c>
      <c r="AA2524" s="960">
        <f t="array" ref="AA2524">HLOOKUP($J2524,'Type Chart'!$C$2:$T$20,8,false)*HLOOKUP($K2524,'Type Chart'!$C$2:$U$20,8,false)</f>
        <v>1</v>
      </c>
      <c r="AB2524" s="960">
        <f t="array" ref="AB2524">HLOOKUP($J2524,'Type Chart'!$C$2:$T$20,9,false)*HLOOKUP($K2524,'Type Chart'!$C$2:$U$20,9,false)</f>
        <v>0</v>
      </c>
      <c r="AC2524" s="960">
        <f t="array" ref="AC2524">HLOOKUP($J2524,'Type Chart'!$C$2:$T$20,10,false)*HLOOKUP($K2524,'Type Chart'!$C$2:$U$20,10,false)</f>
        <v>1</v>
      </c>
      <c r="AD2524" s="960">
        <f t="array" ref="AD2524">HLOOKUP($J2524,'Type Chart'!$C$2:$T$20,11,false)*HLOOKUP($K2524,'Type Chart'!$C$2:$U$20,11,false)</f>
        <v>1</v>
      </c>
      <c r="AE2524" s="960">
        <f t="array" ref="AE2524">HLOOKUP($J2524,'Type Chart'!$C$2:$T$20,12,false)*HLOOKUP($K2524,'Type Chart'!$C$2:$U$20,12,false)</f>
        <v>1</v>
      </c>
      <c r="AF2524" s="960">
        <f t="array" ref="AF2524">HLOOKUP($J2524,'Type Chart'!$C$2:$T$20,13,false)*HLOOKUP($K2524,'Type Chart'!$C$2:$U$20,13,false)</f>
        <v>1</v>
      </c>
      <c r="AG2524" s="960">
        <f t="array" ref="AG2524">HLOOKUP($J2524,'Type Chart'!$C$2:$T$20,14,false)*HLOOKUP($K2524,'Type Chart'!$C$2:$U$20,14,false)</f>
        <v>1</v>
      </c>
      <c r="AH2524" s="960">
        <f t="array" ref="AH2524">HLOOKUP($J2524,'Type Chart'!$C$2:$T$20,15,false)*HLOOKUP($K2524,'Type Chart'!$C$2:$U$20,15,false)</f>
        <v>1</v>
      </c>
      <c r="AI2524" s="960">
        <f t="array" ref="AI2524">HLOOKUP($J2524,'Type Chart'!$C$2:$T$20,16,false)*HLOOKUP($K2524,'Type Chart'!$C$2:$U$20,16,false)</f>
        <v>1</v>
      </c>
      <c r="AJ2524" s="960">
        <f t="array" ref="AJ2524">HLOOKUP($J2524,'Type Chart'!$C$2:$T$20,17,false)*HLOOKUP($K2524,'Type Chart'!$C$2:$U$20,17,false)</f>
        <v>1</v>
      </c>
      <c r="AK2524" s="960">
        <f t="array" ref="AK2524">HLOOKUP($J2524,'Type Chart'!$C$2:$T$20,18,false)*HLOOKUP($K2524,'Type Chart'!$C$2:$U$20,18,false)</f>
        <v>1</v>
      </c>
      <c r="AL2524" s="960">
        <f t="array" ref="AL2524">HLOOKUP($J2524,'Type Chart'!$C$2:$T$20,19,false)*HLOOKUP($K2524,'Type Chart'!$C$2:$U$20,19,false)</f>
        <v>1</v>
      </c>
      <c r="AM2524" s="1243"/>
      <c r="AN2524" s="1244"/>
      <c r="AO2524" s="1244"/>
      <c r="AP2524" s="936"/>
      <c r="AQ2524" s="1245"/>
      <c r="AR2524" s="1245"/>
      <c r="AS2524" s="936"/>
    </row>
    <row r="2525" ht="15.75" customHeight="1">
      <c r="A2525" s="1099"/>
      <c r="B2525" s="1240"/>
      <c r="C2525" s="1197" t="s">
        <v>4365</v>
      </c>
      <c r="D2525" s="1197" t="s">
        <v>4365</v>
      </c>
      <c r="E2525" s="1147" t="s">
        <v>4365</v>
      </c>
      <c r="F2525" s="940"/>
      <c r="G2525" s="953"/>
      <c r="H2525" s="969"/>
      <c r="I2525" s="998" t="s">
        <v>5615</v>
      </c>
      <c r="J2525" s="1239" t="s">
        <v>136</v>
      </c>
      <c r="K2525" s="1239" t="s">
        <v>216</v>
      </c>
      <c r="L2525" s="1237">
        <v>160.0</v>
      </c>
      <c r="M2525" s="1238">
        <v>105.0</v>
      </c>
      <c r="N2525" s="1238">
        <v>110.0</v>
      </c>
      <c r="O2525" s="1238">
        <v>130.0</v>
      </c>
      <c r="P2525" s="1238">
        <v>110.0</v>
      </c>
      <c r="Q2525" s="1238">
        <v>85.0</v>
      </c>
      <c r="R2525" s="960">
        <v>206.0</v>
      </c>
      <c r="S2525" s="960">
        <v>269.0</v>
      </c>
      <c r="T2525" s="960">
        <v>295.0</v>
      </c>
      <c r="U2525" s="960">
        <f t="array" ref="U2525">HLOOKUP($J2525,'Type Chart'!$C$2:$T$20,2,false)*HLOOKUP($K2525,'Type Chart'!$C$2:$U$20,2,false)</f>
        <v>1</v>
      </c>
      <c r="V2525" s="960">
        <f t="array" ref="V2525">HLOOKUP($J2525,'Type Chart'!$C$2:$T$20,3,false)*HLOOKUP($K2525,'Type Chart'!$C$2:$U$20,3,false)</f>
        <v>2</v>
      </c>
      <c r="W2525" s="960">
        <f t="array" ref="W2525">HLOOKUP($J2525,'Type Chart'!$C$2:$T$20,4,false)*HLOOKUP($K2525,'Type Chart'!$C$2:$U$20,4,false)</f>
        <v>1</v>
      </c>
      <c r="X2525" s="960">
        <f t="array" ref="X2525">HLOOKUP($J2525,'Type Chart'!$C$2:$T$20,5,false)*HLOOKUP($K2525,'Type Chart'!$C$2:$U$20,5,false)</f>
        <v>1</v>
      </c>
      <c r="Y2525" s="960">
        <f t="array" ref="Y2525">HLOOKUP($J2525,'Type Chart'!$C$2:$T$20,6,false)*HLOOKUP($K2525,'Type Chart'!$C$2:$U$20,6,false)</f>
        <v>1</v>
      </c>
      <c r="Z2525" s="960">
        <f t="array" ref="Z2525">HLOOKUP($J2525,'Type Chart'!$C$2:$T$20,7,false)*HLOOKUP($K2525,'Type Chart'!$C$2:$U$20,7,false)</f>
        <v>1</v>
      </c>
      <c r="AA2525" s="960">
        <f t="array" ref="AA2525">HLOOKUP($J2525,'Type Chart'!$C$2:$T$20,8,false)*HLOOKUP($K2525,'Type Chart'!$C$2:$U$20,8,false)</f>
        <v>1</v>
      </c>
      <c r="AB2525" s="960">
        <f t="array" ref="AB2525">HLOOKUP($J2525,'Type Chart'!$C$2:$T$20,9,false)*HLOOKUP($K2525,'Type Chart'!$C$2:$U$20,9,false)</f>
        <v>0</v>
      </c>
      <c r="AC2525" s="960">
        <f t="array" ref="AC2525">HLOOKUP($J2525,'Type Chart'!$C$2:$T$20,10,false)*HLOOKUP($K2525,'Type Chart'!$C$2:$U$20,10,false)</f>
        <v>1</v>
      </c>
      <c r="AD2525" s="960">
        <f t="array" ref="AD2525">HLOOKUP($J2525,'Type Chart'!$C$2:$T$20,11,false)*HLOOKUP($K2525,'Type Chart'!$C$2:$U$20,11,false)</f>
        <v>1</v>
      </c>
      <c r="AE2525" s="960">
        <f t="array" ref="AE2525">HLOOKUP($J2525,'Type Chart'!$C$2:$T$20,12,false)*HLOOKUP($K2525,'Type Chart'!$C$2:$U$20,12,false)</f>
        <v>1</v>
      </c>
      <c r="AF2525" s="960">
        <f t="array" ref="AF2525">HLOOKUP($J2525,'Type Chart'!$C$2:$T$20,13,false)*HLOOKUP($K2525,'Type Chart'!$C$2:$U$20,13,false)</f>
        <v>1</v>
      </c>
      <c r="AG2525" s="960">
        <f t="array" ref="AG2525">HLOOKUP($J2525,'Type Chart'!$C$2:$T$20,14,false)*HLOOKUP($K2525,'Type Chart'!$C$2:$U$20,14,false)</f>
        <v>1</v>
      </c>
      <c r="AH2525" s="960">
        <f t="array" ref="AH2525">HLOOKUP($J2525,'Type Chart'!$C$2:$T$20,15,false)*HLOOKUP($K2525,'Type Chart'!$C$2:$U$20,15,false)</f>
        <v>1</v>
      </c>
      <c r="AI2525" s="960">
        <f t="array" ref="AI2525">HLOOKUP($J2525,'Type Chart'!$C$2:$T$20,16,false)*HLOOKUP($K2525,'Type Chart'!$C$2:$U$20,16,false)</f>
        <v>1</v>
      </c>
      <c r="AJ2525" s="960">
        <f t="array" ref="AJ2525">HLOOKUP($J2525,'Type Chart'!$C$2:$T$20,17,false)*HLOOKUP($K2525,'Type Chart'!$C$2:$U$20,17,false)</f>
        <v>1</v>
      </c>
      <c r="AK2525" s="960">
        <f t="array" ref="AK2525">HLOOKUP($J2525,'Type Chart'!$C$2:$T$20,18,false)*HLOOKUP($K2525,'Type Chart'!$C$2:$U$20,18,false)</f>
        <v>1</v>
      </c>
      <c r="AL2525" s="960">
        <f t="array" ref="AL2525">HLOOKUP($J2525,'Type Chart'!$C$2:$T$20,19,false)*HLOOKUP($K2525,'Type Chart'!$C$2:$U$20,19,false)</f>
        <v>1</v>
      </c>
      <c r="AM2525" s="1243"/>
      <c r="AN2525" s="1244"/>
      <c r="AO2525" s="1244"/>
      <c r="AP2525" s="936"/>
      <c r="AQ2525" s="1245"/>
      <c r="AR2525" s="1245"/>
      <c r="AS2525" s="936"/>
    </row>
    <row r="2526" ht="15.75" customHeight="1">
      <c r="A2526" s="1099"/>
      <c r="B2526" s="1240"/>
      <c r="C2526" s="1197" t="s">
        <v>4366</v>
      </c>
      <c r="D2526" s="1197" t="s">
        <v>4366</v>
      </c>
      <c r="E2526" s="1147" t="s">
        <v>4366</v>
      </c>
      <c r="F2526" s="940"/>
      <c r="G2526" s="953"/>
      <c r="H2526" s="969"/>
      <c r="I2526" s="998" t="s">
        <v>5616</v>
      </c>
      <c r="J2526" s="1239" t="s">
        <v>178</v>
      </c>
      <c r="K2526" s="1239" t="s">
        <v>215</v>
      </c>
      <c r="L2526" s="1237">
        <v>88.0</v>
      </c>
      <c r="M2526" s="1238">
        <v>88.0</v>
      </c>
      <c r="N2526" s="1238">
        <v>88.0</v>
      </c>
      <c r="O2526" s="1238">
        <v>88.0</v>
      </c>
      <c r="P2526" s="1238">
        <v>88.0</v>
      </c>
      <c r="Q2526" s="1238">
        <v>88.0</v>
      </c>
      <c r="R2526" s="960">
        <v>212.0</v>
      </c>
      <c r="S2526" s="960">
        <v>275.0</v>
      </c>
      <c r="T2526" s="960">
        <v>302.0</v>
      </c>
      <c r="U2526" s="960">
        <f t="array" ref="U2526">HLOOKUP($J2526,'Type Chart'!$C$2:$T$20,2,false)*HLOOKUP($K2526,'Type Chart'!$C$2:$U$20,2,false)</f>
        <v>0</v>
      </c>
      <c r="V2526" s="960">
        <f t="array" ref="V2526">HLOOKUP($J2526,'Type Chart'!$C$2:$T$20,3,false)*HLOOKUP($K2526,'Type Chart'!$C$2:$U$20,3,false)</f>
        <v>0</v>
      </c>
      <c r="W2526" s="960">
        <f t="array" ref="W2526">HLOOKUP($J2526,'Type Chart'!$C$2:$T$20,4,false)*HLOOKUP($K2526,'Type Chart'!$C$2:$U$20,4,false)</f>
        <v>1</v>
      </c>
      <c r="X2526" s="960">
        <f t="array" ref="X2526">HLOOKUP($J2526,'Type Chart'!$C$2:$T$20,5,false)*HLOOKUP($K2526,'Type Chart'!$C$2:$U$20,5,false)</f>
        <v>0.25</v>
      </c>
      <c r="Y2526" s="960">
        <f t="array" ref="Y2526">HLOOKUP($J2526,'Type Chart'!$C$2:$T$20,6,false)*HLOOKUP($K2526,'Type Chart'!$C$2:$U$20,6,false)</f>
        <v>2</v>
      </c>
      <c r="Z2526" s="960">
        <f t="array" ref="Z2526">HLOOKUP($J2526,'Type Chart'!$C$2:$T$20,7,false)*HLOOKUP($K2526,'Type Chart'!$C$2:$U$20,7,false)</f>
        <v>1</v>
      </c>
      <c r="AA2526" s="960">
        <f t="array" ref="AA2526">HLOOKUP($J2526,'Type Chart'!$C$2:$T$20,8,false)*HLOOKUP($K2526,'Type Chart'!$C$2:$U$20,8,false)</f>
        <v>0.25</v>
      </c>
      <c r="AB2526" s="960">
        <f t="array" ref="AB2526">HLOOKUP($J2526,'Type Chart'!$C$2:$T$20,9,false)*HLOOKUP($K2526,'Type Chart'!$C$2:$U$20,9,false)</f>
        <v>2</v>
      </c>
      <c r="AC2526" s="960">
        <f t="array" ref="AC2526">HLOOKUP($J2526,'Type Chart'!$C$2:$T$20,10,false)*HLOOKUP($K2526,'Type Chart'!$C$2:$U$20,10,false)</f>
        <v>1</v>
      </c>
      <c r="AD2526" s="960">
        <f t="array" ref="AD2526">HLOOKUP($J2526,'Type Chart'!$C$2:$T$20,11,false)*HLOOKUP($K2526,'Type Chart'!$C$2:$U$20,11,false)</f>
        <v>1</v>
      </c>
      <c r="AE2526" s="960">
        <f t="array" ref="AE2526">HLOOKUP($J2526,'Type Chart'!$C$2:$T$20,12,false)*HLOOKUP($K2526,'Type Chart'!$C$2:$U$20,12,false)</f>
        <v>1</v>
      </c>
      <c r="AF2526" s="960">
        <f t="array" ref="AF2526">HLOOKUP($J2526,'Type Chart'!$C$2:$T$20,13,false)*HLOOKUP($K2526,'Type Chart'!$C$2:$U$20,13,false)</f>
        <v>0.5</v>
      </c>
      <c r="AG2526" s="960">
        <f t="array" ref="AG2526">HLOOKUP($J2526,'Type Chart'!$C$2:$T$20,14,false)*HLOOKUP($K2526,'Type Chart'!$C$2:$U$20,14,false)</f>
        <v>1</v>
      </c>
      <c r="AH2526" s="960">
        <f t="array" ref="AH2526">HLOOKUP($J2526,'Type Chart'!$C$2:$T$20,15,false)*HLOOKUP($K2526,'Type Chart'!$C$2:$U$20,15,false)</f>
        <v>2</v>
      </c>
      <c r="AI2526" s="960">
        <f t="array" ref="AI2526">HLOOKUP($J2526,'Type Chart'!$C$2:$T$20,16,false)*HLOOKUP($K2526,'Type Chart'!$C$2:$U$20,16,false)</f>
        <v>1</v>
      </c>
      <c r="AJ2526" s="960">
        <f t="array" ref="AJ2526">HLOOKUP($J2526,'Type Chart'!$C$2:$T$20,17,false)*HLOOKUP($K2526,'Type Chart'!$C$2:$U$20,17,false)</f>
        <v>1</v>
      </c>
      <c r="AK2526" s="960">
        <f t="array" ref="AK2526">HLOOKUP($J2526,'Type Chart'!$C$2:$T$20,18,false)*HLOOKUP($K2526,'Type Chart'!$C$2:$U$20,18,false)</f>
        <v>2</v>
      </c>
      <c r="AL2526" s="960">
        <f t="array" ref="AL2526">HLOOKUP($J2526,'Type Chart'!$C$2:$T$20,19,false)*HLOOKUP($K2526,'Type Chart'!$C$2:$U$20,19,false)</f>
        <v>0.5</v>
      </c>
      <c r="AM2526" s="1243"/>
      <c r="AN2526" s="1244"/>
      <c r="AO2526" s="1244"/>
      <c r="AP2526" s="936"/>
      <c r="AQ2526" s="1245"/>
      <c r="AR2526" s="1245"/>
      <c r="AS2526" s="936"/>
    </row>
    <row r="2527" ht="15.75" customHeight="1">
      <c r="A2527" s="1099"/>
      <c r="B2527" s="1248"/>
      <c r="C2527" s="1249"/>
      <c r="D2527" s="1249"/>
      <c r="E2527" s="1249"/>
      <c r="F2527" s="940"/>
      <c r="G2527" s="953"/>
      <c r="H2527" s="1241"/>
      <c r="I2527" s="1250"/>
      <c r="J2527" s="1251"/>
      <c r="K2527" s="1251"/>
      <c r="L2527" s="1200"/>
      <c r="M2527" s="1201"/>
      <c r="N2527" s="1201"/>
      <c r="O2527" s="1201"/>
      <c r="P2527" s="1201"/>
      <c r="Q2527" s="1201"/>
      <c r="R2527" s="960" t="s">
        <v>230</v>
      </c>
      <c r="S2527" s="960" t="s">
        <v>230</v>
      </c>
      <c r="T2527" s="960" t="s">
        <v>230</v>
      </c>
      <c r="U2527" s="1252"/>
      <c r="V2527" s="1252"/>
      <c r="W2527" s="1252"/>
      <c r="X2527" s="1252"/>
      <c r="Y2527" s="1252"/>
      <c r="Z2527" s="1252"/>
      <c r="AA2527" s="1252"/>
      <c r="AB2527" s="1252"/>
      <c r="AC2527" s="1252"/>
      <c r="AD2527" s="1252"/>
      <c r="AE2527" s="1252"/>
      <c r="AF2527" s="1252"/>
      <c r="AG2527" s="1252"/>
      <c r="AH2527" s="1252"/>
      <c r="AI2527" s="1252"/>
      <c r="AJ2527" s="1252"/>
      <c r="AK2527" s="1252"/>
      <c r="AL2527" s="1252"/>
      <c r="AM2527" s="1243"/>
      <c r="AN2527" s="1244"/>
      <c r="AO2527" s="1244"/>
      <c r="AP2527" s="936"/>
      <c r="AQ2527" s="1245"/>
      <c r="AR2527" s="1245"/>
      <c r="AS2527" s="936"/>
    </row>
    <row r="2528" ht="15.75" customHeight="1">
      <c r="A2528" s="1099"/>
      <c r="B2528" s="1248"/>
      <c r="C2528" s="1249"/>
      <c r="D2528" s="1249"/>
      <c r="E2528" s="1249"/>
      <c r="F2528" s="940"/>
      <c r="G2528" s="953"/>
      <c r="H2528" s="1241"/>
      <c r="I2528" s="1250"/>
      <c r="J2528" s="1251"/>
      <c r="K2528" s="1251"/>
      <c r="L2528" s="1200"/>
      <c r="M2528" s="1201"/>
      <c r="N2528" s="1201"/>
      <c r="O2528" s="1201"/>
      <c r="P2528" s="1201"/>
      <c r="Q2528" s="1201"/>
      <c r="R2528" s="960" t="s">
        <v>230</v>
      </c>
      <c r="S2528" s="960" t="s">
        <v>230</v>
      </c>
      <c r="T2528" s="960" t="s">
        <v>230</v>
      </c>
      <c r="U2528" s="1252"/>
      <c r="V2528" s="1252"/>
      <c r="W2528" s="1252"/>
      <c r="X2528" s="1252"/>
      <c r="Y2528" s="1252"/>
      <c r="Z2528" s="1252"/>
      <c r="AA2528" s="1252"/>
      <c r="AB2528" s="1252"/>
      <c r="AC2528" s="1252"/>
      <c r="AD2528" s="1252"/>
      <c r="AE2528" s="1252"/>
      <c r="AF2528" s="1252"/>
      <c r="AG2528" s="1252"/>
      <c r="AH2528" s="1252"/>
      <c r="AI2528" s="1252"/>
      <c r="AJ2528" s="1252"/>
      <c r="AK2528" s="1252"/>
      <c r="AL2528" s="1252"/>
      <c r="AM2528" s="1243"/>
      <c r="AN2528" s="1244"/>
      <c r="AO2528" s="1244"/>
      <c r="AP2528" s="936"/>
      <c r="AQ2528" s="1245"/>
      <c r="AR2528" s="1245"/>
      <c r="AS2528" s="936"/>
    </row>
    <row r="2529" ht="15.75" customHeight="1">
      <c r="A2529" s="1099"/>
      <c r="B2529" s="1248"/>
      <c r="C2529" s="1249"/>
      <c r="D2529" s="1249"/>
      <c r="E2529" s="1249"/>
      <c r="F2529" s="940"/>
      <c r="G2529" s="953"/>
      <c r="H2529" s="1241"/>
      <c r="I2529" s="1250"/>
      <c r="J2529" s="1251"/>
      <c r="K2529" s="1251"/>
      <c r="L2529" s="1200"/>
      <c r="M2529" s="1201"/>
      <c r="N2529" s="1201"/>
      <c r="O2529" s="1201"/>
      <c r="P2529" s="1201"/>
      <c r="Q2529" s="1201"/>
      <c r="R2529" s="960" t="s">
        <v>230</v>
      </c>
      <c r="S2529" s="960" t="s">
        <v>230</v>
      </c>
      <c r="T2529" s="960" t="s">
        <v>230</v>
      </c>
      <c r="U2529" s="1252"/>
      <c r="V2529" s="1252"/>
      <c r="W2529" s="1252"/>
      <c r="X2529" s="1252"/>
      <c r="Y2529" s="1252"/>
      <c r="Z2529" s="1252"/>
      <c r="AA2529" s="1252"/>
      <c r="AB2529" s="1252"/>
      <c r="AC2529" s="1252"/>
      <c r="AD2529" s="1252"/>
      <c r="AE2529" s="1252"/>
      <c r="AF2529" s="1252"/>
      <c r="AG2529" s="1252"/>
      <c r="AH2529" s="1252"/>
      <c r="AI2529" s="1252"/>
      <c r="AJ2529" s="1252"/>
      <c r="AK2529" s="1252"/>
      <c r="AL2529" s="1252"/>
      <c r="AM2529" s="1243"/>
      <c r="AN2529" s="1244"/>
      <c r="AO2529" s="1244"/>
      <c r="AP2529" s="936"/>
      <c r="AQ2529" s="1245"/>
      <c r="AR2529" s="1245"/>
      <c r="AS2529" s="936"/>
    </row>
  </sheetData>
  <mergeCells count="1">
    <mergeCell ref="J1:K1"/>
  </mergeCells>
  <conditionalFormatting sqref="I2 J2:K2529">
    <cfRule type="cellIs" dxfId="33" priority="1" operator="equal">
      <formula>"Normal"</formula>
    </cfRule>
  </conditionalFormatting>
  <conditionalFormatting sqref="I2 J2:K2529">
    <cfRule type="cellIs" dxfId="34" priority="2" operator="equal">
      <formula>"Grass"</formula>
    </cfRule>
  </conditionalFormatting>
  <conditionalFormatting sqref="I2 J2:K2529">
    <cfRule type="cellIs" dxfId="35" priority="3" operator="equal">
      <formula>"Fire"</formula>
    </cfRule>
  </conditionalFormatting>
  <conditionalFormatting sqref="I2 J2:K2529">
    <cfRule type="cellIs" dxfId="36" priority="4" operator="equal">
      <formula>"Water"</formula>
    </cfRule>
  </conditionalFormatting>
  <conditionalFormatting sqref="I2 J2:K2529">
    <cfRule type="cellIs" dxfId="37" priority="5" operator="equal">
      <formula>"Fighting"</formula>
    </cfRule>
  </conditionalFormatting>
  <conditionalFormatting sqref="I2 J2:K2529">
    <cfRule type="cellIs" dxfId="38" priority="6" operator="equal">
      <formula>"Flying"</formula>
    </cfRule>
  </conditionalFormatting>
  <conditionalFormatting sqref="I2 J2:K2529">
    <cfRule type="cellIs" dxfId="39" priority="7" operator="equal">
      <formula>"Poison"</formula>
    </cfRule>
  </conditionalFormatting>
  <conditionalFormatting sqref="I2 J2:K2529">
    <cfRule type="cellIs" dxfId="40" priority="8" operator="equal">
      <formula>"Ground"</formula>
    </cfRule>
  </conditionalFormatting>
  <conditionalFormatting sqref="I2 J2:K2529">
    <cfRule type="cellIs" dxfId="41" priority="9" operator="equal">
      <formula>"Rock"</formula>
    </cfRule>
  </conditionalFormatting>
  <conditionalFormatting sqref="I2 J2:K2529">
    <cfRule type="cellIs" dxfId="42" priority="10" operator="equal">
      <formula>"Bug"</formula>
    </cfRule>
  </conditionalFormatting>
  <conditionalFormatting sqref="I2 J2:K2529">
    <cfRule type="cellIs" dxfId="43" priority="11" operator="equal">
      <formula>"Ghost"</formula>
    </cfRule>
  </conditionalFormatting>
  <conditionalFormatting sqref="I2 J2:K2529">
    <cfRule type="cellIs" dxfId="44" priority="12" operator="equal">
      <formula>"Electric"</formula>
    </cfRule>
  </conditionalFormatting>
  <conditionalFormatting sqref="I2 J2:K2529">
    <cfRule type="cellIs" dxfId="45" priority="13" operator="equal">
      <formula>"Psychic"</formula>
    </cfRule>
  </conditionalFormatting>
  <conditionalFormatting sqref="I2 J2:K2529">
    <cfRule type="cellIs" dxfId="46" priority="14" operator="equal">
      <formula>"Ice"</formula>
    </cfRule>
  </conditionalFormatting>
  <conditionalFormatting sqref="I2 J2:K2529">
    <cfRule type="cellIs" dxfId="47" priority="15" operator="equal">
      <formula>"Dragon"</formula>
    </cfRule>
  </conditionalFormatting>
  <conditionalFormatting sqref="I2 J2:K2529">
    <cfRule type="cellIs" dxfId="48" priority="16" operator="equal">
      <formula>"Dark"</formula>
    </cfRule>
  </conditionalFormatting>
  <conditionalFormatting sqref="I2 J2:K2529">
    <cfRule type="cellIs" dxfId="49" priority="17" operator="equal">
      <formula>"Steel"</formula>
    </cfRule>
  </conditionalFormatting>
  <conditionalFormatting sqref="I2 J2:K2529">
    <cfRule type="cellIs" dxfId="50" priority="18" operator="equal">
      <formula>"Fairy"</formula>
    </cfRule>
  </conditionalFormatting>
  <conditionalFormatting sqref="I2 J2:K2529">
    <cfRule type="cellIs" dxfId="51" priority="19" operator="equal">
      <formula>"Bird"</formula>
    </cfRule>
  </conditionalFormatting>
  <conditionalFormatting sqref="U2:AL2529">
    <cfRule type="colorScale" priority="20">
      <colorScale>
        <cfvo type="formula" val="0"/>
        <cfvo type="formula" val="1"/>
        <cfvo type="formula" val="4"/>
        <color rgb="FF57BB8A"/>
        <color rgb="FFFFFFFF"/>
        <color rgb="FFE67C73"/>
      </colorScale>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25"/>
    <col customWidth="1" min="2" max="21" width="5.38"/>
  </cols>
  <sheetData>
    <row r="1" ht="18.75" customHeight="1">
      <c r="A1" s="1010" t="s">
        <v>228</v>
      </c>
      <c r="C1" s="1011" t="s">
        <v>912</v>
      </c>
      <c r="U1" s="1011"/>
    </row>
    <row r="2" ht="18.75" customHeight="1">
      <c r="C2" s="1012" t="s">
        <v>913</v>
      </c>
      <c r="D2" s="1012" t="s">
        <v>914</v>
      </c>
      <c r="E2" s="1012" t="s">
        <v>915</v>
      </c>
      <c r="F2" s="1012" t="s">
        <v>916</v>
      </c>
      <c r="G2" s="1012" t="s">
        <v>917</v>
      </c>
      <c r="H2" s="1012" t="s">
        <v>918</v>
      </c>
      <c r="I2" s="1012" t="s">
        <v>919</v>
      </c>
      <c r="J2" s="1012" t="s">
        <v>920</v>
      </c>
      <c r="K2" s="1012" t="s">
        <v>921</v>
      </c>
      <c r="L2" s="1012" t="s">
        <v>922</v>
      </c>
      <c r="M2" s="1012" t="s">
        <v>923</v>
      </c>
      <c r="N2" s="1012" t="s">
        <v>924</v>
      </c>
      <c r="O2" s="1012" t="s">
        <v>925</v>
      </c>
      <c r="P2" s="1012" t="s">
        <v>926</v>
      </c>
      <c r="Q2" s="1012" t="s">
        <v>927</v>
      </c>
      <c r="R2" s="1012" t="s">
        <v>928</v>
      </c>
      <c r="S2" s="1012" t="s">
        <v>929</v>
      </c>
      <c r="T2" s="1012" t="s">
        <v>930</v>
      </c>
      <c r="U2" s="1012" t="s">
        <v>216</v>
      </c>
    </row>
    <row r="3" ht="18.75" customHeight="1">
      <c r="A3" s="1013" t="s">
        <v>931</v>
      </c>
      <c r="B3" s="1012" t="s">
        <v>913</v>
      </c>
      <c r="C3" s="1014">
        <v>1.0</v>
      </c>
      <c r="D3" s="1014">
        <v>1.0</v>
      </c>
      <c r="E3" s="1014">
        <v>1.0</v>
      </c>
      <c r="F3" s="1014">
        <v>1.0</v>
      </c>
      <c r="G3" s="1014">
        <v>1.0</v>
      </c>
      <c r="H3" s="1014">
        <v>0.5</v>
      </c>
      <c r="I3" s="1014">
        <v>1.0</v>
      </c>
      <c r="J3" s="1015">
        <v>0.0</v>
      </c>
      <c r="K3" s="1014">
        <v>0.5</v>
      </c>
      <c r="L3" s="1014">
        <v>1.0</v>
      </c>
      <c r="M3" s="1014">
        <v>1.0</v>
      </c>
      <c r="N3" s="1014">
        <v>1.0</v>
      </c>
      <c r="O3" s="1014">
        <v>1.0</v>
      </c>
      <c r="P3" s="1014">
        <v>1.0</v>
      </c>
      <c r="Q3" s="1014">
        <v>1.0</v>
      </c>
      <c r="R3" s="1014">
        <v>1.0</v>
      </c>
      <c r="S3" s="1014">
        <v>1.0</v>
      </c>
      <c r="T3" s="1014">
        <v>1.0</v>
      </c>
      <c r="U3" s="1014">
        <v>1.0</v>
      </c>
    </row>
    <row r="4" ht="18.75" customHeight="1">
      <c r="B4" s="1012" t="s">
        <v>914</v>
      </c>
      <c r="C4" s="1014">
        <v>2.0</v>
      </c>
      <c r="D4" s="1014">
        <v>1.0</v>
      </c>
      <c r="E4" s="1015">
        <v>0.5</v>
      </c>
      <c r="F4" s="1014">
        <v>0.5</v>
      </c>
      <c r="G4" s="1014">
        <v>1.0</v>
      </c>
      <c r="H4" s="1015">
        <v>2.0</v>
      </c>
      <c r="I4" s="1014">
        <v>0.5</v>
      </c>
      <c r="J4" s="1014">
        <v>0.0</v>
      </c>
      <c r="K4" s="1014">
        <v>2.0</v>
      </c>
      <c r="L4" s="1014">
        <v>1.0</v>
      </c>
      <c r="M4" s="1014">
        <v>1.0</v>
      </c>
      <c r="N4" s="1014">
        <v>1.0</v>
      </c>
      <c r="O4" s="1014">
        <v>1.0</v>
      </c>
      <c r="P4" s="1014">
        <v>0.5</v>
      </c>
      <c r="Q4" s="1014">
        <v>2.0</v>
      </c>
      <c r="R4" s="1014">
        <v>1.0</v>
      </c>
      <c r="S4" s="1014">
        <v>2.0</v>
      </c>
      <c r="T4" s="1014">
        <v>0.5</v>
      </c>
      <c r="U4" s="1014">
        <v>1.0</v>
      </c>
    </row>
    <row r="5" ht="18.75" customHeight="1">
      <c r="B5" s="1012" t="s">
        <v>915</v>
      </c>
      <c r="C5" s="1014">
        <v>1.0</v>
      </c>
      <c r="D5" s="1014">
        <v>2.0</v>
      </c>
      <c r="E5" s="1014">
        <v>1.0</v>
      </c>
      <c r="F5" s="1014">
        <v>1.0</v>
      </c>
      <c r="G5" s="1014">
        <v>1.0</v>
      </c>
      <c r="H5" s="1014">
        <v>0.5</v>
      </c>
      <c r="I5" s="1014">
        <v>2.0</v>
      </c>
      <c r="J5" s="1014">
        <v>1.0</v>
      </c>
      <c r="K5" s="1014">
        <v>0.5</v>
      </c>
      <c r="L5" s="1014">
        <v>1.0</v>
      </c>
      <c r="M5" s="1014">
        <v>1.0</v>
      </c>
      <c r="N5" s="1014">
        <v>2.0</v>
      </c>
      <c r="O5" s="1014">
        <v>0.5</v>
      </c>
      <c r="P5" s="1014">
        <v>1.0</v>
      </c>
      <c r="Q5" s="1014">
        <v>1.0</v>
      </c>
      <c r="R5" s="1014">
        <v>1.0</v>
      </c>
      <c r="S5" s="1014">
        <v>1.0</v>
      </c>
      <c r="T5" s="1014">
        <v>1.0</v>
      </c>
      <c r="U5" s="1014">
        <v>1.0</v>
      </c>
    </row>
    <row r="6" ht="18.75" customHeight="1">
      <c r="B6" s="1012" t="s">
        <v>916</v>
      </c>
      <c r="C6" s="1014">
        <v>1.0</v>
      </c>
      <c r="D6" s="1014">
        <v>1.0</v>
      </c>
      <c r="E6" s="1014">
        <v>1.0</v>
      </c>
      <c r="F6" s="1014">
        <v>0.5</v>
      </c>
      <c r="G6" s="1014">
        <v>0.5</v>
      </c>
      <c r="H6" s="1014">
        <v>0.5</v>
      </c>
      <c r="I6" s="1014">
        <v>1.0</v>
      </c>
      <c r="J6" s="1014">
        <v>0.5</v>
      </c>
      <c r="K6" s="1014">
        <v>0.0</v>
      </c>
      <c r="L6" s="1014">
        <v>1.0</v>
      </c>
      <c r="M6" s="1014">
        <v>1.0</v>
      </c>
      <c r="N6" s="1014">
        <v>2.0</v>
      </c>
      <c r="O6" s="1014">
        <v>1.0</v>
      </c>
      <c r="P6" s="1014">
        <v>1.0</v>
      </c>
      <c r="Q6" s="1014">
        <v>1.0</v>
      </c>
      <c r="R6" s="1014">
        <v>1.0</v>
      </c>
      <c r="S6" s="1014">
        <v>1.0</v>
      </c>
      <c r="T6" s="1014">
        <v>2.0</v>
      </c>
      <c r="U6" s="1014">
        <v>1.0</v>
      </c>
    </row>
    <row r="7" ht="18.75" customHeight="1">
      <c r="B7" s="1012" t="s">
        <v>917</v>
      </c>
      <c r="C7" s="1014">
        <v>1.0</v>
      </c>
      <c r="D7" s="1014">
        <v>1.0</v>
      </c>
      <c r="E7" s="1014">
        <v>0.0</v>
      </c>
      <c r="F7" s="1014">
        <v>2.0</v>
      </c>
      <c r="G7" s="1014">
        <v>1.0</v>
      </c>
      <c r="H7" s="1014">
        <v>2.0</v>
      </c>
      <c r="I7" s="1014">
        <v>0.5</v>
      </c>
      <c r="J7" s="1014">
        <v>1.0</v>
      </c>
      <c r="K7" s="1014">
        <v>2.0</v>
      </c>
      <c r="L7" s="1014">
        <v>2.0</v>
      </c>
      <c r="M7" s="1014">
        <v>1.0</v>
      </c>
      <c r="N7" s="1014">
        <v>0.5</v>
      </c>
      <c r="O7" s="1014">
        <v>2.0</v>
      </c>
      <c r="P7" s="1014">
        <v>1.0</v>
      </c>
      <c r="Q7" s="1014">
        <v>1.0</v>
      </c>
      <c r="R7" s="1014">
        <v>1.0</v>
      </c>
      <c r="S7" s="1014">
        <v>1.0</v>
      </c>
      <c r="T7" s="1014">
        <v>1.0</v>
      </c>
      <c r="U7" s="1014">
        <v>1.0</v>
      </c>
    </row>
    <row r="8" ht="18.75" customHeight="1">
      <c r="B8" s="1012" t="s">
        <v>918</v>
      </c>
      <c r="C8" s="1014">
        <v>1.0</v>
      </c>
      <c r="D8" s="1014">
        <v>0.5</v>
      </c>
      <c r="E8" s="1014">
        <v>2.0</v>
      </c>
      <c r="F8" s="1014">
        <v>1.0</v>
      </c>
      <c r="G8" s="1014">
        <v>0.5</v>
      </c>
      <c r="H8" s="1014">
        <v>1.0</v>
      </c>
      <c r="I8" s="1014">
        <v>2.0</v>
      </c>
      <c r="J8" s="1014">
        <v>1.0</v>
      </c>
      <c r="K8" s="1014">
        <v>0.5</v>
      </c>
      <c r="L8" s="1014">
        <v>2.0</v>
      </c>
      <c r="M8" s="1014">
        <v>1.0</v>
      </c>
      <c r="N8" s="1014">
        <v>1.0</v>
      </c>
      <c r="O8" s="1014">
        <v>1.0</v>
      </c>
      <c r="P8" s="1014">
        <v>1.0</v>
      </c>
      <c r="Q8" s="1014">
        <v>2.0</v>
      </c>
      <c r="R8" s="1014">
        <v>1.0</v>
      </c>
      <c r="S8" s="1014">
        <v>1.0</v>
      </c>
      <c r="T8" s="1014">
        <v>1.0</v>
      </c>
      <c r="U8" s="1014">
        <v>1.0</v>
      </c>
    </row>
    <row r="9" ht="18.75" customHeight="1">
      <c r="B9" s="1012" t="s">
        <v>919</v>
      </c>
      <c r="C9" s="1014">
        <v>1.0</v>
      </c>
      <c r="D9" s="1014">
        <v>0.5</v>
      </c>
      <c r="E9" s="1014">
        <v>0.5</v>
      </c>
      <c r="F9" s="1014">
        <v>0.5</v>
      </c>
      <c r="G9" s="1014">
        <v>1.0</v>
      </c>
      <c r="H9" s="1014">
        <v>1.0</v>
      </c>
      <c r="I9" s="1014">
        <v>1.0</v>
      </c>
      <c r="J9" s="1014">
        <v>0.5</v>
      </c>
      <c r="K9" s="1014">
        <v>0.5</v>
      </c>
      <c r="L9" s="1014">
        <v>0.5</v>
      </c>
      <c r="M9" s="1014">
        <v>1.0</v>
      </c>
      <c r="N9" s="1014">
        <v>2.0</v>
      </c>
      <c r="O9" s="1014">
        <v>1.0</v>
      </c>
      <c r="P9" s="1014">
        <v>2.0</v>
      </c>
      <c r="Q9" s="1014">
        <v>1.0</v>
      </c>
      <c r="R9" s="1014">
        <v>1.0</v>
      </c>
      <c r="S9" s="1014">
        <v>2.0</v>
      </c>
      <c r="T9" s="1014">
        <v>0.5</v>
      </c>
      <c r="U9" s="1014">
        <v>1.0</v>
      </c>
    </row>
    <row r="10" ht="18.75" customHeight="1">
      <c r="B10" s="1012" t="s">
        <v>920</v>
      </c>
      <c r="C10" s="1014">
        <v>0.0</v>
      </c>
      <c r="D10" s="1014">
        <v>1.0</v>
      </c>
      <c r="E10" s="1014">
        <v>1.0</v>
      </c>
      <c r="F10" s="1014">
        <v>1.0</v>
      </c>
      <c r="G10" s="1014">
        <v>1.0</v>
      </c>
      <c r="H10" s="1014">
        <v>1.0</v>
      </c>
      <c r="I10" s="1014">
        <v>1.0</v>
      </c>
      <c r="J10" s="1014">
        <v>2.0</v>
      </c>
      <c r="K10" s="1014">
        <v>1.0</v>
      </c>
      <c r="L10" s="1014">
        <v>1.0</v>
      </c>
      <c r="M10" s="1014">
        <v>1.0</v>
      </c>
      <c r="N10" s="1014">
        <v>1.0</v>
      </c>
      <c r="O10" s="1014">
        <v>1.0</v>
      </c>
      <c r="P10" s="1014">
        <v>2.0</v>
      </c>
      <c r="Q10" s="1014">
        <v>1.0</v>
      </c>
      <c r="R10" s="1014">
        <v>1.0</v>
      </c>
      <c r="S10" s="1014">
        <v>0.5</v>
      </c>
      <c r="T10" s="1014">
        <v>1.0</v>
      </c>
      <c r="U10" s="1014">
        <v>1.0</v>
      </c>
    </row>
    <row r="11" ht="18.75" customHeight="1">
      <c r="B11" s="1012" t="s">
        <v>921</v>
      </c>
      <c r="C11" s="1014">
        <v>1.0</v>
      </c>
      <c r="D11" s="1014">
        <v>1.0</v>
      </c>
      <c r="E11" s="1014">
        <v>1.0</v>
      </c>
      <c r="F11" s="1014">
        <v>1.0</v>
      </c>
      <c r="G11" s="1014">
        <v>1.0</v>
      </c>
      <c r="H11" s="1014">
        <v>2.0</v>
      </c>
      <c r="I11" s="1014">
        <v>1.0</v>
      </c>
      <c r="J11" s="1014">
        <v>1.0</v>
      </c>
      <c r="K11" s="1014">
        <v>0.5</v>
      </c>
      <c r="L11" s="1014">
        <v>0.5</v>
      </c>
      <c r="M11" s="1014">
        <v>0.5</v>
      </c>
      <c r="N11" s="1014">
        <v>1.0</v>
      </c>
      <c r="O11" s="1014">
        <v>0.5</v>
      </c>
      <c r="P11" s="1014">
        <v>1.0</v>
      </c>
      <c r="Q11" s="1014">
        <v>2.0</v>
      </c>
      <c r="R11" s="1014">
        <v>1.0</v>
      </c>
      <c r="S11" s="1014">
        <v>1.0</v>
      </c>
      <c r="T11" s="1014">
        <v>2.0</v>
      </c>
      <c r="U11" s="1014">
        <v>1.0</v>
      </c>
    </row>
    <row r="12" ht="18.75" customHeight="1">
      <c r="B12" s="1012" t="s">
        <v>922</v>
      </c>
      <c r="C12" s="1014">
        <v>1.0</v>
      </c>
      <c r="D12" s="1014">
        <v>1.0</v>
      </c>
      <c r="E12" s="1014">
        <v>1.0</v>
      </c>
      <c r="F12" s="1014">
        <v>1.0</v>
      </c>
      <c r="G12" s="1014">
        <v>1.0</v>
      </c>
      <c r="H12" s="1014">
        <v>0.5</v>
      </c>
      <c r="I12" s="1014">
        <v>2.0</v>
      </c>
      <c r="J12" s="1014">
        <v>1.0</v>
      </c>
      <c r="K12" s="1014">
        <v>2.0</v>
      </c>
      <c r="L12" s="1014">
        <v>0.5</v>
      </c>
      <c r="M12" s="1014">
        <v>0.5</v>
      </c>
      <c r="N12" s="1014">
        <v>2.0</v>
      </c>
      <c r="O12" s="1014">
        <v>1.0</v>
      </c>
      <c r="P12" s="1014">
        <v>1.0</v>
      </c>
      <c r="Q12" s="1014">
        <v>2.0</v>
      </c>
      <c r="R12" s="1014">
        <v>0.5</v>
      </c>
      <c r="S12" s="1014">
        <v>1.0</v>
      </c>
      <c r="T12" s="1014">
        <v>1.0</v>
      </c>
      <c r="U12" s="1014">
        <v>1.0</v>
      </c>
    </row>
    <row r="13" ht="18.75" customHeight="1">
      <c r="B13" s="1012" t="s">
        <v>923</v>
      </c>
      <c r="C13" s="1014">
        <v>1.0</v>
      </c>
      <c r="D13" s="1014">
        <v>1.0</v>
      </c>
      <c r="E13" s="1014">
        <v>1.0</v>
      </c>
      <c r="F13" s="1014">
        <v>1.0</v>
      </c>
      <c r="G13" s="1014">
        <v>2.0</v>
      </c>
      <c r="H13" s="1014">
        <v>2.0</v>
      </c>
      <c r="I13" s="1014">
        <v>1.0</v>
      </c>
      <c r="J13" s="1014">
        <v>1.0</v>
      </c>
      <c r="K13" s="1014">
        <v>1.0</v>
      </c>
      <c r="L13" s="1014">
        <v>2.0</v>
      </c>
      <c r="M13" s="1014">
        <v>0.5</v>
      </c>
      <c r="N13" s="1014">
        <v>0.5</v>
      </c>
      <c r="O13" s="1014">
        <v>1.0</v>
      </c>
      <c r="P13" s="1014">
        <v>1.0</v>
      </c>
      <c r="Q13" s="1014">
        <v>1.0</v>
      </c>
      <c r="R13" s="1014">
        <v>0.5</v>
      </c>
      <c r="S13" s="1014">
        <v>1.0</v>
      </c>
      <c r="T13" s="1014">
        <v>1.0</v>
      </c>
      <c r="U13" s="1014">
        <v>1.0</v>
      </c>
    </row>
    <row r="14" ht="18.75" customHeight="1">
      <c r="B14" s="1012" t="s">
        <v>924</v>
      </c>
      <c r="C14" s="1014">
        <v>1.0</v>
      </c>
      <c r="D14" s="1014">
        <v>1.0</v>
      </c>
      <c r="E14" s="1014">
        <v>0.5</v>
      </c>
      <c r="F14" s="1014">
        <v>0.5</v>
      </c>
      <c r="G14" s="1014">
        <v>2.0</v>
      </c>
      <c r="H14" s="1014">
        <v>2.0</v>
      </c>
      <c r="I14" s="1014">
        <v>0.5</v>
      </c>
      <c r="J14" s="1014">
        <v>1.0</v>
      </c>
      <c r="K14" s="1014">
        <v>0.5</v>
      </c>
      <c r="L14" s="1014">
        <v>0.5</v>
      </c>
      <c r="M14" s="1014">
        <v>2.0</v>
      </c>
      <c r="N14" s="1014">
        <v>0.5</v>
      </c>
      <c r="O14" s="1014">
        <v>1.0</v>
      </c>
      <c r="P14" s="1014">
        <v>1.0</v>
      </c>
      <c r="Q14" s="1014">
        <v>1.0</v>
      </c>
      <c r="R14" s="1014">
        <v>0.5</v>
      </c>
      <c r="S14" s="1014">
        <v>1.0</v>
      </c>
      <c r="T14" s="1014">
        <v>1.0</v>
      </c>
      <c r="U14" s="1014">
        <v>1.0</v>
      </c>
    </row>
    <row r="15" ht="18.75" customHeight="1">
      <c r="B15" s="1012" t="s">
        <v>925</v>
      </c>
      <c r="C15" s="1014">
        <v>1.0</v>
      </c>
      <c r="D15" s="1014">
        <v>1.0</v>
      </c>
      <c r="E15" s="1014">
        <v>2.0</v>
      </c>
      <c r="F15" s="1014">
        <v>1.0</v>
      </c>
      <c r="G15" s="1014">
        <v>0.0</v>
      </c>
      <c r="H15" s="1014">
        <v>1.0</v>
      </c>
      <c r="I15" s="1014">
        <v>1.0</v>
      </c>
      <c r="J15" s="1014">
        <v>1.0</v>
      </c>
      <c r="K15" s="1014">
        <v>1.0</v>
      </c>
      <c r="L15" s="1014">
        <v>1.0</v>
      </c>
      <c r="M15" s="1014">
        <v>2.0</v>
      </c>
      <c r="N15" s="1014">
        <v>0.5</v>
      </c>
      <c r="O15" s="1014">
        <v>0.5</v>
      </c>
      <c r="P15" s="1014">
        <v>1.0</v>
      </c>
      <c r="Q15" s="1014">
        <v>1.0</v>
      </c>
      <c r="R15" s="1014">
        <v>0.5</v>
      </c>
      <c r="S15" s="1014">
        <v>1.0</v>
      </c>
      <c r="T15" s="1014">
        <v>1.0</v>
      </c>
      <c r="U15" s="1014">
        <v>1.0</v>
      </c>
    </row>
    <row r="16" ht="18.75" customHeight="1">
      <c r="B16" s="1012" t="s">
        <v>926</v>
      </c>
      <c r="C16" s="1014">
        <v>1.0</v>
      </c>
      <c r="D16" s="1014">
        <v>2.0</v>
      </c>
      <c r="E16" s="1014">
        <v>1.0</v>
      </c>
      <c r="F16" s="1014">
        <v>2.0</v>
      </c>
      <c r="G16" s="1014">
        <v>1.0</v>
      </c>
      <c r="H16" s="1014">
        <v>1.0</v>
      </c>
      <c r="I16" s="1014">
        <v>1.0</v>
      </c>
      <c r="J16" s="1014">
        <v>1.0</v>
      </c>
      <c r="K16" s="1014">
        <v>0.5</v>
      </c>
      <c r="L16" s="1014">
        <v>1.0</v>
      </c>
      <c r="M16" s="1014">
        <v>1.0</v>
      </c>
      <c r="N16" s="1014">
        <v>1.0</v>
      </c>
      <c r="O16" s="1014">
        <v>1.0</v>
      </c>
      <c r="P16" s="1014">
        <v>0.5</v>
      </c>
      <c r="Q16" s="1014">
        <v>1.0</v>
      </c>
      <c r="R16" s="1014">
        <v>1.0</v>
      </c>
      <c r="S16" s="1014">
        <v>0.0</v>
      </c>
      <c r="T16" s="1014">
        <v>1.0</v>
      </c>
      <c r="U16" s="1014">
        <v>1.0</v>
      </c>
    </row>
    <row r="17" ht="18.75" customHeight="1">
      <c r="B17" s="1012" t="s">
        <v>927</v>
      </c>
      <c r="C17" s="1014">
        <v>1.0</v>
      </c>
      <c r="D17" s="1014">
        <v>1.0</v>
      </c>
      <c r="E17" s="1014">
        <v>2.0</v>
      </c>
      <c r="F17" s="1014">
        <v>1.0</v>
      </c>
      <c r="G17" s="1014">
        <v>2.0</v>
      </c>
      <c r="H17" s="1014">
        <v>1.0</v>
      </c>
      <c r="I17" s="1014">
        <v>1.0</v>
      </c>
      <c r="J17" s="1014">
        <v>1.0</v>
      </c>
      <c r="K17" s="1014">
        <v>0.5</v>
      </c>
      <c r="L17" s="1014">
        <v>0.5</v>
      </c>
      <c r="M17" s="1014">
        <v>0.5</v>
      </c>
      <c r="N17" s="1014">
        <v>2.0</v>
      </c>
      <c r="O17" s="1014">
        <v>1.0</v>
      </c>
      <c r="P17" s="1014">
        <v>1.0</v>
      </c>
      <c r="Q17" s="1014">
        <v>0.5</v>
      </c>
      <c r="R17" s="1014">
        <v>2.0</v>
      </c>
      <c r="S17" s="1014">
        <v>1.0</v>
      </c>
      <c r="T17" s="1014">
        <v>1.0</v>
      </c>
      <c r="U17" s="1014">
        <v>1.0</v>
      </c>
    </row>
    <row r="18" ht="18.75" customHeight="1">
      <c r="B18" s="1012" t="s">
        <v>928</v>
      </c>
      <c r="C18" s="1014">
        <v>1.0</v>
      </c>
      <c r="D18" s="1014">
        <v>1.0</v>
      </c>
      <c r="E18" s="1014">
        <v>1.0</v>
      </c>
      <c r="F18" s="1014">
        <v>1.0</v>
      </c>
      <c r="G18" s="1014">
        <v>1.0</v>
      </c>
      <c r="H18" s="1014">
        <v>1.0</v>
      </c>
      <c r="I18" s="1014">
        <v>1.0</v>
      </c>
      <c r="J18" s="1014">
        <v>1.0</v>
      </c>
      <c r="K18" s="1014">
        <v>0.5</v>
      </c>
      <c r="L18" s="1014">
        <v>1.0</v>
      </c>
      <c r="M18" s="1014">
        <v>1.0</v>
      </c>
      <c r="N18" s="1014">
        <v>1.0</v>
      </c>
      <c r="O18" s="1014">
        <v>1.0</v>
      </c>
      <c r="P18" s="1014">
        <v>1.0</v>
      </c>
      <c r="Q18" s="1014">
        <v>1.0</v>
      </c>
      <c r="R18" s="1014">
        <v>2.0</v>
      </c>
      <c r="S18" s="1014">
        <v>1.0</v>
      </c>
      <c r="T18" s="1014">
        <v>0.0</v>
      </c>
      <c r="U18" s="1014">
        <v>1.0</v>
      </c>
    </row>
    <row r="19" ht="18.75" customHeight="1">
      <c r="B19" s="1012" t="s">
        <v>929</v>
      </c>
      <c r="C19" s="1014">
        <v>1.0</v>
      </c>
      <c r="D19" s="1014">
        <v>0.5</v>
      </c>
      <c r="E19" s="1014">
        <v>1.0</v>
      </c>
      <c r="F19" s="1014">
        <v>1.0</v>
      </c>
      <c r="G19" s="1014">
        <v>1.0</v>
      </c>
      <c r="H19" s="1014">
        <v>1.0</v>
      </c>
      <c r="I19" s="1014">
        <v>1.0</v>
      </c>
      <c r="J19" s="1014">
        <v>2.0</v>
      </c>
      <c r="K19" s="1014">
        <v>1.0</v>
      </c>
      <c r="L19" s="1014">
        <v>1.0</v>
      </c>
      <c r="M19" s="1014">
        <v>1.0</v>
      </c>
      <c r="N19" s="1014">
        <v>1.0</v>
      </c>
      <c r="O19" s="1014">
        <v>1.0</v>
      </c>
      <c r="P19" s="1014">
        <v>2.0</v>
      </c>
      <c r="Q19" s="1014">
        <v>1.0</v>
      </c>
      <c r="R19" s="1014">
        <v>1.0</v>
      </c>
      <c r="S19" s="1014">
        <v>0.5</v>
      </c>
      <c r="T19" s="1014">
        <v>0.5</v>
      </c>
      <c r="U19" s="1014">
        <v>1.0</v>
      </c>
    </row>
    <row r="20" ht="18.75" customHeight="1">
      <c r="B20" s="1012" t="s">
        <v>930</v>
      </c>
      <c r="C20" s="1014">
        <v>1.0</v>
      </c>
      <c r="D20" s="1014">
        <v>2.0</v>
      </c>
      <c r="E20" s="1014">
        <v>1.0</v>
      </c>
      <c r="F20" s="1014">
        <v>0.5</v>
      </c>
      <c r="G20" s="1014">
        <v>1.0</v>
      </c>
      <c r="H20" s="1014">
        <v>1.0</v>
      </c>
      <c r="I20" s="1014">
        <v>1.0</v>
      </c>
      <c r="J20" s="1014">
        <v>1.0</v>
      </c>
      <c r="K20" s="1014">
        <v>0.5</v>
      </c>
      <c r="L20" s="1014">
        <v>0.5</v>
      </c>
      <c r="M20" s="1014">
        <v>1.0</v>
      </c>
      <c r="N20" s="1014">
        <v>1.0</v>
      </c>
      <c r="O20" s="1014">
        <v>1.0</v>
      </c>
      <c r="P20" s="1014">
        <v>1.0</v>
      </c>
      <c r="Q20" s="1014">
        <v>1.0</v>
      </c>
      <c r="R20" s="1014">
        <v>2.0</v>
      </c>
      <c r="S20" s="1014">
        <v>2.0</v>
      </c>
      <c r="T20" s="1014">
        <v>1.0</v>
      </c>
      <c r="U20" s="1014">
        <v>1.0</v>
      </c>
    </row>
  </sheetData>
  <mergeCells count="3">
    <mergeCell ref="A1:B2"/>
    <mergeCell ref="C1:T1"/>
    <mergeCell ref="A3:A20"/>
  </mergeCells>
  <conditionalFormatting sqref="C2:U2 B3:B20">
    <cfRule type="cellIs" dxfId="7" priority="1" operator="equal">
      <formula>"NORMAL"</formula>
    </cfRule>
  </conditionalFormatting>
  <conditionalFormatting sqref="C2:U2 B3:B20">
    <cfRule type="cellIs" dxfId="8" priority="2" operator="equal">
      <formula>"FIGHTING"</formula>
    </cfRule>
  </conditionalFormatting>
  <conditionalFormatting sqref="C2:U2 B3:B20">
    <cfRule type="cellIs" dxfId="9" priority="3" operator="equal">
      <formula>"FLYING"</formula>
    </cfRule>
  </conditionalFormatting>
  <conditionalFormatting sqref="C2:U2 B3:B20">
    <cfRule type="cellIs" dxfId="10" priority="4" operator="equal">
      <formula>"POISON"</formula>
    </cfRule>
  </conditionalFormatting>
  <conditionalFormatting sqref="C2:U2 B3:B20">
    <cfRule type="cellIs" dxfId="11" priority="5" operator="equal">
      <formula>"GROUND"</formula>
    </cfRule>
  </conditionalFormatting>
  <conditionalFormatting sqref="C2:U2 B3:B20">
    <cfRule type="cellIs" dxfId="12" priority="6" operator="equal">
      <formula>"ROCK"</formula>
    </cfRule>
  </conditionalFormatting>
  <conditionalFormatting sqref="C2:U2 B3:B20">
    <cfRule type="cellIs" dxfId="13" priority="7" operator="equal">
      <formula>"BUG"</formula>
    </cfRule>
  </conditionalFormatting>
  <conditionalFormatting sqref="C2:U2 B3:B20">
    <cfRule type="cellIs" dxfId="14" priority="8" operator="equal">
      <formula>"GHOST"</formula>
    </cfRule>
  </conditionalFormatting>
  <conditionalFormatting sqref="C2:U2 B3:B20">
    <cfRule type="cellIs" dxfId="15" priority="9" operator="equal">
      <formula>"STEEL"</formula>
    </cfRule>
  </conditionalFormatting>
  <conditionalFormatting sqref="C2:U2 B3:B20">
    <cfRule type="cellIs" dxfId="16" priority="10" operator="equal">
      <formula>"FIRE"</formula>
    </cfRule>
  </conditionalFormatting>
  <conditionalFormatting sqref="C2:U2 B3:B20">
    <cfRule type="cellIs" dxfId="17" priority="11" operator="equal">
      <formula>"WATER"</formula>
    </cfRule>
  </conditionalFormatting>
  <conditionalFormatting sqref="C2:U2 B3:B20">
    <cfRule type="cellIs" dxfId="18" priority="12" operator="equal">
      <formula>"GRASS"</formula>
    </cfRule>
  </conditionalFormatting>
  <conditionalFormatting sqref="C2:U2 B3:B20">
    <cfRule type="cellIs" dxfId="19" priority="13" operator="equal">
      <formula>"ELECTRIC"</formula>
    </cfRule>
  </conditionalFormatting>
  <conditionalFormatting sqref="C2:U2 B3:B20">
    <cfRule type="cellIs" dxfId="20" priority="14" operator="equal">
      <formula>"PSYCHIC"</formula>
    </cfRule>
  </conditionalFormatting>
  <conditionalFormatting sqref="C2:U2 B3:B20">
    <cfRule type="cellIs" dxfId="21" priority="15" operator="equal">
      <formula>"ICE"</formula>
    </cfRule>
  </conditionalFormatting>
  <conditionalFormatting sqref="C2:U2 B3:B20">
    <cfRule type="cellIs" dxfId="22" priority="16" operator="equal">
      <formula>"DRAGON"</formula>
    </cfRule>
  </conditionalFormatting>
  <conditionalFormatting sqref="C2:U2 B3:B20">
    <cfRule type="cellIs" dxfId="23" priority="17" operator="equal">
      <formula>"DARK"</formula>
    </cfRule>
  </conditionalFormatting>
  <conditionalFormatting sqref="C2:U2 B3:B20">
    <cfRule type="cellIs" dxfId="24" priority="18" operator="equal">
      <formula>"FAIRY"</formula>
    </cfRule>
  </conditionalFormatting>
  <conditionalFormatting sqref="C3:U20">
    <cfRule type="cellIs" dxfId="25" priority="19" operator="equal">
      <formula>0</formula>
    </cfRule>
  </conditionalFormatting>
  <conditionalFormatting sqref="C3:U20">
    <cfRule type="cellIs" dxfId="26" priority="20" operator="equal">
      <formula>0.5</formula>
    </cfRule>
  </conditionalFormatting>
  <conditionalFormatting sqref="C3:U20">
    <cfRule type="cellIs" dxfId="27" priority="21" operator="equal">
      <formula>2</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8" max="8" width="18.75"/>
    <col customWidth="1" min="9" max="9" width="5.25"/>
  </cols>
  <sheetData>
    <row r="2">
      <c r="A2" s="266"/>
      <c r="B2" s="1016"/>
      <c r="H2" s="1017"/>
      <c r="I2" s="286"/>
    </row>
    <row r="3">
      <c r="A3" s="372"/>
      <c r="H3" s="1018"/>
      <c r="I3" s="396"/>
    </row>
    <row r="4">
      <c r="A4" s="372"/>
      <c r="B4" s="1016"/>
      <c r="C4" s="1016"/>
      <c r="H4" s="1017"/>
      <c r="I4" s="396"/>
    </row>
    <row r="5">
      <c r="A5" s="412"/>
      <c r="H5" s="1017"/>
      <c r="I5" s="396"/>
    </row>
    <row r="6">
      <c r="A6" s="412"/>
      <c r="H6" s="1017"/>
      <c r="I6" s="396"/>
    </row>
    <row r="7">
      <c r="A7" s="412"/>
      <c r="B7" s="1016"/>
      <c r="H7" s="1019"/>
      <c r="I7" s="396"/>
    </row>
    <row r="8">
      <c r="A8" s="412"/>
      <c r="H8" s="1017"/>
      <c r="I8" s="396"/>
    </row>
    <row r="9">
      <c r="A9" s="437"/>
      <c r="H9" s="1017"/>
      <c r="I9" s="396"/>
    </row>
    <row r="10">
      <c r="A10" s="437"/>
      <c r="H10" s="1020"/>
      <c r="I10" s="396"/>
    </row>
    <row r="11">
      <c r="A11" s="437"/>
      <c r="H11" s="1020"/>
      <c r="I11" s="396"/>
    </row>
  </sheetData>
  <conditionalFormatting sqref="H1:H11 A2:A11">
    <cfRule type="expression" dxfId="6" priority="1">
      <formula>COUNTIF({$D$5:$AG$18},H1)&gt;1</formula>
    </cfRule>
  </conditionalFormatting>
  <dataValidations>
    <dataValidation type="list" allowBlank="1" showDropDown="1" showErrorMessage="1" sqref="A2:A11">
      <formula1>Pokedex!$I$3:$I1000</formula1>
    </dataValidation>
    <dataValidation type="list" allowBlank="1" showDropDown="1" showErrorMessage="1" sqref="H2:H11">
      <formula1>Pokedex!$I$2:$I1000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1.38"/>
    <col customWidth="1" min="2" max="2" width="4.63"/>
    <col customWidth="1" min="3" max="41" width="3.25"/>
    <col customWidth="1" min="42" max="42" width="1.38"/>
    <col customWidth="1" min="43" max="81" width="3.25"/>
    <col customWidth="1" min="82" max="82" width="1.38"/>
  </cols>
  <sheetData>
    <row r="1" ht="7.5" customHeight="1">
      <c r="A1" s="1023"/>
      <c r="B1" s="1023"/>
      <c r="C1" s="1023"/>
      <c r="D1" s="1023"/>
      <c r="E1" s="1023"/>
      <c r="F1" s="1023"/>
      <c r="G1" s="1024"/>
      <c r="H1" s="1023"/>
      <c r="I1" s="1023"/>
      <c r="J1" s="1023"/>
      <c r="K1" s="1023"/>
      <c r="L1" s="1024"/>
      <c r="M1" s="1023"/>
      <c r="N1" s="1023"/>
      <c r="O1" s="1023"/>
      <c r="P1" s="1023"/>
      <c r="Q1" s="1024"/>
      <c r="R1" s="177"/>
      <c r="S1" s="177"/>
      <c r="T1" s="177"/>
      <c r="U1" s="177"/>
      <c r="V1" s="1024"/>
      <c r="W1" s="177"/>
      <c r="X1" s="177"/>
      <c r="Y1" s="177"/>
      <c r="Z1" s="177"/>
      <c r="AA1" s="1024"/>
      <c r="AB1" s="177"/>
      <c r="AC1" s="177"/>
      <c r="AD1" s="177"/>
      <c r="AE1" s="177"/>
      <c r="AF1" s="1024"/>
      <c r="AG1" s="177"/>
      <c r="AH1" s="177"/>
      <c r="AI1" s="177"/>
      <c r="AJ1" s="177"/>
      <c r="AK1" s="1024"/>
      <c r="AL1" s="177"/>
      <c r="AM1" s="177"/>
      <c r="AN1" s="177"/>
      <c r="AO1" s="177"/>
      <c r="AP1" s="177"/>
      <c r="AQ1" s="177"/>
      <c r="AR1" s="177"/>
      <c r="AS1" s="177"/>
      <c r="AT1" s="177"/>
      <c r="AU1" s="177"/>
      <c r="AV1" s="177"/>
      <c r="AW1" s="177"/>
      <c r="AX1" s="177"/>
      <c r="AY1" s="177"/>
      <c r="AZ1" s="177"/>
      <c r="BA1" s="177"/>
      <c r="BB1" s="177"/>
      <c r="BC1" s="177"/>
      <c r="BD1" s="177"/>
      <c r="BE1" s="177"/>
      <c r="BF1" s="177"/>
      <c r="BG1" s="177"/>
      <c r="BH1" s="177"/>
      <c r="BI1" s="177"/>
      <c r="BJ1" s="177"/>
      <c r="BK1" s="177"/>
      <c r="BL1" s="177"/>
      <c r="BM1" s="177"/>
      <c r="BN1" s="177"/>
      <c r="BO1" s="177"/>
      <c r="BP1" s="177"/>
      <c r="BQ1" s="177"/>
      <c r="BR1" s="177"/>
      <c r="BS1" s="177"/>
      <c r="BT1" s="177"/>
      <c r="BU1" s="177"/>
      <c r="BV1" s="177"/>
      <c r="BW1" s="177"/>
      <c r="BX1" s="177"/>
      <c r="BY1" s="177"/>
      <c r="BZ1" s="177"/>
      <c r="CA1" s="177"/>
      <c r="CB1" s="177"/>
      <c r="CC1" s="177"/>
      <c r="CD1" s="177"/>
    </row>
    <row r="2" ht="7.5" customHeight="1">
      <c r="A2" s="1023"/>
      <c r="B2" s="1025"/>
      <c r="C2" s="1025"/>
      <c r="D2" s="1025"/>
      <c r="E2" s="1025"/>
      <c r="F2" s="1025"/>
      <c r="G2" s="1026"/>
      <c r="H2" s="1025"/>
      <c r="I2" s="1025"/>
      <c r="J2" s="1025"/>
      <c r="K2" s="1025"/>
      <c r="L2" s="1026"/>
      <c r="M2" s="1025"/>
      <c r="N2" s="1025"/>
      <c r="O2" s="1025"/>
      <c r="P2" s="1025"/>
      <c r="Q2" s="1026"/>
      <c r="R2" s="184"/>
      <c r="S2" s="184"/>
      <c r="T2" s="184"/>
      <c r="U2" s="184"/>
      <c r="V2" s="1026"/>
      <c r="W2" s="184"/>
      <c r="X2" s="184"/>
      <c r="Y2" s="184"/>
      <c r="Z2" s="184"/>
      <c r="AA2" s="1026"/>
      <c r="AB2" s="184"/>
      <c r="AC2" s="184"/>
      <c r="AD2" s="184"/>
      <c r="AE2" s="184"/>
      <c r="AF2" s="1026"/>
      <c r="AG2" s="184"/>
      <c r="AH2" s="184"/>
      <c r="AI2" s="184"/>
      <c r="AJ2" s="184"/>
      <c r="AK2" s="1026"/>
      <c r="AL2" s="184"/>
      <c r="AM2" s="184"/>
      <c r="AN2" s="184"/>
      <c r="AO2" s="184"/>
      <c r="AP2" s="184"/>
      <c r="AQ2" s="1025"/>
      <c r="AR2" s="1025"/>
      <c r="AS2" s="1025"/>
      <c r="AT2" s="1025"/>
      <c r="AU2" s="1026"/>
      <c r="AV2" s="1025"/>
      <c r="AW2" s="1025"/>
      <c r="AX2" s="1025"/>
      <c r="AY2" s="1025"/>
      <c r="AZ2" s="1026"/>
      <c r="BA2" s="1025"/>
      <c r="BB2" s="1025"/>
      <c r="BC2" s="1025"/>
      <c r="BD2" s="1025"/>
      <c r="BE2" s="1026"/>
      <c r="BF2" s="184"/>
      <c r="BG2" s="184"/>
      <c r="BH2" s="184"/>
      <c r="BI2" s="184"/>
      <c r="BJ2" s="1026"/>
      <c r="BK2" s="184"/>
      <c r="BL2" s="184"/>
      <c r="BM2" s="184"/>
      <c r="BN2" s="184"/>
      <c r="BO2" s="1026"/>
      <c r="BP2" s="184"/>
      <c r="BQ2" s="184"/>
      <c r="BR2" s="184"/>
      <c r="BS2" s="184"/>
      <c r="BT2" s="1026"/>
      <c r="BU2" s="184"/>
      <c r="BV2" s="184"/>
      <c r="BW2" s="184"/>
      <c r="BX2" s="184"/>
      <c r="BY2" s="1026"/>
      <c r="BZ2" s="184"/>
      <c r="CA2" s="184"/>
      <c r="CB2" s="184"/>
      <c r="CC2" s="184"/>
      <c r="CD2" s="184"/>
    </row>
    <row r="3" ht="30.0" customHeight="1">
      <c r="A3" s="1023"/>
      <c r="B3" s="1028"/>
      <c r="C3" s="1029" t="s">
        <v>939</v>
      </c>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31"/>
      <c r="AP3" s="189"/>
      <c r="AQ3" s="1030" t="s">
        <v>940</v>
      </c>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31"/>
      <c r="CD3" s="189"/>
    </row>
    <row r="4" ht="11.25" customHeight="1">
      <c r="A4" s="1023"/>
      <c r="B4" s="1028"/>
      <c r="C4" s="1028"/>
      <c r="D4" s="1028"/>
      <c r="E4" s="1028"/>
      <c r="F4" s="1028"/>
      <c r="G4" s="1031"/>
      <c r="H4" s="1028"/>
      <c r="I4" s="1028"/>
      <c r="J4" s="1028"/>
      <c r="K4" s="1028"/>
      <c r="L4" s="1031"/>
      <c r="M4" s="1028"/>
      <c r="N4" s="1028"/>
      <c r="O4" s="1028"/>
      <c r="P4" s="1028"/>
      <c r="Q4" s="1031"/>
      <c r="R4" s="189"/>
      <c r="S4" s="189"/>
      <c r="T4" s="189"/>
      <c r="U4" s="189"/>
      <c r="V4" s="1031"/>
      <c r="W4" s="189"/>
      <c r="X4" s="189"/>
      <c r="Y4" s="189"/>
      <c r="Z4" s="189"/>
      <c r="AA4" s="1031"/>
      <c r="AB4" s="189"/>
      <c r="AC4" s="189"/>
      <c r="AD4" s="189"/>
      <c r="AE4" s="189"/>
      <c r="AF4" s="1031"/>
      <c r="AG4" s="189"/>
      <c r="AH4" s="189"/>
      <c r="AI4" s="189"/>
      <c r="AJ4" s="189"/>
      <c r="AK4" s="1031"/>
      <c r="AL4" s="189"/>
      <c r="AM4" s="189"/>
      <c r="AN4" s="189"/>
      <c r="AO4" s="189"/>
      <c r="AP4" s="189"/>
      <c r="AQ4" s="1028"/>
      <c r="AR4" s="1028"/>
      <c r="AS4" s="1028"/>
      <c r="AT4" s="1028"/>
      <c r="AU4" s="1031"/>
      <c r="AV4" s="1028"/>
      <c r="AW4" s="1028"/>
      <c r="AX4" s="1028"/>
      <c r="AY4" s="1028"/>
      <c r="AZ4" s="1031"/>
      <c r="BA4" s="1028"/>
      <c r="BB4" s="1028"/>
      <c r="BC4" s="1028"/>
      <c r="BD4" s="1028"/>
      <c r="BE4" s="1031"/>
      <c r="BF4" s="189"/>
      <c r="BG4" s="189"/>
      <c r="BH4" s="189"/>
      <c r="BI4" s="189"/>
      <c r="BJ4" s="1031"/>
      <c r="BK4" s="189"/>
      <c r="BL4" s="189"/>
      <c r="BM4" s="189"/>
      <c r="BN4" s="189"/>
      <c r="BO4" s="1031"/>
      <c r="BP4" s="189"/>
      <c r="BQ4" s="189"/>
      <c r="BR4" s="189"/>
      <c r="BS4" s="189"/>
      <c r="BT4" s="1031"/>
      <c r="BU4" s="189"/>
      <c r="BV4" s="189"/>
      <c r="BW4" s="189"/>
      <c r="BX4" s="189"/>
      <c r="BY4" s="1031"/>
      <c r="BZ4" s="189"/>
      <c r="CA4" s="189"/>
      <c r="CB4" s="189"/>
      <c r="CC4" s="189"/>
      <c r="CD4" s="189"/>
    </row>
    <row r="5" ht="18.75" customHeight="1">
      <c r="A5" s="1023"/>
      <c r="B5" s="1035" t="s">
        <v>941</v>
      </c>
      <c r="C5" s="1036" t="s">
        <v>942</v>
      </c>
      <c r="D5" s="129"/>
      <c r="E5" s="129"/>
      <c r="F5" s="131"/>
      <c r="G5" s="1037" t="s">
        <v>943</v>
      </c>
      <c r="H5" s="1036" t="s">
        <v>944</v>
      </c>
      <c r="I5" s="129"/>
      <c r="J5" s="129"/>
      <c r="K5" s="131"/>
      <c r="L5" s="1031"/>
      <c r="M5" s="1038" t="s">
        <v>945</v>
      </c>
      <c r="N5" s="129"/>
      <c r="O5" s="129"/>
      <c r="P5" s="131"/>
      <c r="Q5" s="1037" t="s">
        <v>943</v>
      </c>
      <c r="R5" s="1038" t="s">
        <v>946</v>
      </c>
      <c r="S5" s="129"/>
      <c r="T5" s="129"/>
      <c r="U5" s="131"/>
      <c r="V5" s="1031"/>
      <c r="W5" s="1036" t="s">
        <v>947</v>
      </c>
      <c r="X5" s="129"/>
      <c r="Y5" s="129"/>
      <c r="Z5" s="131"/>
      <c r="AA5" s="1037" t="s">
        <v>943</v>
      </c>
      <c r="AB5" s="1036" t="s">
        <v>948</v>
      </c>
      <c r="AC5" s="129"/>
      <c r="AD5" s="129"/>
      <c r="AE5" s="131"/>
      <c r="AF5" s="1031"/>
      <c r="AG5" s="1038" t="s">
        <v>949</v>
      </c>
      <c r="AH5" s="129"/>
      <c r="AI5" s="129"/>
      <c r="AJ5" s="131"/>
      <c r="AK5" s="1037" t="s">
        <v>943</v>
      </c>
      <c r="AL5" s="1038" t="s">
        <v>950</v>
      </c>
      <c r="AM5" s="129"/>
      <c r="AN5" s="129"/>
      <c r="AO5" s="131"/>
      <c r="AP5" s="751"/>
      <c r="AQ5" s="1039" t="s">
        <v>942</v>
      </c>
      <c r="AR5" s="129"/>
      <c r="AS5" s="129"/>
      <c r="AT5" s="131"/>
      <c r="AU5" s="1037" t="s">
        <v>943</v>
      </c>
      <c r="AV5" s="1039" t="s">
        <v>944</v>
      </c>
      <c r="AW5" s="129"/>
      <c r="AX5" s="129"/>
      <c r="AY5" s="131"/>
      <c r="AZ5" s="1031"/>
      <c r="BA5" s="1040" t="s">
        <v>945</v>
      </c>
      <c r="BB5" s="129"/>
      <c r="BC5" s="129"/>
      <c r="BD5" s="131"/>
      <c r="BE5" s="1037" t="s">
        <v>943</v>
      </c>
      <c r="BF5" s="1040" t="s">
        <v>946</v>
      </c>
      <c r="BG5" s="129"/>
      <c r="BH5" s="129"/>
      <c r="BI5" s="131"/>
      <c r="BJ5" s="1031"/>
      <c r="BK5" s="1039" t="s">
        <v>947</v>
      </c>
      <c r="BL5" s="129"/>
      <c r="BM5" s="129"/>
      <c r="BN5" s="131"/>
      <c r="BO5" s="1037" t="s">
        <v>943</v>
      </c>
      <c r="BP5" s="1039" t="s">
        <v>948</v>
      </c>
      <c r="BQ5" s="129"/>
      <c r="BR5" s="129"/>
      <c r="BS5" s="131"/>
      <c r="BT5" s="1031"/>
      <c r="BU5" s="1040" t="s">
        <v>949</v>
      </c>
      <c r="BV5" s="129"/>
      <c r="BW5" s="129"/>
      <c r="BX5" s="131"/>
      <c r="BY5" s="1037" t="s">
        <v>943</v>
      </c>
      <c r="BZ5" s="1040" t="s">
        <v>950</v>
      </c>
      <c r="CA5" s="129"/>
      <c r="CB5" s="129"/>
      <c r="CC5" s="131"/>
      <c r="CD5" s="751"/>
    </row>
    <row r="6" ht="18.75" customHeight="1">
      <c r="A6" s="1023"/>
      <c r="B6" s="1041"/>
      <c r="C6" s="1036" t="str">
        <f>IFERROR(VLOOKUP($C$10,Source!$G$2:$K$19,5,FALSE)," ")</f>
        <v/>
      </c>
      <c r="D6" s="129"/>
      <c r="E6" s="129"/>
      <c r="F6" s="131"/>
      <c r="G6" s="136"/>
      <c r="H6" s="1036" t="str">
        <f>IFERROR(VLOOKUP($H$10,Source!$G$2:$K$19,5,FALSE)," ")</f>
        <v> </v>
      </c>
      <c r="I6" s="129"/>
      <c r="J6" s="129"/>
      <c r="K6" s="131"/>
      <c r="L6" s="1031"/>
      <c r="M6" s="1038" t="str">
        <f>IFERROR(VLOOKUP($M$10,Source!$G$2:$K$19,5,FALSE)," ")</f>
        <v/>
      </c>
      <c r="N6" s="129"/>
      <c r="O6" s="129"/>
      <c r="P6" s="131"/>
      <c r="Q6" s="136"/>
      <c r="R6" s="1038" t="str">
        <f>IFERROR(VLOOKUP($R$10,Source!$G$2:$K$19,5,FALSE)," ")</f>
        <v/>
      </c>
      <c r="S6" s="129"/>
      <c r="T6" s="129"/>
      <c r="U6" s="131"/>
      <c r="V6" s="1031"/>
      <c r="W6" s="1036" t="str">
        <f>IFERROR(VLOOKUP($W$10,Source!$G$2:$K$19,5,FALSE)," ")</f>
        <v/>
      </c>
      <c r="X6" s="129"/>
      <c r="Y6" s="129"/>
      <c r="Z6" s="131"/>
      <c r="AA6" s="136"/>
      <c r="AB6" s="1036" t="str">
        <f>IFERROR(VLOOKUP($AB$10,Source!$G$2:$K$19,5,FALSE)," ")</f>
        <v> </v>
      </c>
      <c r="AC6" s="129"/>
      <c r="AD6" s="129"/>
      <c r="AE6" s="131"/>
      <c r="AF6" s="1031"/>
      <c r="AG6" s="1038" t="str">
        <f>IFERROR(VLOOKUP($AG$10,Source!$G$2:$K$19,5,FALSE)," ")</f>
        <v/>
      </c>
      <c r="AH6" s="129"/>
      <c r="AI6" s="129"/>
      <c r="AJ6" s="131"/>
      <c r="AK6" s="136"/>
      <c r="AL6" s="1038" t="str">
        <f>IFERROR(VLOOKUP($AL$10,Source!$G$2:$K$19,5,FALSE)," ")</f>
        <v/>
      </c>
      <c r="AM6" s="129"/>
      <c r="AN6" s="129"/>
      <c r="AO6" s="131"/>
      <c r="AP6" s="751"/>
      <c r="AQ6" s="1039" t="str">
        <f>IFERROR(VLOOKUP($AQ$10,Source!$G$20:$K$35,5,FALSE)," ")</f>
        <v> </v>
      </c>
      <c r="AR6" s="129"/>
      <c r="AS6" s="129"/>
      <c r="AT6" s="131"/>
      <c r="AU6" s="136"/>
      <c r="AV6" s="1039" t="str">
        <f>IFERROR(VLOOKUP($AV$10,Source!$G$20:$K$39,5,FALSE)," ")</f>
        <v> </v>
      </c>
      <c r="AW6" s="129"/>
      <c r="AX6" s="129"/>
      <c r="AY6" s="131"/>
      <c r="AZ6" s="1031"/>
      <c r="BA6" s="1040" t="str">
        <f>IFERROR(VLOOKUP($BA$10,Source!$G$20:$K$39,5,FALSE)," ")</f>
        <v> </v>
      </c>
      <c r="BB6" s="129"/>
      <c r="BC6" s="129"/>
      <c r="BD6" s="131"/>
      <c r="BE6" s="136"/>
      <c r="BF6" s="1040" t="str">
        <f>IFERROR(VLOOKUP($BF$10,Source!$G$20:$K$39,5,FALSE)," ")</f>
        <v> </v>
      </c>
      <c r="BG6" s="129"/>
      <c r="BH6" s="129"/>
      <c r="BI6" s="131"/>
      <c r="BJ6" s="1031"/>
      <c r="BK6" s="1039" t="str">
        <f>IFERROR(VLOOKUP($BK$10,Source!$G$20:$K$39,5,FALSE)," ")</f>
        <v> </v>
      </c>
      <c r="BL6" s="129"/>
      <c r="BM6" s="129"/>
      <c r="BN6" s="131"/>
      <c r="BO6" s="136"/>
      <c r="BP6" s="1039" t="str">
        <f>IFERROR(VLOOKUP($BP$10,Source!$G$20:$K$39,5,FALSE)," ")</f>
        <v> </v>
      </c>
      <c r="BQ6" s="129"/>
      <c r="BR6" s="129"/>
      <c r="BS6" s="131"/>
      <c r="BT6" s="1031"/>
      <c r="BU6" s="1040" t="str">
        <f>IFERROR(VLOOKUP($BU$10,Source!$G$20:$K$39,5,FALSE)," ")</f>
        <v> </v>
      </c>
      <c r="BV6" s="129"/>
      <c r="BW6" s="129"/>
      <c r="BX6" s="131"/>
      <c r="BY6" s="136"/>
      <c r="BZ6" s="1040" t="str">
        <f>IFERROR(VLOOKUP($BZ$10,Source!$G$20:$K$39,5,FALSE)," ")</f>
        <v> </v>
      </c>
      <c r="CA6" s="129"/>
      <c r="CB6" s="129"/>
      <c r="CC6" s="131"/>
      <c r="CD6" s="751"/>
    </row>
    <row r="7" ht="18.75" customHeight="1">
      <c r="A7" s="1023"/>
      <c r="B7" s="1041"/>
      <c r="C7" s="135"/>
      <c r="F7" s="136"/>
      <c r="G7" s="136"/>
      <c r="H7" s="135"/>
      <c r="K7" s="136"/>
      <c r="L7" s="1031"/>
      <c r="M7" s="135"/>
      <c r="P7" s="136"/>
      <c r="Q7" s="136"/>
      <c r="R7" s="135"/>
      <c r="U7" s="136"/>
      <c r="V7" s="1031"/>
      <c r="W7" s="135"/>
      <c r="Z7" s="136"/>
      <c r="AA7" s="136"/>
      <c r="AB7" s="135"/>
      <c r="AE7" s="136"/>
      <c r="AF7" s="1031"/>
      <c r="AG7" s="135"/>
      <c r="AJ7" s="136"/>
      <c r="AK7" s="136"/>
      <c r="AL7" s="135"/>
      <c r="AO7" s="136"/>
      <c r="AP7" s="751"/>
      <c r="AQ7" s="135"/>
      <c r="AT7" s="136"/>
      <c r="AU7" s="136"/>
      <c r="AV7" s="135"/>
      <c r="AY7" s="136"/>
      <c r="AZ7" s="1031"/>
      <c r="BA7" s="135"/>
      <c r="BD7" s="136"/>
      <c r="BE7" s="136"/>
      <c r="BF7" s="135"/>
      <c r="BI7" s="136"/>
      <c r="BJ7" s="1031"/>
      <c r="BK7" s="135"/>
      <c r="BN7" s="136"/>
      <c r="BO7" s="136"/>
      <c r="BP7" s="135"/>
      <c r="BS7" s="136"/>
      <c r="BT7" s="1031"/>
      <c r="BU7" s="135"/>
      <c r="BX7" s="136"/>
      <c r="BY7" s="136"/>
      <c r="BZ7" s="135"/>
      <c r="CC7" s="136"/>
      <c r="CD7" s="751"/>
    </row>
    <row r="8" ht="18.75" customHeight="1">
      <c r="A8" s="1023"/>
      <c r="B8" s="1041"/>
      <c r="C8" s="135"/>
      <c r="F8" s="136"/>
      <c r="G8" s="136"/>
      <c r="H8" s="135"/>
      <c r="K8" s="136"/>
      <c r="L8" s="1031"/>
      <c r="M8" s="135"/>
      <c r="P8" s="136"/>
      <c r="Q8" s="136"/>
      <c r="R8" s="135"/>
      <c r="U8" s="136"/>
      <c r="V8" s="1031"/>
      <c r="W8" s="135"/>
      <c r="Z8" s="136"/>
      <c r="AA8" s="136"/>
      <c r="AB8" s="135"/>
      <c r="AE8" s="136"/>
      <c r="AF8" s="1031"/>
      <c r="AG8" s="135"/>
      <c r="AJ8" s="136"/>
      <c r="AK8" s="136"/>
      <c r="AL8" s="135"/>
      <c r="AO8" s="136"/>
      <c r="AP8" s="751"/>
      <c r="AQ8" s="135"/>
      <c r="AT8" s="136"/>
      <c r="AU8" s="136"/>
      <c r="AV8" s="135"/>
      <c r="AY8" s="136"/>
      <c r="AZ8" s="1031"/>
      <c r="BA8" s="135"/>
      <c r="BD8" s="136"/>
      <c r="BE8" s="136"/>
      <c r="BF8" s="135"/>
      <c r="BI8" s="136"/>
      <c r="BJ8" s="1031"/>
      <c r="BK8" s="135"/>
      <c r="BN8" s="136"/>
      <c r="BO8" s="136"/>
      <c r="BP8" s="135"/>
      <c r="BS8" s="136"/>
      <c r="BT8" s="1031"/>
      <c r="BU8" s="135"/>
      <c r="BX8" s="136"/>
      <c r="BY8" s="136"/>
      <c r="BZ8" s="135"/>
      <c r="CC8" s="136"/>
      <c r="CD8" s="751"/>
    </row>
    <row r="9" ht="18.75" customHeight="1">
      <c r="A9" s="1023"/>
      <c r="B9" s="1041"/>
      <c r="C9" s="145"/>
      <c r="D9" s="147"/>
      <c r="E9" s="147"/>
      <c r="F9" s="148"/>
      <c r="G9" s="136"/>
      <c r="H9" s="145"/>
      <c r="I9" s="147"/>
      <c r="J9" s="147"/>
      <c r="K9" s="148"/>
      <c r="L9" s="1031"/>
      <c r="M9" s="145"/>
      <c r="N9" s="147"/>
      <c r="O9" s="147"/>
      <c r="P9" s="148"/>
      <c r="Q9" s="136"/>
      <c r="R9" s="145"/>
      <c r="S9" s="147"/>
      <c r="T9" s="147"/>
      <c r="U9" s="148"/>
      <c r="V9" s="1031"/>
      <c r="W9" s="145"/>
      <c r="X9" s="147"/>
      <c r="Y9" s="147"/>
      <c r="Z9" s="148"/>
      <c r="AA9" s="136"/>
      <c r="AB9" s="145"/>
      <c r="AC9" s="147"/>
      <c r="AD9" s="147"/>
      <c r="AE9" s="148"/>
      <c r="AF9" s="1031"/>
      <c r="AG9" s="145"/>
      <c r="AH9" s="147"/>
      <c r="AI9" s="147"/>
      <c r="AJ9" s="148"/>
      <c r="AK9" s="136"/>
      <c r="AL9" s="145"/>
      <c r="AM9" s="147"/>
      <c r="AN9" s="147"/>
      <c r="AO9" s="148"/>
      <c r="AP9" s="751"/>
      <c r="AQ9" s="145"/>
      <c r="AR9" s="147"/>
      <c r="AS9" s="147"/>
      <c r="AT9" s="148"/>
      <c r="AU9" s="136"/>
      <c r="AV9" s="145"/>
      <c r="AW9" s="147"/>
      <c r="AX9" s="147"/>
      <c r="AY9" s="148"/>
      <c r="AZ9" s="1031"/>
      <c r="BA9" s="145"/>
      <c r="BB9" s="147"/>
      <c r="BC9" s="147"/>
      <c r="BD9" s="148"/>
      <c r="BE9" s="136"/>
      <c r="BF9" s="145"/>
      <c r="BG9" s="147"/>
      <c r="BH9" s="147"/>
      <c r="BI9" s="148"/>
      <c r="BJ9" s="1031"/>
      <c r="BK9" s="145"/>
      <c r="BL9" s="147"/>
      <c r="BM9" s="147"/>
      <c r="BN9" s="148"/>
      <c r="BO9" s="136"/>
      <c r="BP9" s="145"/>
      <c r="BQ9" s="147"/>
      <c r="BR9" s="147"/>
      <c r="BS9" s="148"/>
      <c r="BT9" s="1031"/>
      <c r="BU9" s="145"/>
      <c r="BV9" s="147"/>
      <c r="BW9" s="147"/>
      <c r="BX9" s="148"/>
      <c r="BY9" s="136"/>
      <c r="BZ9" s="145"/>
      <c r="CA9" s="147"/>
      <c r="CB9" s="147"/>
      <c r="CC9" s="148"/>
      <c r="CD9" s="751"/>
    </row>
    <row r="10" ht="18.75" customHeight="1">
      <c r="A10" s="1023"/>
      <c r="B10" s="1041"/>
      <c r="C10" s="1046" t="str">
        <f>Standings!$E$4</f>
        <v>Ian Heslin</v>
      </c>
      <c r="D10" s="147"/>
      <c r="E10" s="147"/>
      <c r="F10" s="148"/>
      <c r="G10" s="136"/>
      <c r="H10" s="1047" t="str">
        <f>#REF!</f>
        <v>#REF!</v>
      </c>
      <c r="I10" s="147"/>
      <c r="J10" s="147"/>
      <c r="K10" s="148"/>
      <c r="L10" s="1031"/>
      <c r="M10" s="1048" t="str">
        <f>Standings!$E$10</f>
        <v>Zach VanSickle</v>
      </c>
      <c r="N10" s="147"/>
      <c r="O10" s="147"/>
      <c r="P10" s="148"/>
      <c r="Q10" s="136"/>
      <c r="R10" s="1048" t="str">
        <f>Standings!$E$12</f>
        <v>Marcus</v>
      </c>
      <c r="S10" s="147"/>
      <c r="T10" s="147"/>
      <c r="U10" s="148"/>
      <c r="V10" s="1031"/>
      <c r="W10" s="1046" t="str">
        <f>Standings!$E$6</f>
        <v>Jackson McLoughlin</v>
      </c>
      <c r="X10" s="147"/>
      <c r="Y10" s="147"/>
      <c r="Z10" s="148"/>
      <c r="AA10" s="136"/>
      <c r="AB10" s="1047" t="str">
        <f>#REF!</f>
        <v>#REF!</v>
      </c>
      <c r="AC10" s="147"/>
      <c r="AD10" s="147"/>
      <c r="AE10" s="148"/>
      <c r="AF10" s="1031"/>
      <c r="AG10" s="1048" t="str">
        <f>Standings!$E$8</f>
        <v>Ryan Evans</v>
      </c>
      <c r="AH10" s="147"/>
      <c r="AI10" s="147"/>
      <c r="AJ10" s="148"/>
      <c r="AK10" s="136"/>
      <c r="AL10" s="1048" t="str">
        <f>Standings!$E$14</f>
        <v>Ryan Tidey</v>
      </c>
      <c r="AM10" s="147"/>
      <c r="AN10" s="147"/>
      <c r="AO10" s="148"/>
      <c r="AP10" s="751"/>
      <c r="AQ10" s="1049" t="str">
        <f>#REF!</f>
        <v>#REF!</v>
      </c>
      <c r="AR10" s="147"/>
      <c r="AS10" s="147"/>
      <c r="AT10" s="148"/>
      <c r="AU10" s="136"/>
      <c r="AV10" s="1049" t="str">
        <f>#REF!</f>
        <v>#REF!</v>
      </c>
      <c r="AW10" s="147"/>
      <c r="AX10" s="147"/>
      <c r="AY10" s="148"/>
      <c r="AZ10" s="1031"/>
      <c r="BA10" s="1050" t="str">
        <f>#REF!</f>
        <v>#REF!</v>
      </c>
      <c r="BB10" s="147"/>
      <c r="BC10" s="147"/>
      <c r="BD10" s="148"/>
      <c r="BE10" s="136"/>
      <c r="BF10" s="1050" t="str">
        <f>#REF!</f>
        <v>#REF!</v>
      </c>
      <c r="BG10" s="147"/>
      <c r="BH10" s="147"/>
      <c r="BI10" s="148"/>
      <c r="BJ10" s="1031"/>
      <c r="BK10" s="1049" t="str">
        <f>#REF!</f>
        <v>#REF!</v>
      </c>
      <c r="BL10" s="147"/>
      <c r="BM10" s="147"/>
      <c r="BN10" s="148"/>
      <c r="BO10" s="136"/>
      <c r="BP10" s="1049" t="str">
        <f>#REF!</f>
        <v>#REF!</v>
      </c>
      <c r="BQ10" s="147"/>
      <c r="BR10" s="147"/>
      <c r="BS10" s="148"/>
      <c r="BT10" s="1031"/>
      <c r="BU10" s="1050" t="str">
        <f>#REF!</f>
        <v>#REF!</v>
      </c>
      <c r="BV10" s="147"/>
      <c r="BW10" s="147"/>
      <c r="BX10" s="148"/>
      <c r="BY10" s="136"/>
      <c r="BZ10" s="1050" t="str">
        <f>#REF!</f>
        <v>#REF!</v>
      </c>
      <c r="CA10" s="147"/>
      <c r="CB10" s="147"/>
      <c r="CC10" s="148"/>
      <c r="CD10" s="751"/>
    </row>
    <row r="11" ht="18.75" customHeight="1">
      <c r="A11" s="1023"/>
      <c r="B11" s="1041"/>
      <c r="C11" s="1051" t="s">
        <v>78</v>
      </c>
      <c r="D11" s="925"/>
      <c r="E11" s="1052" t="s">
        <v>951</v>
      </c>
      <c r="F11" s="1053"/>
      <c r="G11" s="136"/>
      <c r="H11" s="1051" t="s">
        <v>951</v>
      </c>
      <c r="I11" s="925"/>
      <c r="J11" s="1052" t="s">
        <v>78</v>
      </c>
      <c r="K11" s="1053"/>
      <c r="L11" s="1031"/>
      <c r="M11" s="1054" t="s">
        <v>78</v>
      </c>
      <c r="N11" s="925"/>
      <c r="O11" s="1055" t="s">
        <v>951</v>
      </c>
      <c r="P11" s="1053"/>
      <c r="Q11" s="136"/>
      <c r="R11" s="1054" t="s">
        <v>951</v>
      </c>
      <c r="S11" s="925"/>
      <c r="T11" s="1055" t="s">
        <v>78</v>
      </c>
      <c r="U11" s="1053"/>
      <c r="V11" s="1031"/>
      <c r="W11" s="1051" t="s">
        <v>78</v>
      </c>
      <c r="X11" s="925"/>
      <c r="Y11" s="1052" t="s">
        <v>951</v>
      </c>
      <c r="Z11" s="1053"/>
      <c r="AA11" s="136"/>
      <c r="AB11" s="1051" t="s">
        <v>951</v>
      </c>
      <c r="AC11" s="925"/>
      <c r="AD11" s="1052" t="s">
        <v>78</v>
      </c>
      <c r="AE11" s="1053"/>
      <c r="AF11" s="1031"/>
      <c r="AG11" s="1054" t="s">
        <v>78</v>
      </c>
      <c r="AH11" s="925"/>
      <c r="AI11" s="1055" t="s">
        <v>951</v>
      </c>
      <c r="AJ11" s="1053"/>
      <c r="AK11" s="136"/>
      <c r="AL11" s="1054" t="s">
        <v>951</v>
      </c>
      <c r="AM11" s="925"/>
      <c r="AN11" s="1055" t="s">
        <v>78</v>
      </c>
      <c r="AO11" s="1053"/>
      <c r="AP11" s="751"/>
      <c r="AQ11" s="1057" t="s">
        <v>78</v>
      </c>
      <c r="AR11" s="925"/>
      <c r="AS11" s="1058" t="s">
        <v>951</v>
      </c>
      <c r="AT11" s="1053"/>
      <c r="AU11" s="136"/>
      <c r="AV11" s="1057" t="s">
        <v>951</v>
      </c>
      <c r="AW11" s="925"/>
      <c r="AX11" s="1058" t="s">
        <v>78</v>
      </c>
      <c r="AY11" s="1053"/>
      <c r="AZ11" s="1031"/>
      <c r="BA11" s="1059" t="s">
        <v>78</v>
      </c>
      <c r="BB11" s="925"/>
      <c r="BC11" s="1060" t="s">
        <v>951</v>
      </c>
      <c r="BD11" s="1053"/>
      <c r="BE11" s="136"/>
      <c r="BF11" s="1059" t="s">
        <v>951</v>
      </c>
      <c r="BG11" s="925"/>
      <c r="BH11" s="1060" t="s">
        <v>78</v>
      </c>
      <c r="BI11" s="1053"/>
      <c r="BJ11" s="1031"/>
      <c r="BK11" s="1057" t="s">
        <v>78</v>
      </c>
      <c r="BL11" s="925"/>
      <c r="BM11" s="1058" t="s">
        <v>951</v>
      </c>
      <c r="BN11" s="1053"/>
      <c r="BO11" s="136"/>
      <c r="BP11" s="1057" t="s">
        <v>951</v>
      </c>
      <c r="BQ11" s="925"/>
      <c r="BR11" s="1058" t="s">
        <v>78</v>
      </c>
      <c r="BS11" s="1053"/>
      <c r="BT11" s="1031"/>
      <c r="BU11" s="1059" t="s">
        <v>78</v>
      </c>
      <c r="BV11" s="925"/>
      <c r="BW11" s="1060" t="s">
        <v>951</v>
      </c>
      <c r="BX11" s="1053"/>
      <c r="BY11" s="136"/>
      <c r="BZ11" s="1059" t="s">
        <v>951</v>
      </c>
      <c r="CA11" s="925"/>
      <c r="CB11" s="1060" t="s">
        <v>78</v>
      </c>
      <c r="CC11" s="1053"/>
      <c r="CD11" s="751"/>
    </row>
    <row r="12" ht="18.75" customHeight="1">
      <c r="A12" s="1023"/>
      <c r="B12" s="1041"/>
      <c r="C12" s="1061">
        <v>-4.0</v>
      </c>
      <c r="D12" s="226"/>
      <c r="E12" s="1063" t="s">
        <v>402</v>
      </c>
      <c r="F12" s="540"/>
      <c r="G12" s="148"/>
      <c r="H12" s="1061" t="s">
        <v>401</v>
      </c>
      <c r="I12" s="226"/>
      <c r="J12" s="1063">
        <v>4.0</v>
      </c>
      <c r="K12" s="540"/>
      <c r="L12" s="1031"/>
      <c r="M12" s="1066">
        <v>5.0</v>
      </c>
      <c r="N12" s="226"/>
      <c r="O12" s="1067" t="s">
        <v>401</v>
      </c>
      <c r="P12" s="540"/>
      <c r="Q12" s="148"/>
      <c r="R12" s="1066" t="s">
        <v>402</v>
      </c>
      <c r="S12" s="226"/>
      <c r="T12" s="1067">
        <v>-5.0</v>
      </c>
      <c r="U12" s="540"/>
      <c r="V12" s="1031"/>
      <c r="W12" s="1061">
        <v>4.0</v>
      </c>
      <c r="X12" s="226"/>
      <c r="Y12" s="1063" t="s">
        <v>401</v>
      </c>
      <c r="Z12" s="540"/>
      <c r="AA12" s="148"/>
      <c r="AB12" s="1061" t="s">
        <v>402</v>
      </c>
      <c r="AC12" s="226"/>
      <c r="AD12" s="1063">
        <v>-4.0</v>
      </c>
      <c r="AE12" s="540"/>
      <c r="AF12" s="1031"/>
      <c r="AG12" s="1066">
        <v>3.0</v>
      </c>
      <c r="AH12" s="226"/>
      <c r="AI12" s="1067" t="s">
        <v>401</v>
      </c>
      <c r="AJ12" s="540"/>
      <c r="AK12" s="148"/>
      <c r="AL12" s="1066" t="s">
        <v>402</v>
      </c>
      <c r="AM12" s="226"/>
      <c r="AN12" s="1067">
        <v>-3.0</v>
      </c>
      <c r="AO12" s="540"/>
      <c r="AP12" s="751"/>
      <c r="AQ12" s="1070">
        <v>2.0</v>
      </c>
      <c r="AR12" s="226"/>
      <c r="AS12" s="1072" t="s">
        <v>401</v>
      </c>
      <c r="AT12" s="540"/>
      <c r="AU12" s="148"/>
      <c r="AV12" s="1070" t="s">
        <v>402</v>
      </c>
      <c r="AW12" s="226"/>
      <c r="AX12" s="1072">
        <v>-2.0</v>
      </c>
      <c r="AY12" s="540"/>
      <c r="AZ12" s="1031"/>
      <c r="BA12" s="1073">
        <v>-4.0</v>
      </c>
      <c r="BB12" s="226"/>
      <c r="BC12" s="1074" t="s">
        <v>402</v>
      </c>
      <c r="BD12" s="540"/>
      <c r="BE12" s="148"/>
      <c r="BF12" s="1073" t="s">
        <v>401</v>
      </c>
      <c r="BG12" s="226"/>
      <c r="BH12" s="1074">
        <v>4.0</v>
      </c>
      <c r="BI12" s="540"/>
      <c r="BJ12" s="1031"/>
      <c r="BK12" s="1070">
        <v>-3.0</v>
      </c>
      <c r="BL12" s="226"/>
      <c r="BM12" s="1072" t="s">
        <v>402</v>
      </c>
      <c r="BN12" s="540"/>
      <c r="BO12" s="148"/>
      <c r="BP12" s="1070" t="s">
        <v>401</v>
      </c>
      <c r="BQ12" s="226"/>
      <c r="BR12" s="1072">
        <v>3.0</v>
      </c>
      <c r="BS12" s="540"/>
      <c r="BT12" s="1031"/>
      <c r="BU12" s="1073">
        <v>-2.0</v>
      </c>
      <c r="BV12" s="226"/>
      <c r="BW12" s="1074" t="s">
        <v>402</v>
      </c>
      <c r="BX12" s="540"/>
      <c r="BY12" s="148"/>
      <c r="BZ12" s="1073" t="s">
        <v>401</v>
      </c>
      <c r="CA12" s="226"/>
      <c r="CB12" s="1074">
        <v>2.0</v>
      </c>
      <c r="CC12" s="540"/>
      <c r="CD12" s="751"/>
    </row>
    <row r="13" ht="15.75" customHeight="1">
      <c r="A13" s="1023"/>
      <c r="B13" s="1075"/>
      <c r="C13" s="1076" t="s">
        <v>274</v>
      </c>
      <c r="D13" s="29"/>
      <c r="E13" s="376"/>
      <c r="F13" s="1078">
        <v>1.0</v>
      </c>
      <c r="G13" s="29"/>
      <c r="H13" s="1078">
        <v>2.0</v>
      </c>
      <c r="I13" s="29"/>
      <c r="J13" s="1078">
        <v>3.0</v>
      </c>
      <c r="K13" s="29"/>
      <c r="L13" s="1082"/>
      <c r="M13" s="1084" t="s">
        <v>274</v>
      </c>
      <c r="N13" s="29"/>
      <c r="O13" s="376"/>
      <c r="P13" s="1078">
        <v>1.0</v>
      </c>
      <c r="Q13" s="29"/>
      <c r="R13" s="1078">
        <v>2.0</v>
      </c>
      <c r="S13" s="29"/>
      <c r="T13" s="1086">
        <v>3.0</v>
      </c>
      <c r="U13" s="29"/>
      <c r="V13" s="1087"/>
      <c r="W13" s="1084" t="s">
        <v>274</v>
      </c>
      <c r="X13" s="29"/>
      <c r="Y13" s="376"/>
      <c r="Z13" s="1078">
        <v>1.0</v>
      </c>
      <c r="AA13" s="29"/>
      <c r="AB13" s="1078">
        <v>2.0</v>
      </c>
      <c r="AC13" s="29"/>
      <c r="AD13" s="1086">
        <v>3.0</v>
      </c>
      <c r="AE13" s="29"/>
      <c r="AF13" s="1087"/>
      <c r="AG13" s="1084" t="s">
        <v>274</v>
      </c>
      <c r="AH13" s="29"/>
      <c r="AI13" s="376"/>
      <c r="AJ13" s="1078">
        <v>1.0</v>
      </c>
      <c r="AK13" s="29"/>
      <c r="AL13" s="1078">
        <v>2.0</v>
      </c>
      <c r="AM13" s="29"/>
      <c r="AN13" s="1078">
        <v>3.0</v>
      </c>
      <c r="AO13" s="29"/>
      <c r="AP13" s="195"/>
      <c r="AQ13" s="1084" t="s">
        <v>274</v>
      </c>
      <c r="AR13" s="29"/>
      <c r="AS13" s="376"/>
      <c r="AT13" s="1078">
        <v>1.0</v>
      </c>
      <c r="AU13" s="29"/>
      <c r="AV13" s="1078">
        <v>2.0</v>
      </c>
      <c r="AW13" s="29"/>
      <c r="AX13" s="1078">
        <v>3.0</v>
      </c>
      <c r="AY13" s="29"/>
      <c r="AZ13" s="1082"/>
      <c r="BA13" s="1084" t="s">
        <v>274</v>
      </c>
      <c r="BB13" s="29"/>
      <c r="BC13" s="376"/>
      <c r="BD13" s="1086">
        <v>1.0</v>
      </c>
      <c r="BE13" s="29"/>
      <c r="BF13" s="1086">
        <v>2.0</v>
      </c>
      <c r="BG13" s="29"/>
      <c r="BH13" s="1086">
        <v>3.0</v>
      </c>
      <c r="BI13" s="29"/>
      <c r="BJ13" s="1031"/>
      <c r="BK13" s="1076" t="s">
        <v>274</v>
      </c>
      <c r="BL13" s="29"/>
      <c r="BM13" s="376"/>
      <c r="BN13" s="1078">
        <v>1.0</v>
      </c>
      <c r="BO13" s="29"/>
      <c r="BP13" s="1078">
        <v>2.0</v>
      </c>
      <c r="BQ13" s="29"/>
      <c r="BR13" s="1078">
        <v>3.0</v>
      </c>
      <c r="BS13" s="29"/>
      <c r="BT13" s="1031"/>
      <c r="BU13" s="1076" t="s">
        <v>274</v>
      </c>
      <c r="BV13" s="29"/>
      <c r="BW13" s="376"/>
      <c r="BX13" s="1078">
        <v>1.0</v>
      </c>
      <c r="BY13" s="29"/>
      <c r="BZ13" s="1078">
        <v>2.0</v>
      </c>
      <c r="CA13" s="29"/>
      <c r="CB13" s="1078">
        <v>3.0</v>
      </c>
      <c r="CC13" s="29"/>
      <c r="CD13" s="195"/>
    </row>
    <row r="14" ht="11.25" customHeight="1">
      <c r="A14" s="1023"/>
      <c r="B14" s="1028"/>
      <c r="C14" s="751"/>
      <c r="D14" s="751"/>
      <c r="E14" s="751"/>
      <c r="F14" s="751"/>
      <c r="G14" s="1088"/>
      <c r="H14" s="751"/>
      <c r="I14" s="751"/>
      <c r="J14" s="751"/>
      <c r="K14" s="751"/>
      <c r="L14" s="1088"/>
      <c r="M14" s="751"/>
      <c r="N14" s="751"/>
      <c r="O14" s="1028"/>
      <c r="P14" s="1028"/>
      <c r="Q14" s="1031"/>
      <c r="R14" s="189"/>
      <c r="S14" s="189"/>
      <c r="T14" s="189"/>
      <c r="U14" s="189"/>
      <c r="V14" s="1031"/>
      <c r="W14" s="189"/>
      <c r="X14" s="189"/>
      <c r="Y14" s="189"/>
      <c r="Z14" s="189"/>
      <c r="AA14" s="1031"/>
      <c r="AB14" s="189"/>
      <c r="AC14" s="189"/>
      <c r="AD14" s="189"/>
      <c r="AE14" s="189"/>
      <c r="AF14" s="1031"/>
      <c r="AG14" s="189"/>
      <c r="AH14" s="189"/>
      <c r="AI14" s="189"/>
      <c r="AJ14" s="189"/>
      <c r="AK14" s="1031"/>
      <c r="AL14" s="189"/>
      <c r="AM14" s="189"/>
      <c r="AN14" s="189"/>
      <c r="AO14" s="189"/>
      <c r="AP14" s="189"/>
      <c r="AQ14" s="1089"/>
      <c r="AR14" s="1089"/>
      <c r="AS14" s="1089"/>
      <c r="AT14" s="1089"/>
      <c r="AU14" s="1082"/>
      <c r="AV14" s="1089"/>
      <c r="AW14" s="1089"/>
      <c r="AX14" s="1089"/>
      <c r="AY14" s="1089"/>
      <c r="AZ14" s="1082"/>
      <c r="BA14" s="1089"/>
      <c r="BB14" s="1089"/>
      <c r="BC14" s="1090"/>
      <c r="BD14" s="1090"/>
      <c r="BE14" s="1087"/>
      <c r="BF14" s="1091"/>
      <c r="BG14" s="1091"/>
      <c r="BH14" s="1091"/>
      <c r="BI14" s="1091"/>
      <c r="BJ14" s="1031"/>
      <c r="BK14" s="189"/>
      <c r="BL14" s="189"/>
      <c r="BM14" s="189"/>
      <c r="BN14" s="189"/>
      <c r="BO14" s="1031"/>
      <c r="BP14" s="189"/>
      <c r="BQ14" s="189"/>
      <c r="BR14" s="189"/>
      <c r="BS14" s="189"/>
      <c r="BT14" s="1031"/>
      <c r="BU14" s="189"/>
      <c r="BV14" s="189"/>
      <c r="BW14" s="189"/>
      <c r="BX14" s="189"/>
      <c r="BY14" s="1031"/>
      <c r="BZ14" s="189"/>
      <c r="CA14" s="189"/>
      <c r="CB14" s="189"/>
      <c r="CC14" s="189"/>
      <c r="CD14" s="189"/>
    </row>
    <row r="15" ht="18.75" customHeight="1">
      <c r="A15" s="1023"/>
      <c r="B15" s="1035" t="s">
        <v>958</v>
      </c>
      <c r="C15" s="1036" t="str">
        <f>IF(E12="W",C5,IF(E12="L",H5,IF(E12=0,"QF1 Winner")))</f>
        <v>Seed 8</v>
      </c>
      <c r="D15" s="129"/>
      <c r="E15" s="129"/>
      <c r="F15" s="131"/>
      <c r="G15" s="1037" t="s">
        <v>943</v>
      </c>
      <c r="H15" s="1038" t="str">
        <f>IF(O12="W",M5,IF(O12="L",R5,IF(O12=0,"QF2 Winner")))</f>
        <v>Seed 4</v>
      </c>
      <c r="I15" s="129"/>
      <c r="J15" s="129"/>
      <c r="K15" s="131"/>
      <c r="L15" s="1031"/>
      <c r="M15" s="1036" t="str">
        <f>IF(Y12="W",W5,IF(Y12="L",AB5,IF(Y12=0,"QF3 Winner")))</f>
        <v>Seed 2</v>
      </c>
      <c r="N15" s="129"/>
      <c r="O15" s="129"/>
      <c r="P15" s="131"/>
      <c r="Q15" s="1037" t="s">
        <v>943</v>
      </c>
      <c r="R15" s="1038" t="str">
        <f>IF(AI12="W",AG5,IF(AI12="L",AL5,IF(AI12=0,"QF4 Winner")))</f>
        <v>Seed 3</v>
      </c>
      <c r="S15" s="129"/>
      <c r="T15" s="129"/>
      <c r="U15" s="131"/>
      <c r="V15" s="1031"/>
      <c r="W15" s="1092" t="str">
        <f>image("https://cdn.discordapp.com/attachments/363366583839752205/843599770504527882/Drizzle2x.png")</f>
        <v/>
      </c>
      <c r="AP15" s="1031"/>
      <c r="AQ15" s="1093" t="str">
        <f>IF(AS12="W",AQ5,IF(AS12="L",AV5,IF(AS12=0,"QF1 Winner")))</f>
        <v>Seed 1</v>
      </c>
      <c r="AR15" s="129"/>
      <c r="AS15" s="129"/>
      <c r="AT15" s="131"/>
      <c r="AU15" s="1094" t="s">
        <v>943</v>
      </c>
      <c r="AV15" s="1095" t="str">
        <f>IF(BC12="W",BA5,IF(BC12="L",BF5,IF(BC12=0,"QF2 Winner")))</f>
        <v>Seed 5</v>
      </c>
      <c r="AW15" s="129"/>
      <c r="AX15" s="129"/>
      <c r="AY15" s="131"/>
      <c r="AZ15" s="1087"/>
      <c r="BA15" s="1093" t="str">
        <f>IF(BM12="W",BK5,IF(BM12="L",BP5,IF(BM12=0,"QF3 Winner")))</f>
        <v>Seed 7</v>
      </c>
      <c r="BB15" s="129"/>
      <c r="BC15" s="129"/>
      <c r="BD15" s="131"/>
      <c r="BE15" s="1094" t="s">
        <v>943</v>
      </c>
      <c r="BF15" s="1095" t="str">
        <f>IF(BW12="W",BU5,IF(BW12="L",BZ5,IF(BW12=0,"QF4 Winner")))</f>
        <v>Seed 6</v>
      </c>
      <c r="BG15" s="129"/>
      <c r="BH15" s="129"/>
      <c r="BI15" s="131"/>
      <c r="BJ15" s="1031"/>
      <c r="BK15" s="1092" t="str">
        <f>image("https://cdn.discordapp.com/attachments/363366583839752205/843599771440381952/Drought2x.png")</f>
        <v/>
      </c>
      <c r="CD15" s="1031"/>
    </row>
    <row r="16" ht="18.75" customHeight="1">
      <c r="A16" s="1023"/>
      <c r="B16" s="1041"/>
      <c r="C16" s="1036" t="str">
        <f>IFERROR(VLOOKUP($C$20,Source!$G$2:$K$19,5,FALSE)," ")</f>
        <v> </v>
      </c>
      <c r="D16" s="129"/>
      <c r="E16" s="129"/>
      <c r="F16" s="131"/>
      <c r="G16" s="136"/>
      <c r="H16" s="1038" t="str">
        <f>IFERROR(VLOOKUP($H$20,Source!$G$2:$K$19,5,FALSE)," ")</f>
        <v/>
      </c>
      <c r="I16" s="129"/>
      <c r="J16" s="129"/>
      <c r="K16" s="131"/>
      <c r="L16" s="1031"/>
      <c r="M16" s="1036" t="str">
        <f>IFERROR(VLOOKUP($M$20,Source!$G$2:$K$19,5,FALSE)," ")</f>
        <v/>
      </c>
      <c r="N16" s="129"/>
      <c r="O16" s="129"/>
      <c r="P16" s="131"/>
      <c r="Q16" s="136"/>
      <c r="R16" s="1096" t="str">
        <f>IFERROR(VLOOKUP($R$20,Source!$G$2:$K$19,5,FALSE)," ")</f>
        <v/>
      </c>
      <c r="S16" s="1097"/>
      <c r="T16" s="1097"/>
      <c r="U16" s="1098"/>
      <c r="V16" s="1031"/>
      <c r="AP16" s="1031"/>
      <c r="AQ16" s="1093" t="str">
        <f>IFERROR(VLOOKUP($AQ$20,Source!$G$20:$K$39,5,FALSE)," ")</f>
        <v> </v>
      </c>
      <c r="AR16" s="129"/>
      <c r="AS16" s="129"/>
      <c r="AT16" s="131"/>
      <c r="AU16" s="136"/>
      <c r="AV16" s="1095" t="str">
        <f>IFERROR(VLOOKUP($AV$20,Source!$G$20:$K$39,5,FALSE)," ")</f>
        <v> </v>
      </c>
      <c r="AW16" s="129"/>
      <c r="AX16" s="129"/>
      <c r="AY16" s="131"/>
      <c r="AZ16" s="1087"/>
      <c r="BA16" s="1093" t="str">
        <f>IFERROR(VLOOKUP($BA$20,Source!$G$20:$K$39,5,FALSE)," ")</f>
        <v> </v>
      </c>
      <c r="BB16" s="129"/>
      <c r="BC16" s="129"/>
      <c r="BD16" s="131"/>
      <c r="BE16" s="136"/>
      <c r="BF16" s="1100" t="str">
        <f>IFERROR(VLOOKUP($BF$20,Source!$G$20:$K$39,5,FALSE)," ")</f>
        <v> </v>
      </c>
      <c r="BG16" s="1097"/>
      <c r="BH16" s="1097"/>
      <c r="BI16" s="1098"/>
      <c r="BJ16" s="1031"/>
      <c r="CD16" s="1031"/>
    </row>
    <row r="17" ht="18.75" customHeight="1">
      <c r="A17" s="1023"/>
      <c r="B17" s="1041"/>
      <c r="C17" s="135"/>
      <c r="F17" s="136"/>
      <c r="G17" s="136"/>
      <c r="H17" s="135"/>
      <c r="K17" s="136"/>
      <c r="L17" s="1031"/>
      <c r="M17" s="135"/>
      <c r="P17" s="136"/>
      <c r="Q17" s="136"/>
      <c r="R17" s="1101"/>
      <c r="U17" s="136"/>
      <c r="V17" s="1031"/>
      <c r="AP17" s="1031"/>
      <c r="AQ17" s="135"/>
      <c r="AT17" s="136"/>
      <c r="AU17" s="136"/>
      <c r="AV17" s="135"/>
      <c r="AY17" s="136"/>
      <c r="AZ17" s="1087"/>
      <c r="BA17" s="135"/>
      <c r="BD17" s="136"/>
      <c r="BE17" s="136"/>
      <c r="BF17" s="1101"/>
      <c r="BI17" s="136"/>
      <c r="BJ17" s="1031"/>
      <c r="CD17" s="1031"/>
    </row>
    <row r="18" ht="18.75" customHeight="1">
      <c r="A18" s="1023"/>
      <c r="B18" s="1041"/>
      <c r="C18" s="135"/>
      <c r="F18" s="136"/>
      <c r="G18" s="136"/>
      <c r="H18" s="135"/>
      <c r="K18" s="136"/>
      <c r="L18" s="1031"/>
      <c r="M18" s="135"/>
      <c r="P18" s="136"/>
      <c r="Q18" s="136"/>
      <c r="R18" s="1101"/>
      <c r="U18" s="136"/>
      <c r="V18" s="1031"/>
      <c r="AP18" s="1031"/>
      <c r="AQ18" s="135"/>
      <c r="AT18" s="136"/>
      <c r="AU18" s="136"/>
      <c r="AV18" s="135"/>
      <c r="AY18" s="136"/>
      <c r="AZ18" s="1087"/>
      <c r="BA18" s="135"/>
      <c r="BD18" s="136"/>
      <c r="BE18" s="136"/>
      <c r="BF18" s="1101"/>
      <c r="BI18" s="136"/>
      <c r="BJ18" s="1031"/>
      <c r="CD18" s="1031"/>
    </row>
    <row r="19" ht="18.75" customHeight="1">
      <c r="A19" s="1023"/>
      <c r="B19" s="1041"/>
      <c r="C19" s="145"/>
      <c r="D19" s="147"/>
      <c r="E19" s="147"/>
      <c r="F19" s="148"/>
      <c r="G19" s="136"/>
      <c r="H19" s="145"/>
      <c r="I19" s="147"/>
      <c r="J19" s="147"/>
      <c r="K19" s="148"/>
      <c r="L19" s="1031"/>
      <c r="M19" s="145"/>
      <c r="N19" s="147"/>
      <c r="O19" s="147"/>
      <c r="P19" s="148"/>
      <c r="Q19" s="136"/>
      <c r="R19" s="1102"/>
      <c r="S19" s="750"/>
      <c r="T19" s="750"/>
      <c r="U19" s="1053"/>
      <c r="V19" s="1031"/>
      <c r="AP19" s="1031"/>
      <c r="AQ19" s="145"/>
      <c r="AR19" s="147"/>
      <c r="AS19" s="147"/>
      <c r="AT19" s="148"/>
      <c r="AU19" s="136"/>
      <c r="AV19" s="145"/>
      <c r="AW19" s="147"/>
      <c r="AX19" s="147"/>
      <c r="AY19" s="148"/>
      <c r="AZ19" s="1087"/>
      <c r="BA19" s="145"/>
      <c r="BB19" s="147"/>
      <c r="BC19" s="147"/>
      <c r="BD19" s="148"/>
      <c r="BE19" s="136"/>
      <c r="BF19" s="1102"/>
      <c r="BG19" s="750"/>
      <c r="BH19" s="750"/>
      <c r="BI19" s="1053"/>
      <c r="BJ19" s="1031"/>
      <c r="CD19" s="1031"/>
    </row>
    <row r="20" ht="18.75" customHeight="1">
      <c r="A20" s="1023"/>
      <c r="B20" s="1041"/>
      <c r="C20" s="1047" t="str">
        <f>IF(E12="W",C10,IF(E12="L",H10,IF(E12=0,"QF1 Winner")))</f>
        <v>#REF!</v>
      </c>
      <c r="D20" s="147"/>
      <c r="E20" s="147"/>
      <c r="F20" s="148"/>
      <c r="G20" s="136"/>
      <c r="H20" s="1048" t="str">
        <f>IF(O12="W",M10,IF(O12="L",R10,IF(O12=0,"QF2 Winner")))</f>
        <v>Zach VanSickle</v>
      </c>
      <c r="I20" s="147"/>
      <c r="J20" s="147"/>
      <c r="K20" s="148"/>
      <c r="L20" s="1031"/>
      <c r="M20" s="1046" t="str">
        <f>IF(Y12="W",W10,IF(Y12="L",AB10,IF(Y12=0,"QF3 Winner")))</f>
        <v>Jackson McLoughlin</v>
      </c>
      <c r="N20" s="147"/>
      <c r="O20" s="147"/>
      <c r="P20" s="148"/>
      <c r="Q20" s="136"/>
      <c r="R20" s="1048" t="str">
        <f>IF(AI12="W",AG10,IF(AI12="L",AL10,IF(AI12=0,"QF4 Winner")))</f>
        <v>Ryan Evans</v>
      </c>
      <c r="S20" s="147"/>
      <c r="T20" s="147"/>
      <c r="U20" s="148"/>
      <c r="V20" s="1031"/>
      <c r="AP20" s="1031"/>
      <c r="AQ20" s="1103" t="str">
        <f>IF(AS12="W",AQ10,IF(AS12="L",AV10,IF(AS12=0,"QF1 Winner")))</f>
        <v>#REF!</v>
      </c>
      <c r="AR20" s="147"/>
      <c r="AS20" s="147"/>
      <c r="AT20" s="148"/>
      <c r="AU20" s="136"/>
      <c r="AV20" s="1104" t="str">
        <f>IF(BC12="W",BA10,IF(BC12="L",BF10,IF(BC12=0,"QF2 Winner")))</f>
        <v>#REF!</v>
      </c>
      <c r="AW20" s="147"/>
      <c r="AX20" s="147"/>
      <c r="AY20" s="148"/>
      <c r="AZ20" s="1087"/>
      <c r="BA20" s="1103" t="str">
        <f>IF(BM12="W",BK10,IF(BM12="L",BP10,IF(BM12=0,"QF3 Winner")))</f>
        <v>#REF!</v>
      </c>
      <c r="BB20" s="147"/>
      <c r="BC20" s="147"/>
      <c r="BD20" s="148"/>
      <c r="BE20" s="136"/>
      <c r="BF20" s="1104" t="str">
        <f>IF(BW12="W",BU10,IF(BW12="L",BZ10,IF(BW12=0,"QF4 Winner")))</f>
        <v>#REF!</v>
      </c>
      <c r="BG20" s="147"/>
      <c r="BH20" s="147"/>
      <c r="BI20" s="148"/>
      <c r="BJ20" s="1031"/>
      <c r="CD20" s="1031"/>
    </row>
    <row r="21" ht="18.75" customHeight="1">
      <c r="A21" s="1023"/>
      <c r="B21" s="1041"/>
      <c r="C21" s="1051" t="s">
        <v>78</v>
      </c>
      <c r="D21" s="925"/>
      <c r="E21" s="1052" t="s">
        <v>951</v>
      </c>
      <c r="F21" s="1053"/>
      <c r="G21" s="136"/>
      <c r="H21" s="1054" t="s">
        <v>951</v>
      </c>
      <c r="I21" s="925"/>
      <c r="J21" s="1055" t="s">
        <v>78</v>
      </c>
      <c r="K21" s="1053"/>
      <c r="L21" s="1031"/>
      <c r="M21" s="1051" t="s">
        <v>78</v>
      </c>
      <c r="N21" s="925"/>
      <c r="O21" s="1052" t="s">
        <v>951</v>
      </c>
      <c r="P21" s="1053"/>
      <c r="Q21" s="136"/>
      <c r="R21" s="1105" t="s">
        <v>951</v>
      </c>
      <c r="S21" s="401"/>
      <c r="T21" s="1055" t="s">
        <v>78</v>
      </c>
      <c r="U21" s="1053"/>
      <c r="V21" s="1031"/>
      <c r="AP21" s="1031"/>
      <c r="AQ21" s="1106" t="s">
        <v>78</v>
      </c>
      <c r="AR21" s="925"/>
      <c r="AS21" s="1107" t="s">
        <v>951</v>
      </c>
      <c r="AT21" s="1053"/>
      <c r="AU21" s="136"/>
      <c r="AV21" s="1109" t="s">
        <v>951</v>
      </c>
      <c r="AW21" s="925"/>
      <c r="AX21" s="1111" t="s">
        <v>78</v>
      </c>
      <c r="AY21" s="1053"/>
      <c r="AZ21" s="1087"/>
      <c r="BA21" s="1106" t="s">
        <v>78</v>
      </c>
      <c r="BB21" s="925"/>
      <c r="BC21" s="1107" t="s">
        <v>951</v>
      </c>
      <c r="BD21" s="1053"/>
      <c r="BE21" s="136"/>
      <c r="BF21" s="1109" t="s">
        <v>951</v>
      </c>
      <c r="BG21" s="925"/>
      <c r="BH21" s="1111" t="s">
        <v>78</v>
      </c>
      <c r="BI21" s="1053"/>
      <c r="BJ21" s="1031"/>
      <c r="CD21" s="1031"/>
    </row>
    <row r="22" ht="18.75" customHeight="1">
      <c r="A22" s="177"/>
      <c r="B22" s="1041"/>
      <c r="C22" s="1061">
        <v>-6.0</v>
      </c>
      <c r="D22" s="226"/>
      <c r="E22" s="1063" t="s">
        <v>402</v>
      </c>
      <c r="F22" s="540"/>
      <c r="G22" s="148"/>
      <c r="H22" s="1066" t="s">
        <v>401</v>
      </c>
      <c r="I22" s="226"/>
      <c r="J22" s="1067">
        <v>6.0</v>
      </c>
      <c r="K22" s="540"/>
      <c r="L22" s="1031"/>
      <c r="M22" s="1061">
        <v>0.0</v>
      </c>
      <c r="N22" s="226"/>
      <c r="O22" s="1063" t="s">
        <v>402</v>
      </c>
      <c r="P22" s="540"/>
      <c r="Q22" s="148"/>
      <c r="R22" s="1117" t="s">
        <v>401</v>
      </c>
      <c r="S22" s="226"/>
      <c r="T22" s="1117">
        <v>0.0</v>
      </c>
      <c r="U22" s="540"/>
      <c r="V22" s="1031"/>
      <c r="AP22" s="1031"/>
      <c r="AQ22" s="1118">
        <v>5.0</v>
      </c>
      <c r="AR22" s="226"/>
      <c r="AS22" s="1119" t="s">
        <v>401</v>
      </c>
      <c r="AT22" s="540"/>
      <c r="AU22" s="148"/>
      <c r="AV22" s="1120" t="s">
        <v>402</v>
      </c>
      <c r="AW22" s="226"/>
      <c r="AX22" s="1121">
        <v>-5.0</v>
      </c>
      <c r="AY22" s="540"/>
      <c r="AZ22" s="1087"/>
      <c r="BA22" s="1118">
        <v>-4.0</v>
      </c>
      <c r="BB22" s="226"/>
      <c r="BC22" s="1119" t="s">
        <v>402</v>
      </c>
      <c r="BD22" s="540"/>
      <c r="BE22" s="148"/>
      <c r="BF22" s="1120" t="s">
        <v>401</v>
      </c>
      <c r="BG22" s="226"/>
      <c r="BH22" s="1121">
        <v>4.0</v>
      </c>
      <c r="BI22" s="540"/>
      <c r="BJ22" s="1031"/>
      <c r="CD22" s="1031"/>
    </row>
    <row r="23" ht="15.75" customHeight="1">
      <c r="A23" s="177"/>
      <c r="B23" s="1075"/>
      <c r="C23" s="1076" t="s">
        <v>274</v>
      </c>
      <c r="D23" s="29"/>
      <c r="E23" s="376"/>
      <c r="F23" s="1078">
        <v>1.0</v>
      </c>
      <c r="G23" s="29"/>
      <c r="H23" s="1078">
        <v>2.0</v>
      </c>
      <c r="I23" s="29"/>
      <c r="J23" s="1125">
        <v>3.0</v>
      </c>
      <c r="K23" s="29"/>
      <c r="L23" s="1031"/>
      <c r="M23" s="1076" t="s">
        <v>274</v>
      </c>
      <c r="N23" s="29"/>
      <c r="O23" s="376"/>
      <c r="P23" s="1078">
        <v>1.0</v>
      </c>
      <c r="Q23" s="29"/>
      <c r="R23" s="1127">
        <v>2.0</v>
      </c>
      <c r="S23" s="147"/>
      <c r="T23" s="1078">
        <v>3.0</v>
      </c>
      <c r="U23" s="29"/>
      <c r="V23" s="1031"/>
      <c r="AP23" s="1031"/>
      <c r="AQ23" s="1084" t="s">
        <v>274</v>
      </c>
      <c r="AR23" s="29"/>
      <c r="AS23" s="376"/>
      <c r="AT23" s="1078">
        <v>1.0</v>
      </c>
      <c r="AU23" s="29"/>
      <c r="AV23" s="1125">
        <v>2.0</v>
      </c>
      <c r="AW23" s="29"/>
      <c r="AX23" s="1086">
        <v>3.0</v>
      </c>
      <c r="AY23" s="29"/>
      <c r="AZ23" s="1087"/>
      <c r="BA23" s="1084" t="s">
        <v>274</v>
      </c>
      <c r="BB23" s="29"/>
      <c r="BC23" s="376"/>
      <c r="BD23" s="1078">
        <v>1.0</v>
      </c>
      <c r="BE23" s="29"/>
      <c r="BF23" s="1078">
        <v>2.0</v>
      </c>
      <c r="BG23" s="29"/>
      <c r="BH23" s="1078">
        <v>3.0</v>
      </c>
      <c r="BI23" s="29"/>
      <c r="BJ23" s="1031"/>
      <c r="CD23" s="1031"/>
    </row>
    <row r="24" ht="11.25" customHeight="1">
      <c r="A24" s="177"/>
      <c r="B24" s="189"/>
      <c r="C24" s="751"/>
      <c r="D24" s="751"/>
      <c r="E24" s="751"/>
      <c r="F24" s="751"/>
      <c r="G24" s="1088"/>
      <c r="H24" s="751"/>
      <c r="I24" s="751"/>
      <c r="J24" s="751"/>
      <c r="K24" s="751"/>
      <c r="L24" s="1088"/>
      <c r="M24" s="751"/>
      <c r="N24" s="751"/>
      <c r="O24" s="189"/>
      <c r="P24" s="189"/>
      <c r="Q24" s="1031"/>
      <c r="R24" s="189"/>
      <c r="S24" s="189"/>
      <c r="T24" s="189"/>
      <c r="U24" s="189"/>
      <c r="V24" s="1031"/>
      <c r="W24" s="1092"/>
      <c r="X24" s="1092"/>
      <c r="Y24" s="1092"/>
      <c r="Z24" s="1092"/>
      <c r="AA24" s="1092"/>
      <c r="AB24" s="1092"/>
      <c r="AC24" s="1092"/>
      <c r="AD24" s="1092"/>
      <c r="AE24" s="1092"/>
      <c r="AF24" s="1092"/>
      <c r="AG24" s="1092"/>
      <c r="AH24" s="1092"/>
      <c r="AI24" s="1092"/>
      <c r="AJ24" s="1092"/>
      <c r="AK24" s="1092"/>
      <c r="AL24" s="1092"/>
      <c r="AM24" s="1092"/>
      <c r="AN24" s="1092"/>
      <c r="AO24" s="1092"/>
      <c r="AP24" s="1031"/>
      <c r="AQ24" s="751"/>
      <c r="AR24" s="751"/>
      <c r="AS24" s="751"/>
      <c r="AT24" s="751"/>
      <c r="AU24" s="1088"/>
      <c r="AV24" s="751"/>
      <c r="AW24" s="751"/>
      <c r="AX24" s="751"/>
      <c r="AY24" s="751"/>
      <c r="AZ24" s="1088"/>
      <c r="BA24" s="751"/>
      <c r="BB24" s="751"/>
      <c r="BC24" s="189"/>
      <c r="BD24" s="189"/>
      <c r="BE24" s="1031"/>
      <c r="BF24" s="189"/>
      <c r="BG24" s="189"/>
      <c r="BH24" s="189"/>
      <c r="BI24" s="189"/>
      <c r="BJ24" s="1031"/>
      <c r="BK24" s="1092"/>
      <c r="BL24" s="1092"/>
      <c r="BM24" s="1092"/>
      <c r="BN24" s="1092"/>
      <c r="BO24" s="1092"/>
      <c r="BP24" s="1092"/>
      <c r="BQ24" s="1092"/>
      <c r="BR24" s="1092"/>
      <c r="BS24" s="1092"/>
      <c r="BT24" s="1092"/>
      <c r="BU24" s="1092"/>
      <c r="BV24" s="1092"/>
      <c r="BW24" s="1092"/>
      <c r="BX24" s="1092"/>
      <c r="BY24" s="1092"/>
      <c r="BZ24" s="1092"/>
      <c r="CA24" s="1092"/>
      <c r="CB24" s="1092"/>
      <c r="CC24" s="1092"/>
      <c r="CD24" s="1031"/>
    </row>
    <row r="25" ht="18.75" customHeight="1">
      <c r="A25" s="177"/>
      <c r="B25" s="1035" t="s">
        <v>966</v>
      </c>
      <c r="C25" s="1036" t="str">
        <f>IF(E22="W",C15,IF(E22="L",H15,IF(E22=0,"SF1 Winner")))</f>
        <v>Seed 4</v>
      </c>
      <c r="D25" s="129"/>
      <c r="E25" s="129"/>
      <c r="F25" s="131"/>
      <c r="G25" s="1037" t="s">
        <v>943</v>
      </c>
      <c r="H25" s="1038" t="str">
        <f>IF(O22="W",M15,IF(O22="L",R15,IF(O22=0,"SF2 Winner")))</f>
        <v>Seed 3</v>
      </c>
      <c r="I25" s="129"/>
      <c r="J25" s="129"/>
      <c r="K25" s="131"/>
      <c r="L25" s="1031"/>
      <c r="M25" s="1132" t="s">
        <v>967</v>
      </c>
      <c r="N25" s="1133"/>
      <c r="O25" s="1133"/>
      <c r="P25" s="1133"/>
      <c r="Q25" s="1134"/>
      <c r="R25" s="1132" t="s">
        <v>968</v>
      </c>
      <c r="S25" s="1133"/>
      <c r="T25" s="1133"/>
      <c r="U25" s="1133"/>
      <c r="V25" s="1133"/>
      <c r="W25" s="1133"/>
      <c r="X25" s="1133"/>
      <c r="Y25" s="1133"/>
      <c r="Z25" s="1134"/>
      <c r="AA25" s="1132" t="s">
        <v>969</v>
      </c>
      <c r="AB25" s="1133"/>
      <c r="AC25" s="1133"/>
      <c r="AD25" s="1134"/>
      <c r="AE25" s="1132" t="s">
        <v>970</v>
      </c>
      <c r="AF25" s="1133"/>
      <c r="AG25" s="1133"/>
      <c r="AH25" s="1133"/>
      <c r="AI25" s="1133"/>
      <c r="AJ25" s="1133"/>
      <c r="AK25" s="1133"/>
      <c r="AL25" s="1133"/>
      <c r="AM25" s="1133"/>
      <c r="AN25" s="1133"/>
      <c r="AO25" s="1134"/>
      <c r="AP25" s="1031"/>
      <c r="AQ25" s="1039" t="str">
        <f>IF(AS22="W",AQ15,IF(AS22="L",AV15,IF(AS22=0,"SF1 Winner")))</f>
        <v>Seed 1</v>
      </c>
      <c r="AR25" s="129"/>
      <c r="AS25" s="129"/>
      <c r="AT25" s="131"/>
      <c r="AU25" s="1037" t="s">
        <v>943</v>
      </c>
      <c r="AV25" s="1040" t="str">
        <f>IF(BC22="W",BA15,IF(BC22="L",BF15,IF(BC22=0,"SF2 Winner")))</f>
        <v>Seed 6</v>
      </c>
      <c r="AW25" s="129"/>
      <c r="AX25" s="129"/>
      <c r="AY25" s="131"/>
      <c r="AZ25" s="1031"/>
      <c r="BA25" s="1135" t="s">
        <v>967</v>
      </c>
      <c r="BB25" s="763"/>
      <c r="BC25" s="763"/>
      <c r="BD25" s="763"/>
      <c r="BE25" s="760"/>
      <c r="BF25" s="1135" t="s">
        <v>971</v>
      </c>
      <c r="BG25" s="763"/>
      <c r="BH25" s="763"/>
      <c r="BI25" s="763"/>
      <c r="BJ25" s="763"/>
      <c r="BK25" s="763"/>
      <c r="BL25" s="763"/>
      <c r="BM25" s="763"/>
      <c r="BN25" s="760"/>
      <c r="BO25" s="1135" t="s">
        <v>969</v>
      </c>
      <c r="BP25" s="763"/>
      <c r="BQ25" s="763"/>
      <c r="BR25" s="760"/>
      <c r="BS25" s="1135" t="s">
        <v>972</v>
      </c>
      <c r="BT25" s="763"/>
      <c r="BU25" s="763"/>
      <c r="BV25" s="763"/>
      <c r="BW25" s="763"/>
      <c r="BX25" s="763"/>
      <c r="BY25" s="763"/>
      <c r="BZ25" s="763"/>
      <c r="CA25" s="763"/>
      <c r="CB25" s="763"/>
      <c r="CC25" s="760"/>
      <c r="CD25" s="1031"/>
    </row>
    <row r="26" ht="18.75" customHeight="1">
      <c r="A26" s="177"/>
      <c r="B26" s="1041"/>
      <c r="C26" s="1036" t="str">
        <f>IFERROR(VLOOKUP($C$30,Source!$G$2:$K$19,5,FALSE)," ")</f>
        <v/>
      </c>
      <c r="D26" s="129"/>
      <c r="E26" s="129"/>
      <c r="F26" s="131"/>
      <c r="G26" s="136"/>
      <c r="H26" s="1038" t="str">
        <f>IFERROR(VLOOKUP($H$30,Source!$G$2:$K$19,5,FALSE)," ")</f>
        <v/>
      </c>
      <c r="I26" s="129"/>
      <c r="J26" s="129"/>
      <c r="K26" s="131"/>
      <c r="L26" s="1031"/>
      <c r="M26" s="1136"/>
      <c r="Q26" s="1136"/>
      <c r="R26" s="1137"/>
      <c r="V26" s="1137"/>
      <c r="AD26" s="1137"/>
      <c r="AH26" s="1137"/>
      <c r="AP26" s="1031"/>
      <c r="AQ26" s="1039" t="str">
        <f>IFERROR(VLOOKUP($AQ$30,Source!$G$20:$K$39,5,FALSE)," ")</f>
        <v> </v>
      </c>
      <c r="AR26" s="129"/>
      <c r="AS26" s="129"/>
      <c r="AT26" s="131"/>
      <c r="AU26" s="136"/>
      <c r="AV26" s="1040" t="str">
        <f>IFERROR(VLOOKUP($AV$30,Source!$G$20:$K$39,5,FALSE)," ")</f>
        <v> </v>
      </c>
      <c r="AW26" s="129"/>
      <c r="AX26" s="129"/>
      <c r="AY26" s="131"/>
      <c r="AZ26" s="1031"/>
      <c r="BA26" s="1136"/>
      <c r="BE26" s="1136"/>
      <c r="BF26" s="1137"/>
      <c r="BJ26" s="1137"/>
      <c r="BR26" s="1137"/>
      <c r="BV26" s="1137"/>
      <c r="CD26" s="1031"/>
    </row>
    <row r="27" ht="18.75" customHeight="1">
      <c r="A27" s="177"/>
      <c r="B27" s="1041"/>
      <c r="C27" s="135"/>
      <c r="F27" s="136"/>
      <c r="G27" s="136"/>
      <c r="H27" s="135"/>
      <c r="K27" s="136"/>
      <c r="L27" s="1031"/>
      <c r="M27" s="1138"/>
      <c r="N27" s="1138"/>
      <c r="O27" s="1138"/>
      <c r="P27" s="1138"/>
      <c r="Q27" s="1138"/>
      <c r="R27" s="1139" t="str">
        <f t="array" ref="R27">IFNA(VLOOKUP(INDEX(Source!$V$1:$V34,MATCH($R$25,Source!$U$1:$U34,0)+1,),{Pokedex!$C$2:$C34,Pokedex!$E$2:$E34},2,0),"")</f>
        <v/>
      </c>
      <c r="S27" s="1140"/>
      <c r="T27" s="1140"/>
      <c r="U27" s="1141"/>
      <c r="V27" s="1138"/>
      <c r="W27" s="1139" t="str">
        <f t="array" ref="W27">IFNA(VLOOKUP(INDEX(Source!$V$1:$V34,MATCH($R$25,Source!$U$1:$U34,0)+3,),{Pokedex!$C$2:$C34,Pokedex!$E$2:$E34},2,0),"")</f>
        <v/>
      </c>
      <c r="X27" s="1140"/>
      <c r="Y27" s="1140"/>
      <c r="Z27" s="1141"/>
      <c r="AA27" s="189"/>
      <c r="AB27" s="1139" t="str">
        <f t="array" ref="AB27">IFNA(VLOOKUP(INDEX(Source!$V$1:$V34,MATCH($R$25,Source!$U$1:$U34,0)+5,),{Pokedex!$C$2:$C34,Pokedex!$E$2:$E34},2,0),"")</f>
        <v/>
      </c>
      <c r="AC27" s="1140"/>
      <c r="AD27" s="1140"/>
      <c r="AE27" s="1141"/>
      <c r="AF27" s="1092"/>
      <c r="AG27" s="1139" t="str">
        <f t="array" ref="AG27">IFNA(VLOOKUP(INDEX(Source!$V$1:$V34,MATCH($R$25,Source!$U$1:$U34,0)+7,),{Pokedex!$C$2:$C34,Pokedex!$E$2:$E34},2,0),"")</f>
        <v/>
      </c>
      <c r="AH27" s="1140"/>
      <c r="AI27" s="1140"/>
      <c r="AJ27" s="1141"/>
      <c r="AK27" s="1092"/>
      <c r="AL27" s="1139" t="str">
        <f t="array" ref="AL27">IFNA(VLOOKUP(INDEX(Source!$V$1:$V34,MATCH($R$25,Source!$U$1:$U34,0)+9,),{Pokedex!$C$2:$C34,Pokedex!$E$2:$E34},2,0),"")</f>
        <v/>
      </c>
      <c r="AM27" s="1140"/>
      <c r="AN27" s="1140"/>
      <c r="AO27" s="1141"/>
      <c r="AP27" s="1031"/>
      <c r="AQ27" s="135"/>
      <c r="AT27" s="136"/>
      <c r="AU27" s="136"/>
      <c r="AV27" s="135"/>
      <c r="AY27" s="136"/>
      <c r="AZ27" s="1031"/>
      <c r="BA27" s="1138"/>
      <c r="BB27" s="1138"/>
      <c r="BC27" s="1138"/>
      <c r="BD27" s="1138"/>
      <c r="BE27" s="1138"/>
      <c r="BF27" s="1139" t="str">
        <f t="array" ref="BF27">IFNA(VLOOKUP(INDEX(Source!$V$1:$V34,MATCH($BF$25,Source!$U$1:$U34,0)+1,),{Pokedex!$C$2:$C34,Pokedex!$E$2:$E34},2,0),"")</f>
        <v/>
      </c>
      <c r="BG27" s="1140"/>
      <c r="BH27" s="1140"/>
      <c r="BI27" s="1141"/>
      <c r="BJ27" s="1138"/>
      <c r="BK27" s="1139" t="str">
        <f t="array" ref="BK27">IFNA(VLOOKUP(INDEX(Source!$V$1:$V34,MATCH($BF$25,Source!$U$1:$U34,0)+3,),{Pokedex!$C$2:$C34,Pokedex!$E$2:$E34},2,0),"")</f>
        <v/>
      </c>
      <c r="BL27" s="1140"/>
      <c r="BM27" s="1140"/>
      <c r="BN27" s="1141"/>
      <c r="BO27" s="189"/>
      <c r="BP27" s="1139" t="str">
        <f t="array" ref="BP27">IFNA(VLOOKUP(INDEX(Source!$V$1:$V34,MATCH($BF$25,Source!$U$1:$U34,0)+5,),{Pokedex!$C$2:$C34,Pokedex!$E$2:$E34},2,0),"")</f>
        <v/>
      </c>
      <c r="BQ27" s="1140"/>
      <c r="BR27" s="1140"/>
      <c r="BS27" s="1141"/>
      <c r="BT27" s="1092"/>
      <c r="BU27" s="1139" t="str">
        <f t="array" ref="BU27">IFNA(VLOOKUP(INDEX(Source!$V$1:$V34,MATCH($BF$25,Source!$U$1:$U34,0)+7,),{Pokedex!$C$2:$C34,Pokedex!$E$2:$E34},2,0),"")</f>
        <v/>
      </c>
      <c r="BV27" s="1140"/>
      <c r="BW27" s="1140"/>
      <c r="BX27" s="1141"/>
      <c r="BY27" s="1092"/>
      <c r="BZ27" s="1139" t="str">
        <f t="array" ref="BZ27">IFNA(VLOOKUP(INDEX(Source!$V$1:$V34,MATCH($BF$25,Source!$U$1:$U34,0)+9,),{Pokedex!$C$2:$C34,Pokedex!$E$2:$E34},2,0),"")</f>
        <v/>
      </c>
      <c r="CA27" s="1140"/>
      <c r="CB27" s="1140"/>
      <c r="CC27" s="1141"/>
      <c r="CD27" s="1031"/>
    </row>
    <row r="28" ht="18.75" customHeight="1">
      <c r="A28" s="177"/>
      <c r="B28" s="1041"/>
      <c r="C28" s="135"/>
      <c r="F28" s="136"/>
      <c r="G28" s="136"/>
      <c r="H28" s="135"/>
      <c r="K28" s="136"/>
      <c r="L28" s="1031"/>
      <c r="M28" s="1138"/>
      <c r="N28" s="1138"/>
      <c r="O28" s="1138"/>
      <c r="P28" s="1138"/>
      <c r="Q28" s="1138"/>
      <c r="R28" s="1152"/>
      <c r="U28" s="1153"/>
      <c r="V28" s="1138"/>
      <c r="W28" s="1152"/>
      <c r="Z28" s="1153"/>
      <c r="AA28" s="189"/>
      <c r="AB28" s="1152"/>
      <c r="AE28" s="1153"/>
      <c r="AF28" s="1092"/>
      <c r="AG28" s="1152"/>
      <c r="AJ28" s="1153"/>
      <c r="AK28" s="1092"/>
      <c r="AL28" s="1152"/>
      <c r="AO28" s="1153"/>
      <c r="AP28" s="1031"/>
      <c r="AQ28" s="135"/>
      <c r="AT28" s="136"/>
      <c r="AU28" s="136"/>
      <c r="AV28" s="135"/>
      <c r="AY28" s="136"/>
      <c r="AZ28" s="1031"/>
      <c r="BA28" s="1138"/>
      <c r="BB28" s="1138"/>
      <c r="BC28" s="1138"/>
      <c r="BD28" s="1138"/>
      <c r="BE28" s="1138"/>
      <c r="BF28" s="1152"/>
      <c r="BI28" s="1153"/>
      <c r="BJ28" s="1138"/>
      <c r="BK28" s="1152"/>
      <c r="BN28" s="1153"/>
      <c r="BO28" s="189"/>
      <c r="BP28" s="1152"/>
      <c r="BS28" s="1153"/>
      <c r="BT28" s="1092"/>
      <c r="BU28" s="1152"/>
      <c r="BX28" s="1153"/>
      <c r="BY28" s="1092"/>
      <c r="BZ28" s="1152"/>
      <c r="CC28" s="1153"/>
      <c r="CD28" s="1031"/>
    </row>
    <row r="29" ht="18.75" customHeight="1">
      <c r="A29" s="177"/>
      <c r="B29" s="1041"/>
      <c r="C29" s="145"/>
      <c r="D29" s="147"/>
      <c r="E29" s="147"/>
      <c r="F29" s="148"/>
      <c r="G29" s="136"/>
      <c r="H29" s="145"/>
      <c r="I29" s="147"/>
      <c r="J29" s="147"/>
      <c r="K29" s="148"/>
      <c r="L29" s="1031"/>
      <c r="M29" s="1139" t="str">
        <f t="array" ref="M29">IFNA(VLOOKUP(INDEX(Source!$V$1:$V34,MATCH($R$25,Source!$U$1:$U34,0),),{Pokedex!$C$2:$C34,Pokedex!$E$2:$E34},2,0),"")</f>
        <v/>
      </c>
      <c r="N29" s="1140"/>
      <c r="O29" s="1140"/>
      <c r="P29" s="1141"/>
      <c r="Q29" s="1138"/>
      <c r="R29" s="1156"/>
      <c r="S29" s="1157"/>
      <c r="T29" s="1157"/>
      <c r="U29" s="1158"/>
      <c r="V29" s="1138"/>
      <c r="W29" s="1156"/>
      <c r="X29" s="1157"/>
      <c r="Y29" s="1157"/>
      <c r="Z29" s="1158"/>
      <c r="AA29" s="189"/>
      <c r="AB29" s="1156"/>
      <c r="AC29" s="1157"/>
      <c r="AD29" s="1157"/>
      <c r="AE29" s="1158"/>
      <c r="AF29" s="1092"/>
      <c r="AG29" s="1156"/>
      <c r="AH29" s="1157"/>
      <c r="AI29" s="1157"/>
      <c r="AJ29" s="1158"/>
      <c r="AK29" s="1092"/>
      <c r="AL29" s="1156"/>
      <c r="AM29" s="1157"/>
      <c r="AN29" s="1157"/>
      <c r="AO29" s="1158"/>
      <c r="AP29" s="1031"/>
      <c r="AQ29" s="145"/>
      <c r="AR29" s="147"/>
      <c r="AS29" s="147"/>
      <c r="AT29" s="148"/>
      <c r="AU29" s="136"/>
      <c r="AV29" s="145"/>
      <c r="AW29" s="147"/>
      <c r="AX29" s="147"/>
      <c r="AY29" s="148"/>
      <c r="AZ29" s="1031"/>
      <c r="BA29" s="1139" t="str">
        <f t="array" ref="BA29">IFNA(VLOOKUP(INDEX(Source!$V$1:$V34,MATCH(BF25,Source!$U$1:$U34,0),),{Pokedex!$C$2:$C34,Pokedex!$E$2:$E34},2,0),"")</f>
        <v/>
      </c>
      <c r="BB29" s="1140"/>
      <c r="BC29" s="1140"/>
      <c r="BD29" s="1141"/>
      <c r="BE29" s="1138"/>
      <c r="BF29" s="1156"/>
      <c r="BG29" s="1157"/>
      <c r="BH29" s="1157"/>
      <c r="BI29" s="1158"/>
      <c r="BJ29" s="1138"/>
      <c r="BK29" s="1156"/>
      <c r="BL29" s="1157"/>
      <c r="BM29" s="1157"/>
      <c r="BN29" s="1158"/>
      <c r="BO29" s="189"/>
      <c r="BP29" s="1156"/>
      <c r="BQ29" s="1157"/>
      <c r="BR29" s="1157"/>
      <c r="BS29" s="1158"/>
      <c r="BT29" s="1092"/>
      <c r="BU29" s="1156"/>
      <c r="BV29" s="1157"/>
      <c r="BW29" s="1157"/>
      <c r="BX29" s="1158"/>
      <c r="BY29" s="1092"/>
      <c r="BZ29" s="1156"/>
      <c r="CA29" s="1157"/>
      <c r="CB29" s="1157"/>
      <c r="CC29" s="1158"/>
      <c r="CD29" s="1031"/>
    </row>
    <row r="30" ht="18.75" customHeight="1">
      <c r="A30" s="177"/>
      <c r="B30" s="1041"/>
      <c r="C30" s="1046" t="str">
        <f>IF(E22="W",C20,IF(E22="L",H20,IF(E22=0,"SF1 Winner")))</f>
        <v>Zach VanSickle</v>
      </c>
      <c r="D30" s="147"/>
      <c r="E30" s="147"/>
      <c r="F30" s="148"/>
      <c r="G30" s="136"/>
      <c r="H30" s="1048" t="str">
        <f>IF(O22="W",M20,IF(O22="L",R20,IF(O22=0,"SF2 Winner")))</f>
        <v>Ryan Evans</v>
      </c>
      <c r="I30" s="147"/>
      <c r="J30" s="147"/>
      <c r="K30" s="148"/>
      <c r="L30" s="1031"/>
      <c r="M30" s="1152"/>
      <c r="P30" s="1153"/>
      <c r="Q30" s="1138"/>
      <c r="R30" s="1138"/>
      <c r="S30" s="1138"/>
      <c r="T30" s="1138"/>
      <c r="U30" s="1138"/>
      <c r="V30" s="1138"/>
      <c r="W30" s="1138"/>
      <c r="X30" s="1138"/>
      <c r="Y30" s="1138"/>
      <c r="Z30" s="1138"/>
      <c r="AA30" s="1138"/>
      <c r="AB30" s="1138"/>
      <c r="AC30" s="1138"/>
      <c r="AD30" s="1138"/>
      <c r="AE30" s="1138"/>
      <c r="AF30" s="1138"/>
      <c r="AG30" s="1138"/>
      <c r="AH30" s="1138"/>
      <c r="AI30" s="1138"/>
      <c r="AJ30" s="1138"/>
      <c r="AK30" s="1138"/>
      <c r="AL30" s="1138"/>
      <c r="AM30" s="1138"/>
      <c r="AN30" s="1092"/>
      <c r="AO30" s="1092"/>
      <c r="AP30" s="1031"/>
      <c r="AQ30" s="1049" t="str">
        <f>IF(AS22="W",AQ20,IF(AS22="L",AV20,IF(AS22=0,"SF1 Winner")))</f>
        <v>#REF!</v>
      </c>
      <c r="AR30" s="147"/>
      <c r="AS30" s="147"/>
      <c r="AT30" s="148"/>
      <c r="AU30" s="136"/>
      <c r="AV30" s="1050" t="str">
        <f>IF(BC22="W",BA20,IF(BC22="L",BF20,IF(BC22=0,"SF2 Winner")))</f>
        <v>#REF!</v>
      </c>
      <c r="AW30" s="147"/>
      <c r="AX30" s="147"/>
      <c r="AY30" s="148"/>
      <c r="AZ30" s="1031"/>
      <c r="BA30" s="1152"/>
      <c r="BD30" s="1153"/>
      <c r="BE30" s="1138"/>
      <c r="BF30" s="1138"/>
      <c r="BG30" s="1138"/>
      <c r="BH30" s="1138"/>
      <c r="BI30" s="1138"/>
      <c r="BJ30" s="1138"/>
      <c r="BK30" s="1138"/>
      <c r="BL30" s="1138"/>
      <c r="BM30" s="1138"/>
      <c r="BN30" s="1138"/>
      <c r="BO30" s="1138"/>
      <c r="BP30" s="1138"/>
      <c r="BQ30" s="1138"/>
      <c r="BR30" s="1138"/>
      <c r="BS30" s="1138"/>
      <c r="BT30" s="1138"/>
      <c r="BU30" s="1138"/>
      <c r="BV30" s="1138"/>
      <c r="BW30" s="1138"/>
      <c r="BX30" s="1138"/>
      <c r="BY30" s="1138"/>
      <c r="BZ30" s="1138"/>
      <c r="CA30" s="1138"/>
      <c r="CB30" s="1092"/>
      <c r="CC30" s="1092"/>
      <c r="CD30" s="1031"/>
    </row>
    <row r="31" ht="18.75" customHeight="1">
      <c r="A31" s="177"/>
      <c r="B31" s="1041"/>
      <c r="C31" s="1051" t="s">
        <v>78</v>
      </c>
      <c r="D31" s="925"/>
      <c r="E31" s="1052" t="s">
        <v>951</v>
      </c>
      <c r="F31" s="1053"/>
      <c r="G31" s="136"/>
      <c r="H31" s="1054" t="s">
        <v>951</v>
      </c>
      <c r="I31" s="925"/>
      <c r="J31" s="1055" t="s">
        <v>78</v>
      </c>
      <c r="K31" s="1053"/>
      <c r="L31" s="1031"/>
      <c r="M31" s="1156"/>
      <c r="N31" s="1157"/>
      <c r="O31" s="1157"/>
      <c r="P31" s="1158"/>
      <c r="Q31" s="1138"/>
      <c r="R31" s="1139" t="str">
        <f t="array" ref="R31">IFNA(VLOOKUP(INDEX(Source!$V$1:$V34,MATCH($R$25,Source!$U$1:$U34,0)+2,),{Pokedex!$C$2:$C34,Pokedex!$E$2:$E34},2,0),"")</f>
        <v/>
      </c>
      <c r="S31" s="1140"/>
      <c r="T31" s="1140"/>
      <c r="U31" s="1141"/>
      <c r="V31" s="1138"/>
      <c r="W31" s="1139" t="str">
        <f t="array" ref="W31">IFNA(VLOOKUP(INDEX(Source!$V$1:$V34,MATCH($R$25,Source!$U$1:$U34,0)+4,),{Pokedex!$C$2:$C34,Pokedex!$E$2:$E34},2,0),"")</f>
        <v/>
      </c>
      <c r="X31" s="1140"/>
      <c r="Y31" s="1140"/>
      <c r="Z31" s="1141"/>
      <c r="AA31" s="189"/>
      <c r="AB31" s="1139" t="str">
        <f t="array" ref="AB31">IFNA(VLOOKUP(INDEX(Source!$V$1:$V34,MATCH($R$25,Source!$U$1:$U34,0)+6,),{Pokedex!$C$2:$C34,Pokedex!$E$2:$E34},2,0),"")</f>
        <v/>
      </c>
      <c r="AC31" s="1140"/>
      <c r="AD31" s="1140"/>
      <c r="AE31" s="1141"/>
      <c r="AF31" s="1092"/>
      <c r="AG31" s="1139" t="str">
        <f t="array" ref="AG31">IFNA(VLOOKUP(INDEX(Source!$V$1:$V34,MATCH($R$25,Source!$U$1:$U34,0)+8,),{Pokedex!$C$2:$C34,Pokedex!$E$2:$E34},2,0),"")</f>
        <v/>
      </c>
      <c r="AH31" s="1140"/>
      <c r="AI31" s="1140"/>
      <c r="AJ31" s="1141"/>
      <c r="AK31" s="1092"/>
      <c r="AL31" s="1139" t="str">
        <f t="array" ref="AL31">IFNA(VLOOKUP(INDEX(Source!$V$1:$V34,MATCH($R$25,Source!$U$1:$U34,0)+10,),{Pokedex!$C$2:$C34,Pokedex!$E$2:$E34},2,0),"")</f>
        <v/>
      </c>
      <c r="AM31" s="1140"/>
      <c r="AN31" s="1140"/>
      <c r="AO31" s="1141"/>
      <c r="AP31" s="1031"/>
      <c r="AQ31" s="1057" t="s">
        <v>78</v>
      </c>
      <c r="AR31" s="925"/>
      <c r="AS31" s="1058" t="s">
        <v>951</v>
      </c>
      <c r="AT31" s="1053"/>
      <c r="AU31" s="136"/>
      <c r="AV31" s="1059" t="s">
        <v>951</v>
      </c>
      <c r="AW31" s="925"/>
      <c r="AX31" s="1060" t="s">
        <v>78</v>
      </c>
      <c r="AY31" s="1053"/>
      <c r="AZ31" s="1031"/>
      <c r="BA31" s="1156"/>
      <c r="BB31" s="1157"/>
      <c r="BC31" s="1157"/>
      <c r="BD31" s="1158"/>
      <c r="BE31" s="1138"/>
      <c r="BF31" s="1139" t="str">
        <f t="array" ref="BF31">IFNA(VLOOKUP(INDEX(Source!$V$1:$V34,MATCH($BF$25,Source!$U$1:$U34,0)+2,),{Pokedex!$C$2:$C34,Pokedex!$E$2:$E34},2,0),"")</f>
        <v/>
      </c>
      <c r="BG31" s="1140"/>
      <c r="BH31" s="1140"/>
      <c r="BI31" s="1141"/>
      <c r="BJ31" s="1138"/>
      <c r="BK31" s="1139" t="str">
        <f t="array" ref="BK31">IFNA(VLOOKUP(INDEX(Source!$V$1:$V34,MATCH($BF$25,Source!$U$1:$U34,0)+4,),{Pokedex!$C$2:$C34,Pokedex!$E$2:$E34},2,0),"")</f>
        <v/>
      </c>
      <c r="BL31" s="1140"/>
      <c r="BM31" s="1140"/>
      <c r="BN31" s="1141"/>
      <c r="BO31" s="189"/>
      <c r="BP31" s="1139" t="str">
        <f t="array" ref="BP31">IFNA(VLOOKUP(INDEX(Source!$V$1:$V34,MATCH($BF$25,Source!$U$1:$U34,0)+6,),{Pokedex!$C$2:$C34,Pokedex!$E$2:$E34},2,0),"")</f>
        <v/>
      </c>
      <c r="BQ31" s="1140"/>
      <c r="BR31" s="1140"/>
      <c r="BS31" s="1141"/>
      <c r="BT31" s="1092"/>
      <c r="BU31" s="1139" t="str">
        <f t="array" ref="BU31">IFNA(VLOOKUP(INDEX(Source!$V$1:$V34,MATCH($BF$25,Source!$U$1:$U34,0)+8,),{Pokedex!$C$2:$C34,Pokedex!$E$2:$E34},2,0),"")</f>
        <v/>
      </c>
      <c r="BV31" s="1140"/>
      <c r="BW31" s="1140"/>
      <c r="BX31" s="1141"/>
      <c r="BY31" s="1092"/>
      <c r="BZ31" s="1139" t="str">
        <f t="array" ref="BZ31">IFNA(VLOOKUP(INDEX(Source!$V$1:$V34,MATCH($BF$25,Source!$U$1:$U34,0)+10,),{Pokedex!$C$2:$C34,Pokedex!$E$2:$E34},2,0),"")</f>
        <v/>
      </c>
      <c r="CA31" s="1140"/>
      <c r="CB31" s="1140"/>
      <c r="CC31" s="1141"/>
      <c r="CD31" s="1031"/>
    </row>
    <row r="32" ht="18.75" customHeight="1">
      <c r="A32" s="177"/>
      <c r="B32" s="1041"/>
      <c r="C32" s="1061">
        <v>-5.0</v>
      </c>
      <c r="D32" s="226"/>
      <c r="E32" s="1063" t="str">
        <f>IF(C32&gt;0,"W",IF(C32&lt;0,"L",))</f>
        <v>L</v>
      </c>
      <c r="F32" s="540"/>
      <c r="G32" s="148"/>
      <c r="H32" s="1066" t="str">
        <f>IF(J32&gt;0,"W",IF(J32&lt;0,"L",))</f>
        <v>W</v>
      </c>
      <c r="I32" s="226"/>
      <c r="J32" s="1067">
        <v>5.0</v>
      </c>
      <c r="K32" s="540"/>
      <c r="L32" s="1031"/>
      <c r="M32" s="1138"/>
      <c r="N32" s="1138"/>
      <c r="O32" s="1138"/>
      <c r="P32" s="1138"/>
      <c r="Q32" s="1138"/>
      <c r="R32" s="1152"/>
      <c r="U32" s="1153"/>
      <c r="V32" s="1138"/>
      <c r="W32" s="1152"/>
      <c r="Z32" s="1153"/>
      <c r="AA32" s="189"/>
      <c r="AB32" s="1152"/>
      <c r="AE32" s="1153"/>
      <c r="AF32" s="1092"/>
      <c r="AG32" s="1152"/>
      <c r="AJ32" s="1153"/>
      <c r="AK32" s="1092"/>
      <c r="AL32" s="1152"/>
      <c r="AO32" s="1153"/>
      <c r="AP32" s="1031"/>
      <c r="AQ32" s="1070">
        <v>3.0</v>
      </c>
      <c r="AR32" s="226"/>
      <c r="AS32" s="1072" t="str">
        <f>IF(AQ32&gt;0,"W",IF(AQ32&lt;0,"L",))</f>
        <v>W</v>
      </c>
      <c r="AT32" s="540"/>
      <c r="AU32" s="148"/>
      <c r="AV32" s="1073" t="str">
        <f>IF(AX32&gt;0,"W",IF(AX32&lt;0,"L",))</f>
        <v>L</v>
      </c>
      <c r="AW32" s="226"/>
      <c r="AX32" s="1074">
        <v>-3.0</v>
      </c>
      <c r="AY32" s="540"/>
      <c r="AZ32" s="1031"/>
      <c r="BA32" s="1138"/>
      <c r="BB32" s="1138"/>
      <c r="BC32" s="1138"/>
      <c r="BD32" s="1138"/>
      <c r="BE32" s="1138"/>
      <c r="BF32" s="1152"/>
      <c r="BI32" s="1153"/>
      <c r="BJ32" s="1138"/>
      <c r="BK32" s="1152"/>
      <c r="BN32" s="1153"/>
      <c r="BO32" s="189"/>
      <c r="BP32" s="1152"/>
      <c r="BS32" s="1153"/>
      <c r="BT32" s="1092"/>
      <c r="BU32" s="1152"/>
      <c r="BX32" s="1153"/>
      <c r="BY32" s="1092"/>
      <c r="BZ32" s="1152"/>
      <c r="CC32" s="1153"/>
      <c r="CD32" s="1031"/>
    </row>
    <row r="33" ht="15.75" customHeight="1">
      <c r="A33" s="177"/>
      <c r="B33" s="1075"/>
      <c r="C33" s="1076" t="s">
        <v>274</v>
      </c>
      <c r="D33" s="29"/>
      <c r="E33" s="376"/>
      <c r="F33" s="1078">
        <v>1.0</v>
      </c>
      <c r="G33" s="29"/>
      <c r="H33" s="1078">
        <v>2.0</v>
      </c>
      <c r="I33" s="29"/>
      <c r="J33" s="1125">
        <v>3.0</v>
      </c>
      <c r="K33" s="29"/>
      <c r="L33" s="1031"/>
      <c r="M33" s="1138"/>
      <c r="N33" s="1138"/>
      <c r="O33" s="1138"/>
      <c r="P33" s="1138"/>
      <c r="Q33" s="1138"/>
      <c r="R33" s="1156"/>
      <c r="S33" s="1157"/>
      <c r="T33" s="1157"/>
      <c r="U33" s="1158"/>
      <c r="V33" s="1138"/>
      <c r="W33" s="1156"/>
      <c r="X33" s="1157"/>
      <c r="Y33" s="1157"/>
      <c r="Z33" s="1158"/>
      <c r="AA33" s="189"/>
      <c r="AB33" s="1156"/>
      <c r="AC33" s="1157"/>
      <c r="AD33" s="1157"/>
      <c r="AE33" s="1158"/>
      <c r="AF33" s="1092"/>
      <c r="AG33" s="1156"/>
      <c r="AH33" s="1157"/>
      <c r="AI33" s="1157"/>
      <c r="AJ33" s="1158"/>
      <c r="AK33" s="1092"/>
      <c r="AL33" s="1156"/>
      <c r="AM33" s="1157"/>
      <c r="AN33" s="1157"/>
      <c r="AO33" s="1158"/>
      <c r="AP33" s="1031"/>
      <c r="AQ33" s="1076" t="s">
        <v>274</v>
      </c>
      <c r="AR33" s="29"/>
      <c r="AS33" s="376"/>
      <c r="AT33" s="1078">
        <v>1.0</v>
      </c>
      <c r="AU33" s="29"/>
      <c r="AV33" s="1078">
        <v>2.0</v>
      </c>
      <c r="AW33" s="29"/>
      <c r="AX33" s="1125">
        <v>3.0</v>
      </c>
      <c r="AY33" s="29"/>
      <c r="AZ33" s="1031"/>
      <c r="BA33" s="1138"/>
      <c r="BB33" s="1138"/>
      <c r="BC33" s="1138"/>
      <c r="BD33" s="1138"/>
      <c r="BE33" s="1138"/>
      <c r="BF33" s="1156"/>
      <c r="BG33" s="1157"/>
      <c r="BH33" s="1157"/>
      <c r="BI33" s="1158"/>
      <c r="BJ33" s="1138"/>
      <c r="BK33" s="1156"/>
      <c r="BL33" s="1157"/>
      <c r="BM33" s="1157"/>
      <c r="BN33" s="1158"/>
      <c r="BO33" s="189"/>
      <c r="BP33" s="1156"/>
      <c r="BQ33" s="1157"/>
      <c r="BR33" s="1157"/>
      <c r="BS33" s="1158"/>
      <c r="BT33" s="1092"/>
      <c r="BU33" s="1156"/>
      <c r="BV33" s="1157"/>
      <c r="BW33" s="1157"/>
      <c r="BX33" s="1158"/>
      <c r="BY33" s="1092"/>
      <c r="BZ33" s="1156"/>
      <c r="CA33" s="1157"/>
      <c r="CB33" s="1157"/>
      <c r="CC33" s="1158"/>
      <c r="CD33" s="1031"/>
    </row>
    <row r="34" ht="11.25" customHeight="1">
      <c r="A34" s="177"/>
      <c r="B34" s="189"/>
      <c r="C34" s="751"/>
      <c r="D34" s="751"/>
      <c r="E34" s="751"/>
      <c r="F34" s="751"/>
      <c r="G34" s="1088"/>
      <c r="H34" s="751"/>
      <c r="I34" s="751"/>
      <c r="J34" s="751"/>
      <c r="K34" s="751"/>
      <c r="L34" s="1088"/>
      <c r="M34" s="751"/>
      <c r="N34" s="751"/>
      <c r="O34" s="189"/>
      <c r="P34" s="189"/>
      <c r="Q34" s="1031"/>
      <c r="R34" s="1138"/>
      <c r="S34" s="1138"/>
      <c r="T34" s="1138"/>
      <c r="U34" s="1138"/>
      <c r="V34" s="1138"/>
      <c r="W34" s="1138"/>
      <c r="X34" s="1138"/>
      <c r="Y34" s="1138"/>
      <c r="Z34" s="1138"/>
      <c r="AA34" s="1138"/>
      <c r="AB34" s="1138"/>
      <c r="AC34" s="1138"/>
      <c r="AD34" s="1138"/>
      <c r="AE34" s="1138"/>
      <c r="AF34" s="1138"/>
      <c r="AG34" s="1138"/>
      <c r="AH34" s="1138"/>
      <c r="AI34" s="1138"/>
      <c r="AJ34" s="1138"/>
      <c r="AK34" s="1138"/>
      <c r="AL34" s="1138"/>
      <c r="AM34" s="1138"/>
      <c r="AN34" s="1092"/>
      <c r="AO34" s="1092"/>
      <c r="AP34" s="1031"/>
      <c r="AQ34" s="189"/>
      <c r="AR34" s="189"/>
      <c r="AS34" s="189"/>
      <c r="AT34" s="1031"/>
      <c r="AU34" s="189"/>
      <c r="AV34" s="189"/>
      <c r="AW34" s="189"/>
      <c r="AX34" s="189"/>
      <c r="AY34" s="189"/>
      <c r="AZ34" s="751"/>
      <c r="BA34" s="751"/>
      <c r="BB34" s="751"/>
      <c r="BC34" s="751"/>
      <c r="BD34" s="1088"/>
      <c r="BE34" s="751"/>
      <c r="BF34" s="751"/>
      <c r="BG34" s="751"/>
      <c r="BH34" s="751"/>
      <c r="BI34" s="1088"/>
      <c r="BJ34" s="751"/>
      <c r="BK34" s="751"/>
      <c r="BL34" s="189"/>
      <c r="BM34" s="189"/>
      <c r="BN34" s="1031"/>
      <c r="BO34" s="189"/>
      <c r="BP34" s="189"/>
      <c r="BQ34" s="189"/>
      <c r="BR34" s="189"/>
      <c r="BS34" s="1031"/>
      <c r="BT34" s="189"/>
      <c r="BU34" s="189"/>
      <c r="BV34" s="189"/>
      <c r="BW34" s="189"/>
      <c r="BX34" s="1031"/>
      <c r="BY34" s="189"/>
      <c r="BZ34" s="189"/>
      <c r="CA34" s="189"/>
      <c r="CB34" s="189"/>
      <c r="CC34" s="1031"/>
      <c r="CD34" s="189"/>
    </row>
  </sheetData>
  <mergeCells count="313">
    <mergeCell ref="BY5:BY12"/>
    <mergeCell ref="BZ5:CC5"/>
    <mergeCell ref="BZ6:CC9"/>
    <mergeCell ref="BZ10:CC10"/>
    <mergeCell ref="BZ11:CA11"/>
    <mergeCell ref="CB11:CC11"/>
    <mergeCell ref="BZ12:CA12"/>
    <mergeCell ref="CB12:CC12"/>
    <mergeCell ref="C3:AO3"/>
    <mergeCell ref="AQ3:CC3"/>
    <mergeCell ref="G5:G12"/>
    <mergeCell ref="Q5:Q12"/>
    <mergeCell ref="AK5:AK12"/>
    <mergeCell ref="BU6:BX9"/>
    <mergeCell ref="BU10:BX10"/>
    <mergeCell ref="BP13:BQ13"/>
    <mergeCell ref="BR13:BS13"/>
    <mergeCell ref="BU13:BW13"/>
    <mergeCell ref="BX13:BY13"/>
    <mergeCell ref="BZ13:CA13"/>
    <mergeCell ref="CB13:CC13"/>
    <mergeCell ref="AX13:AY13"/>
    <mergeCell ref="BA13:BC13"/>
    <mergeCell ref="BD13:BE13"/>
    <mergeCell ref="BF13:BG13"/>
    <mergeCell ref="BH13:BI13"/>
    <mergeCell ref="BK13:BM13"/>
    <mergeCell ref="BN13:BO13"/>
    <mergeCell ref="BK6:BN9"/>
    <mergeCell ref="BP6:BS9"/>
    <mergeCell ref="C5:F5"/>
    <mergeCell ref="C10:F10"/>
    <mergeCell ref="BK10:BN10"/>
    <mergeCell ref="BP10:BS10"/>
    <mergeCell ref="E11:F11"/>
    <mergeCell ref="W11:X11"/>
    <mergeCell ref="Y11:Z11"/>
    <mergeCell ref="AB11:AC11"/>
    <mergeCell ref="B5:B13"/>
    <mergeCell ref="C11:D11"/>
    <mergeCell ref="C13:E13"/>
    <mergeCell ref="F13:G13"/>
    <mergeCell ref="H13:I13"/>
    <mergeCell ref="J13:K13"/>
    <mergeCell ref="M13:O13"/>
    <mergeCell ref="AD11:AE11"/>
    <mergeCell ref="AG11:AH11"/>
    <mergeCell ref="AL13:AM13"/>
    <mergeCell ref="AN13:AO13"/>
    <mergeCell ref="AQ13:AS13"/>
    <mergeCell ref="AT13:AU13"/>
    <mergeCell ref="AV13:AW13"/>
    <mergeCell ref="H5:K5"/>
    <mergeCell ref="AL5:AO5"/>
    <mergeCell ref="AQ5:AT5"/>
    <mergeCell ref="AU5:AU12"/>
    <mergeCell ref="AL10:AO10"/>
    <mergeCell ref="AQ10:AT10"/>
    <mergeCell ref="AV10:AY10"/>
    <mergeCell ref="AV5:AY5"/>
    <mergeCell ref="BA5:BD5"/>
    <mergeCell ref="BE5:BE12"/>
    <mergeCell ref="BF5:BI5"/>
    <mergeCell ref="BA6:BD9"/>
    <mergeCell ref="BF6:BI9"/>
    <mergeCell ref="BA10:BD10"/>
    <mergeCell ref="BF10:BI10"/>
    <mergeCell ref="M11:N11"/>
    <mergeCell ref="O11:P11"/>
    <mergeCell ref="T12:U12"/>
    <mergeCell ref="AB12:AC12"/>
    <mergeCell ref="AD12:AE12"/>
    <mergeCell ref="AG12:AH12"/>
    <mergeCell ref="AI12:AJ12"/>
    <mergeCell ref="AB5:AE5"/>
    <mergeCell ref="AG5:AJ5"/>
    <mergeCell ref="W5:Z5"/>
    <mergeCell ref="AA5:AA12"/>
    <mergeCell ref="W10:Z10"/>
    <mergeCell ref="AB10:AE10"/>
    <mergeCell ref="AG10:AJ10"/>
    <mergeCell ref="W12:X12"/>
    <mergeCell ref="Y12:Z12"/>
    <mergeCell ref="AQ16:AT19"/>
    <mergeCell ref="AQ20:AT20"/>
    <mergeCell ref="BA21:BB21"/>
    <mergeCell ref="BC21:BD21"/>
    <mergeCell ref="BA25:BE25"/>
    <mergeCell ref="BF21:BG21"/>
    <mergeCell ref="BH21:BI21"/>
    <mergeCell ref="BF25:BN25"/>
    <mergeCell ref="BO25:BR25"/>
    <mergeCell ref="BJ26:BQ26"/>
    <mergeCell ref="AQ22:AR22"/>
    <mergeCell ref="AS22:AT22"/>
    <mergeCell ref="AV22:AW22"/>
    <mergeCell ref="AX22:AY22"/>
    <mergeCell ref="BA22:BB22"/>
    <mergeCell ref="BC22:BD22"/>
    <mergeCell ref="BF22:BG22"/>
    <mergeCell ref="BH22:BI22"/>
    <mergeCell ref="C25:F25"/>
    <mergeCell ref="H25:K25"/>
    <mergeCell ref="M25:Q25"/>
    <mergeCell ref="R25:Z25"/>
    <mergeCell ref="AA25:AD25"/>
    <mergeCell ref="AE25:AO25"/>
    <mergeCell ref="AV21:AW21"/>
    <mergeCell ref="AU25:AU32"/>
    <mergeCell ref="AQ33:AS33"/>
    <mergeCell ref="AT33:AU33"/>
    <mergeCell ref="AV33:AW33"/>
    <mergeCell ref="AX33:AY33"/>
    <mergeCell ref="H26:K29"/>
    <mergeCell ref="M26:P26"/>
    <mergeCell ref="R26:U26"/>
    <mergeCell ref="V26:AC26"/>
    <mergeCell ref="AD26:AG26"/>
    <mergeCell ref="AH26:AO26"/>
    <mergeCell ref="BA26:BD26"/>
    <mergeCell ref="BF26:BI26"/>
    <mergeCell ref="BF27:BI29"/>
    <mergeCell ref="BF31:BI33"/>
    <mergeCell ref="BK31:BN33"/>
    <mergeCell ref="BP31:BS33"/>
    <mergeCell ref="BU31:BX33"/>
    <mergeCell ref="BZ31:CC33"/>
    <mergeCell ref="AV25:AY25"/>
    <mergeCell ref="AV26:AY29"/>
    <mergeCell ref="BK27:BN29"/>
    <mergeCell ref="BP27:BS29"/>
    <mergeCell ref="BU27:BX29"/>
    <mergeCell ref="BZ27:CC29"/>
    <mergeCell ref="BA29:BD31"/>
    <mergeCell ref="G25:G32"/>
    <mergeCell ref="C26:F29"/>
    <mergeCell ref="C30:F30"/>
    <mergeCell ref="C31:D31"/>
    <mergeCell ref="E31:F31"/>
    <mergeCell ref="C32:D32"/>
    <mergeCell ref="E32:F32"/>
    <mergeCell ref="B25:B33"/>
    <mergeCell ref="M29:P31"/>
    <mergeCell ref="H30:K30"/>
    <mergeCell ref="H31:I31"/>
    <mergeCell ref="J31:K31"/>
    <mergeCell ref="H32:I32"/>
    <mergeCell ref="J32:K32"/>
    <mergeCell ref="R27:U29"/>
    <mergeCell ref="W27:Z29"/>
    <mergeCell ref="R31:U33"/>
    <mergeCell ref="W31:Z33"/>
    <mergeCell ref="AB31:AE33"/>
    <mergeCell ref="AG31:AJ33"/>
    <mergeCell ref="AL31:AO33"/>
    <mergeCell ref="AB27:AE29"/>
    <mergeCell ref="AG27:AJ29"/>
    <mergeCell ref="AV20:AY20"/>
    <mergeCell ref="AQ21:AR21"/>
    <mergeCell ref="AS21:AT21"/>
    <mergeCell ref="AX21:AY21"/>
    <mergeCell ref="AQ25:AT25"/>
    <mergeCell ref="AQ26:AT29"/>
    <mergeCell ref="AL27:AO29"/>
    <mergeCell ref="AV31:AW31"/>
    <mergeCell ref="AV32:AW32"/>
    <mergeCell ref="AQ30:AT30"/>
    <mergeCell ref="AV30:AY30"/>
    <mergeCell ref="AQ31:AR31"/>
    <mergeCell ref="AS31:AT31"/>
    <mergeCell ref="AX31:AY31"/>
    <mergeCell ref="AQ32:AR32"/>
    <mergeCell ref="AS32:AT32"/>
    <mergeCell ref="AX32:AY32"/>
    <mergeCell ref="C33:E33"/>
    <mergeCell ref="F33:G33"/>
    <mergeCell ref="H33:I33"/>
    <mergeCell ref="J33:K33"/>
    <mergeCell ref="R11:S11"/>
    <mergeCell ref="T11:U11"/>
    <mergeCell ref="M5:P5"/>
    <mergeCell ref="R5:U5"/>
    <mergeCell ref="H10:K10"/>
    <mergeCell ref="M10:P10"/>
    <mergeCell ref="R10:U10"/>
    <mergeCell ref="H11:I11"/>
    <mergeCell ref="J11:K11"/>
    <mergeCell ref="BK5:BN5"/>
    <mergeCell ref="BO5:BO12"/>
    <mergeCell ref="BK11:BL11"/>
    <mergeCell ref="BM11:BN11"/>
    <mergeCell ref="BP5:BS5"/>
    <mergeCell ref="BU5:BX5"/>
    <mergeCell ref="W6:Z9"/>
    <mergeCell ref="AB6:AE9"/>
    <mergeCell ref="AG6:AJ9"/>
    <mergeCell ref="AL6:AO9"/>
    <mergeCell ref="AI11:AJ11"/>
    <mergeCell ref="AL11:AM11"/>
    <mergeCell ref="AN11:AO11"/>
    <mergeCell ref="AQ6:AT9"/>
    <mergeCell ref="AV6:AY9"/>
    <mergeCell ref="AQ11:AR11"/>
    <mergeCell ref="AS11:AT11"/>
    <mergeCell ref="AV11:AW11"/>
    <mergeCell ref="AX11:AY11"/>
    <mergeCell ref="BA11:BB11"/>
    <mergeCell ref="O12:P12"/>
    <mergeCell ref="R12:S12"/>
    <mergeCell ref="BU12:BV12"/>
    <mergeCell ref="BW12:BX12"/>
    <mergeCell ref="BC11:BD11"/>
    <mergeCell ref="BF11:BG11"/>
    <mergeCell ref="BH11:BI11"/>
    <mergeCell ref="BP11:BQ11"/>
    <mergeCell ref="BR11:BS11"/>
    <mergeCell ref="BU11:BV11"/>
    <mergeCell ref="BW11:BX11"/>
    <mergeCell ref="AL12:AM12"/>
    <mergeCell ref="AN12:AO12"/>
    <mergeCell ref="AQ12:AR12"/>
    <mergeCell ref="AS12:AT12"/>
    <mergeCell ref="AV12:AW12"/>
    <mergeCell ref="AX12:AY12"/>
    <mergeCell ref="BA12:BB12"/>
    <mergeCell ref="BC12:BD12"/>
    <mergeCell ref="BF12:BG12"/>
    <mergeCell ref="BH12:BI12"/>
    <mergeCell ref="BK12:BL12"/>
    <mergeCell ref="BM12:BN12"/>
    <mergeCell ref="BP12:BQ12"/>
    <mergeCell ref="BR12:BS12"/>
    <mergeCell ref="AG13:AI13"/>
    <mergeCell ref="AJ13:AK13"/>
    <mergeCell ref="AQ15:AT15"/>
    <mergeCell ref="AV15:AY15"/>
    <mergeCell ref="BA15:BD15"/>
    <mergeCell ref="BF15:BI15"/>
    <mergeCell ref="P13:Q13"/>
    <mergeCell ref="R13:S13"/>
    <mergeCell ref="T13:U13"/>
    <mergeCell ref="W13:Y13"/>
    <mergeCell ref="Z13:AA13"/>
    <mergeCell ref="AB13:AC13"/>
    <mergeCell ref="AD13:AE13"/>
    <mergeCell ref="C12:D12"/>
    <mergeCell ref="C16:F19"/>
    <mergeCell ref="J21:K21"/>
    <mergeCell ref="M21:N21"/>
    <mergeCell ref="O21:P21"/>
    <mergeCell ref="C22:D22"/>
    <mergeCell ref="E22:F22"/>
    <mergeCell ref="H22:I22"/>
    <mergeCell ref="J22:K22"/>
    <mergeCell ref="M22:N22"/>
    <mergeCell ref="O22:P22"/>
    <mergeCell ref="C6:F9"/>
    <mergeCell ref="H6:K9"/>
    <mergeCell ref="H12:I12"/>
    <mergeCell ref="M12:N12"/>
    <mergeCell ref="G15:G22"/>
    <mergeCell ref="Q15:Q22"/>
    <mergeCell ref="M20:P20"/>
    <mergeCell ref="BA16:BD19"/>
    <mergeCell ref="BA20:BD20"/>
    <mergeCell ref="AQ23:AS23"/>
    <mergeCell ref="AT23:AU23"/>
    <mergeCell ref="AV23:AW23"/>
    <mergeCell ref="AX23:AY23"/>
    <mergeCell ref="BA23:BC23"/>
    <mergeCell ref="BD23:BE23"/>
    <mergeCell ref="BF23:BG23"/>
    <mergeCell ref="BH23:BI23"/>
    <mergeCell ref="BS25:CC25"/>
    <mergeCell ref="BR26:BU26"/>
    <mergeCell ref="BV26:CC26"/>
    <mergeCell ref="W15:AO23"/>
    <mergeCell ref="AU15:AU22"/>
    <mergeCell ref="BE15:BE22"/>
    <mergeCell ref="BK15:CC23"/>
    <mergeCell ref="AV16:AY19"/>
    <mergeCell ref="BF16:BI19"/>
    <mergeCell ref="BF20:BI20"/>
    <mergeCell ref="M23:O23"/>
    <mergeCell ref="P23:Q23"/>
    <mergeCell ref="R23:S23"/>
    <mergeCell ref="T23:U23"/>
    <mergeCell ref="E21:F21"/>
    <mergeCell ref="H21:I21"/>
    <mergeCell ref="R21:S21"/>
    <mergeCell ref="T21:U21"/>
    <mergeCell ref="R22:S22"/>
    <mergeCell ref="T22:U22"/>
    <mergeCell ref="F23:G23"/>
    <mergeCell ref="M6:P9"/>
    <mergeCell ref="R6:U9"/>
    <mergeCell ref="E12:F12"/>
    <mergeCell ref="C15:F15"/>
    <mergeCell ref="J12:K12"/>
    <mergeCell ref="H15:K15"/>
    <mergeCell ref="M15:P15"/>
    <mergeCell ref="R15:U15"/>
    <mergeCell ref="H16:K19"/>
    <mergeCell ref="M16:P19"/>
    <mergeCell ref="R16:U19"/>
    <mergeCell ref="C20:F20"/>
    <mergeCell ref="H20:K20"/>
    <mergeCell ref="R20:U20"/>
    <mergeCell ref="B15:B23"/>
    <mergeCell ref="C21:D21"/>
    <mergeCell ref="C23:E23"/>
    <mergeCell ref="H23:I23"/>
    <mergeCell ref="J23:K23"/>
  </mergeCells>
  <conditionalFormatting sqref="E12:F12 H12:I12 O12:P12 R12:S12 Y12:Z12 AB12:AC12 AI12:AJ12 AL12:AM12 AS12:AT12 AV12:AW12 BC12:BD12 BF12:BG12 BM12:BN12 BP12:BQ12 BW12:BX12 BZ12:CA12 E22:F22 H22:I22 O22:P22 R22:S22 AS22:AT22 AV22:AW22 BC22:BD22 BF22:BG22 E32:F32 H32:I32 AS32:AT32 AV32:AW32">
    <cfRule type="cellIs" dxfId="2" priority="1" operator="equal">
      <formula>"W"</formula>
    </cfRule>
  </conditionalFormatting>
  <conditionalFormatting sqref="E12:F12 H12:I12 O12:P12 R12:S12 Y12:Z12 AB12:AC12 AI12:AJ12 AL12:AM12 AS12:AT12 AV12:AW12 BC12:BD12 BF12:BG12 BM12:BN12 BP12:BQ12 BW12:BX12 BZ12:CA12 E22:F22 H22:I22 O22:P22 R22:S22 AS22:AT22 AV22:AW22 BC22:BD22 BF22:BG22 E32:F32 H32:I32 AS32:AT32 AV32:AW32">
    <cfRule type="cellIs" dxfId="26" priority="2" operator="equal">
      <formula>"L"</formula>
    </cfRule>
  </conditionalFormatting>
  <hyperlinks>
    <hyperlink r:id="rId1" ref="F13"/>
    <hyperlink r:id="rId2" ref="H13"/>
    <hyperlink r:id="rId3" ref="J13"/>
    <hyperlink r:id="rId4" ref="P13"/>
    <hyperlink r:id="rId5" ref="R13"/>
    <hyperlink r:id="rId6" ref="Z13"/>
    <hyperlink r:id="rId7" ref="AB13"/>
    <hyperlink r:id="rId8" ref="AJ13"/>
    <hyperlink r:id="rId9" ref="AL13"/>
    <hyperlink r:id="rId10" ref="AN13"/>
    <hyperlink r:id="rId11" ref="AT13"/>
    <hyperlink r:id="rId12" ref="AV13"/>
    <hyperlink r:id="rId13" ref="AX13"/>
    <hyperlink r:id="rId14" ref="BN13"/>
    <hyperlink r:id="rId15" ref="BP13"/>
    <hyperlink r:id="rId16" ref="BR13"/>
    <hyperlink r:id="rId17" ref="BX13"/>
    <hyperlink r:id="rId18" ref="BZ13"/>
    <hyperlink r:id="rId19" ref="CB13"/>
    <hyperlink r:id="rId20" ref="F23"/>
    <hyperlink r:id="rId21" ref="H23"/>
    <hyperlink r:id="rId22" ref="P23"/>
    <hyperlink r:id="rId23" ref="R23"/>
    <hyperlink r:id="rId24" ref="T23"/>
    <hyperlink r:id="rId25" ref="AT23"/>
    <hyperlink r:id="rId26" ref="BD23"/>
    <hyperlink r:id="rId27" ref="BF23"/>
    <hyperlink r:id="rId28" ref="BH23"/>
    <hyperlink r:id="rId29" ref="F33"/>
    <hyperlink r:id="rId30" ref="H33"/>
    <hyperlink r:id="rId31" ref="AT33"/>
    <hyperlink r:id="rId32" ref="AV33"/>
  </hyperlinks>
  <drawing r:id="rId3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5151"/>
    <outlinePr summaryBelow="0" summaryRight="0"/>
  </sheetPr>
  <sheetViews>
    <sheetView showGridLines="0" workbookViewId="0"/>
  </sheetViews>
  <sheetFormatPr customHeight="1" defaultColWidth="12.63" defaultRowHeight="15.75"/>
  <cols>
    <col customWidth="1" min="1" max="2" width="1.38"/>
    <col customWidth="1" min="3" max="3" width="4.5"/>
    <col customWidth="1" min="4" max="4" width="13.88"/>
    <col customWidth="1" min="5" max="5" width="5.13"/>
    <col customWidth="1" min="6" max="6" width="1.38"/>
    <col customWidth="1" min="7" max="7" width="4.5"/>
    <col customWidth="1" min="8" max="8" width="13.88"/>
    <col customWidth="1" min="9" max="9" width="5.13"/>
    <col customWidth="1" min="10" max="10" width="1.38"/>
    <col customWidth="1" min="11" max="11" width="4.5"/>
    <col customWidth="1" min="12" max="12" width="13.88"/>
    <col customWidth="1" min="13" max="13" width="5.13"/>
    <col customWidth="1" min="14" max="14" width="1.38"/>
    <col customWidth="1" min="15" max="15" width="4.5"/>
    <col customWidth="1" min="16" max="16" width="13.88"/>
    <col customWidth="1" min="17" max="17" width="5.13"/>
    <col customWidth="1" min="18" max="18" width="1.38"/>
    <col customWidth="1" min="19" max="19" width="4.5"/>
    <col customWidth="1" min="20" max="20" width="13.88"/>
    <col customWidth="1" min="21" max="21" width="5.13"/>
    <col customWidth="1" min="22" max="22" width="1.38"/>
    <col customWidth="1" min="23" max="23" width="4.5"/>
    <col customWidth="1" min="24" max="24" width="13.88"/>
    <col customWidth="1" min="25" max="25" width="5.13"/>
    <col customWidth="1" min="26" max="26" width="1.38"/>
    <col customWidth="1" min="27" max="27" width="4.5"/>
    <col customWidth="1" min="28" max="28" width="13.88"/>
    <col customWidth="1" min="29" max="29" width="5.13"/>
    <col customWidth="1" min="30" max="30" width="1.38"/>
    <col customWidth="1" min="31" max="31" width="4.5"/>
    <col customWidth="1" min="32" max="32" width="13.88"/>
    <col customWidth="1" min="33" max="33" width="5.13"/>
    <col customWidth="1" min="34" max="35" width="1.38"/>
  </cols>
  <sheetData>
    <row r="1" ht="7.5" customHeight="1">
      <c r="A1" s="168" t="s">
        <v>937</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row>
    <row r="2" ht="7.5" customHeight="1">
      <c r="A2" s="168"/>
      <c r="B2" s="173"/>
      <c r="C2" s="175"/>
      <c r="D2" s="175"/>
      <c r="E2" s="175"/>
      <c r="F2" s="175"/>
      <c r="G2" s="175"/>
      <c r="H2" s="175"/>
      <c r="I2" s="175"/>
      <c r="J2" s="175"/>
      <c r="K2" s="175"/>
      <c r="L2" s="175" t="s">
        <v>938</v>
      </c>
      <c r="M2" s="175"/>
      <c r="N2" s="175"/>
      <c r="O2" s="175"/>
      <c r="P2" s="175"/>
      <c r="Q2" s="175"/>
      <c r="R2" s="175"/>
      <c r="S2" s="175"/>
      <c r="T2" s="175"/>
      <c r="U2" s="175"/>
      <c r="V2" s="175"/>
      <c r="W2" s="175"/>
      <c r="X2" s="175"/>
      <c r="Y2" s="175"/>
      <c r="Z2" s="175"/>
      <c r="AA2" s="175"/>
      <c r="AB2" s="175"/>
      <c r="AC2" s="175"/>
      <c r="AD2" s="175"/>
      <c r="AE2" s="175"/>
      <c r="AF2" s="175"/>
      <c r="AG2" s="175"/>
      <c r="AH2" s="179"/>
      <c r="AI2" s="168"/>
    </row>
    <row r="3">
      <c r="A3" s="168"/>
      <c r="B3" s="180"/>
      <c r="C3" s="1027" t="str">
        <f>Source!H20</f>
        <v/>
      </c>
      <c r="D3" s="188"/>
      <c r="E3" s="191"/>
      <c r="F3" s="195"/>
      <c r="G3" s="1027" t="str">
        <f>Source!H21</f>
        <v/>
      </c>
      <c r="H3" s="188"/>
      <c r="I3" s="191"/>
      <c r="J3" s="195"/>
      <c r="K3" s="1027" t="str">
        <f>Source!H22</f>
        <v/>
      </c>
      <c r="L3" s="188"/>
      <c r="M3" s="191"/>
      <c r="N3" s="195"/>
      <c r="O3" s="1027" t="str">
        <f>Source!H23</f>
        <v/>
      </c>
      <c r="P3" s="188"/>
      <c r="Q3" s="191"/>
      <c r="R3" s="195"/>
      <c r="S3" s="1027" t="str">
        <f>Source!H24</f>
        <v/>
      </c>
      <c r="T3" s="188"/>
      <c r="U3" s="191"/>
      <c r="V3" s="195"/>
      <c r="W3" s="1027" t="str">
        <f>Source!H25</f>
        <v/>
      </c>
      <c r="X3" s="188"/>
      <c r="Y3" s="191"/>
      <c r="Z3" s="195"/>
      <c r="AA3" s="1027" t="str">
        <f>Source!H26</f>
        <v/>
      </c>
      <c r="AB3" s="188"/>
      <c r="AC3" s="191"/>
      <c r="AD3" s="195"/>
      <c r="AE3" s="1027" t="str">
        <f>Source!H27</f>
        <v/>
      </c>
      <c r="AF3" s="188"/>
      <c r="AG3" s="191"/>
      <c r="AH3" s="218"/>
      <c r="AI3" s="221"/>
    </row>
    <row r="4">
      <c r="A4" s="168"/>
      <c r="B4" s="180"/>
      <c r="C4" s="1032" t="str">
        <f>Source!G20</f>
        <v/>
      </c>
      <c r="D4" s="226"/>
      <c r="E4" s="1033" t="str">
        <f>Source!J20</f>
        <v/>
      </c>
      <c r="F4" s="236"/>
      <c r="G4" s="1032" t="str">
        <f>Source!G21</f>
        <v/>
      </c>
      <c r="H4" s="226"/>
      <c r="I4" s="1033" t="str">
        <f>Source!J21</f>
        <v/>
      </c>
      <c r="J4" s="236"/>
      <c r="K4" s="1032" t="str">
        <f>Source!G22</f>
        <v/>
      </c>
      <c r="L4" s="226"/>
      <c r="M4" s="1033" t="str">
        <f>Source!J22</f>
        <v/>
      </c>
      <c r="N4" s="236"/>
      <c r="O4" s="1032" t="str">
        <f>Source!G23</f>
        <v/>
      </c>
      <c r="P4" s="226"/>
      <c r="Q4" s="1033" t="str">
        <f>Source!J23</f>
        <v/>
      </c>
      <c r="R4" s="236"/>
      <c r="S4" s="1032" t="str">
        <f>Source!G24</f>
        <v/>
      </c>
      <c r="T4" s="226"/>
      <c r="U4" s="1033" t="str">
        <f>Source!J24</f>
        <v/>
      </c>
      <c r="V4" s="236"/>
      <c r="W4" s="1032" t="str">
        <f>Source!G25</f>
        <v/>
      </c>
      <c r="X4" s="226"/>
      <c r="Y4" s="1033" t="str">
        <f>Source!J25</f>
        <v/>
      </c>
      <c r="Z4" s="236"/>
      <c r="AA4" s="1032" t="str">
        <f>Source!G26</f>
        <v/>
      </c>
      <c r="AB4" s="226"/>
      <c r="AC4" s="1033" t="str">
        <f>Source!J26</f>
        <v/>
      </c>
      <c r="AD4" s="236"/>
      <c r="AE4" s="1032" t="str">
        <f>Source!G27</f>
        <v/>
      </c>
      <c r="AF4" s="226"/>
      <c r="AG4" s="1033" t="str">
        <f>Source!J27</f>
        <v/>
      </c>
      <c r="AH4" s="218"/>
      <c r="AI4" s="221"/>
    </row>
    <row r="5" ht="17.25" customHeight="1">
      <c r="A5" s="221"/>
      <c r="B5" s="252"/>
      <c r="C5" s="1042" t="str">
        <f t="array" ref="C5:C15">IFERROR(VLOOKUP(D5:D15,Pokedex!$C$2:$D54,2,FALSE),"")</f>
        <v/>
      </c>
      <c r="D5" s="1043"/>
      <c r="E5" s="1045" t="str">
        <f t="array" ref="E5:E15">IFERROR(VLOOKUP(D5:D15,Source!$B$2:$C54,2,false),)</f>
        <v/>
      </c>
      <c r="F5" s="195"/>
      <c r="G5" s="1042" t="str">
        <f t="array" ref="G5:G15">IFERROR(VLOOKUP(H5:H15,Pokedex!$C$2:$D54,2,FALSE),"")</f>
        <v/>
      </c>
      <c r="H5" s="1043"/>
      <c r="I5" s="1045" t="str">
        <f t="array" ref="I5:I15">IFERROR(VLOOKUP(H5:H15,Source!$B$2:$C54,2,false),)</f>
        <v/>
      </c>
      <c r="J5" s="195"/>
      <c r="K5" s="1042" t="str">
        <f t="array" ref="K5:K15">IFERROR(VLOOKUP(L5:L15,Pokedex!$C$2:$D54,2,FALSE),"")</f>
        <v/>
      </c>
      <c r="L5" s="1043"/>
      <c r="M5" s="1045" t="str">
        <f t="array" ref="M5:M15">IFERROR(VLOOKUP(L5:L15,Source!$B$2:$C54,2,false),)</f>
        <v/>
      </c>
      <c r="N5" s="195"/>
      <c r="O5" s="1042" t="str">
        <f t="array" ref="O5:O15">IFERROR(VLOOKUP(P5:P15,Pokedex!$C$2:$D54,2,FALSE),"")</f>
        <v/>
      </c>
      <c r="P5" s="1043"/>
      <c r="Q5" s="1045" t="str">
        <f t="array" ref="Q5:Q15">IFERROR(VLOOKUP(P5:P15,Source!$B$2:$C54,2,false),)</f>
        <v/>
      </c>
      <c r="R5" s="195"/>
      <c r="S5" s="1042" t="str">
        <f t="array" ref="S5:S15">IFERROR(VLOOKUP(T5:T15,Pokedex!$C$2:$D54,2,FALSE),"")</f>
        <v/>
      </c>
      <c r="T5" s="1043"/>
      <c r="U5" s="1045" t="str">
        <f t="array" ref="U5:U15">IFERROR(VLOOKUP(T5:T15,Source!$B$2:$C54,2,false),)</f>
        <v/>
      </c>
      <c r="V5" s="195"/>
      <c r="W5" s="1042" t="str">
        <f t="array" ref="W5:W15">IFERROR(VLOOKUP(X5:X15,Pokedex!$C$2:$D54,2,FALSE),"")</f>
        <v/>
      </c>
      <c r="X5" s="1043"/>
      <c r="Y5" s="1045" t="str">
        <f t="array" ref="Y5:Y15">IFERROR(VLOOKUP(X5:X15,Source!$B$2:$C54,2,false),)</f>
        <v/>
      </c>
      <c r="Z5" s="195"/>
      <c r="AA5" s="1042" t="str">
        <f t="array" ref="AA5:AA15">IFERROR(VLOOKUP(AB5:AB15,Pokedex!$C$2:$D54,2,FALSE),"")</f>
        <v/>
      </c>
      <c r="AB5" s="1043"/>
      <c r="AC5" s="1045" t="str">
        <f t="array" ref="AC5:AC15">IFERROR(VLOOKUP(AB5:AB15,Source!$B$2:$C54,2,false),)</f>
        <v/>
      </c>
      <c r="AD5" s="195"/>
      <c r="AE5" s="1042" t="str">
        <f t="array" ref="AE5:AE15">IFERROR(VLOOKUP(AF5:AF15,Pokedex!$C$2:$D54,2,FALSE),"")</f>
        <v/>
      </c>
      <c r="AF5" s="1043"/>
      <c r="AG5" s="1045" t="str">
        <f t="array" ref="AG5:AG15">IFERROR(VLOOKUP(AF5:AF15,Source!$B$2:$C54,2,false),)</f>
        <v/>
      </c>
      <c r="AH5" s="393"/>
      <c r="AI5" s="168"/>
    </row>
    <row r="6" ht="17.25" customHeight="1">
      <c r="A6" s="221"/>
      <c r="B6" s="252"/>
      <c r="C6" s="1062"/>
      <c r="D6" s="1064"/>
      <c r="E6" s="1065"/>
      <c r="F6" s="195"/>
      <c r="G6" s="1062"/>
      <c r="H6" s="1064"/>
      <c r="I6" s="1065"/>
      <c r="J6" s="195"/>
      <c r="K6" s="1062"/>
      <c r="L6" s="1064"/>
      <c r="M6" s="1065"/>
      <c r="N6" s="195"/>
      <c r="O6" s="1062"/>
      <c r="P6" s="1064"/>
      <c r="Q6" s="1065"/>
      <c r="R6" s="195"/>
      <c r="S6" s="1062"/>
      <c r="T6" s="1064"/>
      <c r="U6" s="1065"/>
      <c r="V6" s="195"/>
      <c r="W6" s="1062"/>
      <c r="X6" s="1064"/>
      <c r="Y6" s="1065"/>
      <c r="Z6" s="195"/>
      <c r="AA6" s="1062"/>
      <c r="AB6" s="1064"/>
      <c r="AC6" s="1065"/>
      <c r="AD6" s="195"/>
      <c r="AE6" s="1062"/>
      <c r="AF6" s="1064"/>
      <c r="AG6" s="1065"/>
      <c r="AH6" s="393"/>
      <c r="AI6" s="168"/>
    </row>
    <row r="7" ht="17.25" customHeight="1">
      <c r="A7" s="221"/>
      <c r="B7" s="252"/>
      <c r="C7" s="1062"/>
      <c r="D7" s="1064"/>
      <c r="E7" s="1065"/>
      <c r="F7" s="195"/>
      <c r="G7" s="1062"/>
      <c r="H7" s="1064"/>
      <c r="I7" s="1065"/>
      <c r="J7" s="195"/>
      <c r="K7" s="1062"/>
      <c r="L7" s="1068"/>
      <c r="M7" s="1065"/>
      <c r="N7" s="195"/>
      <c r="O7" s="1062"/>
      <c r="P7" s="1064"/>
      <c r="Q7" s="1065"/>
      <c r="R7" s="195"/>
      <c r="S7" s="1062"/>
      <c r="T7" s="1064"/>
      <c r="U7" s="1065"/>
      <c r="V7" s="195"/>
      <c r="W7" s="1062"/>
      <c r="X7" s="1064"/>
      <c r="Y7" s="1065"/>
      <c r="Z7" s="195"/>
      <c r="AA7" s="1062"/>
      <c r="AB7" s="1064"/>
      <c r="AC7" s="1065"/>
      <c r="AD7" s="195"/>
      <c r="AE7" s="1062"/>
      <c r="AF7" s="1064"/>
      <c r="AG7" s="1065"/>
      <c r="AH7" s="393"/>
      <c r="AI7" s="168"/>
    </row>
    <row r="8" ht="17.25" customHeight="1">
      <c r="A8" s="221"/>
      <c r="B8" s="252"/>
      <c r="C8" s="1069"/>
      <c r="D8" s="1071"/>
      <c r="E8" s="1065"/>
      <c r="F8" s="195"/>
      <c r="G8" s="1069"/>
      <c r="H8" s="1071"/>
      <c r="I8" s="1065"/>
      <c r="J8" s="195"/>
      <c r="K8" s="1069"/>
      <c r="L8" s="1064"/>
      <c r="M8" s="1065"/>
      <c r="N8" s="195"/>
      <c r="O8" s="1069"/>
      <c r="P8" s="1071"/>
      <c r="Q8" s="1065"/>
      <c r="R8" s="195"/>
      <c r="S8" s="1069"/>
      <c r="T8" s="1071"/>
      <c r="U8" s="1065"/>
      <c r="V8" s="195"/>
      <c r="W8" s="1069"/>
      <c r="X8" s="1071"/>
      <c r="Y8" s="1065"/>
      <c r="Z8" s="195"/>
      <c r="AA8" s="1069"/>
      <c r="AB8" s="1071"/>
      <c r="AC8" s="1065"/>
      <c r="AD8" s="195"/>
      <c r="AE8" s="1069"/>
      <c r="AF8" s="1071"/>
      <c r="AG8" s="1065"/>
      <c r="AH8" s="393"/>
      <c r="AI8" s="168"/>
    </row>
    <row r="9" ht="17.25" customHeight="1">
      <c r="A9" s="221"/>
      <c r="B9" s="252"/>
      <c r="C9" s="1069"/>
      <c r="D9" s="1071"/>
      <c r="E9" s="1065"/>
      <c r="F9" s="195"/>
      <c r="G9" s="1069"/>
      <c r="H9" s="1071"/>
      <c r="I9" s="1065"/>
      <c r="J9" s="195"/>
      <c r="K9" s="1069"/>
      <c r="L9" s="1068"/>
      <c r="M9" s="1065"/>
      <c r="N9" s="195"/>
      <c r="O9" s="1069"/>
      <c r="P9" s="1071"/>
      <c r="Q9" s="1065"/>
      <c r="R9" s="195"/>
      <c r="S9" s="1069"/>
      <c r="T9" s="1071"/>
      <c r="U9" s="1065"/>
      <c r="V9" s="195"/>
      <c r="W9" s="1069"/>
      <c r="X9" s="1071"/>
      <c r="Y9" s="1065"/>
      <c r="Z9" s="195"/>
      <c r="AA9" s="1069"/>
      <c r="AB9" s="1071"/>
      <c r="AC9" s="1065"/>
      <c r="AD9" s="195"/>
      <c r="AE9" s="1069"/>
      <c r="AF9" s="1071"/>
      <c r="AG9" s="1065"/>
      <c r="AH9" s="393"/>
      <c r="AI9" s="168"/>
    </row>
    <row r="10" ht="17.25" customHeight="1">
      <c r="A10" s="221"/>
      <c r="B10" s="252"/>
      <c r="C10" s="1069"/>
      <c r="D10" s="1071"/>
      <c r="E10" s="1065"/>
      <c r="F10" s="195"/>
      <c r="G10" s="1069"/>
      <c r="H10" s="1071"/>
      <c r="I10" s="1065"/>
      <c r="J10" s="195"/>
      <c r="K10" s="1069"/>
      <c r="L10" s="1071"/>
      <c r="M10" s="1065"/>
      <c r="N10" s="195"/>
      <c r="O10" s="1069"/>
      <c r="P10" s="1071"/>
      <c r="Q10" s="1065"/>
      <c r="R10" s="195"/>
      <c r="S10" s="1069"/>
      <c r="T10" s="1071"/>
      <c r="U10" s="1065"/>
      <c r="V10" s="195"/>
      <c r="W10" s="1069"/>
      <c r="X10" s="1071"/>
      <c r="Y10" s="1065"/>
      <c r="Z10" s="195"/>
      <c r="AA10" s="1069"/>
      <c r="AB10" s="1071"/>
      <c r="AC10" s="1065"/>
      <c r="AD10" s="195"/>
      <c r="AE10" s="1069"/>
      <c r="AF10" s="1071"/>
      <c r="AG10" s="1065"/>
      <c r="AH10" s="393"/>
      <c r="AI10" s="168"/>
    </row>
    <row r="11" ht="17.25" customHeight="1">
      <c r="A11" s="221"/>
      <c r="B11" s="252"/>
      <c r="C11" s="1069"/>
      <c r="D11" s="1071"/>
      <c r="E11" s="1065"/>
      <c r="F11" s="195"/>
      <c r="G11" s="1069"/>
      <c r="H11" s="1071"/>
      <c r="I11" s="1065"/>
      <c r="J11" s="195"/>
      <c r="K11" s="1069"/>
      <c r="L11" s="1071"/>
      <c r="M11" s="1065"/>
      <c r="N11" s="195"/>
      <c r="O11" s="1069"/>
      <c r="P11" s="1071"/>
      <c r="Q11" s="1065"/>
      <c r="R11" s="195"/>
      <c r="S11" s="1069"/>
      <c r="T11" s="1071"/>
      <c r="U11" s="1065"/>
      <c r="V11" s="195"/>
      <c r="W11" s="1069"/>
      <c r="X11" s="1071"/>
      <c r="Y11" s="1065"/>
      <c r="Z11" s="195"/>
      <c r="AA11" s="1069"/>
      <c r="AB11" s="1071"/>
      <c r="AC11" s="1065"/>
      <c r="AD11" s="195"/>
      <c r="AE11" s="1069"/>
      <c r="AF11" s="1071"/>
      <c r="AG11" s="1065"/>
      <c r="AH11" s="393"/>
      <c r="AI11" s="168"/>
    </row>
    <row r="12" ht="17.25" customHeight="1">
      <c r="A12" s="168"/>
      <c r="B12" s="180"/>
      <c r="C12" s="1077"/>
      <c r="D12" s="1068"/>
      <c r="E12" s="1065"/>
      <c r="F12" s="195"/>
      <c r="G12" s="1077"/>
      <c r="H12" s="1068"/>
      <c r="I12" s="1065"/>
      <c r="J12" s="195"/>
      <c r="K12" s="1077"/>
      <c r="L12" s="1071"/>
      <c r="M12" s="1065"/>
      <c r="N12" s="195"/>
      <c r="O12" s="1077"/>
      <c r="P12" s="1068"/>
      <c r="Q12" s="1065"/>
      <c r="R12" s="195"/>
      <c r="S12" s="1077"/>
      <c r="T12" s="1068"/>
      <c r="U12" s="1065"/>
      <c r="V12" s="195"/>
      <c r="W12" s="1077"/>
      <c r="X12" s="1068"/>
      <c r="Y12" s="1065"/>
      <c r="Z12" s="195"/>
      <c r="AA12" s="1077"/>
      <c r="AB12" s="1068"/>
      <c r="AC12" s="1065"/>
      <c r="AD12" s="195"/>
      <c r="AE12" s="1077"/>
      <c r="AF12" s="1068"/>
      <c r="AG12" s="1065"/>
      <c r="AH12" s="393"/>
      <c r="AI12" s="168"/>
    </row>
    <row r="13" ht="17.25" customHeight="1">
      <c r="A13" s="221"/>
      <c r="B13" s="252"/>
      <c r="C13" s="1077"/>
      <c r="D13" s="1068"/>
      <c r="E13" s="1065"/>
      <c r="F13" s="195"/>
      <c r="G13" s="1077"/>
      <c r="H13" s="1068"/>
      <c r="I13" s="1065"/>
      <c r="J13" s="195"/>
      <c r="K13" s="1077"/>
      <c r="L13" s="1068"/>
      <c r="M13" s="1065"/>
      <c r="N13" s="195"/>
      <c r="O13" s="1077"/>
      <c r="P13" s="1068"/>
      <c r="Q13" s="1065"/>
      <c r="R13" s="195"/>
      <c r="S13" s="1077"/>
      <c r="T13" s="1068"/>
      <c r="U13" s="1065"/>
      <c r="V13" s="195"/>
      <c r="W13" s="1077"/>
      <c r="X13" s="1068"/>
      <c r="Y13" s="1065"/>
      <c r="Z13" s="195"/>
      <c r="AA13" s="1077"/>
      <c r="AB13" s="1068"/>
      <c r="AC13" s="1065"/>
      <c r="AD13" s="195"/>
      <c r="AE13" s="1077"/>
      <c r="AF13" s="1068"/>
      <c r="AG13" s="1065"/>
      <c r="AH13" s="393"/>
      <c r="AI13" s="168"/>
    </row>
    <row r="14" ht="17.25" customHeight="1">
      <c r="A14" s="221"/>
      <c r="B14" s="252"/>
      <c r="C14" s="1077"/>
      <c r="D14" s="1068"/>
      <c r="E14" s="1065"/>
      <c r="F14" s="195"/>
      <c r="G14" s="1077"/>
      <c r="H14" s="1068"/>
      <c r="I14" s="1065"/>
      <c r="J14" s="195"/>
      <c r="K14" s="1077"/>
      <c r="L14" s="1071"/>
      <c r="M14" s="1065"/>
      <c r="N14" s="195"/>
      <c r="O14" s="1077"/>
      <c r="P14" s="1068"/>
      <c r="Q14" s="1065"/>
      <c r="R14" s="195"/>
      <c r="S14" s="1077"/>
      <c r="T14" s="1068"/>
      <c r="U14" s="1065"/>
      <c r="V14" s="195"/>
      <c r="W14" s="1077"/>
      <c r="X14" s="1068"/>
      <c r="Y14" s="1065"/>
      <c r="Z14" s="195"/>
      <c r="AA14" s="1077"/>
      <c r="AB14" s="1068"/>
      <c r="AC14" s="1065"/>
      <c r="AD14" s="195"/>
      <c r="AE14" s="1077"/>
      <c r="AF14" s="1068"/>
      <c r="AG14" s="1065"/>
      <c r="AH14" s="393"/>
      <c r="AI14" s="168"/>
    </row>
    <row r="15" ht="17.25" customHeight="1">
      <c r="A15" s="221"/>
      <c r="B15" s="252"/>
      <c r="C15" s="1079"/>
      <c r="D15" s="1068"/>
      <c r="E15" s="1065"/>
      <c r="F15" s="195"/>
      <c r="G15" s="1079"/>
      <c r="H15" s="1068"/>
      <c r="I15" s="1065"/>
      <c r="J15" s="195"/>
      <c r="K15" s="1079"/>
      <c r="L15" s="1071"/>
      <c r="M15" s="1065"/>
      <c r="N15" s="195"/>
      <c r="O15" s="1079"/>
      <c r="P15" s="1068"/>
      <c r="Q15" s="1065"/>
      <c r="R15" s="195"/>
      <c r="S15" s="1079"/>
      <c r="T15" s="1068"/>
      <c r="U15" s="1065"/>
      <c r="V15" s="195"/>
      <c r="W15" s="1079"/>
      <c r="X15" s="1068"/>
      <c r="Y15" s="1065"/>
      <c r="Z15" s="195"/>
      <c r="AA15" s="1079"/>
      <c r="AB15" s="1068"/>
      <c r="AC15" s="1065"/>
      <c r="AD15" s="195"/>
      <c r="AE15" s="1079"/>
      <c r="AF15" s="1068"/>
      <c r="AG15" s="1065"/>
      <c r="AH15" s="393"/>
      <c r="AI15" s="168"/>
    </row>
    <row r="16">
      <c r="A16" s="221"/>
      <c r="B16" s="252"/>
      <c r="C16" s="1080" t="s">
        <v>278</v>
      </c>
      <c r="D16" s="1081" t="str">
        <f>115-SUM(E5:E15)&amp;" points"</f>
        <v>115 points</v>
      </c>
      <c r="E16" s="31"/>
      <c r="F16" s="236"/>
      <c r="G16" s="1083" t="s">
        <v>956</v>
      </c>
      <c r="H16" s="1081" t="str">
        <f>115-SUM(I5:I15)&amp;" points"</f>
        <v>115 points</v>
      </c>
      <c r="I16" s="31"/>
      <c r="J16" s="236"/>
      <c r="K16" s="1080" t="s">
        <v>278</v>
      </c>
      <c r="L16" s="1081" t="str">
        <f>115-SUM(M5:M15)&amp;" points"</f>
        <v>115 points</v>
      </c>
      <c r="M16" s="31"/>
      <c r="N16" s="236"/>
      <c r="O16" s="1080" t="s">
        <v>278</v>
      </c>
      <c r="P16" s="1081" t="str">
        <f>115-SUM(Q5:Q15)&amp;" points"</f>
        <v>115 points</v>
      </c>
      <c r="Q16" s="31"/>
      <c r="R16" s="236"/>
      <c r="S16" s="1083" t="s">
        <v>956</v>
      </c>
      <c r="T16" s="1081" t="str">
        <f>115-SUM(U5:U15)&amp;" points"</f>
        <v>115 points</v>
      </c>
      <c r="U16" s="31"/>
      <c r="V16" s="236"/>
      <c r="W16" s="1085" t="s">
        <v>956</v>
      </c>
      <c r="X16" s="1081" t="str">
        <f>115-SUM(Y5:Y15)&amp;" points"</f>
        <v>115 points</v>
      </c>
      <c r="Y16" s="31"/>
      <c r="Z16" s="236"/>
      <c r="AA16" s="1083" t="s">
        <v>956</v>
      </c>
      <c r="AB16" s="1081" t="str">
        <f>115-SUM(AC5:AC15)&amp;" points"</f>
        <v>115 points</v>
      </c>
      <c r="AC16" s="31"/>
      <c r="AD16" s="236"/>
      <c r="AE16" s="1080" t="s">
        <v>957</v>
      </c>
      <c r="AF16" s="1081" t="str">
        <f>115-SUM(AG5:AG15)&amp;" points"</f>
        <v>115 points</v>
      </c>
      <c r="AG16" s="31"/>
      <c r="AH16" s="218"/>
      <c r="AI16" s="221"/>
    </row>
    <row r="17" ht="7.5" customHeight="1">
      <c r="A17" s="168"/>
      <c r="B17" s="180"/>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c r="AA17" s="195"/>
      <c r="AB17" s="195"/>
      <c r="AC17" s="195"/>
      <c r="AD17" s="195"/>
      <c r="AE17" s="195"/>
      <c r="AF17" s="195"/>
      <c r="AG17" s="195"/>
      <c r="AH17" s="393"/>
      <c r="AI17" s="168"/>
    </row>
    <row r="18">
      <c r="A18" s="168"/>
      <c r="B18" s="180"/>
      <c r="C18" s="1027" t="str">
        <f>Source!H28</f>
        <v/>
      </c>
      <c r="D18" s="188"/>
      <c r="E18" s="191"/>
      <c r="F18" s="195"/>
      <c r="G18" s="1027" t="str">
        <f>Source!H29</f>
        <v/>
      </c>
      <c r="H18" s="188"/>
      <c r="I18" s="191"/>
      <c r="J18" s="195"/>
      <c r="K18" s="1027" t="str">
        <f>Source!H30</f>
        <v/>
      </c>
      <c r="L18" s="188"/>
      <c r="M18" s="191"/>
      <c r="N18" s="195"/>
      <c r="O18" s="1027" t="str">
        <f>Source!H31</f>
        <v/>
      </c>
      <c r="P18" s="188"/>
      <c r="Q18" s="191"/>
      <c r="R18" s="195"/>
      <c r="S18" s="1027" t="str">
        <f>Source!H32</f>
        <v/>
      </c>
      <c r="T18" s="188"/>
      <c r="U18" s="191"/>
      <c r="V18" s="195"/>
      <c r="W18" s="1027" t="str">
        <f>Source!H33</f>
        <v/>
      </c>
      <c r="X18" s="188"/>
      <c r="Y18" s="191"/>
      <c r="Z18" s="195"/>
      <c r="AA18" s="1027" t="str">
        <f>Source!H34</f>
        <v/>
      </c>
      <c r="AB18" s="188"/>
      <c r="AC18" s="191"/>
      <c r="AD18" s="195"/>
      <c r="AE18" s="1027" t="str">
        <f>Source!H35</f>
        <v/>
      </c>
      <c r="AF18" s="188"/>
      <c r="AG18" s="191"/>
      <c r="AH18" s="218"/>
      <c r="AI18" s="221"/>
    </row>
    <row r="19">
      <c r="A19" s="168"/>
      <c r="B19" s="180"/>
      <c r="C19" s="1032" t="str">
        <f>Source!G28</f>
        <v/>
      </c>
      <c r="D19" s="226"/>
      <c r="E19" s="1033" t="str">
        <f>Source!J28</f>
        <v/>
      </c>
      <c r="F19" s="236"/>
      <c r="G19" s="1032" t="str">
        <f>Source!G29</f>
        <v/>
      </c>
      <c r="H19" s="226"/>
      <c r="I19" s="1033" t="str">
        <f>Source!J29</f>
        <v/>
      </c>
      <c r="J19" s="236"/>
      <c r="K19" s="1032" t="str">
        <f>Source!G30</f>
        <v/>
      </c>
      <c r="L19" s="226"/>
      <c r="M19" s="1033" t="str">
        <f>Source!J30</f>
        <v/>
      </c>
      <c r="N19" s="236"/>
      <c r="O19" s="1032" t="str">
        <f>Source!G31</f>
        <v/>
      </c>
      <c r="P19" s="226"/>
      <c r="Q19" s="1033" t="str">
        <f>Source!J31</f>
        <v/>
      </c>
      <c r="R19" s="236"/>
      <c r="S19" s="1032" t="str">
        <f>Source!G32</f>
        <v/>
      </c>
      <c r="T19" s="226"/>
      <c r="U19" s="1033" t="str">
        <f>Source!J32</f>
        <v/>
      </c>
      <c r="V19" s="236"/>
      <c r="W19" s="1032" t="str">
        <f>Source!G33</f>
        <v/>
      </c>
      <c r="X19" s="226"/>
      <c r="Y19" s="1033" t="str">
        <f>Source!J33</f>
        <v/>
      </c>
      <c r="Z19" s="236"/>
      <c r="AA19" s="1032" t="str">
        <f>Source!G34</f>
        <v/>
      </c>
      <c r="AB19" s="226"/>
      <c r="AC19" s="1033" t="str">
        <f>Source!J34</f>
        <v/>
      </c>
      <c r="AD19" s="236"/>
      <c r="AE19" s="1032" t="str">
        <f>Source!G35</f>
        <v/>
      </c>
      <c r="AF19" s="226"/>
      <c r="AG19" s="1033" t="str">
        <f>Source!J35</f>
        <v/>
      </c>
      <c r="AH19" s="218"/>
      <c r="AI19" s="221"/>
    </row>
    <row r="20" ht="17.25" customHeight="1">
      <c r="A20" s="221"/>
      <c r="B20" s="252"/>
      <c r="C20" s="1042" t="str">
        <f t="array" ref="C20:C30">IFERROR(VLOOKUP(D20:D30,Pokedex!$C$2:$D54,2,FALSE),"")</f>
        <v/>
      </c>
      <c r="D20" s="1043"/>
      <c r="E20" s="1045" t="str">
        <f t="array" ref="E20:E30">IFERROR(VLOOKUP(D20:D30,Source!$B$2:$C54,2,false),)</f>
        <v/>
      </c>
      <c r="F20" s="195"/>
      <c r="G20" s="1042" t="str">
        <f t="array" ref="G20:G30">IFERROR(VLOOKUP(H20:H30,Pokedex!$C$2:$D54,2,FALSE),"")</f>
        <v/>
      </c>
      <c r="H20" s="1043"/>
      <c r="I20" s="1045" t="str">
        <f t="array" ref="I20:I30">IFERROR(VLOOKUP(H20:H30,Source!$B$2:$C54,2,false),)</f>
        <v/>
      </c>
      <c r="J20" s="195"/>
      <c r="K20" s="1042" t="str">
        <f t="array" ref="K20:K30">IFERROR(VLOOKUP(L20:L30,Pokedex!$C$2:$D54,2,FALSE),"")</f>
        <v/>
      </c>
      <c r="L20" s="1043"/>
      <c r="M20" s="1045" t="str">
        <f t="array" ref="M20:M30">IFERROR(VLOOKUP(L20:L30,Source!$B$2:$C54,2,false),)</f>
        <v/>
      </c>
      <c r="N20" s="195"/>
      <c r="O20" s="1042" t="str">
        <f t="array" ref="O20:O30">IFERROR(VLOOKUP(P20:P30,Pokedex!$C$2:$D54,2,FALSE),"")</f>
        <v/>
      </c>
      <c r="P20" s="1043"/>
      <c r="Q20" s="1045" t="str">
        <f t="array" ref="Q20:Q30">IFERROR(VLOOKUP(P20:P30,Source!$B$2:$C54,2,false),)</f>
        <v/>
      </c>
      <c r="R20" s="195"/>
      <c r="S20" s="1042" t="str">
        <f t="array" ref="S20:S30">IFERROR(VLOOKUP(T20:T30,Pokedex!$C$2:$D54,2,FALSE),"")</f>
        <v/>
      </c>
      <c r="T20" s="1043"/>
      <c r="U20" s="1045" t="str">
        <f t="array" ref="U20:U30">IFERROR(VLOOKUP(T20:T30,Source!$B$2:$C54,2,false),)</f>
        <v/>
      </c>
      <c r="V20" s="195"/>
      <c r="W20" s="1042" t="str">
        <f t="array" ref="W20:W30">IFERROR(VLOOKUP(X20:X30,Pokedex!$C$2:$D54,2,FALSE),"")</f>
        <v/>
      </c>
      <c r="X20" s="1043"/>
      <c r="Y20" s="1045" t="str">
        <f t="array" ref="Y20:Y30">IFERROR(VLOOKUP(X20:X30,Source!$B$2:$C54,2,false),)</f>
        <v/>
      </c>
      <c r="Z20" s="195"/>
      <c r="AA20" s="1042" t="str">
        <f t="array" ref="AA20:AA30">IFERROR(VLOOKUP(AB20:AB30,Pokedex!$C$2:$D54,2,FALSE),"")</f>
        <v/>
      </c>
      <c r="AB20" s="1043"/>
      <c r="AC20" s="1045" t="str">
        <f t="array" ref="AC20:AC30">IFERROR(VLOOKUP(AB20:AB30,Source!$B$2:$C54,2,false),)</f>
        <v/>
      </c>
      <c r="AD20" s="195"/>
      <c r="AE20" s="1042" t="str">
        <f t="array" ref="AE20:AE30">IFERROR(VLOOKUP(AF20:AF30,Pokedex!$C$2:$D54,2,FALSE),"")</f>
        <v/>
      </c>
      <c r="AF20" s="1043"/>
      <c r="AG20" s="1045" t="str">
        <f t="array" ref="AG20:AG30">IFERROR(VLOOKUP(AF20:AF30,Source!$B$2:$C54,2,false),)</f>
        <v/>
      </c>
      <c r="AH20" s="393"/>
      <c r="AI20" s="168"/>
    </row>
    <row r="21" ht="17.25" customHeight="1">
      <c r="A21" s="221"/>
      <c r="B21" s="252"/>
      <c r="C21" s="1062"/>
      <c r="D21" s="1064"/>
      <c r="E21" s="1065"/>
      <c r="F21" s="195"/>
      <c r="G21" s="1062"/>
      <c r="H21" s="1071"/>
      <c r="I21" s="1065"/>
      <c r="J21" s="195"/>
      <c r="K21" s="1062"/>
      <c r="L21" s="1064"/>
      <c r="M21" s="1065"/>
      <c r="N21" s="195"/>
      <c r="O21" s="1062"/>
      <c r="P21" s="1064"/>
      <c r="Q21" s="1065"/>
      <c r="R21" s="195"/>
      <c r="S21" s="1062"/>
      <c r="T21" s="1064"/>
      <c r="U21" s="1065"/>
      <c r="V21" s="195"/>
      <c r="W21" s="1062"/>
      <c r="X21" s="1064"/>
      <c r="Y21" s="1065"/>
      <c r="Z21" s="195"/>
      <c r="AA21" s="1062"/>
      <c r="AB21" s="1064"/>
      <c r="AC21" s="1065"/>
      <c r="AD21" s="195"/>
      <c r="AE21" s="1062"/>
      <c r="AF21" s="1064"/>
      <c r="AG21" s="1065"/>
      <c r="AH21" s="393"/>
      <c r="AI21" s="168"/>
    </row>
    <row r="22" ht="17.25" customHeight="1">
      <c r="A22" s="221"/>
      <c r="B22" s="252"/>
      <c r="C22" s="1062"/>
      <c r="D22" s="1064"/>
      <c r="E22" s="1065"/>
      <c r="F22" s="195"/>
      <c r="G22" s="1062"/>
      <c r="H22" s="1064"/>
      <c r="I22" s="1065"/>
      <c r="J22" s="195"/>
      <c r="K22" s="1062"/>
      <c r="L22" s="1064"/>
      <c r="M22" s="1065"/>
      <c r="N22" s="195"/>
      <c r="O22" s="1062"/>
      <c r="P22" s="1064"/>
      <c r="Q22" s="1065"/>
      <c r="R22" s="195"/>
      <c r="S22" s="1062"/>
      <c r="T22" s="1064"/>
      <c r="U22" s="1065"/>
      <c r="V22" s="195"/>
      <c r="W22" s="1062"/>
      <c r="X22" s="1064"/>
      <c r="Y22" s="1065"/>
      <c r="Z22" s="195"/>
      <c r="AA22" s="1062"/>
      <c r="AB22" s="1064"/>
      <c r="AC22" s="1065"/>
      <c r="AD22" s="195"/>
      <c r="AE22" s="1062"/>
      <c r="AF22" s="1064"/>
      <c r="AG22" s="1065"/>
      <c r="AH22" s="393"/>
      <c r="AI22" s="168"/>
    </row>
    <row r="23" ht="17.25" customHeight="1">
      <c r="A23" s="221"/>
      <c r="B23" s="252"/>
      <c r="C23" s="1069"/>
      <c r="D23" s="1071"/>
      <c r="E23" s="1065"/>
      <c r="F23" s="195"/>
      <c r="G23" s="1069"/>
      <c r="H23" s="1064"/>
      <c r="I23" s="1065"/>
      <c r="J23" s="195"/>
      <c r="K23" s="1069"/>
      <c r="L23" s="1071"/>
      <c r="M23" s="1065"/>
      <c r="N23" s="195"/>
      <c r="O23" s="1069"/>
      <c r="P23" s="1071"/>
      <c r="Q23" s="1065"/>
      <c r="R23" s="195"/>
      <c r="S23" s="1069"/>
      <c r="T23" s="1071"/>
      <c r="U23" s="1065"/>
      <c r="V23" s="195"/>
      <c r="W23" s="1069"/>
      <c r="X23" s="1071"/>
      <c r="Y23" s="1065"/>
      <c r="Z23" s="195"/>
      <c r="AA23" s="1069"/>
      <c r="AB23" s="1071"/>
      <c r="AC23" s="1065"/>
      <c r="AD23" s="195"/>
      <c r="AE23" s="1069"/>
      <c r="AF23" s="1071"/>
      <c r="AG23" s="1065"/>
      <c r="AH23" s="393"/>
      <c r="AI23" s="168"/>
    </row>
    <row r="24" ht="17.25" customHeight="1">
      <c r="A24" s="221"/>
      <c r="B24" s="252"/>
      <c r="C24" s="1069"/>
      <c r="D24" s="1071"/>
      <c r="E24" s="1065"/>
      <c r="F24" s="195"/>
      <c r="G24" s="1069"/>
      <c r="H24" s="1071"/>
      <c r="I24" s="1065"/>
      <c r="J24" s="195"/>
      <c r="K24" s="1069"/>
      <c r="L24" s="1071"/>
      <c r="M24" s="1065"/>
      <c r="N24" s="195"/>
      <c r="O24" s="1069"/>
      <c r="P24" s="1071"/>
      <c r="Q24" s="1065"/>
      <c r="R24" s="195"/>
      <c r="S24" s="1069"/>
      <c r="T24" s="1071"/>
      <c r="U24" s="1065"/>
      <c r="V24" s="195"/>
      <c r="W24" s="1069"/>
      <c r="X24" s="1071"/>
      <c r="Y24" s="1065"/>
      <c r="Z24" s="195"/>
      <c r="AA24" s="1069"/>
      <c r="AB24" s="1071"/>
      <c r="AC24" s="1065"/>
      <c r="AD24" s="195"/>
      <c r="AE24" s="1069"/>
      <c r="AF24" s="1071"/>
      <c r="AG24" s="1065"/>
      <c r="AH24" s="393"/>
      <c r="AI24" s="168"/>
    </row>
    <row r="25" ht="17.25" customHeight="1">
      <c r="A25" s="221"/>
      <c r="B25" s="252"/>
      <c r="C25" s="1069"/>
      <c r="D25" s="1071"/>
      <c r="E25" s="1065"/>
      <c r="F25" s="195"/>
      <c r="G25" s="1069"/>
      <c r="H25" s="1071"/>
      <c r="I25" s="1065"/>
      <c r="J25" s="195"/>
      <c r="K25" s="1069"/>
      <c r="L25" s="1071"/>
      <c r="M25" s="1065"/>
      <c r="N25" s="195"/>
      <c r="O25" s="1069"/>
      <c r="P25" s="1071"/>
      <c r="Q25" s="1065"/>
      <c r="R25" s="195"/>
      <c r="S25" s="1069"/>
      <c r="T25" s="1071"/>
      <c r="U25" s="1065"/>
      <c r="V25" s="195"/>
      <c r="W25" s="1069"/>
      <c r="X25" s="1071"/>
      <c r="Y25" s="1065"/>
      <c r="Z25" s="195"/>
      <c r="AA25" s="1069"/>
      <c r="AB25" s="1071"/>
      <c r="AC25" s="1065"/>
      <c r="AD25" s="195"/>
      <c r="AE25" s="1069"/>
      <c r="AF25" s="1071"/>
      <c r="AG25" s="1065"/>
      <c r="AH25" s="393"/>
      <c r="AI25" s="168"/>
    </row>
    <row r="26" ht="17.25" customHeight="1">
      <c r="A26" s="221"/>
      <c r="B26" s="252"/>
      <c r="C26" s="1069"/>
      <c r="D26" s="1071"/>
      <c r="E26" s="1065"/>
      <c r="F26" s="195"/>
      <c r="G26" s="1069"/>
      <c r="H26" s="1068"/>
      <c r="I26" s="1065"/>
      <c r="J26" s="195"/>
      <c r="K26" s="1069"/>
      <c r="L26" s="1071"/>
      <c r="M26" s="1065"/>
      <c r="N26" s="195"/>
      <c r="O26" s="1069"/>
      <c r="P26" s="1071"/>
      <c r="Q26" s="1065"/>
      <c r="R26" s="195"/>
      <c r="S26" s="1069"/>
      <c r="T26" s="1071"/>
      <c r="U26" s="1065"/>
      <c r="V26" s="195"/>
      <c r="W26" s="1069"/>
      <c r="X26" s="1071"/>
      <c r="Y26" s="1065"/>
      <c r="Z26" s="195"/>
      <c r="AA26" s="1069"/>
      <c r="AB26" s="1071"/>
      <c r="AC26" s="1065"/>
      <c r="AD26" s="195"/>
      <c r="AE26" s="1069"/>
      <c r="AF26" s="1071"/>
      <c r="AG26" s="1065"/>
      <c r="AH26" s="393"/>
      <c r="AI26" s="168"/>
    </row>
    <row r="27" ht="17.25" customHeight="1">
      <c r="A27" s="168"/>
      <c r="B27" s="180"/>
      <c r="C27" s="1077"/>
      <c r="D27" s="1068"/>
      <c r="E27" s="1065"/>
      <c r="F27" s="195"/>
      <c r="G27" s="1077"/>
      <c r="H27" s="1071"/>
      <c r="I27" s="1065"/>
      <c r="J27" s="195"/>
      <c r="K27" s="1077"/>
      <c r="L27" s="1068"/>
      <c r="M27" s="1065"/>
      <c r="N27" s="195"/>
      <c r="O27" s="1077"/>
      <c r="P27" s="1068"/>
      <c r="Q27" s="1065"/>
      <c r="R27" s="195"/>
      <c r="S27" s="1077"/>
      <c r="T27" s="1068"/>
      <c r="U27" s="1065"/>
      <c r="V27" s="195"/>
      <c r="W27" s="1077"/>
      <c r="X27" s="1068"/>
      <c r="Y27" s="1065"/>
      <c r="Z27" s="195"/>
      <c r="AA27" s="1077"/>
      <c r="AB27" s="1068"/>
      <c r="AC27" s="1065"/>
      <c r="AD27" s="195"/>
      <c r="AE27" s="1077"/>
      <c r="AF27" s="1068"/>
      <c r="AG27" s="1065"/>
      <c r="AH27" s="393"/>
      <c r="AI27" s="168"/>
    </row>
    <row r="28" ht="17.25" customHeight="1">
      <c r="A28" s="221"/>
      <c r="B28" s="252"/>
      <c r="C28" s="1077"/>
      <c r="D28" s="1068"/>
      <c r="E28" s="1065"/>
      <c r="F28" s="195"/>
      <c r="G28" s="1077"/>
      <c r="H28" s="1068"/>
      <c r="I28" s="1065"/>
      <c r="J28" s="195"/>
      <c r="K28" s="1077"/>
      <c r="L28" s="1068"/>
      <c r="M28" s="1065"/>
      <c r="N28" s="195"/>
      <c r="O28" s="1077"/>
      <c r="P28" s="1068"/>
      <c r="Q28" s="1065"/>
      <c r="R28" s="195"/>
      <c r="S28" s="1077"/>
      <c r="T28" s="1068"/>
      <c r="U28" s="1065"/>
      <c r="V28" s="195"/>
      <c r="W28" s="1077"/>
      <c r="X28" s="1068"/>
      <c r="Y28" s="1065"/>
      <c r="Z28" s="195"/>
      <c r="AA28" s="1077"/>
      <c r="AB28" s="1068"/>
      <c r="AC28" s="1065"/>
      <c r="AD28" s="195"/>
      <c r="AE28" s="1077"/>
      <c r="AF28" s="1068"/>
      <c r="AG28" s="1065"/>
      <c r="AH28" s="393"/>
      <c r="AI28" s="168"/>
    </row>
    <row r="29" ht="17.25" customHeight="1">
      <c r="A29" s="221"/>
      <c r="B29" s="252"/>
      <c r="C29" s="1077"/>
      <c r="D29" s="1068"/>
      <c r="E29" s="1065"/>
      <c r="F29" s="195"/>
      <c r="G29" s="1077"/>
      <c r="H29" s="1068"/>
      <c r="I29" s="1065"/>
      <c r="J29" s="195"/>
      <c r="K29" s="1077"/>
      <c r="L29" s="1068"/>
      <c r="M29" s="1065"/>
      <c r="N29" s="195"/>
      <c r="O29" s="1077"/>
      <c r="P29" s="1068"/>
      <c r="Q29" s="1065"/>
      <c r="R29" s="195"/>
      <c r="S29" s="1077"/>
      <c r="T29" s="1068"/>
      <c r="U29" s="1065"/>
      <c r="V29" s="195"/>
      <c r="W29" s="1077"/>
      <c r="X29" s="1068"/>
      <c r="Y29" s="1065"/>
      <c r="Z29" s="195"/>
      <c r="AA29" s="1077"/>
      <c r="AB29" s="1068"/>
      <c r="AC29" s="1065"/>
      <c r="AD29" s="195"/>
      <c r="AE29" s="1077"/>
      <c r="AF29" s="1068"/>
      <c r="AG29" s="1065"/>
      <c r="AH29" s="393"/>
      <c r="AI29" s="168"/>
    </row>
    <row r="30" ht="17.25" customHeight="1">
      <c r="A30" s="221"/>
      <c r="B30" s="252"/>
      <c r="C30" s="1079"/>
      <c r="D30" s="1068"/>
      <c r="E30" s="1065"/>
      <c r="F30" s="195"/>
      <c r="G30" s="1079"/>
      <c r="H30" s="1068"/>
      <c r="I30" s="1065"/>
      <c r="J30" s="195"/>
      <c r="K30" s="1079"/>
      <c r="L30" s="1068"/>
      <c r="M30" s="1065"/>
      <c r="N30" s="195"/>
      <c r="O30" s="1079"/>
      <c r="P30" s="1068"/>
      <c r="Q30" s="1065"/>
      <c r="R30" s="195"/>
      <c r="S30" s="1079"/>
      <c r="T30" s="1068"/>
      <c r="U30" s="1065"/>
      <c r="V30" s="195"/>
      <c r="W30" s="1079"/>
      <c r="X30" s="1068"/>
      <c r="Y30" s="1065"/>
      <c r="Z30" s="195"/>
      <c r="AA30" s="1079"/>
      <c r="AB30" s="1068"/>
      <c r="AC30" s="1065"/>
      <c r="AD30" s="195"/>
      <c r="AE30" s="1079"/>
      <c r="AF30" s="1068"/>
      <c r="AG30" s="1065"/>
      <c r="AH30" s="393"/>
      <c r="AI30" s="168"/>
    </row>
    <row r="31">
      <c r="A31" s="221"/>
      <c r="B31" s="252"/>
      <c r="C31" s="1080" t="s">
        <v>278</v>
      </c>
      <c r="D31" s="1081" t="str">
        <f>115-SUM(E20:E30)&amp;" points"</f>
        <v>115 points</v>
      </c>
      <c r="E31" s="31"/>
      <c r="F31" s="236"/>
      <c r="G31" s="1085" t="s">
        <v>956</v>
      </c>
      <c r="H31" s="1081" t="str">
        <f>115-SUM(I20:I30)&amp;" points"</f>
        <v>115 points</v>
      </c>
      <c r="I31" s="31"/>
      <c r="J31" s="236"/>
      <c r="K31" s="1083" t="s">
        <v>956</v>
      </c>
      <c r="L31" s="1081" t="str">
        <f>115-SUM(M20:M30)&amp;" points"</f>
        <v>115 points</v>
      </c>
      <c r="M31" s="31"/>
      <c r="N31" s="236"/>
      <c r="O31" s="1085" t="s">
        <v>956</v>
      </c>
      <c r="P31" s="1081" t="str">
        <f>115-SUM(Q20:Q30)&amp;" points"</f>
        <v>115 points</v>
      </c>
      <c r="Q31" s="31"/>
      <c r="R31" s="236"/>
      <c r="S31" s="1085" t="s">
        <v>956</v>
      </c>
      <c r="T31" s="1081" t="str">
        <f>115-SUM(U20:U30)&amp;" points"</f>
        <v>115 points</v>
      </c>
      <c r="U31" s="31"/>
      <c r="V31" s="236"/>
      <c r="W31" s="1083" t="s">
        <v>956</v>
      </c>
      <c r="X31" s="1081" t="str">
        <f>115-SUM(Y20:Y30)&amp;" points"</f>
        <v>115 points</v>
      </c>
      <c r="Y31" s="31"/>
      <c r="Z31" s="236"/>
      <c r="AA31" s="1080" t="s">
        <v>278</v>
      </c>
      <c r="AB31" s="1081" t="str">
        <f>115-SUM(AC20:AC30)&amp;" points"</f>
        <v>115 points</v>
      </c>
      <c r="AC31" s="31"/>
      <c r="AD31" s="236"/>
      <c r="AE31" s="1085" t="s">
        <v>956</v>
      </c>
      <c r="AF31" s="1081" t="str">
        <f>115-SUM(AG20:AG30)&amp;" points"</f>
        <v>115 points</v>
      </c>
      <c r="AG31" s="31"/>
      <c r="AH31" s="218"/>
      <c r="AI31" s="221"/>
    </row>
    <row r="32" ht="7.5" customHeight="1">
      <c r="A32" s="168"/>
      <c r="B32" s="1108"/>
      <c r="C32" s="1110"/>
      <c r="D32" s="1110"/>
      <c r="E32" s="1110"/>
      <c r="F32" s="1110"/>
      <c r="G32" s="1110"/>
      <c r="H32" s="1110"/>
      <c r="I32" s="1110"/>
      <c r="J32" s="1110"/>
      <c r="K32" s="1110"/>
      <c r="L32" s="1110"/>
      <c r="M32" s="1110"/>
      <c r="N32" s="1110"/>
      <c r="O32" s="1110"/>
      <c r="P32" s="1110"/>
      <c r="Q32" s="1110"/>
      <c r="R32" s="1110"/>
      <c r="S32" s="1110"/>
      <c r="T32" s="1110"/>
      <c r="U32" s="1110"/>
      <c r="V32" s="1110"/>
      <c r="W32" s="1110"/>
      <c r="X32" s="1110"/>
      <c r="Y32" s="1110"/>
      <c r="Z32" s="1110"/>
      <c r="AA32" s="1110"/>
      <c r="AB32" s="1110"/>
      <c r="AC32" s="1110"/>
      <c r="AD32" s="1110"/>
      <c r="AE32" s="1110"/>
      <c r="AF32" s="1110"/>
      <c r="AG32" s="1110"/>
      <c r="AH32" s="1112"/>
      <c r="AI32" s="168"/>
    </row>
    <row r="33" ht="7.5" customHeight="1">
      <c r="A33" s="168"/>
      <c r="B33" s="168"/>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168"/>
      <c r="AH33" s="168"/>
      <c r="AI33" s="168"/>
    </row>
    <row r="34" ht="15.75" hidden="1" customHeight="1">
      <c r="A34" s="168"/>
      <c r="B34" s="168"/>
      <c r="C34" s="168"/>
      <c r="D34" s="1113" t="s">
        <v>400</v>
      </c>
      <c r="E34" s="1114" t="s">
        <v>964</v>
      </c>
      <c r="F34" s="1115"/>
      <c r="G34" s="1115"/>
      <c r="H34" s="1114" t="s">
        <v>965</v>
      </c>
      <c r="I34" s="168"/>
      <c r="J34" s="168"/>
      <c r="K34" s="168"/>
      <c r="L34" s="1116"/>
      <c r="M34" s="168"/>
      <c r="N34" s="168"/>
      <c r="O34" s="168"/>
      <c r="P34" s="168"/>
      <c r="Q34" s="168"/>
      <c r="R34" s="168"/>
      <c r="S34" s="168"/>
      <c r="T34" s="168"/>
      <c r="U34" s="168"/>
      <c r="V34" s="168"/>
      <c r="W34" s="168"/>
      <c r="X34" s="168"/>
      <c r="Y34" s="168"/>
      <c r="Z34" s="168"/>
      <c r="AA34" s="168"/>
      <c r="AB34" s="168"/>
      <c r="AC34" s="168"/>
      <c r="AD34" s="168"/>
      <c r="AE34" s="168"/>
      <c r="AF34" s="168"/>
      <c r="AG34" s="168"/>
      <c r="AH34" s="168"/>
      <c r="AI34" s="168"/>
    </row>
    <row r="35" ht="15.75" hidden="1" customHeight="1">
      <c r="A35" s="168"/>
      <c r="B35" s="168"/>
      <c r="C35" s="168"/>
      <c r="D35" s="1122" t="str">
        <f t="array" ref="D35:D50">Source!G20:G35</f>
        <v/>
      </c>
      <c r="E35" s="1123"/>
      <c r="F35" s="168"/>
      <c r="G35" s="168"/>
      <c r="H35" s="1123">
        <f t="shared" ref="H35:H50" si="1">iferror(240/(2^E35), 240)</f>
        <v>240</v>
      </c>
      <c r="I35" s="168"/>
      <c r="J35" s="168"/>
      <c r="K35" s="168"/>
      <c r="L35" s="1124"/>
      <c r="M35" s="168"/>
      <c r="N35" s="168"/>
      <c r="O35" s="168"/>
      <c r="P35" s="168"/>
      <c r="Q35" s="168"/>
      <c r="R35" s="168"/>
      <c r="S35" s="168"/>
      <c r="T35" s="168"/>
      <c r="U35" s="168"/>
      <c r="V35" s="168"/>
      <c r="W35" s="168"/>
      <c r="X35" s="168"/>
      <c r="Y35" s="168"/>
      <c r="Z35" s="168"/>
      <c r="AA35" s="168"/>
      <c r="AB35" s="168"/>
      <c r="AC35" s="168"/>
      <c r="AD35" s="168"/>
      <c r="AE35" s="168"/>
      <c r="AF35" s="168"/>
      <c r="AG35" s="168"/>
      <c r="AH35" s="168"/>
      <c r="AI35" s="168"/>
    </row>
    <row r="36" ht="15.75" hidden="1" customHeight="1">
      <c r="A36" s="168"/>
      <c r="B36" s="168"/>
      <c r="C36" s="168"/>
      <c r="D36" s="1126"/>
      <c r="E36" s="1123"/>
      <c r="F36" s="168"/>
      <c r="G36" s="168"/>
      <c r="H36" s="1123">
        <f t="shared" si="1"/>
        <v>240</v>
      </c>
      <c r="I36" s="168"/>
      <c r="J36" s="168"/>
      <c r="K36" s="168"/>
      <c r="L36" s="407"/>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row>
    <row r="37" ht="15.75" hidden="1" customHeight="1">
      <c r="A37" s="168"/>
      <c r="B37" s="168"/>
      <c r="C37" s="168"/>
      <c r="D37" s="1126"/>
      <c r="E37" s="1123"/>
      <c r="F37" s="168"/>
      <c r="G37" s="168"/>
      <c r="H37" s="1123">
        <f t="shared" si="1"/>
        <v>240</v>
      </c>
      <c r="I37" s="168"/>
      <c r="J37" s="168"/>
      <c r="K37" s="168"/>
      <c r="L37" s="407"/>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row>
    <row r="38" ht="15.75" hidden="1" customHeight="1">
      <c r="A38" s="168"/>
      <c r="B38" s="168"/>
      <c r="C38" s="168"/>
      <c r="D38" s="1126"/>
      <c r="E38" s="1123"/>
      <c r="F38" s="168"/>
      <c r="G38" s="168"/>
      <c r="H38" s="1123">
        <f t="shared" si="1"/>
        <v>240</v>
      </c>
      <c r="I38" s="168"/>
      <c r="J38" s="168"/>
      <c r="K38" s="168"/>
      <c r="L38" s="407"/>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row>
    <row r="39" ht="15.75" hidden="1" customHeight="1">
      <c r="A39" s="168"/>
      <c r="B39" s="168"/>
      <c r="C39" s="168"/>
      <c r="D39" s="1126"/>
      <c r="E39" s="1123"/>
      <c r="F39" s="168"/>
      <c r="G39" s="168"/>
      <c r="H39" s="1123">
        <f t="shared" si="1"/>
        <v>240</v>
      </c>
      <c r="I39" s="168"/>
      <c r="J39" s="168"/>
      <c r="K39" s="168"/>
      <c r="L39" s="407"/>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row>
    <row r="40" ht="15.75" hidden="1" customHeight="1">
      <c r="A40" s="168"/>
      <c r="B40" s="168"/>
      <c r="C40" s="168"/>
      <c r="D40" s="1126"/>
      <c r="E40" s="1123"/>
      <c r="F40" s="168"/>
      <c r="G40" s="168"/>
      <c r="H40" s="1123">
        <f t="shared" si="1"/>
        <v>240</v>
      </c>
      <c r="I40" s="168"/>
      <c r="J40" s="168"/>
      <c r="K40" s="168"/>
      <c r="L40" s="407"/>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row>
    <row r="41" ht="15.75" hidden="1" customHeight="1">
      <c r="A41" s="168"/>
      <c r="B41" s="168"/>
      <c r="C41" s="168"/>
      <c r="D41" s="1126"/>
      <c r="E41" s="1123"/>
      <c r="F41" s="168"/>
      <c r="G41" s="168"/>
      <c r="H41" s="1123">
        <f t="shared" si="1"/>
        <v>240</v>
      </c>
      <c r="I41" s="168"/>
      <c r="J41" s="168"/>
      <c r="K41" s="168"/>
      <c r="L41" s="407"/>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row>
    <row r="42" ht="15.75" hidden="1" customHeight="1">
      <c r="A42" s="168"/>
      <c r="B42" s="168"/>
      <c r="C42" s="168"/>
      <c r="D42" s="1126"/>
      <c r="E42" s="1123"/>
      <c r="F42" s="168"/>
      <c r="G42" s="168"/>
      <c r="H42" s="1123">
        <f t="shared" si="1"/>
        <v>240</v>
      </c>
      <c r="I42" s="168"/>
      <c r="J42" s="168"/>
      <c r="K42" s="168"/>
      <c r="L42" s="407"/>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row>
    <row r="43" ht="15.75" hidden="1" customHeight="1">
      <c r="A43" s="168"/>
      <c r="B43" s="168"/>
      <c r="C43" s="168"/>
      <c r="D43" s="1126"/>
      <c r="E43" s="1123"/>
      <c r="F43" s="168"/>
      <c r="G43" s="168"/>
      <c r="H43" s="1123">
        <f t="shared" si="1"/>
        <v>240</v>
      </c>
      <c r="I43" s="168"/>
      <c r="J43" s="168"/>
      <c r="K43" s="168"/>
      <c r="L43" s="407"/>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row>
    <row r="44" ht="15.75" hidden="1" customHeight="1">
      <c r="A44" s="168"/>
      <c r="B44" s="168"/>
      <c r="C44" s="168"/>
      <c r="D44" s="1126"/>
      <c r="E44" s="1123"/>
      <c r="F44" s="168"/>
      <c r="G44" s="168"/>
      <c r="H44" s="1123">
        <f t="shared" si="1"/>
        <v>240</v>
      </c>
      <c r="I44" s="168"/>
      <c r="J44" s="168"/>
      <c r="K44" s="168"/>
      <c r="L44" s="407"/>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row>
    <row r="45" ht="15.75" hidden="1" customHeight="1">
      <c r="A45" s="168"/>
      <c r="B45" s="168"/>
      <c r="C45" s="168"/>
      <c r="D45" s="1126"/>
      <c r="E45" s="1123"/>
      <c r="F45" s="168"/>
      <c r="G45" s="168"/>
      <c r="H45" s="1123">
        <f t="shared" si="1"/>
        <v>240</v>
      </c>
      <c r="I45" s="168"/>
      <c r="J45" s="168"/>
      <c r="K45" s="168"/>
      <c r="L45" s="407"/>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row>
    <row r="46" ht="15.75" hidden="1" customHeight="1">
      <c r="A46" s="168"/>
      <c r="B46" s="168"/>
      <c r="C46" s="168"/>
      <c r="D46" s="1126"/>
      <c r="E46" s="1123"/>
      <c r="F46" s="168"/>
      <c r="G46" s="168"/>
      <c r="H46" s="1123">
        <f t="shared" si="1"/>
        <v>240</v>
      </c>
      <c r="I46" s="168"/>
      <c r="J46" s="168"/>
      <c r="K46" s="168"/>
      <c r="L46" s="407"/>
      <c r="M46" s="168"/>
      <c r="N46" s="168"/>
      <c r="O46" s="168"/>
      <c r="P46" s="168"/>
      <c r="Q46" s="168"/>
      <c r="R46" s="168"/>
      <c r="S46" s="168"/>
      <c r="T46" s="168"/>
      <c r="U46" s="168"/>
      <c r="V46" s="168"/>
      <c r="W46" s="168"/>
      <c r="X46" s="168"/>
      <c r="Y46" s="168"/>
      <c r="Z46" s="168"/>
      <c r="AA46" s="168"/>
      <c r="AB46" s="168"/>
      <c r="AC46" s="168"/>
      <c r="AD46" s="168"/>
      <c r="AE46" s="168"/>
      <c r="AF46" s="168"/>
      <c r="AG46" s="168"/>
      <c r="AH46" s="168"/>
      <c r="AI46" s="168"/>
    </row>
    <row r="47" ht="15.75" hidden="1" customHeight="1">
      <c r="A47" s="168"/>
      <c r="B47" s="168"/>
      <c r="C47" s="168"/>
      <c r="D47" s="1126"/>
      <c r="E47" s="1123"/>
      <c r="F47" s="168"/>
      <c r="G47" s="168"/>
      <c r="H47" s="1123">
        <f t="shared" si="1"/>
        <v>240</v>
      </c>
      <c r="I47" s="168"/>
      <c r="J47" s="168"/>
      <c r="K47" s="168"/>
      <c r="L47" s="407"/>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row>
    <row r="48" ht="15.75" hidden="1" customHeight="1">
      <c r="A48" s="168"/>
      <c r="B48" s="168"/>
      <c r="C48" s="168"/>
      <c r="D48" s="1126"/>
      <c r="E48" s="1123">
        <v>1.0</v>
      </c>
      <c r="F48" s="168"/>
      <c r="G48" s="168"/>
      <c r="H48" s="1123">
        <f t="shared" si="1"/>
        <v>120</v>
      </c>
      <c r="I48" s="168"/>
      <c r="J48" s="168"/>
      <c r="K48" s="168"/>
      <c r="L48" s="407"/>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row>
    <row r="49" ht="15.75" hidden="1" customHeight="1">
      <c r="A49" s="168"/>
      <c r="B49" s="168"/>
      <c r="C49" s="168"/>
      <c r="D49" s="1126"/>
      <c r="E49" s="1123">
        <v>1.0</v>
      </c>
      <c r="F49" s="168"/>
      <c r="G49" s="168"/>
      <c r="H49" s="1123">
        <f t="shared" si="1"/>
        <v>120</v>
      </c>
      <c r="I49" s="168"/>
      <c r="J49" s="168"/>
      <c r="K49" s="168"/>
      <c r="L49" s="407"/>
      <c r="M49" s="168"/>
      <c r="N49" s="168"/>
      <c r="O49" s="168"/>
      <c r="P49" s="168"/>
      <c r="Q49" s="168"/>
      <c r="R49" s="168"/>
      <c r="S49" s="168"/>
      <c r="T49" s="168"/>
      <c r="U49" s="168"/>
      <c r="V49" s="168"/>
      <c r="W49" s="168"/>
      <c r="X49" s="168"/>
      <c r="Y49" s="168"/>
      <c r="Z49" s="168"/>
      <c r="AA49" s="168"/>
      <c r="AB49" s="168"/>
      <c r="AC49" s="168"/>
      <c r="AD49" s="168"/>
      <c r="AE49" s="168"/>
      <c r="AF49" s="168"/>
      <c r="AG49" s="168"/>
      <c r="AH49" s="168"/>
      <c r="AI49" s="168"/>
    </row>
    <row r="50" ht="15.75" hidden="1" customHeight="1">
      <c r="A50" s="168"/>
      <c r="B50" s="168"/>
      <c r="C50" s="168"/>
      <c r="D50" s="1128"/>
      <c r="E50" s="1129"/>
      <c r="F50" s="1130"/>
      <c r="G50" s="1130"/>
      <c r="H50" s="1129">
        <f t="shared" si="1"/>
        <v>240</v>
      </c>
      <c r="I50" s="168"/>
      <c r="J50" s="168"/>
      <c r="K50" s="168"/>
      <c r="L50" s="407"/>
      <c r="M50" s="168"/>
      <c r="N50" s="168"/>
      <c r="O50" s="168"/>
      <c r="P50" s="168"/>
      <c r="Q50" s="168"/>
      <c r="R50" s="168"/>
      <c r="S50" s="168"/>
      <c r="T50" s="168"/>
      <c r="U50" s="168"/>
      <c r="V50" s="168"/>
      <c r="W50" s="168"/>
      <c r="X50" s="168"/>
      <c r="Y50" s="168"/>
      <c r="Z50" s="168"/>
      <c r="AA50" s="168"/>
      <c r="AB50" s="168"/>
      <c r="AC50" s="168"/>
      <c r="AD50" s="168"/>
      <c r="AE50" s="168"/>
      <c r="AF50" s="168"/>
      <c r="AG50" s="168"/>
      <c r="AH50" s="168"/>
      <c r="AI50" s="168"/>
    </row>
    <row r="51" ht="15.75" hidden="1" customHeight="1">
      <c r="A51" s="168"/>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row>
    <row r="52" ht="15.75" hidden="1" customHeight="1">
      <c r="A52" s="168"/>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c r="AE52" s="168"/>
      <c r="AF52" s="168"/>
      <c r="AG52" s="168"/>
      <c r="AH52" s="168"/>
      <c r="AI52" s="168"/>
    </row>
    <row r="53" ht="15.75" hidden="1" customHeight="1">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row>
    <row r="54" ht="15.75" hidden="1" customHeight="1">
      <c r="A54" s="168"/>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168"/>
      <c r="AH54" s="168"/>
      <c r="AI54" s="168"/>
    </row>
  </sheetData>
  <mergeCells count="48">
    <mergeCell ref="D16:E16"/>
    <mergeCell ref="C18:E18"/>
    <mergeCell ref="K18:M18"/>
    <mergeCell ref="S18:U18"/>
    <mergeCell ref="C19:D19"/>
    <mergeCell ref="K19:L19"/>
    <mergeCell ref="S19:T19"/>
    <mergeCell ref="X31:Y31"/>
    <mergeCell ref="AB31:AC31"/>
    <mergeCell ref="AF31:AG31"/>
    <mergeCell ref="O18:Q18"/>
    <mergeCell ref="O19:P19"/>
    <mergeCell ref="D31:E31"/>
    <mergeCell ref="H31:I31"/>
    <mergeCell ref="L31:M31"/>
    <mergeCell ref="P31:Q31"/>
    <mergeCell ref="T31:U31"/>
    <mergeCell ref="G3:I3"/>
    <mergeCell ref="K3:M3"/>
    <mergeCell ref="O3:Q3"/>
    <mergeCell ref="S3:U3"/>
    <mergeCell ref="W3:Y3"/>
    <mergeCell ref="AA3:AC3"/>
    <mergeCell ref="AE3:AG3"/>
    <mergeCell ref="AA4:AB4"/>
    <mergeCell ref="AE4:AF4"/>
    <mergeCell ref="C3:E3"/>
    <mergeCell ref="C4:D4"/>
    <mergeCell ref="G4:H4"/>
    <mergeCell ref="K4:L4"/>
    <mergeCell ref="O4:P4"/>
    <mergeCell ref="S4:T4"/>
    <mergeCell ref="W4:X4"/>
    <mergeCell ref="H16:I16"/>
    <mergeCell ref="L16:M16"/>
    <mergeCell ref="P16:Q16"/>
    <mergeCell ref="T16:U16"/>
    <mergeCell ref="X16:Y16"/>
    <mergeCell ref="AB16:AC16"/>
    <mergeCell ref="AF16:AG16"/>
    <mergeCell ref="AA18:AC18"/>
    <mergeCell ref="AE18:AG18"/>
    <mergeCell ref="AE19:AF19"/>
    <mergeCell ref="G18:I18"/>
    <mergeCell ref="G19:H19"/>
    <mergeCell ref="W18:Y18"/>
    <mergeCell ref="W19:X19"/>
    <mergeCell ref="AA19:AB19"/>
  </mergeCells>
  <conditionalFormatting sqref="D5:D15 H5:H15 L5:L15 P5:P15 T5:T15 X5:X15 AB5:AB15 AF5:AF15 D20:D30 H20:H30 L20:L30 P20:P30 T20:T30 X20:X30 AB20:AB30 AF20:AF30">
    <cfRule type="expression" dxfId="6" priority="1">
      <formula>COUNTIF({$D$5:$AF$30},D5)&gt;1</formula>
    </cfRule>
  </conditionalFormatting>
  <dataValidations>
    <dataValidation type="list" allowBlank="1" showDropDown="1" showErrorMessage="1" sqref="D5:D14 H5:H15 L5:L15 P5:P15 T5:T15 X5:X15 AB5:AB15 AF5:AF15 H20:H28 D20:D30 H30 L20:L30 P20:P30 T20:T30 X20:X30 AB20:AB30 AF20:AF30">
      <formula1>Source!$B$2:$B$954</formula1>
    </dataValidation>
    <dataValidation type="list" allowBlank="1" showDropDown="1" showErrorMessage="1" sqref="D15 H29">
      <formula1>Source!$B$2:$B$970</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5151"/>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1.38"/>
    <col customWidth="1" min="3" max="3" width="15.13"/>
    <col customWidth="1" min="4" max="6" width="3.25"/>
    <col customWidth="1" min="7" max="7" width="15.13"/>
    <col customWidth="1" min="8" max="10" width="3.25"/>
    <col customWidth="1" min="11" max="11" width="1.38"/>
    <col customWidth="1" min="12" max="12" width="15.13"/>
    <col customWidth="1" min="13" max="15" width="3.25"/>
    <col customWidth="1" min="16" max="16" width="15.13"/>
    <col customWidth="1" min="17" max="19" width="3.25"/>
    <col customWidth="1" min="20" max="20" width="1.38"/>
    <col customWidth="1" min="21" max="21" width="15.13"/>
    <col customWidth="1" min="22" max="24" width="3.25"/>
    <col customWidth="1" min="25" max="25" width="15.13"/>
    <col customWidth="1" min="26" max="28" width="3.25"/>
    <col customWidth="1" min="29" max="29" width="1.38"/>
    <col customWidth="1" min="30" max="30" width="15.13"/>
    <col customWidth="1" min="31" max="33" width="3.25"/>
    <col customWidth="1" min="34" max="34" width="15.13"/>
    <col customWidth="1" min="35" max="37" width="3.25"/>
    <col customWidth="1" min="38" max="38" width="1.38"/>
    <col customWidth="1" min="39" max="39" width="15.13"/>
    <col customWidth="1" min="40" max="42" width="3.25"/>
    <col customWidth="1" min="43" max="43" width="15.13"/>
    <col customWidth="1" min="44" max="46" width="3.25"/>
    <col customWidth="1" min="47" max="47" width="1.38"/>
    <col customWidth="1" min="48" max="48" width="15.13"/>
    <col customWidth="1" min="49" max="51" width="3.25"/>
    <col customWidth="1" min="52" max="52" width="15.13"/>
    <col customWidth="1" min="53" max="55" width="3.25"/>
    <col customWidth="1" min="56" max="56" width="1.38"/>
    <col customWidth="1" min="57" max="57" width="15.13"/>
    <col customWidth="1" min="58" max="60" width="3.25"/>
    <col customWidth="1" min="61" max="61" width="15.13"/>
    <col customWidth="1" min="62" max="64" width="3.25"/>
    <col customWidth="1" min="65" max="65" width="1.38"/>
    <col customWidth="1" min="66" max="66" width="15.13"/>
    <col customWidth="1" min="67" max="69" width="3.25"/>
    <col customWidth="1" min="70" max="70" width="15.13"/>
    <col customWidth="1" min="71" max="73" width="3.25"/>
    <col customWidth="1" min="74" max="74" width="1.38"/>
    <col customWidth="1" min="75" max="75" width="15.13"/>
    <col customWidth="1" min="76" max="78" width="3.25"/>
    <col customWidth="1" min="79" max="79" width="15.13"/>
    <col customWidth="1" min="80" max="82" width="3.25"/>
    <col customWidth="1" min="83" max="84" width="1.38"/>
  </cols>
  <sheetData>
    <row r="1" ht="7.5" customHeight="1">
      <c r="A1" s="504"/>
      <c r="B1" s="504"/>
      <c r="C1" s="504"/>
      <c r="D1" s="504"/>
      <c r="E1" s="504"/>
      <c r="F1" s="504"/>
      <c r="G1" s="504"/>
      <c r="H1" s="504"/>
      <c r="I1" s="504"/>
      <c r="J1" s="504"/>
      <c r="K1" s="504"/>
      <c r="L1" s="504"/>
      <c r="M1" s="504"/>
      <c r="N1" s="504"/>
      <c r="O1" s="504"/>
      <c r="P1" s="504"/>
      <c r="Q1" s="504"/>
      <c r="R1" s="504"/>
      <c r="S1" s="504"/>
      <c r="T1" s="504"/>
      <c r="U1" s="504"/>
      <c r="V1" s="504"/>
      <c r="W1" s="504"/>
      <c r="X1" s="504"/>
      <c r="Y1" s="504"/>
      <c r="Z1" s="504"/>
      <c r="AA1" s="504"/>
      <c r="AB1" s="504"/>
      <c r="AC1" s="504"/>
      <c r="AD1" s="504"/>
      <c r="AE1" s="504"/>
      <c r="AF1" s="504"/>
      <c r="AG1" s="504"/>
      <c r="AH1" s="504"/>
      <c r="AI1" s="504"/>
      <c r="AJ1" s="504"/>
      <c r="AK1" s="504"/>
      <c r="AL1" s="504"/>
      <c r="AM1" s="504"/>
      <c r="AN1" s="504"/>
      <c r="AO1" s="504"/>
      <c r="AP1" s="504"/>
      <c r="AQ1" s="504"/>
      <c r="AR1" s="504"/>
      <c r="AS1" s="504"/>
      <c r="AT1" s="504"/>
      <c r="AU1" s="504"/>
      <c r="AV1" s="504"/>
      <c r="AW1" s="504"/>
      <c r="AX1" s="504"/>
      <c r="AY1" s="504"/>
      <c r="AZ1" s="504"/>
      <c r="BA1" s="504"/>
      <c r="BB1" s="504"/>
      <c r="BC1" s="504"/>
      <c r="BD1" s="504"/>
      <c r="BE1" s="504"/>
      <c r="BF1" s="504"/>
      <c r="BG1" s="504"/>
      <c r="BH1" s="504"/>
      <c r="BI1" s="504"/>
      <c r="BJ1" s="504"/>
      <c r="BK1" s="504"/>
      <c r="BL1" s="504"/>
      <c r="BM1" s="504"/>
      <c r="BN1" s="504"/>
      <c r="BO1" s="504"/>
      <c r="BP1" s="504"/>
      <c r="BQ1" s="504"/>
      <c r="BR1" s="504"/>
      <c r="BS1" s="504"/>
      <c r="BT1" s="504"/>
      <c r="BU1" s="504"/>
      <c r="BV1" s="504"/>
      <c r="BW1" s="504"/>
      <c r="BX1" s="504"/>
      <c r="BY1" s="504"/>
      <c r="BZ1" s="504"/>
      <c r="CA1" s="504"/>
      <c r="CB1" s="504"/>
      <c r="CC1" s="504"/>
      <c r="CD1" s="504"/>
      <c r="CE1" s="504"/>
      <c r="CF1" s="504"/>
    </row>
    <row r="2" ht="7.5" customHeight="1">
      <c r="A2" s="504"/>
      <c r="B2" s="508"/>
      <c r="C2" s="509"/>
      <c r="D2" s="509"/>
      <c r="E2" s="509"/>
      <c r="F2" s="509"/>
      <c r="G2" s="509"/>
      <c r="H2" s="509"/>
      <c r="I2" s="509"/>
      <c r="J2" s="509"/>
      <c r="K2" s="509"/>
      <c r="L2" s="509"/>
      <c r="M2" s="509"/>
      <c r="N2" s="509"/>
      <c r="O2" s="509"/>
      <c r="P2" s="509"/>
      <c r="Q2" s="509"/>
      <c r="R2" s="509"/>
      <c r="S2" s="509"/>
      <c r="T2" s="509"/>
      <c r="U2" s="509"/>
      <c r="V2" s="509"/>
      <c r="W2" s="509"/>
      <c r="X2" s="509"/>
      <c r="Y2" s="509"/>
      <c r="Z2" s="509"/>
      <c r="AA2" s="509"/>
      <c r="AB2" s="509"/>
      <c r="AC2" s="509"/>
      <c r="AD2" s="509"/>
      <c r="AE2" s="509"/>
      <c r="AF2" s="509"/>
      <c r="AG2" s="509"/>
      <c r="AH2" s="509"/>
      <c r="AI2" s="509"/>
      <c r="AJ2" s="509"/>
      <c r="AK2" s="509"/>
      <c r="AL2" s="509"/>
      <c r="AM2" s="509"/>
      <c r="AN2" s="509"/>
      <c r="AO2" s="509"/>
      <c r="AP2" s="509"/>
      <c r="AQ2" s="509"/>
      <c r="AR2" s="509"/>
      <c r="AS2" s="509"/>
      <c r="AT2" s="509"/>
      <c r="AU2" s="509"/>
      <c r="AV2" s="509"/>
      <c r="AW2" s="509"/>
      <c r="AX2" s="509"/>
      <c r="AY2" s="509"/>
      <c r="AZ2" s="509"/>
      <c r="BA2" s="509"/>
      <c r="BB2" s="509"/>
      <c r="BC2" s="509"/>
      <c r="BD2" s="509"/>
      <c r="BE2" s="509"/>
      <c r="BF2" s="509"/>
      <c r="BG2" s="509"/>
      <c r="BH2" s="509"/>
      <c r="BI2" s="509"/>
      <c r="BJ2" s="509"/>
      <c r="BK2" s="509"/>
      <c r="BL2" s="509"/>
      <c r="BM2" s="509"/>
      <c r="BN2" s="509"/>
      <c r="BO2" s="509"/>
      <c r="BP2" s="509"/>
      <c r="BQ2" s="509"/>
      <c r="BR2" s="509"/>
      <c r="BS2" s="509"/>
      <c r="BT2" s="509"/>
      <c r="BU2" s="509"/>
      <c r="BV2" s="509"/>
      <c r="BW2" s="509"/>
      <c r="BX2" s="509"/>
      <c r="BY2" s="509"/>
      <c r="BZ2" s="509"/>
      <c r="CA2" s="509"/>
      <c r="CB2" s="509"/>
      <c r="CC2" s="509"/>
      <c r="CD2" s="509"/>
      <c r="CE2" s="510"/>
      <c r="CF2" s="504"/>
    </row>
    <row r="3">
      <c r="A3" s="177"/>
      <c r="B3" s="222"/>
      <c r="C3" s="1148" t="s">
        <v>158</v>
      </c>
      <c r="D3" s="29"/>
      <c r="E3" s="29"/>
      <c r="F3" s="29"/>
      <c r="G3" s="29"/>
      <c r="H3" s="29"/>
      <c r="I3" s="29"/>
      <c r="J3" s="31"/>
      <c r="K3" s="189"/>
      <c r="L3" s="1148" t="s">
        <v>200</v>
      </c>
      <c r="M3" s="29"/>
      <c r="N3" s="29"/>
      <c r="O3" s="29"/>
      <c r="P3" s="29"/>
      <c r="Q3" s="29"/>
      <c r="R3" s="29"/>
      <c r="S3" s="31"/>
      <c r="T3" s="189"/>
      <c r="U3" s="1148" t="s">
        <v>207</v>
      </c>
      <c r="V3" s="29"/>
      <c r="W3" s="29"/>
      <c r="X3" s="29"/>
      <c r="Y3" s="29"/>
      <c r="Z3" s="29"/>
      <c r="AA3" s="29"/>
      <c r="AB3" s="31"/>
      <c r="AC3" s="189"/>
      <c r="AD3" s="1148" t="s">
        <v>220</v>
      </c>
      <c r="AE3" s="29"/>
      <c r="AF3" s="29"/>
      <c r="AG3" s="29"/>
      <c r="AH3" s="29"/>
      <c r="AI3" s="29"/>
      <c r="AJ3" s="29"/>
      <c r="AK3" s="31"/>
      <c r="AL3" s="189"/>
      <c r="AM3" s="1148" t="s">
        <v>233</v>
      </c>
      <c r="AN3" s="29"/>
      <c r="AO3" s="29"/>
      <c r="AP3" s="29"/>
      <c r="AQ3" s="29"/>
      <c r="AR3" s="29"/>
      <c r="AS3" s="29"/>
      <c r="AT3" s="31"/>
      <c r="AU3" s="189"/>
      <c r="AV3" s="1148" t="s">
        <v>248</v>
      </c>
      <c r="AW3" s="29"/>
      <c r="AX3" s="29"/>
      <c r="AY3" s="29"/>
      <c r="AZ3" s="29"/>
      <c r="BA3" s="29"/>
      <c r="BB3" s="29"/>
      <c r="BC3" s="31"/>
      <c r="BD3" s="189"/>
      <c r="BE3" s="1148" t="s">
        <v>251</v>
      </c>
      <c r="BF3" s="29"/>
      <c r="BG3" s="29"/>
      <c r="BH3" s="29"/>
      <c r="BI3" s="29"/>
      <c r="BJ3" s="29"/>
      <c r="BK3" s="29"/>
      <c r="BL3" s="31"/>
      <c r="BM3" s="189"/>
      <c r="BN3" s="1148" t="s">
        <v>975</v>
      </c>
      <c r="BO3" s="29"/>
      <c r="BP3" s="29"/>
      <c r="BQ3" s="29"/>
      <c r="BR3" s="29"/>
      <c r="BS3" s="29"/>
      <c r="BT3" s="29"/>
      <c r="BU3" s="31"/>
      <c r="BV3" s="189"/>
      <c r="BW3" s="1148" t="s">
        <v>976</v>
      </c>
      <c r="BX3" s="29"/>
      <c r="BY3" s="29"/>
      <c r="BZ3" s="29"/>
      <c r="CA3" s="29"/>
      <c r="CB3" s="29"/>
      <c r="CC3" s="29"/>
      <c r="CD3" s="31"/>
      <c r="CE3" s="512"/>
      <c r="CF3" s="513"/>
    </row>
    <row r="4" ht="3.75" customHeight="1">
      <c r="A4" s="504"/>
      <c r="B4" s="514"/>
      <c r="C4" s="515"/>
      <c r="D4" s="515"/>
      <c r="E4" s="515"/>
      <c r="F4" s="515"/>
      <c r="G4" s="515"/>
      <c r="H4" s="515"/>
      <c r="I4" s="515"/>
      <c r="J4" s="515"/>
      <c r="K4" s="515"/>
      <c r="L4" s="515"/>
      <c r="M4" s="515"/>
      <c r="N4" s="515"/>
      <c r="O4" s="515"/>
      <c r="P4" s="515"/>
      <c r="Q4" s="515"/>
      <c r="R4" s="515"/>
      <c r="S4" s="515"/>
      <c r="T4" s="515"/>
      <c r="U4" s="515"/>
      <c r="V4" s="515"/>
      <c r="W4" s="515"/>
      <c r="X4" s="515"/>
      <c r="Y4" s="515"/>
      <c r="Z4" s="515"/>
      <c r="AA4" s="515"/>
      <c r="AB4" s="515"/>
      <c r="AC4" s="515"/>
      <c r="AD4" s="515"/>
      <c r="AE4" s="515"/>
      <c r="AF4" s="515"/>
      <c r="AG4" s="515"/>
      <c r="AH4" s="515"/>
      <c r="AI4" s="515"/>
      <c r="AJ4" s="515"/>
      <c r="AK4" s="515"/>
      <c r="AL4" s="515"/>
      <c r="AM4" s="515"/>
      <c r="AN4" s="515"/>
      <c r="AO4" s="515"/>
      <c r="AP4" s="515"/>
      <c r="AQ4" s="515"/>
      <c r="AR4" s="515"/>
      <c r="AS4" s="515"/>
      <c r="AT4" s="515"/>
      <c r="AU4" s="515"/>
      <c r="AV4" s="515"/>
      <c r="AW4" s="515"/>
      <c r="AX4" s="515"/>
      <c r="AY4" s="515"/>
      <c r="AZ4" s="515"/>
      <c r="BA4" s="515"/>
      <c r="BB4" s="515"/>
      <c r="BC4" s="515"/>
      <c r="BD4" s="515"/>
      <c r="BE4" s="515"/>
      <c r="BF4" s="515"/>
      <c r="BG4" s="515"/>
      <c r="BH4" s="515"/>
      <c r="BI4" s="515"/>
      <c r="BJ4" s="515"/>
      <c r="BK4" s="515"/>
      <c r="BL4" s="515"/>
      <c r="BM4" s="515"/>
      <c r="BN4" s="515"/>
      <c r="BO4" s="515"/>
      <c r="BP4" s="515"/>
      <c r="BQ4" s="515"/>
      <c r="BR4" s="515"/>
      <c r="BS4" s="515"/>
      <c r="BT4" s="515"/>
      <c r="BU4" s="515"/>
      <c r="BV4" s="515"/>
      <c r="BW4" s="515"/>
      <c r="BX4" s="515"/>
      <c r="BY4" s="515"/>
      <c r="BZ4" s="515"/>
      <c r="CA4" s="515"/>
      <c r="CB4" s="515"/>
      <c r="CC4" s="515"/>
      <c r="CD4" s="515"/>
      <c r="CE4" s="516"/>
      <c r="CF4" s="504"/>
    </row>
    <row r="5">
      <c r="A5" s="504"/>
      <c r="B5" s="514"/>
      <c r="C5" s="517" t="str">
        <f>Schedule!$J$7</f>
        <v/>
      </c>
      <c r="D5" s="519" t="s">
        <v>76</v>
      </c>
      <c r="E5" s="520" t="s">
        <v>77</v>
      </c>
      <c r="F5" s="520" t="s">
        <v>78</v>
      </c>
      <c r="G5" s="521" t="str">
        <f>#REF!</f>
        <v>#REF!</v>
      </c>
      <c r="H5" s="522" t="s">
        <v>76</v>
      </c>
      <c r="I5" s="523" t="s">
        <v>77</v>
      </c>
      <c r="J5" s="524" t="s">
        <v>78</v>
      </c>
      <c r="K5" s="515"/>
      <c r="L5" s="517" t="str">
        <f>Schedule!$J$12</f>
        <v/>
      </c>
      <c r="M5" s="519" t="s">
        <v>76</v>
      </c>
      <c r="N5" s="520" t="s">
        <v>77</v>
      </c>
      <c r="O5" s="520" t="s">
        <v>78</v>
      </c>
      <c r="P5" s="521" t="str">
        <f>#REF!</f>
        <v>#REF!</v>
      </c>
      <c r="Q5" s="522" t="s">
        <v>76</v>
      </c>
      <c r="R5" s="523" t="s">
        <v>77</v>
      </c>
      <c r="S5" s="524" t="s">
        <v>78</v>
      </c>
      <c r="T5" s="515"/>
      <c r="U5" s="517" t="str">
        <f>Schedule!$J$17</f>
        <v/>
      </c>
      <c r="V5" s="519" t="s">
        <v>76</v>
      </c>
      <c r="W5" s="520" t="s">
        <v>77</v>
      </c>
      <c r="X5" s="520" t="s">
        <v>78</v>
      </c>
      <c r="Y5" s="521" t="str">
        <f>#REF!</f>
        <v>#REF!</v>
      </c>
      <c r="Z5" s="522" t="s">
        <v>76</v>
      </c>
      <c r="AA5" s="523" t="s">
        <v>77</v>
      </c>
      <c r="AB5" s="524" t="s">
        <v>78</v>
      </c>
      <c r="AC5" s="515"/>
      <c r="AD5" s="517" t="str">
        <f>Schedule!$J$22</f>
        <v/>
      </c>
      <c r="AE5" s="519" t="s">
        <v>76</v>
      </c>
      <c r="AF5" s="520" t="s">
        <v>77</v>
      </c>
      <c r="AG5" s="520" t="s">
        <v>78</v>
      </c>
      <c r="AH5" s="521" t="str">
        <f>#REF!</f>
        <v>#REF!</v>
      </c>
      <c r="AI5" s="522" t="s">
        <v>76</v>
      </c>
      <c r="AJ5" s="523" t="s">
        <v>77</v>
      </c>
      <c r="AK5" s="524" t="s">
        <v>78</v>
      </c>
      <c r="AL5" s="515"/>
      <c r="AM5" s="517" t="str">
        <f>Schedule!$J$27</f>
        <v/>
      </c>
      <c r="AN5" s="519" t="s">
        <v>76</v>
      </c>
      <c r="AO5" s="520" t="s">
        <v>77</v>
      </c>
      <c r="AP5" s="520" t="s">
        <v>78</v>
      </c>
      <c r="AQ5" s="521" t="str">
        <f>#REF!</f>
        <v>#REF!</v>
      </c>
      <c r="AR5" s="522" t="s">
        <v>76</v>
      </c>
      <c r="AS5" s="523" t="s">
        <v>77</v>
      </c>
      <c r="AT5" s="524" t="s">
        <v>78</v>
      </c>
      <c r="AU5" s="515"/>
      <c r="AV5" s="517" t="str">
        <f>Schedule!$J$32</f>
        <v/>
      </c>
      <c r="AW5" s="519" t="s">
        <v>76</v>
      </c>
      <c r="AX5" s="520" t="s">
        <v>77</v>
      </c>
      <c r="AY5" s="520" t="s">
        <v>78</v>
      </c>
      <c r="AZ5" s="521" t="str">
        <f>#REF!</f>
        <v>#REF!</v>
      </c>
      <c r="BA5" s="522" t="s">
        <v>76</v>
      </c>
      <c r="BB5" s="523" t="s">
        <v>77</v>
      </c>
      <c r="BC5" s="524" t="s">
        <v>78</v>
      </c>
      <c r="BD5" s="515"/>
      <c r="BE5" s="517" t="str">
        <f>Schedule!$J$37</f>
        <v/>
      </c>
      <c r="BF5" s="519" t="s">
        <v>76</v>
      </c>
      <c r="BG5" s="520" t="s">
        <v>77</v>
      </c>
      <c r="BH5" s="520" t="s">
        <v>78</v>
      </c>
      <c r="BI5" s="521" t="str">
        <f>#REF!</f>
        <v>#REF!</v>
      </c>
      <c r="BJ5" s="522" t="s">
        <v>76</v>
      </c>
      <c r="BK5" s="523" t="s">
        <v>77</v>
      </c>
      <c r="BL5" s="524" t="s">
        <v>78</v>
      </c>
      <c r="BM5" s="515"/>
      <c r="BN5" s="517" t="str">
        <f>#REF!</f>
        <v>#REF!</v>
      </c>
      <c r="BO5" s="519" t="s">
        <v>76</v>
      </c>
      <c r="BP5" s="520" t="s">
        <v>77</v>
      </c>
      <c r="BQ5" s="520" t="s">
        <v>78</v>
      </c>
      <c r="BR5" s="521" t="str">
        <f>#REF!</f>
        <v>#REF!</v>
      </c>
      <c r="BS5" s="522" t="s">
        <v>76</v>
      </c>
      <c r="BT5" s="523" t="s">
        <v>77</v>
      </c>
      <c r="BU5" s="524" t="s">
        <v>78</v>
      </c>
      <c r="BV5" s="515"/>
      <c r="BW5" s="517" t="str">
        <f>#REF!</f>
        <v>#REF!</v>
      </c>
      <c r="BX5" s="519" t="s">
        <v>76</v>
      </c>
      <c r="BY5" s="520" t="s">
        <v>77</v>
      </c>
      <c r="BZ5" s="520" t="s">
        <v>78</v>
      </c>
      <c r="CA5" s="521" t="str">
        <f>#REF!</f>
        <v>#REF!</v>
      </c>
      <c r="CB5" s="522" t="s">
        <v>76</v>
      </c>
      <c r="CC5" s="523" t="s">
        <v>77</v>
      </c>
      <c r="CD5" s="524" t="s">
        <v>78</v>
      </c>
      <c r="CE5" s="516"/>
      <c r="CF5" s="504"/>
    </row>
    <row r="6">
      <c r="A6" s="504"/>
      <c r="B6" s="514"/>
      <c r="C6" s="1149"/>
      <c r="D6" s="1150"/>
      <c r="E6" s="1150"/>
      <c r="F6" s="1151">
        <f t="shared" ref="F6:F11" si="1">D6-E6</f>
        <v>0</v>
      </c>
      <c r="G6" s="1149"/>
      <c r="H6" s="1150"/>
      <c r="I6" s="1150"/>
      <c r="J6" s="1151">
        <f t="shared" ref="J6:J11" si="2">H6-I6</f>
        <v>0</v>
      </c>
      <c r="K6" s="515"/>
      <c r="L6" s="1149"/>
      <c r="M6" s="1150"/>
      <c r="N6" s="1150"/>
      <c r="O6" s="1151">
        <f t="shared" ref="O6:O11" si="3">M6-N6</f>
        <v>0</v>
      </c>
      <c r="P6" s="1149"/>
      <c r="Q6" s="1150"/>
      <c r="R6" s="1150"/>
      <c r="S6" s="1151">
        <f t="shared" ref="S6:S11" si="4">Q6-R6</f>
        <v>0</v>
      </c>
      <c r="T6" s="515"/>
      <c r="U6" s="1149"/>
      <c r="V6" s="1150"/>
      <c r="W6" s="1150"/>
      <c r="X6" s="1151">
        <f t="shared" ref="X6:X11" si="5">V6-W6</f>
        <v>0</v>
      </c>
      <c r="Y6" s="1149"/>
      <c r="Z6" s="1150"/>
      <c r="AA6" s="1150"/>
      <c r="AB6" s="1151">
        <f t="shared" ref="AB6:AB11" si="6">Z6-AA6</f>
        <v>0</v>
      </c>
      <c r="AC6" s="515"/>
      <c r="AD6" s="1149"/>
      <c r="AE6" s="1150"/>
      <c r="AF6" s="1150"/>
      <c r="AG6" s="1151">
        <f t="shared" ref="AG6:AG11" si="7">AE6-AF6</f>
        <v>0</v>
      </c>
      <c r="AH6" s="1149"/>
      <c r="AI6" s="1150"/>
      <c r="AJ6" s="1150"/>
      <c r="AK6" s="1151">
        <f t="shared" ref="AK6:AK11" si="8">AI6-AJ6</f>
        <v>0</v>
      </c>
      <c r="AL6" s="515"/>
      <c r="AM6" s="1149"/>
      <c r="AN6" s="1150"/>
      <c r="AO6" s="1150"/>
      <c r="AP6" s="1151">
        <f t="shared" ref="AP6:AP11" si="9">AN6-AO6</f>
        <v>0</v>
      </c>
      <c r="AQ6" s="1149"/>
      <c r="AR6" s="1150"/>
      <c r="AS6" s="1150"/>
      <c r="AT6" s="1151">
        <f t="shared" ref="AT6:AT11" si="10">AR6-AS6</f>
        <v>0</v>
      </c>
      <c r="AU6" s="515"/>
      <c r="AV6" s="1149"/>
      <c r="AW6" s="1150"/>
      <c r="AX6" s="1150"/>
      <c r="AY6" s="1151">
        <f t="shared" ref="AY6:AY11" si="11">AW6-AX6</f>
        <v>0</v>
      </c>
      <c r="AZ6" s="1149"/>
      <c r="BA6" s="1150"/>
      <c r="BB6" s="1150"/>
      <c r="BC6" s="1151">
        <f t="shared" ref="BC6:BC11" si="12">BA6-BB6</f>
        <v>0</v>
      </c>
      <c r="BD6" s="515"/>
      <c r="BE6" s="1149"/>
      <c r="BF6" s="1150"/>
      <c r="BG6" s="1150"/>
      <c r="BH6" s="1151">
        <f t="shared" ref="BH6:BH11" si="13">SUM(BF6-BG6)</f>
        <v>0</v>
      </c>
      <c r="BI6" s="1149"/>
      <c r="BJ6" s="1150"/>
      <c r="BK6" s="1150"/>
      <c r="BL6" s="1151">
        <f t="shared" ref="BL6:BL11" si="14">BJ6-BK6</f>
        <v>0</v>
      </c>
      <c r="BM6" s="515"/>
      <c r="BN6" s="1149"/>
      <c r="BO6" s="1150"/>
      <c r="BP6" s="1150"/>
      <c r="BQ6" s="1151">
        <f t="shared" ref="BQ6:BQ11" si="15">BO6-BP6</f>
        <v>0</v>
      </c>
      <c r="BR6" s="1149"/>
      <c r="BS6" s="1150"/>
      <c r="BT6" s="1150"/>
      <c r="BU6" s="1151">
        <f t="shared" ref="BU6:BU11" si="16">BS6-BT6</f>
        <v>0</v>
      </c>
      <c r="BV6" s="515"/>
      <c r="BW6" s="1149"/>
      <c r="BX6" s="1150"/>
      <c r="BY6" s="1150"/>
      <c r="BZ6" s="1151">
        <f t="shared" ref="BZ6:BZ11" si="17">BX6-BY6</f>
        <v>0</v>
      </c>
      <c r="CA6" s="1149"/>
      <c r="CB6" s="1150"/>
      <c r="CC6" s="1150"/>
      <c r="CD6" s="1151">
        <f t="shared" ref="CD6:CD11" si="18">CB6-CC6</f>
        <v>0</v>
      </c>
      <c r="CE6" s="516"/>
      <c r="CF6" s="504"/>
    </row>
    <row r="7">
      <c r="A7" s="504"/>
      <c r="B7" s="514"/>
      <c r="C7" s="1154"/>
      <c r="D7" s="1155"/>
      <c r="E7" s="1155"/>
      <c r="F7" s="1151">
        <f t="shared" si="1"/>
        <v>0</v>
      </c>
      <c r="G7" s="1154"/>
      <c r="H7" s="1155"/>
      <c r="I7" s="1155"/>
      <c r="J7" s="1151">
        <f t="shared" si="2"/>
        <v>0</v>
      </c>
      <c r="K7" s="515"/>
      <c r="L7" s="1154"/>
      <c r="M7" s="1155"/>
      <c r="N7" s="1155"/>
      <c r="O7" s="1151">
        <f t="shared" si="3"/>
        <v>0</v>
      </c>
      <c r="P7" s="1154"/>
      <c r="Q7" s="1155"/>
      <c r="R7" s="1155"/>
      <c r="S7" s="1151">
        <f t="shared" si="4"/>
        <v>0</v>
      </c>
      <c r="T7" s="515"/>
      <c r="U7" s="1154"/>
      <c r="V7" s="1155"/>
      <c r="W7" s="1155"/>
      <c r="X7" s="1151">
        <f t="shared" si="5"/>
        <v>0</v>
      </c>
      <c r="Y7" s="1154"/>
      <c r="Z7" s="1155"/>
      <c r="AA7" s="1155"/>
      <c r="AB7" s="1151">
        <f t="shared" si="6"/>
        <v>0</v>
      </c>
      <c r="AC7" s="515"/>
      <c r="AD7" s="1154"/>
      <c r="AE7" s="1155"/>
      <c r="AF7" s="1155"/>
      <c r="AG7" s="1151">
        <f t="shared" si="7"/>
        <v>0</v>
      </c>
      <c r="AH7" s="1154"/>
      <c r="AI7" s="1155"/>
      <c r="AJ7" s="1155"/>
      <c r="AK7" s="1151">
        <f t="shared" si="8"/>
        <v>0</v>
      </c>
      <c r="AL7" s="515"/>
      <c r="AM7" s="1154"/>
      <c r="AN7" s="1155"/>
      <c r="AO7" s="1155"/>
      <c r="AP7" s="1151">
        <f t="shared" si="9"/>
        <v>0</v>
      </c>
      <c r="AQ7" s="1154"/>
      <c r="AR7" s="1155"/>
      <c r="AS7" s="1155"/>
      <c r="AT7" s="1151">
        <f t="shared" si="10"/>
        <v>0</v>
      </c>
      <c r="AU7" s="515"/>
      <c r="AV7" s="1154"/>
      <c r="AW7" s="1155"/>
      <c r="AX7" s="1155"/>
      <c r="AY7" s="1151">
        <f t="shared" si="11"/>
        <v>0</v>
      </c>
      <c r="AZ7" s="1154"/>
      <c r="BA7" s="1155"/>
      <c r="BB7" s="1155"/>
      <c r="BC7" s="1151">
        <f t="shared" si="12"/>
        <v>0</v>
      </c>
      <c r="BD7" s="515"/>
      <c r="BE7" s="1154"/>
      <c r="BF7" s="1155"/>
      <c r="BG7" s="1155"/>
      <c r="BH7" s="1151">
        <f t="shared" si="13"/>
        <v>0</v>
      </c>
      <c r="BI7" s="1154"/>
      <c r="BJ7" s="1155"/>
      <c r="BK7" s="1155"/>
      <c r="BL7" s="1151">
        <f t="shared" si="14"/>
        <v>0</v>
      </c>
      <c r="BM7" s="515"/>
      <c r="BN7" s="1154"/>
      <c r="BO7" s="1155"/>
      <c r="BP7" s="1155"/>
      <c r="BQ7" s="1151">
        <f t="shared" si="15"/>
        <v>0</v>
      </c>
      <c r="BR7" s="1154"/>
      <c r="BS7" s="1155"/>
      <c r="BT7" s="1155"/>
      <c r="BU7" s="1151">
        <f t="shared" si="16"/>
        <v>0</v>
      </c>
      <c r="BV7" s="515"/>
      <c r="BW7" s="1154"/>
      <c r="BX7" s="1155"/>
      <c r="BY7" s="1155"/>
      <c r="BZ7" s="1151">
        <f t="shared" si="17"/>
        <v>0</v>
      </c>
      <c r="CA7" s="1154"/>
      <c r="CB7" s="1155"/>
      <c r="CC7" s="1155"/>
      <c r="CD7" s="1151">
        <f t="shared" si="18"/>
        <v>0</v>
      </c>
      <c r="CE7" s="516"/>
      <c r="CF7" s="504"/>
    </row>
    <row r="8">
      <c r="A8" s="504"/>
      <c r="B8" s="514"/>
      <c r="C8" s="1154"/>
      <c r="D8" s="1155"/>
      <c r="E8" s="1155"/>
      <c r="F8" s="1151">
        <f t="shared" si="1"/>
        <v>0</v>
      </c>
      <c r="G8" s="1154"/>
      <c r="H8" s="1155"/>
      <c r="I8" s="1155"/>
      <c r="J8" s="1151">
        <f t="shared" si="2"/>
        <v>0</v>
      </c>
      <c r="K8" s="515"/>
      <c r="L8" s="1154"/>
      <c r="M8" s="1155"/>
      <c r="N8" s="1155"/>
      <c r="O8" s="1151">
        <f t="shared" si="3"/>
        <v>0</v>
      </c>
      <c r="P8" s="1154"/>
      <c r="Q8" s="1155"/>
      <c r="R8" s="1155"/>
      <c r="S8" s="1151">
        <f t="shared" si="4"/>
        <v>0</v>
      </c>
      <c r="T8" s="515"/>
      <c r="U8" s="1154"/>
      <c r="V8" s="1155"/>
      <c r="W8" s="1155"/>
      <c r="X8" s="1151">
        <f t="shared" si="5"/>
        <v>0</v>
      </c>
      <c r="Y8" s="1154"/>
      <c r="Z8" s="1155"/>
      <c r="AA8" s="1155"/>
      <c r="AB8" s="1151">
        <f t="shared" si="6"/>
        <v>0</v>
      </c>
      <c r="AC8" s="515"/>
      <c r="AD8" s="1154"/>
      <c r="AE8" s="1155"/>
      <c r="AF8" s="1155"/>
      <c r="AG8" s="1151">
        <f t="shared" si="7"/>
        <v>0</v>
      </c>
      <c r="AH8" s="1154"/>
      <c r="AI8" s="1155"/>
      <c r="AJ8" s="1155"/>
      <c r="AK8" s="1151">
        <f t="shared" si="8"/>
        <v>0</v>
      </c>
      <c r="AL8" s="515"/>
      <c r="AM8" s="1154"/>
      <c r="AN8" s="1155"/>
      <c r="AO8" s="1155"/>
      <c r="AP8" s="1151">
        <f t="shared" si="9"/>
        <v>0</v>
      </c>
      <c r="AQ8" s="1154"/>
      <c r="AR8" s="1155"/>
      <c r="AS8" s="1155"/>
      <c r="AT8" s="1151">
        <f t="shared" si="10"/>
        <v>0</v>
      </c>
      <c r="AU8" s="515"/>
      <c r="AV8" s="1154"/>
      <c r="AW8" s="1155"/>
      <c r="AX8" s="1155"/>
      <c r="AY8" s="1151">
        <f t="shared" si="11"/>
        <v>0</v>
      </c>
      <c r="AZ8" s="1154"/>
      <c r="BA8" s="1155"/>
      <c r="BB8" s="1155"/>
      <c r="BC8" s="1151">
        <f t="shared" si="12"/>
        <v>0</v>
      </c>
      <c r="BD8" s="515"/>
      <c r="BE8" s="1154"/>
      <c r="BF8" s="1155"/>
      <c r="BG8" s="1155"/>
      <c r="BH8" s="1151">
        <f t="shared" si="13"/>
        <v>0</v>
      </c>
      <c r="BI8" s="1154"/>
      <c r="BJ8" s="1155"/>
      <c r="BK8" s="1155"/>
      <c r="BL8" s="1151">
        <f t="shared" si="14"/>
        <v>0</v>
      </c>
      <c r="BM8" s="515"/>
      <c r="BN8" s="1154"/>
      <c r="BO8" s="1155"/>
      <c r="BP8" s="1155"/>
      <c r="BQ8" s="1151">
        <f t="shared" si="15"/>
        <v>0</v>
      </c>
      <c r="BR8" s="1154"/>
      <c r="BS8" s="1155"/>
      <c r="BT8" s="1155"/>
      <c r="BU8" s="1151">
        <f t="shared" si="16"/>
        <v>0</v>
      </c>
      <c r="BV8" s="515"/>
      <c r="BW8" s="1154"/>
      <c r="BX8" s="1155"/>
      <c r="BY8" s="1155"/>
      <c r="BZ8" s="1151">
        <f t="shared" si="17"/>
        <v>0</v>
      </c>
      <c r="CA8" s="1154"/>
      <c r="CB8" s="1155"/>
      <c r="CC8" s="1155"/>
      <c r="CD8" s="1151">
        <f t="shared" si="18"/>
        <v>0</v>
      </c>
      <c r="CE8" s="516"/>
      <c r="CF8" s="504"/>
    </row>
    <row r="9">
      <c r="A9" s="504"/>
      <c r="B9" s="514"/>
      <c r="C9" s="1154"/>
      <c r="D9" s="1155"/>
      <c r="E9" s="1155"/>
      <c r="F9" s="1151">
        <f t="shared" si="1"/>
        <v>0</v>
      </c>
      <c r="G9" s="1154"/>
      <c r="H9" s="1155"/>
      <c r="I9" s="1155"/>
      <c r="J9" s="1151">
        <f t="shared" si="2"/>
        <v>0</v>
      </c>
      <c r="K9" s="515"/>
      <c r="L9" s="1154"/>
      <c r="M9" s="1155"/>
      <c r="N9" s="1155"/>
      <c r="O9" s="1151">
        <f t="shared" si="3"/>
        <v>0</v>
      </c>
      <c r="P9" s="1154"/>
      <c r="Q9" s="1155"/>
      <c r="R9" s="1155"/>
      <c r="S9" s="1151">
        <f t="shared" si="4"/>
        <v>0</v>
      </c>
      <c r="T9" s="515"/>
      <c r="U9" s="1154"/>
      <c r="V9" s="1155"/>
      <c r="W9" s="1155"/>
      <c r="X9" s="1151">
        <f t="shared" si="5"/>
        <v>0</v>
      </c>
      <c r="Y9" s="1154"/>
      <c r="Z9" s="1155"/>
      <c r="AA9" s="1155"/>
      <c r="AB9" s="1151">
        <f t="shared" si="6"/>
        <v>0</v>
      </c>
      <c r="AC9" s="515"/>
      <c r="AD9" s="1154"/>
      <c r="AE9" s="1155"/>
      <c r="AF9" s="1155"/>
      <c r="AG9" s="1151">
        <f t="shared" si="7"/>
        <v>0</v>
      </c>
      <c r="AH9" s="1154"/>
      <c r="AI9" s="1155"/>
      <c r="AJ9" s="1155"/>
      <c r="AK9" s="1151">
        <f t="shared" si="8"/>
        <v>0</v>
      </c>
      <c r="AL9" s="515"/>
      <c r="AM9" s="1154"/>
      <c r="AN9" s="1155"/>
      <c r="AO9" s="1155"/>
      <c r="AP9" s="1151">
        <f t="shared" si="9"/>
        <v>0</v>
      </c>
      <c r="AQ9" s="1154"/>
      <c r="AR9" s="1155"/>
      <c r="AS9" s="1155"/>
      <c r="AT9" s="1151">
        <f t="shared" si="10"/>
        <v>0</v>
      </c>
      <c r="AU9" s="515"/>
      <c r="AV9" s="1154"/>
      <c r="AW9" s="1155"/>
      <c r="AX9" s="1155"/>
      <c r="AY9" s="1151">
        <f t="shared" si="11"/>
        <v>0</v>
      </c>
      <c r="AZ9" s="1154"/>
      <c r="BA9" s="1155"/>
      <c r="BB9" s="1155"/>
      <c r="BC9" s="1151">
        <f t="shared" si="12"/>
        <v>0</v>
      </c>
      <c r="BD9" s="515"/>
      <c r="BE9" s="1154"/>
      <c r="BF9" s="1155"/>
      <c r="BG9" s="1155"/>
      <c r="BH9" s="1151">
        <f t="shared" si="13"/>
        <v>0</v>
      </c>
      <c r="BI9" s="1154"/>
      <c r="BJ9" s="1155"/>
      <c r="BK9" s="1155"/>
      <c r="BL9" s="1151">
        <f t="shared" si="14"/>
        <v>0</v>
      </c>
      <c r="BM9" s="515"/>
      <c r="BN9" s="1154"/>
      <c r="BO9" s="1155"/>
      <c r="BP9" s="1155"/>
      <c r="BQ9" s="1151">
        <f t="shared" si="15"/>
        <v>0</v>
      </c>
      <c r="BR9" s="1154"/>
      <c r="BS9" s="1155"/>
      <c r="BT9" s="1155"/>
      <c r="BU9" s="1151">
        <f t="shared" si="16"/>
        <v>0</v>
      </c>
      <c r="BV9" s="515"/>
      <c r="BW9" s="1154"/>
      <c r="BX9" s="1155"/>
      <c r="BY9" s="1155"/>
      <c r="BZ9" s="1151">
        <f t="shared" si="17"/>
        <v>0</v>
      </c>
      <c r="CA9" s="1154"/>
      <c r="CB9" s="1155"/>
      <c r="CC9" s="1155"/>
      <c r="CD9" s="1151">
        <f t="shared" si="18"/>
        <v>0</v>
      </c>
      <c r="CE9" s="516"/>
      <c r="CF9" s="504"/>
    </row>
    <row r="10">
      <c r="A10" s="504"/>
      <c r="B10" s="514"/>
      <c r="C10" s="1154"/>
      <c r="D10" s="1155"/>
      <c r="E10" s="1155"/>
      <c r="F10" s="1151">
        <f t="shared" si="1"/>
        <v>0</v>
      </c>
      <c r="G10" s="1154"/>
      <c r="H10" s="1155"/>
      <c r="I10" s="1155"/>
      <c r="J10" s="1151">
        <f t="shared" si="2"/>
        <v>0</v>
      </c>
      <c r="K10" s="515"/>
      <c r="L10" s="1154"/>
      <c r="M10" s="1155"/>
      <c r="N10" s="1155"/>
      <c r="O10" s="1151">
        <f t="shared" si="3"/>
        <v>0</v>
      </c>
      <c r="P10" s="1154"/>
      <c r="Q10" s="1155"/>
      <c r="R10" s="1155"/>
      <c r="S10" s="1151">
        <f t="shared" si="4"/>
        <v>0</v>
      </c>
      <c r="T10" s="515"/>
      <c r="U10" s="1154"/>
      <c r="V10" s="1155"/>
      <c r="W10" s="1155"/>
      <c r="X10" s="1151">
        <f t="shared" si="5"/>
        <v>0</v>
      </c>
      <c r="Y10" s="1154"/>
      <c r="Z10" s="1155"/>
      <c r="AA10" s="1155"/>
      <c r="AB10" s="1151">
        <f t="shared" si="6"/>
        <v>0</v>
      </c>
      <c r="AC10" s="515"/>
      <c r="AD10" s="1154"/>
      <c r="AE10" s="1155"/>
      <c r="AF10" s="1155"/>
      <c r="AG10" s="1151">
        <f t="shared" si="7"/>
        <v>0</v>
      </c>
      <c r="AH10" s="1154"/>
      <c r="AI10" s="1155"/>
      <c r="AJ10" s="1155"/>
      <c r="AK10" s="1151">
        <f t="shared" si="8"/>
        <v>0</v>
      </c>
      <c r="AL10" s="515"/>
      <c r="AM10" s="1154"/>
      <c r="AN10" s="1155"/>
      <c r="AO10" s="1155"/>
      <c r="AP10" s="1151">
        <f t="shared" si="9"/>
        <v>0</v>
      </c>
      <c r="AQ10" s="1154"/>
      <c r="AR10" s="1155"/>
      <c r="AS10" s="1155"/>
      <c r="AT10" s="1151">
        <f t="shared" si="10"/>
        <v>0</v>
      </c>
      <c r="AU10" s="515"/>
      <c r="AV10" s="1154"/>
      <c r="AW10" s="1155"/>
      <c r="AX10" s="1155"/>
      <c r="AY10" s="1151">
        <f t="shared" si="11"/>
        <v>0</v>
      </c>
      <c r="AZ10" s="1154"/>
      <c r="BA10" s="1155"/>
      <c r="BB10" s="1155"/>
      <c r="BC10" s="1151">
        <f t="shared" si="12"/>
        <v>0</v>
      </c>
      <c r="BD10" s="515"/>
      <c r="BE10" s="1154"/>
      <c r="BF10" s="1155"/>
      <c r="BG10" s="1155"/>
      <c r="BH10" s="1151">
        <f t="shared" si="13"/>
        <v>0</v>
      </c>
      <c r="BI10" s="1154"/>
      <c r="BJ10" s="1155"/>
      <c r="BK10" s="1155"/>
      <c r="BL10" s="1151">
        <f t="shared" si="14"/>
        <v>0</v>
      </c>
      <c r="BM10" s="515"/>
      <c r="BN10" s="1154"/>
      <c r="BO10" s="1155"/>
      <c r="BP10" s="1155"/>
      <c r="BQ10" s="1151">
        <f t="shared" si="15"/>
        <v>0</v>
      </c>
      <c r="BR10" s="1154"/>
      <c r="BS10" s="1155"/>
      <c r="BT10" s="1155"/>
      <c r="BU10" s="1151">
        <f t="shared" si="16"/>
        <v>0</v>
      </c>
      <c r="BV10" s="515"/>
      <c r="BW10" s="1154"/>
      <c r="BX10" s="1155"/>
      <c r="BY10" s="1155"/>
      <c r="BZ10" s="1151">
        <f t="shared" si="17"/>
        <v>0</v>
      </c>
      <c r="CA10" s="1154"/>
      <c r="CB10" s="1155"/>
      <c r="CC10" s="1155"/>
      <c r="CD10" s="1151">
        <f t="shared" si="18"/>
        <v>0</v>
      </c>
      <c r="CE10" s="516"/>
      <c r="CF10" s="504"/>
    </row>
    <row r="11">
      <c r="A11" s="504"/>
      <c r="B11" s="514"/>
      <c r="C11" s="1159"/>
      <c r="D11" s="1160"/>
      <c r="E11" s="1160"/>
      <c r="F11" s="1151">
        <f t="shared" si="1"/>
        <v>0</v>
      </c>
      <c r="G11" s="1159"/>
      <c r="H11" s="1160"/>
      <c r="I11" s="1160"/>
      <c r="J11" s="1151">
        <f t="shared" si="2"/>
        <v>0</v>
      </c>
      <c r="K11" s="515"/>
      <c r="L11" s="1159"/>
      <c r="M11" s="1160"/>
      <c r="N11" s="1160"/>
      <c r="O11" s="1151">
        <f t="shared" si="3"/>
        <v>0</v>
      </c>
      <c r="P11" s="1159"/>
      <c r="Q11" s="1160"/>
      <c r="R11" s="1160"/>
      <c r="S11" s="1151">
        <f t="shared" si="4"/>
        <v>0</v>
      </c>
      <c r="T11" s="515"/>
      <c r="U11" s="1159"/>
      <c r="V11" s="1160"/>
      <c r="W11" s="1160"/>
      <c r="X11" s="1151">
        <f t="shared" si="5"/>
        <v>0</v>
      </c>
      <c r="Y11" s="1159"/>
      <c r="Z11" s="1160"/>
      <c r="AA11" s="1160"/>
      <c r="AB11" s="1151">
        <f t="shared" si="6"/>
        <v>0</v>
      </c>
      <c r="AC11" s="515"/>
      <c r="AD11" s="1159"/>
      <c r="AE11" s="1160"/>
      <c r="AF11" s="1160"/>
      <c r="AG11" s="1151">
        <f t="shared" si="7"/>
        <v>0</v>
      </c>
      <c r="AH11" s="1159"/>
      <c r="AI11" s="1160"/>
      <c r="AJ11" s="1160"/>
      <c r="AK11" s="1151">
        <f t="shared" si="8"/>
        <v>0</v>
      </c>
      <c r="AL11" s="515"/>
      <c r="AM11" s="1159"/>
      <c r="AN11" s="1160"/>
      <c r="AO11" s="1160"/>
      <c r="AP11" s="1151">
        <f t="shared" si="9"/>
        <v>0</v>
      </c>
      <c r="AQ11" s="1159"/>
      <c r="AR11" s="1160"/>
      <c r="AS11" s="1160"/>
      <c r="AT11" s="1151">
        <f t="shared" si="10"/>
        <v>0</v>
      </c>
      <c r="AU11" s="515"/>
      <c r="AV11" s="1159"/>
      <c r="AW11" s="1160"/>
      <c r="AX11" s="1160"/>
      <c r="AY11" s="1151">
        <f t="shared" si="11"/>
        <v>0</v>
      </c>
      <c r="AZ11" s="1159"/>
      <c r="BA11" s="1160"/>
      <c r="BB11" s="1160"/>
      <c r="BC11" s="1151">
        <f t="shared" si="12"/>
        <v>0</v>
      </c>
      <c r="BD11" s="515"/>
      <c r="BE11" s="1159"/>
      <c r="BF11" s="1160"/>
      <c r="BG11" s="1160"/>
      <c r="BH11" s="1151">
        <f t="shared" si="13"/>
        <v>0</v>
      </c>
      <c r="BI11" s="1159"/>
      <c r="BJ11" s="1160"/>
      <c r="BK11" s="1160"/>
      <c r="BL11" s="1151">
        <f t="shared" si="14"/>
        <v>0</v>
      </c>
      <c r="BM11" s="515"/>
      <c r="BN11" s="1159"/>
      <c r="BO11" s="1160"/>
      <c r="BP11" s="1160"/>
      <c r="BQ11" s="1151">
        <f t="shared" si="15"/>
        <v>0</v>
      </c>
      <c r="BR11" s="1159"/>
      <c r="BS11" s="1160"/>
      <c r="BT11" s="1160"/>
      <c r="BU11" s="1151">
        <f t="shared" si="16"/>
        <v>0</v>
      </c>
      <c r="BV11" s="515"/>
      <c r="BW11" s="1159"/>
      <c r="BX11" s="1160"/>
      <c r="BY11" s="1160"/>
      <c r="BZ11" s="1151">
        <f t="shared" si="17"/>
        <v>0</v>
      </c>
      <c r="CA11" s="1159"/>
      <c r="CB11" s="1160"/>
      <c r="CC11" s="1160"/>
      <c r="CD11" s="1151">
        <f t="shared" si="18"/>
        <v>0</v>
      </c>
      <c r="CE11" s="516"/>
      <c r="CF11" s="504"/>
    </row>
    <row r="12">
      <c r="A12" s="504"/>
      <c r="B12" s="514"/>
      <c r="C12" s="1161" t="s">
        <v>270</v>
      </c>
      <c r="D12" s="1162">
        <f>SUM(F6:F11)</f>
        <v>0</v>
      </c>
      <c r="E12" s="1097"/>
      <c r="F12" s="1097"/>
      <c r="G12" s="1161" t="s">
        <v>270</v>
      </c>
      <c r="H12" s="1162">
        <f>SUM(J6:J11)</f>
        <v>0</v>
      </c>
      <c r="I12" s="1097"/>
      <c r="J12" s="1097"/>
      <c r="K12" s="515"/>
      <c r="L12" s="1161" t="s">
        <v>270</v>
      </c>
      <c r="M12" s="1162">
        <f>SUM(O6:O11)</f>
        <v>0</v>
      </c>
      <c r="N12" s="1097"/>
      <c r="O12" s="1097"/>
      <c r="P12" s="1161" t="s">
        <v>270</v>
      </c>
      <c r="Q12" s="1162">
        <f>SUM(S6:S11)</f>
        <v>0</v>
      </c>
      <c r="R12" s="1097"/>
      <c r="S12" s="1097"/>
      <c r="T12" s="515"/>
      <c r="U12" s="1161" t="s">
        <v>270</v>
      </c>
      <c r="V12" s="1162">
        <f>SUM(X6:X11)</f>
        <v>0</v>
      </c>
      <c r="W12" s="1097"/>
      <c r="X12" s="1097"/>
      <c r="Y12" s="1161" t="s">
        <v>270</v>
      </c>
      <c r="Z12" s="1162">
        <f>SUM(AB6:AB11)</f>
        <v>0</v>
      </c>
      <c r="AA12" s="1097"/>
      <c r="AB12" s="1097"/>
      <c r="AC12" s="515"/>
      <c r="AD12" s="1161" t="s">
        <v>270</v>
      </c>
      <c r="AE12" s="1162">
        <f>SUM(AG6:AG11)</f>
        <v>0</v>
      </c>
      <c r="AF12" s="1097"/>
      <c r="AG12" s="1097"/>
      <c r="AH12" s="1161" t="s">
        <v>270</v>
      </c>
      <c r="AI12" s="1162">
        <f>SUM(AK6:AK11)</f>
        <v>0</v>
      </c>
      <c r="AJ12" s="1097"/>
      <c r="AK12" s="1097"/>
      <c r="AL12" s="515"/>
      <c r="AM12" s="1161" t="s">
        <v>270</v>
      </c>
      <c r="AN12" s="1162">
        <f>SUM(AP6:AP11)</f>
        <v>0</v>
      </c>
      <c r="AO12" s="1097"/>
      <c r="AP12" s="1097"/>
      <c r="AQ12" s="1161" t="s">
        <v>270</v>
      </c>
      <c r="AR12" s="1162">
        <f>SUM(AT6:AT11)</f>
        <v>0</v>
      </c>
      <c r="AS12" s="1097"/>
      <c r="AT12" s="1097"/>
      <c r="AU12" s="515"/>
      <c r="AV12" s="1161" t="s">
        <v>270</v>
      </c>
      <c r="AW12" s="1162">
        <f>SUM(AY6:AY11)</f>
        <v>0</v>
      </c>
      <c r="AX12" s="1097"/>
      <c r="AY12" s="1097"/>
      <c r="AZ12" s="1161" t="s">
        <v>270</v>
      </c>
      <c r="BA12" s="1162">
        <f>SUM(BC6:BC11)</f>
        <v>0</v>
      </c>
      <c r="BB12" s="1097"/>
      <c r="BC12" s="1097"/>
      <c r="BD12" s="515"/>
      <c r="BE12" s="1161" t="s">
        <v>270</v>
      </c>
      <c r="BF12" s="1162">
        <f>SUM(BH6:BH11)</f>
        <v>0</v>
      </c>
      <c r="BG12" s="1097"/>
      <c r="BH12" s="1097"/>
      <c r="BI12" s="1161" t="s">
        <v>270</v>
      </c>
      <c r="BJ12" s="1162">
        <f>SUM(BL6:BL11)</f>
        <v>0</v>
      </c>
      <c r="BK12" s="1097"/>
      <c r="BL12" s="1097"/>
      <c r="BM12" s="515"/>
      <c r="BN12" s="1161" t="s">
        <v>270</v>
      </c>
      <c r="BO12" s="1162">
        <f>SUM(BQ6:BQ11)</f>
        <v>0</v>
      </c>
      <c r="BP12" s="1097"/>
      <c r="BQ12" s="1097"/>
      <c r="BR12" s="1161" t="s">
        <v>270</v>
      </c>
      <c r="BS12" s="1162">
        <f>SUM(BU6:BU11)</f>
        <v>0</v>
      </c>
      <c r="BT12" s="1097"/>
      <c r="BU12" s="1097"/>
      <c r="BV12" s="515"/>
      <c r="BW12" s="1161" t="s">
        <v>270</v>
      </c>
      <c r="BX12" s="1162">
        <f>SUM(BZ6:BZ11)</f>
        <v>0</v>
      </c>
      <c r="BY12" s="1097"/>
      <c r="BZ12" s="1097"/>
      <c r="CA12" s="1161" t="s">
        <v>270</v>
      </c>
      <c r="CB12" s="1162">
        <f>SUM(CD6:CD11)</f>
        <v>0</v>
      </c>
      <c r="CC12" s="1097"/>
      <c r="CD12" s="1097"/>
      <c r="CE12" s="552"/>
      <c r="CF12" s="2"/>
    </row>
    <row r="13">
      <c r="A13" s="2"/>
      <c r="B13" s="542"/>
      <c r="C13" s="1163" t="s">
        <v>980</v>
      </c>
      <c r="D13" s="1164"/>
      <c r="E13" s="188"/>
      <c r="F13" s="544"/>
      <c r="G13" s="1163" t="s">
        <v>980</v>
      </c>
      <c r="H13" s="1164"/>
      <c r="I13" s="188"/>
      <c r="J13" s="191"/>
      <c r="K13" s="548"/>
      <c r="L13" s="1163" t="s">
        <v>980</v>
      </c>
      <c r="M13" s="1164"/>
      <c r="N13" s="188"/>
      <c r="O13" s="544"/>
      <c r="P13" s="1163" t="s">
        <v>980</v>
      </c>
      <c r="Q13" s="1164"/>
      <c r="R13" s="188"/>
      <c r="S13" s="191"/>
      <c r="T13" s="548"/>
      <c r="U13" s="1163" t="s">
        <v>980</v>
      </c>
      <c r="V13" s="1164"/>
      <c r="W13" s="188"/>
      <c r="X13" s="544"/>
      <c r="Y13" s="1163" t="s">
        <v>980</v>
      </c>
      <c r="Z13" s="1164"/>
      <c r="AA13" s="188"/>
      <c r="AB13" s="191"/>
      <c r="AC13" s="548"/>
      <c r="AD13" s="1163" t="s">
        <v>980</v>
      </c>
      <c r="AE13" s="1164"/>
      <c r="AF13" s="188"/>
      <c r="AG13" s="544"/>
      <c r="AH13" s="1163" t="s">
        <v>980</v>
      </c>
      <c r="AI13" s="1164"/>
      <c r="AJ13" s="188"/>
      <c r="AK13" s="191"/>
      <c r="AL13" s="548"/>
      <c r="AM13" s="1163" t="s">
        <v>980</v>
      </c>
      <c r="AN13" s="1164"/>
      <c r="AO13" s="188"/>
      <c r="AP13" s="544"/>
      <c r="AQ13" s="1163" t="s">
        <v>980</v>
      </c>
      <c r="AR13" s="1164"/>
      <c r="AS13" s="188"/>
      <c r="AT13" s="191"/>
      <c r="AU13" s="548"/>
      <c r="AV13" s="1163" t="s">
        <v>980</v>
      </c>
      <c r="AW13" s="1164"/>
      <c r="AX13" s="188"/>
      <c r="AY13" s="544"/>
      <c r="AZ13" s="1163" t="s">
        <v>980</v>
      </c>
      <c r="BA13" s="1164"/>
      <c r="BB13" s="188"/>
      <c r="BC13" s="191"/>
      <c r="BD13" s="548"/>
      <c r="BE13" s="1163" t="s">
        <v>980</v>
      </c>
      <c r="BF13" s="1164"/>
      <c r="BG13" s="188"/>
      <c r="BH13" s="544"/>
      <c r="BI13" s="1163" t="s">
        <v>980</v>
      </c>
      <c r="BJ13" s="1164"/>
      <c r="BK13" s="188"/>
      <c r="BL13" s="191"/>
      <c r="BM13" s="548"/>
      <c r="BN13" s="1163" t="s">
        <v>980</v>
      </c>
      <c r="BO13" s="1164"/>
      <c r="BP13" s="188"/>
      <c r="BQ13" s="544"/>
      <c r="BR13" s="1163" t="s">
        <v>980</v>
      </c>
      <c r="BS13" s="1164"/>
      <c r="BT13" s="188"/>
      <c r="BU13" s="191"/>
      <c r="BV13" s="548"/>
      <c r="BW13" s="1163" t="s">
        <v>980</v>
      </c>
      <c r="BX13" s="1164"/>
      <c r="BY13" s="188"/>
      <c r="BZ13" s="544"/>
      <c r="CA13" s="1163" t="s">
        <v>980</v>
      </c>
      <c r="CB13" s="1164"/>
      <c r="CC13" s="188"/>
      <c r="CD13" s="191"/>
      <c r="CE13" s="552"/>
      <c r="CF13" s="2"/>
    </row>
    <row r="14">
      <c r="A14" s="2"/>
      <c r="B14" s="542"/>
      <c r="C14" s="1165" t="s">
        <v>981</v>
      </c>
      <c r="D14" s="1166">
        <v>1.0</v>
      </c>
      <c r="E14" s="1166">
        <v>2.0</v>
      </c>
      <c r="F14" s="1166">
        <v>3.0</v>
      </c>
      <c r="G14" s="1167" t="s">
        <v>982</v>
      </c>
      <c r="H14" s="210"/>
      <c r="I14" s="1168" t="str">
        <f>IF(D13=2,"W",IF(H13=2,"L",))</f>
        <v/>
      </c>
      <c r="J14" s="1169" t="str">
        <f>IF(H13=2,"W",IF(D13=2,"L",))</f>
        <v/>
      </c>
      <c r="K14" s="636"/>
      <c r="L14" s="1170" t="s">
        <v>981</v>
      </c>
      <c r="M14" s="1166">
        <v>1.0</v>
      </c>
      <c r="N14" s="1166">
        <v>2.0</v>
      </c>
      <c r="O14" s="1166">
        <v>3.0</v>
      </c>
      <c r="P14" s="1167" t="s">
        <v>982</v>
      </c>
      <c r="Q14" s="210"/>
      <c r="R14" s="1168" t="str">
        <f>IF(M13=2,"W",IF(Q13=2,"L",))</f>
        <v/>
      </c>
      <c r="S14" s="1169" t="str">
        <f>IF(Q13=2,"W",IF(M13=2,"L",))</f>
        <v/>
      </c>
      <c r="T14" s="636"/>
      <c r="U14" s="1170" t="s">
        <v>981</v>
      </c>
      <c r="V14" s="1166">
        <v>1.0</v>
      </c>
      <c r="W14" s="1166">
        <v>2.0</v>
      </c>
      <c r="X14" s="1166">
        <v>3.0</v>
      </c>
      <c r="Y14" s="1167" t="s">
        <v>982</v>
      </c>
      <c r="Z14" s="210"/>
      <c r="AA14" s="1168" t="str">
        <f>IF(V13=2,"W",IF(Z13=2,"L",))</f>
        <v/>
      </c>
      <c r="AB14" s="1169" t="str">
        <f>IF(Z13=2,"W",IF(V13=2,"L",))</f>
        <v/>
      </c>
      <c r="AC14" s="636"/>
      <c r="AD14" s="1170" t="s">
        <v>981</v>
      </c>
      <c r="AE14" s="1166">
        <v>1.0</v>
      </c>
      <c r="AF14" s="1166">
        <v>2.0</v>
      </c>
      <c r="AG14" s="1166">
        <v>3.0</v>
      </c>
      <c r="AH14" s="1167" t="s">
        <v>982</v>
      </c>
      <c r="AI14" s="210"/>
      <c r="AJ14" s="1168" t="str">
        <f>IF(AE13=2,"W",IF(AI13=2,"L",))</f>
        <v/>
      </c>
      <c r="AK14" s="1169" t="str">
        <f>IF(AI13=2,"W",IF(AE13=2,"L",))</f>
        <v/>
      </c>
      <c r="AL14" s="636"/>
      <c r="AM14" s="1170" t="s">
        <v>981</v>
      </c>
      <c r="AN14" s="1166">
        <v>1.0</v>
      </c>
      <c r="AO14" s="1166">
        <v>2.0</v>
      </c>
      <c r="AP14" s="1166">
        <v>3.0</v>
      </c>
      <c r="AQ14" s="1167" t="s">
        <v>982</v>
      </c>
      <c r="AR14" s="210"/>
      <c r="AS14" s="1168" t="str">
        <f>IF(AN13=2,"W",IF(AR13=2,"L",))</f>
        <v/>
      </c>
      <c r="AT14" s="1169" t="str">
        <f>IF(AR13=2,"W",IF(AN13=2,"L",))</f>
        <v/>
      </c>
      <c r="AU14" s="636"/>
      <c r="AV14" s="1170" t="s">
        <v>981</v>
      </c>
      <c r="AW14" s="1166">
        <v>1.0</v>
      </c>
      <c r="AX14" s="1166">
        <v>2.0</v>
      </c>
      <c r="AY14" s="1171">
        <v>3.0</v>
      </c>
      <c r="AZ14" s="1167" t="s">
        <v>982</v>
      </c>
      <c r="BA14" s="210"/>
      <c r="BB14" s="1168" t="str">
        <f>IF(AW13=2,"W",IF(BA13=2,"L",))</f>
        <v/>
      </c>
      <c r="BC14" s="1169" t="str">
        <f>IF(BA13=2,"W",IF(AW13=2,"L",))</f>
        <v/>
      </c>
      <c r="BD14" s="636"/>
      <c r="BE14" s="1170" t="s">
        <v>981</v>
      </c>
      <c r="BF14" s="1166">
        <v>1.0</v>
      </c>
      <c r="BG14" s="1166">
        <v>2.0</v>
      </c>
      <c r="BH14" s="1171">
        <v>3.0</v>
      </c>
      <c r="BI14" s="1167" t="s">
        <v>982</v>
      </c>
      <c r="BJ14" s="210"/>
      <c r="BK14" s="1168" t="str">
        <f>IF(BF13=2,"W",IF(BJ13=2,"L",))</f>
        <v/>
      </c>
      <c r="BL14" s="1169" t="str">
        <f>IF(BJ13=2,"W",IF(BF13=2,"L",))</f>
        <v/>
      </c>
      <c r="BM14" s="636"/>
      <c r="BN14" s="1170" t="s">
        <v>981</v>
      </c>
      <c r="BO14" s="1166">
        <v>1.0</v>
      </c>
      <c r="BP14" s="1166">
        <v>2.0</v>
      </c>
      <c r="BQ14" s="1166">
        <v>3.0</v>
      </c>
      <c r="BR14" s="1167" t="s">
        <v>982</v>
      </c>
      <c r="BS14" s="210"/>
      <c r="BT14" s="1168" t="str">
        <f>IF(BO13=2,"W",IF(BS13=2,"L",))</f>
        <v/>
      </c>
      <c r="BU14" s="1169" t="str">
        <f>IF(BS13=2,"W",IF(BO13=2,"L",))</f>
        <v/>
      </c>
      <c r="BV14" s="636"/>
      <c r="BW14" s="1170" t="s">
        <v>981</v>
      </c>
      <c r="BX14" s="1166">
        <v>1.0</v>
      </c>
      <c r="BY14" s="1166">
        <v>2.0</v>
      </c>
      <c r="BZ14" s="1166">
        <v>3.0</v>
      </c>
      <c r="CA14" s="1172" t="s">
        <v>982</v>
      </c>
      <c r="CB14" s="210"/>
      <c r="CC14" s="1173" t="str">
        <f>IF(BX13=2,"W",IF(CB13=2,"L",))</f>
        <v/>
      </c>
      <c r="CD14" s="1174" t="str">
        <f>IF(CB13=2,"W",IF(BX13=2,"L",))</f>
        <v/>
      </c>
      <c r="CE14" s="552"/>
      <c r="CF14" s="2"/>
    </row>
    <row r="15" ht="7.5" customHeight="1">
      <c r="A15" s="504"/>
      <c r="B15" s="514"/>
      <c r="C15" s="515"/>
      <c r="D15" s="562"/>
      <c r="E15" s="562"/>
      <c r="F15" s="562"/>
      <c r="G15" s="562"/>
      <c r="H15" s="562"/>
      <c r="I15" s="562"/>
      <c r="J15" s="562"/>
      <c r="K15" s="562"/>
      <c r="L15" s="562"/>
      <c r="M15" s="562"/>
      <c r="N15" s="562"/>
      <c r="O15" s="562"/>
      <c r="P15" s="562"/>
      <c r="Q15" s="562"/>
      <c r="R15" s="562"/>
      <c r="S15" s="562"/>
      <c r="T15" s="562"/>
      <c r="U15" s="562"/>
      <c r="V15" s="562"/>
      <c r="W15" s="562"/>
      <c r="X15" s="562"/>
      <c r="Y15" s="562"/>
      <c r="Z15" s="562"/>
      <c r="AA15" s="562"/>
      <c r="AB15" s="562"/>
      <c r="AC15" s="562"/>
      <c r="AD15" s="562"/>
      <c r="AE15" s="562"/>
      <c r="AF15" s="562"/>
      <c r="AG15" s="562"/>
      <c r="AH15" s="562"/>
      <c r="AI15" s="562"/>
      <c r="AJ15" s="562"/>
      <c r="AK15" s="562"/>
      <c r="AL15" s="562"/>
      <c r="AM15" s="562"/>
      <c r="AN15" s="562"/>
      <c r="AO15" s="562"/>
      <c r="AP15" s="562"/>
      <c r="AQ15" s="562"/>
      <c r="AR15" s="562"/>
      <c r="AS15" s="562"/>
      <c r="AT15" s="562"/>
      <c r="AU15" s="562"/>
      <c r="AV15" s="562"/>
      <c r="AW15" s="562"/>
      <c r="AX15" s="562"/>
      <c r="AY15" s="562"/>
      <c r="AZ15" s="562"/>
      <c r="BA15" s="562"/>
      <c r="BB15" s="562"/>
      <c r="BC15" s="562"/>
      <c r="BD15" s="562"/>
      <c r="BE15" s="562"/>
      <c r="BF15" s="562"/>
      <c r="BG15" s="562"/>
      <c r="BH15" s="562"/>
      <c r="BI15" s="562"/>
      <c r="BJ15" s="562"/>
      <c r="BK15" s="562"/>
      <c r="BL15" s="562"/>
      <c r="BM15" s="562"/>
      <c r="BN15" s="562"/>
      <c r="BO15" s="562"/>
      <c r="BP15" s="562"/>
      <c r="BQ15" s="562"/>
      <c r="BR15" s="562"/>
      <c r="BS15" s="562"/>
      <c r="BT15" s="562"/>
      <c r="BU15" s="562"/>
      <c r="BV15" s="562"/>
      <c r="BW15" s="562"/>
      <c r="BX15" s="562"/>
      <c r="BY15" s="562"/>
      <c r="BZ15" s="562"/>
      <c r="CA15" s="515"/>
      <c r="CB15" s="515"/>
      <c r="CC15" s="515"/>
      <c r="CD15" s="515"/>
      <c r="CE15" s="516"/>
      <c r="CF15" s="504"/>
    </row>
    <row r="16">
      <c r="A16" s="504"/>
      <c r="B16" s="514"/>
      <c r="C16" s="517" t="str">
        <f>Schedule!$J$8</f>
        <v/>
      </c>
      <c r="D16" s="564" t="s">
        <v>76</v>
      </c>
      <c r="E16" s="565" t="s">
        <v>77</v>
      </c>
      <c r="F16" s="565" t="s">
        <v>78</v>
      </c>
      <c r="G16" s="566" t="str">
        <f>#REF!</f>
        <v>#REF!</v>
      </c>
      <c r="H16" s="567" t="s">
        <v>76</v>
      </c>
      <c r="I16" s="568" t="s">
        <v>77</v>
      </c>
      <c r="J16" s="569" t="s">
        <v>78</v>
      </c>
      <c r="K16" s="562"/>
      <c r="L16" s="656" t="str">
        <f>Schedule!$J$13</f>
        <v/>
      </c>
      <c r="M16" s="564" t="s">
        <v>76</v>
      </c>
      <c r="N16" s="565" t="s">
        <v>77</v>
      </c>
      <c r="O16" s="565" t="s">
        <v>78</v>
      </c>
      <c r="P16" s="566" t="str">
        <f>#REF!</f>
        <v>#REF!</v>
      </c>
      <c r="Q16" s="567" t="s">
        <v>76</v>
      </c>
      <c r="R16" s="568" t="s">
        <v>77</v>
      </c>
      <c r="S16" s="569" t="s">
        <v>78</v>
      </c>
      <c r="T16" s="562"/>
      <c r="U16" s="656" t="str">
        <f>Schedule!$J$18</f>
        <v/>
      </c>
      <c r="V16" s="564" t="s">
        <v>76</v>
      </c>
      <c r="W16" s="565" t="s">
        <v>77</v>
      </c>
      <c r="X16" s="565" t="s">
        <v>78</v>
      </c>
      <c r="Y16" s="566" t="str">
        <f>#REF!</f>
        <v>#REF!</v>
      </c>
      <c r="Z16" s="567" t="s">
        <v>76</v>
      </c>
      <c r="AA16" s="568" t="s">
        <v>77</v>
      </c>
      <c r="AB16" s="569" t="s">
        <v>78</v>
      </c>
      <c r="AC16" s="562"/>
      <c r="AD16" s="656" t="str">
        <f>Schedule!$J$23</f>
        <v/>
      </c>
      <c r="AE16" s="564" t="s">
        <v>76</v>
      </c>
      <c r="AF16" s="565" t="s">
        <v>77</v>
      </c>
      <c r="AG16" s="565" t="s">
        <v>78</v>
      </c>
      <c r="AH16" s="566" t="str">
        <f>#REF!</f>
        <v>#REF!</v>
      </c>
      <c r="AI16" s="567" t="s">
        <v>76</v>
      </c>
      <c r="AJ16" s="568" t="s">
        <v>77</v>
      </c>
      <c r="AK16" s="569" t="s">
        <v>78</v>
      </c>
      <c r="AL16" s="562"/>
      <c r="AM16" s="656" t="str">
        <f>Schedule!$J$28</f>
        <v/>
      </c>
      <c r="AN16" s="564" t="s">
        <v>76</v>
      </c>
      <c r="AO16" s="565" t="s">
        <v>77</v>
      </c>
      <c r="AP16" s="565" t="s">
        <v>78</v>
      </c>
      <c r="AQ16" s="566" t="str">
        <f>#REF!</f>
        <v>#REF!</v>
      </c>
      <c r="AR16" s="567" t="s">
        <v>76</v>
      </c>
      <c r="AS16" s="568" t="s">
        <v>77</v>
      </c>
      <c r="AT16" s="569" t="s">
        <v>78</v>
      </c>
      <c r="AU16" s="562"/>
      <c r="AV16" s="656" t="str">
        <f>Schedule!$J$33</f>
        <v/>
      </c>
      <c r="AW16" s="564" t="s">
        <v>76</v>
      </c>
      <c r="AX16" s="565" t="s">
        <v>77</v>
      </c>
      <c r="AY16" s="565" t="s">
        <v>78</v>
      </c>
      <c r="AZ16" s="566" t="str">
        <f>#REF!</f>
        <v>#REF!</v>
      </c>
      <c r="BA16" s="567" t="s">
        <v>76</v>
      </c>
      <c r="BB16" s="568" t="s">
        <v>77</v>
      </c>
      <c r="BC16" s="569" t="s">
        <v>78</v>
      </c>
      <c r="BD16" s="562"/>
      <c r="BE16" s="656" t="str">
        <f>Schedule!$J$38</f>
        <v/>
      </c>
      <c r="BF16" s="564" t="s">
        <v>76</v>
      </c>
      <c r="BG16" s="565" t="s">
        <v>77</v>
      </c>
      <c r="BH16" s="565" t="s">
        <v>78</v>
      </c>
      <c r="BI16" s="566" t="str">
        <f>#REF!</f>
        <v>#REF!</v>
      </c>
      <c r="BJ16" s="567" t="s">
        <v>76</v>
      </c>
      <c r="BK16" s="568" t="s">
        <v>77</v>
      </c>
      <c r="BL16" s="569" t="s">
        <v>78</v>
      </c>
      <c r="BM16" s="562"/>
      <c r="BN16" s="656" t="str">
        <f>#REF!</f>
        <v>#REF!</v>
      </c>
      <c r="BO16" s="564" t="s">
        <v>76</v>
      </c>
      <c r="BP16" s="565" t="s">
        <v>77</v>
      </c>
      <c r="BQ16" s="565" t="s">
        <v>78</v>
      </c>
      <c r="BR16" s="566" t="str">
        <f>#REF!</f>
        <v>#REF!</v>
      </c>
      <c r="BS16" s="567" t="s">
        <v>76</v>
      </c>
      <c r="BT16" s="568" t="s">
        <v>77</v>
      </c>
      <c r="BU16" s="569" t="s">
        <v>78</v>
      </c>
      <c r="BV16" s="562"/>
      <c r="BW16" s="656" t="str">
        <f>#REF!</f>
        <v>#REF!</v>
      </c>
      <c r="BX16" s="564" t="s">
        <v>76</v>
      </c>
      <c r="BY16" s="565" t="s">
        <v>77</v>
      </c>
      <c r="BZ16" s="565" t="s">
        <v>78</v>
      </c>
      <c r="CA16" s="521" t="str">
        <f>#REF!</f>
        <v>#REF!</v>
      </c>
      <c r="CB16" s="522" t="s">
        <v>76</v>
      </c>
      <c r="CC16" s="523" t="s">
        <v>77</v>
      </c>
      <c r="CD16" s="524" t="s">
        <v>78</v>
      </c>
      <c r="CE16" s="516"/>
      <c r="CF16" s="504"/>
    </row>
    <row r="17">
      <c r="A17" s="504"/>
      <c r="B17" s="514"/>
      <c r="C17" s="1149"/>
      <c r="D17" s="1175"/>
      <c r="E17" s="1175"/>
      <c r="F17" s="1176">
        <f t="shared" ref="F17:F22" si="19">D17-E17</f>
        <v>0</v>
      </c>
      <c r="G17" s="1177"/>
      <c r="H17" s="1175"/>
      <c r="I17" s="1175"/>
      <c r="J17" s="1176">
        <f t="shared" ref="J17:J22" si="20">H17-I17</f>
        <v>0</v>
      </c>
      <c r="K17" s="562"/>
      <c r="L17" s="1177"/>
      <c r="M17" s="1175"/>
      <c r="N17" s="1175"/>
      <c r="O17" s="1176">
        <f t="shared" ref="O17:O22" si="21">M17-N17</f>
        <v>0</v>
      </c>
      <c r="P17" s="1177"/>
      <c r="Q17" s="1175"/>
      <c r="R17" s="1175"/>
      <c r="S17" s="1176">
        <f t="shared" ref="S17:S22" si="22">Q17-R17</f>
        <v>0</v>
      </c>
      <c r="T17" s="562"/>
      <c r="U17" s="1177"/>
      <c r="V17" s="1175"/>
      <c r="W17" s="1175"/>
      <c r="X17" s="1176">
        <f t="shared" ref="X17:X22" si="23">V17-W17</f>
        <v>0</v>
      </c>
      <c r="Y17" s="1177"/>
      <c r="Z17" s="1175"/>
      <c r="AA17" s="1175"/>
      <c r="AB17" s="1176">
        <f t="shared" ref="AB17:AB22" si="24">Z17-AA17</f>
        <v>0</v>
      </c>
      <c r="AC17" s="562"/>
      <c r="AD17" s="1177"/>
      <c r="AE17" s="1175"/>
      <c r="AF17" s="1175"/>
      <c r="AG17" s="1176">
        <f t="shared" ref="AG17:AG22" si="25">AE17-AF17</f>
        <v>0</v>
      </c>
      <c r="AH17" s="1177"/>
      <c r="AI17" s="1175"/>
      <c r="AJ17" s="1175"/>
      <c r="AK17" s="1176">
        <f t="shared" ref="AK17:AK22" si="26">AI17-AJ17</f>
        <v>0</v>
      </c>
      <c r="AL17" s="562"/>
      <c r="AM17" s="1177"/>
      <c r="AN17" s="1175"/>
      <c r="AO17" s="1175"/>
      <c r="AP17" s="1176">
        <f t="shared" ref="AP17:AP22" si="27">AN17-AO17</f>
        <v>0</v>
      </c>
      <c r="AQ17" s="1177"/>
      <c r="AR17" s="1175"/>
      <c r="AS17" s="1175"/>
      <c r="AT17" s="1176">
        <f t="shared" ref="AT17:AT22" si="28">AR17-AS17</f>
        <v>0</v>
      </c>
      <c r="AU17" s="562"/>
      <c r="AV17" s="1177"/>
      <c r="AW17" s="1175"/>
      <c r="AX17" s="1175"/>
      <c r="AY17" s="1176">
        <f t="shared" ref="AY17:AY22" si="29">AW17-AX17</f>
        <v>0</v>
      </c>
      <c r="AZ17" s="1177"/>
      <c r="BA17" s="1175"/>
      <c r="BB17" s="1175"/>
      <c r="BC17" s="1176">
        <f t="shared" ref="BC17:BC22" si="30">BA17-BB17</f>
        <v>0</v>
      </c>
      <c r="BD17" s="562"/>
      <c r="BE17" s="1177"/>
      <c r="BF17" s="1175"/>
      <c r="BG17" s="1175"/>
      <c r="BH17" s="1176">
        <f t="shared" ref="BH17:BH22" si="31">BF17-BG17</f>
        <v>0</v>
      </c>
      <c r="BI17" s="1177"/>
      <c r="BJ17" s="1175"/>
      <c r="BK17" s="1175"/>
      <c r="BL17" s="1176">
        <f t="shared" ref="BL17:BL22" si="32">BJ17-BK17</f>
        <v>0</v>
      </c>
      <c r="BM17" s="562"/>
      <c r="BN17" s="1177"/>
      <c r="BO17" s="1175"/>
      <c r="BP17" s="1175"/>
      <c r="BQ17" s="1176">
        <f t="shared" ref="BQ17:BQ22" si="33">BO17-BP17</f>
        <v>0</v>
      </c>
      <c r="BR17" s="1177"/>
      <c r="BS17" s="1175"/>
      <c r="BT17" s="1175"/>
      <c r="BU17" s="1176">
        <f t="shared" ref="BU17:BU22" si="34">BS17-BT17</f>
        <v>0</v>
      </c>
      <c r="BV17" s="562"/>
      <c r="BW17" s="1177"/>
      <c r="BX17" s="1175"/>
      <c r="BY17" s="1175"/>
      <c r="BZ17" s="1176">
        <f t="shared" ref="BZ17:BZ22" si="35">BX17-BY17</f>
        <v>0</v>
      </c>
      <c r="CA17" s="1149"/>
      <c r="CB17" s="1150"/>
      <c r="CC17" s="1150"/>
      <c r="CD17" s="1151">
        <f t="shared" ref="CD17:CD22" si="36">CB17-CC17</f>
        <v>0</v>
      </c>
      <c r="CE17" s="516"/>
      <c r="CF17" s="504"/>
    </row>
    <row r="18">
      <c r="A18" s="504"/>
      <c r="B18" s="514"/>
      <c r="C18" s="1154"/>
      <c r="D18" s="1178"/>
      <c r="E18" s="1178"/>
      <c r="F18" s="1176">
        <f t="shared" si="19"/>
        <v>0</v>
      </c>
      <c r="G18" s="1179"/>
      <c r="H18" s="1178"/>
      <c r="I18" s="1178"/>
      <c r="J18" s="1176">
        <f t="shared" si="20"/>
        <v>0</v>
      </c>
      <c r="K18" s="562"/>
      <c r="L18" s="1179"/>
      <c r="M18" s="1178"/>
      <c r="N18" s="1178"/>
      <c r="O18" s="1176">
        <f t="shared" si="21"/>
        <v>0</v>
      </c>
      <c r="P18" s="1179"/>
      <c r="Q18" s="1178"/>
      <c r="R18" s="1178"/>
      <c r="S18" s="1176">
        <f t="shared" si="22"/>
        <v>0</v>
      </c>
      <c r="T18" s="562"/>
      <c r="U18" s="1179"/>
      <c r="V18" s="1178"/>
      <c r="W18" s="1178"/>
      <c r="X18" s="1176">
        <f t="shared" si="23"/>
        <v>0</v>
      </c>
      <c r="Y18" s="1179"/>
      <c r="Z18" s="1178"/>
      <c r="AA18" s="1178"/>
      <c r="AB18" s="1176">
        <f t="shared" si="24"/>
        <v>0</v>
      </c>
      <c r="AC18" s="562"/>
      <c r="AD18" s="1179"/>
      <c r="AE18" s="1178"/>
      <c r="AF18" s="1178"/>
      <c r="AG18" s="1176">
        <f t="shared" si="25"/>
        <v>0</v>
      </c>
      <c r="AH18" s="1179"/>
      <c r="AI18" s="1178"/>
      <c r="AJ18" s="1178"/>
      <c r="AK18" s="1176">
        <f t="shared" si="26"/>
        <v>0</v>
      </c>
      <c r="AL18" s="562"/>
      <c r="AM18" s="1179"/>
      <c r="AN18" s="1178"/>
      <c r="AO18" s="1178"/>
      <c r="AP18" s="1176">
        <f t="shared" si="27"/>
        <v>0</v>
      </c>
      <c r="AQ18" s="1179"/>
      <c r="AR18" s="1178"/>
      <c r="AS18" s="1178"/>
      <c r="AT18" s="1176">
        <f t="shared" si="28"/>
        <v>0</v>
      </c>
      <c r="AU18" s="562"/>
      <c r="AV18" s="1179"/>
      <c r="AW18" s="1178"/>
      <c r="AX18" s="1178"/>
      <c r="AY18" s="1176">
        <f t="shared" si="29"/>
        <v>0</v>
      </c>
      <c r="AZ18" s="1179"/>
      <c r="BA18" s="1178"/>
      <c r="BB18" s="1178"/>
      <c r="BC18" s="1176">
        <f t="shared" si="30"/>
        <v>0</v>
      </c>
      <c r="BD18" s="562"/>
      <c r="BE18" s="1179"/>
      <c r="BF18" s="1178"/>
      <c r="BG18" s="1178"/>
      <c r="BH18" s="1176">
        <f t="shared" si="31"/>
        <v>0</v>
      </c>
      <c r="BI18" s="1179"/>
      <c r="BJ18" s="1178"/>
      <c r="BK18" s="1178"/>
      <c r="BL18" s="1176">
        <f t="shared" si="32"/>
        <v>0</v>
      </c>
      <c r="BM18" s="562"/>
      <c r="BN18" s="1179"/>
      <c r="BO18" s="1178"/>
      <c r="BP18" s="1178"/>
      <c r="BQ18" s="1176">
        <f t="shared" si="33"/>
        <v>0</v>
      </c>
      <c r="BR18" s="1179"/>
      <c r="BS18" s="1178"/>
      <c r="BT18" s="1178"/>
      <c r="BU18" s="1176">
        <f t="shared" si="34"/>
        <v>0</v>
      </c>
      <c r="BV18" s="562"/>
      <c r="BW18" s="1179"/>
      <c r="BX18" s="1178"/>
      <c r="BY18" s="1178"/>
      <c r="BZ18" s="1176">
        <f t="shared" si="35"/>
        <v>0</v>
      </c>
      <c r="CA18" s="1154"/>
      <c r="CB18" s="1155"/>
      <c r="CC18" s="1155"/>
      <c r="CD18" s="1151">
        <f t="shared" si="36"/>
        <v>0</v>
      </c>
      <c r="CE18" s="516"/>
      <c r="CF18" s="504"/>
    </row>
    <row r="19">
      <c r="A19" s="504"/>
      <c r="B19" s="514"/>
      <c r="C19" s="1154"/>
      <c r="D19" s="1178"/>
      <c r="E19" s="1178"/>
      <c r="F19" s="1176">
        <f t="shared" si="19"/>
        <v>0</v>
      </c>
      <c r="G19" s="1179"/>
      <c r="H19" s="1178"/>
      <c r="I19" s="1178"/>
      <c r="J19" s="1176">
        <f t="shared" si="20"/>
        <v>0</v>
      </c>
      <c r="K19" s="562"/>
      <c r="L19" s="1179"/>
      <c r="M19" s="1178"/>
      <c r="N19" s="1178"/>
      <c r="O19" s="1176">
        <f t="shared" si="21"/>
        <v>0</v>
      </c>
      <c r="P19" s="1179"/>
      <c r="Q19" s="1178"/>
      <c r="R19" s="1178"/>
      <c r="S19" s="1176">
        <f t="shared" si="22"/>
        <v>0</v>
      </c>
      <c r="T19" s="562"/>
      <c r="U19" s="1179"/>
      <c r="V19" s="1178"/>
      <c r="W19" s="1178"/>
      <c r="X19" s="1176">
        <f t="shared" si="23"/>
        <v>0</v>
      </c>
      <c r="Y19" s="1179"/>
      <c r="Z19" s="1178"/>
      <c r="AA19" s="1178"/>
      <c r="AB19" s="1176">
        <f t="shared" si="24"/>
        <v>0</v>
      </c>
      <c r="AC19" s="562"/>
      <c r="AD19" s="1179"/>
      <c r="AE19" s="1178"/>
      <c r="AF19" s="1178"/>
      <c r="AG19" s="1176">
        <f t="shared" si="25"/>
        <v>0</v>
      </c>
      <c r="AH19" s="1179"/>
      <c r="AI19" s="1178"/>
      <c r="AJ19" s="1178"/>
      <c r="AK19" s="1176">
        <f t="shared" si="26"/>
        <v>0</v>
      </c>
      <c r="AL19" s="562"/>
      <c r="AM19" s="1179"/>
      <c r="AN19" s="1178"/>
      <c r="AO19" s="1178"/>
      <c r="AP19" s="1176">
        <f t="shared" si="27"/>
        <v>0</v>
      </c>
      <c r="AQ19" s="1179"/>
      <c r="AR19" s="1178"/>
      <c r="AS19" s="1178"/>
      <c r="AT19" s="1176">
        <f t="shared" si="28"/>
        <v>0</v>
      </c>
      <c r="AU19" s="562"/>
      <c r="AV19" s="1179"/>
      <c r="AW19" s="1178"/>
      <c r="AX19" s="1178"/>
      <c r="AY19" s="1176">
        <f t="shared" si="29"/>
        <v>0</v>
      </c>
      <c r="AZ19" s="1179"/>
      <c r="BA19" s="1178"/>
      <c r="BB19" s="1178"/>
      <c r="BC19" s="1176">
        <f t="shared" si="30"/>
        <v>0</v>
      </c>
      <c r="BD19" s="562"/>
      <c r="BE19" s="1179"/>
      <c r="BF19" s="1178"/>
      <c r="BG19" s="1178"/>
      <c r="BH19" s="1176">
        <f t="shared" si="31"/>
        <v>0</v>
      </c>
      <c r="BI19" s="1179"/>
      <c r="BJ19" s="1178"/>
      <c r="BK19" s="1178"/>
      <c r="BL19" s="1176">
        <f t="shared" si="32"/>
        <v>0</v>
      </c>
      <c r="BM19" s="562"/>
      <c r="BN19" s="1179"/>
      <c r="BO19" s="1178"/>
      <c r="BP19" s="1178"/>
      <c r="BQ19" s="1176">
        <f t="shared" si="33"/>
        <v>0</v>
      </c>
      <c r="BR19" s="1179"/>
      <c r="BS19" s="1178"/>
      <c r="BT19" s="1178"/>
      <c r="BU19" s="1176">
        <f t="shared" si="34"/>
        <v>0</v>
      </c>
      <c r="BV19" s="562"/>
      <c r="BW19" s="1179"/>
      <c r="BX19" s="1178"/>
      <c r="BY19" s="1178"/>
      <c r="BZ19" s="1176">
        <f t="shared" si="35"/>
        <v>0</v>
      </c>
      <c r="CA19" s="1154"/>
      <c r="CB19" s="1155"/>
      <c r="CC19" s="1155"/>
      <c r="CD19" s="1151">
        <f t="shared" si="36"/>
        <v>0</v>
      </c>
      <c r="CE19" s="516"/>
      <c r="CF19" s="504"/>
    </row>
    <row r="20">
      <c r="A20" s="504"/>
      <c r="B20" s="514"/>
      <c r="C20" s="1154"/>
      <c r="D20" s="1178"/>
      <c r="E20" s="1178"/>
      <c r="F20" s="1176">
        <f t="shared" si="19"/>
        <v>0</v>
      </c>
      <c r="G20" s="1179"/>
      <c r="H20" s="1178"/>
      <c r="I20" s="1178"/>
      <c r="J20" s="1176">
        <f t="shared" si="20"/>
        <v>0</v>
      </c>
      <c r="K20" s="562"/>
      <c r="L20" s="1179"/>
      <c r="M20" s="1178"/>
      <c r="N20" s="1178"/>
      <c r="O20" s="1176">
        <f t="shared" si="21"/>
        <v>0</v>
      </c>
      <c r="P20" s="1179"/>
      <c r="Q20" s="1178"/>
      <c r="R20" s="1178"/>
      <c r="S20" s="1176">
        <f t="shared" si="22"/>
        <v>0</v>
      </c>
      <c r="T20" s="562"/>
      <c r="U20" s="1179"/>
      <c r="V20" s="1178"/>
      <c r="W20" s="1178"/>
      <c r="X20" s="1176">
        <f t="shared" si="23"/>
        <v>0</v>
      </c>
      <c r="Y20" s="1179"/>
      <c r="Z20" s="1178"/>
      <c r="AA20" s="1178"/>
      <c r="AB20" s="1176">
        <f t="shared" si="24"/>
        <v>0</v>
      </c>
      <c r="AC20" s="562"/>
      <c r="AD20" s="1179"/>
      <c r="AE20" s="1178"/>
      <c r="AF20" s="1178"/>
      <c r="AG20" s="1176">
        <f t="shared" si="25"/>
        <v>0</v>
      </c>
      <c r="AH20" s="1179"/>
      <c r="AI20" s="1178"/>
      <c r="AJ20" s="1178"/>
      <c r="AK20" s="1176">
        <f t="shared" si="26"/>
        <v>0</v>
      </c>
      <c r="AL20" s="562"/>
      <c r="AM20" s="1179"/>
      <c r="AN20" s="1178"/>
      <c r="AO20" s="1178"/>
      <c r="AP20" s="1176">
        <f t="shared" si="27"/>
        <v>0</v>
      </c>
      <c r="AQ20" s="1179"/>
      <c r="AR20" s="1178"/>
      <c r="AS20" s="1178"/>
      <c r="AT20" s="1176">
        <f t="shared" si="28"/>
        <v>0</v>
      </c>
      <c r="AU20" s="562"/>
      <c r="AV20" s="1179"/>
      <c r="AW20" s="1178"/>
      <c r="AX20" s="1178"/>
      <c r="AY20" s="1176">
        <f t="shared" si="29"/>
        <v>0</v>
      </c>
      <c r="AZ20" s="1179"/>
      <c r="BA20" s="1178"/>
      <c r="BB20" s="1178"/>
      <c r="BC20" s="1176">
        <f t="shared" si="30"/>
        <v>0</v>
      </c>
      <c r="BD20" s="562"/>
      <c r="BE20" s="1179"/>
      <c r="BF20" s="1178"/>
      <c r="BG20" s="1178"/>
      <c r="BH20" s="1176">
        <f t="shared" si="31"/>
        <v>0</v>
      </c>
      <c r="BI20" s="1179"/>
      <c r="BJ20" s="1178"/>
      <c r="BK20" s="1178"/>
      <c r="BL20" s="1176">
        <f t="shared" si="32"/>
        <v>0</v>
      </c>
      <c r="BM20" s="562"/>
      <c r="BN20" s="1179"/>
      <c r="BO20" s="1178"/>
      <c r="BP20" s="1178"/>
      <c r="BQ20" s="1176">
        <f t="shared" si="33"/>
        <v>0</v>
      </c>
      <c r="BR20" s="1179"/>
      <c r="BS20" s="1178"/>
      <c r="BT20" s="1178"/>
      <c r="BU20" s="1176">
        <f t="shared" si="34"/>
        <v>0</v>
      </c>
      <c r="BV20" s="562"/>
      <c r="BW20" s="1179"/>
      <c r="BX20" s="1178"/>
      <c r="BY20" s="1178"/>
      <c r="BZ20" s="1176">
        <f t="shared" si="35"/>
        <v>0</v>
      </c>
      <c r="CA20" s="1154"/>
      <c r="CB20" s="1155"/>
      <c r="CC20" s="1155"/>
      <c r="CD20" s="1151">
        <f t="shared" si="36"/>
        <v>0</v>
      </c>
      <c r="CE20" s="516"/>
      <c r="CF20" s="504"/>
    </row>
    <row r="21">
      <c r="A21" s="504"/>
      <c r="B21" s="514"/>
      <c r="C21" s="1154"/>
      <c r="D21" s="1178"/>
      <c r="E21" s="1178"/>
      <c r="F21" s="1176">
        <f t="shared" si="19"/>
        <v>0</v>
      </c>
      <c r="G21" s="1179"/>
      <c r="H21" s="1178"/>
      <c r="I21" s="1178"/>
      <c r="J21" s="1176">
        <f t="shared" si="20"/>
        <v>0</v>
      </c>
      <c r="K21" s="562"/>
      <c r="L21" s="1179"/>
      <c r="M21" s="1178"/>
      <c r="N21" s="1178"/>
      <c r="O21" s="1176">
        <f t="shared" si="21"/>
        <v>0</v>
      </c>
      <c r="P21" s="1179"/>
      <c r="Q21" s="1178"/>
      <c r="R21" s="1178"/>
      <c r="S21" s="1176">
        <f t="shared" si="22"/>
        <v>0</v>
      </c>
      <c r="T21" s="562"/>
      <c r="U21" s="1179"/>
      <c r="V21" s="1178"/>
      <c r="W21" s="1178"/>
      <c r="X21" s="1176">
        <f t="shared" si="23"/>
        <v>0</v>
      </c>
      <c r="Y21" s="1179"/>
      <c r="Z21" s="1178"/>
      <c r="AA21" s="1178"/>
      <c r="AB21" s="1176">
        <f t="shared" si="24"/>
        <v>0</v>
      </c>
      <c r="AC21" s="562"/>
      <c r="AD21" s="1179"/>
      <c r="AE21" s="1178"/>
      <c r="AF21" s="1178"/>
      <c r="AG21" s="1176">
        <f t="shared" si="25"/>
        <v>0</v>
      </c>
      <c r="AH21" s="1179"/>
      <c r="AI21" s="1178"/>
      <c r="AJ21" s="1178"/>
      <c r="AK21" s="1176">
        <f t="shared" si="26"/>
        <v>0</v>
      </c>
      <c r="AL21" s="562"/>
      <c r="AM21" s="1179"/>
      <c r="AN21" s="1178"/>
      <c r="AO21" s="1178"/>
      <c r="AP21" s="1176">
        <f t="shared" si="27"/>
        <v>0</v>
      </c>
      <c r="AQ21" s="1179"/>
      <c r="AR21" s="1178"/>
      <c r="AS21" s="1178"/>
      <c r="AT21" s="1176">
        <f t="shared" si="28"/>
        <v>0</v>
      </c>
      <c r="AU21" s="562"/>
      <c r="AV21" s="1179"/>
      <c r="AW21" s="1178"/>
      <c r="AX21" s="1178"/>
      <c r="AY21" s="1176">
        <f t="shared" si="29"/>
        <v>0</v>
      </c>
      <c r="AZ21" s="1179"/>
      <c r="BA21" s="1178"/>
      <c r="BB21" s="1178"/>
      <c r="BC21" s="1176">
        <f t="shared" si="30"/>
        <v>0</v>
      </c>
      <c r="BD21" s="562"/>
      <c r="BE21" s="1179"/>
      <c r="BF21" s="1178"/>
      <c r="BG21" s="1178"/>
      <c r="BH21" s="1176">
        <f t="shared" si="31"/>
        <v>0</v>
      </c>
      <c r="BI21" s="1179"/>
      <c r="BJ21" s="1178"/>
      <c r="BK21" s="1178"/>
      <c r="BL21" s="1176">
        <f t="shared" si="32"/>
        <v>0</v>
      </c>
      <c r="BM21" s="562"/>
      <c r="BN21" s="1179"/>
      <c r="BO21" s="1178"/>
      <c r="BP21" s="1178"/>
      <c r="BQ21" s="1176">
        <f t="shared" si="33"/>
        <v>0</v>
      </c>
      <c r="BR21" s="1179"/>
      <c r="BS21" s="1178"/>
      <c r="BT21" s="1178"/>
      <c r="BU21" s="1176">
        <f t="shared" si="34"/>
        <v>0</v>
      </c>
      <c r="BV21" s="562"/>
      <c r="BW21" s="1179"/>
      <c r="BX21" s="1178"/>
      <c r="BY21" s="1178"/>
      <c r="BZ21" s="1176">
        <f t="shared" si="35"/>
        <v>0</v>
      </c>
      <c r="CA21" s="1154"/>
      <c r="CB21" s="1155"/>
      <c r="CC21" s="1155"/>
      <c r="CD21" s="1151">
        <f t="shared" si="36"/>
        <v>0</v>
      </c>
      <c r="CE21" s="516"/>
      <c r="CF21" s="504"/>
    </row>
    <row r="22">
      <c r="A22" s="504"/>
      <c r="B22" s="514"/>
      <c r="C22" s="1159"/>
      <c r="D22" s="1181"/>
      <c r="E22" s="1181"/>
      <c r="F22" s="1176">
        <f t="shared" si="19"/>
        <v>0</v>
      </c>
      <c r="G22" s="1182"/>
      <c r="H22" s="1181"/>
      <c r="I22" s="1181"/>
      <c r="J22" s="1176">
        <f t="shared" si="20"/>
        <v>0</v>
      </c>
      <c r="K22" s="562"/>
      <c r="L22" s="1182"/>
      <c r="M22" s="1181"/>
      <c r="N22" s="1181"/>
      <c r="O22" s="1176">
        <f t="shared" si="21"/>
        <v>0</v>
      </c>
      <c r="P22" s="1182"/>
      <c r="Q22" s="1181"/>
      <c r="R22" s="1181"/>
      <c r="S22" s="1176">
        <f t="shared" si="22"/>
        <v>0</v>
      </c>
      <c r="T22" s="562"/>
      <c r="U22" s="1182"/>
      <c r="V22" s="1181"/>
      <c r="W22" s="1181"/>
      <c r="X22" s="1176">
        <f t="shared" si="23"/>
        <v>0</v>
      </c>
      <c r="Y22" s="1182"/>
      <c r="Z22" s="1181"/>
      <c r="AA22" s="1181"/>
      <c r="AB22" s="1176">
        <f t="shared" si="24"/>
        <v>0</v>
      </c>
      <c r="AC22" s="562"/>
      <c r="AD22" s="1182"/>
      <c r="AE22" s="1181"/>
      <c r="AF22" s="1181"/>
      <c r="AG22" s="1176">
        <f t="shared" si="25"/>
        <v>0</v>
      </c>
      <c r="AH22" s="1182"/>
      <c r="AI22" s="1181"/>
      <c r="AJ22" s="1181"/>
      <c r="AK22" s="1176">
        <f t="shared" si="26"/>
        <v>0</v>
      </c>
      <c r="AL22" s="562"/>
      <c r="AM22" s="1182"/>
      <c r="AN22" s="1181"/>
      <c r="AO22" s="1181"/>
      <c r="AP22" s="1176">
        <f t="shared" si="27"/>
        <v>0</v>
      </c>
      <c r="AQ22" s="1182"/>
      <c r="AR22" s="1181"/>
      <c r="AS22" s="1181"/>
      <c r="AT22" s="1176">
        <f t="shared" si="28"/>
        <v>0</v>
      </c>
      <c r="AU22" s="562"/>
      <c r="AV22" s="1182"/>
      <c r="AW22" s="1181"/>
      <c r="AX22" s="1181"/>
      <c r="AY22" s="1176">
        <f t="shared" si="29"/>
        <v>0</v>
      </c>
      <c r="AZ22" s="1182"/>
      <c r="BA22" s="1181"/>
      <c r="BB22" s="1181"/>
      <c r="BC22" s="1176">
        <f t="shared" si="30"/>
        <v>0</v>
      </c>
      <c r="BD22" s="562"/>
      <c r="BE22" s="1182"/>
      <c r="BF22" s="1181"/>
      <c r="BG22" s="1181"/>
      <c r="BH22" s="1176">
        <f t="shared" si="31"/>
        <v>0</v>
      </c>
      <c r="BI22" s="1182"/>
      <c r="BJ22" s="1181"/>
      <c r="BK22" s="1181"/>
      <c r="BL22" s="1176">
        <f t="shared" si="32"/>
        <v>0</v>
      </c>
      <c r="BM22" s="562"/>
      <c r="BN22" s="1182"/>
      <c r="BO22" s="1181"/>
      <c r="BP22" s="1181"/>
      <c r="BQ22" s="1176">
        <f t="shared" si="33"/>
        <v>0</v>
      </c>
      <c r="BR22" s="1182"/>
      <c r="BS22" s="1181"/>
      <c r="BT22" s="1181"/>
      <c r="BU22" s="1176">
        <f t="shared" si="34"/>
        <v>0</v>
      </c>
      <c r="BV22" s="562"/>
      <c r="BW22" s="1182"/>
      <c r="BX22" s="1181"/>
      <c r="BY22" s="1181"/>
      <c r="BZ22" s="1176">
        <f t="shared" si="35"/>
        <v>0</v>
      </c>
      <c r="CA22" s="1159"/>
      <c r="CB22" s="1160"/>
      <c r="CC22" s="1160"/>
      <c r="CD22" s="1151">
        <f t="shared" si="36"/>
        <v>0</v>
      </c>
      <c r="CE22" s="516"/>
      <c r="CF22" s="504"/>
    </row>
    <row r="23">
      <c r="A23" s="504"/>
      <c r="B23" s="514"/>
      <c r="C23" s="1161" t="s">
        <v>270</v>
      </c>
      <c r="D23" s="1160">
        <f>SUM(F17:F22)</f>
        <v>0</v>
      </c>
      <c r="E23" s="1097"/>
      <c r="F23" s="1097"/>
      <c r="G23" s="1183" t="s">
        <v>270</v>
      </c>
      <c r="H23" s="1160">
        <f>SUM(J17:J22)</f>
        <v>0</v>
      </c>
      <c r="I23" s="1097"/>
      <c r="J23" s="1097"/>
      <c r="K23" s="562"/>
      <c r="L23" s="1183" t="s">
        <v>270</v>
      </c>
      <c r="M23" s="1162">
        <f>SUM(O17:O22)</f>
        <v>0</v>
      </c>
      <c r="N23" s="1097"/>
      <c r="O23" s="1097"/>
      <c r="P23" s="1183" t="s">
        <v>270</v>
      </c>
      <c r="Q23" s="1162">
        <f>SUM(S17:S22)</f>
        <v>0</v>
      </c>
      <c r="R23" s="1097"/>
      <c r="S23" s="1097"/>
      <c r="T23" s="562"/>
      <c r="U23" s="1183" t="s">
        <v>270</v>
      </c>
      <c r="V23" s="1162">
        <f>SUM(X17:X22)</f>
        <v>0</v>
      </c>
      <c r="W23" s="1097"/>
      <c r="X23" s="1097"/>
      <c r="Y23" s="1183" t="s">
        <v>270</v>
      </c>
      <c r="Z23" s="1162">
        <f>SUM(AB17:AB22)</f>
        <v>0</v>
      </c>
      <c r="AA23" s="1097"/>
      <c r="AB23" s="1097"/>
      <c r="AC23" s="562"/>
      <c r="AD23" s="1183" t="s">
        <v>270</v>
      </c>
      <c r="AE23" s="1162">
        <f>SUM(AG17:AG22)</f>
        <v>0</v>
      </c>
      <c r="AF23" s="1097"/>
      <c r="AG23" s="1097"/>
      <c r="AH23" s="1183" t="s">
        <v>270</v>
      </c>
      <c r="AI23" s="1162">
        <f>SUM(AK17:AK22)</f>
        <v>0</v>
      </c>
      <c r="AJ23" s="1097"/>
      <c r="AK23" s="1097"/>
      <c r="AL23" s="562"/>
      <c r="AM23" s="1183" t="s">
        <v>270</v>
      </c>
      <c r="AN23" s="1162">
        <f>SUM(AP17:AP22)</f>
        <v>0</v>
      </c>
      <c r="AO23" s="1097"/>
      <c r="AP23" s="1097"/>
      <c r="AQ23" s="1183" t="s">
        <v>270</v>
      </c>
      <c r="AR23" s="1162">
        <f>SUM(AT17:AT22)</f>
        <v>0</v>
      </c>
      <c r="AS23" s="1097"/>
      <c r="AT23" s="1097"/>
      <c r="AU23" s="562"/>
      <c r="AV23" s="1183" t="s">
        <v>270</v>
      </c>
      <c r="AW23" s="1162">
        <f>SUM(AY17:AY22)</f>
        <v>0</v>
      </c>
      <c r="AX23" s="1097"/>
      <c r="AY23" s="1097"/>
      <c r="AZ23" s="1183" t="s">
        <v>270</v>
      </c>
      <c r="BA23" s="1162">
        <f>SUM(BC17:BC22)</f>
        <v>0</v>
      </c>
      <c r="BB23" s="1097"/>
      <c r="BC23" s="1097"/>
      <c r="BD23" s="562"/>
      <c r="BE23" s="1183" t="s">
        <v>270</v>
      </c>
      <c r="BF23" s="1162">
        <f>SUM(BH17:BH22)</f>
        <v>0</v>
      </c>
      <c r="BG23" s="1097"/>
      <c r="BH23" s="1097"/>
      <c r="BI23" s="1183" t="s">
        <v>270</v>
      </c>
      <c r="BJ23" s="1162">
        <f>SUM(BL17:BL22)</f>
        <v>0</v>
      </c>
      <c r="BK23" s="1097"/>
      <c r="BL23" s="1097"/>
      <c r="BM23" s="562"/>
      <c r="BN23" s="1183" t="s">
        <v>270</v>
      </c>
      <c r="BO23" s="1162">
        <f>SUM(BQ17:BQ22)</f>
        <v>0</v>
      </c>
      <c r="BP23" s="1097"/>
      <c r="BQ23" s="1097"/>
      <c r="BR23" s="1183" t="s">
        <v>270</v>
      </c>
      <c r="BS23" s="1162">
        <f>SUM(BU17:BU22)</f>
        <v>0</v>
      </c>
      <c r="BT23" s="1097"/>
      <c r="BU23" s="1097"/>
      <c r="BV23" s="562"/>
      <c r="BW23" s="1183" t="s">
        <v>270</v>
      </c>
      <c r="BX23" s="1162">
        <f>SUM(BZ17:BZ22)</f>
        <v>0</v>
      </c>
      <c r="BY23" s="1097"/>
      <c r="BZ23" s="1097"/>
      <c r="CA23" s="1161" t="s">
        <v>270</v>
      </c>
      <c r="CB23" s="1162">
        <f>SUM(CD17:CD22)</f>
        <v>0</v>
      </c>
      <c r="CC23" s="1097"/>
      <c r="CD23" s="1097"/>
      <c r="CE23" s="516"/>
      <c r="CF23" s="504"/>
    </row>
    <row r="24">
      <c r="A24" s="2"/>
      <c r="B24" s="542"/>
      <c r="C24" s="1163" t="s">
        <v>980</v>
      </c>
      <c r="D24" s="1184"/>
      <c r="E24" s="188"/>
      <c r="F24" s="544"/>
      <c r="G24" s="1185" t="s">
        <v>980</v>
      </c>
      <c r="H24" s="1184"/>
      <c r="I24" s="188"/>
      <c r="J24" s="191"/>
      <c r="K24" s="636"/>
      <c r="L24" s="1185" t="s">
        <v>980</v>
      </c>
      <c r="M24" s="1184"/>
      <c r="N24" s="188"/>
      <c r="O24" s="544"/>
      <c r="P24" s="1185" t="s">
        <v>980</v>
      </c>
      <c r="Q24" s="1184"/>
      <c r="R24" s="188"/>
      <c r="S24" s="191"/>
      <c r="T24" s="636"/>
      <c r="U24" s="1185" t="s">
        <v>980</v>
      </c>
      <c r="V24" s="1184"/>
      <c r="W24" s="188"/>
      <c r="X24" s="544"/>
      <c r="Y24" s="1185" t="s">
        <v>980</v>
      </c>
      <c r="Z24" s="1184"/>
      <c r="AA24" s="188"/>
      <c r="AB24" s="191"/>
      <c r="AC24" s="636"/>
      <c r="AD24" s="1185" t="s">
        <v>980</v>
      </c>
      <c r="AE24" s="1184"/>
      <c r="AF24" s="188"/>
      <c r="AG24" s="544"/>
      <c r="AH24" s="1185" t="s">
        <v>980</v>
      </c>
      <c r="AI24" s="1184"/>
      <c r="AJ24" s="188"/>
      <c r="AK24" s="191"/>
      <c r="AL24" s="636"/>
      <c r="AM24" s="1185" t="s">
        <v>980</v>
      </c>
      <c r="AN24" s="1184"/>
      <c r="AO24" s="188"/>
      <c r="AP24" s="544"/>
      <c r="AQ24" s="1185" t="s">
        <v>980</v>
      </c>
      <c r="AR24" s="1184"/>
      <c r="AS24" s="188"/>
      <c r="AT24" s="191"/>
      <c r="AU24" s="636"/>
      <c r="AV24" s="1185" t="s">
        <v>980</v>
      </c>
      <c r="AW24" s="1184"/>
      <c r="AX24" s="188"/>
      <c r="AY24" s="544"/>
      <c r="AZ24" s="1185" t="s">
        <v>980</v>
      </c>
      <c r="BA24" s="1184"/>
      <c r="BB24" s="188"/>
      <c r="BC24" s="191"/>
      <c r="BD24" s="636"/>
      <c r="BE24" s="1185" t="s">
        <v>980</v>
      </c>
      <c r="BF24" s="1184"/>
      <c r="BG24" s="188"/>
      <c r="BH24" s="544"/>
      <c r="BI24" s="1185" t="s">
        <v>980</v>
      </c>
      <c r="BJ24" s="1184"/>
      <c r="BK24" s="188"/>
      <c r="BL24" s="191"/>
      <c r="BM24" s="636"/>
      <c r="BN24" s="1185" t="s">
        <v>980</v>
      </c>
      <c r="BO24" s="1184"/>
      <c r="BP24" s="188"/>
      <c r="BQ24" s="544"/>
      <c r="BR24" s="1185" t="s">
        <v>980</v>
      </c>
      <c r="BS24" s="1184"/>
      <c r="BT24" s="188"/>
      <c r="BU24" s="191"/>
      <c r="BV24" s="636"/>
      <c r="BW24" s="1185" t="s">
        <v>980</v>
      </c>
      <c r="BX24" s="1184"/>
      <c r="BY24" s="188"/>
      <c r="BZ24" s="544"/>
      <c r="CA24" s="1163" t="s">
        <v>980</v>
      </c>
      <c r="CB24" s="1164"/>
      <c r="CC24" s="188"/>
      <c r="CD24" s="191"/>
      <c r="CE24" s="552"/>
      <c r="CF24" s="2"/>
    </row>
    <row r="25">
      <c r="A25" s="2"/>
      <c r="B25" s="542"/>
      <c r="C25" s="1165" t="s">
        <v>981</v>
      </c>
      <c r="D25" s="1166">
        <v>1.0</v>
      </c>
      <c r="E25" s="1166">
        <v>2.0</v>
      </c>
      <c r="F25" s="1166">
        <v>3.0</v>
      </c>
      <c r="G25" s="1167" t="s">
        <v>982</v>
      </c>
      <c r="H25" s="210"/>
      <c r="I25" s="1168" t="str">
        <f>IF(D24=2,"W",IF(H24=2,"L",))</f>
        <v/>
      </c>
      <c r="J25" s="1169" t="str">
        <f>IF(H24=2,"W",IF(D24=2,"L",))</f>
        <v/>
      </c>
      <c r="K25" s="636"/>
      <c r="L25" s="1170" t="s">
        <v>981</v>
      </c>
      <c r="M25" s="1166">
        <v>1.0</v>
      </c>
      <c r="N25" s="1166">
        <v>2.0</v>
      </c>
      <c r="O25" s="1171">
        <v>3.0</v>
      </c>
      <c r="P25" s="1167" t="s">
        <v>982</v>
      </c>
      <c r="Q25" s="210"/>
      <c r="R25" s="1168" t="str">
        <f>IF(M24=2,"W",IF(Q24=2,"L",))</f>
        <v/>
      </c>
      <c r="S25" s="1169" t="str">
        <f>IF(Q24=2,"W",IF(M24=2,"L",))</f>
        <v/>
      </c>
      <c r="T25" s="636"/>
      <c r="U25" s="1170" t="s">
        <v>981</v>
      </c>
      <c r="V25" s="1166">
        <v>1.0</v>
      </c>
      <c r="W25" s="1166">
        <v>2.0</v>
      </c>
      <c r="X25" s="1171">
        <v>3.0</v>
      </c>
      <c r="Y25" s="1167" t="s">
        <v>982</v>
      </c>
      <c r="Z25" s="210"/>
      <c r="AA25" s="1168" t="str">
        <f>IF(V24=2,"W",IF(Z24=2,"L",))</f>
        <v/>
      </c>
      <c r="AB25" s="1169" t="str">
        <f>IF(Z24=2,"W",IF(V24=2,"L",))</f>
        <v/>
      </c>
      <c r="AC25" s="636"/>
      <c r="AD25" s="1170" t="s">
        <v>981</v>
      </c>
      <c r="AE25" s="1166">
        <v>1.0</v>
      </c>
      <c r="AF25" s="1166">
        <v>2.0</v>
      </c>
      <c r="AG25" s="1166">
        <v>3.0</v>
      </c>
      <c r="AH25" s="1167" t="s">
        <v>982</v>
      </c>
      <c r="AI25" s="210"/>
      <c r="AJ25" s="1168" t="str">
        <f>IF(AE24=2,"W",IF(AI24=2,"L",))</f>
        <v/>
      </c>
      <c r="AK25" s="1169" t="str">
        <f>IF(AI24=2,"W",IF(AE24=2,"L",))</f>
        <v/>
      </c>
      <c r="AL25" s="636"/>
      <c r="AM25" s="1170" t="s">
        <v>981</v>
      </c>
      <c r="AN25" s="1166">
        <v>1.0</v>
      </c>
      <c r="AO25" s="1166">
        <v>2.0</v>
      </c>
      <c r="AP25" s="1171">
        <v>3.0</v>
      </c>
      <c r="AQ25" s="1167" t="s">
        <v>982</v>
      </c>
      <c r="AR25" s="210"/>
      <c r="AS25" s="1168" t="str">
        <f>IF(AN24=2,"W",IF(AR24=2,"L",))</f>
        <v/>
      </c>
      <c r="AT25" s="1169" t="str">
        <f>IF(AR24=2,"W",IF(AN24=2,"L",))</f>
        <v/>
      </c>
      <c r="AU25" s="636"/>
      <c r="AV25" s="1170" t="s">
        <v>981</v>
      </c>
      <c r="AW25" s="1166">
        <v>1.0</v>
      </c>
      <c r="AX25" s="1166">
        <v>2.0</v>
      </c>
      <c r="AY25" s="1166">
        <v>3.0</v>
      </c>
      <c r="AZ25" s="1167" t="s">
        <v>982</v>
      </c>
      <c r="BA25" s="210"/>
      <c r="BB25" s="1168" t="str">
        <f>IF(AW24=2,"W",IF(BA24=2,"L",))</f>
        <v/>
      </c>
      <c r="BC25" s="1169" t="str">
        <f>IF(BA24=2,"W",IF(AW24=2,"L",))</f>
        <v/>
      </c>
      <c r="BD25" s="636"/>
      <c r="BE25" s="1170" t="s">
        <v>981</v>
      </c>
      <c r="BF25" s="1171">
        <v>1.0</v>
      </c>
      <c r="BG25" s="1171">
        <v>2.0</v>
      </c>
      <c r="BH25" s="1171">
        <v>3.0</v>
      </c>
      <c r="BI25" s="1167" t="s">
        <v>982</v>
      </c>
      <c r="BJ25" s="210"/>
      <c r="BK25" s="1186" t="s">
        <v>402</v>
      </c>
      <c r="BL25" s="1187" t="s">
        <v>402</v>
      </c>
      <c r="BM25" s="636"/>
      <c r="BN25" s="1170" t="s">
        <v>981</v>
      </c>
      <c r="BO25" s="1166">
        <v>1.0</v>
      </c>
      <c r="BP25" s="1166">
        <v>2.0</v>
      </c>
      <c r="BQ25" s="1166">
        <v>3.0</v>
      </c>
      <c r="BR25" s="1167" t="s">
        <v>982</v>
      </c>
      <c r="BS25" s="210"/>
      <c r="BT25" s="1168" t="str">
        <f>IF(BO24=2,"W",IF(BS24=2,"L",))</f>
        <v/>
      </c>
      <c r="BU25" s="1169" t="str">
        <f>IF(BS24=2,"W",IF(BO24=2,"L",))</f>
        <v/>
      </c>
      <c r="BV25" s="636"/>
      <c r="BW25" s="1170" t="s">
        <v>981</v>
      </c>
      <c r="BX25" s="1171">
        <v>1.0</v>
      </c>
      <c r="BY25" s="1171">
        <v>2.0</v>
      </c>
      <c r="BZ25" s="1171">
        <v>3.0</v>
      </c>
      <c r="CA25" s="1172" t="s">
        <v>982</v>
      </c>
      <c r="CB25" s="210"/>
      <c r="CC25" s="1173" t="str">
        <f>IF(BX24=2,"W",IF(CB24=2,"L",))</f>
        <v/>
      </c>
      <c r="CD25" s="1174" t="str">
        <f>IF(CB24=2,"W",IF(BX24=2,"L",))</f>
        <v/>
      </c>
      <c r="CE25" s="552"/>
      <c r="CF25" s="2"/>
    </row>
    <row r="26" ht="7.5" customHeight="1">
      <c r="A26" s="504"/>
      <c r="B26" s="514"/>
      <c r="C26" s="515"/>
      <c r="D26" s="562"/>
      <c r="E26" s="562"/>
      <c r="F26" s="562"/>
      <c r="G26" s="562"/>
      <c r="H26" s="562"/>
      <c r="I26" s="562"/>
      <c r="J26" s="562"/>
      <c r="K26" s="562"/>
      <c r="L26" s="562"/>
      <c r="M26" s="562"/>
      <c r="N26" s="562"/>
      <c r="O26" s="562"/>
      <c r="P26" s="562"/>
      <c r="Q26" s="562"/>
      <c r="R26" s="562"/>
      <c r="S26" s="562"/>
      <c r="T26" s="562"/>
      <c r="U26" s="562"/>
      <c r="V26" s="562"/>
      <c r="W26" s="562"/>
      <c r="X26" s="562"/>
      <c r="Y26" s="562"/>
      <c r="Z26" s="562"/>
      <c r="AA26" s="562"/>
      <c r="AB26" s="562"/>
      <c r="AC26" s="562"/>
      <c r="AD26" s="562"/>
      <c r="AE26" s="562"/>
      <c r="AF26" s="562"/>
      <c r="AG26" s="562"/>
      <c r="AH26" s="562"/>
      <c r="AI26" s="562"/>
      <c r="AJ26" s="562"/>
      <c r="AK26" s="562"/>
      <c r="AL26" s="562"/>
      <c r="AM26" s="562"/>
      <c r="AN26" s="562"/>
      <c r="AO26" s="562"/>
      <c r="AP26" s="562"/>
      <c r="AQ26" s="562"/>
      <c r="AR26" s="562"/>
      <c r="AS26" s="562"/>
      <c r="AT26" s="562"/>
      <c r="AU26" s="562"/>
      <c r="AV26" s="562"/>
      <c r="AW26" s="562"/>
      <c r="AX26" s="562"/>
      <c r="AY26" s="562"/>
      <c r="AZ26" s="562"/>
      <c r="BA26" s="562"/>
      <c r="BB26" s="562"/>
      <c r="BC26" s="562"/>
      <c r="BD26" s="562"/>
      <c r="BE26" s="562"/>
      <c r="BF26" s="562"/>
      <c r="BG26" s="562"/>
      <c r="BH26" s="562"/>
      <c r="BI26" s="562"/>
      <c r="BJ26" s="562"/>
      <c r="BK26" s="562"/>
      <c r="BL26" s="562"/>
      <c r="BM26" s="562"/>
      <c r="BN26" s="562"/>
      <c r="BO26" s="562"/>
      <c r="BP26" s="562"/>
      <c r="BQ26" s="562"/>
      <c r="BR26" s="562"/>
      <c r="BS26" s="562"/>
      <c r="BT26" s="562"/>
      <c r="BU26" s="562"/>
      <c r="BV26" s="562"/>
      <c r="BW26" s="562"/>
      <c r="BX26" s="562"/>
      <c r="BY26" s="562"/>
      <c r="BZ26" s="562"/>
      <c r="CA26" s="515"/>
      <c r="CB26" s="515"/>
      <c r="CC26" s="515"/>
      <c r="CD26" s="515"/>
      <c r="CE26" s="516"/>
      <c r="CF26" s="504"/>
    </row>
    <row r="27">
      <c r="A27" s="504"/>
      <c r="B27" s="514"/>
      <c r="C27" s="517" t="str">
        <f>Schedule!$J$9</f>
        <v/>
      </c>
      <c r="D27" s="564" t="s">
        <v>76</v>
      </c>
      <c r="E27" s="565" t="s">
        <v>77</v>
      </c>
      <c r="F27" s="565" t="s">
        <v>78</v>
      </c>
      <c r="G27" s="566" t="str">
        <f>#REF!</f>
        <v>#REF!</v>
      </c>
      <c r="H27" s="567" t="s">
        <v>76</v>
      </c>
      <c r="I27" s="568" t="s">
        <v>77</v>
      </c>
      <c r="J27" s="569" t="s">
        <v>78</v>
      </c>
      <c r="K27" s="562"/>
      <c r="L27" s="656" t="str">
        <f>Schedule!$J$14</f>
        <v/>
      </c>
      <c r="M27" s="564" t="s">
        <v>76</v>
      </c>
      <c r="N27" s="565" t="s">
        <v>77</v>
      </c>
      <c r="O27" s="565" t="s">
        <v>78</v>
      </c>
      <c r="P27" s="566" t="str">
        <f>#REF!</f>
        <v>#REF!</v>
      </c>
      <c r="Q27" s="567" t="s">
        <v>76</v>
      </c>
      <c r="R27" s="568" t="s">
        <v>77</v>
      </c>
      <c r="S27" s="569" t="s">
        <v>78</v>
      </c>
      <c r="T27" s="562"/>
      <c r="U27" s="656" t="str">
        <f>Schedule!$J$19</f>
        <v/>
      </c>
      <c r="V27" s="564" t="s">
        <v>76</v>
      </c>
      <c r="W27" s="565" t="s">
        <v>77</v>
      </c>
      <c r="X27" s="565" t="s">
        <v>78</v>
      </c>
      <c r="Y27" s="566" t="str">
        <f>#REF!</f>
        <v>#REF!</v>
      </c>
      <c r="Z27" s="567" t="s">
        <v>76</v>
      </c>
      <c r="AA27" s="568" t="s">
        <v>77</v>
      </c>
      <c r="AB27" s="569" t="s">
        <v>78</v>
      </c>
      <c r="AC27" s="562"/>
      <c r="AD27" s="656" t="str">
        <f>Schedule!$J$24</f>
        <v/>
      </c>
      <c r="AE27" s="564" t="s">
        <v>76</v>
      </c>
      <c r="AF27" s="565" t="s">
        <v>77</v>
      </c>
      <c r="AG27" s="565" t="s">
        <v>78</v>
      </c>
      <c r="AH27" s="566" t="str">
        <f>#REF!</f>
        <v>#REF!</v>
      </c>
      <c r="AI27" s="567" t="s">
        <v>76</v>
      </c>
      <c r="AJ27" s="568" t="s">
        <v>77</v>
      </c>
      <c r="AK27" s="569" t="s">
        <v>78</v>
      </c>
      <c r="AL27" s="562"/>
      <c r="AM27" s="656" t="str">
        <f>Schedule!$J$29</f>
        <v/>
      </c>
      <c r="AN27" s="564" t="s">
        <v>76</v>
      </c>
      <c r="AO27" s="565" t="s">
        <v>77</v>
      </c>
      <c r="AP27" s="565" t="s">
        <v>78</v>
      </c>
      <c r="AQ27" s="566" t="str">
        <f>#REF!</f>
        <v>#REF!</v>
      </c>
      <c r="AR27" s="567" t="s">
        <v>76</v>
      </c>
      <c r="AS27" s="568" t="s">
        <v>77</v>
      </c>
      <c r="AT27" s="569" t="s">
        <v>78</v>
      </c>
      <c r="AU27" s="562"/>
      <c r="AV27" s="656" t="str">
        <f>Schedule!$J$34</f>
        <v/>
      </c>
      <c r="AW27" s="564" t="s">
        <v>76</v>
      </c>
      <c r="AX27" s="565" t="s">
        <v>77</v>
      </c>
      <c r="AY27" s="565" t="s">
        <v>78</v>
      </c>
      <c r="AZ27" s="566" t="str">
        <f>#REF!</f>
        <v>#REF!</v>
      </c>
      <c r="BA27" s="567" t="s">
        <v>76</v>
      </c>
      <c r="BB27" s="568" t="s">
        <v>77</v>
      </c>
      <c r="BC27" s="569" t="s">
        <v>78</v>
      </c>
      <c r="BD27" s="562"/>
      <c r="BE27" s="656" t="str">
        <f>Schedule!$J$39</f>
        <v/>
      </c>
      <c r="BF27" s="564" t="s">
        <v>76</v>
      </c>
      <c r="BG27" s="565" t="s">
        <v>77</v>
      </c>
      <c r="BH27" s="565" t="s">
        <v>78</v>
      </c>
      <c r="BI27" s="566" t="str">
        <f>#REF!</f>
        <v>#REF!</v>
      </c>
      <c r="BJ27" s="567" t="s">
        <v>76</v>
      </c>
      <c r="BK27" s="568" t="s">
        <v>77</v>
      </c>
      <c r="BL27" s="569" t="s">
        <v>78</v>
      </c>
      <c r="BM27" s="562"/>
      <c r="BN27" s="656" t="str">
        <f>#REF!</f>
        <v>#REF!</v>
      </c>
      <c r="BO27" s="564" t="s">
        <v>76</v>
      </c>
      <c r="BP27" s="565" t="s">
        <v>77</v>
      </c>
      <c r="BQ27" s="565" t="s">
        <v>78</v>
      </c>
      <c r="BR27" s="566" t="str">
        <f>#REF!</f>
        <v>#REF!</v>
      </c>
      <c r="BS27" s="567" t="s">
        <v>76</v>
      </c>
      <c r="BT27" s="568" t="s">
        <v>77</v>
      </c>
      <c r="BU27" s="569" t="s">
        <v>78</v>
      </c>
      <c r="BV27" s="562"/>
      <c r="BW27" s="656" t="str">
        <f>#REF!</f>
        <v>#REF!</v>
      </c>
      <c r="BX27" s="564" t="s">
        <v>76</v>
      </c>
      <c r="BY27" s="565" t="s">
        <v>77</v>
      </c>
      <c r="BZ27" s="565" t="s">
        <v>78</v>
      </c>
      <c r="CA27" s="521" t="str">
        <f>#REF!</f>
        <v>#REF!</v>
      </c>
      <c r="CB27" s="522" t="s">
        <v>76</v>
      </c>
      <c r="CC27" s="523" t="s">
        <v>77</v>
      </c>
      <c r="CD27" s="524" t="s">
        <v>78</v>
      </c>
      <c r="CE27" s="516"/>
      <c r="CF27" s="504"/>
    </row>
    <row r="28">
      <c r="A28" s="504"/>
      <c r="B28" s="514"/>
      <c r="C28" s="1149"/>
      <c r="D28" s="1175"/>
      <c r="E28" s="1175"/>
      <c r="F28" s="1176">
        <f t="shared" ref="F28:F33" si="37">D28-E28</f>
        <v>0</v>
      </c>
      <c r="G28" s="1177"/>
      <c r="H28" s="1175"/>
      <c r="I28" s="1175"/>
      <c r="J28" s="1176">
        <f t="shared" ref="J28:J33" si="38">H28-I28</f>
        <v>0</v>
      </c>
      <c r="K28" s="562"/>
      <c r="L28" s="1177"/>
      <c r="M28" s="1175"/>
      <c r="N28" s="1175"/>
      <c r="O28" s="1176">
        <f t="shared" ref="O28:O33" si="39">M28-N28</f>
        <v>0</v>
      </c>
      <c r="P28" s="1177"/>
      <c r="Q28" s="1175"/>
      <c r="R28" s="1175"/>
      <c r="S28" s="1176">
        <f t="shared" ref="S28:S33" si="40">Q28-R28</f>
        <v>0</v>
      </c>
      <c r="T28" s="562"/>
      <c r="U28" s="1177"/>
      <c r="V28" s="1175"/>
      <c r="W28" s="1175"/>
      <c r="X28" s="1176">
        <f t="shared" ref="X28:X33" si="41">V28-W28</f>
        <v>0</v>
      </c>
      <c r="Y28" s="1177"/>
      <c r="Z28" s="1175"/>
      <c r="AA28" s="1175"/>
      <c r="AB28" s="1176">
        <f t="shared" ref="AB28:AB33" si="42">Z28-AA28</f>
        <v>0</v>
      </c>
      <c r="AC28" s="562"/>
      <c r="AD28" s="1177"/>
      <c r="AE28" s="1175"/>
      <c r="AF28" s="1175"/>
      <c r="AG28" s="1176">
        <f t="shared" ref="AG28:AG33" si="43">AE28-AF28</f>
        <v>0</v>
      </c>
      <c r="AH28" s="1177"/>
      <c r="AI28" s="1175"/>
      <c r="AJ28" s="1175"/>
      <c r="AK28" s="1176">
        <f t="shared" ref="AK28:AK33" si="44">AI28-AJ28</f>
        <v>0</v>
      </c>
      <c r="AL28" s="562"/>
      <c r="AM28" s="1177"/>
      <c r="AN28" s="1175"/>
      <c r="AO28" s="1175"/>
      <c r="AP28" s="1176">
        <f t="shared" ref="AP28:AP33" si="45">AN28-AO28</f>
        <v>0</v>
      </c>
      <c r="AQ28" s="1177"/>
      <c r="AR28" s="1175"/>
      <c r="AS28" s="1175"/>
      <c r="AT28" s="1176">
        <f t="shared" ref="AT28:AT33" si="46">AR28-AS28</f>
        <v>0</v>
      </c>
      <c r="AU28" s="562"/>
      <c r="AV28" s="1177"/>
      <c r="AW28" s="1175"/>
      <c r="AX28" s="1175"/>
      <c r="AY28" s="1176">
        <f t="shared" ref="AY28:AY33" si="47">AW28-AX28</f>
        <v>0</v>
      </c>
      <c r="AZ28" s="1177"/>
      <c r="BA28" s="1175"/>
      <c r="BB28" s="1175"/>
      <c r="BC28" s="1176">
        <f t="shared" ref="BC28:BC33" si="48">BA28-BB28</f>
        <v>0</v>
      </c>
      <c r="BD28" s="562"/>
      <c r="BE28" s="1177"/>
      <c r="BF28" s="1175"/>
      <c r="BG28" s="1175"/>
      <c r="BH28" s="1176">
        <f t="shared" ref="BH28:BH33" si="49">BF28-BG28</f>
        <v>0</v>
      </c>
      <c r="BI28" s="1177"/>
      <c r="BJ28" s="1175"/>
      <c r="BK28" s="1175"/>
      <c r="BL28" s="1176">
        <f t="shared" ref="BL28:BL33" si="50">BJ28-BK28</f>
        <v>0</v>
      </c>
      <c r="BM28" s="562"/>
      <c r="BN28" s="1177"/>
      <c r="BO28" s="1175"/>
      <c r="BP28" s="1175"/>
      <c r="BQ28" s="1176">
        <f t="shared" ref="BQ28:BQ33" si="51">BO28-BP28</f>
        <v>0</v>
      </c>
      <c r="BR28" s="1177"/>
      <c r="BS28" s="1175"/>
      <c r="BT28" s="1175"/>
      <c r="BU28" s="1176">
        <f t="shared" ref="BU28:BU33" si="52">BS28-BT28</f>
        <v>0</v>
      </c>
      <c r="BV28" s="562"/>
      <c r="BW28" s="1177"/>
      <c r="BX28" s="1175"/>
      <c r="BY28" s="1175"/>
      <c r="BZ28" s="1176">
        <f t="shared" ref="BZ28:BZ33" si="53">BX28-BY28</f>
        <v>0</v>
      </c>
      <c r="CA28" s="1149"/>
      <c r="CB28" s="1150"/>
      <c r="CC28" s="1150"/>
      <c r="CD28" s="1151">
        <f t="shared" ref="CD28:CD33" si="54">CB28-CC28</f>
        <v>0</v>
      </c>
      <c r="CE28" s="516"/>
      <c r="CF28" s="504"/>
    </row>
    <row r="29">
      <c r="A29" s="504"/>
      <c r="B29" s="514"/>
      <c r="C29" s="1154"/>
      <c r="D29" s="1178"/>
      <c r="E29" s="1178"/>
      <c r="F29" s="1176">
        <f t="shared" si="37"/>
        <v>0</v>
      </c>
      <c r="G29" s="1179"/>
      <c r="H29" s="1178"/>
      <c r="I29" s="1178"/>
      <c r="J29" s="1176">
        <f t="shared" si="38"/>
        <v>0</v>
      </c>
      <c r="K29" s="562"/>
      <c r="L29" s="1179"/>
      <c r="M29" s="1178"/>
      <c r="N29" s="1178"/>
      <c r="O29" s="1176">
        <f t="shared" si="39"/>
        <v>0</v>
      </c>
      <c r="P29" s="1179"/>
      <c r="Q29" s="1178"/>
      <c r="R29" s="1178"/>
      <c r="S29" s="1176">
        <f t="shared" si="40"/>
        <v>0</v>
      </c>
      <c r="T29" s="562"/>
      <c r="U29" s="1179"/>
      <c r="V29" s="1178"/>
      <c r="W29" s="1178"/>
      <c r="X29" s="1176">
        <f t="shared" si="41"/>
        <v>0</v>
      </c>
      <c r="Y29" s="1179"/>
      <c r="Z29" s="1178"/>
      <c r="AA29" s="1178"/>
      <c r="AB29" s="1176">
        <f t="shared" si="42"/>
        <v>0</v>
      </c>
      <c r="AC29" s="562"/>
      <c r="AD29" s="1179"/>
      <c r="AE29" s="1178"/>
      <c r="AF29" s="1178"/>
      <c r="AG29" s="1176">
        <f t="shared" si="43"/>
        <v>0</v>
      </c>
      <c r="AH29" s="1179"/>
      <c r="AI29" s="1178"/>
      <c r="AJ29" s="1178"/>
      <c r="AK29" s="1176">
        <f t="shared" si="44"/>
        <v>0</v>
      </c>
      <c r="AL29" s="562"/>
      <c r="AM29" s="1179"/>
      <c r="AN29" s="1178"/>
      <c r="AO29" s="1178"/>
      <c r="AP29" s="1176">
        <f t="shared" si="45"/>
        <v>0</v>
      </c>
      <c r="AQ29" s="1179"/>
      <c r="AR29" s="1178"/>
      <c r="AS29" s="1178"/>
      <c r="AT29" s="1176">
        <f t="shared" si="46"/>
        <v>0</v>
      </c>
      <c r="AU29" s="562"/>
      <c r="AV29" s="1179"/>
      <c r="AW29" s="1178"/>
      <c r="AX29" s="1178"/>
      <c r="AY29" s="1176">
        <f t="shared" si="47"/>
        <v>0</v>
      </c>
      <c r="AZ29" s="1179"/>
      <c r="BA29" s="1178"/>
      <c r="BB29" s="1178"/>
      <c r="BC29" s="1176">
        <f t="shared" si="48"/>
        <v>0</v>
      </c>
      <c r="BD29" s="562"/>
      <c r="BE29" s="1179"/>
      <c r="BF29" s="1178"/>
      <c r="BG29" s="1178"/>
      <c r="BH29" s="1176">
        <f t="shared" si="49"/>
        <v>0</v>
      </c>
      <c r="BI29" s="1179"/>
      <c r="BJ29" s="1178"/>
      <c r="BK29" s="1178"/>
      <c r="BL29" s="1176">
        <f t="shared" si="50"/>
        <v>0</v>
      </c>
      <c r="BM29" s="562"/>
      <c r="BN29" s="1179"/>
      <c r="BO29" s="1178"/>
      <c r="BP29" s="1178"/>
      <c r="BQ29" s="1176">
        <f t="shared" si="51"/>
        <v>0</v>
      </c>
      <c r="BR29" s="1179"/>
      <c r="BS29" s="1178"/>
      <c r="BT29" s="1178"/>
      <c r="BU29" s="1176">
        <f t="shared" si="52"/>
        <v>0</v>
      </c>
      <c r="BV29" s="562"/>
      <c r="BW29" s="1179"/>
      <c r="BX29" s="1178"/>
      <c r="BY29" s="1178"/>
      <c r="BZ29" s="1176">
        <f t="shared" si="53"/>
        <v>0</v>
      </c>
      <c r="CA29" s="1154"/>
      <c r="CB29" s="1155"/>
      <c r="CC29" s="1155"/>
      <c r="CD29" s="1151">
        <f t="shared" si="54"/>
        <v>0</v>
      </c>
      <c r="CE29" s="516"/>
      <c r="CF29" s="504"/>
    </row>
    <row r="30">
      <c r="A30" s="504"/>
      <c r="B30" s="514"/>
      <c r="C30" s="1154"/>
      <c r="D30" s="1178"/>
      <c r="E30" s="1178"/>
      <c r="F30" s="1176">
        <f t="shared" si="37"/>
        <v>0</v>
      </c>
      <c r="G30" s="1179"/>
      <c r="H30" s="1178"/>
      <c r="I30" s="1178"/>
      <c r="J30" s="1176">
        <f t="shared" si="38"/>
        <v>0</v>
      </c>
      <c r="K30" s="562"/>
      <c r="L30" s="1179"/>
      <c r="M30" s="1178"/>
      <c r="N30" s="1178"/>
      <c r="O30" s="1176">
        <f t="shared" si="39"/>
        <v>0</v>
      </c>
      <c r="P30" s="1179"/>
      <c r="Q30" s="1178"/>
      <c r="R30" s="1178"/>
      <c r="S30" s="1176">
        <f t="shared" si="40"/>
        <v>0</v>
      </c>
      <c r="T30" s="562"/>
      <c r="U30" s="1179"/>
      <c r="V30" s="1178"/>
      <c r="W30" s="1178"/>
      <c r="X30" s="1176">
        <f t="shared" si="41"/>
        <v>0</v>
      </c>
      <c r="Y30" s="1179"/>
      <c r="Z30" s="1178"/>
      <c r="AA30" s="1178"/>
      <c r="AB30" s="1176">
        <f t="shared" si="42"/>
        <v>0</v>
      </c>
      <c r="AC30" s="562"/>
      <c r="AD30" s="1179"/>
      <c r="AE30" s="1178"/>
      <c r="AF30" s="1178"/>
      <c r="AG30" s="1176">
        <f t="shared" si="43"/>
        <v>0</v>
      </c>
      <c r="AH30" s="1179"/>
      <c r="AI30" s="1178"/>
      <c r="AJ30" s="1178"/>
      <c r="AK30" s="1176">
        <f t="shared" si="44"/>
        <v>0</v>
      </c>
      <c r="AL30" s="562"/>
      <c r="AM30" s="1179"/>
      <c r="AN30" s="1178"/>
      <c r="AO30" s="1178"/>
      <c r="AP30" s="1176">
        <f t="shared" si="45"/>
        <v>0</v>
      </c>
      <c r="AQ30" s="1179"/>
      <c r="AR30" s="1178"/>
      <c r="AS30" s="1178"/>
      <c r="AT30" s="1176">
        <f t="shared" si="46"/>
        <v>0</v>
      </c>
      <c r="AU30" s="562"/>
      <c r="AV30" s="1179"/>
      <c r="AW30" s="1178"/>
      <c r="AX30" s="1178"/>
      <c r="AY30" s="1176">
        <f t="shared" si="47"/>
        <v>0</v>
      </c>
      <c r="AZ30" s="1179"/>
      <c r="BA30" s="1178"/>
      <c r="BB30" s="1178"/>
      <c r="BC30" s="1176">
        <f t="shared" si="48"/>
        <v>0</v>
      </c>
      <c r="BD30" s="562"/>
      <c r="BE30" s="1179"/>
      <c r="BF30" s="1178"/>
      <c r="BG30" s="1178"/>
      <c r="BH30" s="1176">
        <f t="shared" si="49"/>
        <v>0</v>
      </c>
      <c r="BI30" s="1179"/>
      <c r="BJ30" s="1178"/>
      <c r="BK30" s="1178"/>
      <c r="BL30" s="1176">
        <f t="shared" si="50"/>
        <v>0</v>
      </c>
      <c r="BM30" s="562"/>
      <c r="BN30" s="1179"/>
      <c r="BO30" s="1178"/>
      <c r="BP30" s="1178"/>
      <c r="BQ30" s="1176">
        <f t="shared" si="51"/>
        <v>0</v>
      </c>
      <c r="BR30" s="1179"/>
      <c r="BS30" s="1178"/>
      <c r="BT30" s="1178"/>
      <c r="BU30" s="1176">
        <f t="shared" si="52"/>
        <v>0</v>
      </c>
      <c r="BV30" s="562"/>
      <c r="BW30" s="1179"/>
      <c r="BX30" s="1178"/>
      <c r="BY30" s="1178"/>
      <c r="BZ30" s="1176">
        <f t="shared" si="53"/>
        <v>0</v>
      </c>
      <c r="CA30" s="1154"/>
      <c r="CB30" s="1155"/>
      <c r="CC30" s="1155"/>
      <c r="CD30" s="1151">
        <f t="shared" si="54"/>
        <v>0</v>
      </c>
      <c r="CE30" s="516"/>
      <c r="CF30" s="504"/>
    </row>
    <row r="31">
      <c r="A31" s="504"/>
      <c r="B31" s="514"/>
      <c r="C31" s="1154"/>
      <c r="D31" s="1178"/>
      <c r="E31" s="1178"/>
      <c r="F31" s="1176">
        <f t="shared" si="37"/>
        <v>0</v>
      </c>
      <c r="G31" s="1179"/>
      <c r="H31" s="1178"/>
      <c r="I31" s="1178"/>
      <c r="J31" s="1176">
        <f t="shared" si="38"/>
        <v>0</v>
      </c>
      <c r="K31" s="562"/>
      <c r="L31" s="1179"/>
      <c r="M31" s="1178"/>
      <c r="N31" s="1178"/>
      <c r="O31" s="1176">
        <f t="shared" si="39"/>
        <v>0</v>
      </c>
      <c r="P31" s="1179"/>
      <c r="Q31" s="1178"/>
      <c r="R31" s="1178"/>
      <c r="S31" s="1176">
        <f t="shared" si="40"/>
        <v>0</v>
      </c>
      <c r="T31" s="562"/>
      <c r="U31" s="1179"/>
      <c r="V31" s="1178"/>
      <c r="W31" s="1178"/>
      <c r="X31" s="1176">
        <f t="shared" si="41"/>
        <v>0</v>
      </c>
      <c r="Y31" s="1179"/>
      <c r="Z31" s="1178"/>
      <c r="AA31" s="1178"/>
      <c r="AB31" s="1176">
        <f t="shared" si="42"/>
        <v>0</v>
      </c>
      <c r="AC31" s="562"/>
      <c r="AD31" s="1179"/>
      <c r="AE31" s="1178"/>
      <c r="AF31" s="1178"/>
      <c r="AG31" s="1176">
        <f t="shared" si="43"/>
        <v>0</v>
      </c>
      <c r="AH31" s="1179"/>
      <c r="AI31" s="1178"/>
      <c r="AJ31" s="1178"/>
      <c r="AK31" s="1176">
        <f t="shared" si="44"/>
        <v>0</v>
      </c>
      <c r="AL31" s="562"/>
      <c r="AM31" s="1179"/>
      <c r="AN31" s="1178"/>
      <c r="AO31" s="1178"/>
      <c r="AP31" s="1176">
        <f t="shared" si="45"/>
        <v>0</v>
      </c>
      <c r="AQ31" s="1179"/>
      <c r="AR31" s="1178"/>
      <c r="AS31" s="1178"/>
      <c r="AT31" s="1176">
        <f t="shared" si="46"/>
        <v>0</v>
      </c>
      <c r="AU31" s="562"/>
      <c r="AV31" s="1179"/>
      <c r="AW31" s="1178"/>
      <c r="AX31" s="1178"/>
      <c r="AY31" s="1176">
        <f t="shared" si="47"/>
        <v>0</v>
      </c>
      <c r="AZ31" s="1179"/>
      <c r="BA31" s="1178"/>
      <c r="BB31" s="1178"/>
      <c r="BC31" s="1176">
        <f t="shared" si="48"/>
        <v>0</v>
      </c>
      <c r="BD31" s="562"/>
      <c r="BE31" s="1179"/>
      <c r="BF31" s="1178"/>
      <c r="BG31" s="1178"/>
      <c r="BH31" s="1176">
        <f t="shared" si="49"/>
        <v>0</v>
      </c>
      <c r="BI31" s="1179"/>
      <c r="BJ31" s="1178"/>
      <c r="BK31" s="1178"/>
      <c r="BL31" s="1176">
        <f t="shared" si="50"/>
        <v>0</v>
      </c>
      <c r="BM31" s="562"/>
      <c r="BN31" s="1179"/>
      <c r="BO31" s="1178"/>
      <c r="BP31" s="1178"/>
      <c r="BQ31" s="1176">
        <f t="shared" si="51"/>
        <v>0</v>
      </c>
      <c r="BR31" s="1179"/>
      <c r="BS31" s="1178"/>
      <c r="BT31" s="1178"/>
      <c r="BU31" s="1176">
        <f t="shared" si="52"/>
        <v>0</v>
      </c>
      <c r="BV31" s="562"/>
      <c r="BW31" s="1179"/>
      <c r="BX31" s="1178"/>
      <c r="BY31" s="1178"/>
      <c r="BZ31" s="1176">
        <f t="shared" si="53"/>
        <v>0</v>
      </c>
      <c r="CA31" s="1154"/>
      <c r="CB31" s="1155"/>
      <c r="CC31" s="1155"/>
      <c r="CD31" s="1151">
        <f t="shared" si="54"/>
        <v>0</v>
      </c>
      <c r="CE31" s="516"/>
      <c r="CF31" s="504"/>
    </row>
    <row r="32">
      <c r="A32" s="504"/>
      <c r="B32" s="514"/>
      <c r="C32" s="1154"/>
      <c r="D32" s="1178"/>
      <c r="E32" s="1178"/>
      <c r="F32" s="1176">
        <f t="shared" si="37"/>
        <v>0</v>
      </c>
      <c r="G32" s="1179"/>
      <c r="H32" s="1178"/>
      <c r="I32" s="1178"/>
      <c r="J32" s="1176">
        <f t="shared" si="38"/>
        <v>0</v>
      </c>
      <c r="K32" s="562"/>
      <c r="L32" s="1179"/>
      <c r="M32" s="1178"/>
      <c r="N32" s="1178"/>
      <c r="O32" s="1176">
        <f t="shared" si="39"/>
        <v>0</v>
      </c>
      <c r="P32" s="1179"/>
      <c r="Q32" s="1178"/>
      <c r="R32" s="1178"/>
      <c r="S32" s="1176">
        <f t="shared" si="40"/>
        <v>0</v>
      </c>
      <c r="T32" s="562"/>
      <c r="U32" s="1179"/>
      <c r="V32" s="1178"/>
      <c r="W32" s="1178"/>
      <c r="X32" s="1176">
        <f t="shared" si="41"/>
        <v>0</v>
      </c>
      <c r="Y32" s="1179"/>
      <c r="Z32" s="1178"/>
      <c r="AA32" s="1178"/>
      <c r="AB32" s="1176">
        <f t="shared" si="42"/>
        <v>0</v>
      </c>
      <c r="AC32" s="562"/>
      <c r="AD32" s="1179"/>
      <c r="AE32" s="1178"/>
      <c r="AF32" s="1178"/>
      <c r="AG32" s="1176">
        <f t="shared" si="43"/>
        <v>0</v>
      </c>
      <c r="AH32" s="1179"/>
      <c r="AI32" s="1178"/>
      <c r="AJ32" s="1178"/>
      <c r="AK32" s="1176">
        <f t="shared" si="44"/>
        <v>0</v>
      </c>
      <c r="AL32" s="562"/>
      <c r="AM32" s="1179"/>
      <c r="AN32" s="1178"/>
      <c r="AO32" s="1178"/>
      <c r="AP32" s="1176">
        <f t="shared" si="45"/>
        <v>0</v>
      </c>
      <c r="AQ32" s="1179"/>
      <c r="AR32" s="1178"/>
      <c r="AS32" s="1178"/>
      <c r="AT32" s="1176">
        <f t="shared" si="46"/>
        <v>0</v>
      </c>
      <c r="AU32" s="562"/>
      <c r="AV32" s="1179"/>
      <c r="AW32" s="1178"/>
      <c r="AX32" s="1178"/>
      <c r="AY32" s="1176">
        <f t="shared" si="47"/>
        <v>0</v>
      </c>
      <c r="AZ32" s="1179"/>
      <c r="BA32" s="1178"/>
      <c r="BB32" s="1178"/>
      <c r="BC32" s="1176">
        <f t="shared" si="48"/>
        <v>0</v>
      </c>
      <c r="BD32" s="562"/>
      <c r="BE32" s="1179"/>
      <c r="BF32" s="1178"/>
      <c r="BG32" s="1178"/>
      <c r="BH32" s="1176">
        <f t="shared" si="49"/>
        <v>0</v>
      </c>
      <c r="BI32" s="1179"/>
      <c r="BJ32" s="1178"/>
      <c r="BK32" s="1178"/>
      <c r="BL32" s="1176">
        <f t="shared" si="50"/>
        <v>0</v>
      </c>
      <c r="BM32" s="562"/>
      <c r="BN32" s="1179"/>
      <c r="BO32" s="1178"/>
      <c r="BP32" s="1178"/>
      <c r="BQ32" s="1176">
        <f t="shared" si="51"/>
        <v>0</v>
      </c>
      <c r="BR32" s="1179"/>
      <c r="BS32" s="1178"/>
      <c r="BT32" s="1178"/>
      <c r="BU32" s="1176">
        <f t="shared" si="52"/>
        <v>0</v>
      </c>
      <c r="BV32" s="562"/>
      <c r="BW32" s="1179"/>
      <c r="BX32" s="1178"/>
      <c r="BY32" s="1178"/>
      <c r="BZ32" s="1176">
        <f t="shared" si="53"/>
        <v>0</v>
      </c>
      <c r="CA32" s="1154"/>
      <c r="CB32" s="1155"/>
      <c r="CC32" s="1155"/>
      <c r="CD32" s="1151">
        <f t="shared" si="54"/>
        <v>0</v>
      </c>
      <c r="CE32" s="516"/>
      <c r="CF32" s="504"/>
    </row>
    <row r="33">
      <c r="A33" s="504"/>
      <c r="B33" s="514"/>
      <c r="C33" s="1159"/>
      <c r="D33" s="1181"/>
      <c r="E33" s="1181"/>
      <c r="F33" s="1176">
        <f t="shared" si="37"/>
        <v>0</v>
      </c>
      <c r="G33" s="1182"/>
      <c r="H33" s="1181"/>
      <c r="I33" s="1181"/>
      <c r="J33" s="1176">
        <f t="shared" si="38"/>
        <v>0</v>
      </c>
      <c r="K33" s="562"/>
      <c r="L33" s="1182"/>
      <c r="M33" s="1181"/>
      <c r="N33" s="1181"/>
      <c r="O33" s="1176">
        <f t="shared" si="39"/>
        <v>0</v>
      </c>
      <c r="P33" s="1182"/>
      <c r="Q33" s="1181"/>
      <c r="R33" s="1181"/>
      <c r="S33" s="1176">
        <f t="shared" si="40"/>
        <v>0</v>
      </c>
      <c r="T33" s="562"/>
      <c r="U33" s="1182"/>
      <c r="V33" s="1181"/>
      <c r="W33" s="1181"/>
      <c r="X33" s="1176">
        <f t="shared" si="41"/>
        <v>0</v>
      </c>
      <c r="Y33" s="1182"/>
      <c r="Z33" s="1181"/>
      <c r="AA33" s="1181"/>
      <c r="AB33" s="1176">
        <f t="shared" si="42"/>
        <v>0</v>
      </c>
      <c r="AC33" s="562"/>
      <c r="AD33" s="1182"/>
      <c r="AE33" s="1181"/>
      <c r="AF33" s="1181"/>
      <c r="AG33" s="1176">
        <f t="shared" si="43"/>
        <v>0</v>
      </c>
      <c r="AH33" s="1182"/>
      <c r="AI33" s="1181"/>
      <c r="AJ33" s="1181"/>
      <c r="AK33" s="1176">
        <f t="shared" si="44"/>
        <v>0</v>
      </c>
      <c r="AL33" s="562"/>
      <c r="AM33" s="1182"/>
      <c r="AN33" s="1181"/>
      <c r="AO33" s="1181"/>
      <c r="AP33" s="1176">
        <f t="shared" si="45"/>
        <v>0</v>
      </c>
      <c r="AQ33" s="1182"/>
      <c r="AR33" s="1181"/>
      <c r="AS33" s="1181"/>
      <c r="AT33" s="1176">
        <f t="shared" si="46"/>
        <v>0</v>
      </c>
      <c r="AU33" s="562"/>
      <c r="AV33" s="1182"/>
      <c r="AW33" s="1181"/>
      <c r="AX33" s="1181"/>
      <c r="AY33" s="1176">
        <f t="shared" si="47"/>
        <v>0</v>
      </c>
      <c r="AZ33" s="1182"/>
      <c r="BA33" s="1181"/>
      <c r="BB33" s="1181"/>
      <c r="BC33" s="1176">
        <f t="shared" si="48"/>
        <v>0</v>
      </c>
      <c r="BD33" s="562"/>
      <c r="BE33" s="1182"/>
      <c r="BF33" s="1181"/>
      <c r="BG33" s="1181"/>
      <c r="BH33" s="1176">
        <f t="shared" si="49"/>
        <v>0</v>
      </c>
      <c r="BI33" s="1182"/>
      <c r="BJ33" s="1181"/>
      <c r="BK33" s="1181"/>
      <c r="BL33" s="1176">
        <f t="shared" si="50"/>
        <v>0</v>
      </c>
      <c r="BM33" s="562"/>
      <c r="BN33" s="1182"/>
      <c r="BO33" s="1181"/>
      <c r="BP33" s="1181"/>
      <c r="BQ33" s="1176">
        <f t="shared" si="51"/>
        <v>0</v>
      </c>
      <c r="BR33" s="1182"/>
      <c r="BS33" s="1181"/>
      <c r="BT33" s="1181"/>
      <c r="BU33" s="1176">
        <f t="shared" si="52"/>
        <v>0</v>
      </c>
      <c r="BV33" s="562"/>
      <c r="BW33" s="1182"/>
      <c r="BX33" s="1181"/>
      <c r="BY33" s="1181"/>
      <c r="BZ33" s="1176">
        <f t="shared" si="53"/>
        <v>0</v>
      </c>
      <c r="CA33" s="1159"/>
      <c r="CB33" s="1160"/>
      <c r="CC33" s="1160"/>
      <c r="CD33" s="1151">
        <f t="shared" si="54"/>
        <v>0</v>
      </c>
      <c r="CE33" s="516"/>
      <c r="CF33" s="504"/>
    </row>
    <row r="34">
      <c r="A34" s="504"/>
      <c r="B34" s="514"/>
      <c r="C34" s="1161" t="s">
        <v>270</v>
      </c>
      <c r="D34" s="1162">
        <f>SUM(F28:F33)</f>
        <v>0</v>
      </c>
      <c r="E34" s="1097"/>
      <c r="F34" s="1097"/>
      <c r="G34" s="1183" t="s">
        <v>270</v>
      </c>
      <c r="H34" s="1162">
        <f>SUM(J28:J33)</f>
        <v>0</v>
      </c>
      <c r="I34" s="1097"/>
      <c r="J34" s="1097"/>
      <c r="K34" s="562"/>
      <c r="L34" s="1183" t="s">
        <v>270</v>
      </c>
      <c r="M34" s="1162">
        <f>SUM(O28:O33)</f>
        <v>0</v>
      </c>
      <c r="N34" s="1097"/>
      <c r="O34" s="1097"/>
      <c r="P34" s="1183" t="s">
        <v>270</v>
      </c>
      <c r="Q34" s="1162">
        <f>SUM(S28:S33)</f>
        <v>0</v>
      </c>
      <c r="R34" s="1097"/>
      <c r="S34" s="1097"/>
      <c r="T34" s="562"/>
      <c r="U34" s="1183" t="s">
        <v>270</v>
      </c>
      <c r="V34" s="1162">
        <f>SUM(X28:X33)</f>
        <v>0</v>
      </c>
      <c r="W34" s="1097"/>
      <c r="X34" s="1097"/>
      <c r="Y34" s="1183" t="s">
        <v>270</v>
      </c>
      <c r="Z34" s="1162">
        <f>SUM(AB28:AB33)</f>
        <v>0</v>
      </c>
      <c r="AA34" s="1097"/>
      <c r="AB34" s="1097"/>
      <c r="AC34" s="562"/>
      <c r="AD34" s="1183" t="s">
        <v>270</v>
      </c>
      <c r="AE34" s="1188">
        <f>SUM(AG28:AG33)</f>
        <v>0</v>
      </c>
      <c r="AF34" s="1097"/>
      <c r="AG34" s="1097"/>
      <c r="AH34" s="1183" t="s">
        <v>270</v>
      </c>
      <c r="AI34" s="1188">
        <f>SUM(AK28:AK33)</f>
        <v>0</v>
      </c>
      <c r="AJ34" s="1097"/>
      <c r="AK34" s="1098"/>
      <c r="AL34" s="562"/>
      <c r="AM34" s="1183" t="s">
        <v>270</v>
      </c>
      <c r="AN34" s="1162">
        <f>SUM(AP28:AP33)</f>
        <v>0</v>
      </c>
      <c r="AO34" s="1097"/>
      <c r="AP34" s="1097"/>
      <c r="AQ34" s="1183" t="s">
        <v>270</v>
      </c>
      <c r="AR34" s="1162">
        <f>SUM(AT28:AT33)</f>
        <v>0</v>
      </c>
      <c r="AS34" s="1097"/>
      <c r="AT34" s="1097"/>
      <c r="AU34" s="562"/>
      <c r="AV34" s="1183" t="s">
        <v>270</v>
      </c>
      <c r="AW34" s="1162">
        <f>SUM(AY28:AY33)</f>
        <v>0</v>
      </c>
      <c r="AX34" s="1097"/>
      <c r="AY34" s="1097"/>
      <c r="AZ34" s="1183" t="s">
        <v>270</v>
      </c>
      <c r="BA34" s="1162">
        <f>SUM(BC28:BC33)</f>
        <v>0</v>
      </c>
      <c r="BB34" s="1097"/>
      <c r="BC34" s="1097"/>
      <c r="BD34" s="562"/>
      <c r="BE34" s="1183" t="s">
        <v>270</v>
      </c>
      <c r="BF34" s="1162">
        <f>SUM(BH28:BH33)</f>
        <v>0</v>
      </c>
      <c r="BG34" s="1097"/>
      <c r="BH34" s="1097"/>
      <c r="BI34" s="1183" t="s">
        <v>270</v>
      </c>
      <c r="BJ34" s="1162">
        <f>SUM(BL28:BL33)</f>
        <v>0</v>
      </c>
      <c r="BK34" s="1097"/>
      <c r="BL34" s="1097"/>
      <c r="BM34" s="562"/>
      <c r="BN34" s="1183" t="s">
        <v>270</v>
      </c>
      <c r="BO34" s="1162">
        <f>SUM(BQ28:BQ33)</f>
        <v>0</v>
      </c>
      <c r="BP34" s="1097"/>
      <c r="BQ34" s="1097"/>
      <c r="BR34" s="1183" t="s">
        <v>270</v>
      </c>
      <c r="BS34" s="1162">
        <f>SUM(BU28:BU33)</f>
        <v>0</v>
      </c>
      <c r="BT34" s="1097"/>
      <c r="BU34" s="1097"/>
      <c r="BV34" s="562"/>
      <c r="BW34" s="1183" t="s">
        <v>270</v>
      </c>
      <c r="BX34" s="1162">
        <f>SUM(BZ28:BZ33)</f>
        <v>0</v>
      </c>
      <c r="BY34" s="1097"/>
      <c r="BZ34" s="1097"/>
      <c r="CA34" s="1161" t="s">
        <v>270</v>
      </c>
      <c r="CB34" s="1162">
        <f>SUM(CD28:CD33)</f>
        <v>0</v>
      </c>
      <c r="CC34" s="1097"/>
      <c r="CD34" s="1097"/>
      <c r="CE34" s="516"/>
      <c r="CF34" s="504"/>
    </row>
    <row r="35">
      <c r="A35" s="2"/>
      <c r="B35" s="542"/>
      <c r="C35" s="1163" t="s">
        <v>980</v>
      </c>
      <c r="D35" s="1184"/>
      <c r="E35" s="188"/>
      <c r="F35" s="544"/>
      <c r="G35" s="1185" t="s">
        <v>980</v>
      </c>
      <c r="H35" s="1184"/>
      <c r="I35" s="188"/>
      <c r="J35" s="191"/>
      <c r="K35" s="636"/>
      <c r="L35" s="1185" t="s">
        <v>980</v>
      </c>
      <c r="M35" s="1184"/>
      <c r="N35" s="188"/>
      <c r="O35" s="544"/>
      <c r="P35" s="1185" t="s">
        <v>980</v>
      </c>
      <c r="Q35" s="1184"/>
      <c r="R35" s="188"/>
      <c r="S35" s="191"/>
      <c r="T35" s="636"/>
      <c r="U35" s="1185" t="s">
        <v>980</v>
      </c>
      <c r="V35" s="1184"/>
      <c r="W35" s="188"/>
      <c r="X35" s="544"/>
      <c r="Y35" s="1185" t="s">
        <v>980</v>
      </c>
      <c r="Z35" s="1184"/>
      <c r="AA35" s="188"/>
      <c r="AB35" s="191"/>
      <c r="AC35" s="636"/>
      <c r="AD35" s="1185" t="s">
        <v>980</v>
      </c>
      <c r="AE35" s="1184"/>
      <c r="AF35" s="188"/>
      <c r="AG35" s="544"/>
      <c r="AH35" s="1185" t="s">
        <v>980</v>
      </c>
      <c r="AI35" s="1184"/>
      <c r="AJ35" s="188"/>
      <c r="AK35" s="191"/>
      <c r="AL35" s="636"/>
      <c r="AM35" s="1185" t="s">
        <v>980</v>
      </c>
      <c r="AN35" s="1184"/>
      <c r="AO35" s="188"/>
      <c r="AP35" s="544"/>
      <c r="AQ35" s="1185" t="s">
        <v>980</v>
      </c>
      <c r="AR35" s="1184"/>
      <c r="AS35" s="188"/>
      <c r="AT35" s="191"/>
      <c r="AU35" s="636"/>
      <c r="AV35" s="1185" t="s">
        <v>980</v>
      </c>
      <c r="AW35" s="1184"/>
      <c r="AX35" s="188"/>
      <c r="AY35" s="544"/>
      <c r="AZ35" s="1185" t="s">
        <v>980</v>
      </c>
      <c r="BA35" s="1184"/>
      <c r="BB35" s="188"/>
      <c r="BC35" s="191"/>
      <c r="BD35" s="636"/>
      <c r="BE35" s="1185" t="s">
        <v>980</v>
      </c>
      <c r="BF35" s="1184"/>
      <c r="BG35" s="188"/>
      <c r="BH35" s="544"/>
      <c r="BI35" s="1185" t="s">
        <v>980</v>
      </c>
      <c r="BJ35" s="1184"/>
      <c r="BK35" s="188"/>
      <c r="BL35" s="191"/>
      <c r="BM35" s="636"/>
      <c r="BN35" s="1185" t="s">
        <v>980</v>
      </c>
      <c r="BO35" s="1184"/>
      <c r="BP35" s="188"/>
      <c r="BQ35" s="544"/>
      <c r="BR35" s="1185" t="s">
        <v>980</v>
      </c>
      <c r="BS35" s="1184"/>
      <c r="BT35" s="188"/>
      <c r="BU35" s="191"/>
      <c r="BV35" s="636"/>
      <c r="BW35" s="1185" t="s">
        <v>980</v>
      </c>
      <c r="BX35" s="1184"/>
      <c r="BY35" s="188"/>
      <c r="BZ35" s="544"/>
      <c r="CA35" s="1163" t="s">
        <v>980</v>
      </c>
      <c r="CB35" s="1164"/>
      <c r="CC35" s="188"/>
      <c r="CD35" s="191"/>
      <c r="CE35" s="552"/>
      <c r="CF35" s="2"/>
    </row>
    <row r="36">
      <c r="A36" s="2"/>
      <c r="B36" s="542"/>
      <c r="C36" s="1165" t="s">
        <v>981</v>
      </c>
      <c r="D36" s="1166">
        <v>1.0</v>
      </c>
      <c r="E36" s="1166">
        <v>2.0</v>
      </c>
      <c r="F36" s="1171">
        <v>3.0</v>
      </c>
      <c r="G36" s="1167" t="s">
        <v>982</v>
      </c>
      <c r="H36" s="210"/>
      <c r="I36" s="1168" t="str">
        <f>IF(D35=2,"W",IF(H35=2,"L",))</f>
        <v/>
      </c>
      <c r="J36" s="1169" t="str">
        <f>IF(H35=2,"W",IF(D35=2,"L",))</f>
        <v/>
      </c>
      <c r="K36" s="636"/>
      <c r="L36" s="1170" t="s">
        <v>981</v>
      </c>
      <c r="M36" s="1171">
        <v>1.0</v>
      </c>
      <c r="N36" s="1171">
        <v>2.0</v>
      </c>
      <c r="O36" s="1171">
        <v>3.0</v>
      </c>
      <c r="P36" s="1167" t="s">
        <v>982</v>
      </c>
      <c r="Q36" s="210"/>
      <c r="R36" s="1168" t="str">
        <f>IF(M35=2,"W",IF(Q35=2,"L",))</f>
        <v/>
      </c>
      <c r="S36" s="1169" t="str">
        <f>IF(Q35=2,"W",IF(M35=2,"L",))</f>
        <v/>
      </c>
      <c r="T36" s="636"/>
      <c r="U36" s="1170" t="s">
        <v>981</v>
      </c>
      <c r="V36" s="1166">
        <v>1.0</v>
      </c>
      <c r="W36" s="1166">
        <v>2.0</v>
      </c>
      <c r="X36" s="1166">
        <v>3.0</v>
      </c>
      <c r="Y36" s="1167" t="s">
        <v>982</v>
      </c>
      <c r="Z36" s="210"/>
      <c r="AA36" s="1168" t="str">
        <f>IF(V35=2,"W",IF(Z35=2,"L",))</f>
        <v/>
      </c>
      <c r="AB36" s="1169" t="str">
        <f>IF(Z35=2,"W",IF(V35=2,"L",))</f>
        <v/>
      </c>
      <c r="AC36" s="636"/>
      <c r="AD36" s="1170" t="s">
        <v>981</v>
      </c>
      <c r="AE36" s="1166">
        <v>1.0</v>
      </c>
      <c r="AF36" s="1166">
        <v>2.0</v>
      </c>
      <c r="AG36" s="1166">
        <v>3.0</v>
      </c>
      <c r="AH36" s="1167" t="s">
        <v>982</v>
      </c>
      <c r="AI36" s="210"/>
      <c r="AJ36" s="1168" t="str">
        <f>IF(AE35=2,"W",IF(AI35=2,"L",))</f>
        <v/>
      </c>
      <c r="AK36" s="1169" t="str">
        <f>IF(AI35=2,"W",IF(AE35=2,"L",))</f>
        <v/>
      </c>
      <c r="AL36" s="636"/>
      <c r="AM36" s="1170" t="s">
        <v>981</v>
      </c>
      <c r="AN36" s="1166">
        <v>1.0</v>
      </c>
      <c r="AO36" s="1166">
        <v>2.0</v>
      </c>
      <c r="AP36" s="1166">
        <v>3.0</v>
      </c>
      <c r="AQ36" s="1167" t="s">
        <v>982</v>
      </c>
      <c r="AR36" s="210"/>
      <c r="AS36" s="1168" t="str">
        <f>IF(AN35=2,"W",IF(AR35=2,"L",))</f>
        <v/>
      </c>
      <c r="AT36" s="1169" t="str">
        <f>IF(AR35=2,"W",IF(AN35=2,"L",))</f>
        <v/>
      </c>
      <c r="AU36" s="636"/>
      <c r="AV36" s="1170" t="s">
        <v>981</v>
      </c>
      <c r="AW36" s="1166">
        <v>1.0</v>
      </c>
      <c r="AX36" s="1166">
        <v>2.0</v>
      </c>
      <c r="AY36" s="1166">
        <v>3.0</v>
      </c>
      <c r="AZ36" s="1167" t="s">
        <v>982</v>
      </c>
      <c r="BA36" s="210"/>
      <c r="BB36" s="1168" t="str">
        <f>IF(AW35=2,"W",IF(BA35=2,"L",))</f>
        <v/>
      </c>
      <c r="BC36" s="1169" t="str">
        <f>IF(BA35=2,"W",IF(AW35=2,"L",))</f>
        <v/>
      </c>
      <c r="BD36" s="636"/>
      <c r="BE36" s="1170" t="s">
        <v>981</v>
      </c>
      <c r="BF36" s="1166">
        <v>1.0</v>
      </c>
      <c r="BG36" s="1166">
        <v>2.0</v>
      </c>
      <c r="BH36" s="1166">
        <v>3.0</v>
      </c>
      <c r="BI36" s="1167" t="s">
        <v>982</v>
      </c>
      <c r="BJ36" s="210"/>
      <c r="BK36" s="1168" t="str">
        <f>IF(BF35=2,"W",IF(BJ35=2,"L",))</f>
        <v/>
      </c>
      <c r="BL36" s="1169" t="str">
        <f>IF(BJ35=2,"W",IF(BF35=2,"L",))</f>
        <v/>
      </c>
      <c r="BM36" s="636"/>
      <c r="BN36" s="1170" t="s">
        <v>981</v>
      </c>
      <c r="BO36" s="1166">
        <v>1.0</v>
      </c>
      <c r="BP36" s="1166">
        <v>2.0</v>
      </c>
      <c r="BQ36" s="1166">
        <v>3.0</v>
      </c>
      <c r="BR36" s="1167" t="s">
        <v>982</v>
      </c>
      <c r="BS36" s="210"/>
      <c r="BT36" s="1168" t="str">
        <f>IF(BO35=2,"W",IF(BS35=2,"L",))</f>
        <v/>
      </c>
      <c r="BU36" s="1169" t="str">
        <f>IF(BS35=2,"W",IF(BO35=2,"L",))</f>
        <v/>
      </c>
      <c r="BV36" s="636"/>
      <c r="BW36" s="1170" t="s">
        <v>981</v>
      </c>
      <c r="BX36" s="1166">
        <v>1.0</v>
      </c>
      <c r="BY36" s="1166">
        <v>2.0</v>
      </c>
      <c r="BZ36" s="1171">
        <v>3.0</v>
      </c>
      <c r="CA36" s="1172" t="s">
        <v>982</v>
      </c>
      <c r="CB36" s="210"/>
      <c r="CC36" s="1173" t="str">
        <f>IF(BX35=2,"W",IF(CB35=2,"L",))</f>
        <v/>
      </c>
      <c r="CD36" s="1174" t="str">
        <f>IF(CB35=2,"W",IF(BX35=2,"L",))</f>
        <v/>
      </c>
      <c r="CE36" s="552"/>
      <c r="CF36" s="2"/>
    </row>
    <row r="37" ht="7.5" customHeight="1">
      <c r="A37" s="504"/>
      <c r="B37" s="514"/>
      <c r="C37" s="515"/>
      <c r="D37" s="562"/>
      <c r="E37" s="562"/>
      <c r="F37" s="562"/>
      <c r="G37" s="562"/>
      <c r="H37" s="562"/>
      <c r="I37" s="562"/>
      <c r="J37" s="562"/>
      <c r="K37" s="562"/>
      <c r="L37" s="562"/>
      <c r="M37" s="562"/>
      <c r="N37" s="562"/>
      <c r="O37" s="562"/>
      <c r="P37" s="562"/>
      <c r="Q37" s="562"/>
      <c r="R37" s="562"/>
      <c r="S37" s="562"/>
      <c r="T37" s="562"/>
      <c r="U37" s="562"/>
      <c r="V37" s="562"/>
      <c r="W37" s="562"/>
      <c r="X37" s="562"/>
      <c r="Y37" s="562"/>
      <c r="Z37" s="562"/>
      <c r="AA37" s="562"/>
      <c r="AB37" s="562"/>
      <c r="AC37" s="562"/>
      <c r="AD37" s="562"/>
      <c r="AE37" s="562"/>
      <c r="AF37" s="562"/>
      <c r="AG37" s="562"/>
      <c r="AH37" s="562"/>
      <c r="AI37" s="562"/>
      <c r="AJ37" s="562"/>
      <c r="AK37" s="562"/>
      <c r="AL37" s="562"/>
      <c r="AM37" s="562"/>
      <c r="AN37" s="562"/>
      <c r="AO37" s="562"/>
      <c r="AP37" s="562"/>
      <c r="AQ37" s="562"/>
      <c r="AR37" s="562"/>
      <c r="AS37" s="562"/>
      <c r="AT37" s="562"/>
      <c r="AU37" s="562"/>
      <c r="AV37" s="562"/>
      <c r="AW37" s="562"/>
      <c r="AX37" s="562"/>
      <c r="AY37" s="562"/>
      <c r="AZ37" s="562"/>
      <c r="BA37" s="562"/>
      <c r="BB37" s="562"/>
      <c r="BC37" s="562"/>
      <c r="BD37" s="562"/>
      <c r="BE37" s="562"/>
      <c r="BF37" s="562"/>
      <c r="BG37" s="562"/>
      <c r="BH37" s="562"/>
      <c r="BI37" s="562"/>
      <c r="BJ37" s="562"/>
      <c r="BK37" s="562"/>
      <c r="BL37" s="562"/>
      <c r="BM37" s="562"/>
      <c r="BN37" s="562"/>
      <c r="BO37" s="562"/>
      <c r="BP37" s="562"/>
      <c r="BQ37" s="562"/>
      <c r="BR37" s="562"/>
      <c r="BS37" s="562"/>
      <c r="BT37" s="562"/>
      <c r="BU37" s="562"/>
      <c r="BV37" s="562"/>
      <c r="BW37" s="562"/>
      <c r="BX37" s="562"/>
      <c r="BY37" s="562"/>
      <c r="BZ37" s="562"/>
      <c r="CA37" s="515"/>
      <c r="CB37" s="515"/>
      <c r="CC37" s="515"/>
      <c r="CD37" s="515"/>
      <c r="CE37" s="516"/>
      <c r="CF37" s="504"/>
    </row>
    <row r="38">
      <c r="A38" s="504"/>
      <c r="B38" s="514"/>
      <c r="C38" s="517" t="str">
        <f>#REF!</f>
        <v>#REF!</v>
      </c>
      <c r="D38" s="564" t="s">
        <v>76</v>
      </c>
      <c r="E38" s="565" t="s">
        <v>77</v>
      </c>
      <c r="F38" s="565" t="s">
        <v>78</v>
      </c>
      <c r="G38" s="566" t="str">
        <f>#REF!</f>
        <v>#REF!</v>
      </c>
      <c r="H38" s="567" t="s">
        <v>76</v>
      </c>
      <c r="I38" s="568" t="s">
        <v>77</v>
      </c>
      <c r="J38" s="569" t="s">
        <v>78</v>
      </c>
      <c r="K38" s="562"/>
      <c r="L38" s="656" t="str">
        <f>#REF!</f>
        <v>#REF!</v>
      </c>
      <c r="M38" s="564" t="s">
        <v>76</v>
      </c>
      <c r="N38" s="565" t="s">
        <v>77</v>
      </c>
      <c r="O38" s="565" t="s">
        <v>78</v>
      </c>
      <c r="P38" s="566" t="str">
        <f>#REF!</f>
        <v>#REF!</v>
      </c>
      <c r="Q38" s="567" t="s">
        <v>76</v>
      </c>
      <c r="R38" s="568" t="s">
        <v>77</v>
      </c>
      <c r="S38" s="569" t="s">
        <v>78</v>
      </c>
      <c r="T38" s="562"/>
      <c r="U38" s="656" t="str">
        <f>#REF!</f>
        <v>#REF!</v>
      </c>
      <c r="V38" s="564" t="s">
        <v>76</v>
      </c>
      <c r="W38" s="565" t="s">
        <v>77</v>
      </c>
      <c r="X38" s="565" t="s">
        <v>78</v>
      </c>
      <c r="Y38" s="566" t="str">
        <f>#REF!</f>
        <v>#REF!</v>
      </c>
      <c r="Z38" s="567" t="s">
        <v>76</v>
      </c>
      <c r="AA38" s="568" t="s">
        <v>77</v>
      </c>
      <c r="AB38" s="569" t="s">
        <v>78</v>
      </c>
      <c r="AC38" s="562"/>
      <c r="AD38" s="656" t="str">
        <f>#REF!</f>
        <v>#REF!</v>
      </c>
      <c r="AE38" s="564" t="s">
        <v>76</v>
      </c>
      <c r="AF38" s="565" t="s">
        <v>77</v>
      </c>
      <c r="AG38" s="565" t="s">
        <v>78</v>
      </c>
      <c r="AH38" s="566" t="str">
        <f>#REF!</f>
        <v>#REF!</v>
      </c>
      <c r="AI38" s="567" t="s">
        <v>76</v>
      </c>
      <c r="AJ38" s="568" t="s">
        <v>77</v>
      </c>
      <c r="AK38" s="569" t="s">
        <v>78</v>
      </c>
      <c r="AL38" s="562"/>
      <c r="AM38" s="656" t="str">
        <f>#REF!</f>
        <v>#REF!</v>
      </c>
      <c r="AN38" s="564" t="s">
        <v>76</v>
      </c>
      <c r="AO38" s="565" t="s">
        <v>77</v>
      </c>
      <c r="AP38" s="565" t="s">
        <v>78</v>
      </c>
      <c r="AQ38" s="566" t="str">
        <f>#REF!</f>
        <v>#REF!</v>
      </c>
      <c r="AR38" s="567" t="s">
        <v>76</v>
      </c>
      <c r="AS38" s="568" t="s">
        <v>77</v>
      </c>
      <c r="AT38" s="569" t="s">
        <v>78</v>
      </c>
      <c r="AU38" s="562"/>
      <c r="AV38" s="656" t="str">
        <f>#REF!</f>
        <v>#REF!</v>
      </c>
      <c r="AW38" s="564" t="s">
        <v>76</v>
      </c>
      <c r="AX38" s="565" t="s">
        <v>77</v>
      </c>
      <c r="AY38" s="565" t="s">
        <v>78</v>
      </c>
      <c r="AZ38" s="566" t="str">
        <f>#REF!</f>
        <v>#REF!</v>
      </c>
      <c r="BA38" s="567" t="s">
        <v>76</v>
      </c>
      <c r="BB38" s="568" t="s">
        <v>77</v>
      </c>
      <c r="BC38" s="569" t="s">
        <v>78</v>
      </c>
      <c r="BD38" s="562"/>
      <c r="BE38" s="656" t="str">
        <f>#REF!</f>
        <v>#REF!</v>
      </c>
      <c r="BF38" s="564" t="s">
        <v>76</v>
      </c>
      <c r="BG38" s="565" t="s">
        <v>77</v>
      </c>
      <c r="BH38" s="565" t="s">
        <v>78</v>
      </c>
      <c r="BI38" s="566" t="str">
        <f>#REF!</f>
        <v>#REF!</v>
      </c>
      <c r="BJ38" s="567" t="s">
        <v>76</v>
      </c>
      <c r="BK38" s="568" t="s">
        <v>77</v>
      </c>
      <c r="BL38" s="569" t="s">
        <v>78</v>
      </c>
      <c r="BM38" s="562"/>
      <c r="BN38" s="656" t="str">
        <f>#REF!</f>
        <v>#REF!</v>
      </c>
      <c r="BO38" s="564" t="s">
        <v>76</v>
      </c>
      <c r="BP38" s="565" t="s">
        <v>77</v>
      </c>
      <c r="BQ38" s="565" t="s">
        <v>78</v>
      </c>
      <c r="BR38" s="566" t="str">
        <f>#REF!</f>
        <v>#REF!</v>
      </c>
      <c r="BS38" s="567" t="s">
        <v>76</v>
      </c>
      <c r="BT38" s="568" t="s">
        <v>77</v>
      </c>
      <c r="BU38" s="569" t="s">
        <v>78</v>
      </c>
      <c r="BV38" s="562"/>
      <c r="BW38" s="656" t="str">
        <f>#REF!</f>
        <v>#REF!</v>
      </c>
      <c r="BX38" s="564" t="s">
        <v>76</v>
      </c>
      <c r="BY38" s="565" t="s">
        <v>77</v>
      </c>
      <c r="BZ38" s="565" t="s">
        <v>78</v>
      </c>
      <c r="CA38" s="521" t="str">
        <f>#REF!</f>
        <v>#REF!</v>
      </c>
      <c r="CB38" s="522" t="s">
        <v>76</v>
      </c>
      <c r="CC38" s="523" t="s">
        <v>77</v>
      </c>
      <c r="CD38" s="524" t="s">
        <v>78</v>
      </c>
      <c r="CE38" s="516"/>
      <c r="CF38" s="504"/>
    </row>
    <row r="39">
      <c r="A39" s="504"/>
      <c r="B39" s="514"/>
      <c r="C39" s="1149"/>
      <c r="D39" s="1175"/>
      <c r="E39" s="1175"/>
      <c r="F39" s="1176">
        <f t="shared" ref="F39:F44" si="55">D39-E39</f>
        <v>0</v>
      </c>
      <c r="G39" s="1177"/>
      <c r="H39" s="1175"/>
      <c r="I39" s="1175"/>
      <c r="J39" s="1176">
        <f t="shared" ref="J39:J44" si="56">H39-I39</f>
        <v>0</v>
      </c>
      <c r="K39" s="562"/>
      <c r="L39" s="1177"/>
      <c r="M39" s="1175"/>
      <c r="N39" s="1175"/>
      <c r="O39" s="1176">
        <f t="shared" ref="O39:O44" si="57">M39-N39</f>
        <v>0</v>
      </c>
      <c r="P39" s="1177"/>
      <c r="Q39" s="1175"/>
      <c r="R39" s="1175"/>
      <c r="S39" s="1176">
        <f t="shared" ref="S39:S44" si="58">Q39-R39</f>
        <v>0</v>
      </c>
      <c r="T39" s="562"/>
      <c r="U39" s="1177"/>
      <c r="V39" s="1175"/>
      <c r="W39" s="1175"/>
      <c r="X39" s="1176">
        <f t="shared" ref="X39:X44" si="59">V39-W39</f>
        <v>0</v>
      </c>
      <c r="Y39" s="1177"/>
      <c r="Z39" s="1175"/>
      <c r="AA39" s="1175"/>
      <c r="AB39" s="1176">
        <f t="shared" ref="AB39:AB44" si="60">Z39-AA39</f>
        <v>0</v>
      </c>
      <c r="AC39" s="562"/>
      <c r="AD39" s="1177"/>
      <c r="AE39" s="1175"/>
      <c r="AF39" s="1175"/>
      <c r="AG39" s="1176">
        <f t="shared" ref="AG39:AG44" si="61">AE39-AF39</f>
        <v>0</v>
      </c>
      <c r="AH39" s="1177"/>
      <c r="AI39" s="1175"/>
      <c r="AJ39" s="1175"/>
      <c r="AK39" s="1176">
        <f t="shared" ref="AK39:AK44" si="62">AI39-AJ39</f>
        <v>0</v>
      </c>
      <c r="AL39" s="562"/>
      <c r="AM39" s="1177"/>
      <c r="AN39" s="1175"/>
      <c r="AO39" s="1175"/>
      <c r="AP39" s="1176">
        <f t="shared" ref="AP39:AP44" si="63">AN39-AO39</f>
        <v>0</v>
      </c>
      <c r="AQ39" s="1177"/>
      <c r="AR39" s="1175"/>
      <c r="AS39" s="1175"/>
      <c r="AT39" s="1176">
        <f t="shared" ref="AT39:AT44" si="64">AR39-AS39</f>
        <v>0</v>
      </c>
      <c r="AU39" s="562"/>
      <c r="AV39" s="1177"/>
      <c r="AW39" s="1175"/>
      <c r="AX39" s="1175"/>
      <c r="AY39" s="1176">
        <f t="shared" ref="AY39:AY44" si="65">AW39-AX39</f>
        <v>0</v>
      </c>
      <c r="AZ39" s="1177"/>
      <c r="BA39" s="1175"/>
      <c r="BB39" s="1175"/>
      <c r="BC39" s="1176">
        <f t="shared" ref="BC39:BC44" si="66">BA39-BB39</f>
        <v>0</v>
      </c>
      <c r="BD39" s="562"/>
      <c r="BE39" s="1177"/>
      <c r="BF39" s="1175"/>
      <c r="BG39" s="1175"/>
      <c r="BH39" s="1176">
        <f t="shared" ref="BH39:BH44" si="67">SUM(BF39-BG39)</f>
        <v>0</v>
      </c>
      <c r="BI39" s="1177"/>
      <c r="BJ39" s="1175"/>
      <c r="BK39" s="1175"/>
      <c r="BL39" s="1176">
        <f t="shared" ref="BL39:BL44" si="68">SUM(BJ39-BK39)</f>
        <v>0</v>
      </c>
      <c r="BM39" s="562"/>
      <c r="BN39" s="1177"/>
      <c r="BO39" s="1175"/>
      <c r="BP39" s="1175"/>
      <c r="BQ39" s="1176">
        <f t="shared" ref="BQ39:BQ44" si="69">BO39-BP39</f>
        <v>0</v>
      </c>
      <c r="BR39" s="1177"/>
      <c r="BS39" s="1175"/>
      <c r="BT39" s="1175"/>
      <c r="BU39" s="1176">
        <f t="shared" ref="BU39:BU44" si="70">BS39-BT39</f>
        <v>0</v>
      </c>
      <c r="BV39" s="562"/>
      <c r="BW39" s="1177"/>
      <c r="BX39" s="1175"/>
      <c r="BY39" s="1175"/>
      <c r="BZ39" s="1176">
        <f t="shared" ref="BZ39:BZ44" si="71">BX39-BY39</f>
        <v>0</v>
      </c>
      <c r="CA39" s="1149"/>
      <c r="CB39" s="1150"/>
      <c r="CC39" s="1150"/>
      <c r="CD39" s="1151">
        <f t="shared" ref="CD39:CD44" si="72">CB39-CC39</f>
        <v>0</v>
      </c>
      <c r="CE39" s="516"/>
      <c r="CF39" s="504"/>
    </row>
    <row r="40">
      <c r="A40" s="504"/>
      <c r="B40" s="514"/>
      <c r="C40" s="1154"/>
      <c r="D40" s="1178"/>
      <c r="E40" s="1178"/>
      <c r="F40" s="1176">
        <f t="shared" si="55"/>
        <v>0</v>
      </c>
      <c r="G40" s="1179"/>
      <c r="H40" s="1178"/>
      <c r="I40" s="1178"/>
      <c r="J40" s="1176">
        <f t="shared" si="56"/>
        <v>0</v>
      </c>
      <c r="K40" s="562"/>
      <c r="L40" s="1179"/>
      <c r="M40" s="1178"/>
      <c r="N40" s="1178"/>
      <c r="O40" s="1176">
        <f t="shared" si="57"/>
        <v>0</v>
      </c>
      <c r="P40" s="1179"/>
      <c r="Q40" s="1178"/>
      <c r="R40" s="1178"/>
      <c r="S40" s="1176">
        <f t="shared" si="58"/>
        <v>0</v>
      </c>
      <c r="T40" s="562"/>
      <c r="U40" s="1179"/>
      <c r="V40" s="1178"/>
      <c r="W40" s="1178"/>
      <c r="X40" s="1176">
        <f t="shared" si="59"/>
        <v>0</v>
      </c>
      <c r="Y40" s="1179"/>
      <c r="Z40" s="1178"/>
      <c r="AA40" s="1178"/>
      <c r="AB40" s="1176">
        <f t="shared" si="60"/>
        <v>0</v>
      </c>
      <c r="AC40" s="562"/>
      <c r="AD40" s="1179"/>
      <c r="AE40" s="1178"/>
      <c r="AF40" s="1178"/>
      <c r="AG40" s="1176">
        <f t="shared" si="61"/>
        <v>0</v>
      </c>
      <c r="AH40" s="1179"/>
      <c r="AI40" s="1178"/>
      <c r="AJ40" s="1178"/>
      <c r="AK40" s="1176">
        <f t="shared" si="62"/>
        <v>0</v>
      </c>
      <c r="AL40" s="562"/>
      <c r="AM40" s="1179"/>
      <c r="AN40" s="1178"/>
      <c r="AO40" s="1178"/>
      <c r="AP40" s="1176">
        <f t="shared" si="63"/>
        <v>0</v>
      </c>
      <c r="AQ40" s="1179"/>
      <c r="AR40" s="1178"/>
      <c r="AS40" s="1178"/>
      <c r="AT40" s="1176">
        <f t="shared" si="64"/>
        <v>0</v>
      </c>
      <c r="AU40" s="562"/>
      <c r="AV40" s="1179"/>
      <c r="AW40" s="1178"/>
      <c r="AX40" s="1178"/>
      <c r="AY40" s="1176">
        <f t="shared" si="65"/>
        <v>0</v>
      </c>
      <c r="AZ40" s="1179"/>
      <c r="BA40" s="1178"/>
      <c r="BB40" s="1178"/>
      <c r="BC40" s="1176">
        <f t="shared" si="66"/>
        <v>0</v>
      </c>
      <c r="BD40" s="562"/>
      <c r="BE40" s="1179"/>
      <c r="BF40" s="1178"/>
      <c r="BG40" s="1178"/>
      <c r="BH40" s="1176">
        <f t="shared" si="67"/>
        <v>0</v>
      </c>
      <c r="BI40" s="1179"/>
      <c r="BJ40" s="1178"/>
      <c r="BK40" s="1178"/>
      <c r="BL40" s="1176">
        <f t="shared" si="68"/>
        <v>0</v>
      </c>
      <c r="BM40" s="562"/>
      <c r="BN40" s="1179"/>
      <c r="BO40" s="1178"/>
      <c r="BP40" s="1178"/>
      <c r="BQ40" s="1176">
        <f t="shared" si="69"/>
        <v>0</v>
      </c>
      <c r="BR40" s="1179"/>
      <c r="BS40" s="1178"/>
      <c r="BT40" s="1178"/>
      <c r="BU40" s="1176">
        <f t="shared" si="70"/>
        <v>0</v>
      </c>
      <c r="BV40" s="562"/>
      <c r="BW40" s="1179"/>
      <c r="BX40" s="1178"/>
      <c r="BY40" s="1178"/>
      <c r="BZ40" s="1176">
        <f t="shared" si="71"/>
        <v>0</v>
      </c>
      <c r="CA40" s="1154"/>
      <c r="CB40" s="1155"/>
      <c r="CC40" s="1155"/>
      <c r="CD40" s="1151">
        <f t="shared" si="72"/>
        <v>0</v>
      </c>
      <c r="CE40" s="516"/>
      <c r="CF40" s="504"/>
    </row>
    <row r="41">
      <c r="A41" s="504"/>
      <c r="B41" s="514"/>
      <c r="C41" s="1154"/>
      <c r="D41" s="1178"/>
      <c r="E41" s="1178"/>
      <c r="F41" s="1176">
        <f t="shared" si="55"/>
        <v>0</v>
      </c>
      <c r="G41" s="1179"/>
      <c r="H41" s="1178"/>
      <c r="I41" s="1178"/>
      <c r="J41" s="1176">
        <f t="shared" si="56"/>
        <v>0</v>
      </c>
      <c r="K41" s="562"/>
      <c r="L41" s="1179"/>
      <c r="M41" s="1178"/>
      <c r="N41" s="1178"/>
      <c r="O41" s="1176">
        <f t="shared" si="57"/>
        <v>0</v>
      </c>
      <c r="P41" s="1179"/>
      <c r="Q41" s="1178"/>
      <c r="R41" s="1178"/>
      <c r="S41" s="1176">
        <f t="shared" si="58"/>
        <v>0</v>
      </c>
      <c r="T41" s="562"/>
      <c r="U41" s="1179"/>
      <c r="V41" s="1178"/>
      <c r="W41" s="1178"/>
      <c r="X41" s="1176">
        <f t="shared" si="59"/>
        <v>0</v>
      </c>
      <c r="Y41" s="1179"/>
      <c r="Z41" s="1178"/>
      <c r="AA41" s="1178"/>
      <c r="AB41" s="1176">
        <f t="shared" si="60"/>
        <v>0</v>
      </c>
      <c r="AC41" s="562"/>
      <c r="AD41" s="1179"/>
      <c r="AE41" s="1178"/>
      <c r="AF41" s="1178"/>
      <c r="AG41" s="1176">
        <f t="shared" si="61"/>
        <v>0</v>
      </c>
      <c r="AH41" s="1179"/>
      <c r="AI41" s="1178"/>
      <c r="AJ41" s="1178"/>
      <c r="AK41" s="1176">
        <f t="shared" si="62"/>
        <v>0</v>
      </c>
      <c r="AL41" s="562"/>
      <c r="AM41" s="1179"/>
      <c r="AN41" s="1178"/>
      <c r="AO41" s="1178"/>
      <c r="AP41" s="1176">
        <f t="shared" si="63"/>
        <v>0</v>
      </c>
      <c r="AQ41" s="1179"/>
      <c r="AR41" s="1178"/>
      <c r="AS41" s="1178"/>
      <c r="AT41" s="1176">
        <f t="shared" si="64"/>
        <v>0</v>
      </c>
      <c r="AU41" s="562"/>
      <c r="AV41" s="1179"/>
      <c r="AW41" s="1178"/>
      <c r="AX41" s="1178"/>
      <c r="AY41" s="1176">
        <f t="shared" si="65"/>
        <v>0</v>
      </c>
      <c r="AZ41" s="1179"/>
      <c r="BA41" s="1178"/>
      <c r="BB41" s="1178"/>
      <c r="BC41" s="1176">
        <f t="shared" si="66"/>
        <v>0</v>
      </c>
      <c r="BD41" s="562"/>
      <c r="BE41" s="1179"/>
      <c r="BF41" s="1178"/>
      <c r="BG41" s="1178"/>
      <c r="BH41" s="1176">
        <f t="shared" si="67"/>
        <v>0</v>
      </c>
      <c r="BI41" s="1179"/>
      <c r="BJ41" s="1178"/>
      <c r="BK41" s="1178"/>
      <c r="BL41" s="1176">
        <f t="shared" si="68"/>
        <v>0</v>
      </c>
      <c r="BM41" s="562"/>
      <c r="BN41" s="1179"/>
      <c r="BO41" s="1178"/>
      <c r="BP41" s="1178"/>
      <c r="BQ41" s="1176">
        <f t="shared" si="69"/>
        <v>0</v>
      </c>
      <c r="BR41" s="1179"/>
      <c r="BS41" s="1178"/>
      <c r="BT41" s="1178"/>
      <c r="BU41" s="1176">
        <f t="shared" si="70"/>
        <v>0</v>
      </c>
      <c r="BV41" s="562"/>
      <c r="BW41" s="1179"/>
      <c r="BX41" s="1178"/>
      <c r="BY41" s="1178"/>
      <c r="BZ41" s="1176">
        <f t="shared" si="71"/>
        <v>0</v>
      </c>
      <c r="CA41" s="1154"/>
      <c r="CB41" s="1155"/>
      <c r="CC41" s="1155"/>
      <c r="CD41" s="1151">
        <f t="shared" si="72"/>
        <v>0</v>
      </c>
      <c r="CE41" s="516"/>
      <c r="CF41" s="504"/>
    </row>
    <row r="42">
      <c r="A42" s="504"/>
      <c r="B42" s="514"/>
      <c r="C42" s="1154"/>
      <c r="D42" s="1178"/>
      <c r="E42" s="1178"/>
      <c r="F42" s="1176">
        <f t="shared" si="55"/>
        <v>0</v>
      </c>
      <c r="G42" s="1179"/>
      <c r="H42" s="1178"/>
      <c r="I42" s="1178"/>
      <c r="J42" s="1176">
        <f t="shared" si="56"/>
        <v>0</v>
      </c>
      <c r="K42" s="562"/>
      <c r="L42" s="1179"/>
      <c r="M42" s="1178"/>
      <c r="N42" s="1178"/>
      <c r="O42" s="1176">
        <f t="shared" si="57"/>
        <v>0</v>
      </c>
      <c r="P42" s="1179"/>
      <c r="Q42" s="1178"/>
      <c r="R42" s="1178"/>
      <c r="S42" s="1176">
        <f t="shared" si="58"/>
        <v>0</v>
      </c>
      <c r="T42" s="562"/>
      <c r="U42" s="1179"/>
      <c r="V42" s="1178"/>
      <c r="W42" s="1178"/>
      <c r="X42" s="1176">
        <f t="shared" si="59"/>
        <v>0</v>
      </c>
      <c r="Y42" s="1179"/>
      <c r="Z42" s="1178"/>
      <c r="AA42" s="1178"/>
      <c r="AB42" s="1176">
        <f t="shared" si="60"/>
        <v>0</v>
      </c>
      <c r="AC42" s="562"/>
      <c r="AD42" s="1179"/>
      <c r="AE42" s="1178"/>
      <c r="AF42" s="1178"/>
      <c r="AG42" s="1176">
        <f t="shared" si="61"/>
        <v>0</v>
      </c>
      <c r="AH42" s="1179"/>
      <c r="AI42" s="1178"/>
      <c r="AJ42" s="1178"/>
      <c r="AK42" s="1176">
        <f t="shared" si="62"/>
        <v>0</v>
      </c>
      <c r="AL42" s="562"/>
      <c r="AM42" s="1179"/>
      <c r="AN42" s="1178"/>
      <c r="AO42" s="1178"/>
      <c r="AP42" s="1176">
        <f t="shared" si="63"/>
        <v>0</v>
      </c>
      <c r="AQ42" s="1179"/>
      <c r="AR42" s="1178"/>
      <c r="AS42" s="1178"/>
      <c r="AT42" s="1176">
        <f t="shared" si="64"/>
        <v>0</v>
      </c>
      <c r="AU42" s="562"/>
      <c r="AV42" s="1179"/>
      <c r="AW42" s="1178"/>
      <c r="AX42" s="1178"/>
      <c r="AY42" s="1176">
        <f t="shared" si="65"/>
        <v>0</v>
      </c>
      <c r="AZ42" s="1179"/>
      <c r="BA42" s="1178"/>
      <c r="BB42" s="1178"/>
      <c r="BC42" s="1176">
        <f t="shared" si="66"/>
        <v>0</v>
      </c>
      <c r="BD42" s="562"/>
      <c r="BE42" s="1179"/>
      <c r="BF42" s="1178"/>
      <c r="BG42" s="1178"/>
      <c r="BH42" s="1176">
        <f t="shared" si="67"/>
        <v>0</v>
      </c>
      <c r="BI42" s="1179"/>
      <c r="BJ42" s="1178"/>
      <c r="BK42" s="1178"/>
      <c r="BL42" s="1176">
        <f t="shared" si="68"/>
        <v>0</v>
      </c>
      <c r="BM42" s="562"/>
      <c r="BN42" s="1179"/>
      <c r="BO42" s="1178"/>
      <c r="BP42" s="1178"/>
      <c r="BQ42" s="1176">
        <f t="shared" si="69"/>
        <v>0</v>
      </c>
      <c r="BR42" s="1179"/>
      <c r="BS42" s="1178"/>
      <c r="BT42" s="1178"/>
      <c r="BU42" s="1176">
        <f t="shared" si="70"/>
        <v>0</v>
      </c>
      <c r="BV42" s="562"/>
      <c r="BW42" s="1179"/>
      <c r="BX42" s="1178"/>
      <c r="BY42" s="1178"/>
      <c r="BZ42" s="1176">
        <f t="shared" si="71"/>
        <v>0</v>
      </c>
      <c r="CA42" s="1154"/>
      <c r="CB42" s="1155"/>
      <c r="CC42" s="1155"/>
      <c r="CD42" s="1151">
        <f t="shared" si="72"/>
        <v>0</v>
      </c>
      <c r="CE42" s="516"/>
      <c r="CF42" s="504"/>
    </row>
    <row r="43">
      <c r="A43" s="504"/>
      <c r="B43" s="514"/>
      <c r="C43" s="1154"/>
      <c r="D43" s="1178"/>
      <c r="E43" s="1178"/>
      <c r="F43" s="1176">
        <f t="shared" si="55"/>
        <v>0</v>
      </c>
      <c r="G43" s="1179"/>
      <c r="H43" s="1178"/>
      <c r="I43" s="1178"/>
      <c r="J43" s="1176">
        <f t="shared" si="56"/>
        <v>0</v>
      </c>
      <c r="K43" s="562"/>
      <c r="L43" s="1179"/>
      <c r="M43" s="1178"/>
      <c r="N43" s="1178"/>
      <c r="O43" s="1176">
        <f t="shared" si="57"/>
        <v>0</v>
      </c>
      <c r="P43" s="1179"/>
      <c r="Q43" s="1178"/>
      <c r="R43" s="1178"/>
      <c r="S43" s="1176">
        <f t="shared" si="58"/>
        <v>0</v>
      </c>
      <c r="T43" s="562"/>
      <c r="U43" s="1179"/>
      <c r="V43" s="1178"/>
      <c r="W43" s="1178"/>
      <c r="X43" s="1176">
        <f t="shared" si="59"/>
        <v>0</v>
      </c>
      <c r="Y43" s="1179"/>
      <c r="Z43" s="1178"/>
      <c r="AA43" s="1178"/>
      <c r="AB43" s="1176">
        <f t="shared" si="60"/>
        <v>0</v>
      </c>
      <c r="AC43" s="562"/>
      <c r="AD43" s="1179"/>
      <c r="AE43" s="1178"/>
      <c r="AF43" s="1178"/>
      <c r="AG43" s="1176">
        <f t="shared" si="61"/>
        <v>0</v>
      </c>
      <c r="AH43" s="1179"/>
      <c r="AI43" s="1178"/>
      <c r="AJ43" s="1178"/>
      <c r="AK43" s="1176">
        <f t="shared" si="62"/>
        <v>0</v>
      </c>
      <c r="AL43" s="562"/>
      <c r="AM43" s="1179"/>
      <c r="AN43" s="1178"/>
      <c r="AO43" s="1178"/>
      <c r="AP43" s="1176">
        <f t="shared" si="63"/>
        <v>0</v>
      </c>
      <c r="AQ43" s="1179"/>
      <c r="AR43" s="1178"/>
      <c r="AS43" s="1178"/>
      <c r="AT43" s="1176">
        <f t="shared" si="64"/>
        <v>0</v>
      </c>
      <c r="AU43" s="562"/>
      <c r="AV43" s="1179"/>
      <c r="AW43" s="1178"/>
      <c r="AX43" s="1178"/>
      <c r="AY43" s="1176">
        <f t="shared" si="65"/>
        <v>0</v>
      </c>
      <c r="AZ43" s="1179"/>
      <c r="BA43" s="1178"/>
      <c r="BB43" s="1178"/>
      <c r="BC43" s="1176">
        <f t="shared" si="66"/>
        <v>0</v>
      </c>
      <c r="BD43" s="562"/>
      <c r="BE43" s="1179"/>
      <c r="BF43" s="1178"/>
      <c r="BG43" s="1178"/>
      <c r="BH43" s="1176">
        <f t="shared" si="67"/>
        <v>0</v>
      </c>
      <c r="BI43" s="1179"/>
      <c r="BJ43" s="1178"/>
      <c r="BK43" s="1178"/>
      <c r="BL43" s="1176">
        <f t="shared" si="68"/>
        <v>0</v>
      </c>
      <c r="BM43" s="562"/>
      <c r="BN43" s="1179"/>
      <c r="BO43" s="1178"/>
      <c r="BP43" s="1178"/>
      <c r="BQ43" s="1176">
        <f t="shared" si="69"/>
        <v>0</v>
      </c>
      <c r="BR43" s="1179"/>
      <c r="BS43" s="1178"/>
      <c r="BT43" s="1178"/>
      <c r="BU43" s="1176">
        <f t="shared" si="70"/>
        <v>0</v>
      </c>
      <c r="BV43" s="562"/>
      <c r="BW43" s="1179"/>
      <c r="BX43" s="1178"/>
      <c r="BY43" s="1178"/>
      <c r="BZ43" s="1176">
        <f t="shared" si="71"/>
        <v>0</v>
      </c>
      <c r="CA43" s="1154"/>
      <c r="CB43" s="1155"/>
      <c r="CC43" s="1155"/>
      <c r="CD43" s="1151">
        <f t="shared" si="72"/>
        <v>0</v>
      </c>
      <c r="CE43" s="516"/>
      <c r="CF43" s="504"/>
    </row>
    <row r="44">
      <c r="A44" s="504"/>
      <c r="B44" s="514"/>
      <c r="C44" s="1159"/>
      <c r="D44" s="1181"/>
      <c r="E44" s="1181"/>
      <c r="F44" s="1176">
        <f t="shared" si="55"/>
        <v>0</v>
      </c>
      <c r="G44" s="1182"/>
      <c r="H44" s="1181"/>
      <c r="I44" s="1181"/>
      <c r="J44" s="1176">
        <f t="shared" si="56"/>
        <v>0</v>
      </c>
      <c r="K44" s="562"/>
      <c r="L44" s="1182"/>
      <c r="M44" s="1181"/>
      <c r="N44" s="1181"/>
      <c r="O44" s="1176">
        <f t="shared" si="57"/>
        <v>0</v>
      </c>
      <c r="P44" s="1182"/>
      <c r="Q44" s="1181"/>
      <c r="R44" s="1181"/>
      <c r="S44" s="1176">
        <f t="shared" si="58"/>
        <v>0</v>
      </c>
      <c r="T44" s="562"/>
      <c r="U44" s="1182"/>
      <c r="V44" s="1181"/>
      <c r="W44" s="1181"/>
      <c r="X44" s="1176">
        <f t="shared" si="59"/>
        <v>0</v>
      </c>
      <c r="Y44" s="1182"/>
      <c r="Z44" s="1181"/>
      <c r="AA44" s="1181"/>
      <c r="AB44" s="1176">
        <f t="shared" si="60"/>
        <v>0</v>
      </c>
      <c r="AC44" s="562"/>
      <c r="AD44" s="1182"/>
      <c r="AE44" s="1181"/>
      <c r="AF44" s="1181"/>
      <c r="AG44" s="1176">
        <f t="shared" si="61"/>
        <v>0</v>
      </c>
      <c r="AH44" s="1182"/>
      <c r="AI44" s="1181"/>
      <c r="AJ44" s="1181"/>
      <c r="AK44" s="1176">
        <f t="shared" si="62"/>
        <v>0</v>
      </c>
      <c r="AL44" s="562"/>
      <c r="AM44" s="1182"/>
      <c r="AN44" s="1181"/>
      <c r="AO44" s="1181"/>
      <c r="AP44" s="1176">
        <f t="shared" si="63"/>
        <v>0</v>
      </c>
      <c r="AQ44" s="1182"/>
      <c r="AR44" s="1181"/>
      <c r="AS44" s="1181"/>
      <c r="AT44" s="1176">
        <f t="shared" si="64"/>
        <v>0</v>
      </c>
      <c r="AU44" s="562"/>
      <c r="AV44" s="1182"/>
      <c r="AW44" s="1181"/>
      <c r="AX44" s="1181"/>
      <c r="AY44" s="1176">
        <f t="shared" si="65"/>
        <v>0</v>
      </c>
      <c r="AZ44" s="1182"/>
      <c r="BA44" s="1181"/>
      <c r="BB44" s="1181"/>
      <c r="BC44" s="1176">
        <f t="shared" si="66"/>
        <v>0</v>
      </c>
      <c r="BD44" s="562"/>
      <c r="BE44" s="1182"/>
      <c r="BF44" s="1181"/>
      <c r="BG44" s="1181"/>
      <c r="BH44" s="1176">
        <f t="shared" si="67"/>
        <v>0</v>
      </c>
      <c r="BI44" s="1182"/>
      <c r="BJ44" s="1181"/>
      <c r="BK44" s="1181"/>
      <c r="BL44" s="1176">
        <f t="shared" si="68"/>
        <v>0</v>
      </c>
      <c r="BM44" s="562"/>
      <c r="BN44" s="1182"/>
      <c r="BO44" s="1181"/>
      <c r="BP44" s="1181"/>
      <c r="BQ44" s="1176">
        <f t="shared" si="69"/>
        <v>0</v>
      </c>
      <c r="BR44" s="1182"/>
      <c r="BS44" s="1181"/>
      <c r="BT44" s="1181"/>
      <c r="BU44" s="1176">
        <f t="shared" si="70"/>
        <v>0</v>
      </c>
      <c r="BV44" s="562"/>
      <c r="BW44" s="1182"/>
      <c r="BX44" s="1181"/>
      <c r="BY44" s="1181"/>
      <c r="BZ44" s="1176">
        <f t="shared" si="71"/>
        <v>0</v>
      </c>
      <c r="CA44" s="1159"/>
      <c r="CB44" s="1160"/>
      <c r="CC44" s="1160"/>
      <c r="CD44" s="1151">
        <f t="shared" si="72"/>
        <v>0</v>
      </c>
      <c r="CE44" s="516"/>
      <c r="CF44" s="504"/>
    </row>
    <row r="45">
      <c r="A45" s="504"/>
      <c r="B45" s="514"/>
      <c r="C45" s="1161" t="s">
        <v>270</v>
      </c>
      <c r="D45" s="1162">
        <f>SUM(F39:F44)</f>
        <v>0</v>
      </c>
      <c r="E45" s="1097"/>
      <c r="F45" s="1097"/>
      <c r="G45" s="1183" t="s">
        <v>270</v>
      </c>
      <c r="H45" s="1162">
        <f>SUM(J39:J44)</f>
        <v>0</v>
      </c>
      <c r="I45" s="1097"/>
      <c r="J45" s="1097"/>
      <c r="K45" s="562"/>
      <c r="L45" s="1183" t="s">
        <v>270</v>
      </c>
      <c r="M45" s="1162">
        <f>SUM(O39:O44)</f>
        <v>0</v>
      </c>
      <c r="N45" s="1097"/>
      <c r="O45" s="1097"/>
      <c r="P45" s="1183" t="s">
        <v>270</v>
      </c>
      <c r="Q45" s="1162">
        <f>SUM(S39:S44)</f>
        <v>0</v>
      </c>
      <c r="R45" s="1097"/>
      <c r="S45" s="1097"/>
      <c r="T45" s="562"/>
      <c r="U45" s="1183" t="s">
        <v>270</v>
      </c>
      <c r="V45" s="1162">
        <f>SUM(X39:X44)</f>
        <v>0</v>
      </c>
      <c r="W45" s="1097"/>
      <c r="X45" s="1097"/>
      <c r="Y45" s="1183" t="s">
        <v>270</v>
      </c>
      <c r="Z45" s="1162">
        <f>SUM(AB39:AB44)</f>
        <v>0</v>
      </c>
      <c r="AA45" s="1097"/>
      <c r="AB45" s="1097"/>
      <c r="AC45" s="562"/>
      <c r="AD45" s="1183" t="s">
        <v>270</v>
      </c>
      <c r="AE45" s="1188">
        <f>SUM(AG39:AG44)</f>
        <v>0</v>
      </c>
      <c r="AF45" s="1097"/>
      <c r="AG45" s="1097"/>
      <c r="AH45" s="1183" t="s">
        <v>270</v>
      </c>
      <c r="AI45" s="1188">
        <f>SUM(AK39:AK44)</f>
        <v>0</v>
      </c>
      <c r="AJ45" s="1097"/>
      <c r="AK45" s="1098"/>
      <c r="AL45" s="562"/>
      <c r="AM45" s="1183" t="s">
        <v>270</v>
      </c>
      <c r="AN45" s="1162">
        <f>SUM(AP39:AP44)</f>
        <v>0</v>
      </c>
      <c r="AO45" s="1097"/>
      <c r="AP45" s="1097"/>
      <c r="AQ45" s="1183" t="s">
        <v>270</v>
      </c>
      <c r="AR45" s="1162">
        <f>SUM(AT39:AT44)</f>
        <v>0</v>
      </c>
      <c r="AS45" s="1097"/>
      <c r="AT45" s="1097"/>
      <c r="AU45" s="562"/>
      <c r="AV45" s="1183" t="s">
        <v>270</v>
      </c>
      <c r="AW45" s="1162">
        <f>SUM(AY39:AY44)</f>
        <v>0</v>
      </c>
      <c r="AX45" s="1097"/>
      <c r="AY45" s="1097"/>
      <c r="AZ45" s="1183" t="s">
        <v>270</v>
      </c>
      <c r="BA45" s="1162">
        <f>SUM(BC39:BC44)</f>
        <v>0</v>
      </c>
      <c r="BB45" s="1097"/>
      <c r="BC45" s="1097"/>
      <c r="BD45" s="562"/>
      <c r="BE45" s="1183" t="s">
        <v>270</v>
      </c>
      <c r="BF45" s="1162">
        <f>SUM(BH39:BH44)</f>
        <v>0</v>
      </c>
      <c r="BG45" s="1097"/>
      <c r="BH45" s="1097"/>
      <c r="BI45" s="1183" t="s">
        <v>270</v>
      </c>
      <c r="BJ45" s="1162">
        <f>SUM(BL39:BL44)</f>
        <v>0</v>
      </c>
      <c r="BK45" s="1097"/>
      <c r="BL45" s="1097"/>
      <c r="BM45" s="562"/>
      <c r="BN45" s="1183" t="s">
        <v>270</v>
      </c>
      <c r="BO45" s="1162">
        <f>SUM(BQ39:BQ44)</f>
        <v>0</v>
      </c>
      <c r="BP45" s="1097"/>
      <c r="BQ45" s="1097"/>
      <c r="BR45" s="1183" t="s">
        <v>270</v>
      </c>
      <c r="BS45" s="1162">
        <f>SUM(BU39:BU44)</f>
        <v>0</v>
      </c>
      <c r="BT45" s="1097"/>
      <c r="BU45" s="1097"/>
      <c r="BV45" s="562"/>
      <c r="BW45" s="1183" t="s">
        <v>270</v>
      </c>
      <c r="BX45" s="1162">
        <f>SUM(BZ39:BZ44)</f>
        <v>0</v>
      </c>
      <c r="BY45" s="1097"/>
      <c r="BZ45" s="1097"/>
      <c r="CA45" s="1161" t="s">
        <v>270</v>
      </c>
      <c r="CB45" s="1162">
        <f>SUM(CD39:CD44)</f>
        <v>0</v>
      </c>
      <c r="CC45" s="1097"/>
      <c r="CD45" s="1097"/>
      <c r="CE45" s="516"/>
      <c r="CF45" s="504"/>
    </row>
    <row r="46">
      <c r="A46" s="2"/>
      <c r="B46" s="542"/>
      <c r="C46" s="1163" t="s">
        <v>980</v>
      </c>
      <c r="D46" s="1184"/>
      <c r="E46" s="188"/>
      <c r="F46" s="544"/>
      <c r="G46" s="1185" t="s">
        <v>980</v>
      </c>
      <c r="H46" s="1184"/>
      <c r="I46" s="188"/>
      <c r="J46" s="191"/>
      <c r="K46" s="636"/>
      <c r="L46" s="1185" t="s">
        <v>980</v>
      </c>
      <c r="M46" s="1184"/>
      <c r="N46" s="188"/>
      <c r="O46" s="544"/>
      <c r="P46" s="1185" t="s">
        <v>980</v>
      </c>
      <c r="Q46" s="1184"/>
      <c r="R46" s="188"/>
      <c r="S46" s="191"/>
      <c r="T46" s="636"/>
      <c r="U46" s="1185" t="s">
        <v>980</v>
      </c>
      <c r="V46" s="1184"/>
      <c r="W46" s="188"/>
      <c r="X46" s="544"/>
      <c r="Y46" s="1185" t="s">
        <v>980</v>
      </c>
      <c r="Z46" s="1184"/>
      <c r="AA46" s="188"/>
      <c r="AB46" s="191"/>
      <c r="AC46" s="636"/>
      <c r="AD46" s="1185" t="s">
        <v>980</v>
      </c>
      <c r="AE46" s="1184"/>
      <c r="AF46" s="188"/>
      <c r="AG46" s="544"/>
      <c r="AH46" s="1185" t="s">
        <v>980</v>
      </c>
      <c r="AI46" s="1184"/>
      <c r="AJ46" s="188"/>
      <c r="AK46" s="191"/>
      <c r="AL46" s="636"/>
      <c r="AM46" s="1185" t="s">
        <v>980</v>
      </c>
      <c r="AN46" s="1184"/>
      <c r="AO46" s="188"/>
      <c r="AP46" s="544"/>
      <c r="AQ46" s="1185" t="s">
        <v>980</v>
      </c>
      <c r="AR46" s="1184"/>
      <c r="AS46" s="188"/>
      <c r="AT46" s="191"/>
      <c r="AU46" s="636"/>
      <c r="AV46" s="1185" t="s">
        <v>980</v>
      </c>
      <c r="AW46" s="1184"/>
      <c r="AX46" s="188"/>
      <c r="AY46" s="544"/>
      <c r="AZ46" s="1185" t="s">
        <v>980</v>
      </c>
      <c r="BA46" s="1184"/>
      <c r="BB46" s="188"/>
      <c r="BC46" s="191"/>
      <c r="BD46" s="636"/>
      <c r="BE46" s="1185" t="s">
        <v>980</v>
      </c>
      <c r="BF46" s="1184"/>
      <c r="BG46" s="188"/>
      <c r="BH46" s="544"/>
      <c r="BI46" s="1185" t="s">
        <v>980</v>
      </c>
      <c r="BJ46" s="1184"/>
      <c r="BK46" s="188"/>
      <c r="BL46" s="191"/>
      <c r="BM46" s="636"/>
      <c r="BN46" s="1185" t="s">
        <v>980</v>
      </c>
      <c r="BO46" s="1184"/>
      <c r="BP46" s="188"/>
      <c r="BQ46" s="544"/>
      <c r="BR46" s="1185" t="s">
        <v>980</v>
      </c>
      <c r="BS46" s="1184"/>
      <c r="BT46" s="188"/>
      <c r="BU46" s="191"/>
      <c r="BV46" s="636"/>
      <c r="BW46" s="1185" t="s">
        <v>980</v>
      </c>
      <c r="BX46" s="1184"/>
      <c r="BY46" s="188"/>
      <c r="BZ46" s="544"/>
      <c r="CA46" s="1163" t="s">
        <v>980</v>
      </c>
      <c r="CB46" s="1164"/>
      <c r="CC46" s="188"/>
      <c r="CD46" s="191"/>
      <c r="CE46" s="552"/>
      <c r="CF46" s="2"/>
    </row>
    <row r="47">
      <c r="A47" s="2"/>
      <c r="B47" s="542"/>
      <c r="C47" s="1165" t="s">
        <v>981</v>
      </c>
      <c r="D47" s="1166">
        <v>1.0</v>
      </c>
      <c r="E47" s="1166">
        <v>2.0</v>
      </c>
      <c r="F47" s="1171">
        <v>3.0</v>
      </c>
      <c r="G47" s="1167" t="s">
        <v>982</v>
      </c>
      <c r="H47" s="210"/>
      <c r="I47" s="1168" t="str">
        <f>IF(D46=2,"W",IF(H46=2,"L",))</f>
        <v/>
      </c>
      <c r="J47" s="1169" t="str">
        <f>IF(H46=2,"W",IF(D46=2,"L",))</f>
        <v/>
      </c>
      <c r="K47" s="636"/>
      <c r="L47" s="1170" t="s">
        <v>981</v>
      </c>
      <c r="M47" s="1166">
        <v>1.0</v>
      </c>
      <c r="N47" s="1166">
        <v>2.0</v>
      </c>
      <c r="O47" s="1171">
        <v>3.0</v>
      </c>
      <c r="P47" s="1167" t="s">
        <v>982</v>
      </c>
      <c r="Q47" s="210"/>
      <c r="R47" s="1168" t="str">
        <f>IF(M46=2,"W",IF(Q46=2,"L",))</f>
        <v/>
      </c>
      <c r="S47" s="1169" t="str">
        <f>IF(Q46=2,"W",IF(M46=2,"L",))</f>
        <v/>
      </c>
      <c r="T47" s="636"/>
      <c r="U47" s="1170" t="s">
        <v>981</v>
      </c>
      <c r="V47" s="1166">
        <v>1.0</v>
      </c>
      <c r="W47" s="1166">
        <v>2.0</v>
      </c>
      <c r="X47" s="1171">
        <v>3.0</v>
      </c>
      <c r="Y47" s="1167" t="s">
        <v>982</v>
      </c>
      <c r="Z47" s="210"/>
      <c r="AA47" s="1168" t="str">
        <f>IF(V46=2,"W",IF(Z46=2,"L",))</f>
        <v/>
      </c>
      <c r="AB47" s="1169" t="str">
        <f>IF(Z46=2,"W",IF(V46=2,"L",))</f>
        <v/>
      </c>
      <c r="AC47" s="636"/>
      <c r="AD47" s="1170" t="s">
        <v>981</v>
      </c>
      <c r="AE47" s="1166">
        <v>1.0</v>
      </c>
      <c r="AF47" s="1166">
        <v>2.0</v>
      </c>
      <c r="AG47" s="1171">
        <v>3.0</v>
      </c>
      <c r="AH47" s="1167" t="s">
        <v>982</v>
      </c>
      <c r="AI47" s="210"/>
      <c r="AJ47" s="1168" t="str">
        <f>IF(AE46=2,"W",IF(AI46=2,"L",))</f>
        <v/>
      </c>
      <c r="AK47" s="1169" t="str">
        <f>IF(AI46=2,"W",IF(AE46=2,"L",))</f>
        <v/>
      </c>
      <c r="AL47" s="636"/>
      <c r="AM47" s="1170" t="s">
        <v>981</v>
      </c>
      <c r="AN47" s="1166">
        <v>1.0</v>
      </c>
      <c r="AO47" s="1166">
        <v>2.0</v>
      </c>
      <c r="AP47" s="1171">
        <v>3.0</v>
      </c>
      <c r="AQ47" s="1167" t="s">
        <v>982</v>
      </c>
      <c r="AR47" s="210"/>
      <c r="AS47" s="1168" t="str">
        <f>IF(AN46=2,"W",IF(AR46=2,"L",))</f>
        <v/>
      </c>
      <c r="AT47" s="1169" t="str">
        <f>IF(AR46=2,"W",IF(AN46=2,"L",))</f>
        <v/>
      </c>
      <c r="AU47" s="636"/>
      <c r="AV47" s="1170" t="s">
        <v>981</v>
      </c>
      <c r="AW47" s="1166">
        <v>1.0</v>
      </c>
      <c r="AX47" s="1166">
        <v>2.0</v>
      </c>
      <c r="AY47" s="1166">
        <v>3.0</v>
      </c>
      <c r="AZ47" s="1167" t="s">
        <v>982</v>
      </c>
      <c r="BA47" s="210"/>
      <c r="BB47" s="1168" t="str">
        <f>IF(AW46=2,"W",IF(BA46=2,"L",))</f>
        <v/>
      </c>
      <c r="BC47" s="1169" t="str">
        <f>IF(BA46=2,"W",IF(AW46=2,"L",))</f>
        <v/>
      </c>
      <c r="BD47" s="636"/>
      <c r="BE47" s="1170" t="s">
        <v>981</v>
      </c>
      <c r="BF47" s="1166">
        <v>1.0</v>
      </c>
      <c r="BG47" s="1166">
        <v>2.0</v>
      </c>
      <c r="BH47" s="1166">
        <v>3.0</v>
      </c>
      <c r="BI47" s="1167" t="s">
        <v>982</v>
      </c>
      <c r="BJ47" s="210"/>
      <c r="BK47" s="1168" t="str">
        <f>IF(BF46=2,"W",IF(BJ46=2,"L",))</f>
        <v/>
      </c>
      <c r="BL47" s="1169" t="str">
        <f>IF(BJ46=2,"W",IF(BF46=2,"L",))</f>
        <v/>
      </c>
      <c r="BM47" s="636"/>
      <c r="BN47" s="1170" t="s">
        <v>981</v>
      </c>
      <c r="BO47" s="1166">
        <v>1.0</v>
      </c>
      <c r="BP47" s="1166">
        <v>2.0</v>
      </c>
      <c r="BQ47" s="1166">
        <v>3.0</v>
      </c>
      <c r="BR47" s="1167" t="s">
        <v>982</v>
      </c>
      <c r="BS47" s="210"/>
      <c r="BT47" s="1168" t="str">
        <f>IF(BO46=2,"W",IF(BS46=2,"L",))</f>
        <v/>
      </c>
      <c r="BU47" s="1169" t="str">
        <f>IF(BS46=2,"W",IF(BO46=2,"L",))</f>
        <v/>
      </c>
      <c r="BV47" s="636"/>
      <c r="BW47" s="1170" t="s">
        <v>981</v>
      </c>
      <c r="BX47" s="1166">
        <v>1.0</v>
      </c>
      <c r="BY47" s="1166">
        <v>2.0</v>
      </c>
      <c r="BZ47" s="1166">
        <v>3.0</v>
      </c>
      <c r="CA47" s="1172" t="s">
        <v>982</v>
      </c>
      <c r="CB47" s="210"/>
      <c r="CC47" s="1173" t="str">
        <f>IF(BX46=2,"W",IF(CB46=2,"L",))</f>
        <v/>
      </c>
      <c r="CD47" s="1174" t="str">
        <f>IF(CB46=2,"W",IF(BX46=2,"L",))</f>
        <v/>
      </c>
      <c r="CE47" s="552"/>
      <c r="CF47" s="2"/>
    </row>
    <row r="48" ht="7.5" customHeight="1">
      <c r="A48" s="504"/>
      <c r="B48" s="514"/>
      <c r="C48" s="515"/>
      <c r="D48" s="562"/>
      <c r="E48" s="562"/>
      <c r="F48" s="562"/>
      <c r="G48" s="562"/>
      <c r="H48" s="562"/>
      <c r="I48" s="562"/>
      <c r="J48" s="562"/>
      <c r="K48" s="562"/>
      <c r="L48" s="562"/>
      <c r="M48" s="562"/>
      <c r="N48" s="562"/>
      <c r="O48" s="562"/>
      <c r="P48" s="562"/>
      <c r="Q48" s="562"/>
      <c r="R48" s="562"/>
      <c r="S48" s="562"/>
      <c r="T48" s="562"/>
      <c r="U48" s="562"/>
      <c r="V48" s="562"/>
      <c r="W48" s="562"/>
      <c r="X48" s="562"/>
      <c r="Y48" s="562"/>
      <c r="Z48" s="562"/>
      <c r="AA48" s="562"/>
      <c r="AB48" s="562"/>
      <c r="AC48" s="562"/>
      <c r="AD48" s="562"/>
      <c r="AE48" s="562"/>
      <c r="AF48" s="562"/>
      <c r="AG48" s="562"/>
      <c r="AH48" s="562"/>
      <c r="AI48" s="562"/>
      <c r="AJ48" s="562"/>
      <c r="AK48" s="562"/>
      <c r="AL48" s="562"/>
      <c r="AM48" s="562"/>
      <c r="AN48" s="562"/>
      <c r="AO48" s="562"/>
      <c r="AP48" s="562"/>
      <c r="AQ48" s="562"/>
      <c r="AR48" s="562"/>
      <c r="AS48" s="562"/>
      <c r="AT48" s="562"/>
      <c r="AU48" s="562"/>
      <c r="AV48" s="562"/>
      <c r="AW48" s="562"/>
      <c r="AX48" s="562"/>
      <c r="AY48" s="562"/>
      <c r="AZ48" s="562"/>
      <c r="BA48" s="562"/>
      <c r="BB48" s="562"/>
      <c r="BC48" s="562"/>
      <c r="BD48" s="562"/>
      <c r="BE48" s="562"/>
      <c r="BF48" s="562"/>
      <c r="BG48" s="562"/>
      <c r="BH48" s="562"/>
      <c r="BI48" s="562"/>
      <c r="BJ48" s="562"/>
      <c r="BK48" s="562"/>
      <c r="BL48" s="562"/>
      <c r="BM48" s="562"/>
      <c r="BN48" s="562"/>
      <c r="BO48" s="562"/>
      <c r="BP48" s="562"/>
      <c r="BQ48" s="562"/>
      <c r="BR48" s="562"/>
      <c r="BS48" s="562"/>
      <c r="BT48" s="562"/>
      <c r="BU48" s="562"/>
      <c r="BV48" s="562"/>
      <c r="BW48" s="562"/>
      <c r="BX48" s="562"/>
      <c r="BY48" s="562"/>
      <c r="BZ48" s="562"/>
      <c r="CA48" s="515"/>
      <c r="CB48" s="515"/>
      <c r="CC48" s="515"/>
      <c r="CD48" s="515"/>
      <c r="CE48" s="516"/>
      <c r="CF48" s="504"/>
    </row>
    <row r="49">
      <c r="A49" s="504"/>
      <c r="B49" s="514"/>
      <c r="C49" s="517" t="str">
        <f>#REF!</f>
        <v>#REF!</v>
      </c>
      <c r="D49" s="564" t="s">
        <v>76</v>
      </c>
      <c r="E49" s="565" t="s">
        <v>77</v>
      </c>
      <c r="F49" s="565" t="s">
        <v>78</v>
      </c>
      <c r="G49" s="566" t="str">
        <f>#REF!</f>
        <v>#REF!</v>
      </c>
      <c r="H49" s="567" t="s">
        <v>76</v>
      </c>
      <c r="I49" s="568" t="s">
        <v>77</v>
      </c>
      <c r="J49" s="569" t="s">
        <v>78</v>
      </c>
      <c r="K49" s="562"/>
      <c r="L49" s="656" t="str">
        <f>#REF!</f>
        <v>#REF!</v>
      </c>
      <c r="M49" s="564" t="s">
        <v>76</v>
      </c>
      <c r="N49" s="565" t="s">
        <v>77</v>
      </c>
      <c r="O49" s="565" t="s">
        <v>78</v>
      </c>
      <c r="P49" s="566" t="str">
        <f>#REF!</f>
        <v>#REF!</v>
      </c>
      <c r="Q49" s="567" t="s">
        <v>76</v>
      </c>
      <c r="R49" s="568" t="s">
        <v>77</v>
      </c>
      <c r="S49" s="569" t="s">
        <v>78</v>
      </c>
      <c r="T49" s="562"/>
      <c r="U49" s="656" t="str">
        <f>#REF!</f>
        <v>#REF!</v>
      </c>
      <c r="V49" s="564" t="s">
        <v>76</v>
      </c>
      <c r="W49" s="565" t="s">
        <v>77</v>
      </c>
      <c r="X49" s="565" t="s">
        <v>78</v>
      </c>
      <c r="Y49" s="566" t="str">
        <f>#REF!</f>
        <v>#REF!</v>
      </c>
      <c r="Z49" s="567" t="s">
        <v>76</v>
      </c>
      <c r="AA49" s="568" t="s">
        <v>77</v>
      </c>
      <c r="AB49" s="569" t="s">
        <v>78</v>
      </c>
      <c r="AC49" s="562"/>
      <c r="AD49" s="656" t="str">
        <f>#REF!</f>
        <v>#REF!</v>
      </c>
      <c r="AE49" s="564" t="s">
        <v>76</v>
      </c>
      <c r="AF49" s="565" t="s">
        <v>77</v>
      </c>
      <c r="AG49" s="565" t="s">
        <v>78</v>
      </c>
      <c r="AH49" s="566" t="str">
        <f>#REF!</f>
        <v>#REF!</v>
      </c>
      <c r="AI49" s="567" t="s">
        <v>76</v>
      </c>
      <c r="AJ49" s="568" t="s">
        <v>77</v>
      </c>
      <c r="AK49" s="569" t="s">
        <v>78</v>
      </c>
      <c r="AL49" s="562"/>
      <c r="AM49" s="656" t="str">
        <f>#REF!</f>
        <v>#REF!</v>
      </c>
      <c r="AN49" s="564" t="s">
        <v>76</v>
      </c>
      <c r="AO49" s="565" t="s">
        <v>77</v>
      </c>
      <c r="AP49" s="565" t="s">
        <v>78</v>
      </c>
      <c r="AQ49" s="566" t="str">
        <f>#REF!</f>
        <v>#REF!</v>
      </c>
      <c r="AR49" s="567" t="s">
        <v>76</v>
      </c>
      <c r="AS49" s="568" t="s">
        <v>77</v>
      </c>
      <c r="AT49" s="569" t="s">
        <v>78</v>
      </c>
      <c r="AU49" s="562"/>
      <c r="AV49" s="656" t="str">
        <f>#REF!</f>
        <v>#REF!</v>
      </c>
      <c r="AW49" s="564" t="s">
        <v>76</v>
      </c>
      <c r="AX49" s="565" t="s">
        <v>77</v>
      </c>
      <c r="AY49" s="565" t="s">
        <v>78</v>
      </c>
      <c r="AZ49" s="566" t="str">
        <f>#REF!</f>
        <v>#REF!</v>
      </c>
      <c r="BA49" s="567" t="s">
        <v>76</v>
      </c>
      <c r="BB49" s="568" t="s">
        <v>77</v>
      </c>
      <c r="BC49" s="569" t="s">
        <v>78</v>
      </c>
      <c r="BD49" s="562"/>
      <c r="BE49" s="656" t="str">
        <f>#REF!</f>
        <v>#REF!</v>
      </c>
      <c r="BF49" s="564" t="s">
        <v>76</v>
      </c>
      <c r="BG49" s="565" t="s">
        <v>77</v>
      </c>
      <c r="BH49" s="565" t="s">
        <v>78</v>
      </c>
      <c r="BI49" s="566" t="str">
        <f>#REF!</f>
        <v>#REF!</v>
      </c>
      <c r="BJ49" s="567" t="s">
        <v>76</v>
      </c>
      <c r="BK49" s="568" t="s">
        <v>77</v>
      </c>
      <c r="BL49" s="569" t="s">
        <v>78</v>
      </c>
      <c r="BM49" s="562"/>
      <c r="BN49" s="656" t="str">
        <f>#REF!</f>
        <v>#REF!</v>
      </c>
      <c r="BO49" s="564" t="s">
        <v>76</v>
      </c>
      <c r="BP49" s="565" t="s">
        <v>77</v>
      </c>
      <c r="BQ49" s="565" t="s">
        <v>78</v>
      </c>
      <c r="BR49" s="566" t="str">
        <f>#REF!</f>
        <v>#REF!</v>
      </c>
      <c r="BS49" s="567" t="s">
        <v>76</v>
      </c>
      <c r="BT49" s="568" t="s">
        <v>77</v>
      </c>
      <c r="BU49" s="569" t="s">
        <v>78</v>
      </c>
      <c r="BV49" s="562"/>
      <c r="BW49" s="656" t="str">
        <f>#REF!</f>
        <v>#REF!</v>
      </c>
      <c r="BX49" s="564" t="s">
        <v>76</v>
      </c>
      <c r="BY49" s="565" t="s">
        <v>77</v>
      </c>
      <c r="BZ49" s="565" t="s">
        <v>78</v>
      </c>
      <c r="CA49" s="521" t="str">
        <f>#REF!</f>
        <v>#REF!</v>
      </c>
      <c r="CB49" s="522" t="s">
        <v>76</v>
      </c>
      <c r="CC49" s="523" t="s">
        <v>77</v>
      </c>
      <c r="CD49" s="524" t="s">
        <v>78</v>
      </c>
      <c r="CE49" s="516"/>
      <c r="CF49" s="504"/>
    </row>
    <row r="50">
      <c r="A50" s="504"/>
      <c r="B50" s="514"/>
      <c r="C50" s="1149"/>
      <c r="D50" s="1175"/>
      <c r="E50" s="1175"/>
      <c r="F50" s="1176">
        <f t="shared" ref="F50:F55" si="73">D50-E50</f>
        <v>0</v>
      </c>
      <c r="G50" s="1177"/>
      <c r="H50" s="1175"/>
      <c r="I50" s="1175"/>
      <c r="J50" s="1176">
        <f t="shared" ref="J50:J55" si="74">H50-I50</f>
        <v>0</v>
      </c>
      <c r="K50" s="562"/>
      <c r="L50" s="1177"/>
      <c r="M50" s="1175"/>
      <c r="N50" s="1175"/>
      <c r="O50" s="1176">
        <f t="shared" ref="O50:O55" si="75">M50-N50</f>
        <v>0</v>
      </c>
      <c r="P50" s="1177"/>
      <c r="Q50" s="1175"/>
      <c r="R50" s="1175"/>
      <c r="S50" s="1176">
        <f t="shared" ref="S50:S55" si="76">Q50-R50</f>
        <v>0</v>
      </c>
      <c r="T50" s="562"/>
      <c r="U50" s="1177"/>
      <c r="V50" s="1175"/>
      <c r="W50" s="1175"/>
      <c r="X50" s="1176">
        <f t="shared" ref="X50:X55" si="77">V50-W50</f>
        <v>0</v>
      </c>
      <c r="Y50" s="1177"/>
      <c r="Z50" s="1175"/>
      <c r="AA50" s="1175"/>
      <c r="AB50" s="1176">
        <f t="shared" ref="AB50:AB55" si="78">Z50-AA50</f>
        <v>0</v>
      </c>
      <c r="AC50" s="562"/>
      <c r="AD50" s="1177"/>
      <c r="AE50" s="1175"/>
      <c r="AF50" s="1175"/>
      <c r="AG50" s="1176">
        <f t="shared" ref="AG50:AG55" si="79">AE50-AF50</f>
        <v>0</v>
      </c>
      <c r="AH50" s="1177"/>
      <c r="AI50" s="1175"/>
      <c r="AJ50" s="1175"/>
      <c r="AK50" s="1176">
        <f t="shared" ref="AK50:AK55" si="80">AI50-AJ50</f>
        <v>0</v>
      </c>
      <c r="AL50" s="562"/>
      <c r="AM50" s="1177"/>
      <c r="AN50" s="1175"/>
      <c r="AO50" s="1175"/>
      <c r="AP50" s="1176">
        <f t="shared" ref="AP50:AP55" si="81">AN50-AO50</f>
        <v>0</v>
      </c>
      <c r="AQ50" s="1177"/>
      <c r="AR50" s="1175"/>
      <c r="AS50" s="1175"/>
      <c r="AT50" s="1176">
        <f t="shared" ref="AT50:AT55" si="82">AR50-AS50</f>
        <v>0</v>
      </c>
      <c r="AU50" s="562"/>
      <c r="AV50" s="1177"/>
      <c r="AW50" s="1175"/>
      <c r="AX50" s="1175"/>
      <c r="AY50" s="1176">
        <f t="shared" ref="AY50:AY55" si="83">AW50-AX50</f>
        <v>0</v>
      </c>
      <c r="AZ50" s="1189"/>
      <c r="BA50" s="1175"/>
      <c r="BB50" s="1175"/>
      <c r="BC50" s="1176">
        <f t="shared" ref="BC50:BC55" si="84">BA50-BB50</f>
        <v>0</v>
      </c>
      <c r="BD50" s="562"/>
      <c r="BE50" s="1177"/>
      <c r="BF50" s="1175"/>
      <c r="BG50" s="1175"/>
      <c r="BH50" s="1176">
        <f t="shared" ref="BH50:BH55" si="85">BF50-BG50</f>
        <v>0</v>
      </c>
      <c r="BI50" s="1177"/>
      <c r="BJ50" s="1175"/>
      <c r="BK50" s="1175"/>
      <c r="BL50" s="1176">
        <f t="shared" ref="BL50:BL55" si="86">BJ50-BK50</f>
        <v>0</v>
      </c>
      <c r="BM50" s="562"/>
      <c r="BN50" s="1177"/>
      <c r="BO50" s="1175"/>
      <c r="BP50" s="1175"/>
      <c r="BQ50" s="1176">
        <f t="shared" ref="BQ50:BQ55" si="87">BO50-BP50</f>
        <v>0</v>
      </c>
      <c r="BR50" s="1177"/>
      <c r="BS50" s="1175"/>
      <c r="BT50" s="1175"/>
      <c r="BU50" s="1176">
        <f t="shared" ref="BU50:BU55" si="88">BS50-BT50</f>
        <v>0</v>
      </c>
      <c r="BV50" s="562"/>
      <c r="BW50" s="1177"/>
      <c r="BX50" s="1175"/>
      <c r="BY50" s="1175"/>
      <c r="BZ50" s="1176">
        <f t="shared" ref="BZ50:BZ55" si="89">BX50-BY50</f>
        <v>0</v>
      </c>
      <c r="CA50" s="1149"/>
      <c r="CB50" s="1150"/>
      <c r="CC50" s="1150"/>
      <c r="CD50" s="1151">
        <f t="shared" ref="CD50:CD55" si="90">CB50-CC50</f>
        <v>0</v>
      </c>
      <c r="CE50" s="516"/>
      <c r="CF50" s="504"/>
    </row>
    <row r="51">
      <c r="A51" s="504"/>
      <c r="B51" s="514"/>
      <c r="C51" s="1154"/>
      <c r="D51" s="1178"/>
      <c r="E51" s="1178"/>
      <c r="F51" s="1176">
        <f t="shared" si="73"/>
        <v>0</v>
      </c>
      <c r="G51" s="1179"/>
      <c r="H51" s="1178"/>
      <c r="I51" s="1178"/>
      <c r="J51" s="1176">
        <f t="shared" si="74"/>
        <v>0</v>
      </c>
      <c r="K51" s="562"/>
      <c r="L51" s="1179"/>
      <c r="M51" s="1178"/>
      <c r="N51" s="1178"/>
      <c r="O51" s="1176">
        <f t="shared" si="75"/>
        <v>0</v>
      </c>
      <c r="P51" s="1179"/>
      <c r="Q51" s="1178"/>
      <c r="R51" s="1178"/>
      <c r="S51" s="1176">
        <f t="shared" si="76"/>
        <v>0</v>
      </c>
      <c r="T51" s="562"/>
      <c r="U51" s="1179"/>
      <c r="V51" s="1178"/>
      <c r="W51" s="1178"/>
      <c r="X51" s="1176">
        <f t="shared" si="77"/>
        <v>0</v>
      </c>
      <c r="Y51" s="1179"/>
      <c r="Z51" s="1178"/>
      <c r="AA51" s="1178"/>
      <c r="AB51" s="1176">
        <f t="shared" si="78"/>
        <v>0</v>
      </c>
      <c r="AC51" s="562"/>
      <c r="AD51" s="1179"/>
      <c r="AE51" s="1178"/>
      <c r="AF51" s="1178"/>
      <c r="AG51" s="1176">
        <f t="shared" si="79"/>
        <v>0</v>
      </c>
      <c r="AH51" s="1179"/>
      <c r="AI51" s="1178"/>
      <c r="AJ51" s="1178"/>
      <c r="AK51" s="1176">
        <f t="shared" si="80"/>
        <v>0</v>
      </c>
      <c r="AL51" s="562"/>
      <c r="AM51" s="1179"/>
      <c r="AN51" s="1178"/>
      <c r="AO51" s="1178"/>
      <c r="AP51" s="1176">
        <f t="shared" si="81"/>
        <v>0</v>
      </c>
      <c r="AQ51" s="1179"/>
      <c r="AR51" s="1178"/>
      <c r="AS51" s="1178"/>
      <c r="AT51" s="1176">
        <f t="shared" si="82"/>
        <v>0</v>
      </c>
      <c r="AU51" s="562"/>
      <c r="AV51" s="1179"/>
      <c r="AW51" s="1178"/>
      <c r="AX51" s="1178"/>
      <c r="AY51" s="1176">
        <f t="shared" si="83"/>
        <v>0</v>
      </c>
      <c r="AZ51" s="1190"/>
      <c r="BA51" s="1178"/>
      <c r="BB51" s="1178"/>
      <c r="BC51" s="1176">
        <f t="shared" si="84"/>
        <v>0</v>
      </c>
      <c r="BD51" s="562"/>
      <c r="BE51" s="1179"/>
      <c r="BF51" s="1178"/>
      <c r="BG51" s="1178"/>
      <c r="BH51" s="1176">
        <f t="shared" si="85"/>
        <v>0</v>
      </c>
      <c r="BI51" s="1179"/>
      <c r="BJ51" s="1178"/>
      <c r="BK51" s="1178"/>
      <c r="BL51" s="1176">
        <f t="shared" si="86"/>
        <v>0</v>
      </c>
      <c r="BM51" s="562"/>
      <c r="BN51" s="1179"/>
      <c r="BO51" s="1178"/>
      <c r="BP51" s="1178"/>
      <c r="BQ51" s="1176">
        <f t="shared" si="87"/>
        <v>0</v>
      </c>
      <c r="BR51" s="1179"/>
      <c r="BS51" s="1178"/>
      <c r="BT51" s="1178"/>
      <c r="BU51" s="1176">
        <f t="shared" si="88"/>
        <v>0</v>
      </c>
      <c r="BV51" s="562"/>
      <c r="BW51" s="1179"/>
      <c r="BX51" s="1178"/>
      <c r="BY51" s="1178"/>
      <c r="BZ51" s="1176">
        <f t="shared" si="89"/>
        <v>0</v>
      </c>
      <c r="CA51" s="1154"/>
      <c r="CB51" s="1155"/>
      <c r="CC51" s="1155"/>
      <c r="CD51" s="1151">
        <f t="shared" si="90"/>
        <v>0</v>
      </c>
      <c r="CE51" s="516"/>
      <c r="CF51" s="504"/>
    </row>
    <row r="52">
      <c r="A52" s="504"/>
      <c r="B52" s="514"/>
      <c r="C52" s="1154"/>
      <c r="D52" s="1178"/>
      <c r="E52" s="1178"/>
      <c r="F52" s="1176">
        <f t="shared" si="73"/>
        <v>0</v>
      </c>
      <c r="G52" s="1179"/>
      <c r="H52" s="1178"/>
      <c r="I52" s="1178"/>
      <c r="J52" s="1176">
        <f t="shared" si="74"/>
        <v>0</v>
      </c>
      <c r="K52" s="562"/>
      <c r="L52" s="1179"/>
      <c r="M52" s="1178"/>
      <c r="N52" s="1178"/>
      <c r="O52" s="1176">
        <f t="shared" si="75"/>
        <v>0</v>
      </c>
      <c r="P52" s="1179"/>
      <c r="Q52" s="1178"/>
      <c r="R52" s="1178"/>
      <c r="S52" s="1176">
        <f t="shared" si="76"/>
        <v>0</v>
      </c>
      <c r="T52" s="562"/>
      <c r="U52" s="1179"/>
      <c r="V52" s="1178"/>
      <c r="W52" s="1178"/>
      <c r="X52" s="1176">
        <f t="shared" si="77"/>
        <v>0</v>
      </c>
      <c r="Y52" s="1179"/>
      <c r="Z52" s="1178"/>
      <c r="AA52" s="1178"/>
      <c r="AB52" s="1176">
        <f t="shared" si="78"/>
        <v>0</v>
      </c>
      <c r="AC52" s="562"/>
      <c r="AD52" s="1179"/>
      <c r="AE52" s="1178"/>
      <c r="AF52" s="1178"/>
      <c r="AG52" s="1176">
        <f t="shared" si="79"/>
        <v>0</v>
      </c>
      <c r="AH52" s="1179"/>
      <c r="AI52" s="1178"/>
      <c r="AJ52" s="1178"/>
      <c r="AK52" s="1176">
        <f t="shared" si="80"/>
        <v>0</v>
      </c>
      <c r="AL52" s="562"/>
      <c r="AM52" s="1179"/>
      <c r="AN52" s="1178"/>
      <c r="AO52" s="1178"/>
      <c r="AP52" s="1176">
        <f t="shared" si="81"/>
        <v>0</v>
      </c>
      <c r="AQ52" s="1179"/>
      <c r="AR52" s="1178"/>
      <c r="AS52" s="1178"/>
      <c r="AT52" s="1176">
        <f t="shared" si="82"/>
        <v>0</v>
      </c>
      <c r="AU52" s="562"/>
      <c r="AV52" s="1179"/>
      <c r="AW52" s="1178"/>
      <c r="AX52" s="1178"/>
      <c r="AY52" s="1176">
        <f t="shared" si="83"/>
        <v>0</v>
      </c>
      <c r="AZ52" s="1190"/>
      <c r="BA52" s="1178"/>
      <c r="BB52" s="1178"/>
      <c r="BC52" s="1176">
        <f t="shared" si="84"/>
        <v>0</v>
      </c>
      <c r="BD52" s="562"/>
      <c r="BE52" s="1179"/>
      <c r="BF52" s="1178"/>
      <c r="BG52" s="1178"/>
      <c r="BH52" s="1176">
        <f t="shared" si="85"/>
        <v>0</v>
      </c>
      <c r="BI52" s="1179"/>
      <c r="BJ52" s="1178"/>
      <c r="BK52" s="1178"/>
      <c r="BL52" s="1176">
        <f t="shared" si="86"/>
        <v>0</v>
      </c>
      <c r="BM52" s="562"/>
      <c r="BN52" s="1179"/>
      <c r="BO52" s="1178"/>
      <c r="BP52" s="1178"/>
      <c r="BQ52" s="1176">
        <f t="shared" si="87"/>
        <v>0</v>
      </c>
      <c r="BR52" s="1179"/>
      <c r="BS52" s="1178"/>
      <c r="BT52" s="1178"/>
      <c r="BU52" s="1176">
        <f t="shared" si="88"/>
        <v>0</v>
      </c>
      <c r="BV52" s="562"/>
      <c r="BW52" s="1179"/>
      <c r="BX52" s="1178"/>
      <c r="BY52" s="1178"/>
      <c r="BZ52" s="1176">
        <f t="shared" si="89"/>
        <v>0</v>
      </c>
      <c r="CA52" s="1154"/>
      <c r="CB52" s="1155"/>
      <c r="CC52" s="1155"/>
      <c r="CD52" s="1151">
        <f t="shared" si="90"/>
        <v>0</v>
      </c>
      <c r="CE52" s="516"/>
      <c r="CF52" s="504"/>
    </row>
    <row r="53">
      <c r="A53" s="504"/>
      <c r="B53" s="514"/>
      <c r="C53" s="1154"/>
      <c r="D53" s="1178"/>
      <c r="E53" s="1178"/>
      <c r="F53" s="1176">
        <f t="shared" si="73"/>
        <v>0</v>
      </c>
      <c r="G53" s="1179"/>
      <c r="H53" s="1178"/>
      <c r="I53" s="1178"/>
      <c r="J53" s="1176">
        <f t="shared" si="74"/>
        <v>0</v>
      </c>
      <c r="K53" s="562"/>
      <c r="L53" s="1179"/>
      <c r="M53" s="1178"/>
      <c r="N53" s="1178"/>
      <c r="O53" s="1176">
        <f t="shared" si="75"/>
        <v>0</v>
      </c>
      <c r="P53" s="1179"/>
      <c r="Q53" s="1178"/>
      <c r="R53" s="1178"/>
      <c r="S53" s="1176">
        <f t="shared" si="76"/>
        <v>0</v>
      </c>
      <c r="T53" s="562"/>
      <c r="U53" s="1179"/>
      <c r="V53" s="1178"/>
      <c r="W53" s="1178"/>
      <c r="X53" s="1176">
        <f t="shared" si="77"/>
        <v>0</v>
      </c>
      <c r="Y53" s="1179"/>
      <c r="Z53" s="1178"/>
      <c r="AA53" s="1178"/>
      <c r="AB53" s="1176">
        <f t="shared" si="78"/>
        <v>0</v>
      </c>
      <c r="AC53" s="562"/>
      <c r="AD53" s="1179"/>
      <c r="AE53" s="1178"/>
      <c r="AF53" s="1178"/>
      <c r="AG53" s="1176">
        <f t="shared" si="79"/>
        <v>0</v>
      </c>
      <c r="AH53" s="1179"/>
      <c r="AI53" s="1178"/>
      <c r="AJ53" s="1178"/>
      <c r="AK53" s="1176">
        <f t="shared" si="80"/>
        <v>0</v>
      </c>
      <c r="AL53" s="562"/>
      <c r="AM53" s="1179"/>
      <c r="AN53" s="1178"/>
      <c r="AO53" s="1178"/>
      <c r="AP53" s="1176">
        <f t="shared" si="81"/>
        <v>0</v>
      </c>
      <c r="AQ53" s="1179"/>
      <c r="AR53" s="1178"/>
      <c r="AS53" s="1178"/>
      <c r="AT53" s="1176">
        <f t="shared" si="82"/>
        <v>0</v>
      </c>
      <c r="AU53" s="562"/>
      <c r="AV53" s="1179"/>
      <c r="AW53" s="1178"/>
      <c r="AX53" s="1178"/>
      <c r="AY53" s="1176">
        <f t="shared" si="83"/>
        <v>0</v>
      </c>
      <c r="AZ53" s="1190"/>
      <c r="BA53" s="1178"/>
      <c r="BB53" s="1178"/>
      <c r="BC53" s="1176">
        <f t="shared" si="84"/>
        <v>0</v>
      </c>
      <c r="BD53" s="562"/>
      <c r="BE53" s="1179"/>
      <c r="BF53" s="1178"/>
      <c r="BG53" s="1178"/>
      <c r="BH53" s="1176">
        <f t="shared" si="85"/>
        <v>0</v>
      </c>
      <c r="BI53" s="1179"/>
      <c r="BJ53" s="1178"/>
      <c r="BK53" s="1178"/>
      <c r="BL53" s="1176">
        <f t="shared" si="86"/>
        <v>0</v>
      </c>
      <c r="BM53" s="562"/>
      <c r="BN53" s="1179"/>
      <c r="BO53" s="1178"/>
      <c r="BP53" s="1178"/>
      <c r="BQ53" s="1176">
        <f t="shared" si="87"/>
        <v>0</v>
      </c>
      <c r="BR53" s="1179"/>
      <c r="BS53" s="1178"/>
      <c r="BT53" s="1178"/>
      <c r="BU53" s="1176">
        <f t="shared" si="88"/>
        <v>0</v>
      </c>
      <c r="BV53" s="562"/>
      <c r="BW53" s="1179"/>
      <c r="BX53" s="1178"/>
      <c r="BY53" s="1178"/>
      <c r="BZ53" s="1176">
        <f t="shared" si="89"/>
        <v>0</v>
      </c>
      <c r="CA53" s="1154"/>
      <c r="CB53" s="1155"/>
      <c r="CC53" s="1155"/>
      <c r="CD53" s="1151">
        <f t="shared" si="90"/>
        <v>0</v>
      </c>
      <c r="CE53" s="516"/>
      <c r="CF53" s="504"/>
    </row>
    <row r="54">
      <c r="A54" s="504"/>
      <c r="B54" s="514"/>
      <c r="C54" s="1154"/>
      <c r="D54" s="1178"/>
      <c r="E54" s="1178"/>
      <c r="F54" s="1176">
        <f t="shared" si="73"/>
        <v>0</v>
      </c>
      <c r="G54" s="1179"/>
      <c r="H54" s="1178"/>
      <c r="I54" s="1178"/>
      <c r="J54" s="1176">
        <f t="shared" si="74"/>
        <v>0</v>
      </c>
      <c r="K54" s="562"/>
      <c r="L54" s="1179"/>
      <c r="M54" s="1178"/>
      <c r="N54" s="1178"/>
      <c r="O54" s="1176">
        <f t="shared" si="75"/>
        <v>0</v>
      </c>
      <c r="P54" s="1179"/>
      <c r="Q54" s="1178"/>
      <c r="R54" s="1178"/>
      <c r="S54" s="1176">
        <f t="shared" si="76"/>
        <v>0</v>
      </c>
      <c r="T54" s="562"/>
      <c r="U54" s="1179"/>
      <c r="V54" s="1178"/>
      <c r="W54" s="1178"/>
      <c r="X54" s="1176">
        <f t="shared" si="77"/>
        <v>0</v>
      </c>
      <c r="Y54" s="1179"/>
      <c r="Z54" s="1178"/>
      <c r="AA54" s="1178"/>
      <c r="AB54" s="1176">
        <f t="shared" si="78"/>
        <v>0</v>
      </c>
      <c r="AC54" s="562"/>
      <c r="AD54" s="1179"/>
      <c r="AE54" s="1178"/>
      <c r="AF54" s="1178"/>
      <c r="AG54" s="1176">
        <f t="shared" si="79"/>
        <v>0</v>
      </c>
      <c r="AH54" s="1179"/>
      <c r="AI54" s="1178"/>
      <c r="AJ54" s="1178"/>
      <c r="AK54" s="1176">
        <f t="shared" si="80"/>
        <v>0</v>
      </c>
      <c r="AL54" s="562"/>
      <c r="AM54" s="1179"/>
      <c r="AN54" s="1178"/>
      <c r="AO54" s="1178"/>
      <c r="AP54" s="1176">
        <f t="shared" si="81"/>
        <v>0</v>
      </c>
      <c r="AQ54" s="1179"/>
      <c r="AR54" s="1178"/>
      <c r="AS54" s="1178"/>
      <c r="AT54" s="1176">
        <f t="shared" si="82"/>
        <v>0</v>
      </c>
      <c r="AU54" s="562"/>
      <c r="AV54" s="1179"/>
      <c r="AW54" s="1178"/>
      <c r="AX54" s="1178"/>
      <c r="AY54" s="1176">
        <f t="shared" si="83"/>
        <v>0</v>
      </c>
      <c r="AZ54" s="1190"/>
      <c r="BA54" s="1178"/>
      <c r="BB54" s="1178"/>
      <c r="BC54" s="1176">
        <f t="shared" si="84"/>
        <v>0</v>
      </c>
      <c r="BD54" s="562"/>
      <c r="BE54" s="1179"/>
      <c r="BF54" s="1178"/>
      <c r="BG54" s="1178"/>
      <c r="BH54" s="1176">
        <f t="shared" si="85"/>
        <v>0</v>
      </c>
      <c r="BI54" s="1179"/>
      <c r="BJ54" s="1178"/>
      <c r="BK54" s="1178"/>
      <c r="BL54" s="1176">
        <f t="shared" si="86"/>
        <v>0</v>
      </c>
      <c r="BM54" s="562"/>
      <c r="BN54" s="1179"/>
      <c r="BO54" s="1178"/>
      <c r="BP54" s="1178"/>
      <c r="BQ54" s="1176">
        <f t="shared" si="87"/>
        <v>0</v>
      </c>
      <c r="BR54" s="1179"/>
      <c r="BS54" s="1178"/>
      <c r="BT54" s="1178"/>
      <c r="BU54" s="1176">
        <f t="shared" si="88"/>
        <v>0</v>
      </c>
      <c r="BV54" s="562"/>
      <c r="BW54" s="1179"/>
      <c r="BX54" s="1178"/>
      <c r="BY54" s="1178"/>
      <c r="BZ54" s="1176">
        <f t="shared" si="89"/>
        <v>0</v>
      </c>
      <c r="CA54" s="1154"/>
      <c r="CB54" s="1155"/>
      <c r="CC54" s="1155"/>
      <c r="CD54" s="1151">
        <f t="shared" si="90"/>
        <v>0</v>
      </c>
      <c r="CE54" s="516"/>
      <c r="CF54" s="504"/>
    </row>
    <row r="55">
      <c r="A55" s="504"/>
      <c r="B55" s="514"/>
      <c r="C55" s="1159"/>
      <c r="D55" s="1181"/>
      <c r="E55" s="1181"/>
      <c r="F55" s="1176">
        <f t="shared" si="73"/>
        <v>0</v>
      </c>
      <c r="G55" s="1182"/>
      <c r="H55" s="1181"/>
      <c r="I55" s="1181"/>
      <c r="J55" s="1176">
        <f t="shared" si="74"/>
        <v>0</v>
      </c>
      <c r="K55" s="562"/>
      <c r="L55" s="1182"/>
      <c r="M55" s="1181"/>
      <c r="N55" s="1181"/>
      <c r="O55" s="1176">
        <f t="shared" si="75"/>
        <v>0</v>
      </c>
      <c r="P55" s="1182"/>
      <c r="Q55" s="1181"/>
      <c r="R55" s="1181"/>
      <c r="S55" s="1176">
        <f t="shared" si="76"/>
        <v>0</v>
      </c>
      <c r="T55" s="562"/>
      <c r="U55" s="1182"/>
      <c r="V55" s="1181"/>
      <c r="W55" s="1181"/>
      <c r="X55" s="1176">
        <f t="shared" si="77"/>
        <v>0</v>
      </c>
      <c r="Y55" s="1182"/>
      <c r="Z55" s="1181"/>
      <c r="AA55" s="1181"/>
      <c r="AB55" s="1176">
        <f t="shared" si="78"/>
        <v>0</v>
      </c>
      <c r="AC55" s="562"/>
      <c r="AD55" s="1182"/>
      <c r="AE55" s="1181"/>
      <c r="AF55" s="1181"/>
      <c r="AG55" s="1176">
        <f t="shared" si="79"/>
        <v>0</v>
      </c>
      <c r="AH55" s="1182"/>
      <c r="AI55" s="1181"/>
      <c r="AJ55" s="1181"/>
      <c r="AK55" s="1176">
        <f t="shared" si="80"/>
        <v>0</v>
      </c>
      <c r="AL55" s="562"/>
      <c r="AM55" s="1182"/>
      <c r="AN55" s="1181"/>
      <c r="AO55" s="1181"/>
      <c r="AP55" s="1176">
        <f t="shared" si="81"/>
        <v>0</v>
      </c>
      <c r="AQ55" s="1182"/>
      <c r="AR55" s="1181"/>
      <c r="AS55" s="1181"/>
      <c r="AT55" s="1176">
        <f t="shared" si="82"/>
        <v>0</v>
      </c>
      <c r="AU55" s="562"/>
      <c r="AV55" s="1182"/>
      <c r="AW55" s="1181"/>
      <c r="AX55" s="1181"/>
      <c r="AY55" s="1176">
        <f t="shared" si="83"/>
        <v>0</v>
      </c>
      <c r="AZ55" s="1191"/>
      <c r="BA55" s="1181"/>
      <c r="BB55" s="1181"/>
      <c r="BC55" s="1176">
        <f t="shared" si="84"/>
        <v>0</v>
      </c>
      <c r="BD55" s="562"/>
      <c r="BE55" s="1182"/>
      <c r="BF55" s="1181"/>
      <c r="BG55" s="1181"/>
      <c r="BH55" s="1176">
        <f t="shared" si="85"/>
        <v>0</v>
      </c>
      <c r="BI55" s="1182"/>
      <c r="BJ55" s="1181"/>
      <c r="BK55" s="1181"/>
      <c r="BL55" s="1176">
        <f t="shared" si="86"/>
        <v>0</v>
      </c>
      <c r="BM55" s="562"/>
      <c r="BN55" s="1182"/>
      <c r="BO55" s="1181"/>
      <c r="BP55" s="1181"/>
      <c r="BQ55" s="1176">
        <f t="shared" si="87"/>
        <v>0</v>
      </c>
      <c r="BR55" s="1182"/>
      <c r="BS55" s="1181"/>
      <c r="BT55" s="1181"/>
      <c r="BU55" s="1176">
        <f t="shared" si="88"/>
        <v>0</v>
      </c>
      <c r="BV55" s="562"/>
      <c r="BW55" s="1182"/>
      <c r="BX55" s="1181"/>
      <c r="BY55" s="1181"/>
      <c r="BZ55" s="1176">
        <f t="shared" si="89"/>
        <v>0</v>
      </c>
      <c r="CA55" s="1159"/>
      <c r="CB55" s="1160"/>
      <c r="CC55" s="1160"/>
      <c r="CD55" s="1151">
        <f t="shared" si="90"/>
        <v>0</v>
      </c>
      <c r="CE55" s="516"/>
      <c r="CF55" s="504"/>
    </row>
    <row r="56">
      <c r="A56" s="504"/>
      <c r="B56" s="514"/>
      <c r="C56" s="1161" t="s">
        <v>270</v>
      </c>
      <c r="D56" s="1162">
        <f>SUM(F50:F55)</f>
        <v>0</v>
      </c>
      <c r="E56" s="1097"/>
      <c r="F56" s="1097"/>
      <c r="G56" s="1183" t="s">
        <v>270</v>
      </c>
      <c r="H56" s="1162">
        <f>SUM(J50:J55)</f>
        <v>0</v>
      </c>
      <c r="I56" s="1097"/>
      <c r="J56" s="1097"/>
      <c r="K56" s="562"/>
      <c r="L56" s="1183" t="s">
        <v>270</v>
      </c>
      <c r="M56" s="1162">
        <f>SUM(O50:O55)</f>
        <v>0</v>
      </c>
      <c r="N56" s="1097"/>
      <c r="O56" s="1097"/>
      <c r="P56" s="1183" t="s">
        <v>270</v>
      </c>
      <c r="Q56" s="1162">
        <f>SUM(S50:S55)</f>
        <v>0</v>
      </c>
      <c r="R56" s="1097"/>
      <c r="S56" s="1097"/>
      <c r="T56" s="562"/>
      <c r="U56" s="1183" t="s">
        <v>270</v>
      </c>
      <c r="V56" s="1162">
        <f>SUM(X50:X55)</f>
        <v>0</v>
      </c>
      <c r="W56" s="1097"/>
      <c r="X56" s="1097"/>
      <c r="Y56" s="1183" t="s">
        <v>270</v>
      </c>
      <c r="Z56" s="1162">
        <f>SUM(AB50:AB55)</f>
        <v>0</v>
      </c>
      <c r="AA56" s="1097"/>
      <c r="AB56" s="1097"/>
      <c r="AC56" s="562"/>
      <c r="AD56" s="1183" t="s">
        <v>270</v>
      </c>
      <c r="AE56" s="1162">
        <f>SUM(AG50:AG55)</f>
        <v>0</v>
      </c>
      <c r="AF56" s="1097"/>
      <c r="AG56" s="1097"/>
      <c r="AH56" s="1183" t="s">
        <v>270</v>
      </c>
      <c r="AI56" s="1162">
        <f>SUM(AK50:AK55)</f>
        <v>0</v>
      </c>
      <c r="AJ56" s="1097"/>
      <c r="AK56" s="1097"/>
      <c r="AL56" s="562"/>
      <c r="AM56" s="1183" t="s">
        <v>270</v>
      </c>
      <c r="AN56" s="1162">
        <f>SUM(AP50:AP55)</f>
        <v>0</v>
      </c>
      <c r="AO56" s="1097"/>
      <c r="AP56" s="1097"/>
      <c r="AQ56" s="1183" t="s">
        <v>270</v>
      </c>
      <c r="AR56" s="1162">
        <f>SUM(AT50:AT55)</f>
        <v>0</v>
      </c>
      <c r="AS56" s="1097"/>
      <c r="AT56" s="1097"/>
      <c r="AU56" s="562"/>
      <c r="AV56" s="1183" t="s">
        <v>270</v>
      </c>
      <c r="AW56" s="1162">
        <f>SUM(AY50:AY55)</f>
        <v>0</v>
      </c>
      <c r="AX56" s="1097"/>
      <c r="AY56" s="1097"/>
      <c r="AZ56" s="1183" t="s">
        <v>270</v>
      </c>
      <c r="BA56" s="1162">
        <f>SUM(BC50:BC55)</f>
        <v>0</v>
      </c>
      <c r="BB56" s="1097"/>
      <c r="BC56" s="1097"/>
      <c r="BD56" s="562"/>
      <c r="BE56" s="1183" t="s">
        <v>270</v>
      </c>
      <c r="BF56" s="1162">
        <f>SUM(BH50:BH55)</f>
        <v>0</v>
      </c>
      <c r="BG56" s="1097"/>
      <c r="BH56" s="1097"/>
      <c r="BI56" s="1183" t="s">
        <v>270</v>
      </c>
      <c r="BJ56" s="1162">
        <f>SUM(BL50:BL55)</f>
        <v>0</v>
      </c>
      <c r="BK56" s="1097"/>
      <c r="BL56" s="1097"/>
      <c r="BM56" s="562"/>
      <c r="BN56" s="1183" t="s">
        <v>270</v>
      </c>
      <c r="BO56" s="1162">
        <f>SUM(BQ50:BQ55)</f>
        <v>0</v>
      </c>
      <c r="BP56" s="1097"/>
      <c r="BQ56" s="1097"/>
      <c r="BR56" s="1183" t="s">
        <v>270</v>
      </c>
      <c r="BS56" s="1162">
        <f>SUM(BU50:BU55)</f>
        <v>0</v>
      </c>
      <c r="BT56" s="1097"/>
      <c r="BU56" s="1097"/>
      <c r="BV56" s="562"/>
      <c r="BW56" s="1183" t="s">
        <v>270</v>
      </c>
      <c r="BX56" s="1162">
        <f>SUM(BZ50:BZ55)</f>
        <v>0</v>
      </c>
      <c r="BY56" s="1097"/>
      <c r="BZ56" s="1097"/>
      <c r="CA56" s="1161" t="s">
        <v>270</v>
      </c>
      <c r="CB56" s="1162">
        <f>SUM(CD50:CD55)</f>
        <v>0</v>
      </c>
      <c r="CC56" s="1097"/>
      <c r="CD56" s="1097"/>
      <c r="CE56" s="516"/>
      <c r="CF56" s="504"/>
    </row>
    <row r="57">
      <c r="A57" s="2"/>
      <c r="B57" s="542"/>
      <c r="C57" s="1163" t="s">
        <v>980</v>
      </c>
      <c r="D57" s="1184"/>
      <c r="E57" s="188"/>
      <c r="F57" s="544"/>
      <c r="G57" s="1185" t="s">
        <v>980</v>
      </c>
      <c r="H57" s="1184"/>
      <c r="I57" s="188"/>
      <c r="J57" s="191"/>
      <c r="K57" s="636"/>
      <c r="L57" s="1185" t="s">
        <v>980</v>
      </c>
      <c r="M57" s="1184"/>
      <c r="N57" s="188"/>
      <c r="O57" s="544"/>
      <c r="P57" s="1185" t="s">
        <v>980</v>
      </c>
      <c r="Q57" s="1184"/>
      <c r="R57" s="188"/>
      <c r="S57" s="191"/>
      <c r="T57" s="636"/>
      <c r="U57" s="1185" t="s">
        <v>980</v>
      </c>
      <c r="V57" s="1184"/>
      <c r="W57" s="188"/>
      <c r="X57" s="544"/>
      <c r="Y57" s="1185" t="s">
        <v>980</v>
      </c>
      <c r="Z57" s="1184"/>
      <c r="AA57" s="188"/>
      <c r="AB57" s="191"/>
      <c r="AC57" s="636"/>
      <c r="AD57" s="1185" t="s">
        <v>980</v>
      </c>
      <c r="AE57" s="1184"/>
      <c r="AF57" s="188"/>
      <c r="AG57" s="544"/>
      <c r="AH57" s="1185" t="s">
        <v>980</v>
      </c>
      <c r="AI57" s="1184"/>
      <c r="AJ57" s="188"/>
      <c r="AK57" s="191"/>
      <c r="AL57" s="636"/>
      <c r="AM57" s="1185" t="s">
        <v>980</v>
      </c>
      <c r="AN57" s="1184"/>
      <c r="AO57" s="188"/>
      <c r="AP57" s="544"/>
      <c r="AQ57" s="1185" t="s">
        <v>980</v>
      </c>
      <c r="AR57" s="1184"/>
      <c r="AS57" s="188"/>
      <c r="AT57" s="191"/>
      <c r="AU57" s="636"/>
      <c r="AV57" s="1185" t="s">
        <v>980</v>
      </c>
      <c r="AW57" s="1184"/>
      <c r="AX57" s="188"/>
      <c r="AY57" s="544"/>
      <c r="AZ57" s="1185" t="s">
        <v>980</v>
      </c>
      <c r="BA57" s="1184"/>
      <c r="BB57" s="188"/>
      <c r="BC57" s="191"/>
      <c r="BD57" s="636"/>
      <c r="BE57" s="1185" t="s">
        <v>980</v>
      </c>
      <c r="BF57" s="1184"/>
      <c r="BG57" s="188"/>
      <c r="BH57" s="544"/>
      <c r="BI57" s="1185" t="s">
        <v>980</v>
      </c>
      <c r="BJ57" s="1184"/>
      <c r="BK57" s="188"/>
      <c r="BL57" s="191"/>
      <c r="BM57" s="636"/>
      <c r="BN57" s="1185" t="s">
        <v>980</v>
      </c>
      <c r="BO57" s="1184"/>
      <c r="BP57" s="188"/>
      <c r="BQ57" s="544"/>
      <c r="BR57" s="1185" t="s">
        <v>980</v>
      </c>
      <c r="BS57" s="1184"/>
      <c r="BT57" s="188"/>
      <c r="BU57" s="191"/>
      <c r="BV57" s="636"/>
      <c r="BW57" s="1185" t="s">
        <v>980</v>
      </c>
      <c r="BX57" s="1184"/>
      <c r="BY57" s="188"/>
      <c r="BZ57" s="544"/>
      <c r="CA57" s="1163" t="s">
        <v>980</v>
      </c>
      <c r="CB57" s="1164"/>
      <c r="CC57" s="188"/>
      <c r="CD57" s="191"/>
      <c r="CE57" s="552"/>
      <c r="CF57" s="2"/>
    </row>
    <row r="58">
      <c r="A58" s="2"/>
      <c r="B58" s="542"/>
      <c r="C58" s="1165" t="s">
        <v>981</v>
      </c>
      <c r="D58" s="1166">
        <v>1.0</v>
      </c>
      <c r="E58" s="1166">
        <v>2.0</v>
      </c>
      <c r="F58" s="1166">
        <v>3.0</v>
      </c>
      <c r="G58" s="1167" t="s">
        <v>982</v>
      </c>
      <c r="H58" s="210"/>
      <c r="I58" s="1168" t="str">
        <f>IF(D57=2,"W",IF(H57=2,"L",))</f>
        <v/>
      </c>
      <c r="J58" s="1169" t="str">
        <f>IF(H57=2,"W",IF(D57=2,"L",))</f>
        <v/>
      </c>
      <c r="K58" s="636"/>
      <c r="L58" s="1170" t="s">
        <v>981</v>
      </c>
      <c r="M58" s="1166">
        <v>1.0</v>
      </c>
      <c r="N58" s="1166">
        <v>2.0</v>
      </c>
      <c r="O58" s="1171">
        <v>3.0</v>
      </c>
      <c r="P58" s="1167" t="s">
        <v>982</v>
      </c>
      <c r="Q58" s="210"/>
      <c r="R58" s="1168" t="str">
        <f>IF(M57=2,"W",IF(Q57=2,"L",))</f>
        <v/>
      </c>
      <c r="S58" s="1169" t="str">
        <f>IF(Q57=2,"W",IF(M57=2,"L",))</f>
        <v/>
      </c>
      <c r="T58" s="636"/>
      <c r="U58" s="1170" t="s">
        <v>981</v>
      </c>
      <c r="V58" s="1166">
        <v>1.0</v>
      </c>
      <c r="W58" s="1166">
        <v>2.0</v>
      </c>
      <c r="X58" s="1166">
        <v>3.0</v>
      </c>
      <c r="Y58" s="1167" t="s">
        <v>982</v>
      </c>
      <c r="Z58" s="210"/>
      <c r="AA58" s="1168" t="str">
        <f>IF(V57=2,"W",IF(Z57=2,"L",))</f>
        <v/>
      </c>
      <c r="AB58" s="1169" t="str">
        <f>IF(Z57=2,"W",IF(V57=2,"L",))</f>
        <v/>
      </c>
      <c r="AC58" s="636"/>
      <c r="AD58" s="1170" t="s">
        <v>981</v>
      </c>
      <c r="AE58" s="1166">
        <v>1.0</v>
      </c>
      <c r="AF58" s="1166">
        <v>2.0</v>
      </c>
      <c r="AG58" s="1166">
        <v>3.0</v>
      </c>
      <c r="AH58" s="1167" t="s">
        <v>982</v>
      </c>
      <c r="AI58" s="210"/>
      <c r="AJ58" s="1168" t="str">
        <f>IF(AE57=2,"W",IF(AI57=2,"L",))</f>
        <v/>
      </c>
      <c r="AK58" s="1169" t="str">
        <f>IF(AI57=2,"W",IF(AE57=2,"L",))</f>
        <v/>
      </c>
      <c r="AL58" s="636"/>
      <c r="AM58" s="1170" t="s">
        <v>981</v>
      </c>
      <c r="AN58" s="1166">
        <v>1.0</v>
      </c>
      <c r="AO58" s="1166">
        <v>2.0</v>
      </c>
      <c r="AP58" s="1171">
        <v>3.0</v>
      </c>
      <c r="AQ58" s="1167" t="s">
        <v>982</v>
      </c>
      <c r="AR58" s="210"/>
      <c r="AS58" s="1168" t="str">
        <f>IF(AN57=2,"W",IF(AR57=2,"L",))</f>
        <v/>
      </c>
      <c r="AT58" s="1169" t="str">
        <f>IF(AR57=2,"W",IF(AN57=2,"L",))</f>
        <v/>
      </c>
      <c r="AU58" s="636"/>
      <c r="AV58" s="1170" t="s">
        <v>981</v>
      </c>
      <c r="AW58" s="1166">
        <v>1.0</v>
      </c>
      <c r="AX58" s="1166">
        <v>2.0</v>
      </c>
      <c r="AY58" s="1171">
        <v>3.0</v>
      </c>
      <c r="AZ58" s="1167" t="s">
        <v>982</v>
      </c>
      <c r="BA58" s="210"/>
      <c r="BB58" s="1168" t="str">
        <f>IF(AW57=2,"W",IF(BA57=2,"L",))</f>
        <v/>
      </c>
      <c r="BC58" s="1169" t="str">
        <f>IF(BA57=2,"W",IF(AW57=2,"L",))</f>
        <v/>
      </c>
      <c r="BD58" s="636"/>
      <c r="BE58" s="1170" t="s">
        <v>981</v>
      </c>
      <c r="BF58" s="1166">
        <v>1.0</v>
      </c>
      <c r="BG58" s="1166">
        <v>2.0</v>
      </c>
      <c r="BH58" s="1171">
        <v>3.0</v>
      </c>
      <c r="BI58" s="1167" t="s">
        <v>982</v>
      </c>
      <c r="BJ58" s="210"/>
      <c r="BK58" s="1168" t="str">
        <f>IF(BF57=2,"W",IF(BJ57=2,"L",))</f>
        <v/>
      </c>
      <c r="BL58" s="1169" t="str">
        <f>IF(BJ57=2,"W",IF(BF57=2,"L",))</f>
        <v/>
      </c>
      <c r="BM58" s="636"/>
      <c r="BN58" s="1170" t="s">
        <v>981</v>
      </c>
      <c r="BO58" s="1166">
        <v>1.0</v>
      </c>
      <c r="BP58" s="1166">
        <v>2.0</v>
      </c>
      <c r="BQ58" s="1171">
        <v>3.0</v>
      </c>
      <c r="BR58" s="1167" t="s">
        <v>982</v>
      </c>
      <c r="BS58" s="210"/>
      <c r="BT58" s="1168" t="str">
        <f>IF(BO57=2,"W",IF(BS57=2,"L",))</f>
        <v/>
      </c>
      <c r="BU58" s="1169" t="str">
        <f>IF(BS57=2,"W",IF(BO57=2,"L",))</f>
        <v/>
      </c>
      <c r="BV58" s="636"/>
      <c r="BW58" s="1170" t="s">
        <v>981</v>
      </c>
      <c r="BX58" s="1171">
        <v>1.0</v>
      </c>
      <c r="BY58" s="1171">
        <v>2.0</v>
      </c>
      <c r="BZ58" s="1171">
        <v>3.0</v>
      </c>
      <c r="CA58" s="1172" t="s">
        <v>982</v>
      </c>
      <c r="CB58" s="210"/>
      <c r="CC58" s="1173" t="str">
        <f>IF(BX57=2,"W",IF(CB57=2,"L",))</f>
        <v/>
      </c>
      <c r="CD58" s="1174" t="str">
        <f>IF(CB57=2,"W",IF(BX57=2,"L",))</f>
        <v/>
      </c>
      <c r="CE58" s="552"/>
      <c r="CF58" s="2"/>
    </row>
    <row r="59" ht="7.5" customHeight="1">
      <c r="A59" s="504"/>
      <c r="B59" s="514"/>
      <c r="C59" s="515"/>
      <c r="D59" s="562"/>
      <c r="E59" s="562"/>
      <c r="F59" s="562"/>
      <c r="G59" s="562"/>
      <c r="H59" s="562"/>
      <c r="I59" s="562"/>
      <c r="J59" s="562"/>
      <c r="K59" s="562"/>
      <c r="L59" s="562"/>
      <c r="M59" s="562"/>
      <c r="N59" s="562"/>
      <c r="O59" s="562"/>
      <c r="P59" s="562"/>
      <c r="Q59" s="562"/>
      <c r="R59" s="562"/>
      <c r="S59" s="562"/>
      <c r="T59" s="562"/>
      <c r="U59" s="562"/>
      <c r="V59" s="562"/>
      <c r="W59" s="562"/>
      <c r="X59" s="562"/>
      <c r="Y59" s="562"/>
      <c r="Z59" s="562"/>
      <c r="AA59" s="562"/>
      <c r="AB59" s="562"/>
      <c r="AC59" s="562"/>
      <c r="AD59" s="562"/>
      <c r="AE59" s="562"/>
      <c r="AF59" s="562"/>
      <c r="AG59" s="562"/>
      <c r="AH59" s="562"/>
      <c r="AI59" s="562"/>
      <c r="AJ59" s="562"/>
      <c r="AK59" s="562"/>
      <c r="AL59" s="562"/>
      <c r="AM59" s="562"/>
      <c r="AN59" s="562"/>
      <c r="AO59" s="562"/>
      <c r="AP59" s="562"/>
      <c r="AQ59" s="562"/>
      <c r="AR59" s="562"/>
      <c r="AS59" s="562"/>
      <c r="AT59" s="562"/>
      <c r="AU59" s="562"/>
      <c r="AV59" s="562"/>
      <c r="AW59" s="562"/>
      <c r="AX59" s="562"/>
      <c r="AY59" s="562"/>
      <c r="AZ59" s="562"/>
      <c r="BA59" s="562"/>
      <c r="BB59" s="562"/>
      <c r="BC59" s="562"/>
      <c r="BD59" s="562"/>
      <c r="BE59" s="562"/>
      <c r="BF59" s="562"/>
      <c r="BG59" s="562"/>
      <c r="BH59" s="562"/>
      <c r="BI59" s="562"/>
      <c r="BJ59" s="562"/>
      <c r="BK59" s="562"/>
      <c r="BL59" s="562"/>
      <c r="BM59" s="562"/>
      <c r="BN59" s="562"/>
      <c r="BO59" s="562"/>
      <c r="BP59" s="562"/>
      <c r="BQ59" s="562"/>
      <c r="BR59" s="562"/>
      <c r="BS59" s="562"/>
      <c r="BT59" s="562"/>
      <c r="BU59" s="562"/>
      <c r="BV59" s="562"/>
      <c r="BW59" s="562"/>
      <c r="BX59" s="562"/>
      <c r="BY59" s="562"/>
      <c r="BZ59" s="562"/>
      <c r="CA59" s="515"/>
      <c r="CB59" s="515"/>
      <c r="CC59" s="515"/>
      <c r="CD59" s="515"/>
      <c r="CE59" s="516"/>
      <c r="CF59" s="504"/>
    </row>
    <row r="60">
      <c r="A60" s="504"/>
      <c r="B60" s="514"/>
      <c r="C60" s="517" t="str">
        <f>#REF!</f>
        <v>#REF!</v>
      </c>
      <c r="D60" s="564" t="s">
        <v>76</v>
      </c>
      <c r="E60" s="565" t="s">
        <v>77</v>
      </c>
      <c r="F60" s="565" t="s">
        <v>78</v>
      </c>
      <c r="G60" s="566" t="str">
        <f>#REF!</f>
        <v>#REF!</v>
      </c>
      <c r="H60" s="567" t="s">
        <v>76</v>
      </c>
      <c r="I60" s="568" t="s">
        <v>77</v>
      </c>
      <c r="J60" s="569" t="s">
        <v>78</v>
      </c>
      <c r="K60" s="562"/>
      <c r="L60" s="656" t="str">
        <f>#REF!</f>
        <v>#REF!</v>
      </c>
      <c r="M60" s="564" t="s">
        <v>76</v>
      </c>
      <c r="N60" s="565" t="s">
        <v>77</v>
      </c>
      <c r="O60" s="565" t="s">
        <v>78</v>
      </c>
      <c r="P60" s="566" t="str">
        <f>#REF!</f>
        <v>#REF!</v>
      </c>
      <c r="Q60" s="567" t="s">
        <v>76</v>
      </c>
      <c r="R60" s="568" t="s">
        <v>77</v>
      </c>
      <c r="S60" s="569" t="s">
        <v>78</v>
      </c>
      <c r="T60" s="562"/>
      <c r="U60" s="656" t="str">
        <f>#REF!</f>
        <v>#REF!</v>
      </c>
      <c r="V60" s="564" t="s">
        <v>76</v>
      </c>
      <c r="W60" s="565" t="s">
        <v>77</v>
      </c>
      <c r="X60" s="565" t="s">
        <v>78</v>
      </c>
      <c r="Y60" s="566" t="str">
        <f>#REF!</f>
        <v>#REF!</v>
      </c>
      <c r="Z60" s="567" t="s">
        <v>76</v>
      </c>
      <c r="AA60" s="568" t="s">
        <v>77</v>
      </c>
      <c r="AB60" s="569" t="s">
        <v>78</v>
      </c>
      <c r="AC60" s="562"/>
      <c r="AD60" s="656" t="str">
        <f>#REF!</f>
        <v>#REF!</v>
      </c>
      <c r="AE60" s="564" t="s">
        <v>76</v>
      </c>
      <c r="AF60" s="565" t="s">
        <v>77</v>
      </c>
      <c r="AG60" s="565" t="s">
        <v>78</v>
      </c>
      <c r="AH60" s="566" t="str">
        <f>#REF!</f>
        <v>#REF!</v>
      </c>
      <c r="AI60" s="567" t="s">
        <v>76</v>
      </c>
      <c r="AJ60" s="568" t="s">
        <v>77</v>
      </c>
      <c r="AK60" s="569" t="s">
        <v>78</v>
      </c>
      <c r="AL60" s="562"/>
      <c r="AM60" s="656" t="str">
        <f>#REF!</f>
        <v>#REF!</v>
      </c>
      <c r="AN60" s="564" t="s">
        <v>76</v>
      </c>
      <c r="AO60" s="565" t="s">
        <v>77</v>
      </c>
      <c r="AP60" s="565" t="s">
        <v>78</v>
      </c>
      <c r="AQ60" s="566" t="str">
        <f>#REF!</f>
        <v>#REF!</v>
      </c>
      <c r="AR60" s="567" t="s">
        <v>76</v>
      </c>
      <c r="AS60" s="568" t="s">
        <v>77</v>
      </c>
      <c r="AT60" s="569" t="s">
        <v>78</v>
      </c>
      <c r="AU60" s="562"/>
      <c r="AV60" s="656" t="str">
        <f>#REF!</f>
        <v>#REF!</v>
      </c>
      <c r="AW60" s="564" t="s">
        <v>76</v>
      </c>
      <c r="AX60" s="565" t="s">
        <v>77</v>
      </c>
      <c r="AY60" s="565" t="s">
        <v>78</v>
      </c>
      <c r="AZ60" s="566" t="str">
        <f>#REF!</f>
        <v>#REF!</v>
      </c>
      <c r="BA60" s="567" t="s">
        <v>76</v>
      </c>
      <c r="BB60" s="568" t="s">
        <v>77</v>
      </c>
      <c r="BC60" s="569" t="s">
        <v>78</v>
      </c>
      <c r="BD60" s="562"/>
      <c r="BE60" s="656" t="str">
        <f>#REF!</f>
        <v>#REF!</v>
      </c>
      <c r="BF60" s="564" t="s">
        <v>76</v>
      </c>
      <c r="BG60" s="565" t="s">
        <v>77</v>
      </c>
      <c r="BH60" s="565" t="s">
        <v>78</v>
      </c>
      <c r="BI60" s="566" t="str">
        <f>#REF!</f>
        <v>#REF!</v>
      </c>
      <c r="BJ60" s="567" t="s">
        <v>76</v>
      </c>
      <c r="BK60" s="568" t="s">
        <v>77</v>
      </c>
      <c r="BL60" s="569" t="s">
        <v>78</v>
      </c>
      <c r="BM60" s="562"/>
      <c r="BN60" s="656" t="str">
        <f>#REF!</f>
        <v>#REF!</v>
      </c>
      <c r="BO60" s="564" t="s">
        <v>76</v>
      </c>
      <c r="BP60" s="565" t="s">
        <v>77</v>
      </c>
      <c r="BQ60" s="565" t="s">
        <v>78</v>
      </c>
      <c r="BR60" s="566" t="str">
        <f>#REF!</f>
        <v>#REF!</v>
      </c>
      <c r="BS60" s="567" t="s">
        <v>76</v>
      </c>
      <c r="BT60" s="568" t="s">
        <v>77</v>
      </c>
      <c r="BU60" s="569" t="s">
        <v>78</v>
      </c>
      <c r="BV60" s="562"/>
      <c r="BW60" s="656" t="str">
        <f>#REF!</f>
        <v>#REF!</v>
      </c>
      <c r="BX60" s="564" t="s">
        <v>76</v>
      </c>
      <c r="BY60" s="565" t="s">
        <v>77</v>
      </c>
      <c r="BZ60" s="565" t="s">
        <v>78</v>
      </c>
      <c r="CA60" s="521" t="str">
        <f>#REF!</f>
        <v>#REF!</v>
      </c>
      <c r="CB60" s="522" t="s">
        <v>76</v>
      </c>
      <c r="CC60" s="523" t="s">
        <v>77</v>
      </c>
      <c r="CD60" s="524" t="s">
        <v>78</v>
      </c>
      <c r="CE60" s="516"/>
      <c r="CF60" s="504"/>
    </row>
    <row r="61">
      <c r="A61" s="504"/>
      <c r="B61" s="514"/>
      <c r="C61" s="1149"/>
      <c r="D61" s="1175"/>
      <c r="E61" s="1175"/>
      <c r="F61" s="1176">
        <f t="shared" ref="F61:F66" si="91">D61-E61</f>
        <v>0</v>
      </c>
      <c r="G61" s="1177"/>
      <c r="H61" s="1175"/>
      <c r="I61" s="1175"/>
      <c r="J61" s="1176">
        <f t="shared" ref="J61:J66" si="92">H61-I61</f>
        <v>0</v>
      </c>
      <c r="K61" s="562"/>
      <c r="L61" s="1177"/>
      <c r="M61" s="1175"/>
      <c r="N61" s="1175"/>
      <c r="O61" s="1176">
        <f t="shared" ref="O61:O66" si="93">M61-N61</f>
        <v>0</v>
      </c>
      <c r="P61" s="1177"/>
      <c r="Q61" s="1175"/>
      <c r="R61" s="1175"/>
      <c r="S61" s="1176">
        <f t="shared" ref="S61:S66" si="94">Q61-R61</f>
        <v>0</v>
      </c>
      <c r="T61" s="562"/>
      <c r="U61" s="1177"/>
      <c r="V61" s="1175"/>
      <c r="W61" s="1175"/>
      <c r="X61" s="1176">
        <f t="shared" ref="X61:X66" si="95">V61-W61</f>
        <v>0</v>
      </c>
      <c r="Y61" s="1177"/>
      <c r="Z61" s="1175"/>
      <c r="AA61" s="1175"/>
      <c r="AB61" s="1176">
        <f t="shared" ref="AB61:AB66" si="96">Z61-AA61</f>
        <v>0</v>
      </c>
      <c r="AC61" s="562"/>
      <c r="AD61" s="1177"/>
      <c r="AE61" s="1175"/>
      <c r="AF61" s="1175"/>
      <c r="AG61" s="1176">
        <f t="shared" ref="AG61:AG66" si="97">AE61-AF61</f>
        <v>0</v>
      </c>
      <c r="AH61" s="1177"/>
      <c r="AI61" s="1175"/>
      <c r="AJ61" s="1175"/>
      <c r="AK61" s="1176">
        <f t="shared" ref="AK61:AK66" si="98">AI61-AJ61</f>
        <v>0</v>
      </c>
      <c r="AL61" s="562"/>
      <c r="AM61" s="1177"/>
      <c r="AN61" s="1175"/>
      <c r="AO61" s="1175"/>
      <c r="AP61" s="1176">
        <f t="shared" ref="AP61:AP66" si="99">AN61-AO61</f>
        <v>0</v>
      </c>
      <c r="AQ61" s="1177"/>
      <c r="AR61" s="1175"/>
      <c r="AS61" s="1175"/>
      <c r="AT61" s="1176">
        <f t="shared" ref="AT61:AT66" si="100">AR61-AS61</f>
        <v>0</v>
      </c>
      <c r="AU61" s="562"/>
      <c r="AV61" s="1177"/>
      <c r="AW61" s="1175"/>
      <c r="AX61" s="1175"/>
      <c r="AY61" s="1176">
        <f t="shared" ref="AY61:AY66" si="101">AW61-AX61</f>
        <v>0</v>
      </c>
      <c r="AZ61" s="1177"/>
      <c r="BA61" s="1175"/>
      <c r="BB61" s="1175"/>
      <c r="BC61" s="1176">
        <f t="shared" ref="BC61:BC66" si="102">BA61-BB61</f>
        <v>0</v>
      </c>
      <c r="BD61" s="562"/>
      <c r="BE61" s="1177"/>
      <c r="BF61" s="1175"/>
      <c r="BG61" s="1175"/>
      <c r="BH61" s="1176">
        <f t="shared" ref="BH61:BH66" si="103">BF61-BG61</f>
        <v>0</v>
      </c>
      <c r="BI61" s="1177"/>
      <c r="BJ61" s="1175"/>
      <c r="BK61" s="1175"/>
      <c r="BL61" s="1176">
        <f t="shared" ref="BL61:BL66" si="104">BJ61-BK61</f>
        <v>0</v>
      </c>
      <c r="BM61" s="562"/>
      <c r="BN61" s="1177"/>
      <c r="BO61" s="1175"/>
      <c r="BP61" s="1175"/>
      <c r="BQ61" s="1176">
        <f t="shared" ref="BQ61:BQ66" si="105">BO61-BP61</f>
        <v>0</v>
      </c>
      <c r="BR61" s="1177"/>
      <c r="BS61" s="1175"/>
      <c r="BT61" s="1175"/>
      <c r="BU61" s="1176">
        <f t="shared" ref="BU61:BU66" si="106">BS61-BT61</f>
        <v>0</v>
      </c>
      <c r="BV61" s="562"/>
      <c r="BW61" s="1177"/>
      <c r="BX61" s="1175"/>
      <c r="BY61" s="1175"/>
      <c r="BZ61" s="1176">
        <f t="shared" ref="BZ61:BZ66" si="107">BX61-BY61</f>
        <v>0</v>
      </c>
      <c r="CA61" s="1149"/>
      <c r="CB61" s="1150"/>
      <c r="CC61" s="1150"/>
      <c r="CD61" s="1151">
        <f t="shared" ref="CD61:CD66" si="108">CB61-CC61</f>
        <v>0</v>
      </c>
      <c r="CE61" s="516"/>
      <c r="CF61" s="504"/>
    </row>
    <row r="62">
      <c r="A62" s="504"/>
      <c r="B62" s="514"/>
      <c r="C62" s="1154"/>
      <c r="D62" s="1178"/>
      <c r="E62" s="1178"/>
      <c r="F62" s="1176">
        <f t="shared" si="91"/>
        <v>0</v>
      </c>
      <c r="G62" s="1179"/>
      <c r="H62" s="1178"/>
      <c r="I62" s="1178"/>
      <c r="J62" s="1176">
        <f t="shared" si="92"/>
        <v>0</v>
      </c>
      <c r="K62" s="562"/>
      <c r="L62" s="1179"/>
      <c r="M62" s="1178"/>
      <c r="N62" s="1178"/>
      <c r="O62" s="1176">
        <f t="shared" si="93"/>
        <v>0</v>
      </c>
      <c r="P62" s="1179"/>
      <c r="Q62" s="1178"/>
      <c r="R62" s="1178"/>
      <c r="S62" s="1176">
        <f t="shared" si="94"/>
        <v>0</v>
      </c>
      <c r="T62" s="562"/>
      <c r="U62" s="1179"/>
      <c r="V62" s="1178"/>
      <c r="W62" s="1178"/>
      <c r="X62" s="1176">
        <f t="shared" si="95"/>
        <v>0</v>
      </c>
      <c r="Y62" s="1179"/>
      <c r="Z62" s="1178"/>
      <c r="AA62" s="1178"/>
      <c r="AB62" s="1176">
        <f t="shared" si="96"/>
        <v>0</v>
      </c>
      <c r="AC62" s="562"/>
      <c r="AD62" s="1179"/>
      <c r="AE62" s="1178"/>
      <c r="AF62" s="1178"/>
      <c r="AG62" s="1176">
        <f t="shared" si="97"/>
        <v>0</v>
      </c>
      <c r="AH62" s="1179"/>
      <c r="AI62" s="1178"/>
      <c r="AJ62" s="1178"/>
      <c r="AK62" s="1176">
        <f t="shared" si="98"/>
        <v>0</v>
      </c>
      <c r="AL62" s="562"/>
      <c r="AM62" s="1179"/>
      <c r="AN62" s="1178"/>
      <c r="AO62" s="1178"/>
      <c r="AP62" s="1176">
        <f t="shared" si="99"/>
        <v>0</v>
      </c>
      <c r="AQ62" s="1179"/>
      <c r="AR62" s="1178"/>
      <c r="AS62" s="1178"/>
      <c r="AT62" s="1176">
        <f t="shared" si="100"/>
        <v>0</v>
      </c>
      <c r="AU62" s="562"/>
      <c r="AV62" s="1179"/>
      <c r="AW62" s="1178"/>
      <c r="AX62" s="1178"/>
      <c r="AY62" s="1176">
        <f t="shared" si="101"/>
        <v>0</v>
      </c>
      <c r="AZ62" s="1179"/>
      <c r="BA62" s="1178"/>
      <c r="BB62" s="1178"/>
      <c r="BC62" s="1176">
        <f t="shared" si="102"/>
        <v>0</v>
      </c>
      <c r="BD62" s="562"/>
      <c r="BE62" s="1179"/>
      <c r="BF62" s="1178"/>
      <c r="BG62" s="1178"/>
      <c r="BH62" s="1176">
        <f t="shared" si="103"/>
        <v>0</v>
      </c>
      <c r="BI62" s="1179"/>
      <c r="BJ62" s="1178"/>
      <c r="BK62" s="1178"/>
      <c r="BL62" s="1176">
        <f t="shared" si="104"/>
        <v>0</v>
      </c>
      <c r="BM62" s="562"/>
      <c r="BN62" s="1179"/>
      <c r="BO62" s="1178"/>
      <c r="BP62" s="1178"/>
      <c r="BQ62" s="1176">
        <f t="shared" si="105"/>
        <v>0</v>
      </c>
      <c r="BR62" s="1179"/>
      <c r="BS62" s="1178"/>
      <c r="BT62" s="1178"/>
      <c r="BU62" s="1176">
        <f t="shared" si="106"/>
        <v>0</v>
      </c>
      <c r="BV62" s="562"/>
      <c r="BW62" s="1179"/>
      <c r="BX62" s="1178"/>
      <c r="BY62" s="1178"/>
      <c r="BZ62" s="1176">
        <f t="shared" si="107"/>
        <v>0</v>
      </c>
      <c r="CA62" s="1154"/>
      <c r="CB62" s="1155"/>
      <c r="CC62" s="1155"/>
      <c r="CD62" s="1151">
        <f t="shared" si="108"/>
        <v>0</v>
      </c>
      <c r="CE62" s="516"/>
      <c r="CF62" s="504"/>
    </row>
    <row r="63">
      <c r="A63" s="504"/>
      <c r="B63" s="514"/>
      <c r="C63" s="1154"/>
      <c r="D63" s="1178"/>
      <c r="E63" s="1178"/>
      <c r="F63" s="1176">
        <f t="shared" si="91"/>
        <v>0</v>
      </c>
      <c r="G63" s="1179"/>
      <c r="H63" s="1178"/>
      <c r="I63" s="1178"/>
      <c r="J63" s="1176">
        <f t="shared" si="92"/>
        <v>0</v>
      </c>
      <c r="K63" s="562"/>
      <c r="L63" s="1179"/>
      <c r="M63" s="1178"/>
      <c r="N63" s="1178"/>
      <c r="O63" s="1176">
        <f t="shared" si="93"/>
        <v>0</v>
      </c>
      <c r="P63" s="1179"/>
      <c r="Q63" s="1178"/>
      <c r="R63" s="1178"/>
      <c r="S63" s="1176">
        <f t="shared" si="94"/>
        <v>0</v>
      </c>
      <c r="T63" s="562"/>
      <c r="U63" s="1179"/>
      <c r="V63" s="1178"/>
      <c r="W63" s="1178"/>
      <c r="X63" s="1176">
        <f t="shared" si="95"/>
        <v>0</v>
      </c>
      <c r="Y63" s="1179"/>
      <c r="Z63" s="1178"/>
      <c r="AA63" s="1178"/>
      <c r="AB63" s="1176">
        <f t="shared" si="96"/>
        <v>0</v>
      </c>
      <c r="AC63" s="562"/>
      <c r="AD63" s="1179"/>
      <c r="AE63" s="1178"/>
      <c r="AF63" s="1178"/>
      <c r="AG63" s="1176">
        <f t="shared" si="97"/>
        <v>0</v>
      </c>
      <c r="AH63" s="1179"/>
      <c r="AI63" s="1178"/>
      <c r="AJ63" s="1178"/>
      <c r="AK63" s="1176">
        <f t="shared" si="98"/>
        <v>0</v>
      </c>
      <c r="AL63" s="562"/>
      <c r="AM63" s="1179"/>
      <c r="AN63" s="1178"/>
      <c r="AO63" s="1178"/>
      <c r="AP63" s="1176">
        <f t="shared" si="99"/>
        <v>0</v>
      </c>
      <c r="AQ63" s="1179"/>
      <c r="AR63" s="1178"/>
      <c r="AS63" s="1178"/>
      <c r="AT63" s="1176">
        <f t="shared" si="100"/>
        <v>0</v>
      </c>
      <c r="AU63" s="562"/>
      <c r="AV63" s="1179"/>
      <c r="AW63" s="1178"/>
      <c r="AX63" s="1178"/>
      <c r="AY63" s="1176">
        <f t="shared" si="101"/>
        <v>0</v>
      </c>
      <c r="AZ63" s="1179"/>
      <c r="BA63" s="1178"/>
      <c r="BB63" s="1178"/>
      <c r="BC63" s="1176">
        <f t="shared" si="102"/>
        <v>0</v>
      </c>
      <c r="BD63" s="562"/>
      <c r="BE63" s="1179"/>
      <c r="BF63" s="1178"/>
      <c r="BG63" s="1178"/>
      <c r="BH63" s="1176">
        <f t="shared" si="103"/>
        <v>0</v>
      </c>
      <c r="BI63" s="1179"/>
      <c r="BJ63" s="1178"/>
      <c r="BK63" s="1178"/>
      <c r="BL63" s="1176">
        <f t="shared" si="104"/>
        <v>0</v>
      </c>
      <c r="BM63" s="562"/>
      <c r="BN63" s="1179"/>
      <c r="BO63" s="1178"/>
      <c r="BP63" s="1178"/>
      <c r="BQ63" s="1176">
        <f t="shared" si="105"/>
        <v>0</v>
      </c>
      <c r="BR63" s="1179"/>
      <c r="BS63" s="1178"/>
      <c r="BT63" s="1178"/>
      <c r="BU63" s="1176">
        <f t="shared" si="106"/>
        <v>0</v>
      </c>
      <c r="BV63" s="562"/>
      <c r="BW63" s="1179"/>
      <c r="BX63" s="1178"/>
      <c r="BY63" s="1178"/>
      <c r="BZ63" s="1176">
        <f t="shared" si="107"/>
        <v>0</v>
      </c>
      <c r="CA63" s="1154"/>
      <c r="CB63" s="1155"/>
      <c r="CC63" s="1155"/>
      <c r="CD63" s="1151">
        <f t="shared" si="108"/>
        <v>0</v>
      </c>
      <c r="CE63" s="516"/>
      <c r="CF63" s="504"/>
    </row>
    <row r="64">
      <c r="A64" s="504"/>
      <c r="B64" s="514"/>
      <c r="C64" s="1154"/>
      <c r="D64" s="1178"/>
      <c r="E64" s="1178"/>
      <c r="F64" s="1176">
        <f t="shared" si="91"/>
        <v>0</v>
      </c>
      <c r="G64" s="1179"/>
      <c r="H64" s="1178"/>
      <c r="I64" s="1178"/>
      <c r="J64" s="1176">
        <f t="shared" si="92"/>
        <v>0</v>
      </c>
      <c r="K64" s="562"/>
      <c r="L64" s="1179"/>
      <c r="M64" s="1178"/>
      <c r="N64" s="1178"/>
      <c r="O64" s="1176">
        <f t="shared" si="93"/>
        <v>0</v>
      </c>
      <c r="P64" s="1179"/>
      <c r="Q64" s="1178"/>
      <c r="R64" s="1178"/>
      <c r="S64" s="1176">
        <f t="shared" si="94"/>
        <v>0</v>
      </c>
      <c r="T64" s="562"/>
      <c r="U64" s="1179"/>
      <c r="V64" s="1178"/>
      <c r="W64" s="1178"/>
      <c r="X64" s="1176">
        <f t="shared" si="95"/>
        <v>0</v>
      </c>
      <c r="Y64" s="1179"/>
      <c r="Z64" s="1178"/>
      <c r="AA64" s="1178"/>
      <c r="AB64" s="1176">
        <f t="shared" si="96"/>
        <v>0</v>
      </c>
      <c r="AC64" s="562"/>
      <c r="AD64" s="1179"/>
      <c r="AE64" s="1178"/>
      <c r="AF64" s="1178"/>
      <c r="AG64" s="1176">
        <f t="shared" si="97"/>
        <v>0</v>
      </c>
      <c r="AH64" s="1179"/>
      <c r="AI64" s="1178"/>
      <c r="AJ64" s="1178"/>
      <c r="AK64" s="1176">
        <f t="shared" si="98"/>
        <v>0</v>
      </c>
      <c r="AL64" s="562"/>
      <c r="AM64" s="1179"/>
      <c r="AN64" s="1178"/>
      <c r="AO64" s="1178"/>
      <c r="AP64" s="1176">
        <f t="shared" si="99"/>
        <v>0</v>
      </c>
      <c r="AQ64" s="1179"/>
      <c r="AR64" s="1178"/>
      <c r="AS64" s="1178"/>
      <c r="AT64" s="1176">
        <f t="shared" si="100"/>
        <v>0</v>
      </c>
      <c r="AU64" s="562"/>
      <c r="AV64" s="1179"/>
      <c r="AW64" s="1178"/>
      <c r="AX64" s="1178"/>
      <c r="AY64" s="1176">
        <f t="shared" si="101"/>
        <v>0</v>
      </c>
      <c r="AZ64" s="1179"/>
      <c r="BA64" s="1178"/>
      <c r="BB64" s="1178"/>
      <c r="BC64" s="1176">
        <f t="shared" si="102"/>
        <v>0</v>
      </c>
      <c r="BD64" s="562"/>
      <c r="BE64" s="1179"/>
      <c r="BF64" s="1178"/>
      <c r="BG64" s="1178"/>
      <c r="BH64" s="1176">
        <f t="shared" si="103"/>
        <v>0</v>
      </c>
      <c r="BI64" s="1179"/>
      <c r="BJ64" s="1178"/>
      <c r="BK64" s="1178"/>
      <c r="BL64" s="1176">
        <f t="shared" si="104"/>
        <v>0</v>
      </c>
      <c r="BM64" s="562"/>
      <c r="BN64" s="1179"/>
      <c r="BO64" s="1178"/>
      <c r="BP64" s="1178"/>
      <c r="BQ64" s="1176">
        <f t="shared" si="105"/>
        <v>0</v>
      </c>
      <c r="BR64" s="1179"/>
      <c r="BS64" s="1178"/>
      <c r="BT64" s="1178"/>
      <c r="BU64" s="1176">
        <f t="shared" si="106"/>
        <v>0</v>
      </c>
      <c r="BV64" s="562"/>
      <c r="BW64" s="1179"/>
      <c r="BX64" s="1178"/>
      <c r="BY64" s="1178"/>
      <c r="BZ64" s="1176">
        <f t="shared" si="107"/>
        <v>0</v>
      </c>
      <c r="CA64" s="1154"/>
      <c r="CB64" s="1155"/>
      <c r="CC64" s="1155"/>
      <c r="CD64" s="1151">
        <f t="shared" si="108"/>
        <v>0</v>
      </c>
      <c r="CE64" s="516"/>
      <c r="CF64" s="504"/>
    </row>
    <row r="65">
      <c r="A65" s="504"/>
      <c r="B65" s="514"/>
      <c r="C65" s="1154"/>
      <c r="D65" s="1178"/>
      <c r="E65" s="1178"/>
      <c r="F65" s="1176">
        <f t="shared" si="91"/>
        <v>0</v>
      </c>
      <c r="G65" s="1179"/>
      <c r="H65" s="1178"/>
      <c r="I65" s="1178"/>
      <c r="J65" s="1176">
        <f t="shared" si="92"/>
        <v>0</v>
      </c>
      <c r="K65" s="562"/>
      <c r="L65" s="1179"/>
      <c r="M65" s="1178"/>
      <c r="N65" s="1178"/>
      <c r="O65" s="1176">
        <f t="shared" si="93"/>
        <v>0</v>
      </c>
      <c r="P65" s="1179"/>
      <c r="Q65" s="1178"/>
      <c r="R65" s="1178"/>
      <c r="S65" s="1176">
        <f t="shared" si="94"/>
        <v>0</v>
      </c>
      <c r="T65" s="562"/>
      <c r="U65" s="1179"/>
      <c r="V65" s="1178"/>
      <c r="W65" s="1178"/>
      <c r="X65" s="1176">
        <f t="shared" si="95"/>
        <v>0</v>
      </c>
      <c r="Y65" s="1179"/>
      <c r="Z65" s="1178"/>
      <c r="AA65" s="1178"/>
      <c r="AB65" s="1176">
        <f t="shared" si="96"/>
        <v>0</v>
      </c>
      <c r="AC65" s="562"/>
      <c r="AD65" s="1179"/>
      <c r="AE65" s="1178"/>
      <c r="AF65" s="1178"/>
      <c r="AG65" s="1176">
        <f t="shared" si="97"/>
        <v>0</v>
      </c>
      <c r="AH65" s="1179"/>
      <c r="AI65" s="1178"/>
      <c r="AJ65" s="1178"/>
      <c r="AK65" s="1176">
        <f t="shared" si="98"/>
        <v>0</v>
      </c>
      <c r="AL65" s="562"/>
      <c r="AM65" s="1179"/>
      <c r="AN65" s="1178"/>
      <c r="AO65" s="1178"/>
      <c r="AP65" s="1176">
        <f t="shared" si="99"/>
        <v>0</v>
      </c>
      <c r="AQ65" s="1179"/>
      <c r="AR65" s="1178"/>
      <c r="AS65" s="1178"/>
      <c r="AT65" s="1176">
        <f t="shared" si="100"/>
        <v>0</v>
      </c>
      <c r="AU65" s="562"/>
      <c r="AV65" s="1179"/>
      <c r="AW65" s="1178"/>
      <c r="AX65" s="1178"/>
      <c r="AY65" s="1176">
        <f t="shared" si="101"/>
        <v>0</v>
      </c>
      <c r="AZ65" s="1179"/>
      <c r="BA65" s="1178"/>
      <c r="BB65" s="1178"/>
      <c r="BC65" s="1176">
        <f t="shared" si="102"/>
        <v>0</v>
      </c>
      <c r="BD65" s="562"/>
      <c r="BE65" s="1179"/>
      <c r="BF65" s="1178"/>
      <c r="BG65" s="1178"/>
      <c r="BH65" s="1176">
        <f t="shared" si="103"/>
        <v>0</v>
      </c>
      <c r="BI65" s="1179"/>
      <c r="BJ65" s="1178"/>
      <c r="BK65" s="1178"/>
      <c r="BL65" s="1176">
        <f t="shared" si="104"/>
        <v>0</v>
      </c>
      <c r="BM65" s="562"/>
      <c r="BN65" s="1179"/>
      <c r="BO65" s="1178"/>
      <c r="BP65" s="1178"/>
      <c r="BQ65" s="1176">
        <f t="shared" si="105"/>
        <v>0</v>
      </c>
      <c r="BR65" s="1179"/>
      <c r="BS65" s="1178"/>
      <c r="BT65" s="1178"/>
      <c r="BU65" s="1176">
        <f t="shared" si="106"/>
        <v>0</v>
      </c>
      <c r="BV65" s="562"/>
      <c r="BW65" s="1179"/>
      <c r="BX65" s="1178"/>
      <c r="BY65" s="1178"/>
      <c r="BZ65" s="1176">
        <f t="shared" si="107"/>
        <v>0</v>
      </c>
      <c r="CA65" s="1154"/>
      <c r="CB65" s="1155"/>
      <c r="CC65" s="1155"/>
      <c r="CD65" s="1151">
        <f t="shared" si="108"/>
        <v>0</v>
      </c>
      <c r="CE65" s="516"/>
      <c r="CF65" s="504"/>
    </row>
    <row r="66">
      <c r="A66" s="504"/>
      <c r="B66" s="514"/>
      <c r="C66" s="1159"/>
      <c r="D66" s="1181"/>
      <c r="E66" s="1181"/>
      <c r="F66" s="1176">
        <f t="shared" si="91"/>
        <v>0</v>
      </c>
      <c r="G66" s="1182"/>
      <c r="H66" s="1181"/>
      <c r="I66" s="1181"/>
      <c r="J66" s="1176">
        <f t="shared" si="92"/>
        <v>0</v>
      </c>
      <c r="K66" s="562"/>
      <c r="L66" s="1182"/>
      <c r="M66" s="1181"/>
      <c r="N66" s="1181"/>
      <c r="O66" s="1176">
        <f t="shared" si="93"/>
        <v>0</v>
      </c>
      <c r="P66" s="1182"/>
      <c r="Q66" s="1181"/>
      <c r="R66" s="1181"/>
      <c r="S66" s="1176">
        <f t="shared" si="94"/>
        <v>0</v>
      </c>
      <c r="T66" s="562"/>
      <c r="U66" s="1182"/>
      <c r="V66" s="1181"/>
      <c r="W66" s="1181"/>
      <c r="X66" s="1176">
        <f t="shared" si="95"/>
        <v>0</v>
      </c>
      <c r="Y66" s="1182"/>
      <c r="Z66" s="1181"/>
      <c r="AA66" s="1181"/>
      <c r="AB66" s="1176">
        <f t="shared" si="96"/>
        <v>0</v>
      </c>
      <c r="AC66" s="562"/>
      <c r="AD66" s="1182"/>
      <c r="AE66" s="1181"/>
      <c r="AF66" s="1181"/>
      <c r="AG66" s="1176">
        <f t="shared" si="97"/>
        <v>0</v>
      </c>
      <c r="AH66" s="1182"/>
      <c r="AI66" s="1181"/>
      <c r="AJ66" s="1181"/>
      <c r="AK66" s="1176">
        <f t="shared" si="98"/>
        <v>0</v>
      </c>
      <c r="AL66" s="562"/>
      <c r="AM66" s="1182"/>
      <c r="AN66" s="1181"/>
      <c r="AO66" s="1181"/>
      <c r="AP66" s="1176">
        <f t="shared" si="99"/>
        <v>0</v>
      </c>
      <c r="AQ66" s="1182"/>
      <c r="AR66" s="1181"/>
      <c r="AS66" s="1181"/>
      <c r="AT66" s="1176">
        <f t="shared" si="100"/>
        <v>0</v>
      </c>
      <c r="AU66" s="562"/>
      <c r="AV66" s="1182"/>
      <c r="AW66" s="1181"/>
      <c r="AX66" s="1181"/>
      <c r="AY66" s="1176">
        <f t="shared" si="101"/>
        <v>0</v>
      </c>
      <c r="AZ66" s="1182"/>
      <c r="BA66" s="1181"/>
      <c r="BB66" s="1181"/>
      <c r="BC66" s="1176">
        <f t="shared" si="102"/>
        <v>0</v>
      </c>
      <c r="BD66" s="562"/>
      <c r="BE66" s="1182"/>
      <c r="BF66" s="1181"/>
      <c r="BG66" s="1181"/>
      <c r="BH66" s="1176">
        <f t="shared" si="103"/>
        <v>0</v>
      </c>
      <c r="BI66" s="1182"/>
      <c r="BJ66" s="1181"/>
      <c r="BK66" s="1181"/>
      <c r="BL66" s="1176">
        <f t="shared" si="104"/>
        <v>0</v>
      </c>
      <c r="BM66" s="562"/>
      <c r="BN66" s="1182"/>
      <c r="BO66" s="1181"/>
      <c r="BP66" s="1181"/>
      <c r="BQ66" s="1176">
        <f t="shared" si="105"/>
        <v>0</v>
      </c>
      <c r="BR66" s="1182"/>
      <c r="BS66" s="1181"/>
      <c r="BT66" s="1181"/>
      <c r="BU66" s="1176">
        <f t="shared" si="106"/>
        <v>0</v>
      </c>
      <c r="BV66" s="562"/>
      <c r="BW66" s="1182"/>
      <c r="BX66" s="1181"/>
      <c r="BY66" s="1181"/>
      <c r="BZ66" s="1176">
        <f t="shared" si="107"/>
        <v>0</v>
      </c>
      <c r="CA66" s="1159"/>
      <c r="CB66" s="1160"/>
      <c r="CC66" s="1160"/>
      <c r="CD66" s="1151">
        <f t="shared" si="108"/>
        <v>0</v>
      </c>
      <c r="CE66" s="516"/>
      <c r="CF66" s="504"/>
    </row>
    <row r="67">
      <c r="A67" s="504"/>
      <c r="B67" s="514"/>
      <c r="C67" s="1161" t="s">
        <v>270</v>
      </c>
      <c r="D67" s="1162">
        <f>SUM(F61:F66)</f>
        <v>0</v>
      </c>
      <c r="E67" s="1097"/>
      <c r="F67" s="1097"/>
      <c r="G67" s="1183" t="s">
        <v>270</v>
      </c>
      <c r="H67" s="1162">
        <f>SUM(J61:J66)</f>
        <v>0</v>
      </c>
      <c r="I67" s="1097"/>
      <c r="J67" s="1097"/>
      <c r="K67" s="562"/>
      <c r="L67" s="1183" t="s">
        <v>270</v>
      </c>
      <c r="M67" s="1162">
        <f>SUM(O61:O66)</f>
        <v>0</v>
      </c>
      <c r="N67" s="1097"/>
      <c r="O67" s="1097"/>
      <c r="P67" s="1183" t="s">
        <v>270</v>
      </c>
      <c r="Q67" s="1162">
        <f>SUM(S61:S66)</f>
        <v>0</v>
      </c>
      <c r="R67" s="1097"/>
      <c r="S67" s="1097"/>
      <c r="T67" s="562"/>
      <c r="U67" s="1183" t="s">
        <v>270</v>
      </c>
      <c r="V67" s="1162">
        <f>SUM(X61:X66)</f>
        <v>0</v>
      </c>
      <c r="W67" s="1097"/>
      <c r="X67" s="1097"/>
      <c r="Y67" s="1183" t="s">
        <v>270</v>
      </c>
      <c r="Z67" s="1162">
        <f>SUM(AB61:AB66)</f>
        <v>0</v>
      </c>
      <c r="AA67" s="1097"/>
      <c r="AB67" s="1097"/>
      <c r="AC67" s="562"/>
      <c r="AD67" s="1183" t="s">
        <v>270</v>
      </c>
      <c r="AE67" s="1162">
        <f>SUM(AG61:AG66)</f>
        <v>0</v>
      </c>
      <c r="AF67" s="1097"/>
      <c r="AG67" s="1097"/>
      <c r="AH67" s="1183" t="s">
        <v>270</v>
      </c>
      <c r="AI67" s="1162">
        <f>SUM(AK61:AK66)</f>
        <v>0</v>
      </c>
      <c r="AJ67" s="1097"/>
      <c r="AK67" s="1097"/>
      <c r="AL67" s="562"/>
      <c r="AM67" s="1183" t="s">
        <v>270</v>
      </c>
      <c r="AN67" s="1162">
        <f>SUM(AP61:AP66)</f>
        <v>0</v>
      </c>
      <c r="AO67" s="1097"/>
      <c r="AP67" s="1097"/>
      <c r="AQ67" s="1183" t="s">
        <v>270</v>
      </c>
      <c r="AR67" s="1162">
        <f>SUM(AT61:AT66)</f>
        <v>0</v>
      </c>
      <c r="AS67" s="1097"/>
      <c r="AT67" s="1097"/>
      <c r="AU67" s="562"/>
      <c r="AV67" s="1183" t="s">
        <v>270</v>
      </c>
      <c r="AW67" s="1162">
        <f>SUM(AY61:AY66)</f>
        <v>0</v>
      </c>
      <c r="AX67" s="1097"/>
      <c r="AY67" s="1097"/>
      <c r="AZ67" s="1183" t="s">
        <v>270</v>
      </c>
      <c r="BA67" s="1162">
        <f>SUM(BC61:BC66)</f>
        <v>0</v>
      </c>
      <c r="BB67" s="1097"/>
      <c r="BC67" s="1097"/>
      <c r="BD67" s="562"/>
      <c r="BE67" s="1183" t="s">
        <v>270</v>
      </c>
      <c r="BF67" s="1162">
        <f>SUM(BH61:BH66)</f>
        <v>0</v>
      </c>
      <c r="BG67" s="1097"/>
      <c r="BH67" s="1097"/>
      <c r="BI67" s="1183" t="s">
        <v>270</v>
      </c>
      <c r="BJ67" s="1162">
        <f>SUM(BL61:BL66)</f>
        <v>0</v>
      </c>
      <c r="BK67" s="1097"/>
      <c r="BL67" s="1097"/>
      <c r="BM67" s="562"/>
      <c r="BN67" s="1183" t="s">
        <v>270</v>
      </c>
      <c r="BO67" s="1162">
        <f>SUM(BQ61:BQ66)</f>
        <v>0</v>
      </c>
      <c r="BP67" s="1097"/>
      <c r="BQ67" s="1097"/>
      <c r="BR67" s="1183" t="s">
        <v>270</v>
      </c>
      <c r="BS67" s="1162">
        <f>SUM(BU61:BU66)</f>
        <v>0</v>
      </c>
      <c r="BT67" s="1097"/>
      <c r="BU67" s="1097"/>
      <c r="BV67" s="562"/>
      <c r="BW67" s="1183" t="s">
        <v>270</v>
      </c>
      <c r="BX67" s="1162">
        <f>SUM(BZ61:BZ66)</f>
        <v>0</v>
      </c>
      <c r="BY67" s="1097"/>
      <c r="BZ67" s="1097"/>
      <c r="CA67" s="1161" t="s">
        <v>270</v>
      </c>
      <c r="CB67" s="1162">
        <f>SUM(CD61:CD66)</f>
        <v>0</v>
      </c>
      <c r="CC67" s="1097"/>
      <c r="CD67" s="1097"/>
      <c r="CE67" s="516"/>
      <c r="CF67" s="504"/>
    </row>
    <row r="68">
      <c r="A68" s="2"/>
      <c r="B68" s="542"/>
      <c r="C68" s="1163" t="s">
        <v>980</v>
      </c>
      <c r="D68" s="1184"/>
      <c r="E68" s="188"/>
      <c r="F68" s="544"/>
      <c r="G68" s="1185" t="s">
        <v>980</v>
      </c>
      <c r="H68" s="1184"/>
      <c r="I68" s="188"/>
      <c r="J68" s="191"/>
      <c r="K68" s="636"/>
      <c r="L68" s="1185" t="s">
        <v>980</v>
      </c>
      <c r="M68" s="1184"/>
      <c r="N68" s="188"/>
      <c r="O68" s="544"/>
      <c r="P68" s="1185" t="s">
        <v>980</v>
      </c>
      <c r="Q68" s="1184"/>
      <c r="R68" s="188"/>
      <c r="S68" s="191"/>
      <c r="T68" s="636"/>
      <c r="U68" s="1185" t="s">
        <v>980</v>
      </c>
      <c r="V68" s="1184"/>
      <c r="W68" s="188"/>
      <c r="X68" s="544"/>
      <c r="Y68" s="1185" t="s">
        <v>980</v>
      </c>
      <c r="Z68" s="1184"/>
      <c r="AA68" s="188"/>
      <c r="AB68" s="191"/>
      <c r="AC68" s="636"/>
      <c r="AD68" s="1185" t="s">
        <v>980</v>
      </c>
      <c r="AE68" s="1184"/>
      <c r="AF68" s="188"/>
      <c r="AG68" s="544"/>
      <c r="AH68" s="1185" t="s">
        <v>980</v>
      </c>
      <c r="AI68" s="1184"/>
      <c r="AJ68" s="188"/>
      <c r="AK68" s="191"/>
      <c r="AL68" s="636"/>
      <c r="AM68" s="1185" t="s">
        <v>980</v>
      </c>
      <c r="AN68" s="1184"/>
      <c r="AO68" s="188"/>
      <c r="AP68" s="544"/>
      <c r="AQ68" s="1185" t="s">
        <v>980</v>
      </c>
      <c r="AR68" s="1184"/>
      <c r="AS68" s="188"/>
      <c r="AT68" s="191"/>
      <c r="AU68" s="636"/>
      <c r="AV68" s="1185" t="s">
        <v>980</v>
      </c>
      <c r="AW68" s="1184"/>
      <c r="AX68" s="188"/>
      <c r="AY68" s="544"/>
      <c r="AZ68" s="1185" t="s">
        <v>980</v>
      </c>
      <c r="BA68" s="1184"/>
      <c r="BB68" s="188"/>
      <c r="BC68" s="191"/>
      <c r="BD68" s="636"/>
      <c r="BE68" s="1185" t="s">
        <v>980</v>
      </c>
      <c r="BF68" s="1184"/>
      <c r="BG68" s="188"/>
      <c r="BH68" s="544"/>
      <c r="BI68" s="1185" t="s">
        <v>980</v>
      </c>
      <c r="BJ68" s="1184"/>
      <c r="BK68" s="188"/>
      <c r="BL68" s="191"/>
      <c r="BM68" s="636"/>
      <c r="BN68" s="1185" t="s">
        <v>980</v>
      </c>
      <c r="BO68" s="1184"/>
      <c r="BP68" s="188"/>
      <c r="BQ68" s="544"/>
      <c r="BR68" s="1185" t="s">
        <v>980</v>
      </c>
      <c r="BS68" s="1184"/>
      <c r="BT68" s="188"/>
      <c r="BU68" s="191"/>
      <c r="BV68" s="636"/>
      <c r="BW68" s="1185" t="s">
        <v>980</v>
      </c>
      <c r="BX68" s="1184"/>
      <c r="BY68" s="188"/>
      <c r="BZ68" s="544"/>
      <c r="CA68" s="1163" t="s">
        <v>980</v>
      </c>
      <c r="CB68" s="1164"/>
      <c r="CC68" s="188"/>
      <c r="CD68" s="191"/>
      <c r="CE68" s="552"/>
      <c r="CF68" s="2"/>
    </row>
    <row r="69">
      <c r="A69" s="2"/>
      <c r="B69" s="542"/>
      <c r="C69" s="1165" t="s">
        <v>981</v>
      </c>
      <c r="D69" s="1166">
        <v>1.0</v>
      </c>
      <c r="E69" s="1166">
        <v>2.0</v>
      </c>
      <c r="F69" s="1166">
        <v>3.0</v>
      </c>
      <c r="G69" s="1167" t="s">
        <v>982</v>
      </c>
      <c r="H69" s="210"/>
      <c r="I69" s="1168" t="str">
        <f>IF(D68=2,"W",IF(H68=2,"L",))</f>
        <v/>
      </c>
      <c r="J69" s="1169" t="str">
        <f>IF(H68=2,"W",IF(D68=2,"L",))</f>
        <v/>
      </c>
      <c r="K69" s="636"/>
      <c r="L69" s="1170" t="s">
        <v>981</v>
      </c>
      <c r="M69" s="1166">
        <v>1.0</v>
      </c>
      <c r="N69" s="1166">
        <v>2.0</v>
      </c>
      <c r="O69" s="1171">
        <v>3.0</v>
      </c>
      <c r="P69" s="1167" t="s">
        <v>982</v>
      </c>
      <c r="Q69" s="210"/>
      <c r="R69" s="1168" t="str">
        <f>IF(M68=2,"W",IF(Q68=2,"L",))</f>
        <v/>
      </c>
      <c r="S69" s="1169" t="str">
        <f>IF(Q68=2,"W",IF(M68=2,"L",))</f>
        <v/>
      </c>
      <c r="T69" s="636"/>
      <c r="U69" s="1170" t="s">
        <v>981</v>
      </c>
      <c r="V69" s="1166">
        <v>1.0</v>
      </c>
      <c r="W69" s="1166">
        <v>2.0</v>
      </c>
      <c r="X69" s="1171">
        <v>3.0</v>
      </c>
      <c r="Y69" s="1167" t="s">
        <v>982</v>
      </c>
      <c r="Z69" s="210"/>
      <c r="AA69" s="1168" t="str">
        <f>IF(V68=2,"W",IF(Z68=2,"L",))</f>
        <v/>
      </c>
      <c r="AB69" s="1169" t="str">
        <f>IF(Z68=2,"W",IF(V68=2,"L",))</f>
        <v/>
      </c>
      <c r="AC69" s="636"/>
      <c r="AD69" s="1170" t="s">
        <v>981</v>
      </c>
      <c r="AE69" s="1166">
        <v>1.0</v>
      </c>
      <c r="AF69" s="1166">
        <v>2.0</v>
      </c>
      <c r="AG69" s="1171">
        <v>3.0</v>
      </c>
      <c r="AH69" s="1167" t="s">
        <v>982</v>
      </c>
      <c r="AI69" s="210"/>
      <c r="AJ69" s="1168" t="str">
        <f>IF(AE68=2,"W",IF(AI68=2,"L",))</f>
        <v/>
      </c>
      <c r="AK69" s="1169" t="str">
        <f>IF(AI68=2,"W",IF(AE68=2,"L",))</f>
        <v/>
      </c>
      <c r="AL69" s="636"/>
      <c r="AM69" s="1170" t="s">
        <v>981</v>
      </c>
      <c r="AN69" s="1166">
        <v>1.0</v>
      </c>
      <c r="AO69" s="1166">
        <v>2.0</v>
      </c>
      <c r="AP69" s="1166">
        <v>3.0</v>
      </c>
      <c r="AQ69" s="1167" t="s">
        <v>982</v>
      </c>
      <c r="AR69" s="210"/>
      <c r="AS69" s="1168" t="str">
        <f>IF(AN68=2,"W",IF(AR68=2,"L",))</f>
        <v/>
      </c>
      <c r="AT69" s="1169" t="str">
        <f>IF(AR68=2,"W",IF(AN68=2,"L",))</f>
        <v/>
      </c>
      <c r="AU69" s="636"/>
      <c r="AV69" s="1170" t="s">
        <v>981</v>
      </c>
      <c r="AW69" s="1166">
        <v>1.0</v>
      </c>
      <c r="AX69" s="1166">
        <v>2.0</v>
      </c>
      <c r="AY69" s="1166">
        <v>3.0</v>
      </c>
      <c r="AZ69" s="1167" t="s">
        <v>982</v>
      </c>
      <c r="BA69" s="210"/>
      <c r="BB69" s="1168" t="str">
        <f>IF(AW68=2,"W",IF(BA68=2,"L",))</f>
        <v/>
      </c>
      <c r="BC69" s="1169" t="str">
        <f>IF(BA68=2,"W",IF(AW68=2,"L",))</f>
        <v/>
      </c>
      <c r="BD69" s="636"/>
      <c r="BE69" s="1170" t="s">
        <v>981</v>
      </c>
      <c r="BF69" s="1171">
        <v>1.0</v>
      </c>
      <c r="BG69" s="1171">
        <v>2.0</v>
      </c>
      <c r="BH69" s="1171">
        <v>3.0</v>
      </c>
      <c r="BI69" s="1167" t="s">
        <v>982</v>
      </c>
      <c r="BJ69" s="210"/>
      <c r="BK69" s="1168" t="str">
        <f>IF(BF68=2,"W",IF(BJ68=2,"L",))</f>
        <v/>
      </c>
      <c r="BL69" s="1169" t="str">
        <f>IF(BJ68=2,"W",IF(BF68=2,"L",))</f>
        <v/>
      </c>
      <c r="BM69" s="636"/>
      <c r="BN69" s="1170" t="s">
        <v>981</v>
      </c>
      <c r="BO69" s="1171">
        <v>1.0</v>
      </c>
      <c r="BP69" s="1171">
        <v>2.0</v>
      </c>
      <c r="BQ69" s="1171">
        <v>3.0</v>
      </c>
      <c r="BR69" s="1167" t="s">
        <v>982</v>
      </c>
      <c r="BS69" s="210"/>
      <c r="BT69" s="1186" t="s">
        <v>402</v>
      </c>
      <c r="BU69" s="1187" t="s">
        <v>402</v>
      </c>
      <c r="BV69" s="636"/>
      <c r="BW69" s="1170" t="s">
        <v>981</v>
      </c>
      <c r="BX69" s="1166">
        <v>1.0</v>
      </c>
      <c r="BY69" s="1166">
        <v>2.0</v>
      </c>
      <c r="BZ69" s="1171">
        <v>3.0</v>
      </c>
      <c r="CA69" s="1172" t="s">
        <v>982</v>
      </c>
      <c r="CB69" s="210"/>
      <c r="CC69" s="1173" t="str">
        <f>IF(BX68=2,"W",IF(CB68=2,"L",))</f>
        <v/>
      </c>
      <c r="CD69" s="1174" t="str">
        <f>IF(CB68=2,"W",IF(BX68=2,"L",))</f>
        <v/>
      </c>
      <c r="CE69" s="552"/>
      <c r="CF69" s="2"/>
    </row>
    <row r="70" ht="7.5" customHeight="1">
      <c r="A70" s="504"/>
      <c r="B70" s="514"/>
      <c r="C70" s="515"/>
      <c r="D70" s="562"/>
      <c r="E70" s="562"/>
      <c r="F70" s="562"/>
      <c r="G70" s="562"/>
      <c r="H70" s="562"/>
      <c r="I70" s="562"/>
      <c r="J70" s="562"/>
      <c r="K70" s="562"/>
      <c r="L70" s="562"/>
      <c r="M70" s="562"/>
      <c r="N70" s="562"/>
      <c r="O70" s="562"/>
      <c r="P70" s="562"/>
      <c r="Q70" s="562"/>
      <c r="R70" s="562"/>
      <c r="S70" s="562"/>
      <c r="T70" s="562"/>
      <c r="U70" s="562"/>
      <c r="V70" s="562"/>
      <c r="W70" s="562"/>
      <c r="X70" s="562"/>
      <c r="Y70" s="562"/>
      <c r="Z70" s="562"/>
      <c r="AA70" s="562"/>
      <c r="AB70" s="562"/>
      <c r="AC70" s="562"/>
      <c r="AD70" s="562"/>
      <c r="AE70" s="562"/>
      <c r="AF70" s="562"/>
      <c r="AG70" s="562"/>
      <c r="AH70" s="562"/>
      <c r="AI70" s="562"/>
      <c r="AJ70" s="562"/>
      <c r="AK70" s="562"/>
      <c r="AL70" s="562"/>
      <c r="AM70" s="562"/>
      <c r="AN70" s="562"/>
      <c r="AO70" s="562"/>
      <c r="AP70" s="562"/>
      <c r="AQ70" s="562"/>
      <c r="AR70" s="562"/>
      <c r="AS70" s="562"/>
      <c r="AT70" s="562"/>
      <c r="AU70" s="562"/>
      <c r="AV70" s="562"/>
      <c r="AW70" s="562"/>
      <c r="AX70" s="562"/>
      <c r="AY70" s="562"/>
      <c r="AZ70" s="562"/>
      <c r="BA70" s="562"/>
      <c r="BB70" s="562"/>
      <c r="BC70" s="562"/>
      <c r="BD70" s="562"/>
      <c r="BE70" s="562"/>
      <c r="BF70" s="562"/>
      <c r="BG70" s="562"/>
      <c r="BH70" s="562"/>
      <c r="BI70" s="562"/>
      <c r="BJ70" s="562"/>
      <c r="BK70" s="562"/>
      <c r="BL70" s="562"/>
      <c r="BM70" s="562"/>
      <c r="BN70" s="562"/>
      <c r="BO70" s="562"/>
      <c r="BP70" s="562"/>
      <c r="BQ70" s="562"/>
      <c r="BR70" s="562"/>
      <c r="BS70" s="562"/>
      <c r="BT70" s="562"/>
      <c r="BU70" s="562"/>
      <c r="BV70" s="562"/>
      <c r="BW70" s="562"/>
      <c r="BX70" s="562"/>
      <c r="BY70" s="562"/>
      <c r="BZ70" s="562"/>
      <c r="CA70" s="515"/>
      <c r="CB70" s="515"/>
      <c r="CC70" s="515"/>
      <c r="CD70" s="515"/>
      <c r="CE70" s="516"/>
      <c r="CF70" s="504"/>
    </row>
    <row r="71">
      <c r="A71" s="504"/>
      <c r="B71" s="514"/>
      <c r="C71" s="517" t="str">
        <f>#REF!</f>
        <v>#REF!</v>
      </c>
      <c r="D71" s="564" t="s">
        <v>76</v>
      </c>
      <c r="E71" s="565" t="s">
        <v>77</v>
      </c>
      <c r="F71" s="565" t="s">
        <v>78</v>
      </c>
      <c r="G71" s="566" t="str">
        <f>#REF!</f>
        <v>#REF!</v>
      </c>
      <c r="H71" s="567" t="s">
        <v>76</v>
      </c>
      <c r="I71" s="568" t="s">
        <v>77</v>
      </c>
      <c r="J71" s="569" t="s">
        <v>78</v>
      </c>
      <c r="K71" s="562"/>
      <c r="L71" s="656" t="str">
        <f>#REF!</f>
        <v>#REF!</v>
      </c>
      <c r="M71" s="564" t="s">
        <v>76</v>
      </c>
      <c r="N71" s="565" t="s">
        <v>77</v>
      </c>
      <c r="O71" s="565" t="s">
        <v>78</v>
      </c>
      <c r="P71" s="566" t="str">
        <f>#REF!</f>
        <v>#REF!</v>
      </c>
      <c r="Q71" s="567" t="s">
        <v>76</v>
      </c>
      <c r="R71" s="568" t="s">
        <v>77</v>
      </c>
      <c r="S71" s="569" t="s">
        <v>78</v>
      </c>
      <c r="T71" s="562"/>
      <c r="U71" s="656" t="str">
        <f>#REF!</f>
        <v>#REF!</v>
      </c>
      <c r="V71" s="564" t="s">
        <v>76</v>
      </c>
      <c r="W71" s="565" t="s">
        <v>77</v>
      </c>
      <c r="X71" s="565" t="s">
        <v>78</v>
      </c>
      <c r="Y71" s="566" t="str">
        <f>#REF!</f>
        <v>#REF!</v>
      </c>
      <c r="Z71" s="567" t="s">
        <v>76</v>
      </c>
      <c r="AA71" s="568" t="s">
        <v>77</v>
      </c>
      <c r="AB71" s="569" t="s">
        <v>78</v>
      </c>
      <c r="AC71" s="562"/>
      <c r="AD71" s="656" t="str">
        <f>#REF!</f>
        <v>#REF!</v>
      </c>
      <c r="AE71" s="564" t="s">
        <v>76</v>
      </c>
      <c r="AF71" s="565" t="s">
        <v>77</v>
      </c>
      <c r="AG71" s="565" t="s">
        <v>78</v>
      </c>
      <c r="AH71" s="566" t="str">
        <f>#REF!</f>
        <v>#REF!</v>
      </c>
      <c r="AI71" s="567" t="s">
        <v>76</v>
      </c>
      <c r="AJ71" s="568" t="s">
        <v>77</v>
      </c>
      <c r="AK71" s="569" t="s">
        <v>78</v>
      </c>
      <c r="AL71" s="562"/>
      <c r="AM71" s="656" t="str">
        <f>#REF!</f>
        <v>#REF!</v>
      </c>
      <c r="AN71" s="564" t="s">
        <v>76</v>
      </c>
      <c r="AO71" s="565" t="s">
        <v>77</v>
      </c>
      <c r="AP71" s="565" t="s">
        <v>78</v>
      </c>
      <c r="AQ71" s="566" t="str">
        <f>#REF!</f>
        <v>#REF!</v>
      </c>
      <c r="AR71" s="567" t="s">
        <v>76</v>
      </c>
      <c r="AS71" s="568" t="s">
        <v>77</v>
      </c>
      <c r="AT71" s="569" t="s">
        <v>78</v>
      </c>
      <c r="AU71" s="562"/>
      <c r="AV71" s="656" t="str">
        <f>#REF!</f>
        <v>#REF!</v>
      </c>
      <c r="AW71" s="564" t="s">
        <v>76</v>
      </c>
      <c r="AX71" s="565" t="s">
        <v>77</v>
      </c>
      <c r="AY71" s="565" t="s">
        <v>78</v>
      </c>
      <c r="AZ71" s="566" t="str">
        <f>#REF!</f>
        <v>#REF!</v>
      </c>
      <c r="BA71" s="567" t="s">
        <v>76</v>
      </c>
      <c r="BB71" s="568" t="s">
        <v>77</v>
      </c>
      <c r="BC71" s="569" t="s">
        <v>78</v>
      </c>
      <c r="BD71" s="562"/>
      <c r="BE71" s="656" t="str">
        <f>#REF!</f>
        <v>#REF!</v>
      </c>
      <c r="BF71" s="564" t="s">
        <v>76</v>
      </c>
      <c r="BG71" s="565" t="s">
        <v>77</v>
      </c>
      <c r="BH71" s="565" t="s">
        <v>78</v>
      </c>
      <c r="BI71" s="566" t="str">
        <f>#REF!</f>
        <v>#REF!</v>
      </c>
      <c r="BJ71" s="567" t="s">
        <v>76</v>
      </c>
      <c r="BK71" s="568" t="s">
        <v>77</v>
      </c>
      <c r="BL71" s="569" t="s">
        <v>78</v>
      </c>
      <c r="BM71" s="562"/>
      <c r="BN71" s="656" t="str">
        <f>#REF!</f>
        <v>#REF!</v>
      </c>
      <c r="BO71" s="564" t="s">
        <v>76</v>
      </c>
      <c r="BP71" s="565" t="s">
        <v>77</v>
      </c>
      <c r="BQ71" s="565" t="s">
        <v>78</v>
      </c>
      <c r="BR71" s="566" t="str">
        <f>#REF!</f>
        <v>#REF!</v>
      </c>
      <c r="BS71" s="567" t="s">
        <v>76</v>
      </c>
      <c r="BT71" s="568" t="s">
        <v>77</v>
      </c>
      <c r="BU71" s="569" t="s">
        <v>78</v>
      </c>
      <c r="BV71" s="562"/>
      <c r="BW71" s="656" t="str">
        <f>#REF!</f>
        <v>#REF!</v>
      </c>
      <c r="BX71" s="564" t="s">
        <v>76</v>
      </c>
      <c r="BY71" s="565" t="s">
        <v>77</v>
      </c>
      <c r="BZ71" s="565" t="s">
        <v>78</v>
      </c>
      <c r="CA71" s="521" t="str">
        <f>#REF!</f>
        <v>#REF!</v>
      </c>
      <c r="CB71" s="522" t="s">
        <v>76</v>
      </c>
      <c r="CC71" s="523" t="s">
        <v>77</v>
      </c>
      <c r="CD71" s="524" t="s">
        <v>78</v>
      </c>
      <c r="CE71" s="516"/>
      <c r="CF71" s="504"/>
    </row>
    <row r="72">
      <c r="A72" s="504"/>
      <c r="B72" s="514"/>
      <c r="C72" s="1149"/>
      <c r="D72" s="1175"/>
      <c r="E72" s="1175"/>
      <c r="F72" s="1176">
        <f t="shared" ref="F72:F77" si="109">D72-E72</f>
        <v>0</v>
      </c>
      <c r="G72" s="1177"/>
      <c r="H72" s="1175"/>
      <c r="I72" s="1175"/>
      <c r="J72" s="1176">
        <f t="shared" ref="J72:J77" si="110">H72-I72</f>
        <v>0</v>
      </c>
      <c r="K72" s="562"/>
      <c r="L72" s="1177"/>
      <c r="M72" s="1175"/>
      <c r="N72" s="1175"/>
      <c r="O72" s="1176">
        <f t="shared" ref="O72:O77" si="111">M72-N72</f>
        <v>0</v>
      </c>
      <c r="P72" s="1177"/>
      <c r="Q72" s="1175"/>
      <c r="R72" s="1175"/>
      <c r="S72" s="1176">
        <f t="shared" ref="S72:S77" si="112">Q72-R72</f>
        <v>0</v>
      </c>
      <c r="T72" s="562"/>
      <c r="U72" s="1177"/>
      <c r="V72" s="1175"/>
      <c r="W72" s="1175"/>
      <c r="X72" s="1176">
        <f t="shared" ref="X72:X77" si="113">V72-W72</f>
        <v>0</v>
      </c>
      <c r="Y72" s="1177"/>
      <c r="Z72" s="1175"/>
      <c r="AA72" s="1175"/>
      <c r="AB72" s="1176">
        <f t="shared" ref="AB72:AB77" si="114">Z72-AA72</f>
        <v>0</v>
      </c>
      <c r="AC72" s="562"/>
      <c r="AD72" s="1177"/>
      <c r="AE72" s="1175"/>
      <c r="AF72" s="1175"/>
      <c r="AG72" s="1176">
        <f t="shared" ref="AG72:AG77" si="115">AE72-AF72</f>
        <v>0</v>
      </c>
      <c r="AH72" s="1177"/>
      <c r="AI72" s="1175"/>
      <c r="AJ72" s="1175"/>
      <c r="AK72" s="1176">
        <f t="shared" ref="AK72:AK77" si="116">AI72-AJ72</f>
        <v>0</v>
      </c>
      <c r="AL72" s="562"/>
      <c r="AM72" s="1177"/>
      <c r="AN72" s="1175"/>
      <c r="AO72" s="1175"/>
      <c r="AP72" s="1176">
        <f t="shared" ref="AP72:AP77" si="117">AN72-AO72</f>
        <v>0</v>
      </c>
      <c r="AQ72" s="1177"/>
      <c r="AR72" s="1175"/>
      <c r="AS72" s="1175"/>
      <c r="AT72" s="1176">
        <f t="shared" ref="AT72:AT77" si="118">AR72-AS72</f>
        <v>0</v>
      </c>
      <c r="AU72" s="562"/>
      <c r="AV72" s="1177"/>
      <c r="AW72" s="1175"/>
      <c r="AX72" s="1175"/>
      <c r="AY72" s="1176">
        <f t="shared" ref="AY72:AY77" si="119">AW72-AX72</f>
        <v>0</v>
      </c>
      <c r="AZ72" s="1177"/>
      <c r="BA72" s="1175"/>
      <c r="BB72" s="1175"/>
      <c r="BC72" s="1176">
        <f t="shared" ref="BC72:BC77" si="120">BA72-BB72</f>
        <v>0</v>
      </c>
      <c r="BD72" s="562"/>
      <c r="BE72" s="1177"/>
      <c r="BF72" s="1175"/>
      <c r="BG72" s="1175"/>
      <c r="BH72" s="1176">
        <f t="shared" ref="BH72:BH77" si="121">BF72-BG72</f>
        <v>0</v>
      </c>
      <c r="BI72" s="1177"/>
      <c r="BJ72" s="1175"/>
      <c r="BK72" s="1175"/>
      <c r="BL72" s="1176">
        <f t="shared" ref="BL72:BL77" si="122">BJ72-BK72</f>
        <v>0</v>
      </c>
      <c r="BM72" s="562"/>
      <c r="BN72" s="1177"/>
      <c r="BO72" s="1175"/>
      <c r="BP72" s="1175"/>
      <c r="BQ72" s="1176">
        <f t="shared" ref="BQ72:BQ77" si="123">BO72-BP72</f>
        <v>0</v>
      </c>
      <c r="BR72" s="1177"/>
      <c r="BS72" s="1175"/>
      <c r="BT72" s="1175"/>
      <c r="BU72" s="1176">
        <f t="shared" ref="BU72:BU77" si="124">BS72-BT72</f>
        <v>0</v>
      </c>
      <c r="BV72" s="562"/>
      <c r="BW72" s="1177"/>
      <c r="BX72" s="1175"/>
      <c r="BY72" s="1175"/>
      <c r="BZ72" s="1176">
        <f t="shared" ref="BZ72:BZ77" si="125">BX72-BY72</f>
        <v>0</v>
      </c>
      <c r="CA72" s="1149"/>
      <c r="CB72" s="1150"/>
      <c r="CC72" s="1150"/>
      <c r="CD72" s="1151">
        <f t="shared" ref="CD72:CD77" si="126">CB72-CC72</f>
        <v>0</v>
      </c>
      <c r="CE72" s="516"/>
      <c r="CF72" s="504"/>
    </row>
    <row r="73">
      <c r="A73" s="504"/>
      <c r="B73" s="514"/>
      <c r="C73" s="1154"/>
      <c r="D73" s="1178"/>
      <c r="E73" s="1178"/>
      <c r="F73" s="1176">
        <f t="shared" si="109"/>
        <v>0</v>
      </c>
      <c r="G73" s="1179"/>
      <c r="H73" s="1178"/>
      <c r="I73" s="1178"/>
      <c r="J73" s="1176">
        <f t="shared" si="110"/>
        <v>0</v>
      </c>
      <c r="K73" s="562"/>
      <c r="L73" s="1179"/>
      <c r="M73" s="1178"/>
      <c r="N73" s="1178"/>
      <c r="O73" s="1176">
        <f t="shared" si="111"/>
        <v>0</v>
      </c>
      <c r="P73" s="1179"/>
      <c r="Q73" s="1178"/>
      <c r="R73" s="1178"/>
      <c r="S73" s="1176">
        <f t="shared" si="112"/>
        <v>0</v>
      </c>
      <c r="T73" s="562"/>
      <c r="U73" s="1179"/>
      <c r="V73" s="1178"/>
      <c r="W73" s="1178"/>
      <c r="X73" s="1176">
        <f t="shared" si="113"/>
        <v>0</v>
      </c>
      <c r="Y73" s="1179"/>
      <c r="Z73" s="1178"/>
      <c r="AA73" s="1178"/>
      <c r="AB73" s="1176">
        <f t="shared" si="114"/>
        <v>0</v>
      </c>
      <c r="AC73" s="562"/>
      <c r="AD73" s="1179"/>
      <c r="AE73" s="1178"/>
      <c r="AF73" s="1178"/>
      <c r="AG73" s="1176">
        <f t="shared" si="115"/>
        <v>0</v>
      </c>
      <c r="AH73" s="1179"/>
      <c r="AI73" s="1178"/>
      <c r="AJ73" s="1178"/>
      <c r="AK73" s="1176">
        <f t="shared" si="116"/>
        <v>0</v>
      </c>
      <c r="AL73" s="562"/>
      <c r="AM73" s="1179"/>
      <c r="AN73" s="1178"/>
      <c r="AO73" s="1178"/>
      <c r="AP73" s="1176">
        <f t="shared" si="117"/>
        <v>0</v>
      </c>
      <c r="AQ73" s="1179"/>
      <c r="AR73" s="1178"/>
      <c r="AS73" s="1178"/>
      <c r="AT73" s="1176">
        <f t="shared" si="118"/>
        <v>0</v>
      </c>
      <c r="AU73" s="562"/>
      <c r="AV73" s="1179"/>
      <c r="AW73" s="1178"/>
      <c r="AX73" s="1178"/>
      <c r="AY73" s="1176">
        <f t="shared" si="119"/>
        <v>0</v>
      </c>
      <c r="AZ73" s="1179"/>
      <c r="BA73" s="1178"/>
      <c r="BB73" s="1178"/>
      <c r="BC73" s="1176">
        <f t="shared" si="120"/>
        <v>0</v>
      </c>
      <c r="BD73" s="562"/>
      <c r="BE73" s="1179"/>
      <c r="BF73" s="1178"/>
      <c r="BG73" s="1178"/>
      <c r="BH73" s="1176">
        <f t="shared" si="121"/>
        <v>0</v>
      </c>
      <c r="BI73" s="1179"/>
      <c r="BJ73" s="1178"/>
      <c r="BK73" s="1178"/>
      <c r="BL73" s="1176">
        <f t="shared" si="122"/>
        <v>0</v>
      </c>
      <c r="BM73" s="562"/>
      <c r="BN73" s="1179"/>
      <c r="BO73" s="1178"/>
      <c r="BP73" s="1178"/>
      <c r="BQ73" s="1176">
        <f t="shared" si="123"/>
        <v>0</v>
      </c>
      <c r="BR73" s="1179"/>
      <c r="BS73" s="1178"/>
      <c r="BT73" s="1178"/>
      <c r="BU73" s="1176">
        <f t="shared" si="124"/>
        <v>0</v>
      </c>
      <c r="BV73" s="562"/>
      <c r="BW73" s="1179"/>
      <c r="BX73" s="1178"/>
      <c r="BY73" s="1178"/>
      <c r="BZ73" s="1176">
        <f t="shared" si="125"/>
        <v>0</v>
      </c>
      <c r="CA73" s="1154"/>
      <c r="CB73" s="1155"/>
      <c r="CC73" s="1155"/>
      <c r="CD73" s="1151">
        <f t="shared" si="126"/>
        <v>0</v>
      </c>
      <c r="CE73" s="516"/>
      <c r="CF73" s="504"/>
    </row>
    <row r="74">
      <c r="A74" s="504"/>
      <c r="B74" s="514"/>
      <c r="C74" s="1154"/>
      <c r="D74" s="1178"/>
      <c r="E74" s="1178"/>
      <c r="F74" s="1176">
        <f t="shared" si="109"/>
        <v>0</v>
      </c>
      <c r="G74" s="1179"/>
      <c r="H74" s="1178"/>
      <c r="I74" s="1178"/>
      <c r="J74" s="1176">
        <f t="shared" si="110"/>
        <v>0</v>
      </c>
      <c r="K74" s="562"/>
      <c r="L74" s="1179"/>
      <c r="M74" s="1178"/>
      <c r="N74" s="1178"/>
      <c r="O74" s="1176">
        <f t="shared" si="111"/>
        <v>0</v>
      </c>
      <c r="P74" s="1179"/>
      <c r="Q74" s="1178"/>
      <c r="R74" s="1178"/>
      <c r="S74" s="1176">
        <f t="shared" si="112"/>
        <v>0</v>
      </c>
      <c r="T74" s="562"/>
      <c r="U74" s="1179"/>
      <c r="V74" s="1178"/>
      <c r="W74" s="1178"/>
      <c r="X74" s="1176">
        <f t="shared" si="113"/>
        <v>0</v>
      </c>
      <c r="Y74" s="1179"/>
      <c r="Z74" s="1178"/>
      <c r="AA74" s="1178"/>
      <c r="AB74" s="1176">
        <f t="shared" si="114"/>
        <v>0</v>
      </c>
      <c r="AC74" s="562"/>
      <c r="AD74" s="1179"/>
      <c r="AE74" s="1178"/>
      <c r="AF74" s="1178"/>
      <c r="AG74" s="1176">
        <f t="shared" si="115"/>
        <v>0</v>
      </c>
      <c r="AH74" s="1179"/>
      <c r="AI74" s="1178"/>
      <c r="AJ74" s="1178"/>
      <c r="AK74" s="1176">
        <f t="shared" si="116"/>
        <v>0</v>
      </c>
      <c r="AL74" s="562"/>
      <c r="AM74" s="1179"/>
      <c r="AN74" s="1178"/>
      <c r="AO74" s="1178"/>
      <c r="AP74" s="1176">
        <f t="shared" si="117"/>
        <v>0</v>
      </c>
      <c r="AQ74" s="1179"/>
      <c r="AR74" s="1178"/>
      <c r="AS74" s="1178"/>
      <c r="AT74" s="1176">
        <f t="shared" si="118"/>
        <v>0</v>
      </c>
      <c r="AU74" s="562"/>
      <c r="AV74" s="1179"/>
      <c r="AW74" s="1178"/>
      <c r="AX74" s="1178"/>
      <c r="AY74" s="1176">
        <f t="shared" si="119"/>
        <v>0</v>
      </c>
      <c r="AZ74" s="1179"/>
      <c r="BA74" s="1178"/>
      <c r="BB74" s="1178"/>
      <c r="BC74" s="1176">
        <f t="shared" si="120"/>
        <v>0</v>
      </c>
      <c r="BD74" s="562"/>
      <c r="BE74" s="1179"/>
      <c r="BF74" s="1178"/>
      <c r="BG74" s="1178"/>
      <c r="BH74" s="1176">
        <f t="shared" si="121"/>
        <v>0</v>
      </c>
      <c r="BI74" s="1179"/>
      <c r="BJ74" s="1178"/>
      <c r="BK74" s="1178"/>
      <c r="BL74" s="1176">
        <f t="shared" si="122"/>
        <v>0</v>
      </c>
      <c r="BM74" s="562"/>
      <c r="BN74" s="1179"/>
      <c r="BO74" s="1178"/>
      <c r="BP74" s="1178"/>
      <c r="BQ74" s="1176">
        <f t="shared" si="123"/>
        <v>0</v>
      </c>
      <c r="BR74" s="1179"/>
      <c r="BS74" s="1178"/>
      <c r="BT74" s="1178"/>
      <c r="BU74" s="1176">
        <f t="shared" si="124"/>
        <v>0</v>
      </c>
      <c r="BV74" s="562"/>
      <c r="BW74" s="1179"/>
      <c r="BX74" s="1178"/>
      <c r="BY74" s="1178"/>
      <c r="BZ74" s="1176">
        <f t="shared" si="125"/>
        <v>0</v>
      </c>
      <c r="CA74" s="1154"/>
      <c r="CB74" s="1155"/>
      <c r="CC74" s="1155"/>
      <c r="CD74" s="1151">
        <f t="shared" si="126"/>
        <v>0</v>
      </c>
      <c r="CE74" s="516"/>
      <c r="CF74" s="504"/>
    </row>
    <row r="75">
      <c r="A75" s="504"/>
      <c r="B75" s="514"/>
      <c r="C75" s="1154"/>
      <c r="D75" s="1178"/>
      <c r="E75" s="1178"/>
      <c r="F75" s="1176">
        <f t="shared" si="109"/>
        <v>0</v>
      </c>
      <c r="G75" s="1179"/>
      <c r="H75" s="1178"/>
      <c r="I75" s="1178"/>
      <c r="J75" s="1176">
        <f t="shared" si="110"/>
        <v>0</v>
      </c>
      <c r="K75" s="562"/>
      <c r="L75" s="1179"/>
      <c r="M75" s="1178"/>
      <c r="N75" s="1178"/>
      <c r="O75" s="1176">
        <f t="shared" si="111"/>
        <v>0</v>
      </c>
      <c r="P75" s="1179"/>
      <c r="Q75" s="1178"/>
      <c r="R75" s="1178"/>
      <c r="S75" s="1176">
        <f t="shared" si="112"/>
        <v>0</v>
      </c>
      <c r="T75" s="562"/>
      <c r="U75" s="1179"/>
      <c r="V75" s="1178"/>
      <c r="W75" s="1178"/>
      <c r="X75" s="1176">
        <f t="shared" si="113"/>
        <v>0</v>
      </c>
      <c r="Y75" s="1179"/>
      <c r="Z75" s="1178"/>
      <c r="AA75" s="1178"/>
      <c r="AB75" s="1176">
        <f t="shared" si="114"/>
        <v>0</v>
      </c>
      <c r="AC75" s="562"/>
      <c r="AD75" s="1179"/>
      <c r="AE75" s="1178"/>
      <c r="AF75" s="1178"/>
      <c r="AG75" s="1176">
        <f t="shared" si="115"/>
        <v>0</v>
      </c>
      <c r="AH75" s="1179"/>
      <c r="AI75" s="1178"/>
      <c r="AJ75" s="1178"/>
      <c r="AK75" s="1176">
        <f t="shared" si="116"/>
        <v>0</v>
      </c>
      <c r="AL75" s="562"/>
      <c r="AM75" s="1179"/>
      <c r="AN75" s="1178"/>
      <c r="AO75" s="1178"/>
      <c r="AP75" s="1176">
        <f t="shared" si="117"/>
        <v>0</v>
      </c>
      <c r="AQ75" s="1179"/>
      <c r="AR75" s="1178"/>
      <c r="AS75" s="1178"/>
      <c r="AT75" s="1176">
        <f t="shared" si="118"/>
        <v>0</v>
      </c>
      <c r="AU75" s="562"/>
      <c r="AV75" s="1179"/>
      <c r="AW75" s="1178"/>
      <c r="AX75" s="1178"/>
      <c r="AY75" s="1176">
        <f t="shared" si="119"/>
        <v>0</v>
      </c>
      <c r="AZ75" s="1179"/>
      <c r="BA75" s="1178"/>
      <c r="BB75" s="1178"/>
      <c r="BC75" s="1176">
        <f t="shared" si="120"/>
        <v>0</v>
      </c>
      <c r="BD75" s="562"/>
      <c r="BE75" s="1179"/>
      <c r="BF75" s="1178"/>
      <c r="BG75" s="1178"/>
      <c r="BH75" s="1176">
        <f t="shared" si="121"/>
        <v>0</v>
      </c>
      <c r="BI75" s="1179"/>
      <c r="BJ75" s="1178"/>
      <c r="BK75" s="1178"/>
      <c r="BL75" s="1176">
        <f t="shared" si="122"/>
        <v>0</v>
      </c>
      <c r="BM75" s="562"/>
      <c r="BN75" s="1179"/>
      <c r="BO75" s="1178"/>
      <c r="BP75" s="1178"/>
      <c r="BQ75" s="1176">
        <f t="shared" si="123"/>
        <v>0</v>
      </c>
      <c r="BR75" s="1179"/>
      <c r="BS75" s="1178"/>
      <c r="BT75" s="1178"/>
      <c r="BU75" s="1176">
        <f t="shared" si="124"/>
        <v>0</v>
      </c>
      <c r="BV75" s="562"/>
      <c r="BW75" s="1179"/>
      <c r="BX75" s="1178"/>
      <c r="BY75" s="1178"/>
      <c r="BZ75" s="1176">
        <f t="shared" si="125"/>
        <v>0</v>
      </c>
      <c r="CA75" s="1154"/>
      <c r="CB75" s="1192"/>
      <c r="CC75" s="1192"/>
      <c r="CD75" s="1151">
        <f t="shared" si="126"/>
        <v>0</v>
      </c>
      <c r="CE75" s="516"/>
      <c r="CF75" s="504"/>
    </row>
    <row r="76">
      <c r="A76" s="504"/>
      <c r="B76" s="514"/>
      <c r="C76" s="1154"/>
      <c r="D76" s="1178"/>
      <c r="E76" s="1178"/>
      <c r="F76" s="1176">
        <f t="shared" si="109"/>
        <v>0</v>
      </c>
      <c r="G76" s="1179"/>
      <c r="H76" s="1178"/>
      <c r="I76" s="1178"/>
      <c r="J76" s="1176">
        <f t="shared" si="110"/>
        <v>0</v>
      </c>
      <c r="K76" s="562"/>
      <c r="L76" s="1179"/>
      <c r="M76" s="1178"/>
      <c r="N76" s="1178"/>
      <c r="O76" s="1176">
        <f t="shared" si="111"/>
        <v>0</v>
      </c>
      <c r="P76" s="1179"/>
      <c r="Q76" s="1178"/>
      <c r="R76" s="1178"/>
      <c r="S76" s="1176">
        <f t="shared" si="112"/>
        <v>0</v>
      </c>
      <c r="T76" s="562"/>
      <c r="U76" s="1179"/>
      <c r="V76" s="1178"/>
      <c r="W76" s="1178"/>
      <c r="X76" s="1176">
        <f t="shared" si="113"/>
        <v>0</v>
      </c>
      <c r="Y76" s="1179"/>
      <c r="Z76" s="1178"/>
      <c r="AA76" s="1178"/>
      <c r="AB76" s="1176">
        <f t="shared" si="114"/>
        <v>0</v>
      </c>
      <c r="AC76" s="562"/>
      <c r="AD76" s="1179"/>
      <c r="AE76" s="1178"/>
      <c r="AF76" s="1178"/>
      <c r="AG76" s="1176">
        <f t="shared" si="115"/>
        <v>0</v>
      </c>
      <c r="AH76" s="1179"/>
      <c r="AI76" s="1178"/>
      <c r="AJ76" s="1178"/>
      <c r="AK76" s="1176">
        <f t="shared" si="116"/>
        <v>0</v>
      </c>
      <c r="AL76" s="562"/>
      <c r="AM76" s="1179"/>
      <c r="AN76" s="1178"/>
      <c r="AO76" s="1178"/>
      <c r="AP76" s="1176">
        <f t="shared" si="117"/>
        <v>0</v>
      </c>
      <c r="AQ76" s="1179"/>
      <c r="AR76" s="1178"/>
      <c r="AS76" s="1178"/>
      <c r="AT76" s="1176">
        <f t="shared" si="118"/>
        <v>0</v>
      </c>
      <c r="AU76" s="562"/>
      <c r="AV76" s="1179"/>
      <c r="AW76" s="1178"/>
      <c r="AX76" s="1178"/>
      <c r="AY76" s="1176">
        <f t="shared" si="119"/>
        <v>0</v>
      </c>
      <c r="AZ76" s="1179"/>
      <c r="BA76" s="1178"/>
      <c r="BB76" s="1178"/>
      <c r="BC76" s="1176">
        <f t="shared" si="120"/>
        <v>0</v>
      </c>
      <c r="BD76" s="562"/>
      <c r="BE76" s="1179"/>
      <c r="BF76" s="1178"/>
      <c r="BG76" s="1178"/>
      <c r="BH76" s="1176">
        <f t="shared" si="121"/>
        <v>0</v>
      </c>
      <c r="BI76" s="1179"/>
      <c r="BJ76" s="1178"/>
      <c r="BK76" s="1178"/>
      <c r="BL76" s="1176">
        <f t="shared" si="122"/>
        <v>0</v>
      </c>
      <c r="BM76" s="562"/>
      <c r="BN76" s="1179"/>
      <c r="BO76" s="1178"/>
      <c r="BP76" s="1178"/>
      <c r="BQ76" s="1176">
        <f t="shared" si="123"/>
        <v>0</v>
      </c>
      <c r="BR76" s="1179"/>
      <c r="BS76" s="1178"/>
      <c r="BT76" s="1178"/>
      <c r="BU76" s="1176">
        <f t="shared" si="124"/>
        <v>0</v>
      </c>
      <c r="BV76" s="562"/>
      <c r="BW76" s="1179"/>
      <c r="BX76" s="1178"/>
      <c r="BY76" s="1178"/>
      <c r="BZ76" s="1176">
        <f t="shared" si="125"/>
        <v>0</v>
      </c>
      <c r="CA76" s="1154"/>
      <c r="CB76" s="1192"/>
      <c r="CC76" s="1155"/>
      <c r="CD76" s="1151">
        <f t="shared" si="126"/>
        <v>0</v>
      </c>
      <c r="CE76" s="516"/>
      <c r="CF76" s="504"/>
    </row>
    <row r="77">
      <c r="A77" s="504"/>
      <c r="B77" s="514"/>
      <c r="C77" s="1159"/>
      <c r="D77" s="1181"/>
      <c r="E77" s="1181"/>
      <c r="F77" s="1176">
        <f t="shared" si="109"/>
        <v>0</v>
      </c>
      <c r="G77" s="1182"/>
      <c r="H77" s="1181"/>
      <c r="I77" s="1181"/>
      <c r="J77" s="1176">
        <f t="shared" si="110"/>
        <v>0</v>
      </c>
      <c r="K77" s="562"/>
      <c r="L77" s="1182"/>
      <c r="M77" s="1181"/>
      <c r="N77" s="1181"/>
      <c r="O77" s="1176">
        <f t="shared" si="111"/>
        <v>0</v>
      </c>
      <c r="P77" s="1182"/>
      <c r="Q77" s="1181"/>
      <c r="R77" s="1181"/>
      <c r="S77" s="1176">
        <f t="shared" si="112"/>
        <v>0</v>
      </c>
      <c r="T77" s="562"/>
      <c r="U77" s="1182"/>
      <c r="V77" s="1181"/>
      <c r="W77" s="1181"/>
      <c r="X77" s="1176">
        <f t="shared" si="113"/>
        <v>0</v>
      </c>
      <c r="Y77" s="1182"/>
      <c r="Z77" s="1181"/>
      <c r="AA77" s="1181"/>
      <c r="AB77" s="1176">
        <f t="shared" si="114"/>
        <v>0</v>
      </c>
      <c r="AC77" s="562"/>
      <c r="AD77" s="1182"/>
      <c r="AE77" s="1181"/>
      <c r="AF77" s="1181"/>
      <c r="AG77" s="1176">
        <f t="shared" si="115"/>
        <v>0</v>
      </c>
      <c r="AH77" s="1182"/>
      <c r="AI77" s="1181"/>
      <c r="AJ77" s="1181"/>
      <c r="AK77" s="1176">
        <f t="shared" si="116"/>
        <v>0</v>
      </c>
      <c r="AL77" s="562"/>
      <c r="AM77" s="1182"/>
      <c r="AN77" s="1181"/>
      <c r="AO77" s="1181"/>
      <c r="AP77" s="1176">
        <f t="shared" si="117"/>
        <v>0</v>
      </c>
      <c r="AQ77" s="1182"/>
      <c r="AR77" s="1181"/>
      <c r="AS77" s="1181"/>
      <c r="AT77" s="1176">
        <f t="shared" si="118"/>
        <v>0</v>
      </c>
      <c r="AU77" s="562"/>
      <c r="AV77" s="1182"/>
      <c r="AW77" s="1181"/>
      <c r="AX77" s="1181"/>
      <c r="AY77" s="1176">
        <f t="shared" si="119"/>
        <v>0</v>
      </c>
      <c r="AZ77" s="1182"/>
      <c r="BA77" s="1181"/>
      <c r="BB77" s="1181"/>
      <c r="BC77" s="1176">
        <f t="shared" si="120"/>
        <v>0</v>
      </c>
      <c r="BD77" s="562"/>
      <c r="BE77" s="1182"/>
      <c r="BF77" s="1181"/>
      <c r="BG77" s="1181"/>
      <c r="BH77" s="1176">
        <f t="shared" si="121"/>
        <v>0</v>
      </c>
      <c r="BI77" s="1182"/>
      <c r="BJ77" s="1181"/>
      <c r="BK77" s="1181"/>
      <c r="BL77" s="1176">
        <f t="shared" si="122"/>
        <v>0</v>
      </c>
      <c r="BM77" s="562"/>
      <c r="BN77" s="1182"/>
      <c r="BO77" s="1181"/>
      <c r="BP77" s="1181"/>
      <c r="BQ77" s="1176">
        <f t="shared" si="123"/>
        <v>0</v>
      </c>
      <c r="BR77" s="1182"/>
      <c r="BS77" s="1181"/>
      <c r="BT77" s="1181"/>
      <c r="BU77" s="1176">
        <f t="shared" si="124"/>
        <v>0</v>
      </c>
      <c r="BV77" s="562"/>
      <c r="BW77" s="1182"/>
      <c r="BX77" s="1193"/>
      <c r="BY77" s="1193"/>
      <c r="BZ77" s="1176">
        <f t="shared" si="125"/>
        <v>0</v>
      </c>
      <c r="CA77" s="1159"/>
      <c r="CB77" s="1160"/>
      <c r="CC77" s="1160"/>
      <c r="CD77" s="1151">
        <f t="shared" si="126"/>
        <v>0</v>
      </c>
      <c r="CE77" s="516"/>
      <c r="CF77" s="504"/>
    </row>
    <row r="78">
      <c r="A78" s="504"/>
      <c r="B78" s="514"/>
      <c r="C78" s="1161" t="s">
        <v>270</v>
      </c>
      <c r="D78" s="1162">
        <f>SUM(F72:F77)</f>
        <v>0</v>
      </c>
      <c r="E78" s="1097"/>
      <c r="F78" s="1097"/>
      <c r="G78" s="1183" t="s">
        <v>270</v>
      </c>
      <c r="H78" s="1162">
        <f>SUM(J72:J77)</f>
        <v>0</v>
      </c>
      <c r="I78" s="1097"/>
      <c r="J78" s="1097"/>
      <c r="K78" s="562"/>
      <c r="L78" s="1183" t="s">
        <v>270</v>
      </c>
      <c r="M78" s="1162">
        <f>SUM(O72:O77)</f>
        <v>0</v>
      </c>
      <c r="N78" s="1097"/>
      <c r="O78" s="1097"/>
      <c r="P78" s="1183" t="s">
        <v>270</v>
      </c>
      <c r="Q78" s="1162">
        <f>SUM(S72:S77)</f>
        <v>0</v>
      </c>
      <c r="R78" s="1097"/>
      <c r="S78" s="1097"/>
      <c r="T78" s="562"/>
      <c r="U78" s="1183" t="s">
        <v>270</v>
      </c>
      <c r="V78" s="1162">
        <f>SUM(X72:X77)</f>
        <v>0</v>
      </c>
      <c r="W78" s="1097"/>
      <c r="X78" s="1097"/>
      <c r="Y78" s="1183" t="s">
        <v>270</v>
      </c>
      <c r="Z78" s="1162">
        <f>SUM(AB72:AB77)</f>
        <v>0</v>
      </c>
      <c r="AA78" s="1097"/>
      <c r="AB78" s="1097"/>
      <c r="AC78" s="562"/>
      <c r="AD78" s="1183" t="s">
        <v>270</v>
      </c>
      <c r="AE78" s="1188">
        <f>SUM(AG72:AG77)</f>
        <v>0</v>
      </c>
      <c r="AF78" s="1097"/>
      <c r="AG78" s="1097"/>
      <c r="AH78" s="1183" t="s">
        <v>270</v>
      </c>
      <c r="AI78" s="1188">
        <f>SUM(AK72:AK77)</f>
        <v>0</v>
      </c>
      <c r="AJ78" s="1097"/>
      <c r="AK78" s="1098"/>
      <c r="AL78" s="562"/>
      <c r="AM78" s="1183" t="s">
        <v>270</v>
      </c>
      <c r="AN78" s="1162">
        <f>SUM(AP72:AP77)</f>
        <v>0</v>
      </c>
      <c r="AO78" s="1097"/>
      <c r="AP78" s="1097"/>
      <c r="AQ78" s="1183" t="s">
        <v>270</v>
      </c>
      <c r="AR78" s="1162">
        <f>SUM(AT72:AT77)</f>
        <v>0</v>
      </c>
      <c r="AS78" s="1097"/>
      <c r="AT78" s="1097"/>
      <c r="AU78" s="562"/>
      <c r="AV78" s="1183" t="s">
        <v>270</v>
      </c>
      <c r="AW78" s="1162">
        <f>SUM(AY72:AY77)</f>
        <v>0</v>
      </c>
      <c r="AX78" s="1097"/>
      <c r="AY78" s="1097"/>
      <c r="AZ78" s="1183" t="s">
        <v>270</v>
      </c>
      <c r="BA78" s="1162">
        <f>SUM(BC72:BC77)</f>
        <v>0</v>
      </c>
      <c r="BB78" s="1097"/>
      <c r="BC78" s="1097"/>
      <c r="BD78" s="562"/>
      <c r="BE78" s="1183" t="s">
        <v>270</v>
      </c>
      <c r="BF78" s="1162">
        <f>SUM(BH72:BH77)</f>
        <v>0</v>
      </c>
      <c r="BG78" s="1097"/>
      <c r="BH78" s="1097"/>
      <c r="BI78" s="1183" t="s">
        <v>270</v>
      </c>
      <c r="BJ78" s="1162">
        <f>SUM(BL72:BL77)</f>
        <v>0</v>
      </c>
      <c r="BK78" s="1097"/>
      <c r="BL78" s="1097"/>
      <c r="BM78" s="562"/>
      <c r="BN78" s="1183" t="s">
        <v>270</v>
      </c>
      <c r="BO78" s="1162">
        <f>SUM(BQ72:BQ77)</f>
        <v>0</v>
      </c>
      <c r="BP78" s="1097"/>
      <c r="BQ78" s="1097"/>
      <c r="BR78" s="1183" t="s">
        <v>270</v>
      </c>
      <c r="BS78" s="1162">
        <f>SUM(BU72:BU77)</f>
        <v>0</v>
      </c>
      <c r="BT78" s="1097"/>
      <c r="BU78" s="1097"/>
      <c r="BV78" s="562"/>
      <c r="BW78" s="1183" t="s">
        <v>270</v>
      </c>
      <c r="BX78" s="1162">
        <f>SUM(BZ72:BZ77)</f>
        <v>0</v>
      </c>
      <c r="BY78" s="1097"/>
      <c r="BZ78" s="1097"/>
      <c r="CA78" s="1161" t="s">
        <v>270</v>
      </c>
      <c r="CB78" s="1162">
        <f>SUM(CD72:CD77)</f>
        <v>0</v>
      </c>
      <c r="CC78" s="1097"/>
      <c r="CD78" s="1097"/>
      <c r="CE78" s="516"/>
      <c r="CF78" s="504"/>
    </row>
    <row r="79">
      <c r="A79" s="2"/>
      <c r="B79" s="542"/>
      <c r="C79" s="1163" t="s">
        <v>980</v>
      </c>
      <c r="D79" s="1184"/>
      <c r="E79" s="188"/>
      <c r="F79" s="544"/>
      <c r="G79" s="1185" t="s">
        <v>980</v>
      </c>
      <c r="H79" s="1184"/>
      <c r="I79" s="188"/>
      <c r="J79" s="191"/>
      <c r="K79" s="636"/>
      <c r="L79" s="1185" t="s">
        <v>980</v>
      </c>
      <c r="M79" s="1184"/>
      <c r="N79" s="188"/>
      <c r="O79" s="544"/>
      <c r="P79" s="1185" t="s">
        <v>980</v>
      </c>
      <c r="Q79" s="1184"/>
      <c r="R79" s="188"/>
      <c r="S79" s="191"/>
      <c r="T79" s="636"/>
      <c r="U79" s="1185" t="s">
        <v>980</v>
      </c>
      <c r="V79" s="1184"/>
      <c r="W79" s="188"/>
      <c r="X79" s="544"/>
      <c r="Y79" s="1185" t="s">
        <v>980</v>
      </c>
      <c r="Z79" s="1184"/>
      <c r="AA79" s="188"/>
      <c r="AB79" s="191"/>
      <c r="AC79" s="636"/>
      <c r="AD79" s="1185" t="s">
        <v>980</v>
      </c>
      <c r="AE79" s="1184"/>
      <c r="AF79" s="188"/>
      <c r="AG79" s="544"/>
      <c r="AH79" s="1185" t="s">
        <v>980</v>
      </c>
      <c r="AI79" s="1184"/>
      <c r="AJ79" s="188"/>
      <c r="AK79" s="191"/>
      <c r="AL79" s="636"/>
      <c r="AM79" s="1185" t="s">
        <v>980</v>
      </c>
      <c r="AN79" s="1184"/>
      <c r="AO79" s="188"/>
      <c r="AP79" s="544"/>
      <c r="AQ79" s="1185" t="s">
        <v>980</v>
      </c>
      <c r="AR79" s="1184"/>
      <c r="AS79" s="188"/>
      <c r="AT79" s="191"/>
      <c r="AU79" s="636"/>
      <c r="AV79" s="1185" t="s">
        <v>980</v>
      </c>
      <c r="AW79" s="1184"/>
      <c r="AX79" s="188"/>
      <c r="AY79" s="544"/>
      <c r="AZ79" s="1185" t="s">
        <v>980</v>
      </c>
      <c r="BA79" s="1184"/>
      <c r="BB79" s="188"/>
      <c r="BC79" s="191"/>
      <c r="BD79" s="636"/>
      <c r="BE79" s="1185" t="s">
        <v>980</v>
      </c>
      <c r="BF79" s="1184"/>
      <c r="BG79" s="188"/>
      <c r="BH79" s="544"/>
      <c r="BI79" s="1185" t="s">
        <v>980</v>
      </c>
      <c r="BJ79" s="1184"/>
      <c r="BK79" s="188"/>
      <c r="BL79" s="191"/>
      <c r="BM79" s="636"/>
      <c r="BN79" s="1185" t="s">
        <v>980</v>
      </c>
      <c r="BO79" s="1184"/>
      <c r="BP79" s="188"/>
      <c r="BQ79" s="544"/>
      <c r="BR79" s="1185" t="s">
        <v>980</v>
      </c>
      <c r="BS79" s="1184"/>
      <c r="BT79" s="188"/>
      <c r="BU79" s="191"/>
      <c r="BV79" s="636"/>
      <c r="BW79" s="1185" t="s">
        <v>980</v>
      </c>
      <c r="BX79" s="1184"/>
      <c r="BY79" s="188"/>
      <c r="BZ79" s="544"/>
      <c r="CA79" s="1163" t="s">
        <v>980</v>
      </c>
      <c r="CB79" s="1164"/>
      <c r="CC79" s="188"/>
      <c r="CD79" s="191"/>
      <c r="CE79" s="552"/>
      <c r="CF79" s="2"/>
    </row>
    <row r="80">
      <c r="A80" s="2"/>
      <c r="B80" s="542"/>
      <c r="C80" s="1165" t="s">
        <v>981</v>
      </c>
      <c r="D80" s="1166">
        <v>1.0</v>
      </c>
      <c r="E80" s="1166">
        <v>2.0</v>
      </c>
      <c r="F80" s="1171">
        <v>3.0</v>
      </c>
      <c r="G80" s="1167" t="s">
        <v>982</v>
      </c>
      <c r="H80" s="210"/>
      <c r="I80" s="1168" t="str">
        <f>IF(D79=2,"W",IF(H79=2,"L",))</f>
        <v/>
      </c>
      <c r="J80" s="1169" t="str">
        <f>IF(H79=2,"W",IF(D79=2,"L",))</f>
        <v/>
      </c>
      <c r="K80" s="636"/>
      <c r="L80" s="1170" t="s">
        <v>981</v>
      </c>
      <c r="M80" s="1166">
        <v>1.0</v>
      </c>
      <c r="N80" s="1166">
        <v>2.0</v>
      </c>
      <c r="O80" s="1166">
        <v>3.0</v>
      </c>
      <c r="P80" s="1167" t="s">
        <v>982</v>
      </c>
      <c r="Q80" s="210"/>
      <c r="R80" s="1168" t="str">
        <f>IF(M79=2,"W",IF(Q79=2,"L",))</f>
        <v/>
      </c>
      <c r="S80" s="1169" t="str">
        <f>IF(Q79=2,"W",IF(M79=2,"L",))</f>
        <v/>
      </c>
      <c r="T80" s="636"/>
      <c r="U80" s="1170" t="s">
        <v>981</v>
      </c>
      <c r="V80" s="1166">
        <v>1.0</v>
      </c>
      <c r="W80" s="1166">
        <v>2.0</v>
      </c>
      <c r="X80" s="1166">
        <v>3.0</v>
      </c>
      <c r="Y80" s="1167" t="s">
        <v>982</v>
      </c>
      <c r="Z80" s="210"/>
      <c r="AA80" s="1168" t="str">
        <f>IF(V79=2,"W",IF(Z79=2,"L",))</f>
        <v/>
      </c>
      <c r="AB80" s="1169" t="str">
        <f>IF(Z79=2,"W",IF(V79=2,"L",))</f>
        <v/>
      </c>
      <c r="AC80" s="636"/>
      <c r="AD80" s="1170" t="s">
        <v>981</v>
      </c>
      <c r="AE80" s="1166">
        <v>1.0</v>
      </c>
      <c r="AF80" s="1166">
        <v>2.0</v>
      </c>
      <c r="AG80" s="1166">
        <v>3.0</v>
      </c>
      <c r="AH80" s="1167" t="s">
        <v>982</v>
      </c>
      <c r="AI80" s="210"/>
      <c r="AJ80" s="1168" t="str">
        <f>IF(AE79=2,"W",IF(AI79=2,"L",))</f>
        <v/>
      </c>
      <c r="AK80" s="1169" t="str">
        <f>IF(AI79=2,"W",IF(AE79=2,"L",))</f>
        <v/>
      </c>
      <c r="AL80" s="636"/>
      <c r="AM80" s="1170" t="s">
        <v>981</v>
      </c>
      <c r="AN80" s="1166">
        <v>1.0</v>
      </c>
      <c r="AO80" s="1166">
        <v>2.0</v>
      </c>
      <c r="AP80" s="1171">
        <v>3.0</v>
      </c>
      <c r="AQ80" s="1167" t="s">
        <v>982</v>
      </c>
      <c r="AR80" s="210"/>
      <c r="AS80" s="1168" t="str">
        <f>IF(AN79=2,"W",IF(AR79=2,"L",))</f>
        <v/>
      </c>
      <c r="AT80" s="1169" t="str">
        <f>IF(AR79=2,"W",IF(AN79=2,"L",))</f>
        <v/>
      </c>
      <c r="AU80" s="636"/>
      <c r="AV80" s="1170" t="s">
        <v>981</v>
      </c>
      <c r="AW80" s="1166">
        <v>1.0</v>
      </c>
      <c r="AX80" s="1166">
        <v>2.0</v>
      </c>
      <c r="AY80" s="1171">
        <v>3.0</v>
      </c>
      <c r="AZ80" s="1167" t="s">
        <v>982</v>
      </c>
      <c r="BA80" s="210"/>
      <c r="BB80" s="1168" t="str">
        <f>IF(AW79=2,"W",IF(BA79=2,"L",))</f>
        <v/>
      </c>
      <c r="BC80" s="1169" t="str">
        <f>IF(BA79=2,"W",IF(AW79=2,"L",))</f>
        <v/>
      </c>
      <c r="BD80" s="636"/>
      <c r="BE80" s="1170" t="s">
        <v>981</v>
      </c>
      <c r="BF80" s="1166">
        <v>1.0</v>
      </c>
      <c r="BG80" s="1166">
        <v>2.0</v>
      </c>
      <c r="BH80" s="1171">
        <v>3.0</v>
      </c>
      <c r="BI80" s="1167" t="s">
        <v>982</v>
      </c>
      <c r="BJ80" s="210"/>
      <c r="BK80" s="1168" t="str">
        <f>IF(BF79=2,"W",IF(BJ79=2,"L",))</f>
        <v/>
      </c>
      <c r="BL80" s="1169" t="str">
        <f>IF(BJ79=2,"W",IF(BF79=2,"L",))</f>
        <v/>
      </c>
      <c r="BM80" s="636"/>
      <c r="BN80" s="1170" t="s">
        <v>981</v>
      </c>
      <c r="BO80" s="1171">
        <v>1.0</v>
      </c>
      <c r="BP80" s="1171">
        <v>2.0</v>
      </c>
      <c r="BQ80" s="1171">
        <v>3.0</v>
      </c>
      <c r="BR80" s="1167" t="s">
        <v>982</v>
      </c>
      <c r="BS80" s="210"/>
      <c r="BT80" s="1168" t="str">
        <f>IF(BO79=2,"W",IF(BS79=2,"L",))</f>
        <v/>
      </c>
      <c r="BU80" s="1169" t="str">
        <f>IF(BS79=2,"W",IF(BO79=2,"L",))</f>
        <v/>
      </c>
      <c r="BV80" s="636"/>
      <c r="BW80" s="1170" t="s">
        <v>981</v>
      </c>
      <c r="BX80" s="1171">
        <v>1.0</v>
      </c>
      <c r="BY80" s="1171">
        <v>2.0</v>
      </c>
      <c r="BZ80" s="1171">
        <v>3.0</v>
      </c>
      <c r="CA80" s="1172" t="s">
        <v>982</v>
      </c>
      <c r="CB80" s="210"/>
      <c r="CC80" s="1173" t="str">
        <f>IF(BX79=2,"W",IF(CB79=2,"L",))</f>
        <v/>
      </c>
      <c r="CD80" s="1174" t="str">
        <f>IF(CB79=2,"W",IF(BX79=2,"L",))</f>
        <v/>
      </c>
      <c r="CE80" s="552"/>
      <c r="CF80" s="2"/>
    </row>
    <row r="81" ht="7.5" customHeight="1">
      <c r="A81" s="504"/>
      <c r="B81" s="514"/>
      <c r="C81" s="515"/>
      <c r="D81" s="562"/>
      <c r="E81" s="562"/>
      <c r="F81" s="562"/>
      <c r="G81" s="562"/>
      <c r="H81" s="562"/>
      <c r="I81" s="562"/>
      <c r="J81" s="562"/>
      <c r="K81" s="562"/>
      <c r="L81" s="562"/>
      <c r="M81" s="562"/>
      <c r="N81" s="562"/>
      <c r="O81" s="562"/>
      <c r="P81" s="562"/>
      <c r="Q81" s="562"/>
      <c r="R81" s="562"/>
      <c r="S81" s="562"/>
      <c r="T81" s="562"/>
      <c r="U81" s="562"/>
      <c r="V81" s="562"/>
      <c r="W81" s="562"/>
      <c r="X81" s="562"/>
      <c r="Y81" s="562"/>
      <c r="Z81" s="562"/>
      <c r="AA81" s="562"/>
      <c r="AB81" s="562"/>
      <c r="AC81" s="562"/>
      <c r="AD81" s="562"/>
      <c r="AE81" s="562"/>
      <c r="AF81" s="562"/>
      <c r="AG81" s="562"/>
      <c r="AH81" s="562"/>
      <c r="AI81" s="562"/>
      <c r="AJ81" s="562"/>
      <c r="AK81" s="562"/>
      <c r="AL81" s="562"/>
      <c r="AM81" s="562"/>
      <c r="AN81" s="562"/>
      <c r="AO81" s="562"/>
      <c r="AP81" s="562"/>
      <c r="AQ81" s="562"/>
      <c r="AR81" s="562"/>
      <c r="AS81" s="562"/>
      <c r="AT81" s="562"/>
      <c r="AU81" s="562"/>
      <c r="AV81" s="562"/>
      <c r="AW81" s="562"/>
      <c r="AX81" s="562"/>
      <c r="AY81" s="562"/>
      <c r="AZ81" s="562"/>
      <c r="BA81" s="562"/>
      <c r="BB81" s="562"/>
      <c r="BC81" s="562"/>
      <c r="BD81" s="562"/>
      <c r="BE81" s="562"/>
      <c r="BF81" s="562"/>
      <c r="BG81" s="562"/>
      <c r="BH81" s="562"/>
      <c r="BI81" s="562"/>
      <c r="BJ81" s="562"/>
      <c r="BK81" s="562"/>
      <c r="BL81" s="562"/>
      <c r="BM81" s="562"/>
      <c r="BN81" s="562"/>
      <c r="BO81" s="562"/>
      <c r="BP81" s="562"/>
      <c r="BQ81" s="562"/>
      <c r="BR81" s="562"/>
      <c r="BS81" s="562"/>
      <c r="BT81" s="562"/>
      <c r="BU81" s="562"/>
      <c r="BV81" s="562"/>
      <c r="BW81" s="562"/>
      <c r="BX81" s="562"/>
      <c r="BY81" s="562"/>
      <c r="BZ81" s="562"/>
      <c r="CA81" s="515"/>
      <c r="CB81" s="515"/>
      <c r="CC81" s="515"/>
      <c r="CD81" s="515"/>
      <c r="CE81" s="516"/>
      <c r="CF81" s="504"/>
    </row>
    <row r="82">
      <c r="A82" s="504"/>
      <c r="B82" s="514"/>
      <c r="C82" s="517" t="str">
        <f>#REF!</f>
        <v>#REF!</v>
      </c>
      <c r="D82" s="564" t="s">
        <v>76</v>
      </c>
      <c r="E82" s="565" t="s">
        <v>77</v>
      </c>
      <c r="F82" s="565" t="s">
        <v>78</v>
      </c>
      <c r="G82" s="566" t="str">
        <f>#REF!</f>
        <v>#REF!</v>
      </c>
      <c r="H82" s="567" t="s">
        <v>76</v>
      </c>
      <c r="I82" s="568" t="s">
        <v>77</v>
      </c>
      <c r="J82" s="569" t="s">
        <v>78</v>
      </c>
      <c r="K82" s="562"/>
      <c r="L82" s="656" t="str">
        <f>#REF!</f>
        <v>#REF!</v>
      </c>
      <c r="M82" s="564" t="s">
        <v>76</v>
      </c>
      <c r="N82" s="565" t="s">
        <v>77</v>
      </c>
      <c r="O82" s="565" t="s">
        <v>78</v>
      </c>
      <c r="P82" s="566" t="str">
        <f>#REF!</f>
        <v>#REF!</v>
      </c>
      <c r="Q82" s="567" t="s">
        <v>76</v>
      </c>
      <c r="R82" s="568" t="s">
        <v>77</v>
      </c>
      <c r="S82" s="569" t="s">
        <v>78</v>
      </c>
      <c r="T82" s="562"/>
      <c r="U82" s="656" t="str">
        <f>#REF!</f>
        <v>#REF!</v>
      </c>
      <c r="V82" s="564" t="s">
        <v>76</v>
      </c>
      <c r="W82" s="565" t="s">
        <v>77</v>
      </c>
      <c r="X82" s="565" t="s">
        <v>78</v>
      </c>
      <c r="Y82" s="566" t="str">
        <f>#REF!</f>
        <v>#REF!</v>
      </c>
      <c r="Z82" s="567" t="s">
        <v>76</v>
      </c>
      <c r="AA82" s="568" t="s">
        <v>77</v>
      </c>
      <c r="AB82" s="569" t="s">
        <v>78</v>
      </c>
      <c r="AC82" s="562"/>
      <c r="AD82" s="656" t="str">
        <f>#REF!</f>
        <v>#REF!</v>
      </c>
      <c r="AE82" s="564" t="s">
        <v>76</v>
      </c>
      <c r="AF82" s="565" t="s">
        <v>77</v>
      </c>
      <c r="AG82" s="565" t="s">
        <v>78</v>
      </c>
      <c r="AH82" s="566" t="str">
        <f>#REF!</f>
        <v>#REF!</v>
      </c>
      <c r="AI82" s="567" t="s">
        <v>76</v>
      </c>
      <c r="AJ82" s="568" t="s">
        <v>77</v>
      </c>
      <c r="AK82" s="569" t="s">
        <v>78</v>
      </c>
      <c r="AL82" s="562"/>
      <c r="AM82" s="656" t="str">
        <f>#REF!</f>
        <v>#REF!</v>
      </c>
      <c r="AN82" s="564" t="s">
        <v>76</v>
      </c>
      <c r="AO82" s="565" t="s">
        <v>77</v>
      </c>
      <c r="AP82" s="565" t="s">
        <v>78</v>
      </c>
      <c r="AQ82" s="566" t="str">
        <f>#REF!</f>
        <v>#REF!</v>
      </c>
      <c r="AR82" s="567" t="s">
        <v>76</v>
      </c>
      <c r="AS82" s="568" t="s">
        <v>77</v>
      </c>
      <c r="AT82" s="569" t="s">
        <v>78</v>
      </c>
      <c r="AU82" s="562"/>
      <c r="AV82" s="656" t="str">
        <f>#REF!</f>
        <v>#REF!</v>
      </c>
      <c r="AW82" s="564" t="s">
        <v>76</v>
      </c>
      <c r="AX82" s="565" t="s">
        <v>77</v>
      </c>
      <c r="AY82" s="565" t="s">
        <v>78</v>
      </c>
      <c r="AZ82" s="566" t="str">
        <f>#REF!</f>
        <v>#REF!</v>
      </c>
      <c r="BA82" s="567" t="s">
        <v>76</v>
      </c>
      <c r="BB82" s="568" t="s">
        <v>77</v>
      </c>
      <c r="BC82" s="569" t="s">
        <v>78</v>
      </c>
      <c r="BD82" s="562"/>
      <c r="BE82" s="656" t="str">
        <f>#REF!</f>
        <v>#REF!</v>
      </c>
      <c r="BF82" s="564" t="s">
        <v>76</v>
      </c>
      <c r="BG82" s="565" t="s">
        <v>77</v>
      </c>
      <c r="BH82" s="565" t="s">
        <v>78</v>
      </c>
      <c r="BI82" s="566" t="str">
        <f>#REF!</f>
        <v>#REF!</v>
      </c>
      <c r="BJ82" s="567" t="s">
        <v>76</v>
      </c>
      <c r="BK82" s="568" t="s">
        <v>77</v>
      </c>
      <c r="BL82" s="569" t="s">
        <v>78</v>
      </c>
      <c r="BM82" s="562"/>
      <c r="BN82" s="656" t="str">
        <f>#REF!</f>
        <v>#REF!</v>
      </c>
      <c r="BO82" s="564" t="s">
        <v>76</v>
      </c>
      <c r="BP82" s="565" t="s">
        <v>77</v>
      </c>
      <c r="BQ82" s="565" t="s">
        <v>78</v>
      </c>
      <c r="BR82" s="566" t="str">
        <f>#REF!</f>
        <v>#REF!</v>
      </c>
      <c r="BS82" s="567" t="s">
        <v>76</v>
      </c>
      <c r="BT82" s="568" t="s">
        <v>77</v>
      </c>
      <c r="BU82" s="569" t="s">
        <v>78</v>
      </c>
      <c r="BV82" s="562"/>
      <c r="BW82" s="656" t="str">
        <f>#REF!</f>
        <v>#REF!</v>
      </c>
      <c r="BX82" s="564" t="s">
        <v>76</v>
      </c>
      <c r="BY82" s="565" t="s">
        <v>77</v>
      </c>
      <c r="BZ82" s="565" t="s">
        <v>78</v>
      </c>
      <c r="CA82" s="521" t="str">
        <f>#REF!</f>
        <v>#REF!</v>
      </c>
      <c r="CB82" s="522" t="s">
        <v>76</v>
      </c>
      <c r="CC82" s="523" t="s">
        <v>77</v>
      </c>
      <c r="CD82" s="524" t="s">
        <v>78</v>
      </c>
      <c r="CE82" s="516"/>
      <c r="CF82" s="504"/>
    </row>
    <row r="83">
      <c r="A83" s="504"/>
      <c r="B83" s="514"/>
      <c r="C83" s="1149"/>
      <c r="D83" s="1175"/>
      <c r="E83" s="1175"/>
      <c r="F83" s="1176">
        <f t="shared" ref="F83:F88" si="127">D83-E83</f>
        <v>0</v>
      </c>
      <c r="G83" s="1177"/>
      <c r="H83" s="1175"/>
      <c r="I83" s="1175"/>
      <c r="J83" s="1176">
        <f t="shared" ref="J83:J88" si="128">H83-I83</f>
        <v>0</v>
      </c>
      <c r="K83" s="562"/>
      <c r="L83" s="1177"/>
      <c r="M83" s="1175"/>
      <c r="N83" s="1175"/>
      <c r="O83" s="1176">
        <f t="shared" ref="O83:O88" si="129">M83-N83</f>
        <v>0</v>
      </c>
      <c r="P83" s="1177"/>
      <c r="Q83" s="1175"/>
      <c r="R83" s="1175"/>
      <c r="S83" s="1176">
        <f t="shared" ref="S83:S88" si="130">Q83-R83</f>
        <v>0</v>
      </c>
      <c r="T83" s="562"/>
      <c r="U83" s="1177"/>
      <c r="V83" s="1175"/>
      <c r="W83" s="1175"/>
      <c r="X83" s="1176">
        <f t="shared" ref="X83:X88" si="131">V83-W83</f>
        <v>0</v>
      </c>
      <c r="Y83" s="1177"/>
      <c r="Z83" s="1175"/>
      <c r="AA83" s="1175"/>
      <c r="AB83" s="1176">
        <f t="shared" ref="AB83:AB88" si="132">Z83-AA83</f>
        <v>0</v>
      </c>
      <c r="AC83" s="562"/>
      <c r="AD83" s="1177"/>
      <c r="AE83" s="1175"/>
      <c r="AF83" s="1175"/>
      <c r="AG83" s="1176">
        <f t="shared" ref="AG83:AG88" si="133">AE83-AF83</f>
        <v>0</v>
      </c>
      <c r="AH83" s="1177"/>
      <c r="AI83" s="1175"/>
      <c r="AJ83" s="1175"/>
      <c r="AK83" s="1176">
        <f t="shared" ref="AK83:AK88" si="134">AI83-AJ83</f>
        <v>0</v>
      </c>
      <c r="AL83" s="562"/>
      <c r="AM83" s="1177"/>
      <c r="AN83" s="1175"/>
      <c r="AO83" s="1175"/>
      <c r="AP83" s="1176">
        <f t="shared" ref="AP83:AP88" si="135">AN83-AO83</f>
        <v>0</v>
      </c>
      <c r="AQ83" s="1177"/>
      <c r="AR83" s="1175"/>
      <c r="AS83" s="1175"/>
      <c r="AT83" s="1176">
        <f t="shared" ref="AT83:AT88" si="136">AR83-AS83</f>
        <v>0</v>
      </c>
      <c r="AU83" s="562"/>
      <c r="AV83" s="1177"/>
      <c r="AW83" s="1175"/>
      <c r="AX83" s="1175"/>
      <c r="AY83" s="1176">
        <f t="shared" ref="AY83:AY88" si="137">AW83-AX83</f>
        <v>0</v>
      </c>
      <c r="AZ83" s="1177"/>
      <c r="BA83" s="1175"/>
      <c r="BB83" s="1175"/>
      <c r="BC83" s="1176">
        <f t="shared" ref="BC83:BC88" si="138">BA83-BB83</f>
        <v>0</v>
      </c>
      <c r="BD83" s="562"/>
      <c r="BE83" s="1177"/>
      <c r="BF83" s="1175"/>
      <c r="BG83" s="1175"/>
      <c r="BH83" s="1176">
        <f t="shared" ref="BH83:BH88" si="139">BF83-BG83</f>
        <v>0</v>
      </c>
      <c r="BI83" s="1177"/>
      <c r="BJ83" s="1175"/>
      <c r="BK83" s="1175"/>
      <c r="BL83" s="1176">
        <f t="shared" ref="BL83:BL88" si="140">BJ83-BK83</f>
        <v>0</v>
      </c>
      <c r="BM83" s="562"/>
      <c r="BN83" s="1177"/>
      <c r="BO83" s="1175"/>
      <c r="BP83" s="1175"/>
      <c r="BQ83" s="1176">
        <f t="shared" ref="BQ83:BQ88" si="141">BO83-BP83</f>
        <v>0</v>
      </c>
      <c r="BR83" s="1177"/>
      <c r="BS83" s="1175"/>
      <c r="BT83" s="1175"/>
      <c r="BU83" s="1176">
        <f t="shared" ref="BU83:BU88" si="142">BS83-BT83</f>
        <v>0</v>
      </c>
      <c r="BV83" s="562"/>
      <c r="BW83" s="1177"/>
      <c r="BX83" s="1175"/>
      <c r="BY83" s="1175"/>
      <c r="BZ83" s="1176">
        <f t="shared" ref="BZ83:BZ88" si="143">BX83-BY83</f>
        <v>0</v>
      </c>
      <c r="CA83" s="1149"/>
      <c r="CB83" s="1150"/>
      <c r="CC83" s="1150"/>
      <c r="CD83" s="1151">
        <f t="shared" ref="CD83:CD88" si="144">CB83-CC83</f>
        <v>0</v>
      </c>
      <c r="CE83" s="516"/>
      <c r="CF83" s="504"/>
    </row>
    <row r="84">
      <c r="A84" s="504"/>
      <c r="B84" s="514"/>
      <c r="C84" s="1154"/>
      <c r="D84" s="1178"/>
      <c r="E84" s="1178"/>
      <c r="F84" s="1176">
        <f t="shared" si="127"/>
        <v>0</v>
      </c>
      <c r="G84" s="1179"/>
      <c r="H84" s="1178"/>
      <c r="I84" s="1178"/>
      <c r="J84" s="1176">
        <f t="shared" si="128"/>
        <v>0</v>
      </c>
      <c r="K84" s="562"/>
      <c r="L84" s="1179"/>
      <c r="M84" s="1178"/>
      <c r="N84" s="1178"/>
      <c r="O84" s="1176">
        <f t="shared" si="129"/>
        <v>0</v>
      </c>
      <c r="P84" s="1179"/>
      <c r="Q84" s="1178"/>
      <c r="R84" s="1178"/>
      <c r="S84" s="1176">
        <f t="shared" si="130"/>
        <v>0</v>
      </c>
      <c r="T84" s="562"/>
      <c r="U84" s="1179"/>
      <c r="V84" s="1178"/>
      <c r="W84" s="1178"/>
      <c r="X84" s="1176">
        <f t="shared" si="131"/>
        <v>0</v>
      </c>
      <c r="Y84" s="1179"/>
      <c r="Z84" s="1178"/>
      <c r="AA84" s="1178"/>
      <c r="AB84" s="1176">
        <f t="shared" si="132"/>
        <v>0</v>
      </c>
      <c r="AC84" s="562"/>
      <c r="AD84" s="1179"/>
      <c r="AE84" s="1178"/>
      <c r="AF84" s="1178"/>
      <c r="AG84" s="1176">
        <f t="shared" si="133"/>
        <v>0</v>
      </c>
      <c r="AH84" s="1179"/>
      <c r="AI84" s="1178"/>
      <c r="AJ84" s="1178"/>
      <c r="AK84" s="1176">
        <f t="shared" si="134"/>
        <v>0</v>
      </c>
      <c r="AL84" s="562"/>
      <c r="AM84" s="1179"/>
      <c r="AN84" s="1178"/>
      <c r="AO84" s="1178"/>
      <c r="AP84" s="1176">
        <f t="shared" si="135"/>
        <v>0</v>
      </c>
      <c r="AQ84" s="1179"/>
      <c r="AR84" s="1178"/>
      <c r="AS84" s="1178"/>
      <c r="AT84" s="1176">
        <f t="shared" si="136"/>
        <v>0</v>
      </c>
      <c r="AU84" s="562"/>
      <c r="AV84" s="1179"/>
      <c r="AW84" s="1178"/>
      <c r="AX84" s="1178"/>
      <c r="AY84" s="1176">
        <f t="shared" si="137"/>
        <v>0</v>
      </c>
      <c r="AZ84" s="1179"/>
      <c r="BA84" s="1178"/>
      <c r="BB84" s="1178"/>
      <c r="BC84" s="1176">
        <f t="shared" si="138"/>
        <v>0</v>
      </c>
      <c r="BD84" s="562"/>
      <c r="BE84" s="1179"/>
      <c r="BF84" s="1178"/>
      <c r="BG84" s="1178"/>
      <c r="BH84" s="1176">
        <f t="shared" si="139"/>
        <v>0</v>
      </c>
      <c r="BI84" s="1179"/>
      <c r="BJ84" s="1178"/>
      <c r="BK84" s="1178"/>
      <c r="BL84" s="1176">
        <f t="shared" si="140"/>
        <v>0</v>
      </c>
      <c r="BM84" s="562"/>
      <c r="BN84" s="1179"/>
      <c r="BO84" s="1178"/>
      <c r="BP84" s="1178"/>
      <c r="BQ84" s="1176">
        <f t="shared" si="141"/>
        <v>0</v>
      </c>
      <c r="BR84" s="1179"/>
      <c r="BS84" s="1178"/>
      <c r="BT84" s="1178"/>
      <c r="BU84" s="1176">
        <f t="shared" si="142"/>
        <v>0</v>
      </c>
      <c r="BV84" s="562"/>
      <c r="BW84" s="1179"/>
      <c r="BX84" s="1178"/>
      <c r="BY84" s="1178"/>
      <c r="BZ84" s="1176">
        <f t="shared" si="143"/>
        <v>0</v>
      </c>
      <c r="CA84" s="1154"/>
      <c r="CB84" s="1155"/>
      <c r="CC84" s="1155"/>
      <c r="CD84" s="1151">
        <f t="shared" si="144"/>
        <v>0</v>
      </c>
      <c r="CE84" s="516"/>
      <c r="CF84" s="504"/>
    </row>
    <row r="85">
      <c r="A85" s="504"/>
      <c r="B85" s="514"/>
      <c r="C85" s="1154"/>
      <c r="D85" s="1178"/>
      <c r="E85" s="1178"/>
      <c r="F85" s="1176">
        <f t="shared" si="127"/>
        <v>0</v>
      </c>
      <c r="G85" s="1179"/>
      <c r="H85" s="1178"/>
      <c r="I85" s="1178"/>
      <c r="J85" s="1176">
        <f t="shared" si="128"/>
        <v>0</v>
      </c>
      <c r="K85" s="562"/>
      <c r="L85" s="1179"/>
      <c r="M85" s="1178"/>
      <c r="N85" s="1178"/>
      <c r="O85" s="1176">
        <f t="shared" si="129"/>
        <v>0</v>
      </c>
      <c r="P85" s="1179"/>
      <c r="Q85" s="1178"/>
      <c r="R85" s="1178"/>
      <c r="S85" s="1176">
        <f t="shared" si="130"/>
        <v>0</v>
      </c>
      <c r="T85" s="562"/>
      <c r="U85" s="1179"/>
      <c r="V85" s="1178"/>
      <c r="W85" s="1178"/>
      <c r="X85" s="1176">
        <f t="shared" si="131"/>
        <v>0</v>
      </c>
      <c r="Y85" s="1179"/>
      <c r="Z85" s="1178"/>
      <c r="AA85" s="1178"/>
      <c r="AB85" s="1176">
        <f t="shared" si="132"/>
        <v>0</v>
      </c>
      <c r="AC85" s="562"/>
      <c r="AD85" s="1179"/>
      <c r="AE85" s="1178"/>
      <c r="AF85" s="1178"/>
      <c r="AG85" s="1176">
        <f t="shared" si="133"/>
        <v>0</v>
      </c>
      <c r="AH85" s="1179"/>
      <c r="AI85" s="1178"/>
      <c r="AJ85" s="1178"/>
      <c r="AK85" s="1176">
        <f t="shared" si="134"/>
        <v>0</v>
      </c>
      <c r="AL85" s="562"/>
      <c r="AM85" s="1179"/>
      <c r="AN85" s="1178"/>
      <c r="AO85" s="1178"/>
      <c r="AP85" s="1176">
        <f t="shared" si="135"/>
        <v>0</v>
      </c>
      <c r="AQ85" s="1179"/>
      <c r="AR85" s="1178"/>
      <c r="AS85" s="1178"/>
      <c r="AT85" s="1176">
        <f t="shared" si="136"/>
        <v>0</v>
      </c>
      <c r="AU85" s="562"/>
      <c r="AV85" s="1179"/>
      <c r="AW85" s="1178"/>
      <c r="AX85" s="1178"/>
      <c r="AY85" s="1176">
        <f t="shared" si="137"/>
        <v>0</v>
      </c>
      <c r="AZ85" s="1179"/>
      <c r="BA85" s="1178"/>
      <c r="BB85" s="1178"/>
      <c r="BC85" s="1176">
        <f t="shared" si="138"/>
        <v>0</v>
      </c>
      <c r="BD85" s="562"/>
      <c r="BE85" s="1179"/>
      <c r="BF85" s="1178"/>
      <c r="BG85" s="1178"/>
      <c r="BH85" s="1176">
        <f t="shared" si="139"/>
        <v>0</v>
      </c>
      <c r="BI85" s="1179"/>
      <c r="BJ85" s="1178"/>
      <c r="BK85" s="1178"/>
      <c r="BL85" s="1176">
        <f t="shared" si="140"/>
        <v>0</v>
      </c>
      <c r="BM85" s="562"/>
      <c r="BN85" s="1179"/>
      <c r="BO85" s="1178"/>
      <c r="BP85" s="1178"/>
      <c r="BQ85" s="1176">
        <f t="shared" si="141"/>
        <v>0</v>
      </c>
      <c r="BR85" s="1179"/>
      <c r="BS85" s="1178"/>
      <c r="BT85" s="1178"/>
      <c r="BU85" s="1176">
        <f t="shared" si="142"/>
        <v>0</v>
      </c>
      <c r="BV85" s="562"/>
      <c r="BW85" s="1179"/>
      <c r="BX85" s="1178"/>
      <c r="BY85" s="1178"/>
      <c r="BZ85" s="1176">
        <f t="shared" si="143"/>
        <v>0</v>
      </c>
      <c r="CA85" s="1154"/>
      <c r="CB85" s="1155"/>
      <c r="CC85" s="1155"/>
      <c r="CD85" s="1151">
        <f t="shared" si="144"/>
        <v>0</v>
      </c>
      <c r="CE85" s="516"/>
      <c r="CF85" s="504"/>
    </row>
    <row r="86">
      <c r="A86" s="504"/>
      <c r="B86" s="514"/>
      <c r="C86" s="1154"/>
      <c r="D86" s="1178"/>
      <c r="E86" s="1178"/>
      <c r="F86" s="1176">
        <f t="shared" si="127"/>
        <v>0</v>
      </c>
      <c r="G86" s="1179"/>
      <c r="H86" s="1178"/>
      <c r="I86" s="1178"/>
      <c r="J86" s="1176">
        <f t="shared" si="128"/>
        <v>0</v>
      </c>
      <c r="K86" s="562"/>
      <c r="L86" s="1179"/>
      <c r="M86" s="1178"/>
      <c r="N86" s="1178"/>
      <c r="O86" s="1176">
        <f t="shared" si="129"/>
        <v>0</v>
      </c>
      <c r="P86" s="1179"/>
      <c r="Q86" s="1178"/>
      <c r="R86" s="1178"/>
      <c r="S86" s="1176">
        <f t="shared" si="130"/>
        <v>0</v>
      </c>
      <c r="T86" s="562"/>
      <c r="U86" s="1179"/>
      <c r="V86" s="1178"/>
      <c r="W86" s="1178"/>
      <c r="X86" s="1176">
        <f t="shared" si="131"/>
        <v>0</v>
      </c>
      <c r="Y86" s="1179"/>
      <c r="Z86" s="1178"/>
      <c r="AA86" s="1178"/>
      <c r="AB86" s="1176">
        <f t="shared" si="132"/>
        <v>0</v>
      </c>
      <c r="AC86" s="562"/>
      <c r="AD86" s="1179"/>
      <c r="AE86" s="1178"/>
      <c r="AF86" s="1178"/>
      <c r="AG86" s="1176">
        <f t="shared" si="133"/>
        <v>0</v>
      </c>
      <c r="AH86" s="1179"/>
      <c r="AI86" s="1178"/>
      <c r="AJ86" s="1178"/>
      <c r="AK86" s="1176">
        <f t="shared" si="134"/>
        <v>0</v>
      </c>
      <c r="AL86" s="562"/>
      <c r="AM86" s="1179"/>
      <c r="AN86" s="1178"/>
      <c r="AO86" s="1178"/>
      <c r="AP86" s="1176">
        <f t="shared" si="135"/>
        <v>0</v>
      </c>
      <c r="AQ86" s="1179"/>
      <c r="AR86" s="1178"/>
      <c r="AS86" s="1178"/>
      <c r="AT86" s="1176">
        <f t="shared" si="136"/>
        <v>0</v>
      </c>
      <c r="AU86" s="562"/>
      <c r="AV86" s="1179"/>
      <c r="AW86" s="1178"/>
      <c r="AX86" s="1178"/>
      <c r="AY86" s="1176">
        <f t="shared" si="137"/>
        <v>0</v>
      </c>
      <c r="AZ86" s="1179"/>
      <c r="BA86" s="1178"/>
      <c r="BB86" s="1178"/>
      <c r="BC86" s="1176">
        <f t="shared" si="138"/>
        <v>0</v>
      </c>
      <c r="BD86" s="562"/>
      <c r="BE86" s="1179"/>
      <c r="BF86" s="1178"/>
      <c r="BG86" s="1178"/>
      <c r="BH86" s="1176">
        <f t="shared" si="139"/>
        <v>0</v>
      </c>
      <c r="BI86" s="1179"/>
      <c r="BJ86" s="1178"/>
      <c r="BK86" s="1178"/>
      <c r="BL86" s="1176">
        <f t="shared" si="140"/>
        <v>0</v>
      </c>
      <c r="BM86" s="562"/>
      <c r="BN86" s="1179"/>
      <c r="BO86" s="1178"/>
      <c r="BP86" s="1178"/>
      <c r="BQ86" s="1176">
        <f t="shared" si="141"/>
        <v>0</v>
      </c>
      <c r="BR86" s="1179"/>
      <c r="BS86" s="1178"/>
      <c r="BT86" s="1178"/>
      <c r="BU86" s="1176">
        <f t="shared" si="142"/>
        <v>0</v>
      </c>
      <c r="BV86" s="562"/>
      <c r="BW86" s="1179"/>
      <c r="BX86" s="1178"/>
      <c r="BY86" s="1178"/>
      <c r="BZ86" s="1176">
        <f t="shared" si="143"/>
        <v>0</v>
      </c>
      <c r="CA86" s="1154"/>
      <c r="CB86" s="1155"/>
      <c r="CC86" s="1155"/>
      <c r="CD86" s="1151">
        <f t="shared" si="144"/>
        <v>0</v>
      </c>
      <c r="CE86" s="516"/>
      <c r="CF86" s="504"/>
    </row>
    <row r="87">
      <c r="A87" s="504"/>
      <c r="B87" s="514"/>
      <c r="C87" s="1154"/>
      <c r="D87" s="1178"/>
      <c r="E87" s="1178"/>
      <c r="F87" s="1176">
        <f t="shared" si="127"/>
        <v>0</v>
      </c>
      <c r="G87" s="1179"/>
      <c r="H87" s="1178"/>
      <c r="I87" s="1178"/>
      <c r="J87" s="1176">
        <f t="shared" si="128"/>
        <v>0</v>
      </c>
      <c r="K87" s="562"/>
      <c r="L87" s="1179"/>
      <c r="M87" s="1178"/>
      <c r="N87" s="1178"/>
      <c r="O87" s="1176">
        <f t="shared" si="129"/>
        <v>0</v>
      </c>
      <c r="P87" s="1179"/>
      <c r="Q87" s="1178"/>
      <c r="R87" s="1178"/>
      <c r="S87" s="1176">
        <f t="shared" si="130"/>
        <v>0</v>
      </c>
      <c r="T87" s="562"/>
      <c r="U87" s="1179"/>
      <c r="V87" s="1178"/>
      <c r="W87" s="1178"/>
      <c r="X87" s="1176">
        <f t="shared" si="131"/>
        <v>0</v>
      </c>
      <c r="Y87" s="1179"/>
      <c r="Z87" s="1178"/>
      <c r="AA87" s="1178"/>
      <c r="AB87" s="1176">
        <f t="shared" si="132"/>
        <v>0</v>
      </c>
      <c r="AC87" s="562"/>
      <c r="AD87" s="1179"/>
      <c r="AE87" s="1178"/>
      <c r="AF87" s="1178"/>
      <c r="AG87" s="1176">
        <f t="shared" si="133"/>
        <v>0</v>
      </c>
      <c r="AH87" s="1179"/>
      <c r="AI87" s="1178"/>
      <c r="AJ87" s="1178"/>
      <c r="AK87" s="1176">
        <f t="shared" si="134"/>
        <v>0</v>
      </c>
      <c r="AL87" s="562"/>
      <c r="AM87" s="1179"/>
      <c r="AN87" s="1178"/>
      <c r="AO87" s="1178"/>
      <c r="AP87" s="1176">
        <f t="shared" si="135"/>
        <v>0</v>
      </c>
      <c r="AQ87" s="1179"/>
      <c r="AR87" s="1178"/>
      <c r="AS87" s="1178"/>
      <c r="AT87" s="1176">
        <f t="shared" si="136"/>
        <v>0</v>
      </c>
      <c r="AU87" s="562"/>
      <c r="AV87" s="1179"/>
      <c r="AW87" s="1178"/>
      <c r="AX87" s="1178"/>
      <c r="AY87" s="1176">
        <f t="shared" si="137"/>
        <v>0</v>
      </c>
      <c r="AZ87" s="1179"/>
      <c r="BA87" s="1178"/>
      <c r="BB87" s="1178"/>
      <c r="BC87" s="1176">
        <f t="shared" si="138"/>
        <v>0</v>
      </c>
      <c r="BD87" s="562"/>
      <c r="BE87" s="1179"/>
      <c r="BF87" s="1178"/>
      <c r="BG87" s="1178"/>
      <c r="BH87" s="1176">
        <f t="shared" si="139"/>
        <v>0</v>
      </c>
      <c r="BI87" s="1179"/>
      <c r="BJ87" s="1178"/>
      <c r="BK87" s="1178"/>
      <c r="BL87" s="1176">
        <f t="shared" si="140"/>
        <v>0</v>
      </c>
      <c r="BM87" s="562"/>
      <c r="BN87" s="1179"/>
      <c r="BO87" s="1178"/>
      <c r="BP87" s="1178"/>
      <c r="BQ87" s="1176">
        <f t="shared" si="141"/>
        <v>0</v>
      </c>
      <c r="BR87" s="1179"/>
      <c r="BS87" s="1178"/>
      <c r="BT87" s="1178"/>
      <c r="BU87" s="1176">
        <f t="shared" si="142"/>
        <v>0</v>
      </c>
      <c r="BV87" s="562"/>
      <c r="BW87" s="1179"/>
      <c r="BX87" s="1178"/>
      <c r="BY87" s="1178"/>
      <c r="BZ87" s="1176">
        <f t="shared" si="143"/>
        <v>0</v>
      </c>
      <c r="CA87" s="1154"/>
      <c r="CB87" s="1155"/>
      <c r="CC87" s="1155"/>
      <c r="CD87" s="1151">
        <f t="shared" si="144"/>
        <v>0</v>
      </c>
      <c r="CE87" s="516"/>
      <c r="CF87" s="504"/>
    </row>
    <row r="88">
      <c r="A88" s="504"/>
      <c r="B88" s="514"/>
      <c r="C88" s="1159"/>
      <c r="D88" s="1181"/>
      <c r="E88" s="1181"/>
      <c r="F88" s="1176">
        <f t="shared" si="127"/>
        <v>0</v>
      </c>
      <c r="G88" s="1182"/>
      <c r="H88" s="1181"/>
      <c r="I88" s="1181"/>
      <c r="J88" s="1176">
        <f t="shared" si="128"/>
        <v>0</v>
      </c>
      <c r="K88" s="562"/>
      <c r="L88" s="1182"/>
      <c r="M88" s="1181"/>
      <c r="N88" s="1181"/>
      <c r="O88" s="1176">
        <f t="shared" si="129"/>
        <v>0</v>
      </c>
      <c r="P88" s="1182"/>
      <c r="Q88" s="1181"/>
      <c r="R88" s="1181"/>
      <c r="S88" s="1176">
        <f t="shared" si="130"/>
        <v>0</v>
      </c>
      <c r="T88" s="562"/>
      <c r="U88" s="1182"/>
      <c r="V88" s="1181"/>
      <c r="W88" s="1181"/>
      <c r="X88" s="1176">
        <f t="shared" si="131"/>
        <v>0</v>
      </c>
      <c r="Y88" s="1182"/>
      <c r="Z88" s="1181"/>
      <c r="AA88" s="1181"/>
      <c r="AB88" s="1176">
        <f t="shared" si="132"/>
        <v>0</v>
      </c>
      <c r="AC88" s="562"/>
      <c r="AD88" s="1182"/>
      <c r="AE88" s="1181"/>
      <c r="AF88" s="1181"/>
      <c r="AG88" s="1176">
        <f t="shared" si="133"/>
        <v>0</v>
      </c>
      <c r="AH88" s="1182"/>
      <c r="AI88" s="1181"/>
      <c r="AJ88" s="1181"/>
      <c r="AK88" s="1176">
        <f t="shared" si="134"/>
        <v>0</v>
      </c>
      <c r="AL88" s="562"/>
      <c r="AM88" s="1182"/>
      <c r="AN88" s="1181"/>
      <c r="AO88" s="1181"/>
      <c r="AP88" s="1176">
        <f t="shared" si="135"/>
        <v>0</v>
      </c>
      <c r="AQ88" s="1182"/>
      <c r="AR88" s="1181"/>
      <c r="AS88" s="1181"/>
      <c r="AT88" s="1176">
        <f t="shared" si="136"/>
        <v>0</v>
      </c>
      <c r="AU88" s="562"/>
      <c r="AV88" s="1182"/>
      <c r="AW88" s="1181"/>
      <c r="AX88" s="1181"/>
      <c r="AY88" s="1176">
        <f t="shared" si="137"/>
        <v>0</v>
      </c>
      <c r="AZ88" s="1182"/>
      <c r="BA88" s="1181"/>
      <c r="BB88" s="1181"/>
      <c r="BC88" s="1176">
        <f t="shared" si="138"/>
        <v>0</v>
      </c>
      <c r="BD88" s="562"/>
      <c r="BE88" s="1182"/>
      <c r="BF88" s="1181"/>
      <c r="BG88" s="1181"/>
      <c r="BH88" s="1176">
        <f t="shared" si="139"/>
        <v>0</v>
      </c>
      <c r="BI88" s="1182"/>
      <c r="BJ88" s="1181"/>
      <c r="BK88" s="1181"/>
      <c r="BL88" s="1176">
        <f t="shared" si="140"/>
        <v>0</v>
      </c>
      <c r="BM88" s="562"/>
      <c r="BN88" s="1182"/>
      <c r="BO88" s="1181"/>
      <c r="BP88" s="1181"/>
      <c r="BQ88" s="1176">
        <f t="shared" si="141"/>
        <v>0</v>
      </c>
      <c r="BR88" s="1182"/>
      <c r="BS88" s="1181"/>
      <c r="BT88" s="1181"/>
      <c r="BU88" s="1176">
        <f t="shared" si="142"/>
        <v>0</v>
      </c>
      <c r="BV88" s="562"/>
      <c r="BW88" s="1182"/>
      <c r="BX88" s="1181"/>
      <c r="BY88" s="1181"/>
      <c r="BZ88" s="1176">
        <f t="shared" si="143"/>
        <v>0</v>
      </c>
      <c r="CA88" s="1159"/>
      <c r="CB88" s="1160"/>
      <c r="CC88" s="1160"/>
      <c r="CD88" s="1151">
        <f t="shared" si="144"/>
        <v>0</v>
      </c>
      <c r="CE88" s="516"/>
      <c r="CF88" s="504"/>
    </row>
    <row r="89">
      <c r="A89" s="504"/>
      <c r="B89" s="514"/>
      <c r="C89" s="1161" t="s">
        <v>270</v>
      </c>
      <c r="D89" s="1162">
        <f>SUM(F83:F88)</f>
        <v>0</v>
      </c>
      <c r="E89" s="1097"/>
      <c r="F89" s="1097"/>
      <c r="G89" s="1183" t="s">
        <v>270</v>
      </c>
      <c r="H89" s="1162">
        <f>SUM(J83:J88)</f>
        <v>0</v>
      </c>
      <c r="I89" s="1097"/>
      <c r="J89" s="1097"/>
      <c r="K89" s="562"/>
      <c r="L89" s="1183" t="s">
        <v>270</v>
      </c>
      <c r="M89" s="1162">
        <f>SUM(O83:O88)</f>
        <v>0</v>
      </c>
      <c r="N89" s="1097"/>
      <c r="O89" s="1097"/>
      <c r="P89" s="1183" t="s">
        <v>270</v>
      </c>
      <c r="Q89" s="1162">
        <f>SUM(S83:S88)</f>
        <v>0</v>
      </c>
      <c r="R89" s="1097"/>
      <c r="S89" s="1097"/>
      <c r="T89" s="562"/>
      <c r="U89" s="1183" t="s">
        <v>270</v>
      </c>
      <c r="V89" s="1162">
        <f>SUM(X83:X88)</f>
        <v>0</v>
      </c>
      <c r="W89" s="1097"/>
      <c r="X89" s="1097"/>
      <c r="Y89" s="1183" t="s">
        <v>270</v>
      </c>
      <c r="Z89" s="1162">
        <f>SUM(AB83:AB88)</f>
        <v>0</v>
      </c>
      <c r="AA89" s="1097"/>
      <c r="AB89" s="1097"/>
      <c r="AC89" s="562"/>
      <c r="AD89" s="1183" t="s">
        <v>270</v>
      </c>
      <c r="AE89" s="1162">
        <f>SUM(AG83:AG88)</f>
        <v>0</v>
      </c>
      <c r="AF89" s="1097"/>
      <c r="AG89" s="1097"/>
      <c r="AH89" s="1183" t="s">
        <v>270</v>
      </c>
      <c r="AI89" s="1162">
        <f>SUM(AK83:AK88)</f>
        <v>0</v>
      </c>
      <c r="AJ89" s="1097"/>
      <c r="AK89" s="1097"/>
      <c r="AL89" s="562"/>
      <c r="AM89" s="1183" t="s">
        <v>270</v>
      </c>
      <c r="AN89" s="1162">
        <f>SUM(AP83:AP88)</f>
        <v>0</v>
      </c>
      <c r="AO89" s="1097"/>
      <c r="AP89" s="1097"/>
      <c r="AQ89" s="1183" t="s">
        <v>270</v>
      </c>
      <c r="AR89" s="1162">
        <f>SUM(AT83:AT88)</f>
        <v>0</v>
      </c>
      <c r="AS89" s="1097"/>
      <c r="AT89" s="1097"/>
      <c r="AU89" s="562"/>
      <c r="AV89" s="1183" t="s">
        <v>270</v>
      </c>
      <c r="AW89" s="1162">
        <f>SUM(AY83:AY88)</f>
        <v>0</v>
      </c>
      <c r="AX89" s="1097"/>
      <c r="AY89" s="1097"/>
      <c r="AZ89" s="1183" t="s">
        <v>270</v>
      </c>
      <c r="BA89" s="1162">
        <f>SUM(BC83:BC88)</f>
        <v>0</v>
      </c>
      <c r="BB89" s="1097"/>
      <c r="BC89" s="1097"/>
      <c r="BD89" s="562"/>
      <c r="BE89" s="1183" t="s">
        <v>270</v>
      </c>
      <c r="BF89" s="1162">
        <f>SUM(BH83:BH88)</f>
        <v>0</v>
      </c>
      <c r="BG89" s="1097"/>
      <c r="BH89" s="1097"/>
      <c r="BI89" s="1183" t="s">
        <v>270</v>
      </c>
      <c r="BJ89" s="1162">
        <f>SUM(BL83:BL88)</f>
        <v>0</v>
      </c>
      <c r="BK89" s="1097"/>
      <c r="BL89" s="1097"/>
      <c r="BM89" s="562"/>
      <c r="BN89" s="1183" t="s">
        <v>270</v>
      </c>
      <c r="BO89" s="1162">
        <f>SUM(BQ83:BQ88)</f>
        <v>0</v>
      </c>
      <c r="BP89" s="1097"/>
      <c r="BQ89" s="1097"/>
      <c r="BR89" s="1183" t="s">
        <v>270</v>
      </c>
      <c r="BS89" s="1162">
        <f>SUM(BU83:BU88)</f>
        <v>0</v>
      </c>
      <c r="BT89" s="1097"/>
      <c r="BU89" s="1097"/>
      <c r="BV89" s="562"/>
      <c r="BW89" s="1183" t="s">
        <v>270</v>
      </c>
      <c r="BX89" s="1162">
        <f>SUM(BZ83:BZ88)</f>
        <v>0</v>
      </c>
      <c r="BY89" s="1097"/>
      <c r="BZ89" s="1097"/>
      <c r="CA89" s="1161" t="s">
        <v>270</v>
      </c>
      <c r="CB89" s="1162">
        <f>SUM(CD83:CD88)</f>
        <v>0</v>
      </c>
      <c r="CC89" s="1097"/>
      <c r="CD89" s="1097"/>
      <c r="CE89" s="516"/>
      <c r="CF89" s="504"/>
    </row>
    <row r="90">
      <c r="A90" s="2"/>
      <c r="B90" s="542"/>
      <c r="C90" s="1163" t="s">
        <v>980</v>
      </c>
      <c r="D90" s="1184"/>
      <c r="E90" s="188"/>
      <c r="F90" s="544"/>
      <c r="G90" s="1185" t="s">
        <v>980</v>
      </c>
      <c r="H90" s="1184"/>
      <c r="I90" s="188"/>
      <c r="J90" s="191"/>
      <c r="K90" s="636"/>
      <c r="L90" s="1185" t="s">
        <v>980</v>
      </c>
      <c r="M90" s="1184"/>
      <c r="N90" s="188"/>
      <c r="O90" s="544"/>
      <c r="P90" s="1185" t="s">
        <v>980</v>
      </c>
      <c r="Q90" s="1184"/>
      <c r="R90" s="188"/>
      <c r="S90" s="191"/>
      <c r="T90" s="636"/>
      <c r="U90" s="1185" t="s">
        <v>980</v>
      </c>
      <c r="V90" s="1184"/>
      <c r="W90" s="188"/>
      <c r="X90" s="544"/>
      <c r="Y90" s="1185" t="s">
        <v>980</v>
      </c>
      <c r="Z90" s="1184"/>
      <c r="AA90" s="188"/>
      <c r="AB90" s="191"/>
      <c r="AC90" s="636"/>
      <c r="AD90" s="1185" t="s">
        <v>980</v>
      </c>
      <c r="AE90" s="1184"/>
      <c r="AF90" s="188"/>
      <c r="AG90" s="544"/>
      <c r="AH90" s="1185" t="s">
        <v>980</v>
      </c>
      <c r="AI90" s="1184"/>
      <c r="AJ90" s="188"/>
      <c r="AK90" s="191"/>
      <c r="AL90" s="636"/>
      <c r="AM90" s="1185" t="s">
        <v>980</v>
      </c>
      <c r="AN90" s="1184"/>
      <c r="AO90" s="188"/>
      <c r="AP90" s="544"/>
      <c r="AQ90" s="1185" t="s">
        <v>980</v>
      </c>
      <c r="AR90" s="1184"/>
      <c r="AS90" s="188"/>
      <c r="AT90" s="191"/>
      <c r="AU90" s="636"/>
      <c r="AV90" s="1185" t="s">
        <v>980</v>
      </c>
      <c r="AW90" s="1184"/>
      <c r="AX90" s="188"/>
      <c r="AY90" s="544"/>
      <c r="AZ90" s="1185" t="s">
        <v>980</v>
      </c>
      <c r="BA90" s="1184"/>
      <c r="BB90" s="188"/>
      <c r="BC90" s="191"/>
      <c r="BD90" s="636"/>
      <c r="BE90" s="1185" t="s">
        <v>980</v>
      </c>
      <c r="BF90" s="1184"/>
      <c r="BG90" s="188"/>
      <c r="BH90" s="544"/>
      <c r="BI90" s="1185" t="s">
        <v>980</v>
      </c>
      <c r="BJ90" s="1184"/>
      <c r="BK90" s="188"/>
      <c r="BL90" s="191"/>
      <c r="BM90" s="636"/>
      <c r="BN90" s="1185" t="s">
        <v>980</v>
      </c>
      <c r="BO90" s="1184"/>
      <c r="BP90" s="188"/>
      <c r="BQ90" s="544"/>
      <c r="BR90" s="1185" t="s">
        <v>980</v>
      </c>
      <c r="BS90" s="1184"/>
      <c r="BT90" s="188"/>
      <c r="BU90" s="191"/>
      <c r="BV90" s="636"/>
      <c r="BW90" s="1185" t="s">
        <v>980</v>
      </c>
      <c r="BX90" s="1184"/>
      <c r="BY90" s="188"/>
      <c r="BZ90" s="544"/>
      <c r="CA90" s="1163" t="s">
        <v>980</v>
      </c>
      <c r="CB90" s="1164"/>
      <c r="CC90" s="188"/>
      <c r="CD90" s="191"/>
      <c r="CE90" s="552"/>
      <c r="CF90" s="2"/>
    </row>
    <row r="91">
      <c r="A91" s="2"/>
      <c r="B91" s="542"/>
      <c r="C91" s="1165" t="s">
        <v>981</v>
      </c>
      <c r="D91" s="1166">
        <v>1.0</v>
      </c>
      <c r="E91" s="1166">
        <v>2.0</v>
      </c>
      <c r="F91" s="1166">
        <v>3.0</v>
      </c>
      <c r="G91" s="1167" t="s">
        <v>982</v>
      </c>
      <c r="H91" s="210"/>
      <c r="I91" s="1168" t="str">
        <f>IF(D90=2,"W",IF(H90=2,"L",))</f>
        <v/>
      </c>
      <c r="J91" s="1169" t="str">
        <f>IF(H90=2,"W",IF(D90=2,"L",))</f>
        <v/>
      </c>
      <c r="K91" s="636"/>
      <c r="L91" s="1170" t="s">
        <v>981</v>
      </c>
      <c r="M91" s="1166">
        <v>1.0</v>
      </c>
      <c r="N91" s="1166">
        <v>2.0</v>
      </c>
      <c r="O91" s="1171">
        <v>3.0</v>
      </c>
      <c r="P91" s="1167" t="s">
        <v>982</v>
      </c>
      <c r="Q91" s="210"/>
      <c r="R91" s="1168" t="str">
        <f>IF(M90=2,"W",IF(Q90=2,"L",))</f>
        <v/>
      </c>
      <c r="S91" s="1169" t="str">
        <f>IF(Q90=2,"W",IF(M90=2,"L",))</f>
        <v/>
      </c>
      <c r="T91" s="636"/>
      <c r="U91" s="1170" t="s">
        <v>981</v>
      </c>
      <c r="V91" s="1166">
        <v>1.0</v>
      </c>
      <c r="W91" s="1166">
        <v>2.0</v>
      </c>
      <c r="X91" s="1166">
        <v>3.0</v>
      </c>
      <c r="Y91" s="1167" t="s">
        <v>982</v>
      </c>
      <c r="Z91" s="210"/>
      <c r="AA91" s="1168" t="str">
        <f>IF(V90=2,"W",IF(Z90=2,"L",))</f>
        <v/>
      </c>
      <c r="AB91" s="1169" t="str">
        <f>IF(Z90=2,"W",IF(V90=2,"L",))</f>
        <v/>
      </c>
      <c r="AC91" s="636"/>
      <c r="AD91" s="1170" t="s">
        <v>981</v>
      </c>
      <c r="AE91" s="1166">
        <v>1.0</v>
      </c>
      <c r="AF91" s="1166">
        <v>2.0</v>
      </c>
      <c r="AG91" s="1171">
        <v>3.0</v>
      </c>
      <c r="AH91" s="1167" t="s">
        <v>982</v>
      </c>
      <c r="AI91" s="210"/>
      <c r="AJ91" s="1168" t="str">
        <f>IF(AE90=2,"W",IF(AI90=2,"L",))</f>
        <v/>
      </c>
      <c r="AK91" s="1169" t="str">
        <f>IF(AI90=2,"W",IF(AE90=2,"L",))</f>
        <v/>
      </c>
      <c r="AL91" s="636"/>
      <c r="AM91" s="1170" t="s">
        <v>981</v>
      </c>
      <c r="AN91" s="1166">
        <v>1.0</v>
      </c>
      <c r="AO91" s="1166">
        <v>2.0</v>
      </c>
      <c r="AP91" s="1171">
        <v>3.0</v>
      </c>
      <c r="AQ91" s="1167" t="s">
        <v>982</v>
      </c>
      <c r="AR91" s="210"/>
      <c r="AS91" s="1168" t="str">
        <f>IF(AN90=2,"W",IF(AR90=2,"L",))</f>
        <v/>
      </c>
      <c r="AT91" s="1169" t="str">
        <f>IF(AR90=2,"W",IF(AN90=2,"L",))</f>
        <v/>
      </c>
      <c r="AU91" s="636"/>
      <c r="AV91" s="1170" t="s">
        <v>981</v>
      </c>
      <c r="AW91" s="1166">
        <v>1.0</v>
      </c>
      <c r="AX91" s="1166">
        <v>2.0</v>
      </c>
      <c r="AY91" s="1166">
        <v>3.0</v>
      </c>
      <c r="AZ91" s="1167" t="s">
        <v>982</v>
      </c>
      <c r="BA91" s="210"/>
      <c r="BB91" s="1168" t="str">
        <f>IF(AW90=2,"W",IF(BA90=2,"L",))</f>
        <v/>
      </c>
      <c r="BC91" s="1169" t="str">
        <f>IF(BA90=2,"W",IF(AW90=2,"L",))</f>
        <v/>
      </c>
      <c r="BD91" s="636"/>
      <c r="BE91" s="1170" t="s">
        <v>981</v>
      </c>
      <c r="BF91" s="1166">
        <v>1.0</v>
      </c>
      <c r="BG91" s="1166">
        <v>2.0</v>
      </c>
      <c r="BH91" s="1171">
        <v>3.0</v>
      </c>
      <c r="BI91" s="1167" t="s">
        <v>982</v>
      </c>
      <c r="BJ91" s="210"/>
      <c r="BK91" s="1168" t="str">
        <f>IF(BF90=2,"W",IF(BJ90=2,"L",))</f>
        <v/>
      </c>
      <c r="BL91" s="1169" t="str">
        <f>IF(BJ90=2,"W",IF(BF90=2,"L",))</f>
        <v/>
      </c>
      <c r="BM91" s="636"/>
      <c r="BN91" s="1170" t="s">
        <v>981</v>
      </c>
      <c r="BO91" s="1166">
        <v>1.0</v>
      </c>
      <c r="BP91" s="1166">
        <v>2.0</v>
      </c>
      <c r="BQ91" s="1171">
        <v>3.0</v>
      </c>
      <c r="BR91" s="1167" t="s">
        <v>982</v>
      </c>
      <c r="BS91" s="210"/>
      <c r="BT91" s="1168" t="str">
        <f>IF(BO90=2,"W",IF(BS90=2,"L",))</f>
        <v/>
      </c>
      <c r="BU91" s="1169" t="str">
        <f>IF(BS90=2,"W",IF(BO90=2,"L",))</f>
        <v/>
      </c>
      <c r="BV91" s="636"/>
      <c r="BW91" s="1170" t="s">
        <v>981</v>
      </c>
      <c r="BX91" s="1171">
        <v>1.0</v>
      </c>
      <c r="BY91" s="1171">
        <v>2.0</v>
      </c>
      <c r="BZ91" s="1171">
        <v>3.0</v>
      </c>
      <c r="CA91" s="1172" t="s">
        <v>982</v>
      </c>
      <c r="CB91" s="210"/>
      <c r="CC91" s="1173" t="str">
        <f>IF(BX90=2,"W",IF(CB90=2,"L",))</f>
        <v/>
      </c>
      <c r="CD91" s="1174" t="str">
        <f>IF(CB90=2,"W",IF(BX90=2,"L",))</f>
        <v/>
      </c>
      <c r="CE91" s="552"/>
      <c r="CF91" s="2"/>
    </row>
    <row r="92" ht="7.5" customHeight="1">
      <c r="A92" s="504"/>
      <c r="B92" s="722"/>
      <c r="C92" s="723"/>
      <c r="D92" s="723"/>
      <c r="E92" s="723"/>
      <c r="F92" s="723"/>
      <c r="G92" s="723"/>
      <c r="H92" s="723"/>
      <c r="I92" s="723"/>
      <c r="J92" s="723"/>
      <c r="K92" s="723"/>
      <c r="L92" s="723"/>
      <c r="M92" s="723"/>
      <c r="N92" s="723"/>
      <c r="O92" s="723"/>
      <c r="P92" s="723"/>
      <c r="Q92" s="723"/>
      <c r="R92" s="723"/>
      <c r="S92" s="723"/>
      <c r="T92" s="723"/>
      <c r="U92" s="723"/>
      <c r="V92" s="723"/>
      <c r="W92" s="723"/>
      <c r="X92" s="723"/>
      <c r="Y92" s="723"/>
      <c r="Z92" s="723"/>
      <c r="AA92" s="723"/>
      <c r="AB92" s="723"/>
      <c r="AC92" s="723"/>
      <c r="AD92" s="723"/>
      <c r="AE92" s="723"/>
      <c r="AF92" s="723"/>
      <c r="AG92" s="723"/>
      <c r="AH92" s="723"/>
      <c r="AI92" s="723"/>
      <c r="AJ92" s="723"/>
      <c r="AK92" s="723"/>
      <c r="AL92" s="723"/>
      <c r="AM92" s="723"/>
      <c r="AN92" s="723"/>
      <c r="AO92" s="723"/>
      <c r="AP92" s="723"/>
      <c r="AQ92" s="723"/>
      <c r="AR92" s="723"/>
      <c r="AS92" s="723"/>
      <c r="AT92" s="723"/>
      <c r="AU92" s="723"/>
      <c r="AV92" s="723"/>
      <c r="AW92" s="723"/>
      <c r="AX92" s="723"/>
      <c r="AY92" s="723"/>
      <c r="AZ92" s="723"/>
      <c r="BA92" s="723"/>
      <c r="BB92" s="723"/>
      <c r="BC92" s="723"/>
      <c r="BD92" s="723"/>
      <c r="BE92" s="723"/>
      <c r="BF92" s="723"/>
      <c r="BG92" s="723"/>
      <c r="BH92" s="723"/>
      <c r="BI92" s="723"/>
      <c r="BJ92" s="723"/>
      <c r="BK92" s="723"/>
      <c r="BL92" s="723"/>
      <c r="BM92" s="723"/>
      <c r="BN92" s="723"/>
      <c r="BO92" s="723"/>
      <c r="BP92" s="723"/>
      <c r="BQ92" s="723"/>
      <c r="BR92" s="723"/>
      <c r="BS92" s="723"/>
      <c r="BT92" s="723"/>
      <c r="BU92" s="723"/>
      <c r="BV92" s="723"/>
      <c r="BW92" s="723"/>
      <c r="BX92" s="723"/>
      <c r="BY92" s="723"/>
      <c r="BZ92" s="723"/>
      <c r="CA92" s="723"/>
      <c r="CB92" s="723"/>
      <c r="CC92" s="723"/>
      <c r="CD92" s="723"/>
      <c r="CE92" s="728"/>
      <c r="CF92" s="504"/>
    </row>
    <row r="93" ht="7.5" customHeight="1">
      <c r="A93" s="504"/>
      <c r="B93" s="504"/>
      <c r="C93" s="504"/>
      <c r="D93" s="504"/>
      <c r="E93" s="504"/>
      <c r="F93" s="504"/>
      <c r="G93" s="504"/>
      <c r="H93" s="504"/>
      <c r="I93" s="504"/>
      <c r="J93" s="504"/>
      <c r="K93" s="504"/>
      <c r="L93" s="504"/>
      <c r="M93" s="504"/>
      <c r="N93" s="504"/>
      <c r="O93" s="504"/>
      <c r="P93" s="504"/>
      <c r="Q93" s="504"/>
      <c r="R93" s="504"/>
      <c r="S93" s="504"/>
      <c r="T93" s="504"/>
      <c r="U93" s="504"/>
      <c r="V93" s="504"/>
      <c r="W93" s="504"/>
      <c r="X93" s="504"/>
      <c r="Y93" s="504"/>
      <c r="Z93" s="504"/>
      <c r="AA93" s="504"/>
      <c r="AB93" s="504"/>
      <c r="AC93" s="504"/>
      <c r="AD93" s="504"/>
      <c r="AE93" s="504"/>
      <c r="AF93" s="504"/>
      <c r="AG93" s="504"/>
      <c r="AH93" s="504"/>
      <c r="AI93" s="504"/>
      <c r="AJ93" s="504"/>
      <c r="AK93" s="504"/>
      <c r="AL93" s="504"/>
      <c r="AM93" s="504"/>
      <c r="AN93" s="504"/>
      <c r="AO93" s="504"/>
      <c r="AP93" s="504"/>
      <c r="AQ93" s="504"/>
      <c r="AR93" s="504"/>
      <c r="AS93" s="504"/>
      <c r="AT93" s="504"/>
      <c r="AU93" s="504"/>
      <c r="AV93" s="504"/>
      <c r="AW93" s="504"/>
      <c r="AX93" s="504"/>
      <c r="AY93" s="504"/>
      <c r="AZ93" s="504"/>
      <c r="BA93" s="504"/>
      <c r="BB93" s="504"/>
      <c r="BC93" s="504"/>
      <c r="BD93" s="504"/>
      <c r="BE93" s="504"/>
      <c r="BF93" s="504"/>
      <c r="BG93" s="504"/>
      <c r="BH93" s="504"/>
      <c r="BI93" s="504"/>
      <c r="BJ93" s="504"/>
      <c r="BK93" s="504"/>
      <c r="BL93" s="504"/>
      <c r="BM93" s="504"/>
      <c r="BN93" s="504"/>
      <c r="BO93" s="504"/>
      <c r="BP93" s="504"/>
      <c r="BQ93" s="504"/>
      <c r="BR93" s="504"/>
      <c r="BS93" s="504"/>
      <c r="BT93" s="504"/>
      <c r="BU93" s="504"/>
      <c r="BV93" s="504"/>
      <c r="BW93" s="504"/>
      <c r="BX93" s="504"/>
      <c r="BY93" s="504"/>
      <c r="BZ93" s="504"/>
      <c r="CA93" s="504"/>
      <c r="CB93" s="504"/>
      <c r="CC93" s="504"/>
      <c r="CD93" s="504"/>
      <c r="CE93" s="504"/>
      <c r="CF93" s="504"/>
    </row>
  </sheetData>
  <mergeCells count="369">
    <mergeCell ref="Y69:Z69"/>
    <mergeCell ref="AH69:AI69"/>
    <mergeCell ref="AQ69:AR69"/>
    <mergeCell ref="AZ69:BA69"/>
    <mergeCell ref="BI69:BJ69"/>
    <mergeCell ref="BR69:BS69"/>
    <mergeCell ref="CA69:CB69"/>
    <mergeCell ref="D67:F67"/>
    <mergeCell ref="M67:O67"/>
    <mergeCell ref="V67:X67"/>
    <mergeCell ref="AE67:AG67"/>
    <mergeCell ref="D68:F68"/>
    <mergeCell ref="V68:X68"/>
    <mergeCell ref="G69:H69"/>
    <mergeCell ref="AW78:AY78"/>
    <mergeCell ref="BA78:BC78"/>
    <mergeCell ref="BF78:BH78"/>
    <mergeCell ref="BJ78:BL78"/>
    <mergeCell ref="BO78:BQ78"/>
    <mergeCell ref="BS78:BU78"/>
    <mergeCell ref="BX78:BZ78"/>
    <mergeCell ref="CB78:CD78"/>
    <mergeCell ref="Z67:AB67"/>
    <mergeCell ref="Z68:AB68"/>
    <mergeCell ref="Z78:AB78"/>
    <mergeCell ref="AE78:AG78"/>
    <mergeCell ref="AI78:AK78"/>
    <mergeCell ref="AN78:AP78"/>
    <mergeCell ref="AR78:AT78"/>
    <mergeCell ref="AW79:AY79"/>
    <mergeCell ref="BA79:BC79"/>
    <mergeCell ref="BF79:BH79"/>
    <mergeCell ref="BJ79:BL79"/>
    <mergeCell ref="BO79:BQ79"/>
    <mergeCell ref="BS79:BU79"/>
    <mergeCell ref="BX79:BZ79"/>
    <mergeCell ref="CB79:CD79"/>
    <mergeCell ref="Q78:S78"/>
    <mergeCell ref="Q79:S79"/>
    <mergeCell ref="Z79:AB79"/>
    <mergeCell ref="AE79:AG79"/>
    <mergeCell ref="AI79:AK79"/>
    <mergeCell ref="AN79:AP79"/>
    <mergeCell ref="AR79:AT79"/>
    <mergeCell ref="BR80:BS80"/>
    <mergeCell ref="CA80:CB80"/>
    <mergeCell ref="M79:O79"/>
    <mergeCell ref="P80:Q80"/>
    <mergeCell ref="Y80:Z80"/>
    <mergeCell ref="AH80:AI80"/>
    <mergeCell ref="AQ80:AR80"/>
    <mergeCell ref="AZ80:BA80"/>
    <mergeCell ref="BI80:BJ80"/>
    <mergeCell ref="AI90:AK90"/>
    <mergeCell ref="AH91:AI91"/>
    <mergeCell ref="Q89:S89"/>
    <mergeCell ref="Q90:S90"/>
    <mergeCell ref="V90:X90"/>
    <mergeCell ref="Z90:AB90"/>
    <mergeCell ref="AE90:AG90"/>
    <mergeCell ref="AN90:AP90"/>
    <mergeCell ref="Y91:Z91"/>
    <mergeCell ref="BA90:BC90"/>
    <mergeCell ref="AZ91:BA91"/>
    <mergeCell ref="AR90:AT90"/>
    <mergeCell ref="AW90:AY90"/>
    <mergeCell ref="BF90:BH90"/>
    <mergeCell ref="BJ90:BL90"/>
    <mergeCell ref="BO90:BQ90"/>
    <mergeCell ref="AQ91:AR91"/>
    <mergeCell ref="BI91:BJ91"/>
    <mergeCell ref="M68:O68"/>
    <mergeCell ref="P69:Q69"/>
    <mergeCell ref="D78:F78"/>
    <mergeCell ref="M78:O78"/>
    <mergeCell ref="V78:X78"/>
    <mergeCell ref="D79:F79"/>
    <mergeCell ref="V79:X79"/>
    <mergeCell ref="BA89:BC89"/>
    <mergeCell ref="BF89:BH89"/>
    <mergeCell ref="BJ89:BL89"/>
    <mergeCell ref="BO89:BQ89"/>
    <mergeCell ref="BS89:BU89"/>
    <mergeCell ref="BX89:BZ89"/>
    <mergeCell ref="CB89:CD89"/>
    <mergeCell ref="V89:X89"/>
    <mergeCell ref="Z89:AB89"/>
    <mergeCell ref="AE89:AG89"/>
    <mergeCell ref="AI89:AK89"/>
    <mergeCell ref="AN89:AP89"/>
    <mergeCell ref="AR89:AT89"/>
    <mergeCell ref="AW89:AY89"/>
    <mergeCell ref="H89:J89"/>
    <mergeCell ref="H90:J90"/>
    <mergeCell ref="G91:H91"/>
    <mergeCell ref="P91:Q91"/>
    <mergeCell ref="H78:J78"/>
    <mergeCell ref="H79:J79"/>
    <mergeCell ref="G80:H80"/>
    <mergeCell ref="D89:F89"/>
    <mergeCell ref="M89:O89"/>
    <mergeCell ref="D90:F90"/>
    <mergeCell ref="M90:O90"/>
    <mergeCell ref="BX90:BZ90"/>
    <mergeCell ref="CB90:CD90"/>
    <mergeCell ref="CA91:CB91"/>
    <mergeCell ref="BS90:BU90"/>
    <mergeCell ref="BR91:BS91"/>
    <mergeCell ref="BN3:BU3"/>
    <mergeCell ref="BW3:CD3"/>
    <mergeCell ref="C3:J3"/>
    <mergeCell ref="L3:S3"/>
    <mergeCell ref="U3:AB3"/>
    <mergeCell ref="AD3:AK3"/>
    <mergeCell ref="AM3:AT3"/>
    <mergeCell ref="AV3:BC3"/>
    <mergeCell ref="BE3:BL3"/>
    <mergeCell ref="BO12:BQ12"/>
    <mergeCell ref="BS12:BU12"/>
    <mergeCell ref="BX12:BZ12"/>
    <mergeCell ref="CB12:CD12"/>
    <mergeCell ref="AI12:AK12"/>
    <mergeCell ref="AN12:AP12"/>
    <mergeCell ref="AR12:AT12"/>
    <mergeCell ref="AW12:AY12"/>
    <mergeCell ref="BA12:BC12"/>
    <mergeCell ref="BF12:BH12"/>
    <mergeCell ref="BJ12:BL12"/>
    <mergeCell ref="H12:J12"/>
    <mergeCell ref="H13:J13"/>
    <mergeCell ref="Q12:S12"/>
    <mergeCell ref="Q13:S13"/>
    <mergeCell ref="BJ13:BL13"/>
    <mergeCell ref="BO13:BQ13"/>
    <mergeCell ref="BS13:BU13"/>
    <mergeCell ref="BX13:BZ13"/>
    <mergeCell ref="CB13:CD13"/>
    <mergeCell ref="AE13:AG13"/>
    <mergeCell ref="AI13:AK13"/>
    <mergeCell ref="AN13:AP13"/>
    <mergeCell ref="AR13:AT13"/>
    <mergeCell ref="AW13:AY13"/>
    <mergeCell ref="BA13:BC13"/>
    <mergeCell ref="BF13:BH13"/>
    <mergeCell ref="Y14:Z14"/>
    <mergeCell ref="AH14:AI14"/>
    <mergeCell ref="AQ14:AR14"/>
    <mergeCell ref="AZ14:BA14"/>
    <mergeCell ref="BI14:BJ14"/>
    <mergeCell ref="BR14:BS14"/>
    <mergeCell ref="CA14:CB14"/>
    <mergeCell ref="D12:F12"/>
    <mergeCell ref="M12:O12"/>
    <mergeCell ref="V12:X12"/>
    <mergeCell ref="AE12:AG12"/>
    <mergeCell ref="D13:F13"/>
    <mergeCell ref="V13:X13"/>
    <mergeCell ref="G14:H14"/>
    <mergeCell ref="AW23:AY23"/>
    <mergeCell ref="BA23:BC23"/>
    <mergeCell ref="BF23:BH23"/>
    <mergeCell ref="BJ23:BL23"/>
    <mergeCell ref="BO23:BQ23"/>
    <mergeCell ref="BS23:BU23"/>
    <mergeCell ref="BX23:BZ23"/>
    <mergeCell ref="CB23:CD23"/>
    <mergeCell ref="Z12:AB12"/>
    <mergeCell ref="Z13:AB13"/>
    <mergeCell ref="Z23:AB23"/>
    <mergeCell ref="AE23:AG23"/>
    <mergeCell ref="AI23:AK23"/>
    <mergeCell ref="AN23:AP23"/>
    <mergeCell ref="AR23:AT23"/>
    <mergeCell ref="AW24:AY24"/>
    <mergeCell ref="BA24:BC24"/>
    <mergeCell ref="BF24:BH24"/>
    <mergeCell ref="BJ24:BL24"/>
    <mergeCell ref="BO24:BQ24"/>
    <mergeCell ref="BS24:BU24"/>
    <mergeCell ref="BX24:BZ24"/>
    <mergeCell ref="CB24:CD24"/>
    <mergeCell ref="Q23:S23"/>
    <mergeCell ref="Q24:S24"/>
    <mergeCell ref="Z24:AB24"/>
    <mergeCell ref="AE24:AG24"/>
    <mergeCell ref="AI24:AK24"/>
    <mergeCell ref="AN24:AP24"/>
    <mergeCell ref="AR24:AT24"/>
    <mergeCell ref="BR25:BS25"/>
    <mergeCell ref="CA25:CB25"/>
    <mergeCell ref="M24:O24"/>
    <mergeCell ref="P25:Q25"/>
    <mergeCell ref="Y25:Z25"/>
    <mergeCell ref="AH25:AI25"/>
    <mergeCell ref="AQ25:AR25"/>
    <mergeCell ref="AZ25:BA25"/>
    <mergeCell ref="BI25:BJ25"/>
    <mergeCell ref="BA35:BC35"/>
    <mergeCell ref="AZ36:BA36"/>
    <mergeCell ref="AR35:AT35"/>
    <mergeCell ref="AW35:AY35"/>
    <mergeCell ref="BF35:BH35"/>
    <mergeCell ref="BJ35:BL35"/>
    <mergeCell ref="BO35:BQ35"/>
    <mergeCell ref="AQ36:AR36"/>
    <mergeCell ref="BI36:BJ36"/>
    <mergeCell ref="M13:O13"/>
    <mergeCell ref="P14:Q14"/>
    <mergeCell ref="D23:F23"/>
    <mergeCell ref="M23:O23"/>
    <mergeCell ref="V23:X23"/>
    <mergeCell ref="D24:F24"/>
    <mergeCell ref="V24:X24"/>
    <mergeCell ref="BA34:BC34"/>
    <mergeCell ref="BF34:BH34"/>
    <mergeCell ref="BJ34:BL34"/>
    <mergeCell ref="BO34:BQ34"/>
    <mergeCell ref="BS34:BU34"/>
    <mergeCell ref="BX34:BZ34"/>
    <mergeCell ref="CB34:CD34"/>
    <mergeCell ref="V34:X34"/>
    <mergeCell ref="Z34:AB34"/>
    <mergeCell ref="AE34:AG34"/>
    <mergeCell ref="AI34:AK34"/>
    <mergeCell ref="AN34:AP34"/>
    <mergeCell ref="AR34:AT34"/>
    <mergeCell ref="AW34:AY34"/>
    <mergeCell ref="H34:J34"/>
    <mergeCell ref="H35:J35"/>
    <mergeCell ref="G36:H36"/>
    <mergeCell ref="P36:Q36"/>
    <mergeCell ref="H23:J23"/>
    <mergeCell ref="H24:J24"/>
    <mergeCell ref="G25:H25"/>
    <mergeCell ref="D34:F34"/>
    <mergeCell ref="M34:O34"/>
    <mergeCell ref="D35:F35"/>
    <mergeCell ref="M35:O35"/>
    <mergeCell ref="BX35:BZ35"/>
    <mergeCell ref="CB35:CD35"/>
    <mergeCell ref="CA36:CB36"/>
    <mergeCell ref="BS35:BU35"/>
    <mergeCell ref="BR36:BS36"/>
    <mergeCell ref="Q34:S34"/>
    <mergeCell ref="Q35:S35"/>
    <mergeCell ref="V35:X35"/>
    <mergeCell ref="Z35:AB35"/>
    <mergeCell ref="AE35:AG35"/>
    <mergeCell ref="AN35:AP35"/>
    <mergeCell ref="Y36:Z36"/>
    <mergeCell ref="BJ45:BL45"/>
    <mergeCell ref="BO45:BQ45"/>
    <mergeCell ref="BS45:BU45"/>
    <mergeCell ref="BX45:BZ45"/>
    <mergeCell ref="CB45:CD45"/>
    <mergeCell ref="Z45:AB45"/>
    <mergeCell ref="AE45:AG45"/>
    <mergeCell ref="AN45:AP45"/>
    <mergeCell ref="AR45:AT45"/>
    <mergeCell ref="AW45:AY45"/>
    <mergeCell ref="BA45:BC45"/>
    <mergeCell ref="BF45:BH45"/>
    <mergeCell ref="AI35:AK35"/>
    <mergeCell ref="AH36:AI36"/>
    <mergeCell ref="H45:J45"/>
    <mergeCell ref="M45:O45"/>
    <mergeCell ref="Q45:S45"/>
    <mergeCell ref="V45:X45"/>
    <mergeCell ref="AI45:AK45"/>
    <mergeCell ref="BJ46:BL46"/>
    <mergeCell ref="BO46:BQ46"/>
    <mergeCell ref="BS46:BU46"/>
    <mergeCell ref="BX46:BZ46"/>
    <mergeCell ref="CB46:CD46"/>
    <mergeCell ref="AE46:AG46"/>
    <mergeCell ref="AI46:AK46"/>
    <mergeCell ref="AN46:AP46"/>
    <mergeCell ref="AR46:AT46"/>
    <mergeCell ref="AW46:AY46"/>
    <mergeCell ref="BA46:BC46"/>
    <mergeCell ref="BF46:BH46"/>
    <mergeCell ref="Y47:Z47"/>
    <mergeCell ref="AH47:AI47"/>
    <mergeCell ref="AQ47:AR47"/>
    <mergeCell ref="AZ47:BA47"/>
    <mergeCell ref="BI47:BJ47"/>
    <mergeCell ref="BR47:BS47"/>
    <mergeCell ref="CA47:CB47"/>
    <mergeCell ref="D45:F45"/>
    <mergeCell ref="D46:F46"/>
    <mergeCell ref="H46:J46"/>
    <mergeCell ref="M46:O46"/>
    <mergeCell ref="V46:X46"/>
    <mergeCell ref="Z46:AB46"/>
    <mergeCell ref="G47:H47"/>
    <mergeCell ref="BF56:BH56"/>
    <mergeCell ref="BJ56:BL56"/>
    <mergeCell ref="BO56:BQ56"/>
    <mergeCell ref="BS56:BU56"/>
    <mergeCell ref="BX56:BZ56"/>
    <mergeCell ref="CB56:CD56"/>
    <mergeCell ref="Z56:AB56"/>
    <mergeCell ref="AE56:AG56"/>
    <mergeCell ref="AI56:AK56"/>
    <mergeCell ref="AN56:AP56"/>
    <mergeCell ref="AR56:AT56"/>
    <mergeCell ref="AW56:AY56"/>
    <mergeCell ref="BA56:BC56"/>
    <mergeCell ref="H56:J56"/>
    <mergeCell ref="H57:J57"/>
    <mergeCell ref="G58:H58"/>
    <mergeCell ref="AW57:AY57"/>
    <mergeCell ref="BA57:BC57"/>
    <mergeCell ref="BF57:BH57"/>
    <mergeCell ref="BJ57:BL57"/>
    <mergeCell ref="BO57:BQ57"/>
    <mergeCell ref="BS57:BU57"/>
    <mergeCell ref="BX57:BZ57"/>
    <mergeCell ref="CB57:CD57"/>
    <mergeCell ref="Q46:S46"/>
    <mergeCell ref="P47:Q47"/>
    <mergeCell ref="D56:F56"/>
    <mergeCell ref="M56:O56"/>
    <mergeCell ref="V56:X56"/>
    <mergeCell ref="D57:F57"/>
    <mergeCell ref="V57:X57"/>
    <mergeCell ref="BR58:BS58"/>
    <mergeCell ref="CA58:CB58"/>
    <mergeCell ref="M57:O57"/>
    <mergeCell ref="P58:Q58"/>
    <mergeCell ref="Y58:Z58"/>
    <mergeCell ref="AH58:AI58"/>
    <mergeCell ref="AQ58:AR58"/>
    <mergeCell ref="AZ58:BA58"/>
    <mergeCell ref="BI58:BJ58"/>
    <mergeCell ref="Q56:S56"/>
    <mergeCell ref="Q57:S57"/>
    <mergeCell ref="Z57:AB57"/>
    <mergeCell ref="AE57:AG57"/>
    <mergeCell ref="AI57:AK57"/>
    <mergeCell ref="AN57:AP57"/>
    <mergeCell ref="AR57:AT57"/>
    <mergeCell ref="BO67:BQ67"/>
    <mergeCell ref="BS67:BU67"/>
    <mergeCell ref="BX67:BZ67"/>
    <mergeCell ref="CB67:CD67"/>
    <mergeCell ref="AI67:AK67"/>
    <mergeCell ref="AN67:AP67"/>
    <mergeCell ref="AR67:AT67"/>
    <mergeCell ref="AW67:AY67"/>
    <mergeCell ref="BA67:BC67"/>
    <mergeCell ref="BF67:BH67"/>
    <mergeCell ref="BJ67:BL67"/>
    <mergeCell ref="H67:J67"/>
    <mergeCell ref="H68:J68"/>
    <mergeCell ref="Q67:S67"/>
    <mergeCell ref="Q68:S68"/>
    <mergeCell ref="BJ68:BL68"/>
    <mergeCell ref="BO68:BQ68"/>
    <mergeCell ref="BS68:BU68"/>
    <mergeCell ref="BX68:BZ68"/>
    <mergeCell ref="CB68:CD68"/>
    <mergeCell ref="AE68:AG68"/>
    <mergeCell ref="AI68:AK68"/>
    <mergeCell ref="AN68:AP68"/>
    <mergeCell ref="AR68:AT68"/>
    <mergeCell ref="AW68:AY68"/>
    <mergeCell ref="BA68:BC68"/>
    <mergeCell ref="BF68:BH68"/>
  </mergeCells>
  <conditionalFormatting sqref="C12 G12 L12 P12 U12 Y12 AD12 AH12 AM12 AQ12 AV12 AZ12 BE12 BI12 BN12 BR12 BW12 CA12 C23 G23 L23 P23 U23 Y23 AD23 AH23 AM23 AQ23 AV23 AZ23 BE23 BI23 BN23 BR23 BW23 CA23 C34 G34 L34 P34 U34 Y34 AD34 AH34 AM34 AQ34 AV34 AZ34 BE34 BI34 BN34 BR34 BW34 CA34 C45 G45 L45 P45 U45 Y45 AD45 AH45 AM45 AQ45 AV45 AZ45 BE45 BI45 BN45 BR45 BW45 CA45 C56 G56 L56 P56 U56 Y56 AD56 AH56 AM56 AQ56 AV56 AZ56 BE56 BI56 BN56 BR56 BW56 CA56 C67 G67 L67 P67 U67 Y67 AD67 AH67 AM67 AQ67 AV67 AZ67 BE67 BI67 BN67 BR67 BW67 CA67 C78 G78 L78 P78 U78 Y78 AD78 AH78 AM78 AQ78 AV78 AZ78 BE78 BI78 BN78 BR78 BW78 CA78 C89 G89 L89 P89 U89 Y89 AD89 AH89 AM89 AQ89 AV89 AZ89 BE89 BI89 BN89 BR89 BW89 CA89">
    <cfRule type="cellIs" dxfId="2" priority="1" operator="equal">
      <formula>"W"</formula>
    </cfRule>
  </conditionalFormatting>
  <conditionalFormatting sqref="C12 G12 L12 P12 U12 Y12 AD12 AH12 AM12 AQ12 AV12 AZ12 BE12 BI12 BN12 BR12 BW12 CA12 C23 G23 L23 P23 U23 Y23 AD23 AH23 AM23 AQ23 AV23 AZ23 BE23 BI23 BN23 BR23 BW23 CA23 C34 G34 L34 P34 U34 Y34 AD34 AH34 AM34 AQ34 AV34 AZ34 BE34 BI34 BN34 BR34 BW34 CA34 C45 G45 L45 P45 U45 Y45 AD45 AH45 AM45 AQ45 AV45 AZ45 BE45 BI45 BN45 BR45 BW45 CA45 C56 G56 L56 P56 U56 Y56 AD56 AH56 AM56 AQ56 AV56 AZ56 BE56 BI56 BN56 BR56 BW56 CA56 C67 G67 L67 P67 U67 Y67 AD67 AH67 AM67 AQ67 AV67 AZ67 BE67 BI67 BN67 BR67 BW67 CA67 C78 G78 L78 P78 U78 Y78 AD78 AH78 AM78 AQ78 AV78 AZ78 BE78 BI78 BN78 BR78 BW78 CA78 C89 G89 L89 P89 U89 Y89 AD89 AH89 AM89 AQ89 AV89 AZ89 BE89 BI89 BN89 BR89 BW89 CA89">
    <cfRule type="cellIs" dxfId="3" priority="2" operator="equal">
      <formula>"L"</formula>
    </cfRule>
  </conditionalFormatting>
  <conditionalFormatting sqref="D12:F12 H12 M12:O12 Q12 V12:X12 Z12 AE12:AG12 AI12 AN12:AP12 AR12 AW12:AY12 BA12 BF12:BH12 BJ12 BO12:BQ12 BS12 BX12:BZ12 CB12 D23:F23 H23 M23:O23 Q23 V23:X23 Z23 AE23:AG23 AI23 AN23:AP23 AR23 AW23:AY23 BA23 BF23:BH23 BJ23 BO23:BQ23 BS23 BX23:BZ23 CB23 D34:F34 H34 M34:O34 Q34 V34:X34 Z34 AE34:AG34 AI34 AN34:AP34 AR34 AW34:AY34 BA34 BF34:BH34 BJ34 BO34:BQ34 BS34 BX34:BZ34 CB34 D45:F45 H45 M45:O45 Q45 V45:X45 Z45 AE45:AG45 AI45 AN45:AP45 AR45 AW45:AY45 BA45 BF45:BH45 BJ45 BO45:BQ45 BS45 BX45:BZ45 CB45 D56:F56 H56 M56:O56 Q56 V56:X56 Z56 AE56:AG56 AI56 AN56:AP56 AR56 AW56:AY56 BA56 BF56:BH56 BJ56 BO56:BQ56 BS56 BX56:BZ56 CB56 D67:F67 H67 M67:O67 Q67 V67:X67 Z67 AE67:AG67 AI67 AN67:AP67 AR67 AW67:AY67 BA67 BF67:BH67 BJ67 BO67:BQ67 BS67 BX67:BZ67 CB67 D78:F78 H78 M78:O78 Q78 V78:X78 Z78 AE78:AG78 AI78 AN78:AP78 AR78 AW78:AY78 BA78 BF78:BH78 BJ78 BO78:BQ78 BS78 BX78:BZ78 CB78 D89:F89 H89 M89:O89 Q89 V89:X89 Z89 AE89:AG89 AI89 AN89:AP89 AR89 AW89:AY89 BA89 BF89:BH89 BJ89 BO89:BQ89 BS89 BX89:BZ89 CB89">
    <cfRule type="cellIs" dxfId="3" priority="3" operator="lessThan">
      <formula>0</formula>
    </cfRule>
  </conditionalFormatting>
  <conditionalFormatting sqref="D12:F12 H12 M12:O12 Q12 V12:X12 Z12 AE12:AG12 AI12 AN12:AP12 AR12 AW12:AY12 BA12 BF12:BH12 BJ12 BO12:BQ12 BS12 BX12:BZ12 CB12 D23:F23 H23 M23:O23 Q23 V23:X23 Z23 AE23:AG23 AI23 AN23:AP23 AR23 AW23:AY23 BA23 BF23:BH23 BJ23 BO23:BQ23 BS23 BX23:BZ23 CB23 D34:F34 H34 M34:O34 Q34 V34:X34 Z34 AE34:AG34 AI34 AN34:AP34 AR34 AW34:AY34 BA34 BF34:BH34 BJ34 BO34:BQ34 BS34 BX34:BZ34 CB34 D45:F45 H45 M45:O45 Q45 V45:X45 Z45 AE45:AG45 AI45 AN45:AP45 AR45 AW45:AY45 BA45 BF45:BH45 BJ45 BO45:BQ45 BS45 BX45:BZ45 CB45 D56:F56 H56 M56:O56 Q56 V56:X56 Z56 AE56:AG56 AI56 AN56:AP56 AR56 AW56:AY56 BA56 BF56:BH56 BJ56 BO56:BQ56 BS56 BX56:BZ56 CB56 D67:F67 H67 M67:O67 Q67 V67:X67 Z67 AE67:AG67 AI67 AN67:AP67 AR67 AW67:AY67 BA67 BF67:BH67 BJ67 BO67:BQ67 BS67 BX67:BZ67 CB67 D78:F78 H78 M78:O78 Q78 V78:X78 Z78 AE78:AG78 AI78 AN78:AP78 AR78 AW78:AY78 BA78 BF78:BH78 BJ78 BO78:BQ78 BS78 BX78:BZ78 CB78 D89:F89 H89 M89:O89 Q89 V89:X89 Z89 AE89:AG89 AI89 AN89:AP89 AR89 AW89:AY89 BA89 BF89:BH89 BJ89 BO89:BQ89 BS89 BX89:BZ89 CB89">
    <cfRule type="cellIs" dxfId="2" priority="4" operator="greaterThan">
      <formula>0</formula>
    </cfRule>
  </conditionalFormatting>
  <conditionalFormatting sqref="I14:J14 R14:S14 AA14:AB14 AJ14:AK14 AS14:AT14 BB14:BC14 BK14:BL14 BT14:BU14 CC14:CD14 I25:J25 R25:S25 AA25:AB25 AJ25:AK25 AS25:AT25 BB25:BC25 BK25:BL25 BT25:BU25 CC25:CD25 I36:J36 R36:S36 AA36:AB36 AJ36:AK36 AS36:AT36 BB36:BC36 BK36:BL36 BT36:BU36 CC36:CD36 I47:J47 R47:S47 AA47:AB47 AJ47:AK47 AS47:AT47 BB47:BC47 BK47:BL47 BT47:BU47 CC47:CD47 I58:J58 R58:S58 AA58:AB58 AJ58:AK58 AS58:AT58 BB58:BC58 BK58:BL58 BT58:BU58 CC58:CD58 I69:J69 R69:S69 AA69:AB69 AJ69:AK69 AS69:AT69 BB69:BC69 BK69:BL69 BT69:BU69 CC69:CD69 I80:J80 R80:S80 AA80:AB80 AJ80:AK80 AS80:AT80 BB80:BC80 BK80:BL80 BT80:BU80 CC80:CD80 I91:J91 R91:S91 AA91:AB91 AJ91:AK91 AS91:AT91 BB91:BC91 BK91:BL91 BT91:BU91 CC91:CD91">
    <cfRule type="cellIs" dxfId="3" priority="5" operator="equal">
      <formula>"L"</formula>
    </cfRule>
  </conditionalFormatting>
  <conditionalFormatting sqref="I14:J14 R14:S14 AA14:AB14 AJ14:AK14 AS14:AT14 BB14:BC14 BK14:BL14 BT14:BU14 CC14:CD14 I25:J25 R25:S25 AA25:AB25 AJ25:AK25 AS25:AT25 BB25:BC25 BK25:BL25 BT25:BU25 CC25:CD25 I36:J36 R36:S36 AA36:AB36 AJ36:AK36 AS36:AT36 BB36:BC36 BK36:BL36 BT36:BU36 CC36:CD36 I47:J47 R47:S47 AA47:AB47 AJ47:AK47 AS47:AT47 BB47:BC47 BK47:BL47 BT47:BU47 CC47:CD47 I58:J58 R58:S58 AA58:AB58 AJ58:AK58 AS58:AT58 BB58:BC58 BK58:BL58 BT58:BU58 CC58:CD58 I69:J69 R69:S69 AA69:AB69 AJ69:AK69 AS69:AT69 BB69:BC69 BK69:BL69 BT69:BU69 CC69:CD69 I80:J80 R80:S80 AA80:AB80 AJ80:AK80 AS80:AT80 BB80:BC80 BK80:BL80 BT80:BU80 CC80:CD80 I91:J91 R91:S91 AA91:AB91 AJ91:AK91 AS91:AT91 BB91:BC91 BK91:BL91 BT91:BU91 CC91:CD91">
    <cfRule type="cellIs" dxfId="2" priority="6" operator="equal">
      <formula>"W"</formula>
    </cfRule>
  </conditionalFormatting>
  <dataValidations>
    <dataValidation type="list" allowBlank="1" sqref="C6:C11 G6:G11 L6:L11 P6:P11 U6:U11 Y6:Y11 AD6:AD11 AH6:AH11 AM6:AM11 AQ6:AQ11 AV6:AV11 AZ6:AZ11 BE6:BE11 BI6:BI11 BN6:BN11 BR6:BR11 BW6:BW11 CA6:CA11 C17:C22 G17:G22 L17:L22 P17:P22 U17:U22 Y17:Y22 AD17:AD22 AH17:AH22 AM17:AM22 AQ17:AQ22 AV17:AV22 AZ17:AZ22 BE17:BE22 BI17:BI22 BN17:BN22 BR17:BR22 BW17:BW22 CA17:CA22 C28:C33 G28:G33 L28:L33 P28:P33 U28:U33 Y28:Y33 AD28:AD33 AH28:AH33 AM28:AM33 AQ28:AQ33 AV28:AV33 AZ28:AZ33 BE28:BE33 BI28:BI33 BN28:BN33 BR28:BR33 BW28:BW33 CA28:CA33 C39:C44 G39:G44 L39:L44 P39:P44 U39:U44 Y39:Y44 AD39:AD44 AH39:AH44 AM39:AM44 AQ39:AQ44 AV39:AV44 AZ39:AZ44 BE39:BE44 BI39:BI44 BN39:BN44 BR39:BR44 BW39:BW44 CA39:CA44 C50:C55 G50:G55 L50:L55 P50:P55 U50:U55 Y50:Y55 AD50:AD55 AH50:AH55 AM50:AM55 AQ50:AQ55 AV50:AV55 AZ50:AZ55 BE50:BE55 BI50:BI55 BN50:BN55 BR50:BR55 BW50:BW55 CA50:CA55 C61:C66 G61:G66 L61:L66 P61:P66 U61:U66 Y61:Y66 AD61:AD66 AH61:AH66 AM61:AM66 AQ61:AQ66 AV61:AV66 AZ61:AZ66 BE61:BE66 BI61:BI66 BN61:BN66 BR61:BR66 BW61:BW66 CA61:CA66 C72:C77 G72:G77 L72:L77 P72:P77 U72:U77 Y72:Y77 AD72:AD77 AH72:AH77 AM72:AM77 AQ72:AQ77 AV72:AV77 AZ72:AZ77 BE72:BE77 BI72:BI77 BN72:BN77 BR72:BR77 BW72:BW77 CA72:CA77 C83:C88 G83:G88 L83:L88 P83:P88 U83:U88 Y83:Y88 AD83:AD88 AH83:AH88 AM83:AM88 AQ83:AQ88 AV83:AV88 AZ83:AZ88 BE83:BE88 BI83:BI88 BN83:BN88 BR83:BR88 BW83:BW88 CA83:CA88">
      <formula1>Source!$B$2:$B93</formula1>
    </dataValidation>
  </dataValidations>
  <drawing r:id="rId1"/>
</worksheet>
</file>